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收支紀錄" sheetId="1" r:id="rId5"/>
    <sheet state="visible" name="Calculation" sheetId="2" r:id="rId6"/>
    <sheet state="visible" name="收入" sheetId="3" r:id="rId7"/>
    <sheet state="visible" name="開銷" sheetId="4" r:id="rId8"/>
    <sheet state="visible" name="貸款" sheetId="5" r:id="rId9"/>
    <sheet state="visible" name="資產" sheetId="6" r:id="rId10"/>
    <sheet state="visible" name="月報" sheetId="7" r:id="rId11"/>
    <sheet state="visible" name="季報" sheetId="8" r:id="rId12"/>
    <sheet state="visible" name="季_現金流量表" sheetId="9" r:id="rId13"/>
    <sheet state="visible" name="季_投資盈虧表" sheetId="10" r:id="rId14"/>
    <sheet state="visible" name="年報" sheetId="11" r:id="rId15"/>
    <sheet state="visible" name="年_現金流量表" sheetId="12" r:id="rId16"/>
    <sheet state="visible" name="收支預估" sheetId="13" r:id="rId17"/>
    <sheet state="visible" name="預估計算表" sheetId="14" r:id="rId18"/>
    <sheet state="visible" name="Reference" sheetId="15" r:id="rId19"/>
  </sheets>
  <definedNames>
    <definedName hidden="1" localSheetId="0" name="_xlnm._FilterDatabase">'收支紀錄'!$A$1:$T$1667</definedName>
  </definedNames>
  <calcPr/>
</workbook>
</file>

<file path=xl/sharedStrings.xml><?xml version="1.0" encoding="utf-8"?>
<sst xmlns="http://schemas.openxmlformats.org/spreadsheetml/2006/main" count="9140" uniqueCount="919">
  <si>
    <t>時間戳記</t>
  </si>
  <si>
    <t>類別</t>
  </si>
  <si>
    <t>金額(NTD)</t>
  </si>
  <si>
    <t>日期(其他請填yyyymmdd, ex:20240808)</t>
  </si>
  <si>
    <t>收入主分類</t>
  </si>
  <si>
    <t>工作選項</t>
  </si>
  <si>
    <t>其他業外選項</t>
  </si>
  <si>
    <t>支出主分類</t>
  </si>
  <si>
    <t>食品酒水選項</t>
  </si>
  <si>
    <t>日常生活選項</t>
  </si>
  <si>
    <t>房屋支出選項</t>
  </si>
  <si>
    <t>行車交通選項</t>
  </si>
  <si>
    <t>休閒娛樂選項</t>
  </si>
  <si>
    <t>稅金保險選項</t>
  </si>
  <si>
    <t>醫療費用選項</t>
  </si>
  <si>
    <t>進修學習選項</t>
  </si>
  <si>
    <t>人情往來</t>
  </si>
  <si>
    <t>其他投資選項</t>
  </si>
  <si>
    <t>備註</t>
  </si>
  <si>
    <t>是否紀錄於總表?</t>
  </si>
  <si>
    <t>支出</t>
  </si>
  <si>
    <t>行車交通</t>
  </si>
  <si>
    <t>火車費</t>
  </si>
  <si>
    <t>加油</t>
  </si>
  <si>
    <t>休閒娛樂</t>
  </si>
  <si>
    <t>運動健身</t>
  </si>
  <si>
    <t>日常生活</t>
  </si>
  <si>
    <t>日常用品</t>
  </si>
  <si>
    <t>食品酒水</t>
  </si>
  <si>
    <t>早餐</t>
  </si>
  <si>
    <t>晚餐</t>
  </si>
  <si>
    <t>停車</t>
  </si>
  <si>
    <t>公司福利金</t>
  </si>
  <si>
    <t>前月公司餐費扣款</t>
  </si>
  <si>
    <t>食材</t>
  </si>
  <si>
    <t>宵夜</t>
  </si>
  <si>
    <t>高鐵</t>
  </si>
  <si>
    <t>youtube Premium</t>
  </si>
  <si>
    <t>收入</t>
  </si>
  <si>
    <t>其他業外</t>
  </si>
  <si>
    <t>股票配息</t>
  </si>
  <si>
    <t xml:space="preserve"> 00751B</t>
  </si>
  <si>
    <t>是</t>
  </si>
  <si>
    <t>飲料酒水</t>
  </si>
  <si>
    <t>午餐</t>
  </si>
  <si>
    <t>剪髮</t>
  </si>
  <si>
    <t>捷運費</t>
  </si>
  <si>
    <t>送禮請客</t>
  </si>
  <si>
    <t>中瑋萬豪婚禮2人</t>
  </si>
  <si>
    <t>旅遊度假</t>
  </si>
  <si>
    <t>電話費</t>
  </si>
  <si>
    <t>房屋支出</t>
  </si>
  <si>
    <t>電費</t>
  </si>
  <si>
    <t>竹南電費</t>
  </si>
  <si>
    <t>休閒玩樂</t>
  </si>
  <si>
    <t xml:space="preserve">HamiVedio </t>
  </si>
  <si>
    <t>孫東寶88節餐5人</t>
  </si>
  <si>
    <t>稅金保險</t>
  </si>
  <si>
    <t>勞健保</t>
  </si>
  <si>
    <t>投資及其他</t>
  </si>
  <si>
    <t>公司認股</t>
  </si>
  <si>
    <t>工作</t>
  </si>
  <si>
    <t>底薪</t>
  </si>
  <si>
    <t>加班/津貼</t>
  </si>
  <si>
    <t>特休折現</t>
  </si>
  <si>
    <t>體檢補助</t>
  </si>
  <si>
    <t>元大金</t>
  </si>
  <si>
    <t>國泰金</t>
  </si>
  <si>
    <t>台泥</t>
  </si>
  <si>
    <t>開發金</t>
  </si>
  <si>
    <t>國泰美債20年</t>
  </si>
  <si>
    <t>正隆</t>
  </si>
  <si>
    <t>中再保</t>
  </si>
  <si>
    <t>年終/績效</t>
  </si>
  <si>
    <t>七月獎金</t>
  </si>
  <si>
    <t>稅金</t>
  </si>
  <si>
    <t>獎金稅</t>
  </si>
  <si>
    <t>Etag</t>
  </si>
  <si>
    <t>生日禮金</t>
  </si>
  <si>
    <t>其他</t>
  </si>
  <si>
    <t>禾聯碩出借</t>
  </si>
  <si>
    <t>奢侈敗家</t>
  </si>
  <si>
    <t>麟洋紀念酒</t>
  </si>
  <si>
    <t>洗衣</t>
  </si>
  <si>
    <t>餐飲票券</t>
  </si>
  <si>
    <t>PChome 7-11禮券$200-$50P幣</t>
  </si>
  <si>
    <t>否</t>
  </si>
  <si>
    <t>台鐵:高雄-台中</t>
  </si>
  <si>
    <t>韓國旅遊兩人(大概值)</t>
  </si>
  <si>
    <t>舒跑盃報名費$100+ibon手續費$18</t>
  </si>
  <si>
    <t>水費</t>
  </si>
  <si>
    <t>釣蝦</t>
  </si>
  <si>
    <t>儲值</t>
  </si>
  <si>
    <t>機油</t>
  </si>
  <si>
    <t>醫療費用</t>
  </si>
  <si>
    <t>頭皮藥</t>
  </si>
  <si>
    <t>衣物鞋帽</t>
  </si>
  <si>
    <t>蝦皮 gildan *5</t>
  </si>
  <si>
    <t>文心1房貸代繳</t>
  </si>
  <si>
    <t>皇鼎</t>
  </si>
  <si>
    <t>發票/彩券/中獎</t>
  </si>
  <si>
    <t>發票</t>
  </si>
  <si>
    <t>山隆</t>
  </si>
  <si>
    <t>亞泥</t>
  </si>
  <si>
    <t>聯邦銀</t>
  </si>
  <si>
    <t>中鋼</t>
  </si>
  <si>
    <t>台中銀行</t>
  </si>
  <si>
    <t>第一金</t>
  </si>
  <si>
    <t>玉山金</t>
  </si>
  <si>
    <t>台新金</t>
  </si>
  <si>
    <t>華南金</t>
  </si>
  <si>
    <t>管理費</t>
  </si>
  <si>
    <t>下午茶</t>
  </si>
  <si>
    <t>好市多</t>
  </si>
  <si>
    <t>蝦皮冷氣遙控器</t>
  </si>
  <si>
    <t>蝦皮鍋蓋</t>
  </si>
  <si>
    <t>蝦皮 置物架</t>
  </si>
  <si>
    <t>蝦皮：豬肉滿福堡+4雞塊*10</t>
  </si>
  <si>
    <t>進修學習</t>
  </si>
  <si>
    <t>書報雜誌</t>
  </si>
  <si>
    <t>Friday購物 世界大局用錢解讀</t>
  </si>
  <si>
    <t>培揚婚禮兩人</t>
  </si>
  <si>
    <t>中秋獎金</t>
  </si>
  <si>
    <t>租車</t>
  </si>
  <si>
    <t>瓦斯費</t>
  </si>
  <si>
    <t>高雄寒軒</t>
  </si>
  <si>
    <t>伴手禮</t>
  </si>
  <si>
    <t>昨天 (-1 day)</t>
  </si>
  <si>
    <t>今天</t>
  </si>
  <si>
    <t>溪頭米堤飯店訂金</t>
  </si>
  <si>
    <t>Ubike</t>
  </si>
  <si>
    <t>租屋</t>
  </si>
  <si>
    <t>元大美債</t>
  </si>
  <si>
    <t>台企銀</t>
  </si>
  <si>
    <t>兆豐金</t>
  </si>
  <si>
    <t>合庫金</t>
  </si>
  <si>
    <t>高雄銀</t>
  </si>
  <si>
    <t>彰銀</t>
  </si>
  <si>
    <t>禾聯碩</t>
  </si>
  <si>
    <t>房屋補貼</t>
  </si>
  <si>
    <t>文心1</t>
  </si>
  <si>
    <t>前天 (-2 days)</t>
  </si>
  <si>
    <t>禮券儲值</t>
  </si>
  <si>
    <t>同齊咖啡儲值</t>
  </si>
  <si>
    <t>米堤飯店*3間（$6289*3-$5700訂金）</t>
  </si>
  <si>
    <t>溪頭門票$180學生+$220全票</t>
  </si>
  <si>
    <t>成功牛排爸媽三人</t>
  </si>
  <si>
    <t>三鐵住宿兩晚</t>
  </si>
  <si>
    <t>客運費</t>
  </si>
  <si>
    <t>明天 (+1 day)</t>
  </si>
  <si>
    <t>燦坤：Panasonic 國際牌 日製旋轉式刀頭國際電壓充電式刮鬍刀 -(ES-6510-K)</t>
  </si>
  <si>
    <t>燦坤AirPods pro2 $6590*2</t>
  </si>
  <si>
    <t>燦坤Panasonic 15公斤熱泵除濕式滾筒衣機&lt;NA-V150RPH-K（夜幕黑）$53910-$15000寶補助</t>
  </si>
  <si>
    <t>生病醫療</t>
  </si>
  <si>
    <t>公車</t>
  </si>
  <si>
    <t>寶鞋*2</t>
  </si>
  <si>
    <t>我鞋*2</t>
  </si>
  <si>
    <t>傢俱</t>
  </si>
  <si>
    <t>IKEA-MILSBO-玻璃門櫃</t>
  </si>
  <si>
    <t>IKEA各式收納櫃</t>
  </si>
  <si>
    <t>蝦皮：致富心態</t>
  </si>
  <si>
    <t>台中-竹南自強3000</t>
  </si>
  <si>
    <t>獎金補充保費</t>
  </si>
  <si>
    <t>此月開始,前月薪資扣款項目計入當月項目</t>
  </si>
  <si>
    <t>Iopenmall 磁吸傳輸線</t>
  </si>
  <si>
    <t>Netflix</t>
  </si>
  <si>
    <t>請蓋幫買寶禮物</t>
  </si>
  <si>
    <t>元大A級</t>
  </si>
  <si>
    <t>國泰美債</t>
  </si>
  <si>
    <t>興富發</t>
  </si>
  <si>
    <t>澳門機票trip.com</t>
  </si>
  <si>
    <t>夾娃娃</t>
  </si>
  <si>
    <t>薑母鴨兩人</t>
  </si>
  <si>
    <t>好市多$3690-$2630蓋支出</t>
  </si>
  <si>
    <t>蝦皮麥當勞早餐</t>
  </si>
  <si>
    <t>好市多續約，可參考照片-$2000寶補助隔週各項費用但記於此</t>
  </si>
  <si>
    <t>其他(洗車,罰單,配件)</t>
  </si>
  <si>
    <t>機車大燈</t>
  </si>
  <si>
    <t>旅遊補助</t>
  </si>
  <si>
    <t>全家咖啡買一送一</t>
  </si>
  <si>
    <t>台南大員皇冠酒店</t>
  </si>
  <si>
    <t>寶三井衣服$2988-$700優惠券-$2000寶錢</t>
  </si>
  <si>
    <t>飪室$609-$500寶補助</t>
  </si>
  <si>
    <t>台灣中小</t>
  </si>
  <si>
    <t>中信優息</t>
  </si>
  <si>
    <t>租屋電費</t>
  </si>
  <si>
    <t>慈善捐款</t>
  </si>
  <si>
    <t>發票中獎</t>
  </si>
  <si>
    <t>寶youtube premium 一年份給蓋</t>
  </si>
  <si>
    <t>跟蓋們吃小媳婦鐵鍋燉</t>
  </si>
  <si>
    <t>除濕機hdh-12dy030B</t>
  </si>
  <si>
    <t>機車保險</t>
  </si>
  <si>
    <t>福湯岩盤浴*2</t>
  </si>
  <si>
    <t>富邦台50</t>
  </si>
  <si>
    <t>美債20</t>
  </si>
  <si>
    <t>旅平險（遠傳、中信產險）</t>
  </si>
  <si>
    <t>TPASS</t>
  </si>
  <si>
    <t>亞太漆彈</t>
  </si>
  <si>
    <t>車-保險稅金</t>
  </si>
  <si>
    <t>汽車保險</t>
  </si>
  <si>
    <t>群聯抽獎</t>
  </si>
  <si>
    <t>同事好樂迪</t>
  </si>
  <si>
    <t>計程車/Uber</t>
  </si>
  <si>
    <t>澳門機場-拱北關閘（港幣$115，匯率4.3）</t>
  </si>
  <si>
    <t>澳門文華東方-拱北關閘（港幣$65，匯率4.3）</t>
  </si>
  <si>
    <t>道格婚禮</t>
  </si>
  <si>
    <t>珠海行轉給蓋</t>
  </si>
  <si>
    <t>免稅店酒</t>
  </si>
  <si>
    <t>寶免稅店粉底精華</t>
  </si>
  <si>
    <t>胃鏡</t>
  </si>
  <si>
    <t>保健食品</t>
  </si>
  <si>
    <t>處方簽藥</t>
  </si>
  <si>
    <t>華齊堂燕窩禮盒</t>
  </si>
  <si>
    <t>寶紅包自己抽</t>
  </si>
  <si>
    <t>紅包自己抽寶</t>
  </si>
  <si>
    <t>贊助寶</t>
  </si>
  <si>
    <t>註1</t>
  </si>
  <si>
    <t>虎航台北-澳門機票（未搭乘，含之後退的機場稅費$500）</t>
  </si>
  <si>
    <t>尊親費用</t>
  </si>
  <si>
    <t>給爸紅包</t>
  </si>
  <si>
    <t>居酒屋</t>
  </si>
  <si>
    <t>公司遺失記憶體（蝦皮）</t>
  </si>
  <si>
    <t>除濕機退稅</t>
  </si>
  <si>
    <t>含請假扣款</t>
  </si>
  <si>
    <t>咖啡豆</t>
  </si>
  <si>
    <t>左腳右腳按摩（momo買）$1899*2-$327寶補助</t>
  </si>
  <si>
    <t>手沖咖啡組</t>
  </si>
  <si>
    <t>大溪老街</t>
  </si>
  <si>
    <t>哥洗衣機</t>
  </si>
  <si>
    <t>大溪住宿及其他</t>
  </si>
  <si>
    <t>厚片吐司</t>
  </si>
  <si>
    <t xml:space="preserve"> $1822請假扣款</t>
  </si>
  <si>
    <t>加班</t>
  </si>
  <si>
    <t>加班誤餐費</t>
  </si>
  <si>
    <t>海底撈</t>
  </si>
  <si>
    <t>保養</t>
  </si>
  <si>
    <t>牙齒膠原蛋白</t>
  </si>
  <si>
    <t xml:space="preserve"> $536請假扣款</t>
  </si>
  <si>
    <t>台東-台中 新自強+便當</t>
  </si>
  <si>
    <t>三鐵51.5k退費</t>
  </si>
  <si>
    <t>三鐵226k接力</t>
  </si>
  <si>
    <t>台中-台東 新自強</t>
  </si>
  <si>
    <t>牌照稅</t>
  </si>
  <si>
    <t>泓品牛排</t>
  </si>
  <si>
    <t>隱形眼鏡</t>
  </si>
  <si>
    <t>吃飯補助蓋</t>
  </si>
  <si>
    <t>勞動節</t>
  </si>
  <si>
    <t>績效</t>
  </si>
  <si>
    <t>機車維修</t>
  </si>
  <si>
    <t>IKEA水龍頭</t>
  </si>
  <si>
    <t xml:space="preserve"> $2251請假扣款</t>
  </si>
  <si>
    <t>行車記錄器記憶卡</t>
  </si>
  <si>
    <t>母親節pizza</t>
  </si>
  <si>
    <t>友利紅地球葡萄</t>
  </si>
  <si>
    <t>Coupang</t>
  </si>
  <si>
    <t>蜂蜜$1800g(賴爺爺蜜蜂小森林）</t>
  </si>
  <si>
    <t>勵馨捐款</t>
  </si>
  <si>
    <t>苗栗-左營早鳥65折</t>
  </si>
  <si>
    <t>威秀加值</t>
  </si>
  <si>
    <t>鼎泰豐</t>
  </si>
  <si>
    <t>康是美+蠟筆小新周邊</t>
  </si>
  <si>
    <t>好市多益生菌</t>
  </si>
  <si>
    <t>皇旗滿月</t>
  </si>
  <si>
    <t>端午節</t>
  </si>
  <si>
    <t>哥生小孩紅包</t>
  </si>
  <si>
    <t>根管治療</t>
  </si>
  <si>
    <t>洗衣儲值</t>
  </si>
  <si>
    <t>機車清油管</t>
  </si>
  <si>
    <t>寶機油</t>
  </si>
  <si>
    <t>部門聚餐</t>
  </si>
  <si>
    <t>寶買牛肉</t>
  </si>
  <si>
    <t>長庚體檢</t>
  </si>
  <si>
    <t>燒肉幫蓋付</t>
  </si>
  <si>
    <t>H2O豪華景觀客房</t>
  </si>
  <si>
    <t>豪享自助餐*6人</t>
  </si>
  <si>
    <t>京悅軒</t>
  </si>
  <si>
    <t>酒吧</t>
  </si>
  <si>
    <t>麵包</t>
  </si>
  <si>
    <t>東山休息站</t>
  </si>
  <si>
    <t>麥當勞點點卡</t>
  </si>
  <si>
    <t>全聯儲值</t>
  </si>
  <si>
    <t>市場</t>
  </si>
  <si>
    <t>汽車燃料費</t>
  </si>
  <si>
    <t>機車燃料費</t>
  </si>
  <si>
    <t>拼多多</t>
  </si>
  <si>
    <t>拼多多廚房櫃</t>
  </si>
  <si>
    <t>拼多多運費</t>
  </si>
  <si>
    <t>隨身碟</t>
  </si>
  <si>
    <t>蝦皮 牙刷刷頭</t>
  </si>
  <si>
    <t>九份老街</t>
  </si>
  <si>
    <t>黃金博物館門票*2</t>
  </si>
  <si>
    <t xml:space="preserve"> 559病假</t>
  </si>
  <si>
    <t>特休</t>
  </si>
  <si>
    <t>體檢費</t>
  </si>
  <si>
    <t>拼多多廚房櫃關稅</t>
  </si>
  <si>
    <t>遠百</t>
  </si>
  <si>
    <t>凱基金</t>
  </si>
  <si>
    <t>婚戒</t>
  </si>
  <si>
    <t>中信金</t>
  </si>
  <si>
    <t>海悅</t>
  </si>
  <si>
    <t xml:space="preserve"> $224病假</t>
  </si>
  <si>
    <t>香格禮坊</t>
  </si>
  <si>
    <t>好市多魚油</t>
  </si>
  <si>
    <t>點痣</t>
  </si>
  <si>
    <t>夢時代羽球鞋</t>
  </si>
  <si>
    <t>碳佐麻里</t>
  </si>
  <si>
    <t>羽球鞋</t>
  </si>
  <si>
    <t xml:space="preserve"> $2235病假</t>
  </si>
  <si>
    <t>中秋節</t>
  </si>
  <si>
    <t>燒肉中山</t>
  </si>
  <si>
    <t>好市多+全聯</t>
  </si>
  <si>
    <t>美債20年</t>
  </si>
  <si>
    <t>台新新光</t>
  </si>
  <si>
    <t>台中銀</t>
  </si>
  <si>
    <t>永豐金</t>
  </si>
  <si>
    <t>遠東銀</t>
  </si>
  <si>
    <t>贊助寶學畫畫</t>
  </si>
  <si>
    <t>疫苗</t>
  </si>
  <si>
    <t>冰箱</t>
  </si>
  <si>
    <t>日本大阪行</t>
  </si>
  <si>
    <t>濾芯</t>
  </si>
  <si>
    <t>速達通網路</t>
  </si>
  <si>
    <t>除濕機</t>
  </si>
  <si>
    <t>家庭日</t>
  </si>
  <si>
    <t>好市多哥代買</t>
  </si>
  <si>
    <t xml:space="preserve">寶youtube premium </t>
  </si>
  <si>
    <t>華泰名品城鞋</t>
  </si>
  <si>
    <t>冠州新公司</t>
  </si>
  <si>
    <t>施教練送禮</t>
  </si>
  <si>
    <t>汽車乙式保險</t>
  </si>
  <si>
    <t>調休</t>
  </si>
  <si>
    <t>結婚</t>
  </si>
  <si>
    <t>婚紗</t>
  </si>
  <si>
    <t>台銀人壽解約</t>
  </si>
  <si>
    <t>換輪胎</t>
  </si>
  <si>
    <t>$447病假</t>
  </si>
  <si>
    <t>好市多升等，若刷卡沒超過會退款</t>
  </si>
  <si>
    <t>奕銘婚禮</t>
  </si>
  <si>
    <t>森森燒肉</t>
  </si>
  <si>
    <t>婚紗場地</t>
  </si>
  <si>
    <t>金太太婚紗場地</t>
  </si>
  <si>
    <t>紅包奶$2000，姪子$2000，寶$8200</t>
  </si>
  <si>
    <t>元大50</t>
  </si>
  <si>
    <t>婚禮</t>
  </si>
  <si>
    <t>婚禮：婚攝 花</t>
  </si>
  <si>
    <t>拍婚紗用租西裝</t>
  </si>
  <si>
    <t>拍婚紗：民俗公園入園費</t>
  </si>
  <si>
    <t>捐款</t>
  </si>
  <si>
    <t>花</t>
  </si>
  <si>
    <t>其他加項(?)</t>
  </si>
  <si>
    <t>寶puma鞋+運動內衣</t>
  </si>
  <si>
    <t>寶Pedro 包</t>
  </si>
  <si>
    <t>燒肉中山*2</t>
  </si>
  <si>
    <t>麗寶鞋</t>
  </si>
  <si>
    <t>烤雞馬拉松</t>
  </si>
  <si>
    <t>網上學習</t>
  </si>
  <si>
    <t>Openrouter</t>
  </si>
  <si>
    <t>安全帽</t>
  </si>
  <si>
    <t xml:space="preserve"> $1788請假</t>
  </si>
  <si>
    <t>家庭日獎金</t>
  </si>
  <si>
    <t>母親節鞋</t>
  </si>
  <si>
    <t>OpenAI</t>
  </si>
  <si>
    <t>台南民宿</t>
  </si>
  <si>
    <t>韓國旅遊</t>
  </si>
  <si>
    <t>所得稅</t>
  </si>
  <si>
    <t>尿布</t>
  </si>
  <si>
    <t>薪資單: 薪資_20260705.png; OCR來源: 基本底薪</t>
  </si>
  <si>
    <t>薪資單: 薪資_20260705.png; OCR來源: 代扣用餐費</t>
  </si>
  <si>
    <t>薪資單: 薪資_20260705.png; OCR來源: 代扣勞保費、代扣健保費、代扣補充保費、代扣勞退自提</t>
  </si>
  <si>
    <t>薪資單: 薪資_20260705.png; OCR來源: 代扣福利金</t>
  </si>
  <si>
    <t>薪資單: 薪資_20260705.png; OCR來源: 代扣所得稅</t>
  </si>
  <si>
    <t>華通</t>
  </si>
  <si>
    <r>
      <rPr>
        <rFont val="標楷體"/>
        <b/>
        <color rgb="FF000000"/>
        <sz val="12.0"/>
      </rPr>
      <t>底薪</t>
    </r>
  </si>
  <si>
    <r>
      <rPr>
        <rFont val="標楷體"/>
        <b/>
        <color rgb="FF000000"/>
        <sz val="12.0"/>
      </rPr>
      <t>加班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津貼</t>
    </r>
  </si>
  <si>
    <r>
      <rPr>
        <rFont val="標楷體"/>
        <b/>
        <color rgb="FF000000"/>
        <sz val="12.0"/>
      </rPr>
      <t>年終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績效</t>
    </r>
  </si>
  <si>
    <t>保險理賠</t>
  </si>
  <si>
    <t>租金</t>
  </si>
  <si>
    <t>生活</t>
  </si>
  <si>
    <t>稅金/利息</t>
  </si>
  <si>
    <t>房屋</t>
  </si>
  <si>
    <t>汽機車</t>
  </si>
  <si>
    <t>開銷</t>
  </si>
  <si>
    <t>生活花費</t>
  </si>
  <si>
    <t>房租(含文心1)</t>
  </si>
  <si>
    <t>Params</t>
  </si>
  <si>
    <t>Source_title_row_index</t>
  </si>
  <si>
    <t>Source_start_row_index</t>
  </si>
  <si>
    <t>Source_row_count</t>
  </si>
  <si>
    <t>Source_row_end_index</t>
  </si>
  <si>
    <t>Cal_title_row_index</t>
  </si>
  <si>
    <t>Cal_start_row_index</t>
  </si>
  <si>
    <t>Cal_row_count</t>
  </si>
  <si>
    <t>Cal_row_end_index</t>
  </si>
  <si>
    <t>Source_Cal_Row_Gap</t>
  </si>
  <si>
    <t>Source_Cal_Start_Gap</t>
  </si>
  <si>
    <t>資料來源</t>
  </si>
  <si>
    <t>Date(Cal.)</t>
  </si>
  <si>
    <t>輸入日期</t>
  </si>
  <si>
    <t>$金額+備註(by公式)</t>
  </si>
  <si>
    <t>總收入</t>
  </si>
  <si>
    <r>
      <rPr>
        <rFont val="標楷體"/>
        <b/>
        <color rgb="FF000000"/>
        <sz val="12.0"/>
      </rPr>
      <t>年度總結</t>
    </r>
  </si>
  <si>
    <r>
      <rPr>
        <rFont val="標楷體"/>
        <b/>
        <color rgb="FF000000"/>
        <sz val="12.0"/>
      </rPr>
      <t>年</t>
    </r>
  </si>
  <si>
    <r>
      <rPr>
        <rFont val="標楷體"/>
        <b/>
        <color rgb="FF000000"/>
        <sz val="12.0"/>
      </rPr>
      <t>月</t>
    </r>
  </si>
  <si>
    <r>
      <rPr>
        <rFont val="標楷體"/>
        <b/>
        <color rgb="FF000000"/>
        <sz val="12.0"/>
      </rPr>
      <t>底薪</t>
    </r>
  </si>
  <si>
    <r>
      <rPr>
        <rFont val="標楷體"/>
        <b/>
        <color rgb="FF000000"/>
        <sz val="12.0"/>
      </rPr>
      <t>加班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津貼</t>
    </r>
  </si>
  <si>
    <r>
      <rPr>
        <rFont val="標楷體"/>
        <b/>
        <color rgb="FF000000"/>
        <sz val="12.0"/>
      </rPr>
      <t>年終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績效</t>
    </r>
  </si>
  <si>
    <t>來源</t>
  </si>
  <si>
    <t>工作收入</t>
  </si>
  <si>
    <t>業外收入</t>
  </si>
  <si>
    <t>項目</t>
  </si>
  <si>
    <r>
      <rPr>
        <rFont val="標楷體"/>
        <b/>
        <color rgb="FF000000"/>
        <sz val="12.0"/>
      </rPr>
      <t>總結</t>
    </r>
  </si>
  <si>
    <r>
      <rPr>
        <rFont val="標楷體"/>
        <b/>
        <color rgb="FF000000"/>
        <sz val="12.0"/>
      </rPr>
      <t>月均</t>
    </r>
  </si>
  <si>
    <t>前</t>
  </si>
  <si>
    <t>郵局19762+中信26474+國泰9028</t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</si>
  <si>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</si>
  <si>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</si>
  <si>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600台新回饋</t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</si>
  <si>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</si>
  <si>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工作收入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</si>
  <si>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</si>
  <si>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</si>
  <si>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richart推薦回饋</t>
  </si>
  <si>
    <r>
      <rPr>
        <rFont val="DFKai-SB"/>
        <color rgb="FF000000"/>
        <sz val="12.0"/>
      </rPr>
      <t>業外收入</t>
    </r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</si>
  <si>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</si>
  <si>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總收入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</si>
  <si>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</si>
  <si>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</si>
  <si>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</si>
  <si>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美光生日獎金</t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</si>
  <si>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</si>
  <si>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</si>
  <si>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</si>
  <si>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分紅</t>
  </si>
  <si>
    <r>
      <rPr>
        <rFont val="標楷體"/>
        <color rgb="FF000000"/>
        <sz val="12.0"/>
      </rPr>
      <t>美光</t>
    </r>
  </si>
  <si>
    <t>年終</t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</si>
  <si>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</si>
  <si>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</si>
  <si>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工作收入</t>
    </r>
  </si>
  <si>
    <r>
      <rPr>
        <rFont val="標楷體"/>
        <color rgb="FF000000"/>
        <sz val="12.0"/>
      </rPr>
      <t>美光</t>
    </r>
  </si>
  <si>
    <t>100刮刮樂,200發票</t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</si>
  <si>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</si>
  <si>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業外收入</t>
    </r>
  </si>
  <si>
    <r>
      <rPr>
        <rFont val="標楷體"/>
        <color rgb="FF000000"/>
        <sz val="12.0"/>
      </rPr>
      <t>美光</t>
    </r>
  </si>
  <si>
    <t>15000美光防疫金</t>
  </si>
  <si>
    <r>
      <rPr>
        <rFont val="DFKai-SB"/>
        <color rgb="FF000000"/>
        <sz val="12.0"/>
      </rPr>
      <t>總收入</t>
    </r>
  </si>
  <si>
    <t>18578特休金+2000端午金</t>
  </si>
  <si>
    <t>5/19後+6月薪水</t>
  </si>
  <si>
    <r>
      <rPr>
        <rFont val="標楷體"/>
        <color rgb="FF000000"/>
        <sz val="12.0"/>
      </rPr>
      <t>中科院</t>
    </r>
  </si>
  <si>
    <t>500台新刷卡金回饋</t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</si>
  <si>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</si>
  <si>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</si>
  <si>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t>327為加班費</t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</si>
  <si>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</si>
  <si>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</si>
  <si>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t>扣476病假</t>
  </si>
  <si>
    <r>
      <rPr>
        <rFont val="標楷體"/>
        <color rgb="FF000000"/>
        <sz val="12.0"/>
      </rPr>
      <t>中科院</t>
    </r>
  </si>
  <si>
    <t>扣492病假</t>
  </si>
  <si>
    <r>
      <rPr>
        <rFont val="標楷體"/>
        <color rgb="FF000000"/>
        <sz val="12.0"/>
      </rPr>
      <t>中科院</t>
    </r>
  </si>
  <si>
    <t>12/15拔智齒醫療保險400</t>
  </si>
  <si>
    <r>
      <rPr>
        <rFont val="標楷體"/>
        <color rgb="FF000000"/>
        <sz val="12.0"/>
      </rPr>
      <t>中科院</t>
    </r>
  </si>
  <si>
    <t>800尾牙安慰獎</t>
  </si>
  <si>
    <r>
      <rPr>
        <rFont val="DFKai-SB"/>
        <color rgb="FF000000"/>
        <sz val="12.0"/>
      </rPr>
      <t>工作收入</t>
    </r>
  </si>
  <si>
    <t>59000年終</t>
  </si>
  <si>
    <r>
      <rPr>
        <rFont val="標楷體"/>
        <color rgb="FF000000"/>
        <sz val="12.0"/>
      </rPr>
      <t>中科院</t>
    </r>
  </si>
  <si>
    <t>498發票中獎</t>
  </si>
  <si>
    <r>
      <rPr>
        <rFont val="標楷體"/>
        <color rgb="FF000000"/>
        <sz val="12.0"/>
      </rPr>
      <t>中科院</t>
    </r>
  </si>
  <si>
    <r>
      <rPr>
        <rFont val="DFKai-SB"/>
        <color rgb="FF000000"/>
        <sz val="12.0"/>
      </rPr>
      <t>業外收入</t>
    </r>
  </si>
  <si>
    <r>
      <rPr>
        <rFont val="標楷體"/>
        <color rgb="FF000000"/>
        <sz val="12.0"/>
      </rPr>
      <t>中科院</t>
    </r>
  </si>
  <si>
    <r>
      <rPr>
        <rFont val="DFKai-SB"/>
        <color rgb="FF000000"/>
        <sz val="12.0"/>
      </rPr>
      <t>總收入</t>
    </r>
  </si>
  <si>
    <r>
      <rPr>
        <rFont val="標楷體"/>
        <color rgb="FF000000"/>
        <sz val="12.0"/>
      </rPr>
      <t>中科院</t>
    </r>
  </si>
  <si>
    <t>1400加薪+1400加薪(前月)-378病假</t>
  </si>
  <si>
    <t>43200中科院獎金+2014特休換</t>
  </si>
  <si>
    <r>
      <rPr>
        <rFont val="標楷體"/>
        <color rgb="FF000000"/>
        <sz val="12.0"/>
      </rPr>
      <t>中科院</t>
    </r>
  </si>
  <si>
    <t>200發票中獎</t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</si>
  <si>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</si>
  <si>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</si>
  <si>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</si>
  <si>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t>800賣二手傢俱,42000車位租($3500/月)</t>
  </si>
  <si>
    <t>$426出差費</t>
  </si>
  <si>
    <r>
      <rPr>
        <rFont val="標楷體"/>
        <color rgb="FF000000"/>
        <sz val="12.0"/>
      </rPr>
      <t>中科院</t>
    </r>
  </si>
  <si>
    <t>$200發票中獎+$500寶補助</t>
  </si>
  <si>
    <t>$672加班</t>
  </si>
  <si>
    <r>
      <rPr>
        <rFont val="標楷體"/>
        <color rgb="FF000000"/>
        <sz val="12.0"/>
      </rPr>
      <t>中科院</t>
    </r>
  </si>
  <si>
    <t>$9744加班,$6400出差,$394新竹出差</t>
  </si>
  <si>
    <t>中科院</t>
  </si>
  <si>
    <t>$6573休假補助,$90600年終,$1600出差</t>
  </si>
  <si>
    <r>
      <rPr>
        <rFont val="DFKai-SB"/>
        <color rgb="FF000000"/>
        <sz val="12.0"/>
      </rPr>
      <t>工作收入</t>
    </r>
  </si>
  <si>
    <t>$1000開工獎金</t>
  </si>
  <si>
    <t>調薪4%(追加1、2月份)</t>
  </si>
  <si>
    <r>
      <rPr>
        <rFont val="DFKai-SB"/>
        <color rgb="FF000000"/>
        <sz val="12.0"/>
      </rPr>
      <t>業外收入</t>
    </r>
  </si>
  <si>
    <t>$3200出差</t>
  </si>
  <si>
    <t>$800 發票中獎</t>
  </si>
  <si>
    <r>
      <rPr>
        <rFont val="DFKai-SB"/>
        <color rgb="FF000000"/>
        <sz val="12.0"/>
      </rPr>
      <t>總收入</t>
    </r>
  </si>
  <si>
    <t>$720四月加班費,$66000績效,$2000出差</t>
  </si>
  <si>
    <t>$8000績效</t>
  </si>
  <si>
    <t>$2000出差,$4862未休假</t>
  </si>
  <si>
    <t>$500發票中獎</t>
  </si>
  <si>
    <t>扣除未上班日,$2238中科院雜項</t>
  </si>
  <si>
    <t>薪水隔月5日發,$1000福利金</t>
  </si>
  <si>
    <t>群聯</t>
  </si>
  <si>
    <t>病假扣薪$1583</t>
  </si>
  <si>
    <t>$400發票中獎</t>
  </si>
  <si>
    <t>$25000員工旅遊補助</t>
  </si>
  <si>
    <t>$3000購物節,$150運彩,$42000車位租年</t>
  </si>
  <si>
    <t>$8313調特休折現</t>
  </si>
  <si>
    <t>$3000購物節, $200發票</t>
  </si>
  <si>
    <t>$年終79644, 績效$150000, 尾牙抽獎$3600</t>
  </si>
  <si>
    <r>
      <rPr>
        <rFont val="DFKai-SB"/>
        <color rgb="FF000000"/>
        <sz val="12.0"/>
      </rPr>
      <t>工作收入</t>
    </r>
  </si>
  <si>
    <t>$3000車禍和解, 醫療險理賠$700</t>
  </si>
  <si>
    <t>$中國人壽理賠$1300</t>
  </si>
  <si>
    <r>
      <rPr>
        <rFont val="DFKai-SB"/>
        <color rgb="FF000000"/>
        <sz val="12.0"/>
      </rPr>
      <t>業外收入</t>
    </r>
  </si>
  <si>
    <t>$1000福利金</t>
  </si>
  <si>
    <t>$6000全民普發</t>
  </si>
  <si>
    <r>
      <rPr>
        <rFont val="DFKai-SB"/>
        <color rgb="FF000000"/>
        <sz val="12.0"/>
      </rPr>
      <t>總收入</t>
    </r>
  </si>
  <si>
    <t>$2458加班費</t>
  </si>
  <si>
    <t>$650二手本舖</t>
  </si>
  <si>
    <t>$1000端午獎金</t>
  </si>
  <si>
    <t>$150000七月獎金,$2858調特休折現</t>
  </si>
  <si>
    <t>$4816所得稅退稅</t>
  </si>
  <si>
    <t>$1000生日福利金</t>
  </si>
  <si>
    <t>$1000中秋福利金</t>
  </si>
  <si>
    <t>$5000寶補助術後車資</t>
  </si>
  <si>
    <t>$80000績效獎金</t>
  </si>
  <si>
    <t>$545二手本舖</t>
  </si>
  <si>
    <t>$132二手本舖,$3500車位出租1個月</t>
  </si>
  <si>
    <r>
      <rPr>
        <rFont val="DFKai-SB"/>
        <color rgb="FF000000"/>
        <sz val="12.0"/>
      </rPr>
      <t>工作收入</t>
    </r>
  </si>
  <si>
    <t>註1:$196k年終,$347k績效,$21187尾牙抽獎,$20k員工旅遊補助,$800尾牙餐費</t>
  </si>
  <si>
    <t>$790偉詮電出借利息</t>
  </si>
  <si>
    <t>喪葬補助1500</t>
  </si>
  <si>
    <r>
      <rPr>
        <rFont val="DFKai-SB"/>
        <color rgb="FF000000"/>
        <sz val="12.0"/>
      </rPr>
      <t>業外收入</t>
    </r>
  </si>
  <si>
    <t>$1000勞動節獎金,$80000績效獎金</t>
  </si>
  <si>
    <t>$169偉詮電,發票$500</t>
  </si>
  <si>
    <r>
      <rPr>
        <rFont val="DFKai-SB"/>
        <color rgb="FF000000"/>
        <sz val="12.0"/>
      </rPr>
      <t>總收入</t>
    </r>
  </si>
  <si>
    <t>USD$10k媽贈與(匯率32.2)</t>
  </si>
  <si>
    <t>$1000k媽贈與</t>
  </si>
  <si>
    <t>前月薪資計入當月收入</t>
  </si>
  <si>
    <r>
      <rPr>
        <rFont val="DFKai-SB"/>
        <color rgb="FF000000"/>
        <sz val="12.0"/>
      </rPr>
      <t>工作收入</t>
    </r>
  </si>
  <si>
    <t>註1:$205.8k年終,$306k績效,$25187尾牙抽獎</t>
  </si>
  <si>
    <r>
      <rPr>
        <rFont val="DFKai-SB"/>
        <color rgb="FF000000"/>
        <sz val="12.0"/>
      </rPr>
      <t>業外收入</t>
    </r>
  </si>
  <si>
    <r>
      <rPr>
        <rFont val="DFKai-SB"/>
        <color rgb="FF000000"/>
        <sz val="12.0"/>
      </rPr>
      <t>總收入</t>
    </r>
  </si>
  <si>
    <r>
      <rPr>
        <rFont val="DFKai-SB"/>
        <color rgb="FF000000"/>
        <sz val="12.0"/>
      </rPr>
      <t>工作收入</t>
    </r>
  </si>
  <si>
    <t>註1:$214.6k年終,$256.7k績效,$25187尾牙抽獎</t>
  </si>
  <si>
    <r>
      <rPr>
        <rFont val="DFKai-SB"/>
        <color rgb="FF000000"/>
        <sz val="12.0"/>
      </rPr>
      <t>業外收入</t>
    </r>
  </si>
  <si>
    <r>
      <rPr>
        <rFont val="DFKai-SB"/>
        <color rgb="FF000000"/>
        <sz val="12.0"/>
      </rPr>
      <t>總收入</t>
    </r>
  </si>
  <si>
    <t>total</t>
  </si>
  <si>
    <r>
      <rPr>
        <rFont val="標楷體"/>
        <color rgb="FF000000"/>
        <sz val="12.0"/>
      </rPr>
      <t>每月平均</t>
    </r>
  </si>
  <si>
    <t>保險</t>
  </si>
  <si>
    <t>折舊</t>
  </si>
  <si>
    <t>利息支出</t>
  </si>
  <si>
    <t>稅金費用</t>
  </si>
  <si>
    <t>小計</t>
  </si>
  <si>
    <t>(分類計)</t>
  </si>
  <si>
    <t>總計</t>
  </si>
  <si>
    <t>年度總結</t>
  </si>
  <si>
    <t>年</t>
  </si>
  <si>
    <t>月</t>
  </si>
  <si>
    <t>保險/稅金</t>
  </si>
  <si>
    <t>汽車-HRV</t>
  </si>
  <si>
    <t>信貸</t>
  </si>
  <si>
    <t>生活+汽機車</t>
  </si>
  <si>
    <t>生活+汽機車+保險+房屋</t>
  </si>
  <si>
    <t>總開銷</t>
  </si>
  <si>
    <r>
      <rPr>
        <rFont val="DFKai-SB"/>
        <b/>
        <color rgb="FF000000"/>
        <sz val="12.0"/>
      </rPr>
      <t>總結</t>
    </r>
  </si>
  <si>
    <r>
      <rPr>
        <rFont val="DFKai-SB"/>
        <b/>
        <color rgb="FF000000"/>
        <sz val="12.0"/>
      </rPr>
      <t>月均</t>
    </r>
  </si>
  <si>
    <t>房屋相關</t>
  </si>
  <si>
    <t>18200買腳踏車</t>
  </si>
  <si>
    <t>總花費</t>
  </si>
  <si>
    <t>所得稅預扣$6978</t>
  </si>
  <si>
    <t>所得稅預扣$6682</t>
  </si>
  <si>
    <t>電費以5.5計算</t>
  </si>
  <si>
    <t>勞健保為11+12月份</t>
  </si>
  <si>
    <t>補繳1月健保、自提：88、730</t>
  </si>
  <si>
    <t>配眼鏡$16200</t>
  </si>
  <si>
    <t>8/27買房,增加額度至$58000為期3個月
房租部分為租屋提早違約$4000</t>
  </si>
  <si>
    <t>新家房租給媽</t>
  </si>
  <si>
    <t>電費為公共電費</t>
  </si>
  <si>
    <t>區權會抵扣$500管理費, 地價稅$220</t>
  </si>
  <si>
    <t>所得稅預扣$4530</t>
  </si>
  <si>
    <t>買筆電$23900</t>
  </si>
  <si>
    <t>勞健保沒紀錄</t>
  </si>
  <si>
    <t>所得稅預扣$2705</t>
  </si>
  <si>
    <t>加上勞退提撥$3864下同,所得稅預扣</t>
  </si>
  <si>
    <t>竹南房租$6000,開銷:手機$42499</t>
  </si>
  <si>
    <t>地價稅$220, 管理費減免$500</t>
  </si>
  <si>
    <t>$獎金5%所得稅預扣$11662</t>
  </si>
  <si>
    <t>$10000(所得稅原需繳$16577,扶養外婆應退稅$4635,給予爸$10000)</t>
  </si>
  <si>
    <t>文心1房租調漲,$7500所得預扣</t>
  </si>
  <si>
    <t>文心1網路費$8900</t>
  </si>
  <si>
    <t>MacbookAirM2 $28500</t>
  </si>
  <si>
    <t>獎金稅$1242</t>
  </si>
  <si>
    <t>地價稅$220,管理費減免$500,生活花費$20000旅遊補助將於2023/1/15撥款</t>
  </si>
  <si>
    <t>2023年交通費,日常用品花費較高</t>
  </si>
  <si>
    <t>管理費調漲(65-&gt;80),(乙式)$37135,稅金:獎金5%預扣,汽車折舊使用雙倍餘額遞減法 (Double Declining Balance), 年限10年</t>
  </si>
  <si>
    <t>$28197廣州旅遊費用</t>
  </si>
  <si>
    <t>$1380k簽+訂</t>
  </si>
  <si>
    <t>$5800辦公椅,$21656所得稅</t>
  </si>
  <si>
    <t>$16000體檢(公司會再退$5000),$7200濾水器</t>
  </si>
  <si>
    <r>
      <rPr>
        <rFont val="標楷體"/>
        <color rgb="FF000000"/>
        <sz val="12.0"/>
      </rPr>
      <t>每月平均</t>
    </r>
  </si>
  <si>
    <t>q</t>
  </si>
  <si>
    <t>信貸(連線銀行)</t>
  </si>
  <si>
    <r>
      <rPr>
        <rFont val="Calibri"/>
        <color rgb="FF000000"/>
        <sz val="12.0"/>
      </rPr>
      <t>詳見</t>
    </r>
    <r>
      <rPr>
        <rFont val="Calibri"/>
        <color rgb="FF000000"/>
        <sz val="12.0"/>
      </rPr>
      <t>Repayment schedule.pdf</t>
    </r>
  </si>
  <si>
    <t>信貸(第一銀行)</t>
  </si>
  <si>
    <t>貸款額度</t>
  </si>
  <si>
    <t>利率</t>
  </si>
  <si>
    <t>年期</t>
  </si>
  <si>
    <t>84期</t>
  </si>
  <si>
    <t>起始日</t>
  </si>
  <si>
    <t>還款日</t>
  </si>
  <si>
    <t>每月16日</t>
  </si>
  <si>
    <t>每月27日</t>
  </si>
  <si>
    <t>每月預估還款</t>
  </si>
  <si>
    <t>期別</t>
  </si>
  <si>
    <t>貸款本金餘額</t>
  </si>
  <si>
    <t>應還本息和(A+B)</t>
  </si>
  <si>
    <t>應還本金(A)</t>
  </si>
  <si>
    <t>應還利息(B)</t>
  </si>
  <si>
    <t>其他費用</t>
  </si>
  <si>
    <t>貸款利息</t>
  </si>
  <si>
    <r>
      <rPr>
        <rFont val="Calibri"/>
        <b/>
        <color rgb="FF000000"/>
        <sz val="12.0"/>
      </rPr>
      <t>備註</t>
    </r>
  </si>
  <si>
    <r>
      <rPr>
        <rFont val="Calibri"/>
        <color rgb="FF000000"/>
        <sz val="12.0"/>
      </rPr>
      <t>開辦費</t>
    </r>
    <r>
      <rPr>
        <rFont val="Calibri"/>
        <color rgb="FF000000"/>
        <sz val="12.0"/>
      </rPr>
      <t>$888,</t>
    </r>
    <r>
      <rPr>
        <rFont val="Calibri"/>
        <color rgb="FF000000"/>
        <sz val="12.0"/>
      </rPr>
      <t>轉帳費</t>
    </r>
    <r>
      <rPr>
        <rFont val="Calibri"/>
        <color rgb="FF000000"/>
        <sz val="12.0"/>
      </rPr>
      <t>$15</t>
    </r>
  </si>
  <si>
    <r>
      <rPr>
        <rFont val="Calibri"/>
        <color rgb="FF000000"/>
        <sz val="12.0"/>
      </rPr>
      <t>升息，貸款利率調為</t>
    </r>
    <r>
      <rPr>
        <rFont val="Calibri"/>
        <color rgb="FF000000"/>
        <sz val="12.0"/>
      </rPr>
      <t>2.13%</t>
    </r>
  </si>
  <si>
    <t>提前還款$200105</t>
  </si>
  <si>
    <t>提前還款剩餘款項</t>
  </si>
  <si>
    <t>開辦費$2300</t>
  </si>
  <si>
    <t>資產</t>
  </si>
  <si>
    <t>不動產</t>
  </si>
  <si>
    <t>設備</t>
  </si>
  <si>
    <t>金融資產</t>
  </si>
  <si>
    <t>預售屋</t>
  </si>
  <si>
    <t>汽車</t>
  </si>
  <si>
    <t>有價證券</t>
  </si>
  <si>
    <t>德光興境</t>
  </si>
  <si>
    <t>HRV</t>
  </si>
  <si>
    <t>群聯認股</t>
  </si>
  <si>
    <t>美股定投(台新美元)</t>
  </si>
  <si>
    <t>虛擬貨幣定投(幣安)</t>
  </si>
  <si>
    <t>購入(增加)</t>
  </si>
  <si>
    <t>折舊(減損)</t>
  </si>
  <si>
    <t>淨額</t>
  </si>
  <si>
    <t>賣出(減少)</t>
  </si>
  <si>
    <t>匯率</t>
  </si>
  <si>
    <t>汽車折舊使用雙倍餘額遞減法 (Double Declining Balance), 年限10年</t>
  </si>
  <si>
    <t>美股定投每月投資500美元QQQ</t>
  </si>
  <si>
    <t>虛擬貨幣每天18USD</t>
  </si>
  <si>
    <r>
      <rPr>
        <rFont val="標楷體"/>
        <color rgb="FF000000"/>
        <sz val="12.0"/>
      </rPr>
      <t>每月平均</t>
    </r>
  </si>
  <si>
    <t>會計項目</t>
  </si>
  <si>
    <t>記帳項目</t>
  </si>
  <si>
    <t>計算參數</t>
  </si>
  <si>
    <t>Start
Cell</t>
  </si>
  <si>
    <t>Interval</t>
  </si>
  <si>
    <t>SUM</t>
  </si>
  <si>
    <t>月_資產負債表</t>
  </si>
  <si>
    <t>-</t>
  </si>
  <si>
    <t>金額</t>
  </si>
  <si>
    <t>流動資產</t>
  </si>
  <si>
    <t>現金及約當現金</t>
  </si>
  <si>
    <t>台幣存款</t>
  </si>
  <si>
    <t>台灣銀行</t>
  </si>
  <si>
    <t>Manual</t>
  </si>
  <si>
    <t>台新銀行</t>
  </si>
  <si>
    <t>永豐銀行</t>
  </si>
  <si>
    <t>中國信託</t>
  </si>
  <si>
    <t>玉山銀行</t>
  </si>
  <si>
    <t>國泰世華</t>
  </si>
  <si>
    <t>合庫銀行</t>
  </si>
  <si>
    <t>Line Bank</t>
  </si>
  <si>
    <t>第一銀行</t>
  </si>
  <si>
    <t>現金</t>
  </si>
  <si>
    <t>外幣存款</t>
  </si>
  <si>
    <t>玉山銀行*</t>
  </si>
  <si>
    <t>台新銀行*</t>
  </si>
  <si>
    <t>合庫銀行*</t>
  </si>
  <si>
    <t>台銀證券</t>
  </si>
  <si>
    <t>台新證券</t>
  </si>
  <si>
    <t>台新證券*</t>
  </si>
  <si>
    <t>Firstrade*</t>
  </si>
  <si>
    <t>統一證</t>
  </si>
  <si>
    <t>基金</t>
  </si>
  <si>
    <t>虛擬貨幣</t>
  </si>
  <si>
    <t>MAX*</t>
  </si>
  <si>
    <t>Binance*</t>
  </si>
  <si>
    <t>流動資產合計</t>
  </si>
  <si>
    <t>非流動資產</t>
  </si>
  <si>
    <t>資產'!E5</t>
  </si>
  <si>
    <t>資產'!H5</t>
  </si>
  <si>
    <t>資產'!K5</t>
  </si>
  <si>
    <t>非流動資產合計</t>
  </si>
  <si>
    <t>資產總計</t>
  </si>
  <si>
    <t>負債及權益</t>
  </si>
  <si>
    <t>負債</t>
  </si>
  <si>
    <t>流動負債</t>
  </si>
  <si>
    <t>代操金額</t>
  </si>
  <si>
    <t>Firstade</t>
  </si>
  <si>
    <t>非流動負債</t>
  </si>
  <si>
    <t>銀行信用貸款</t>
  </si>
  <si>
    <t>連線銀行</t>
  </si>
  <si>
    <t>貸款'!D10</t>
  </si>
  <si>
    <t>負債合計</t>
  </si>
  <si>
    <t>權益</t>
  </si>
  <si>
    <t>權益合計(資產淨值(資產-負債))</t>
  </si>
  <si>
    <t>資產淨增加(QoQ)</t>
  </si>
  <si>
    <t>*: 以外幣計價</t>
  </si>
  <si>
    <t>月_綜合損益表</t>
  </si>
  <si>
    <t>營業收入</t>
  </si>
  <si>
    <t>收入'!H3</t>
  </si>
  <si>
    <t>營業成本</t>
  </si>
  <si>
    <t>營業毛利(收入-成本)</t>
  </si>
  <si>
    <t>營業費用</t>
  </si>
  <si>
    <t>一般開銷</t>
  </si>
  <si>
    <t>開銷'!AC3</t>
  </si>
  <si>
    <t>折舊及攤銷</t>
  </si>
  <si>
    <t>開銷'!Y3</t>
  </si>
  <si>
    <t>開銷合計</t>
  </si>
  <si>
    <t>營業收益</t>
  </si>
  <si>
    <t>營業淨利(毛利-費用+收益)</t>
  </si>
  <si>
    <t>營業外收入</t>
  </si>
  <si>
    <t>收入'!P3</t>
  </si>
  <si>
    <t>營業外支出</t>
  </si>
  <si>
    <t>開銷'!Z3</t>
  </si>
  <si>
    <t>業外流入合計</t>
  </si>
  <si>
    <t>稅前淨利(淨利+業外)</t>
  </si>
  <si>
    <t>所得稅費用</t>
  </si>
  <si>
    <t>所得稅(含預扣)</t>
  </si>
  <si>
    <t>開銷'!AA3</t>
  </si>
  <si>
    <t>本月淨利(稅前淨利-稅費)</t>
  </si>
  <si>
    <t>其他綜合損益</t>
  </si>
  <si>
    <t>其他投資(報酬%)</t>
  </si>
  <si>
    <t>綜合損益總額(稅後淨利-綜合損益)</t>
  </si>
  <si>
    <t>月_現金流量表</t>
  </si>
  <si>
    <t>營業活動之
現金流量</t>
  </si>
  <si>
    <t>調整項目</t>
  </si>
  <si>
    <t>汽車折舊</t>
  </si>
  <si>
    <t>營運產生之現金(稅前淨利+調整項目)</t>
  </si>
  <si>
    <t>支付所得稅</t>
  </si>
  <si>
    <t>營業活動之淨現金流入</t>
  </si>
  <si>
    <t>投資活動之
現金流量</t>
  </si>
  <si>
    <t>購買金融資產</t>
  </si>
  <si>
    <t>股票(定期)</t>
  </si>
  <si>
    <t>資產'!L5</t>
  </si>
  <si>
    <t>虛擬貨幣(定期)</t>
  </si>
  <si>
    <t>資產'!O5</t>
  </si>
  <si>
    <t>金融資產領回</t>
  </si>
  <si>
    <t>股票</t>
  </si>
  <si>
    <t>損益再平衡</t>
  </si>
  <si>
    <t>購置不動產</t>
  </si>
  <si>
    <t>預售屋各期款項</t>
  </si>
  <si>
    <t>資產'!C5</t>
  </si>
  <si>
    <t>取得設備</t>
  </si>
  <si>
    <t>資產'!F5</t>
  </si>
  <si>
    <t>取得非流動資產</t>
  </si>
  <si>
    <t>資產'!I5</t>
  </si>
  <si>
    <t>投資活動之淨現金流入</t>
  </si>
  <si>
    <t>籌資活動之
現金流量</t>
  </si>
  <si>
    <t>取得非流動負債</t>
  </si>
  <si>
    <t>償還非流動負債</t>
  </si>
  <si>
    <t>貸款'!F10</t>
  </si>
  <si>
    <t>籌資活動之淨現金流入</t>
  </si>
  <si>
    <t>現金及約當現金淨增加數 (營業+投資+籌資)</t>
  </si>
  <si>
    <t>前月現金及約當現金餘額</t>
  </si>
  <si>
    <t>當月現金及約當現金餘額</t>
  </si>
  <si>
    <t>新增項目</t>
  </si>
  <si>
    <t>六個月平均移動現金增加數</t>
  </si>
  <si>
    <t>2024Q3
(2024/10/09)</t>
  </si>
  <si>
    <t>2024Q4
(2025/01/01)</t>
  </si>
  <si>
    <t>2025Q1
(2025/04/03)</t>
  </si>
  <si>
    <t>2025Q2
(2025/07/01)</t>
  </si>
  <si>
    <t>2025Q3
(2025/10/01)</t>
  </si>
  <si>
    <t>2025Q4
(2026/01/01)</t>
  </si>
  <si>
    <t>2026Q1
(2026/04/01)</t>
  </si>
  <si>
    <t>2026Q2
(2026/07/01)</t>
  </si>
  <si>
    <t>2026Q3
(2026/??/??)</t>
  </si>
  <si>
    <t>2026Q4
(2026/??/??)</t>
  </si>
  <si>
    <t>季_資產負債表</t>
  </si>
  <si>
    <t>%</t>
  </si>
  <si>
    <t>資產'!E76</t>
  </si>
  <si>
    <t>資產'!H76</t>
  </si>
  <si>
    <t>資產'!K76</t>
  </si>
  <si>
    <t>銀行</t>
  </si>
  <si>
    <t>貸款'!D19</t>
  </si>
  <si>
    <t>NA</t>
  </si>
  <si>
    <t>季_綜合損益表</t>
  </si>
  <si>
    <t>收入'!H72</t>
  </si>
  <si>
    <t>開銷'!AC72</t>
  </si>
  <si>
    <t>開銷'!Y72</t>
  </si>
  <si>
    <t>收入'!P72</t>
  </si>
  <si>
    <t>開銷'!Z72</t>
  </si>
  <si>
    <t>業外合計</t>
  </si>
  <si>
    <t>開銷'!AA72</t>
  </si>
  <si>
    <t>YOY</t>
  </si>
  <si>
    <t>本期淨利(稅前淨利-稅費)(本期淨收入)</t>
  </si>
  <si>
    <t>綜合損益總額(稅後淨利+綜合損益)</t>
  </si>
  <si>
    <t>季_現金流量表</t>
  </si>
  <si>
    <t>2026Q1
(2026/??/??)</t>
  </si>
  <si>
    <t>2026Q2
(2026/??/??)</t>
  </si>
  <si>
    <t>季報'!G55</t>
  </si>
  <si>
    <t>季報'!G48</t>
  </si>
  <si>
    <t>季報'!G56</t>
  </si>
  <si>
    <t>季報'!G18</t>
  </si>
  <si>
    <t>季報'!G21</t>
  </si>
  <si>
    <t>季報'!G22</t>
  </si>
  <si>
    <t>季報'!G61</t>
  </si>
  <si>
    <t>資產'!C74</t>
  </si>
  <si>
    <t>資產'!F74</t>
  </si>
  <si>
    <t>資產'!I74</t>
  </si>
  <si>
    <t>貸款'!F16</t>
  </si>
  <si>
    <t>期初現金及約當現金餘額</t>
  </si>
  <si>
    <t>期末現金及約當現金餘額</t>
  </si>
  <si>
    <t>實際現金及約當現金餘額</t>
  </si>
  <si>
    <t>季報'!G6</t>
  </si>
  <si>
    <t>現金計算差額((實際-計算)/計算*%)</t>
  </si>
  <si>
    <t>2024Q3現金為按實際現況填入</t>
  </si>
  <si>
    <t>季_投資盈虧表</t>
  </si>
  <si>
    <t>2026Q1
 (2026/04/01)</t>
  </si>
  <si>
    <t>2026Q2
 (2026/07/01)</t>
  </si>
  <si>
    <t>2026Q3
 (2026/??/??)</t>
  </si>
  <si>
    <t>2026Q4
 (2026/??/??)</t>
  </si>
  <si>
    <t>投資分類</t>
  </si>
  <si>
    <t>投資項目</t>
  </si>
  <si>
    <t>上季結算金額</t>
  </si>
  <si>
    <t>本季投入金額</t>
  </si>
  <si>
    <t>本季贖回金額</t>
  </si>
  <si>
    <t>本季結算金額</t>
  </si>
  <si>
    <t>本季損益</t>
  </si>
  <si>
    <t>報酬率</t>
  </si>
  <si>
    <t>台股</t>
  </si>
  <si>
    <t>含台股現股/ETF/零股</t>
  </si>
  <si>
    <t>美股</t>
  </si>
  <si>
    <t>海外券商或美股帳戶</t>
  </si>
  <si>
    <t>美股複委托</t>
  </si>
  <si>
    <t>國內券商複委託</t>
  </si>
  <si>
    <t>美股定期定額</t>
  </si>
  <si>
    <t>定期定額專用彙總</t>
  </si>
  <si>
    <t>交易所/錢包市值</t>
  </si>
  <si>
    <t>投資合計</t>
  </si>
  <si>
    <t>自動加總</t>
  </si>
  <si>
    <t>季度摘要</t>
  </si>
  <si>
    <t>摘要</t>
  </si>
  <si>
    <t>總投入</t>
  </si>
  <si>
    <t>總贖回</t>
  </si>
  <si>
    <t>期末投資資產</t>
  </si>
  <si>
    <t>季度損益</t>
  </si>
  <si>
    <t>季度報酬率</t>
  </si>
  <si>
    <t>累計損益</t>
  </si>
  <si>
    <t>檢核</t>
  </si>
  <si>
    <t>OK=0</t>
  </si>
  <si>
    <t>從此季開始計算</t>
  </si>
  <si>
    <t>填寫原則</t>
  </si>
  <si>
    <t>上季結算 + 本季投入 - 本季贖回 + 本季損益 = 本季結算；本季損益與報酬率為公式欄，請勿手動覆蓋。</t>
  </si>
  <si>
    <t>2021
(2022/01/09)</t>
  </si>
  <si>
    <t>2022
(2023/01/09)</t>
  </si>
  <si>
    <t>2023
(2024/01/09)</t>
  </si>
  <si>
    <t>2024
(2025/01/01)</t>
  </si>
  <si>
    <t>2025
(2026/01/01)</t>
  </si>
  <si>
    <t>年_資產負債表</t>
  </si>
  <si>
    <t>資產'!E43</t>
  </si>
  <si>
    <t>資產'!H43</t>
  </si>
  <si>
    <t>資產'!K43</t>
  </si>
  <si>
    <t>貸款'!D22</t>
  </si>
  <si>
    <t>資產淨增加(今年-去年)</t>
  </si>
  <si>
    <t>年_綜合損益表</t>
  </si>
  <si>
    <t>收入'!H30</t>
  </si>
  <si>
    <t>開銷'!AC30</t>
  </si>
  <si>
    <t>開銷'!Y30</t>
  </si>
  <si>
    <t>收入'!P30</t>
  </si>
  <si>
    <t>開銷'!Z30</t>
  </si>
  <si>
    <t>開銷'!AA30</t>
  </si>
  <si>
    <t>本年淨利(稅前淨利-稅費)(年度淨收入)</t>
  </si>
  <si>
    <t>年_現金流量表</t>
  </si>
  <si>
    <t>年報'!G55</t>
  </si>
  <si>
    <t>年報'!G48</t>
  </si>
  <si>
    <t>年報'!G56</t>
  </si>
  <si>
    <t>年報'!G18</t>
  </si>
  <si>
    <t>年報'!G21</t>
  </si>
  <si>
    <t>年報'!G22</t>
  </si>
  <si>
    <t>年報'!G59</t>
  </si>
  <si>
    <t>資產'!C32</t>
  </si>
  <si>
    <t>資產'!F32</t>
  </si>
  <si>
    <t>資產'!I32</t>
  </si>
  <si>
    <t>年報'!G6</t>
  </si>
  <si>
    <t>2021期末現金為按實際現況填入</t>
  </si>
  <si>
    <t>貸款</t>
  </si>
  <si>
    <t>收入總和</t>
  </si>
  <si>
    <t>還款</t>
  </si>
  <si>
    <t>生活開銷</t>
  </si>
  <si>
    <t>房屋開銷</t>
  </si>
  <si>
    <t>預估1(auto)</t>
  </si>
  <si>
    <t>預估2(manual)</t>
  </si>
  <si>
    <t>支出總和</t>
  </si>
  <si>
    <t>損益</t>
  </si>
  <si>
    <t>資產累計</t>
  </si>
  <si>
    <t>資產累計(萬)</t>
  </si>
  <si>
    <r>
      <rPr>
        <rFont val="Microsoft JhengHei"/>
        <color rgb="FF000000"/>
        <sz val="12.0"/>
      </rPr>
      <t>收入以</t>
    </r>
    <r>
      <rPr>
        <rFont val="Microsoft JhengHei"/>
        <color rgb="FF000000"/>
        <sz val="12.0"/>
      </rPr>
      <t>2023年4月為循環估算</t>
    </r>
  </si>
  <si>
    <t>開始月</t>
  </si>
  <si>
    <t>交屋月</t>
  </si>
  <si>
    <r>
      <rPr>
        <rFont val="新細明體"/>
        <b val="0"/>
        <color rgb="FF000000"/>
        <sz val="12.0"/>
      </rPr>
      <t>成屋需開始月</t>
    </r>
    <r>
      <rPr>
        <rFont val="Calibri"/>
        <b val="0"/>
        <color rgb="FF000000"/>
        <sz val="12.0"/>
      </rPr>
      <t>+1</t>
    </r>
  </si>
  <si>
    <t>房屋總價(萬)</t>
  </si>
  <si>
    <t>簽+訂(比例)</t>
  </si>
  <si>
    <t>頭期比例</t>
  </si>
  <si>
    <r>
      <rPr>
        <rFont val="新細明體"/>
        <b val="0"/>
        <color rgb="FF000000"/>
        <sz val="12.0"/>
      </rPr>
      <t>簽訂</t>
    </r>
    <r>
      <rPr>
        <rFont val="Calibri"/>
        <b val="0"/>
        <color rgb="FF000000"/>
        <sz val="12.0"/>
      </rPr>
      <t>+</t>
    </r>
    <r>
      <rPr>
        <rFont val="新細明體"/>
        <b val="0"/>
        <color rgb="FF000000"/>
        <sz val="12.0"/>
      </rPr>
      <t>工程款</t>
    </r>
  </si>
  <si>
    <t>訂到交屋(月)</t>
  </si>
  <si>
    <t>dynamic arg.</t>
  </si>
  <si>
    <t>static arg.</t>
  </si>
  <si>
    <t>貸款期限</t>
  </si>
  <si>
    <r>
      <rPr>
        <rFont val="Calibri"/>
        <color rgb="FF000000"/>
        <sz val="12.0"/>
      </rPr>
      <t>40</t>
    </r>
    <r>
      <rPr>
        <rFont val="細明體"/>
        <color rgb="FF000000"/>
        <sz val="12.0"/>
      </rPr>
      <t>年</t>
    </r>
  </si>
  <si>
    <t>每月還款/1000萬</t>
  </si>
  <si>
    <t>簽訂</t>
  </si>
  <si>
    <t>工程款</t>
  </si>
  <si>
    <t>總額</t>
  </si>
  <si>
    <t>Forms</t>
  </si>
  <si>
    <t>https://docs.google.com/forms/d/1vroqi1W-CkwD_D_KcMMd9Rnzw8A74bxLw-knX-zkFkM/edit</t>
  </si>
  <si>
    <t>form link</t>
  </si>
  <si>
    <t>https://docs.google.com/forms/d/e/1FAIpQLSeyAKWlsAsdlnUxOoEZU-QmxmryTNZ5vLNBuQ2BzJJOBtXdPA/viewform?usp=sf_link</t>
  </si>
  <si>
    <t>Web</t>
  </si>
  <si>
    <t>https://leadingmrk.com/google-sheet-form-account-book/</t>
  </si>
  <si>
    <t>Formula</t>
  </si>
  <si>
    <t>SUMIFS($C$25:INDIRECT("C"&amp;(COUNT(A24:A)+MATCH("時間戳記",A:A, 0))), $A$25:INDIRECT("A"&amp;(COUNT(A24:A)+MATCH("時間戳記",A:A, 0))), "&gt;="&amp;A3, $A$25:INDIRECT("A"&amp;(COUNT(A24:A)+MATCH("時間戳記",A:A, 0))), "&lt;"&amp;A4, $E$25:INDIRECT("E"&amp;(COUNT(A24:A)+MATCH("時間戳記",A:A, 0))), $B$2)</t>
  </si>
  <si>
    <t>SUMIFS(INDIRECT("C"&amp;C20):C, INDIRECT("A"&amp;C20):A, "&gt;="&amp;A3, INDIRECT("A"&amp;C20):A, "&lt;"&amp;A4, INDIRECT("E"&amp;C20):E, $B$2)</t>
  </si>
  <si>
    <t>IF(IFNA(TEXTJOIN(", ", TRUE, FILTER(INDIRECT("S"&amp;$C$20&amp;":S"), INDIRECT("D"&amp;$C$20&amp;":D") = $B$1, INDIRECT("A"&amp;$C$20&amp;":A") &gt;= A3, INDIRECT("A"&amp;$C$20&amp;":A") &lt;A4)),"noData")="noData", "", TEXTJOIN(", ", TRUE, FILTER(INDIRECT("S"&amp;$C$20&amp;":S"), INDIRECT("D"&amp;$C$20&amp;":D") = $B$1, INDIRECT("A"&amp;$C$20&amp;":A") &gt;= A3, INDIRECT("A"&amp;$C$20&amp;":A") &lt;A4)))</t>
  </si>
  <si>
    <t>IF(T99="是",TEXTJOIN("", TRUE, "$", TO_TEXT(D99), S99),"")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</si>
</sst>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yyyy/m/d"/>
    <numFmt numFmtId="166" formatCode="yyyy/mm/dd h:mm:ss"/>
    <numFmt numFmtId="167" formatCode="yyyy\-mm"/>
    <numFmt numFmtId="168" formatCode="yyyy/M/d"/>
    <numFmt numFmtId="169" formatCode="[$NT$-404]#,##0.00"/>
    <numFmt numFmtId="170" formatCode="&quot;$&quot;#,##0_);[Red]\(&quot;$&quot;#,##0\)"/>
    <numFmt numFmtId="171" formatCode="[$$]#,##0"/>
    <numFmt numFmtId="172" formatCode="_(* #,##0_);_(* \(#,##0\);_(* &quot;-&quot;??_);_(@_)"/>
    <numFmt numFmtId="173" formatCode="_(&quot;$&quot;* #,##0_);_(&quot;$&quot;* \(#,##0\);_(&quot;$&quot;* &quot;-&quot;??_);_(@_)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F1F1F"/>
      <name val="Google Sans"/>
    </font>
    <font>
      <b/>
      <sz val="12.0"/>
      <color theme="1"/>
      <name val="DFKai-SB"/>
    </font>
    <font/>
    <font>
      <b/>
      <sz val="11.0"/>
      <color theme="1"/>
      <name val="Arial"/>
    </font>
    <font>
      <sz val="12.0"/>
      <color theme="1"/>
      <name val="Times New Roman"/>
    </font>
    <font>
      <sz val="9.0"/>
      <color theme="1"/>
      <name val="Google Sans Mono"/>
    </font>
    <font>
      <b/>
      <color theme="1"/>
      <name val="Arial"/>
    </font>
    <font>
      <sz val="10.0"/>
      <color rgb="FF1F1F1F"/>
      <name val="Arial"/>
    </font>
    <font>
      <sz val="12.0"/>
      <color rgb="FF0000FF"/>
      <name val="Arial"/>
    </font>
    <font>
      <b/>
      <color theme="1"/>
      <name val="Arial"/>
      <scheme val="minor"/>
    </font>
    <font>
      <b/>
      <sz val="14.0"/>
      <color theme="1"/>
      <name val="DFKai-SB"/>
    </font>
    <font>
      <b/>
      <sz val="12.0"/>
      <color theme="1"/>
      <name val="Times New Roman"/>
    </font>
    <font>
      <b/>
      <sz val="12.0"/>
      <color theme="1"/>
      <name val="&quot;Times New Roman&quot;"/>
    </font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&quot;Times New Roman&quot;"/>
    </font>
    <font>
      <sz val="12.0"/>
      <color theme="1"/>
      <name val="DFKai-SB"/>
    </font>
    <font>
      <sz val="12.0"/>
      <color rgb="FF000000"/>
      <name val="Times New Roman"/>
    </font>
    <font>
      <b/>
      <sz val="12.0"/>
      <color rgb="FF000000"/>
      <name val="DFKai-SB"/>
    </font>
    <font>
      <sz val="12.0"/>
      <color rgb="FF000000"/>
      <name val="DFKai-SB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Calibri"/>
    </font>
    <font>
      <sz val="12.0"/>
      <color rgb="FF565656"/>
      <name val="Calibri"/>
    </font>
    <font>
      <sz val="12.0"/>
      <color rgb="FFCCCCCC"/>
      <name val="Times New Roman"/>
    </font>
    <font>
      <b/>
      <sz val="12.0"/>
      <color rgb="FF000000"/>
      <name val="Times New Roman"/>
    </font>
    <font>
      <b/>
      <sz val="12.0"/>
      <color theme="1"/>
      <name val="Calibri"/>
    </font>
    <font>
      <sz val="12.0"/>
      <color rgb="FF000000"/>
      <name val="Arial"/>
      <scheme val="minor"/>
    </font>
    <font>
      <b/>
      <sz val="12.0"/>
      <color rgb="FF999999"/>
      <name val="Times New Roman"/>
    </font>
    <font>
      <b/>
      <sz val="12.0"/>
      <color theme="1"/>
      <name val="Arial"/>
      <scheme val="minor"/>
    </font>
    <font>
      <sz val="12.0"/>
      <color rgb="FF999999"/>
      <name val="Arial"/>
      <scheme val="minor"/>
    </font>
    <font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&quot;Google Sans Mono&quot;"/>
    </font>
    <font>
      <b/>
      <sz val="12.0"/>
      <color rgb="FF000000"/>
      <name val="Arial"/>
      <scheme val="minor"/>
    </font>
    <font>
      <b/>
      <sz val="12.0"/>
      <color rgb="FF999999"/>
      <name val="Arial"/>
      <scheme val="minor"/>
    </font>
    <font>
      <b/>
      <sz val="12.0"/>
      <color rgb="FF000000"/>
      <name val="&quot;Times New Roman&quot;"/>
    </font>
    <font>
      <b/>
      <color rgb="FF000000"/>
      <name val="Arial"/>
    </font>
    <font>
      <sz val="12.0"/>
      <color rgb="FF000000"/>
      <name val="Arial"/>
    </font>
    <font>
      <sz val="12.0"/>
      <color rgb="FF999999"/>
      <name val="Arial"/>
    </font>
    <font>
      <b/>
      <sz val="12.0"/>
      <color rgb="FF000000"/>
      <name val="Arial"/>
    </font>
    <font>
      <color rgb="FF000000"/>
      <name val="Arial"/>
    </font>
    <font>
      <sz val="12.0"/>
      <color rgb="FF000000"/>
      <name val="Microsoft JhengHei"/>
    </font>
    <font>
      <u/>
      <color rgb="FF0000FF"/>
    </font>
    <font>
      <u/>
      <color rgb="FF0000FF"/>
    </font>
    <font>
      <sz val="9.0"/>
      <color rgb="FF000000"/>
      <name val="&quot;Google Sans Mono&quot;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AEEF3"/>
        <bgColor rgb="FFDAEEF3"/>
      </patternFill>
    </fill>
  </fills>
  <borders count="1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/>
      <bottom style="thin">
        <color rgb="FF000000"/>
      </bottom>
    </border>
    <border>
      <right/>
      <bottom style="thin">
        <color rgb="FF000000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  <top style="thin">
        <color rgb="FFDDDDDD"/>
      </top>
    </border>
    <border>
      <right style="thin">
        <color rgb="FFDDDDDD"/>
      </right>
      <top style="thin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9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2" fontId="3" numFmtId="165" xfId="0" applyAlignment="1" applyFill="1" applyFont="1" applyNumberFormat="1">
      <alignment horizontal="right" shrinkToFit="0" vertical="bottom" wrapText="0"/>
    </xf>
    <xf borderId="0" fillId="0" fontId="2" numFmtId="14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4" fillId="0" fontId="2" numFmtId="0" xfId="0" applyAlignment="1" applyBorder="1" applyFont="1">
      <alignment vertical="bottom"/>
    </xf>
    <xf borderId="0" fillId="4" fontId="6" numFmtId="0" xfId="0" applyAlignment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readingOrder="0" vertical="bottom"/>
    </xf>
    <xf borderId="6" fillId="5" fontId="7" numFmtId="167" xfId="0" applyAlignment="1" applyBorder="1" applyFill="1" applyFont="1" applyNumberFormat="1">
      <alignment horizontal="center" vertical="bottom"/>
    </xf>
    <xf borderId="5" fillId="0" fontId="2" numFmtId="0" xfId="0" applyAlignment="1" applyBorder="1" applyFont="1">
      <alignment horizontal="right" vertical="bottom"/>
    </xf>
    <xf borderId="5" fillId="2" fontId="8" numFmtId="0" xfId="0" applyAlignment="1" applyBorder="1" applyFont="1">
      <alignment horizontal="center" vertical="bottom"/>
    </xf>
    <xf borderId="5" fillId="2" fontId="8" numFmtId="0" xfId="0" applyAlignment="1" applyBorder="1" applyFont="1">
      <alignment horizontal="left" vertical="bottom"/>
    </xf>
    <xf borderId="6" fillId="5" fontId="7" numFmtId="167" xfId="0" applyAlignment="1" applyBorder="1" applyFont="1" applyNumberFormat="1">
      <alignment horizontal="center" readingOrder="0" vertical="bottom"/>
    </xf>
    <xf borderId="0" fillId="0" fontId="2" numFmtId="0" xfId="0" applyFont="1"/>
    <xf borderId="7" fillId="3" fontId="4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7" fillId="3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shrinkToFit="0" wrapText="1"/>
    </xf>
    <xf borderId="6" fillId="6" fontId="7" numFmtId="167" xfId="0" applyAlignment="1" applyBorder="1" applyFill="1" applyFont="1" applyNumberFormat="1">
      <alignment horizontal="center" vertical="bottom"/>
    </xf>
    <xf borderId="5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2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4" fontId="9" numFmtId="0" xfId="0" applyAlignment="1" applyFont="1">
      <alignment horizontal="center" vertical="bottom"/>
    </xf>
    <xf borderId="0" fillId="7" fontId="10" numFmtId="0" xfId="0" applyAlignment="1" applyFill="1" applyFont="1">
      <alignment horizontal="center" vertical="bottom"/>
    </xf>
    <xf borderId="0" fillId="7" fontId="1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4" fontId="11" numFmtId="0" xfId="0" applyAlignment="1" applyFont="1">
      <alignment horizontal="center" vertical="bottom"/>
    </xf>
    <xf borderId="0" fillId="0" fontId="2" numFmtId="3" xfId="0" applyAlignment="1" applyFont="1" applyNumberFormat="1">
      <alignment readingOrder="0"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8" fontId="1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4" fillId="9" fontId="12" numFmtId="0" xfId="0" applyAlignment="1" applyBorder="1" applyFill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4" fillId="0" fontId="1" numFmtId="0" xfId="0" applyBorder="1" applyFont="1"/>
    <xf borderId="0" fillId="0" fontId="2" numFmtId="49" xfId="0" applyAlignment="1" applyFont="1" applyNumberFormat="1">
      <alignment horizontal="right" vertical="bottom"/>
    </xf>
    <xf borderId="10" fillId="10" fontId="13" numFmtId="0" xfId="0" applyAlignment="1" applyBorder="1" applyFill="1" applyFont="1">
      <alignment horizontal="center"/>
    </xf>
    <xf borderId="6" fillId="0" fontId="5" numFmtId="0" xfId="0" applyBorder="1" applyFont="1"/>
    <xf borderId="2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0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10" fillId="0" fontId="16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shrinkToFit="0" wrapText="1"/>
    </xf>
    <xf borderId="10" fillId="11" fontId="4" numFmtId="0" xfId="0" applyAlignment="1" applyBorder="1" applyFill="1" applyFont="1">
      <alignment horizontal="center"/>
    </xf>
    <xf borderId="1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/>
    </xf>
    <xf borderId="10" fillId="0" fontId="14" numFmtId="170" xfId="0" applyAlignment="1" applyBorder="1" applyFont="1" applyNumberFormat="1">
      <alignment horizontal="center"/>
    </xf>
    <xf borderId="6" fillId="0" fontId="14" numFmtId="170" xfId="0" applyAlignment="1" applyBorder="1" applyFont="1" applyNumberFormat="1">
      <alignment horizontal="center"/>
    </xf>
    <xf borderId="0" fillId="0" fontId="17" numFmtId="0" xfId="0" applyFont="1"/>
    <xf borderId="12" fillId="0" fontId="18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center" vertical="bottom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13" fillId="0" fontId="17" numFmtId="0" xfId="0" applyBorder="1" applyFont="1"/>
    <xf borderId="13" fillId="0" fontId="18" numFmtId="0" xfId="0" applyAlignment="1" applyBorder="1" applyFont="1">
      <alignment horizontal="center"/>
    </xf>
    <xf borderId="7" fillId="0" fontId="17" numFmtId="0" xfId="0" applyBorder="1" applyFont="1"/>
    <xf borderId="8" fillId="0" fontId="17" numFmtId="170" xfId="0" applyBorder="1" applyFont="1" applyNumberFormat="1"/>
    <xf borderId="9" fillId="0" fontId="17" numFmtId="170" xfId="0" applyBorder="1" applyFont="1" applyNumberFormat="1"/>
    <xf borderId="12" fillId="0" fontId="5" numFmtId="0" xfId="0" applyBorder="1" applyFont="1"/>
    <xf borderId="13" fillId="0" fontId="18" numFmtId="167" xfId="0" applyAlignment="1" applyBorder="1" applyFont="1" applyNumberFormat="1">
      <alignment horizontal="center" vertical="bottom"/>
    </xf>
    <xf borderId="12" fillId="0" fontId="17" numFmtId="0" xfId="0" applyBorder="1" applyFont="1"/>
    <xf borderId="0" fillId="0" fontId="17" numFmtId="170" xfId="0" applyFont="1" applyNumberFormat="1"/>
    <xf borderId="13" fillId="0" fontId="17" numFmtId="170" xfId="0" applyBorder="1" applyFont="1" applyNumberFormat="1"/>
    <xf borderId="11" fillId="0" fontId="5" numFmtId="0" xfId="0" applyBorder="1" applyFont="1"/>
    <xf borderId="6" fillId="0" fontId="18" numFmtId="167" xfId="0" applyAlignment="1" applyBorder="1" applyFont="1" applyNumberFormat="1">
      <alignment horizontal="center" vertical="bottom"/>
    </xf>
    <xf borderId="10" fillId="0" fontId="18" numFmtId="0" xfId="0" applyAlignment="1" applyBorder="1" applyFont="1">
      <alignment horizontal="center"/>
    </xf>
    <xf borderId="10" fillId="0" fontId="17" numFmtId="0" xfId="0" applyBorder="1" applyFont="1"/>
    <xf borderId="6" fillId="0" fontId="18" numFmtId="0" xfId="0" applyAlignment="1" applyBorder="1" applyFont="1">
      <alignment horizontal="center"/>
    </xf>
    <xf borderId="11" fillId="0" fontId="17" numFmtId="0" xfId="0" applyBorder="1" applyFont="1"/>
    <xf borderId="10" fillId="0" fontId="17" numFmtId="170" xfId="0" applyBorder="1" applyFont="1" applyNumberFormat="1"/>
    <xf borderId="6" fillId="0" fontId="17" numFmtId="170" xfId="0" applyBorder="1" applyFont="1" applyNumberFormat="1"/>
    <xf borderId="0" fillId="0" fontId="18" numFmtId="0" xfId="0" applyAlignment="1" applyFont="1">
      <alignment horizontal="center" vertical="center"/>
    </xf>
    <xf borderId="7" fillId="0" fontId="19" numFmtId="0" xfId="0" applyAlignment="1" applyBorder="1" applyFont="1">
      <alignment horizontal="center"/>
    </xf>
    <xf borderId="8" fillId="0" fontId="7" numFmtId="170" xfId="0" applyAlignment="1" applyBorder="1" applyFont="1" applyNumberFormat="1">
      <alignment horizontal="center"/>
    </xf>
    <xf borderId="9" fillId="0" fontId="7" numFmtId="170" xfId="0" applyAlignment="1" applyBorder="1" applyFont="1" applyNumberFormat="1">
      <alignment horizontal="center"/>
    </xf>
    <xf borderId="12" fillId="0" fontId="19" numFmtId="0" xfId="0" applyAlignment="1" applyBorder="1" applyFont="1">
      <alignment horizontal="center"/>
    </xf>
    <xf borderId="0" fillId="0" fontId="7" numFmtId="170" xfId="0" applyAlignment="1" applyFont="1" applyNumberFormat="1">
      <alignment horizontal="center" vertical="bottom"/>
    </xf>
    <xf borderId="13" fillId="0" fontId="7" numFmtId="170" xfId="0" applyAlignment="1" applyBorder="1" applyFont="1" applyNumberFormat="1">
      <alignment horizontal="center" vertical="bottom"/>
    </xf>
    <xf borderId="0" fillId="0" fontId="17" numFmtId="0" xfId="0" applyAlignment="1" applyFont="1">
      <alignment vertical="bottom"/>
    </xf>
    <xf borderId="0" fillId="0" fontId="7" numFmtId="170" xfId="0" applyAlignment="1" applyFont="1" applyNumberFormat="1">
      <alignment horizontal="center"/>
    </xf>
    <xf borderId="13" fillId="0" fontId="7" numFmtId="170" xfId="0" applyAlignment="1" applyBorder="1" applyFont="1" applyNumberFormat="1">
      <alignment horizontal="center"/>
    </xf>
    <xf borderId="10" fillId="0" fontId="5" numFmtId="0" xfId="0" applyBorder="1" applyFont="1"/>
    <xf borderId="10" fillId="0" fontId="19" numFmtId="0" xfId="0" applyAlignment="1" applyBorder="1" applyFont="1">
      <alignment horizontal="center"/>
    </xf>
    <xf borderId="0" fillId="0" fontId="19" numFmtId="0" xfId="0" applyFont="1"/>
    <xf borderId="0" fillId="0" fontId="17" numFmtId="0" xfId="0" applyAlignment="1" applyFont="1">
      <alignment horizontal="center" vertical="center"/>
    </xf>
    <xf borderId="6" fillId="0" fontId="19" numFmtId="0" xfId="0" applyAlignment="1" applyBorder="1" applyFont="1">
      <alignment horizontal="center"/>
    </xf>
    <xf borderId="13" fillId="0" fontId="19" numFmtId="0" xfId="0" applyAlignment="1" applyBorder="1" applyFont="1">
      <alignment horizontal="center"/>
    </xf>
    <xf borderId="0" fillId="0" fontId="18" numFmtId="170" xfId="0" applyAlignment="1" applyFont="1" applyNumberFormat="1">
      <alignment horizontal="center" readingOrder="0"/>
    </xf>
    <xf borderId="13" fillId="0" fontId="18" numFmtId="170" xfId="0" applyAlignment="1" applyBorder="1" applyFont="1" applyNumberFormat="1">
      <alignment horizontal="center"/>
    </xf>
    <xf borderId="0" fillId="0" fontId="19" numFmtId="0" xfId="0" applyAlignment="1" applyFont="1">
      <alignment horizontal="center" shrinkToFit="0" wrapText="0"/>
    </xf>
    <xf borderId="10" fillId="0" fontId="18" numFmtId="170" xfId="0" applyAlignment="1" applyBorder="1" applyFont="1" applyNumberFormat="1">
      <alignment horizontal="center" readingOrder="0"/>
    </xf>
    <xf borderId="6" fillId="0" fontId="18" numFmtId="170" xfId="0" applyAlignment="1" applyBorder="1" applyFont="1" applyNumberFormat="1">
      <alignment horizontal="center"/>
    </xf>
    <xf borderId="12" fillId="0" fontId="17" numFmtId="0" xfId="0" applyAlignment="1" applyBorder="1" applyFont="1">
      <alignment horizontal="center" vertical="center"/>
    </xf>
    <xf borderId="0" fillId="0" fontId="19" numFmtId="170" xfId="0" applyAlignment="1" applyFont="1" applyNumberFormat="1">
      <alignment horizontal="center"/>
    </xf>
    <xf borderId="0" fillId="0" fontId="7" numFmtId="171" xfId="0" applyAlignment="1" applyFont="1" applyNumberFormat="1">
      <alignment horizontal="center"/>
    </xf>
    <xf borderId="13" fillId="0" fontId="7" numFmtId="171" xfId="0" applyAlignment="1" applyBorder="1" applyFont="1" applyNumberFormat="1">
      <alignment horizontal="center"/>
    </xf>
    <xf borderId="0" fillId="0" fontId="19" numFmtId="0" xfId="0" applyAlignment="1" applyFont="1">
      <alignment horizontal="left"/>
    </xf>
    <xf borderId="8" fillId="0" fontId="19" numFmtId="0" xfId="0" applyAlignment="1" applyBorder="1" applyFont="1">
      <alignment horizontal="center"/>
    </xf>
    <xf borderId="0" fillId="0" fontId="7" numFmtId="0" xfId="0" applyFont="1"/>
    <xf borderId="0" fillId="0" fontId="18" numFmtId="170" xfId="0" applyAlignment="1" applyFont="1" applyNumberFormat="1">
      <alignment horizontal="center"/>
    </xf>
    <xf borderId="0" fillId="0" fontId="19" numFmtId="170" xfId="0" applyAlignment="1" applyFont="1" applyNumberFormat="1">
      <alignment horizontal="left"/>
    </xf>
    <xf borderId="0" fillId="0" fontId="17" numFmtId="0" xfId="0" applyAlignment="1" applyFont="1">
      <alignment readingOrder="0"/>
    </xf>
    <xf borderId="13" fillId="0" fontId="19" numFmtId="0" xfId="0" applyAlignment="1" applyBorder="1" applyFont="1">
      <alignment horizontal="center" readingOrder="0"/>
    </xf>
    <xf borderId="14" fillId="0" fontId="17" numFmtId="0" xfId="0" applyAlignment="1" applyBorder="1" applyFont="1">
      <alignment horizontal="center" vertical="center"/>
    </xf>
    <xf borderId="5" fillId="0" fontId="20" numFmtId="167" xfId="0" applyAlignment="1" applyBorder="1" applyFont="1" applyNumberFormat="1">
      <alignment horizontal="center"/>
    </xf>
    <xf borderId="8" fillId="0" fontId="7" numFmtId="171" xfId="0" applyAlignment="1" applyBorder="1" applyFont="1" applyNumberFormat="1">
      <alignment horizontal="center"/>
    </xf>
    <xf borderId="8" fillId="0" fontId="19" numFmtId="0" xfId="0" applyAlignment="1" applyBorder="1" applyFont="1">
      <alignment horizontal="left"/>
    </xf>
    <xf borderId="9" fillId="0" fontId="19" numFmtId="0" xfId="0" applyAlignment="1" applyBorder="1" applyFont="1">
      <alignment horizontal="center" readingOrder="0"/>
    </xf>
    <xf borderId="9" fillId="0" fontId="7" numFmtId="171" xfId="0" applyAlignment="1" applyBorder="1" applyFont="1" applyNumberFormat="1">
      <alignment horizontal="center"/>
    </xf>
    <xf borderId="8" fillId="0" fontId="18" numFmtId="170" xfId="0" applyAlignment="1" applyBorder="1" applyFont="1" applyNumberFormat="1">
      <alignment horizontal="center"/>
    </xf>
    <xf borderId="8" fillId="0" fontId="19" numFmtId="170" xfId="0" applyAlignment="1" applyBorder="1" applyFont="1" applyNumberFormat="1">
      <alignment horizontal="left"/>
    </xf>
    <xf borderId="9" fillId="0" fontId="18" numFmtId="170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4" fillId="0" fontId="5" numFmtId="0" xfId="0" applyBorder="1" applyFont="1"/>
    <xf borderId="15" fillId="0" fontId="5" numFmtId="0" xfId="0" applyBorder="1" applyFont="1"/>
    <xf borderId="14" fillId="0" fontId="17" numFmtId="0" xfId="0" applyAlignment="1" applyBorder="1" applyFont="1">
      <alignment horizontal="center" readingOrder="0" vertical="center"/>
    </xf>
    <xf borderId="5" fillId="0" fontId="20" numFmtId="167" xfId="0" applyAlignment="1" applyBorder="1" applyFont="1" applyNumberFormat="1">
      <alignment horizontal="center" readingOrder="0"/>
    </xf>
    <xf borderId="13" fillId="0" fontId="7" numFmtId="0" xfId="0" applyAlignment="1" applyBorder="1" applyFont="1">
      <alignment horizontal="center"/>
    </xf>
    <xf borderId="2" fillId="0" fontId="18" numFmtId="0" xfId="0" applyAlignment="1" applyBorder="1" applyFont="1">
      <alignment horizontal="center"/>
    </xf>
    <xf borderId="2" fillId="0" fontId="17" numFmtId="0" xfId="0" applyBorder="1" applyFont="1"/>
    <xf borderId="3" fillId="0" fontId="17" numFmtId="0" xfId="0" applyBorder="1" applyFont="1"/>
    <xf borderId="5" fillId="0" fontId="18" numFmtId="0" xfId="0" applyAlignment="1" applyBorder="1" applyFont="1">
      <alignment horizontal="center"/>
    </xf>
    <xf borderId="1" fillId="0" fontId="17" numFmtId="0" xfId="0" applyBorder="1" applyFont="1"/>
    <xf borderId="3" fillId="0" fontId="19" numFmtId="0" xfId="0" applyAlignment="1" applyBorder="1" applyFont="1">
      <alignment horizontal="left"/>
    </xf>
    <xf borderId="5" fillId="0" fontId="18" numFmtId="170" xfId="0" applyAlignment="1" applyBorder="1" applyFont="1" applyNumberFormat="1">
      <alignment horizontal="center"/>
    </xf>
    <xf borderId="2" fillId="0" fontId="17" numFmtId="170" xfId="0" applyBorder="1" applyFont="1" applyNumberFormat="1"/>
    <xf borderId="3" fillId="0" fontId="17" numFmtId="170" xfId="0" applyBorder="1" applyFont="1" applyNumberFormat="1"/>
    <xf borderId="10" fillId="0" fontId="18" numFmtId="1" xfId="0" applyAlignment="1" applyBorder="1" applyFont="1" applyNumberFormat="1">
      <alignment horizontal="center"/>
    </xf>
    <xf borderId="6" fillId="0" fontId="17" numFmtId="0" xfId="0" applyBorder="1" applyFont="1"/>
    <xf borderId="6" fillId="0" fontId="18" numFmtId="2" xfId="0" applyAlignment="1" applyBorder="1" applyFont="1" applyNumberFormat="1">
      <alignment horizontal="center"/>
    </xf>
    <xf borderId="16" fillId="1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/>
    </xf>
    <xf borderId="7" fillId="0" fontId="21" numFmtId="0" xfId="0" applyAlignment="1" applyBorder="1" applyFont="1">
      <alignment horizontal="center"/>
    </xf>
    <xf borderId="8" fillId="0" fontId="21" numFmtId="0" xfId="0" applyAlignment="1" applyBorder="1" applyFont="1">
      <alignment horizontal="center"/>
    </xf>
    <xf borderId="9" fillId="0" fontId="21" numFmtId="0" xfId="0" applyAlignment="1" applyBorder="1" applyFont="1">
      <alignment horizontal="center"/>
    </xf>
    <xf borderId="1" fillId="0" fontId="21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center" readingOrder="0"/>
    </xf>
    <xf borderId="3" fillId="0" fontId="21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/>
    </xf>
    <xf borderId="5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2" fillId="11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readingOrder="0" shrinkToFit="0" vertical="center" wrapText="1"/>
    </xf>
    <xf borderId="10" fillId="0" fontId="21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12" fillId="0" fontId="20" numFmtId="171" xfId="0" applyAlignment="1" applyBorder="1" applyFont="1" applyNumberFormat="1">
      <alignment horizontal="center"/>
    </xf>
    <xf borderId="13" fillId="0" fontId="20" numFmtId="171" xfId="0" applyAlignment="1" applyBorder="1" applyFont="1" applyNumberFormat="1">
      <alignment horizontal="center"/>
    </xf>
    <xf borderId="0" fillId="0" fontId="20" numFmtId="171" xfId="0" applyAlignment="1" applyFont="1" applyNumberFormat="1">
      <alignment horizontal="center"/>
    </xf>
    <xf borderId="4" fillId="0" fontId="20" numFmtId="171" xfId="0" applyAlignment="1" applyBorder="1" applyFont="1" applyNumberFormat="1">
      <alignment horizontal="center"/>
    </xf>
    <xf borderId="13" fillId="0" fontId="20" numFmtId="171" xfId="0" applyAlignment="1" applyBorder="1" applyFont="1" applyNumberFormat="1">
      <alignment horizontal="center" readingOrder="0"/>
    </xf>
    <xf borderId="13" fillId="0" fontId="20" numFmtId="171" xfId="0" applyAlignment="1" applyBorder="1" applyFont="1" applyNumberFormat="1">
      <alignment horizontal="right"/>
    </xf>
    <xf borderId="8" fillId="0" fontId="22" numFmtId="0" xfId="0" applyAlignment="1" applyBorder="1" applyFont="1">
      <alignment horizontal="center" vertical="center"/>
    </xf>
    <xf borderId="8" fillId="0" fontId="20" numFmtId="170" xfId="0" applyAlignment="1" applyBorder="1" applyFont="1" applyNumberFormat="1">
      <alignment horizontal="center" vertical="center"/>
    </xf>
    <xf borderId="14" fillId="0" fontId="22" numFmtId="0" xfId="0" applyAlignment="1" applyBorder="1" applyFont="1">
      <alignment horizontal="center"/>
    </xf>
    <xf borderId="0" fillId="0" fontId="20" numFmtId="167" xfId="0" applyAlignment="1" applyFont="1" applyNumberFormat="1">
      <alignment horizontal="center"/>
    </xf>
    <xf borderId="0" fillId="0" fontId="20" numFmtId="170" xfId="0" applyAlignment="1" applyFont="1" applyNumberFormat="1">
      <alignment horizontal="center" vertical="center"/>
    </xf>
    <xf borderId="4" fillId="0" fontId="22" numFmtId="0" xfId="0" applyAlignment="1" applyBorder="1" applyFont="1">
      <alignment horizontal="center"/>
    </xf>
    <xf borderId="10" fillId="0" fontId="20" numFmtId="171" xfId="0" applyAlignment="1" applyBorder="1" applyFont="1" applyNumberFormat="1">
      <alignment horizontal="center"/>
    </xf>
    <xf borderId="6" fillId="0" fontId="20" numFmtId="171" xfId="0" applyAlignment="1" applyBorder="1" applyFont="1" applyNumberFormat="1">
      <alignment horizontal="right"/>
    </xf>
    <xf borderId="10" fillId="0" fontId="22" numFmtId="0" xfId="0" applyAlignment="1" applyBorder="1" applyFont="1">
      <alignment horizontal="center" vertical="center"/>
    </xf>
    <xf borderId="10" fillId="0" fontId="20" numFmtId="170" xfId="0" applyAlignment="1" applyBorder="1" applyFont="1" applyNumberFormat="1">
      <alignment horizontal="center" vertical="center"/>
    </xf>
    <xf borderId="15" fillId="0" fontId="22" numFmtId="0" xfId="0" applyAlignment="1" applyBorder="1" applyFont="1">
      <alignment horizontal="center"/>
    </xf>
    <xf borderId="7" fillId="0" fontId="20" numFmtId="0" xfId="0" applyAlignment="1" applyBorder="1" applyFont="1">
      <alignment horizontal="center" vertical="center"/>
    </xf>
    <xf borderId="8" fillId="0" fontId="20" numFmtId="167" xfId="0" applyAlignment="1" applyBorder="1" applyFont="1" applyNumberFormat="1">
      <alignment horizontal="center"/>
    </xf>
    <xf borderId="7" fillId="0" fontId="20" numFmtId="171" xfId="0" applyAlignment="1" applyBorder="1" applyFont="1" applyNumberFormat="1">
      <alignment horizontal="center"/>
    </xf>
    <xf borderId="9" fillId="0" fontId="20" numFmtId="171" xfId="0" applyAlignment="1" applyBorder="1" applyFont="1" applyNumberFormat="1">
      <alignment horizontal="center"/>
    </xf>
    <xf borderId="8" fillId="0" fontId="20" numFmtId="171" xfId="0" applyAlignment="1" applyBorder="1" applyFont="1" applyNumberFormat="1">
      <alignment horizontal="center"/>
    </xf>
    <xf borderId="14" fillId="0" fontId="20" numFmtId="171" xfId="0" applyAlignment="1" applyBorder="1" applyFont="1" applyNumberFormat="1">
      <alignment horizontal="center"/>
    </xf>
    <xf borderId="9" fillId="0" fontId="20" numFmtId="171" xfId="0" applyAlignment="1" applyBorder="1" applyFont="1" applyNumberFormat="1">
      <alignment horizontal="center" readingOrder="0"/>
    </xf>
    <xf borderId="14" fillId="0" fontId="20" numFmtId="171" xfId="0" applyAlignment="1" applyBorder="1" applyFont="1" applyNumberFormat="1">
      <alignment horizontal="right"/>
    </xf>
    <xf borderId="9" fillId="0" fontId="20" numFmtId="171" xfId="0" applyAlignment="1" applyBorder="1" applyFont="1" applyNumberFormat="1">
      <alignment horizontal="right"/>
    </xf>
    <xf borderId="4" fillId="0" fontId="20" numFmtId="171" xfId="0" applyAlignment="1" applyBorder="1" applyFont="1" applyNumberFormat="1">
      <alignment horizontal="right"/>
    </xf>
    <xf borderId="0" fillId="0" fontId="22" numFmtId="0" xfId="0" applyAlignment="1" applyFont="1">
      <alignment horizontal="center" readingOrder="0" vertical="center"/>
    </xf>
    <xf borderId="0" fillId="0" fontId="20" numFmtId="170" xfId="0" applyAlignment="1" applyFont="1" applyNumberFormat="1">
      <alignment horizontal="center"/>
    </xf>
    <xf borderId="4" fillId="0" fontId="22" numFmtId="0" xfId="0" applyAlignment="1" applyBorder="1" applyFont="1">
      <alignment horizontal="left"/>
    </xf>
    <xf borderId="10" fillId="0" fontId="20" numFmtId="167" xfId="0" applyAlignment="1" applyBorder="1" applyFont="1" applyNumberFormat="1">
      <alignment horizontal="center"/>
    </xf>
    <xf borderId="11" fillId="0" fontId="20" numFmtId="171" xfId="0" applyAlignment="1" applyBorder="1" applyFont="1" applyNumberFormat="1">
      <alignment horizontal="center"/>
    </xf>
    <xf borderId="6" fillId="0" fontId="20" numFmtId="171" xfId="0" applyAlignment="1" applyBorder="1" applyFont="1" applyNumberFormat="1">
      <alignment horizontal="center"/>
    </xf>
    <xf borderId="15" fillId="0" fontId="20" numFmtId="171" xfId="0" applyAlignment="1" applyBorder="1" applyFont="1" applyNumberFormat="1">
      <alignment horizontal="center"/>
    </xf>
    <xf borderId="15" fillId="0" fontId="20" numFmtId="171" xfId="0" applyAlignment="1" applyBorder="1" applyFont="1" applyNumberFormat="1">
      <alignment horizontal="right"/>
    </xf>
    <xf borderId="15" fillId="0" fontId="22" numFmtId="0" xfId="0" applyAlignment="1" applyBorder="1" applyFont="1">
      <alignment horizontal="left"/>
    </xf>
    <xf borderId="0" fillId="0" fontId="20" numFmtId="0" xfId="0" applyAlignment="1" applyFont="1">
      <alignment horizontal="center" vertical="center"/>
    </xf>
    <xf borderId="4" fillId="0" fontId="22" numFmtId="0" xfId="0" applyBorder="1" applyFont="1"/>
    <xf borderId="6" fillId="0" fontId="20" numFmtId="171" xfId="0" applyAlignment="1" applyBorder="1" applyFont="1" applyNumberFormat="1">
      <alignment horizontal="center" readingOrder="0"/>
    </xf>
    <xf borderId="14" fillId="0" fontId="22" numFmtId="0" xfId="0" applyAlignment="1" applyBorder="1" applyFont="1">
      <alignment horizontal="left"/>
    </xf>
    <xf borderId="4" fillId="0" fontId="22" numFmtId="0" xfId="0" applyAlignment="1" applyBorder="1" applyFont="1">
      <alignment horizontal="left" shrinkToFit="0" wrapText="1"/>
    </xf>
    <xf borderId="8" fillId="0" fontId="17" numFmtId="0" xfId="0" applyAlignment="1" applyBorder="1" applyFont="1">
      <alignment horizontal="center" vertical="center"/>
    </xf>
    <xf borderId="0" fillId="0" fontId="23" numFmtId="171" xfId="0" applyFont="1" applyNumberFormat="1"/>
    <xf borderId="14" fillId="0" fontId="22" numFmtId="0" xfId="0" applyAlignment="1" applyBorder="1" applyFont="1">
      <alignment horizontal="left" readingOrder="0"/>
    </xf>
    <xf borderId="0" fillId="0" fontId="7" numFmtId="171" xfId="0" applyAlignment="1" applyFont="1" applyNumberFormat="1">
      <alignment horizontal="center"/>
    </xf>
    <xf borderId="13" fillId="0" fontId="7" numFmtId="171" xfId="0" applyAlignment="1" applyBorder="1" applyFont="1" applyNumberFormat="1">
      <alignment horizontal="center"/>
    </xf>
    <xf borderId="12" fillId="0" fontId="7" numFmtId="171" xfId="0" applyAlignment="1" applyBorder="1" applyFont="1" applyNumberFormat="1">
      <alignment horizontal="center"/>
    </xf>
    <xf borderId="4" fillId="0" fontId="7" numFmtId="171" xfId="0" applyAlignment="1" applyBorder="1" applyFont="1" applyNumberFormat="1">
      <alignment horizontal="center"/>
    </xf>
    <xf borderId="0" fillId="0" fontId="20" numFmtId="171" xfId="0" applyAlignment="1" applyFont="1" applyNumberFormat="1">
      <alignment horizontal="center" readingOrder="0"/>
    </xf>
    <xf borderId="4" fillId="0" fontId="7" numFmtId="171" xfId="0" applyAlignment="1" applyBorder="1" applyFont="1" applyNumberFormat="1">
      <alignment horizontal="center" readingOrder="0"/>
    </xf>
    <xf borderId="7" fillId="0" fontId="7" numFmtId="171" xfId="0" applyAlignment="1" applyBorder="1" applyFont="1" applyNumberFormat="1">
      <alignment horizontal="center"/>
    </xf>
    <xf borderId="9" fillId="0" fontId="7" numFmtId="171" xfId="0" applyAlignment="1" applyBorder="1" applyFont="1" applyNumberFormat="1">
      <alignment horizontal="center"/>
    </xf>
    <xf borderId="8" fillId="0" fontId="7" numFmtId="171" xfId="0" applyAlignment="1" applyBorder="1" applyFont="1" applyNumberFormat="1">
      <alignment horizontal="center"/>
    </xf>
    <xf borderId="14" fillId="0" fontId="7" numFmtId="171" xfId="0" applyAlignment="1" applyBorder="1" applyFont="1" applyNumberFormat="1">
      <alignment horizontal="center"/>
    </xf>
    <xf borderId="8" fillId="0" fontId="20" numFmtId="171" xfId="0" applyAlignment="1" applyBorder="1" applyFont="1" applyNumberFormat="1">
      <alignment horizontal="center" readingOrder="0"/>
    </xf>
    <xf borderId="8" fillId="0" fontId="20" numFmtId="171" xfId="0" applyAlignment="1" applyBorder="1" applyFont="1" applyNumberFormat="1">
      <alignment horizontal="right"/>
    </xf>
    <xf borderId="0" fillId="0" fontId="20" numFmtId="171" xfId="0" applyAlignment="1" applyFont="1" applyNumberFormat="1">
      <alignment horizontal="right"/>
    </xf>
    <xf borderId="11" fillId="0" fontId="7" numFmtId="171" xfId="0" applyAlignment="1" applyBorder="1" applyFont="1" applyNumberFormat="1">
      <alignment horizontal="center"/>
    </xf>
    <xf borderId="6" fillId="0" fontId="7" numFmtId="171" xfId="0" applyAlignment="1" applyBorder="1" applyFont="1" applyNumberFormat="1">
      <alignment horizontal="center"/>
    </xf>
    <xf borderId="10" fillId="0" fontId="7" numFmtId="171" xfId="0" applyAlignment="1" applyBorder="1" applyFont="1" applyNumberFormat="1">
      <alignment horizontal="center"/>
    </xf>
    <xf borderId="15" fillId="0" fontId="7" numFmtId="171" xfId="0" applyAlignment="1" applyBorder="1" applyFont="1" applyNumberFormat="1">
      <alignment horizontal="center"/>
    </xf>
    <xf borderId="10" fillId="0" fontId="20" numFmtId="171" xfId="0" applyAlignment="1" applyBorder="1" applyFont="1" applyNumberFormat="1">
      <alignment horizontal="center" readingOrder="0"/>
    </xf>
    <xf borderId="10" fillId="0" fontId="20" numFmtId="171" xfId="0" applyAlignment="1" applyBorder="1" applyFont="1" applyNumberFormat="1">
      <alignment horizontal="right"/>
    </xf>
    <xf borderId="12" fillId="0" fontId="20" numFmtId="0" xfId="0" applyAlignment="1" applyBorder="1" applyFont="1">
      <alignment horizontal="center"/>
    </xf>
    <xf borderId="13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4" fillId="0" fontId="20" numFmtId="0" xfId="0" applyAlignment="1" applyBorder="1" applyFont="1">
      <alignment horizontal="center"/>
    </xf>
    <xf borderId="0" fillId="0" fontId="23" numFmtId="0" xfId="0" applyFont="1"/>
    <xf borderId="11" fillId="0" fontId="20" numFmtId="0" xfId="0" applyAlignment="1" applyBorder="1" applyFont="1">
      <alignment horizontal="center"/>
    </xf>
    <xf borderId="6" fillId="0" fontId="20" numFmtId="0" xfId="0" applyAlignment="1" applyBorder="1" applyFont="1">
      <alignment horizontal="center"/>
    </xf>
    <xf borderId="10" fillId="0" fontId="20" numFmtId="0" xfId="0" applyAlignment="1" applyBorder="1" applyFont="1">
      <alignment horizontal="center"/>
    </xf>
    <xf borderId="8" fillId="0" fontId="20" numFmtId="0" xfId="0" applyAlignment="1" applyBorder="1" applyFont="1">
      <alignment horizontal="center"/>
    </xf>
    <xf borderId="9" fillId="0" fontId="20" numFmtId="0" xfId="0" applyAlignment="1" applyBorder="1" applyFont="1">
      <alignment horizontal="center"/>
    </xf>
    <xf borderId="7" fillId="0" fontId="20" numFmtId="0" xfId="0" applyAlignment="1" applyBorder="1" applyFont="1">
      <alignment horizontal="center"/>
    </xf>
    <xf borderId="1" fillId="0" fontId="20" numFmtId="0" xfId="0" applyAlignment="1" applyBorder="1" applyFont="1">
      <alignment horizontal="center"/>
    </xf>
    <xf borderId="2" fillId="0" fontId="20" numFmtId="1" xfId="0" applyAlignment="1" applyBorder="1" applyFont="1" applyNumberFormat="1">
      <alignment horizontal="center" readingOrder="0"/>
    </xf>
    <xf borderId="5" fillId="0" fontId="20" numFmtId="0" xfId="0" applyAlignment="1" applyBorder="1" applyFont="1">
      <alignment horizontal="center"/>
    </xf>
    <xf borderId="3" fillId="0" fontId="20" numFmtId="0" xfId="0" applyAlignment="1" applyBorder="1" applyFont="1">
      <alignment horizontal="center"/>
    </xf>
    <xf borderId="2" fillId="0" fontId="22" numFmtId="0" xfId="0" applyAlignment="1" applyBorder="1" applyFont="1">
      <alignment horizontal="center" vertical="center"/>
    </xf>
    <xf borderId="2" fillId="0" fontId="20" numFmtId="170" xfId="0" applyAlignment="1" applyBorder="1" applyFont="1" applyNumberFormat="1">
      <alignment horizontal="center" vertical="center"/>
    </xf>
    <xf borderId="5" fillId="0" fontId="22" numFmtId="0" xfId="0" applyAlignment="1" applyBorder="1" applyFont="1">
      <alignment horizontal="center"/>
    </xf>
    <xf borderId="2" fillId="0" fontId="20" numFmtId="0" xfId="0" applyAlignment="1" applyBorder="1" applyFont="1">
      <alignment horizontal="center"/>
    </xf>
    <xf borderId="1" fillId="0" fontId="20" numFmtId="1" xfId="0" applyAlignment="1" applyBorder="1" applyFont="1" applyNumberFormat="1">
      <alignment horizontal="center"/>
    </xf>
    <xf borderId="3" fillId="0" fontId="20" numFmtId="1" xfId="0" applyAlignment="1" applyBorder="1" applyFont="1" applyNumberFormat="1">
      <alignment horizontal="center"/>
    </xf>
    <xf borderId="11" fillId="0" fontId="20" numFmtId="1" xfId="0" applyAlignment="1" applyBorder="1" applyFont="1" applyNumberFormat="1">
      <alignment horizontal="center"/>
    </xf>
    <xf borderId="10" fillId="0" fontId="20" numFmtId="1" xfId="0" applyAlignment="1" applyBorder="1" applyFont="1" applyNumberFormat="1">
      <alignment horizontal="center"/>
    </xf>
    <xf borderId="6" fillId="0" fontId="20" numFmtId="1" xfId="0" applyAlignment="1" applyBorder="1" applyFont="1" applyNumberFormat="1">
      <alignment horizontal="center"/>
    </xf>
    <xf borderId="10" fillId="0" fontId="2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/>
    </xf>
    <xf borderId="0" fillId="0" fontId="20" numFmtId="1" xfId="0" applyAlignment="1" applyFont="1" applyNumberFormat="1">
      <alignment horizontal="center" readingOrder="0"/>
    </xf>
    <xf borderId="0" fillId="0" fontId="22" numFmtId="0" xfId="0" applyAlignment="1" applyFont="1">
      <alignment horizontal="left"/>
    </xf>
    <xf borderId="0" fillId="0" fontId="22" numFmtId="0" xfId="0" applyFont="1"/>
    <xf borderId="17" fillId="10" fontId="24" numFmtId="0" xfId="0" applyAlignment="1" applyBorder="1" applyFont="1">
      <alignment horizontal="center" readingOrder="0" vertical="center"/>
    </xf>
    <xf borderId="18" fillId="0" fontId="5" numFmtId="0" xfId="0" applyBorder="1" applyFont="1"/>
    <xf borderId="0" fillId="0" fontId="23" numFmtId="0" xfId="0" applyAlignment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7" fillId="0" fontId="24" numFmtId="0" xfId="0" applyAlignment="1" applyBorder="1" applyFont="1">
      <alignment horizontal="center"/>
    </xf>
    <xf borderId="0" fillId="0" fontId="23" numFmtId="172" xfId="0" applyAlignment="1" applyFont="1" applyNumberFormat="1">
      <alignment horizontal="left" vertical="center"/>
    </xf>
    <xf borderId="7" fillId="0" fontId="24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/>
    </xf>
    <xf borderId="5" fillId="0" fontId="24" numFmtId="0" xfId="0" applyAlignment="1" applyBorder="1" applyFont="1">
      <alignment horizontal="center"/>
    </xf>
    <xf borderId="14" fillId="0" fontId="23" numFmtId="172" xfId="0" applyAlignment="1" applyBorder="1" applyFont="1" applyNumberFormat="1">
      <alignment horizontal="center"/>
    </xf>
    <xf borderId="0" fillId="0" fontId="23" numFmtId="172" xfId="0" applyAlignment="1" applyFont="1" applyNumberFormat="1">
      <alignment horizontal="center"/>
    </xf>
    <xf borderId="14" fillId="0" fontId="23" numFmtId="172" xfId="0" applyAlignment="1" applyBorder="1" applyFont="1" applyNumberFormat="1">
      <alignment horizontal="center" readingOrder="0"/>
    </xf>
    <xf borderId="4" fillId="0" fontId="23" numFmtId="9" xfId="0" applyAlignment="1" applyBorder="1" applyFont="1" applyNumberFormat="1">
      <alignment horizontal="center"/>
    </xf>
    <xf borderId="0" fillId="0" fontId="23" numFmtId="9" xfId="0" applyAlignment="1" applyFont="1" applyNumberFormat="1">
      <alignment horizontal="center"/>
    </xf>
    <xf borderId="4" fillId="0" fontId="23" numFmtId="9" xfId="0" applyAlignment="1" applyBorder="1" applyFont="1" applyNumberFormat="1">
      <alignment horizontal="center" readingOrder="0"/>
    </xf>
    <xf borderId="0" fillId="0" fontId="17" numFmtId="0" xfId="0" applyAlignment="1" applyFont="1">
      <alignment horizontal="center"/>
    </xf>
    <xf borderId="0" fillId="0" fontId="25" numFmtId="0" xfId="0" applyFont="1"/>
    <xf borderId="4" fillId="0" fontId="23" numFmtId="165" xfId="0" applyAlignment="1" applyBorder="1" applyFont="1" applyNumberFormat="1">
      <alignment horizontal="center"/>
    </xf>
    <xf borderId="0" fillId="0" fontId="23" numFmtId="165" xfId="0" applyAlignment="1" applyFont="1" applyNumberFormat="1">
      <alignment horizontal="center"/>
    </xf>
    <xf borderId="4" fillId="0" fontId="23" numFmtId="165" xfId="0" applyAlignment="1" applyBorder="1" applyFont="1" applyNumberFormat="1">
      <alignment horizontal="center" readingOrder="0"/>
    </xf>
    <xf borderId="4" fillId="0" fontId="23" numFmtId="0" xfId="0" applyAlignment="1" applyBorder="1" applyFont="1">
      <alignment horizontal="center" readingOrder="0"/>
    </xf>
    <xf borderId="15" fillId="0" fontId="23" numFmtId="170" xfId="0" applyAlignment="1" applyBorder="1" applyFont="1" applyNumberFormat="1">
      <alignment horizontal="center"/>
    </xf>
    <xf borderId="0" fillId="0" fontId="23" numFmtId="170" xfId="0" applyAlignment="1" applyFont="1" applyNumberFormat="1">
      <alignment horizontal="center"/>
    </xf>
    <xf borderId="15" fillId="0" fontId="23" numFmtId="170" xfId="0" applyAlignment="1" applyBorder="1" applyFont="1" applyNumberFormat="1">
      <alignment horizontal="center" readingOrder="0"/>
    </xf>
    <xf borderId="14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center" vertical="center"/>
    </xf>
    <xf borderId="9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vertical="center"/>
    </xf>
    <xf borderId="8" fillId="0" fontId="23" numFmtId="167" xfId="0" applyAlignment="1" applyBorder="1" applyFont="1" applyNumberFormat="1">
      <alignment horizontal="center"/>
    </xf>
    <xf borderId="14" fillId="0" fontId="17" numFmtId="3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8" fillId="0" fontId="23" numFmtId="3" xfId="0" applyAlignment="1" applyBorder="1" applyFont="1" applyNumberFormat="1">
      <alignment horizontal="center" vertical="center"/>
    </xf>
    <xf borderId="8" fillId="0" fontId="23" numFmtId="3" xfId="0" applyAlignment="1" applyBorder="1" applyFont="1" applyNumberFormat="1">
      <alignment horizontal="center" readingOrder="0" vertical="center"/>
    </xf>
    <xf borderId="9" fillId="0" fontId="23" numFmtId="0" xfId="0" applyAlignment="1" applyBorder="1" applyFont="1">
      <alignment horizontal="left" vertical="center"/>
    </xf>
    <xf borderId="0" fillId="0" fontId="23" numFmtId="167" xfId="0" applyAlignment="1" applyFont="1" applyNumberFormat="1">
      <alignment horizontal="center"/>
    </xf>
    <xf borderId="4" fillId="0" fontId="17" numFmtId="3" xfId="0" applyAlignment="1" applyBorder="1" applyFont="1" applyNumberFormat="1">
      <alignment horizontal="center" vertical="center"/>
    </xf>
    <xf borderId="0" fillId="0" fontId="23" numFmtId="3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13" fillId="0" fontId="23" numFmtId="0" xfId="0" applyAlignment="1" applyBorder="1" applyFont="1">
      <alignment horizontal="center" vertical="center"/>
    </xf>
    <xf borderId="12" fillId="0" fontId="23" numFmtId="172" xfId="0" applyAlignment="1" applyBorder="1" applyFont="1" applyNumberFormat="1">
      <alignment horizontal="center" vertical="center"/>
    </xf>
    <xf borderId="13" fillId="0" fontId="23" numFmtId="0" xfId="0" applyAlignment="1" applyBorder="1" applyFont="1">
      <alignment horizontal="left" vertical="center"/>
    </xf>
    <xf borderId="10" fillId="0" fontId="23" numFmtId="167" xfId="0" applyAlignment="1" applyBorder="1" applyFont="1" applyNumberFormat="1">
      <alignment horizontal="center"/>
    </xf>
    <xf borderId="7" fillId="0" fontId="17" numFmtId="3" xfId="0" applyAlignment="1" applyBorder="1" applyFont="1" applyNumberFormat="1">
      <alignment horizontal="center" vertical="center"/>
    </xf>
    <xf borderId="7" fillId="0" fontId="23" numFmtId="3" xfId="0" applyAlignment="1" applyBorder="1" applyFont="1" applyNumberFormat="1">
      <alignment horizontal="center" vertical="center"/>
    </xf>
    <xf borderId="8" fillId="0" fontId="17" numFmtId="3" xfId="0" applyAlignment="1" applyBorder="1" applyFont="1" applyNumberFormat="1">
      <alignment horizontal="center" vertical="center"/>
    </xf>
    <xf borderId="9" fillId="0" fontId="23" numFmtId="0" xfId="0" applyAlignment="1" applyBorder="1" applyFont="1">
      <alignment horizontal="center" vertical="center"/>
    </xf>
    <xf borderId="0" fillId="0" fontId="23" numFmtId="172" xfId="0" applyAlignment="1" applyFont="1" applyNumberFormat="1">
      <alignment horizontal="center" vertical="center"/>
    </xf>
    <xf borderId="12" fillId="0" fontId="17" numFmtId="3" xfId="0" applyAlignment="1" applyBorder="1" applyFont="1" applyNumberFormat="1">
      <alignment horizontal="center" vertical="center"/>
    </xf>
    <xf borderId="12" fillId="0" fontId="23" numFmtId="3" xfId="0" applyAlignment="1" applyBorder="1" applyFont="1" applyNumberFormat="1">
      <alignment horizontal="center" vertical="center"/>
    </xf>
    <xf borderId="13" fillId="0" fontId="23" numFmtId="0" xfId="0" applyAlignment="1" applyBorder="1" applyFont="1">
      <alignment horizontal="center" readingOrder="0" vertical="center"/>
    </xf>
    <xf borderId="12" fillId="0" fontId="23" numFmtId="3" xfId="0" applyAlignment="1" applyBorder="1" applyFont="1" applyNumberFormat="1">
      <alignment horizontal="center" readingOrder="0" vertical="center"/>
    </xf>
    <xf borderId="0" fillId="0" fontId="23" numFmtId="3" xfId="0" applyAlignment="1" applyFont="1" applyNumberFormat="1">
      <alignment horizontal="center" readingOrder="0" vertical="center"/>
    </xf>
    <xf borderId="0" fillId="0" fontId="17" numFmtId="3" xfId="0" applyAlignment="1" applyFont="1" applyNumberFormat="1">
      <alignment horizontal="center" readingOrder="0" vertical="center"/>
    </xf>
    <xf borderId="11" fillId="0" fontId="17" numFmtId="3" xfId="0" applyAlignment="1" applyBorder="1" applyFont="1" applyNumberFormat="1">
      <alignment horizontal="center" vertical="center"/>
    </xf>
    <xf borderId="11" fillId="0" fontId="23" numFmtId="3" xfId="0" applyAlignment="1" applyBorder="1" applyFont="1" applyNumberFormat="1">
      <alignment horizontal="center" vertical="center"/>
    </xf>
    <xf borderId="10" fillId="0" fontId="23" numFmtId="3" xfId="0" applyAlignment="1" applyBorder="1" applyFont="1" applyNumberFormat="1">
      <alignment horizontal="center" readingOrder="0" vertical="center"/>
    </xf>
    <xf borderId="10" fillId="0" fontId="17" numFmtId="3" xfId="0" applyAlignment="1" applyBorder="1" applyFont="1" applyNumberFormat="1">
      <alignment horizontal="center" readingOrder="0" vertical="center"/>
    </xf>
    <xf borderId="10" fillId="0" fontId="23" numFmtId="3" xfId="0" applyAlignment="1" applyBorder="1" applyFont="1" applyNumberFormat="1">
      <alignment horizontal="center" vertical="center"/>
    </xf>
    <xf borderId="6" fillId="0" fontId="23" numFmtId="0" xfId="0" applyAlignment="1" applyBorder="1" applyFont="1">
      <alignment horizontal="center" vertical="center"/>
    </xf>
    <xf borderId="8" fillId="0" fontId="17" numFmtId="3" xfId="0" applyAlignment="1" applyBorder="1" applyFont="1" applyNumberFormat="1">
      <alignment horizontal="center" readingOrder="0" vertical="center"/>
    </xf>
    <xf borderId="8" fillId="5" fontId="23" numFmtId="167" xfId="0" applyAlignment="1" applyBorder="1" applyFont="1" applyNumberFormat="1">
      <alignment horizontal="center"/>
    </xf>
    <xf borderId="14" fillId="5" fontId="17" numFmtId="3" xfId="0" applyAlignment="1" applyBorder="1" applyFont="1" applyNumberFormat="1">
      <alignment horizontal="center" readingOrder="0" vertical="center"/>
    </xf>
    <xf borderId="8" fillId="5" fontId="23" numFmtId="3" xfId="0" applyAlignment="1" applyBorder="1" applyFont="1" applyNumberFormat="1">
      <alignment horizontal="center" readingOrder="0" vertical="center"/>
    </xf>
    <xf borderId="8" fillId="5" fontId="17" numFmtId="3" xfId="0" applyAlignment="1" applyBorder="1" applyFont="1" applyNumberFormat="1">
      <alignment horizontal="center" readingOrder="0" vertical="center"/>
    </xf>
    <xf borderId="8" fillId="5" fontId="23" numFmtId="3" xfId="0" applyAlignment="1" applyBorder="1" applyFont="1" applyNumberFormat="1">
      <alignment horizontal="center" vertical="center"/>
    </xf>
    <xf borderId="9" fillId="5" fontId="23" numFmtId="0" xfId="0" applyAlignment="1" applyBorder="1" applyFont="1">
      <alignment horizontal="left" readingOrder="0" vertical="center"/>
    </xf>
    <xf borderId="4" fillId="0" fontId="17" numFmtId="3" xfId="0" applyAlignment="1" applyBorder="1" applyFont="1" applyNumberFormat="1">
      <alignment horizontal="center" readingOrder="0" vertical="center"/>
    </xf>
    <xf borderId="21" fillId="0" fontId="26" numFmtId="3" xfId="0" applyAlignment="1" applyBorder="1" applyFont="1" applyNumberFormat="1">
      <alignment horizontal="center" vertical="bottom"/>
    </xf>
    <xf borderId="22" fillId="0" fontId="26" numFmtId="3" xfId="0" applyAlignment="1" applyBorder="1" applyFont="1" applyNumberFormat="1">
      <alignment horizontal="center" vertical="bottom"/>
    </xf>
    <xf borderId="23" fillId="0" fontId="26" numFmtId="3" xfId="0" applyAlignment="1" applyBorder="1" applyFont="1" applyNumberFormat="1">
      <alignment horizontal="center" vertical="bottom"/>
    </xf>
    <xf borderId="24" fillId="0" fontId="26" numFmtId="3" xfId="0" applyAlignment="1" applyBorder="1" applyFont="1" applyNumberFormat="1">
      <alignment horizontal="center" vertical="bottom"/>
    </xf>
    <xf borderId="15" fillId="0" fontId="17" numFmtId="3" xfId="0" applyAlignment="1" applyBorder="1" applyFont="1" applyNumberFormat="1">
      <alignment horizontal="center" vertical="center"/>
    </xf>
    <xf borderId="25" fillId="0" fontId="26" numFmtId="3" xfId="0" applyAlignment="1" applyBorder="1" applyFont="1" applyNumberFormat="1">
      <alignment horizontal="center" vertical="bottom"/>
    </xf>
    <xf borderId="26" fillId="0" fontId="26" numFmtId="3" xfId="0" applyAlignment="1" applyBorder="1" applyFont="1" applyNumberFormat="1">
      <alignment horizontal="center" vertical="bottom"/>
    </xf>
    <xf borderId="27" fillId="0" fontId="26" numFmtId="3" xfId="0" applyAlignment="1" applyBorder="1" applyFont="1" applyNumberFormat="1">
      <alignment horizontal="center" vertical="bottom"/>
    </xf>
    <xf borderId="28" fillId="0" fontId="26" numFmtId="3" xfId="0" applyAlignment="1" applyBorder="1" applyFont="1" applyNumberFormat="1">
      <alignment horizontal="center" vertical="bottom"/>
    </xf>
    <xf borderId="29" fillId="0" fontId="26" numFmtId="3" xfId="0" applyAlignment="1" applyBorder="1" applyFont="1" applyNumberFormat="1">
      <alignment horizontal="center" vertical="bottom"/>
    </xf>
    <xf borderId="30" fillId="0" fontId="26" numFmtId="3" xfId="0" applyAlignment="1" applyBorder="1" applyFont="1" applyNumberFormat="1">
      <alignment horizontal="center" vertical="bottom"/>
    </xf>
    <xf borderId="2" fillId="0" fontId="23" numFmtId="167" xfId="0" applyAlignment="1" applyBorder="1" applyFont="1" applyNumberFormat="1">
      <alignment horizontal="center"/>
    </xf>
    <xf borderId="24" fillId="0" fontId="26" numFmtId="0" xfId="0" applyAlignment="1" applyBorder="1" applyFont="1">
      <alignment horizontal="center" vertical="bottom"/>
    </xf>
    <xf borderId="24" fillId="0" fontId="26" numFmtId="0" xfId="0" applyAlignment="1" applyBorder="1" applyFont="1">
      <alignment horizontal="center" vertical="bottom"/>
    </xf>
    <xf borderId="16" fillId="1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readingOrder="0"/>
    </xf>
    <xf borderId="7" fillId="0" fontId="21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/>
    </xf>
    <xf borderId="0" fillId="0" fontId="21" numFmtId="0" xfId="0" applyAlignment="1" applyFont="1">
      <alignment horizontal="center" vertical="center"/>
    </xf>
    <xf borderId="14" fillId="0" fontId="21" numFmtId="0" xfId="0" applyAlignment="1" applyBorder="1" applyFont="1">
      <alignment horizontal="center" readingOrder="0" vertical="center"/>
    </xf>
    <xf borderId="7" fillId="0" fontId="27" numFmtId="171" xfId="0" applyAlignment="1" applyBorder="1" applyFont="1" applyNumberFormat="1">
      <alignment horizontal="center" readingOrder="0"/>
    </xf>
    <xf borderId="8" fillId="0" fontId="27" numFmtId="171" xfId="0" applyAlignment="1" applyBorder="1" applyFont="1" applyNumberFormat="1">
      <alignment horizontal="center" readingOrder="0"/>
    </xf>
    <xf borderId="9" fillId="0" fontId="27" numFmtId="171" xfId="0" applyAlignment="1" applyBorder="1" applyFont="1" applyNumberFormat="1">
      <alignment horizontal="center" readingOrder="0"/>
    </xf>
    <xf borderId="7" fillId="0" fontId="20" numFmtId="171" xfId="0" applyAlignment="1" applyBorder="1" applyFont="1" applyNumberFormat="1">
      <alignment horizontal="center" readingOrder="0"/>
    </xf>
    <xf borderId="8" fillId="0" fontId="20" numFmtId="171" xfId="0" applyAlignment="1" applyBorder="1" applyFont="1" applyNumberFormat="1">
      <alignment horizontal="center" readingOrder="0"/>
    </xf>
    <xf borderId="9" fillId="0" fontId="22" numFmtId="0" xfId="0" applyAlignment="1" applyBorder="1" applyFont="1">
      <alignment horizontal="center"/>
    </xf>
    <xf borderId="12" fillId="0" fontId="27" numFmtId="171" xfId="0" applyAlignment="1" applyBorder="1" applyFont="1" applyNumberFormat="1">
      <alignment horizontal="center" readingOrder="0"/>
    </xf>
    <xf borderId="0" fillId="0" fontId="27" numFmtId="171" xfId="0" applyAlignment="1" applyFont="1" applyNumberFormat="1">
      <alignment horizontal="center" readingOrder="0"/>
    </xf>
    <xf borderId="13" fillId="0" fontId="27" numFmtId="171" xfId="0" applyAlignment="1" applyBorder="1" applyFont="1" applyNumberFormat="1">
      <alignment horizontal="center" readingOrder="0"/>
    </xf>
    <xf borderId="13" fillId="0" fontId="22" numFmtId="0" xfId="0" applyAlignment="1" applyBorder="1" applyFont="1">
      <alignment horizontal="center"/>
    </xf>
    <xf borderId="6" fillId="0" fontId="22" numFmtId="0" xfId="0" applyAlignment="1" applyBorder="1" applyFont="1">
      <alignment horizontal="center"/>
    </xf>
    <xf borderId="13" fillId="0" fontId="22" numFmtId="0" xfId="0" applyAlignment="1" applyBorder="1" applyFont="1">
      <alignment horizontal="left"/>
    </xf>
    <xf borderId="11" fillId="0" fontId="27" numFmtId="171" xfId="0" applyAlignment="1" applyBorder="1" applyFont="1" applyNumberFormat="1">
      <alignment horizontal="center" readingOrder="0"/>
    </xf>
    <xf borderId="10" fillId="0" fontId="27" numFmtId="171" xfId="0" applyAlignment="1" applyBorder="1" applyFont="1" applyNumberFormat="1">
      <alignment horizontal="center" readingOrder="0"/>
    </xf>
    <xf borderId="6" fillId="0" fontId="27" numFmtId="171" xfId="0" applyAlignment="1" applyBorder="1" applyFont="1" applyNumberFormat="1">
      <alignment horizontal="center" readingOrder="0"/>
    </xf>
    <xf borderId="6" fillId="0" fontId="22" numFmtId="0" xfId="0" applyAlignment="1" applyBorder="1" applyFont="1">
      <alignment horizontal="left"/>
    </xf>
    <xf borderId="13" fillId="0" fontId="22" numFmtId="0" xfId="0" applyBorder="1" applyFont="1"/>
    <xf borderId="9" fillId="0" fontId="22" numFmtId="0" xfId="0" applyAlignment="1" applyBorder="1" applyFont="1">
      <alignment horizontal="left"/>
    </xf>
    <xf borderId="13" fillId="0" fontId="22" numFmtId="0" xfId="0" applyAlignment="1" applyBorder="1" applyFont="1">
      <alignment horizontal="left" shrinkToFit="0" wrapText="1"/>
    </xf>
    <xf borderId="0" fillId="0" fontId="27" numFmtId="171" xfId="0" applyAlignment="1" applyFont="1" applyNumberFormat="1">
      <alignment horizontal="center" readingOrder="0"/>
    </xf>
    <xf borderId="12" fillId="0" fontId="20" numFmtId="171" xfId="0" applyAlignment="1" applyBorder="1" applyFont="1" applyNumberFormat="1">
      <alignment horizontal="center"/>
    </xf>
    <xf borderId="13" fillId="0" fontId="20" numFmtId="171" xfId="0" applyAlignment="1" applyBorder="1" applyFont="1" applyNumberFormat="1">
      <alignment horizontal="center"/>
    </xf>
    <xf borderId="12" fillId="0" fontId="20" numFmtId="171" xfId="0" applyAlignment="1" applyBorder="1" applyFont="1" applyNumberFormat="1">
      <alignment horizontal="center" readingOrder="0"/>
    </xf>
    <xf borderId="1" fillId="0" fontId="20" numFmtId="167" xfId="0" applyAlignment="1" applyBorder="1" applyFont="1" applyNumberFormat="1">
      <alignment horizontal="center"/>
    </xf>
    <xf borderId="4" fillId="0" fontId="22" numFmtId="0" xfId="0" applyAlignment="1" applyBorder="1" applyFont="1">
      <alignment horizontal="left" readingOrder="0"/>
    </xf>
    <xf borderId="11" fillId="0" fontId="20" numFmtId="171" xfId="0" applyAlignment="1" applyBorder="1" applyFont="1" applyNumberFormat="1">
      <alignment horizontal="center" readingOrder="0"/>
    </xf>
    <xf borderId="8" fillId="0" fontId="20" numFmtId="171" xfId="0" applyAlignment="1" applyBorder="1" applyFont="1" applyNumberFormat="1">
      <alignment horizontal="center"/>
    </xf>
    <xf borderId="7" fillId="0" fontId="27" numFmtId="171" xfId="0" applyAlignment="1" applyBorder="1" applyFont="1" applyNumberFormat="1">
      <alignment horizontal="center" readingOrder="0"/>
    </xf>
    <xf borderId="12" fillId="0" fontId="20" numFmtId="0" xfId="0" applyAlignment="1" applyBorder="1" applyFont="1">
      <alignment horizontal="center" readingOrder="0"/>
    </xf>
    <xf borderId="0" fillId="0" fontId="20" numFmtId="171" xfId="0" applyAlignment="1" applyFont="1" applyNumberFormat="1">
      <alignment horizontal="center"/>
    </xf>
    <xf borderId="12" fillId="0" fontId="27" numFmtId="171" xfId="0" applyAlignment="1" applyBorder="1" applyFont="1" applyNumberFormat="1">
      <alignment horizontal="center" readingOrder="0"/>
    </xf>
    <xf borderId="11" fillId="0" fontId="20" numFmtId="0" xfId="0" applyAlignment="1" applyBorder="1" applyFont="1">
      <alignment horizontal="center" readingOrder="0"/>
    </xf>
    <xf borderId="10" fillId="0" fontId="20" numFmtId="171" xfId="0" applyAlignment="1" applyBorder="1" applyFont="1" applyNumberFormat="1">
      <alignment horizontal="center"/>
    </xf>
    <xf borderId="11" fillId="0" fontId="27" numFmtId="171" xfId="0" applyAlignment="1" applyBorder="1" applyFont="1" applyNumberFormat="1">
      <alignment horizontal="center" readingOrder="0"/>
    </xf>
    <xf borderId="12" fillId="0" fontId="20" numFmtId="1" xfId="0" applyAlignment="1" applyBorder="1" applyFont="1" applyNumberFormat="1">
      <alignment horizontal="center" readingOrder="0"/>
    </xf>
    <xf borderId="12" fillId="0" fontId="22" numFmtId="0" xfId="0" applyAlignment="1" applyBorder="1" applyFont="1">
      <alignment horizontal="left"/>
    </xf>
    <xf borderId="11" fillId="0" fontId="20" numFmtId="1" xfId="0" applyAlignment="1" applyBorder="1" applyFont="1" applyNumberFormat="1">
      <alignment horizontal="center" readingOrder="0"/>
    </xf>
    <xf borderId="10" fillId="0" fontId="22" numFmtId="0" xfId="0" applyAlignment="1" applyBorder="1" applyFont="1">
      <alignment horizontal="left"/>
    </xf>
    <xf borderId="11" fillId="0" fontId="22" numFmtId="0" xfId="0" applyAlignment="1" applyBorder="1" applyFont="1">
      <alignment horizontal="left"/>
    </xf>
    <xf borderId="1" fillId="0" fontId="20" numFmtId="1" xfId="0" applyAlignment="1" applyBorder="1" applyFont="1" applyNumberFormat="1">
      <alignment horizontal="center" readingOrder="0"/>
    </xf>
    <xf borderId="3" fillId="0" fontId="20" numFmtId="1" xfId="0" applyAlignment="1" applyBorder="1" applyFont="1" applyNumberFormat="1">
      <alignment horizontal="center" readingOrder="0"/>
    </xf>
    <xf borderId="2" fillId="0" fontId="22" numFmtId="0" xfId="0" applyAlignment="1" applyBorder="1" applyFont="1">
      <alignment horizontal="center"/>
    </xf>
    <xf borderId="7" fillId="12" fontId="22" numFmtId="0" xfId="0" applyAlignment="1" applyBorder="1" applyFill="1" applyFont="1">
      <alignment horizontal="center" vertical="center"/>
    </xf>
    <xf borderId="1" fillId="0" fontId="28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14" fillId="0" fontId="28" numFmtId="0" xfId="0" applyAlignment="1" applyBorder="1" applyFont="1">
      <alignment horizontal="center" readingOrder="0" vertical="center"/>
    </xf>
    <xf borderId="14" fillId="0" fontId="28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/>
    </xf>
    <xf borderId="5" fillId="0" fontId="28" numFmtId="167" xfId="0" applyAlignment="1" applyBorder="1" applyFont="1" applyNumberFormat="1">
      <alignment horizontal="center"/>
    </xf>
    <xf borderId="5" fillId="0" fontId="28" numFmtId="167" xfId="0" applyAlignment="1" applyBorder="1" applyFont="1" applyNumberFormat="1">
      <alignment horizontal="center" readingOrder="0"/>
    </xf>
    <xf borderId="31" fillId="10" fontId="21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29" numFmtId="0" xfId="0" applyAlignment="1" applyFont="1">
      <alignment horizontal="center" readingOrder="0" vertical="center"/>
    </xf>
    <xf borderId="32" fillId="0" fontId="5" numFmtId="0" xfId="0" applyBorder="1" applyFont="1"/>
    <xf borderId="33" fillId="0" fontId="5" numFmtId="0" xfId="0" applyBorder="1" applyFont="1"/>
    <xf borderId="34" fillId="13" fontId="21" numFmtId="0" xfId="0" applyAlignment="1" applyBorder="1" applyFill="1" applyFont="1">
      <alignment horizontal="center" readingOrder="0" vertical="center"/>
    </xf>
    <xf borderId="35" fillId="0" fontId="5" numFmtId="0" xfId="0" applyBorder="1" applyFont="1"/>
    <xf borderId="36" fillId="0" fontId="5" numFmtId="0" xfId="0" applyBorder="1" applyFont="1"/>
    <xf borderId="37" fillId="0" fontId="30" numFmtId="171" xfId="0" applyAlignment="1" applyBorder="1" applyFont="1" applyNumberFormat="1">
      <alignment horizontal="center" readingOrder="0"/>
    </xf>
    <xf borderId="38" fillId="0" fontId="30" numFmtId="3" xfId="0" applyAlignment="1" applyBorder="1" applyFont="1" applyNumberFormat="1">
      <alignment horizontal="center" readingOrder="0"/>
    </xf>
    <xf borderId="39" fillId="0" fontId="30" numFmtId="3" xfId="0" applyAlignment="1" applyBorder="1" applyFont="1" applyNumberFormat="1">
      <alignment horizontal="center" readingOrder="0"/>
    </xf>
    <xf borderId="37" fillId="0" fontId="12" numFmtId="0" xfId="0" applyAlignment="1" applyBorder="1" applyFont="1">
      <alignment horizontal="center" readingOrder="0"/>
    </xf>
    <xf borderId="38" fillId="0" fontId="12" numFmtId="0" xfId="0" applyAlignment="1" applyBorder="1" applyFont="1">
      <alignment horizontal="center" readingOrder="0"/>
    </xf>
    <xf borderId="39" fillId="0" fontId="12" numFmtId="0" xfId="0" applyAlignment="1" applyBorder="1" applyFont="1">
      <alignment horizontal="center" readingOrder="0"/>
    </xf>
    <xf borderId="40" fillId="13" fontId="21" numFmtId="0" xfId="0" applyAlignment="1" applyBorder="1" applyFont="1">
      <alignment horizontal="center" readingOrder="0" vertical="center"/>
    </xf>
    <xf borderId="41" fillId="0" fontId="5" numFmtId="0" xfId="0" applyBorder="1" applyFont="1"/>
    <xf borderId="42" fillId="0" fontId="30" numFmtId="171" xfId="0" applyAlignment="1" applyBorder="1" applyFont="1" applyNumberFormat="1">
      <alignment horizontal="center" readingOrder="0"/>
    </xf>
    <xf borderId="5" fillId="0" fontId="30" numFmtId="3" xfId="0" applyAlignment="1" applyBorder="1" applyFont="1" applyNumberFormat="1">
      <alignment horizontal="center" readingOrder="0"/>
    </xf>
    <xf borderId="43" fillId="0" fontId="30" numFmtId="3" xfId="0" applyAlignment="1" applyBorder="1" applyFont="1" applyNumberFormat="1">
      <alignment horizontal="center" readingOrder="0"/>
    </xf>
    <xf borderId="42" fillId="0" fontId="28" numFmtId="0" xfId="0" applyAlignment="1" applyBorder="1" applyFont="1">
      <alignment horizontal="center" vertical="center"/>
    </xf>
    <xf borderId="5" fillId="0" fontId="28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readingOrder="0" vertical="center"/>
    </xf>
    <xf borderId="43" fillId="0" fontId="29" numFmtId="0" xfId="0" applyAlignment="1" applyBorder="1" applyFont="1">
      <alignment horizontal="center" readingOrder="0" vertical="center"/>
    </xf>
    <xf borderId="44" fillId="12" fontId="22" numFmtId="0" xfId="0" applyAlignment="1" applyBorder="1" applyFont="1">
      <alignment horizontal="center" vertical="center"/>
    </xf>
    <xf borderId="14" fillId="12" fontId="22" numFmtId="0" xfId="0" applyAlignment="1" applyBorder="1" applyFont="1">
      <alignment horizontal="center" vertical="center"/>
    </xf>
    <xf borderId="1" fillId="12" fontId="22" numFmtId="0" xfId="0" applyAlignment="1" applyBorder="1" applyFont="1">
      <alignment horizontal="center" vertical="center"/>
    </xf>
    <xf borderId="42" fillId="0" fontId="31" numFmtId="171" xfId="0" applyAlignment="1" applyBorder="1" applyFont="1" applyNumberFormat="1">
      <alignment horizontal="center" vertical="center"/>
    </xf>
    <xf borderId="5" fillId="0" fontId="31" numFmtId="171" xfId="0" applyAlignment="1" applyBorder="1" applyFont="1" applyNumberFormat="1">
      <alignment horizontal="center" readingOrder="0" vertical="center"/>
    </xf>
    <xf borderId="5" fillId="0" fontId="31" numFmtId="171" xfId="0" applyAlignment="1" applyBorder="1" applyFont="1" applyNumberFormat="1">
      <alignment horizontal="center" vertical="center"/>
    </xf>
    <xf borderId="45" fillId="0" fontId="5" numFmtId="0" xfId="0" applyBorder="1" applyFont="1"/>
    <xf borderId="1" fillId="12" fontId="22" numFmtId="0" xfId="0" applyAlignment="1" applyBorder="1" applyFont="1">
      <alignment horizontal="center" readingOrder="0" vertical="center"/>
    </xf>
    <xf borderId="46" fillId="0" fontId="5" numFmtId="0" xfId="0" applyBorder="1" applyFont="1"/>
    <xf borderId="5" fillId="12" fontId="22" numFmtId="0" xfId="0" applyAlignment="1" applyBorder="1" applyFont="1">
      <alignment horizontal="center" vertical="center"/>
    </xf>
    <xf borderId="47" fillId="12" fontId="21" numFmtId="0" xfId="0" applyAlignment="1" applyBorder="1" applyFont="1">
      <alignment horizontal="center" vertical="center"/>
    </xf>
    <xf borderId="48" fillId="0" fontId="5" numFmtId="0" xfId="0" applyBorder="1" applyFont="1"/>
    <xf borderId="42" fillId="0" fontId="32" numFmtId="171" xfId="0" applyAlignment="1" applyBorder="1" applyFont="1" applyNumberFormat="1">
      <alignment horizontal="center"/>
    </xf>
    <xf borderId="5" fillId="0" fontId="32" numFmtId="171" xfId="0" applyAlignment="1" applyBorder="1" applyFont="1" applyNumberFormat="1">
      <alignment horizontal="center"/>
    </xf>
    <xf borderId="43" fillId="0" fontId="32" numFmtId="171" xfId="0" applyAlignment="1" applyBorder="1" applyFont="1" applyNumberFormat="1">
      <alignment horizontal="center"/>
    </xf>
    <xf borderId="47" fillId="12" fontId="21" numFmtId="0" xfId="0" applyAlignment="1" applyBorder="1" applyFont="1">
      <alignment horizontal="center" readingOrder="0" vertical="center"/>
    </xf>
    <xf borderId="47" fillId="0" fontId="28" numFmtId="0" xfId="0" applyAlignment="1" applyBorder="1" applyFont="1">
      <alignment horizontal="center" vertical="center"/>
    </xf>
    <xf borderId="49" fillId="0" fontId="5" numFmtId="0" xfId="0" applyBorder="1" applyFont="1"/>
    <xf borderId="42" fillId="12" fontId="22" numFmtId="0" xfId="0" applyAlignment="1" applyBorder="1" applyFont="1">
      <alignment horizontal="center" vertical="center"/>
    </xf>
    <xf quotePrefix="1" borderId="42" fillId="0" fontId="30" numFmtId="0" xfId="0" applyAlignment="1" applyBorder="1" applyFont="1">
      <alignment horizontal="center" readingOrder="0"/>
    </xf>
    <xf borderId="5" fillId="0" fontId="30" numFmtId="0" xfId="0" applyAlignment="1" applyBorder="1" applyFont="1">
      <alignment horizontal="center" readingOrder="0"/>
    </xf>
    <xf borderId="43" fillId="0" fontId="30" numFmtId="0" xfId="0" applyAlignment="1" applyBorder="1" applyFont="1">
      <alignment horizontal="center" readingOrder="0"/>
    </xf>
    <xf borderId="42" fillId="0" fontId="33" numFmtId="171" xfId="0" applyAlignment="1" applyBorder="1" applyFont="1" applyNumberFormat="1">
      <alignment horizontal="center" readingOrder="0"/>
    </xf>
    <xf borderId="5" fillId="0" fontId="33" numFmtId="171" xfId="0" applyAlignment="1" applyBorder="1" applyFont="1" applyNumberFormat="1">
      <alignment horizontal="center" readingOrder="0"/>
    </xf>
    <xf borderId="43" fillId="0" fontId="33" numFmtId="171" xfId="0" applyAlignment="1" applyBorder="1" applyFont="1" applyNumberFormat="1">
      <alignment horizontal="center" readingOrder="0"/>
    </xf>
    <xf borderId="5" fillId="0" fontId="33" numFmtId="0" xfId="0" applyAlignment="1" applyBorder="1" applyFont="1">
      <alignment horizontal="center" readingOrder="0"/>
    </xf>
    <xf borderId="43" fillId="0" fontId="33" numFmtId="0" xfId="0" applyAlignment="1" applyBorder="1" applyFont="1">
      <alignment horizontal="center" readingOrder="0"/>
    </xf>
    <xf borderId="5" fillId="0" fontId="33" numFmtId="171" xfId="0" applyAlignment="1" applyBorder="1" applyFont="1" applyNumberFormat="1">
      <alignment horizontal="center" readingOrder="0"/>
    </xf>
    <xf borderId="43" fillId="0" fontId="33" numFmtId="171" xfId="0" applyAlignment="1" applyBorder="1" applyFont="1" applyNumberFormat="1">
      <alignment horizontal="center" readingOrder="0"/>
    </xf>
    <xf borderId="42" fillId="0" fontId="33" numFmtId="171" xfId="0" applyAlignment="1" applyBorder="1" applyFont="1" applyNumberFormat="1">
      <alignment horizontal="center" readingOrder="0"/>
    </xf>
    <xf borderId="5" fillId="0" fontId="33" numFmtId="1" xfId="0" applyAlignment="1" applyBorder="1" applyFont="1" applyNumberFormat="1">
      <alignment horizontal="center" readingOrder="0"/>
    </xf>
    <xf borderId="43" fillId="0" fontId="33" numFmtId="1" xfId="0" applyAlignment="1" applyBorder="1" applyFont="1" applyNumberFormat="1">
      <alignment horizontal="center" readingOrder="0"/>
    </xf>
    <xf borderId="42" fillId="12" fontId="22" numFmtId="0" xfId="0" applyAlignment="1" applyBorder="1" applyFont="1">
      <alignment horizontal="center" readingOrder="0" vertical="center"/>
    </xf>
    <xf borderId="5" fillId="12" fontId="22" numFmtId="0" xfId="0" applyAlignment="1" applyBorder="1" applyFont="1">
      <alignment horizontal="center" readingOrder="0" vertical="center"/>
    </xf>
    <xf borderId="2" fillId="12" fontId="22" numFmtId="0" xfId="0" applyAlignment="1" applyBorder="1" applyFont="1">
      <alignment horizontal="center" readingOrder="0" vertical="center"/>
    </xf>
    <xf borderId="42" fillId="0" fontId="32" numFmtId="170" xfId="0" applyAlignment="1" applyBorder="1" applyFont="1" applyNumberFormat="1">
      <alignment horizontal="center"/>
    </xf>
    <xf borderId="5" fillId="0" fontId="32" numFmtId="170" xfId="0" applyAlignment="1" applyBorder="1" applyFont="1" applyNumberFormat="1">
      <alignment horizontal="center"/>
    </xf>
    <xf borderId="43" fillId="0" fontId="32" numFmtId="170" xfId="0" applyAlignment="1" applyBorder="1" applyFont="1" applyNumberFormat="1">
      <alignment horizontal="center"/>
    </xf>
    <xf borderId="50" fillId="12" fontId="21" numFmtId="0" xfId="0" applyAlignment="1" applyBorder="1" applyFont="1">
      <alignment horizontal="center" vertical="center"/>
    </xf>
    <xf borderId="51" fillId="0" fontId="5" numFmtId="0" xfId="0" applyBorder="1" applyFont="1"/>
    <xf borderId="52" fillId="0" fontId="5" numFmtId="0" xfId="0" applyBorder="1" applyFont="1"/>
    <xf borderId="44" fillId="0" fontId="30" numFmtId="171" xfId="0" applyAlignment="1" applyBorder="1" applyFont="1" applyNumberFormat="1">
      <alignment horizontal="center" readingOrder="0"/>
    </xf>
    <xf borderId="14" fillId="0" fontId="30" numFmtId="3" xfId="0" applyAlignment="1" applyBorder="1" applyFont="1" applyNumberFormat="1">
      <alignment horizontal="center" readingOrder="0"/>
    </xf>
    <xf borderId="7" fillId="0" fontId="30" numFmtId="3" xfId="0" applyAlignment="1" applyBorder="1" applyFont="1" applyNumberFormat="1">
      <alignment horizontal="center" readingOrder="0"/>
    </xf>
    <xf borderId="53" fillId="0" fontId="32" numFmtId="171" xfId="0" applyAlignment="1" applyBorder="1" applyFont="1" applyNumberFormat="1">
      <alignment horizontal="center"/>
    </xf>
    <xf borderId="54" fillId="0" fontId="32" numFmtId="171" xfId="0" applyAlignment="1" applyBorder="1" applyFont="1" applyNumberFormat="1">
      <alignment horizontal="center"/>
    </xf>
    <xf borderId="55" fillId="0" fontId="32" numFmtId="171" xfId="0" applyAlignment="1" applyBorder="1" applyFont="1" applyNumberFormat="1">
      <alignment horizontal="center"/>
    </xf>
    <xf borderId="56" fillId="13" fontId="21" numFmtId="0" xfId="0" applyAlignment="1" applyBorder="1" applyFont="1">
      <alignment horizontal="center" readingOrder="0" vertical="center"/>
    </xf>
    <xf borderId="57" fillId="0" fontId="5" numFmtId="0" xfId="0" applyBorder="1" applyFont="1"/>
    <xf borderId="58" fillId="0" fontId="5" numFmtId="0" xfId="0" applyBorder="1" applyFont="1"/>
    <xf borderId="6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59" fillId="0" fontId="12" numFmtId="0" xfId="0" applyAlignment="1" applyBorder="1" applyFont="1">
      <alignment horizontal="center" readingOrder="0"/>
    </xf>
    <xf borderId="47" fillId="13" fontId="21" numFmtId="0" xfId="0" applyAlignment="1" applyBorder="1" applyFont="1">
      <alignment horizontal="center" readingOrder="0" vertical="center"/>
    </xf>
    <xf borderId="3" fillId="0" fontId="28" numFmtId="0" xfId="0" applyAlignment="1" applyBorder="1" applyFont="1">
      <alignment horizontal="center" vertical="center"/>
    </xf>
    <xf borderId="3" fillId="0" fontId="30" numFmtId="0" xfId="0" applyAlignment="1" applyBorder="1" applyFont="1">
      <alignment horizontal="center" readingOrder="0"/>
    </xf>
    <xf borderId="3" fillId="0" fontId="33" numFmtId="0" xfId="0" applyAlignment="1" applyBorder="1" applyFont="1">
      <alignment horizontal="center" readingOrder="0"/>
    </xf>
    <xf borderId="5" fillId="0" fontId="33" numFmtId="3" xfId="0" applyAlignment="1" applyBorder="1" applyFont="1" applyNumberFormat="1">
      <alignment horizontal="center" readingOrder="0"/>
    </xf>
    <xf borderId="43" fillId="0" fontId="33" numFmtId="3" xfId="0" applyAlignment="1" applyBorder="1" applyFont="1" applyNumberFormat="1">
      <alignment horizontal="center" readingOrder="0"/>
    </xf>
    <xf borderId="3" fillId="0" fontId="33" numFmtId="0" xfId="0" applyAlignment="1" applyBorder="1" applyFont="1">
      <alignment horizontal="center"/>
    </xf>
    <xf borderId="3" fillId="0" fontId="33" numFmtId="3" xfId="0" applyAlignment="1" applyBorder="1" applyFont="1" applyNumberFormat="1">
      <alignment horizontal="center"/>
    </xf>
    <xf borderId="49" fillId="0" fontId="33" numFmtId="3" xfId="0" applyAlignment="1" applyBorder="1" applyFont="1" applyNumberFormat="1">
      <alignment horizontal="center"/>
    </xf>
    <xf borderId="47" fillId="13" fontId="21" numFmtId="0" xfId="0" applyAlignment="1" applyBorder="1" applyFont="1">
      <alignment horizontal="center" vertical="center"/>
    </xf>
    <xf borderId="3" fillId="0" fontId="32" numFmtId="171" xfId="0" applyAlignment="1" applyBorder="1" applyFont="1" applyNumberFormat="1">
      <alignment horizontal="center"/>
    </xf>
    <xf borderId="50" fillId="12" fontId="21" numFmtId="0" xfId="0" applyAlignment="1" applyBorder="1" applyFont="1">
      <alignment horizontal="center" readingOrder="0" vertical="center"/>
    </xf>
    <xf borderId="53" fillId="0" fontId="30" numFmtId="171" xfId="0" applyAlignment="1" applyBorder="1" applyFont="1" applyNumberFormat="1">
      <alignment horizontal="center" readingOrder="0"/>
    </xf>
    <xf borderId="54" fillId="0" fontId="30" numFmtId="3" xfId="0" applyAlignment="1" applyBorder="1" applyFont="1" applyNumberFormat="1">
      <alignment horizontal="center" readingOrder="0"/>
    </xf>
    <xf borderId="55" fillId="0" fontId="30" numFmtId="3" xfId="0" applyAlignment="1" applyBorder="1" applyFont="1" applyNumberFormat="1">
      <alignment horizontal="center" readingOrder="0"/>
    </xf>
    <xf borderId="60" fillId="0" fontId="28" numFmtId="0" xfId="0" applyAlignment="1" applyBorder="1" applyFont="1">
      <alignment horizontal="center" vertical="center"/>
    </xf>
    <xf borderId="54" fillId="0" fontId="28" numFmtId="0" xfId="0" applyAlignment="1" applyBorder="1" applyFont="1">
      <alignment horizontal="center" vertical="center"/>
    </xf>
    <xf borderId="54" fillId="0" fontId="29" numFmtId="0" xfId="0" applyAlignment="1" applyBorder="1" applyFont="1">
      <alignment horizontal="center" vertical="center"/>
    </xf>
    <xf borderId="54" fillId="0" fontId="29" numFmtId="0" xfId="0" applyAlignment="1" applyBorder="1" applyFont="1">
      <alignment horizontal="center" readingOrder="0" vertical="center"/>
    </xf>
    <xf borderId="55" fillId="0" fontId="29" numFmtId="0" xfId="0" applyAlignment="1" applyBorder="1" applyFont="1">
      <alignment horizontal="center" readingOrder="0" vertical="center"/>
    </xf>
    <xf borderId="0" fillId="0" fontId="34" numFmtId="0" xfId="0" applyAlignment="1" applyFont="1">
      <alignment horizontal="center"/>
    </xf>
    <xf borderId="5" fillId="0" fontId="1" numFmtId="0" xfId="0" applyAlignment="1" applyBorder="1" applyFont="1">
      <alignment readingOrder="0"/>
    </xf>
    <xf borderId="5" fillId="0" fontId="34" numFmtId="0" xfId="0" applyAlignment="1" applyBorder="1" applyFont="1">
      <alignment horizontal="center"/>
    </xf>
    <xf borderId="5" fillId="0" fontId="28" numFmtId="0" xfId="0" applyAlignment="1" applyBorder="1" applyFont="1">
      <alignment horizontal="center" readingOrder="0" vertical="center"/>
    </xf>
    <xf borderId="61" fillId="1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/>
    </xf>
    <xf borderId="0" fillId="0" fontId="28" numFmtId="167" xfId="0" applyAlignment="1" applyFont="1" applyNumberFormat="1">
      <alignment horizontal="center"/>
    </xf>
    <xf borderId="0" fillId="0" fontId="28" numFmtId="167" xfId="0" applyAlignment="1" applyFont="1" applyNumberFormat="1">
      <alignment horizontal="center" readingOrder="0"/>
    </xf>
    <xf borderId="2" fillId="12" fontId="22" numFmtId="0" xfId="0" applyAlignment="1" applyBorder="1" applyFont="1">
      <alignment horizontal="center" vertical="center"/>
    </xf>
    <xf borderId="0" fillId="0" fontId="35" numFmtId="171" xfId="0" applyFont="1" applyNumberFormat="1"/>
    <xf borderId="37" fillId="0" fontId="30" numFmtId="3" xfId="0" applyAlignment="1" applyBorder="1" applyFont="1" applyNumberFormat="1">
      <alignment horizontal="center" readingOrder="0"/>
    </xf>
    <xf borderId="62" fillId="12" fontId="22" numFmtId="0" xfId="0" applyAlignment="1" applyBorder="1" applyFont="1">
      <alignment horizontal="center" vertical="center"/>
    </xf>
    <xf borderId="11" fillId="0" fontId="35" numFmtId="171" xfId="0" applyBorder="1" applyFont="1" applyNumberFormat="1"/>
    <xf borderId="5" fillId="0" fontId="33" numFmtId="171" xfId="0" applyBorder="1" applyFont="1" applyNumberFormat="1"/>
    <xf borderId="43" fillId="0" fontId="33" numFmtId="171" xfId="0" applyBorder="1" applyFont="1" applyNumberFormat="1"/>
    <xf borderId="1" fillId="0" fontId="35" numFmtId="171" xfId="0" applyAlignment="1" applyBorder="1" applyFont="1" applyNumberFormat="1">
      <alignment readingOrder="0"/>
    </xf>
    <xf borderId="42" fillId="0" fontId="30" numFmtId="3" xfId="0" applyAlignment="1" applyBorder="1" applyFont="1" applyNumberFormat="1">
      <alignment horizontal="center" readingOrder="0"/>
    </xf>
    <xf borderId="5" fillId="0" fontId="35" numFmtId="171" xfId="0" applyAlignment="1" applyBorder="1" applyFont="1" applyNumberFormat="1">
      <alignment readingOrder="0"/>
    </xf>
    <xf borderId="5" fillId="0" fontId="33" numFmtId="171" xfId="0" applyAlignment="1" applyBorder="1" applyFont="1" applyNumberFormat="1">
      <alignment readingOrder="0"/>
    </xf>
    <xf borderId="43" fillId="0" fontId="33" numFmtId="171" xfId="0" applyAlignment="1" applyBorder="1" applyFont="1" applyNumberFormat="1">
      <alignment readingOrder="0"/>
    </xf>
    <xf borderId="1" fillId="12" fontId="21" numFmtId="0" xfId="0" applyAlignment="1" applyBorder="1" applyFont="1">
      <alignment horizontal="center" vertical="center"/>
    </xf>
    <xf borderId="1" fillId="0" fontId="35" numFmtId="171" xfId="0" applyBorder="1" applyFont="1" applyNumberFormat="1"/>
    <xf borderId="5" fillId="0" fontId="35" numFmtId="171" xfId="0" applyBorder="1" applyFont="1" applyNumberFormat="1"/>
    <xf borderId="63" fillId="12" fontId="22" numFmtId="0" xfId="0" applyAlignment="1" applyBorder="1" applyFont="1">
      <alignment horizontal="center" vertical="center"/>
    </xf>
    <xf borderId="64" fillId="0" fontId="5" numFmtId="0" xfId="0" applyBorder="1" applyFont="1"/>
    <xf borderId="65" fillId="0" fontId="5" numFmtId="0" xfId="0" applyBorder="1" applyFont="1"/>
    <xf borderId="1" fillId="2" fontId="36" numFmtId="171" xfId="0" applyBorder="1" applyFont="1" applyNumberFormat="1"/>
    <xf borderId="1" fillId="0" fontId="32" numFmtId="171" xfId="0" applyBorder="1" applyFont="1" applyNumberFormat="1"/>
    <xf borderId="5" fillId="0" fontId="32" numFmtId="171" xfId="0" applyBorder="1" applyFont="1" applyNumberFormat="1"/>
    <xf borderId="43" fillId="0" fontId="32" numFmtId="171" xfId="0" applyBorder="1" applyFont="1" applyNumberFormat="1"/>
    <xf quotePrefix="1" borderId="44" fillId="0" fontId="30" numFmtId="0" xfId="0" applyAlignment="1" applyBorder="1" applyFont="1">
      <alignment horizontal="center" readingOrder="0"/>
    </xf>
    <xf borderId="14" fillId="0" fontId="33" numFmtId="171" xfId="0" applyBorder="1" applyFont="1" applyNumberFormat="1"/>
    <xf borderId="66" fillId="0" fontId="33" numFmtId="171" xfId="0" applyBorder="1" applyFont="1" applyNumberFormat="1"/>
    <xf borderId="67" fillId="0" fontId="30" numFmtId="3" xfId="0" applyAlignment="1" applyBorder="1" applyFont="1" applyNumberFormat="1">
      <alignment horizontal="center" readingOrder="0"/>
    </xf>
    <xf borderId="68" fillId="0" fontId="30" numFmtId="3" xfId="0" applyAlignment="1" applyBorder="1" applyFont="1" applyNumberFormat="1">
      <alignment horizontal="center" readingOrder="0"/>
    </xf>
    <xf borderId="62" fillId="12" fontId="22" numFmtId="0" xfId="0" applyAlignment="1" applyBorder="1" applyFont="1">
      <alignment horizontal="center" readingOrder="0" vertical="center"/>
    </xf>
    <xf borderId="2" fillId="0" fontId="35" numFmtId="171" xfId="0" applyAlignment="1" applyBorder="1" applyFont="1" applyNumberFormat="1">
      <alignment readingOrder="0"/>
    </xf>
    <xf borderId="1" fillId="0" fontId="22" numFmtId="0" xfId="0" applyBorder="1" applyFont="1"/>
    <xf borderId="53" fillId="0" fontId="22" numFmtId="3" xfId="0" applyAlignment="1" applyBorder="1" applyFont="1" applyNumberFormat="1">
      <alignment horizontal="center"/>
    </xf>
    <xf borderId="54" fillId="0" fontId="22" numFmtId="3" xfId="0" applyAlignment="1" applyBorder="1" applyFont="1" applyNumberFormat="1">
      <alignment horizontal="center"/>
    </xf>
    <xf borderId="54" fillId="0" fontId="22" numFmtId="0" xfId="0" applyBorder="1" applyFont="1"/>
    <xf borderId="33" fillId="0" fontId="1" numFmtId="0" xfId="0" applyBorder="1" applyFont="1"/>
    <xf borderId="55" fillId="0" fontId="22" numFmtId="0" xfId="0" applyBorder="1" applyFont="1"/>
    <xf borderId="0" fillId="0" fontId="35" numFmtId="0" xfId="0" applyFont="1"/>
    <xf borderId="61" fillId="10" fontId="21" numFmtId="0" xfId="0" applyAlignment="1" applyBorder="1" applyFont="1">
      <alignment horizontal="center" readingOrder="0" vertical="center"/>
    </xf>
    <xf borderId="14" fillId="12" fontId="22" numFmtId="0" xfId="0" applyAlignment="1" applyBorder="1" applyFont="1">
      <alignment horizontal="center" readingOrder="0" vertical="center"/>
    </xf>
    <xf borderId="5" fillId="12" fontId="35" numFmtId="0" xfId="0" applyAlignment="1" applyBorder="1" applyFont="1">
      <alignment horizontal="center" readingOrder="0"/>
    </xf>
    <xf borderId="5" fillId="12" fontId="35" numFmtId="0" xfId="0" applyAlignment="1" applyBorder="1" applyFont="1">
      <alignment horizontal="center"/>
    </xf>
    <xf borderId="5" fillId="0" fontId="30" numFmtId="171" xfId="0" applyAlignment="1" applyBorder="1" applyFont="1" applyNumberFormat="1">
      <alignment horizontal="center" readingOrder="0"/>
    </xf>
    <xf borderId="3" fillId="0" fontId="33" numFmtId="171" xfId="0" applyBorder="1" applyFont="1" applyNumberFormat="1"/>
    <xf borderId="5" fillId="2" fontId="33" numFmtId="171" xfId="0" applyBorder="1" applyFont="1" applyNumberFormat="1"/>
    <xf borderId="43" fillId="2" fontId="33" numFmtId="171" xfId="0" applyBorder="1" applyFont="1" applyNumberFormat="1"/>
    <xf borderId="3" fillId="2" fontId="33" numFmtId="171" xfId="0" applyBorder="1" applyFont="1" applyNumberFormat="1"/>
    <xf borderId="1" fillId="12" fontId="35" numFmtId="0" xfId="0" applyAlignment="1" applyBorder="1" applyFont="1">
      <alignment horizontal="center" readingOrder="0"/>
    </xf>
    <xf borderId="1" fillId="12" fontId="32" numFmtId="0" xfId="0" applyAlignment="1" applyBorder="1" applyFont="1">
      <alignment horizontal="center" readingOrder="0"/>
    </xf>
    <xf borderId="14" fillId="12" fontId="35" numFmtId="0" xfId="0" applyAlignment="1" applyBorder="1" applyFont="1">
      <alignment horizontal="center" readingOrder="0" vertical="center"/>
    </xf>
    <xf borderId="5" fillId="12" fontId="19" numFmtId="0" xfId="0" applyAlignment="1" applyBorder="1" applyFont="1">
      <alignment horizontal="center" readingOrder="0"/>
    </xf>
    <xf quotePrefix="1" borderId="5" fillId="0" fontId="30" numFmtId="0" xfId="0" applyAlignment="1" applyBorder="1" applyFont="1">
      <alignment horizontal="center" readingOrder="0"/>
    </xf>
    <xf borderId="3" fillId="0" fontId="33" numFmtId="171" xfId="0" applyAlignment="1" applyBorder="1" applyFont="1" applyNumberFormat="1">
      <alignment readingOrder="0"/>
    </xf>
    <xf borderId="5" fillId="0" fontId="37" numFmtId="171" xfId="0" applyAlignment="1" applyBorder="1" applyFont="1" applyNumberFormat="1">
      <alignment horizontal="center" readingOrder="0"/>
    </xf>
    <xf borderId="5" fillId="0" fontId="37" numFmtId="3" xfId="0" applyAlignment="1" applyBorder="1" applyFont="1" applyNumberFormat="1">
      <alignment horizontal="center" readingOrder="0"/>
    </xf>
    <xf borderId="5" fillId="0" fontId="33" numFmtId="3" xfId="0" applyBorder="1" applyFont="1" applyNumberFormat="1"/>
    <xf borderId="43" fillId="0" fontId="33" numFmtId="3" xfId="0" applyBorder="1" applyFont="1" applyNumberFormat="1"/>
    <xf borderId="3" fillId="0" fontId="33" numFmtId="3" xfId="0" applyBorder="1" applyFont="1" applyNumberFormat="1"/>
    <xf borderId="3" fillId="0" fontId="32" numFmtId="171" xfId="0" applyBorder="1" applyFont="1" applyNumberFormat="1"/>
    <xf borderId="5" fillId="0" fontId="38" numFmtId="171" xfId="0" applyBorder="1" applyFont="1" applyNumberFormat="1"/>
    <xf borderId="43" fillId="0" fontId="38" numFmtId="171" xfId="0" applyBorder="1" applyFont="1" applyNumberFormat="1"/>
    <xf borderId="3" fillId="0" fontId="38" numFmtId="171" xfId="0" applyBorder="1" applyFont="1" applyNumberFormat="1"/>
    <xf borderId="0" fillId="5" fontId="35" numFmtId="0" xfId="0" applyAlignment="1" applyFont="1">
      <alignment horizontal="center" readingOrder="0"/>
    </xf>
    <xf borderId="0" fillId="12" fontId="35" numFmtId="0" xfId="0" applyAlignment="1" applyFont="1">
      <alignment horizontal="center" readingOrder="0"/>
    </xf>
    <xf borderId="5" fillId="0" fontId="32" numFmtId="171" xfId="0" applyBorder="1" applyFont="1" applyNumberFormat="1"/>
    <xf borderId="69" fillId="12" fontId="21" numFmtId="0" xfId="0" applyAlignment="1" applyBorder="1" applyFont="1">
      <alignment horizontal="center" vertical="center"/>
    </xf>
    <xf borderId="70" fillId="12" fontId="21" numFmtId="0" xfId="0" applyAlignment="1" applyBorder="1" applyFont="1">
      <alignment horizontal="center" vertical="center"/>
    </xf>
    <xf borderId="71" fillId="0" fontId="5" numFmtId="0" xfId="0" applyBorder="1" applyFont="1"/>
    <xf borderId="5" fillId="0" fontId="28" numFmtId="0" xfId="0" applyAlignment="1" applyBorder="1" applyFont="1">
      <alignment horizontal="center" readingOrder="0" shrinkToFit="0" vertical="center" wrapText="1"/>
    </xf>
    <xf borderId="70" fillId="0" fontId="28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1" fillId="0" fontId="33" numFmtId="170" xfId="0" applyAlignment="1" applyBorder="1" applyFont="1" applyNumberFormat="1">
      <alignment horizontal="center"/>
    </xf>
    <xf borderId="2" fillId="0" fontId="33" numFmtId="170" xfId="0" applyAlignment="1" applyBorder="1" applyFont="1" applyNumberFormat="1">
      <alignment horizontal="center"/>
    </xf>
    <xf borderId="5" fillId="0" fontId="33" numFmtId="170" xfId="0" applyAlignment="1" applyBorder="1" applyFont="1" applyNumberFormat="1">
      <alignment horizontal="center"/>
    </xf>
    <xf borderId="5" fillId="0" fontId="1" numFmtId="0" xfId="0" applyBorder="1" applyFont="1"/>
    <xf borderId="43" fillId="0" fontId="1" numFmtId="0" xfId="0" applyBorder="1" applyFont="1"/>
    <xf borderId="14" fillId="0" fontId="33" numFmtId="9" xfId="0" applyAlignment="1" applyBorder="1" applyFont="1" applyNumberFormat="1">
      <alignment horizontal="center" vertical="center"/>
    </xf>
    <xf borderId="5" fillId="0" fontId="33" numFmtId="170" xfId="0" applyAlignment="1" applyBorder="1" applyFont="1" applyNumberFormat="1">
      <alignment horizontal="center" readingOrder="0"/>
    </xf>
    <xf borderId="66" fillId="0" fontId="33" numFmtId="9" xfId="0" applyAlignment="1" applyBorder="1" applyFont="1" applyNumberFormat="1">
      <alignment horizontal="center" vertical="center"/>
    </xf>
    <xf borderId="72" fillId="0" fontId="5" numFmtId="0" xfId="0" applyBorder="1" applyFont="1"/>
    <xf borderId="59" fillId="0" fontId="5" numFmtId="0" xfId="0" applyBorder="1" applyFont="1"/>
    <xf borderId="5" fillId="0" fontId="33" numFmtId="9" xfId="0" applyAlignment="1" applyBorder="1" applyFont="1" applyNumberFormat="1">
      <alignment horizontal="center" vertical="center"/>
    </xf>
    <xf borderId="43" fillId="0" fontId="33" numFmtId="9" xfId="0" applyAlignment="1" applyBorder="1" applyFont="1" applyNumberFormat="1">
      <alignment horizontal="center" vertical="center"/>
    </xf>
    <xf borderId="5" fillId="0" fontId="32" numFmtId="9" xfId="0" applyAlignment="1" applyBorder="1" applyFont="1" applyNumberFormat="1">
      <alignment horizontal="center"/>
    </xf>
    <xf borderId="43" fillId="0" fontId="32" numFmtId="9" xfId="0" applyAlignment="1" applyBorder="1" applyFont="1" applyNumberFormat="1">
      <alignment horizontal="center"/>
    </xf>
    <xf borderId="1" fillId="0" fontId="33" numFmtId="0" xfId="0" applyAlignment="1" applyBorder="1" applyFont="1">
      <alignment horizontal="center" readingOrder="0"/>
    </xf>
    <xf borderId="5" fillId="0" fontId="33" numFmtId="9" xfId="0" applyAlignment="1" applyBorder="1" applyFont="1" applyNumberFormat="1">
      <alignment horizontal="center"/>
    </xf>
    <xf borderId="43" fillId="0" fontId="33" numFmtId="9" xfId="0" applyAlignment="1" applyBorder="1" applyFont="1" applyNumberFormat="1">
      <alignment horizontal="center"/>
    </xf>
    <xf borderId="54" fillId="0" fontId="33" numFmtId="9" xfId="0" applyAlignment="1" applyBorder="1" applyFont="1" applyNumberFormat="1">
      <alignment horizontal="center"/>
    </xf>
    <xf borderId="54" fillId="0" fontId="32" numFmtId="9" xfId="0" applyAlignment="1" applyBorder="1" applyFont="1" applyNumberFormat="1">
      <alignment horizontal="center"/>
    </xf>
    <xf borderId="55" fillId="0" fontId="32" numFmtId="9" xfId="0" applyAlignment="1" applyBorder="1" applyFont="1" applyNumberFormat="1">
      <alignment horizontal="center"/>
    </xf>
    <xf borderId="5" fillId="0" fontId="33" numFmtId="3" xfId="0" applyAlignment="1" applyBorder="1" applyFont="1" applyNumberFormat="1">
      <alignment horizontal="center"/>
    </xf>
    <xf borderId="5" fillId="0" fontId="33" numFmtId="9" xfId="0" applyAlignment="1" applyBorder="1" applyFont="1" applyNumberFormat="1">
      <alignment horizontal="center" readingOrder="0"/>
    </xf>
    <xf borderId="43" fillId="0" fontId="33" numFmtId="9" xfId="0" applyAlignment="1" applyBorder="1" applyFont="1" applyNumberFormat="1">
      <alignment horizontal="center" readingOrder="0"/>
    </xf>
    <xf borderId="5" fillId="0" fontId="33" numFmtId="171" xfId="0" applyAlignment="1" applyBorder="1" applyFont="1" applyNumberFormat="1">
      <alignment horizontal="center" readingOrder="0"/>
    </xf>
    <xf borderId="5" fillId="0" fontId="33" numFmtId="171" xfId="0" applyAlignment="1" applyBorder="1" applyFont="1" applyNumberFormat="1">
      <alignment horizontal="center"/>
    </xf>
    <xf borderId="1" fillId="0" fontId="32" numFmtId="0" xfId="0" applyAlignment="1" applyBorder="1" applyFont="1">
      <alignment horizontal="center"/>
    </xf>
    <xf borderId="54" fillId="0" fontId="3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0" fillId="10" fontId="21" numFmtId="0" xfId="0" applyAlignment="1" applyFont="1">
      <alignment horizontal="center" readingOrder="0" vertical="center"/>
    </xf>
    <xf borderId="0" fillId="0" fontId="30" numFmtId="0" xfId="0" applyFont="1"/>
    <xf borderId="0" fillId="2" fontId="30" numFmtId="0" xfId="0" applyAlignment="1" applyFont="1">
      <alignment readingOrder="0"/>
    </xf>
    <xf borderId="56" fillId="12" fontId="22" numFmtId="0" xfId="0" applyAlignment="1" applyBorder="1" applyFont="1">
      <alignment horizontal="center" vertical="center"/>
    </xf>
    <xf borderId="58" fillId="12" fontId="22" numFmtId="0" xfId="0" applyAlignment="1" applyBorder="1" applyFont="1">
      <alignment horizontal="center" vertical="center"/>
    </xf>
    <xf borderId="57" fillId="0" fontId="35" numFmtId="171" xfId="0" applyBorder="1" applyFont="1" applyNumberFormat="1"/>
    <xf borderId="0" fillId="0" fontId="33" numFmtId="171" xfId="0" applyFont="1" applyNumberFormat="1"/>
    <xf borderId="73" fillId="12" fontId="22" numFmtId="0" xfId="0" applyAlignment="1" applyBorder="1" applyFont="1">
      <alignment horizontal="center" vertical="center"/>
    </xf>
    <xf borderId="2" fillId="0" fontId="35" numFmtId="171" xfId="0" applyBorder="1" applyFont="1" applyNumberFormat="1"/>
    <xf borderId="5" fillId="0" fontId="33" numFmtId="9" xfId="0" applyBorder="1" applyFont="1" applyNumberFormat="1"/>
    <xf borderId="43" fillId="0" fontId="33" numFmtId="9" xfId="0" applyBorder="1" applyFont="1" applyNumberFormat="1"/>
    <xf borderId="0" fillId="0" fontId="33" numFmtId="171" xfId="0" applyAlignment="1" applyFont="1" applyNumberFormat="1">
      <alignment readingOrder="0"/>
    </xf>
    <xf borderId="74" fillId="12" fontId="22" numFmtId="0" xfId="0" applyAlignment="1" applyBorder="1" applyFont="1">
      <alignment horizontal="center" vertical="center"/>
    </xf>
    <xf borderId="75" fillId="0" fontId="5" numFmtId="0" xfId="0" applyBorder="1" applyFont="1"/>
    <xf borderId="76" fillId="0" fontId="5" numFmtId="0" xfId="0" applyBorder="1" applyFont="1"/>
    <xf borderId="2" fillId="2" fontId="36" numFmtId="171" xfId="0" applyBorder="1" applyFont="1" applyNumberFormat="1"/>
    <xf borderId="2" fillId="0" fontId="32" numFmtId="171" xfId="0" applyBorder="1" applyFont="1" applyNumberFormat="1"/>
    <xf borderId="0" fillId="0" fontId="32" numFmtId="171" xfId="0" applyFont="1" applyNumberFormat="1"/>
    <xf borderId="8" fillId="0" fontId="35" numFmtId="171" xfId="0" applyBorder="1" applyFont="1" applyNumberFormat="1"/>
    <xf borderId="14" fillId="0" fontId="33" numFmtId="9" xfId="0" applyBorder="1" applyFont="1" applyNumberFormat="1"/>
    <xf borderId="77" fillId="12" fontId="21" numFmtId="0" xfId="0" applyAlignment="1" applyBorder="1" applyFont="1">
      <alignment horizontal="center" readingOrder="0" vertical="center"/>
    </xf>
    <xf borderId="78" fillId="0" fontId="5" numFmtId="0" xfId="0" applyBorder="1" applyFont="1"/>
    <xf borderId="79" fillId="0" fontId="32" numFmtId="171" xfId="0" applyBorder="1" applyFont="1" applyNumberFormat="1"/>
    <xf borderId="68" fillId="0" fontId="19" numFmtId="171" xfId="0" applyAlignment="1" applyBorder="1" applyFont="1" applyNumberFormat="1">
      <alignment horizontal="center" readingOrder="0"/>
    </xf>
    <xf borderId="68" fillId="0" fontId="19" numFmtId="0" xfId="0" applyAlignment="1" applyBorder="1" applyFont="1">
      <alignment horizontal="center" readingOrder="0"/>
    </xf>
    <xf borderId="5" fillId="0" fontId="19" numFmtId="171" xfId="0" applyAlignment="1" applyBorder="1" applyFont="1" applyNumberFormat="1">
      <alignment horizontal="center" readingOrder="0"/>
    </xf>
    <xf borderId="5" fillId="0" fontId="19" numFmtId="0" xfId="0" applyAlignment="1" applyBorder="1" applyFont="1">
      <alignment horizontal="center" readingOrder="0"/>
    </xf>
    <xf borderId="43" fillId="0" fontId="19" numFmtId="0" xfId="0" applyAlignment="1" applyBorder="1" applyFont="1">
      <alignment horizontal="center" readingOrder="0"/>
    </xf>
    <xf borderId="5" fillId="0" fontId="32" numFmtId="171" xfId="0" applyAlignment="1" applyBorder="1" applyFont="1" applyNumberFormat="1">
      <alignment horizontal="right"/>
    </xf>
    <xf borderId="5" fillId="0" fontId="35" numFmtId="0" xfId="0" applyAlignment="1" applyBorder="1" applyFont="1">
      <alignment horizontal="center" readingOrder="0"/>
    </xf>
    <xf borderId="5" fillId="0" fontId="35" numFmtId="9" xfId="0" applyAlignment="1" applyBorder="1" applyFont="1" applyNumberFormat="1">
      <alignment horizontal="center"/>
    </xf>
    <xf borderId="43" fillId="0" fontId="35" numFmtId="9" xfId="0" applyAlignment="1" applyBorder="1" applyFont="1" applyNumberFormat="1">
      <alignment horizontal="center"/>
    </xf>
    <xf borderId="5" fillId="0" fontId="32" numFmtId="171" xfId="0" applyAlignment="1" applyBorder="1" applyFont="1" applyNumberFormat="1">
      <alignment horizontal="center" readingOrder="0"/>
    </xf>
    <xf borderId="5" fillId="0" fontId="35" numFmtId="0" xfId="0" applyAlignment="1" applyBorder="1" applyFont="1">
      <alignment horizontal="center" readingOrder="0"/>
    </xf>
    <xf borderId="5" fillId="0" fontId="32" numFmtId="171" xfId="0" applyAlignment="1" applyBorder="1" applyFont="1" applyNumberFormat="1">
      <alignment horizontal="right" readingOrder="0"/>
    </xf>
    <xf borderId="80" fillId="12" fontId="21" numFmtId="0" xfId="0" applyAlignment="1" applyBorder="1" applyFont="1">
      <alignment horizontal="center" readingOrder="0" vertical="center"/>
    </xf>
    <xf borderId="81" fillId="0" fontId="5" numFmtId="0" xfId="0" applyBorder="1" applyFont="1"/>
    <xf borderId="82" fillId="0" fontId="32" numFmtId="171" xfId="0" applyBorder="1" applyFont="1" applyNumberFormat="1"/>
    <xf borderId="32" fillId="12" fontId="22" numFmtId="0" xfId="0" applyAlignment="1" applyBorder="1" applyFont="1">
      <alignment horizontal="center" vertical="center"/>
    </xf>
    <xf borderId="83" fillId="0" fontId="5" numFmtId="0" xfId="0" applyBorder="1" applyFont="1"/>
    <xf borderId="33" fillId="0" fontId="22" numFmtId="0" xfId="0" applyBorder="1" applyFont="1"/>
    <xf borderId="54" fillId="0" fontId="35" numFmtId="0" xfId="0" applyBorder="1" applyFont="1"/>
    <xf borderId="55" fillId="0" fontId="35" numFmtId="0" xfId="0" applyBorder="1" applyFont="1"/>
    <xf borderId="84" fillId="0" fontId="28" numFmtId="0" xfId="0" applyAlignment="1" applyBorder="1" applyFont="1">
      <alignment horizontal="center" readingOrder="0" shrinkToFit="0" vertical="center" wrapText="1"/>
    </xf>
    <xf borderId="85" fillId="0" fontId="28" numFmtId="0" xfId="0" applyAlignment="1" applyBorder="1" applyFont="1">
      <alignment horizontal="center" readingOrder="0" shrinkToFit="0" vertical="center" wrapText="1"/>
    </xf>
    <xf borderId="69" fillId="0" fontId="28" numFmtId="0" xfId="0" applyAlignment="1" applyBorder="1" applyFont="1">
      <alignment horizontal="center" readingOrder="0"/>
    </xf>
    <xf borderId="86" fillId="12" fontId="22" numFmtId="0" xfId="0" applyAlignment="1" applyBorder="1" applyFont="1">
      <alignment horizontal="center" readingOrder="0" vertical="center"/>
    </xf>
    <xf borderId="38" fillId="12" fontId="19" numFmtId="0" xfId="0" applyAlignment="1" applyBorder="1" applyFont="1">
      <alignment horizontal="center" readingOrder="0"/>
    </xf>
    <xf borderId="38" fillId="12" fontId="19" numFmtId="0" xfId="0" applyAlignment="1" applyBorder="1" applyFont="1">
      <alignment horizontal="center"/>
    </xf>
    <xf quotePrefix="1" borderId="38" fillId="0" fontId="30" numFmtId="0" xfId="0" applyAlignment="1" applyBorder="1" applyFont="1">
      <alignment horizontal="center" readingOrder="0"/>
    </xf>
    <xf borderId="87" fillId="0" fontId="30" numFmtId="3" xfId="0" applyAlignment="1" applyBorder="1" applyFont="1" applyNumberFormat="1">
      <alignment horizontal="center" readingOrder="0"/>
    </xf>
    <xf borderId="37" fillId="0" fontId="33" numFmtId="171" xfId="0" applyBorder="1" applyFont="1" applyNumberFormat="1"/>
    <xf borderId="38" fillId="0" fontId="33" numFmtId="171" xfId="0" applyBorder="1" applyFont="1" applyNumberFormat="1"/>
    <xf borderId="87" fillId="0" fontId="33" numFmtId="171" xfId="0" applyBorder="1" applyFont="1" applyNumberFormat="1"/>
    <xf borderId="15" fillId="0" fontId="33" numFmtId="171" xfId="0" applyBorder="1" applyFont="1" applyNumberFormat="1"/>
    <xf borderId="59" fillId="0" fontId="33" numFmtId="171" xfId="0" applyBorder="1" applyFont="1" applyNumberFormat="1"/>
    <xf borderId="1" fillId="0" fontId="30" numFmtId="3" xfId="0" applyAlignment="1" applyBorder="1" applyFont="1" applyNumberFormat="1">
      <alignment horizontal="center" readingOrder="0"/>
    </xf>
    <xf borderId="42" fillId="0" fontId="33" numFmtId="171" xfId="0" applyBorder="1" applyFont="1" applyNumberFormat="1"/>
    <xf borderId="1" fillId="0" fontId="33" numFmtId="171" xfId="0" applyBorder="1" applyFont="1" applyNumberFormat="1"/>
    <xf borderId="1" fillId="12" fontId="19" numFmtId="0" xfId="0" applyAlignment="1" applyBorder="1" applyFont="1">
      <alignment horizontal="center" readingOrder="0"/>
    </xf>
    <xf borderId="1" fillId="0" fontId="30" numFmtId="3" xfId="0" applyAlignment="1" applyBorder="1" applyFont="1" applyNumberFormat="1">
      <alignment horizontal="center"/>
    </xf>
    <xf borderId="5" fillId="12" fontId="19" numFmtId="0" xfId="0" applyAlignment="1" applyBorder="1" applyFont="1">
      <alignment horizontal="center"/>
    </xf>
    <xf borderId="47" fillId="12" fontId="4" numFmtId="0" xfId="0" applyAlignment="1" applyBorder="1" applyFont="1">
      <alignment horizontal="center" readingOrder="0"/>
    </xf>
    <xf borderId="1" fillId="0" fontId="37" numFmtId="3" xfId="0" applyAlignment="1" applyBorder="1" applyFont="1" applyNumberFormat="1">
      <alignment horizontal="center"/>
    </xf>
    <xf borderId="42" fillId="0" fontId="37" numFmtId="171" xfId="0" applyBorder="1" applyFont="1" applyNumberFormat="1"/>
    <xf borderId="5" fillId="0" fontId="37" numFmtId="171" xfId="0" applyBorder="1" applyFont="1" applyNumberFormat="1"/>
    <xf borderId="1" fillId="0" fontId="37" numFmtId="171" xfId="0" applyBorder="1" applyFont="1" applyNumberFormat="1"/>
    <xf borderId="43" fillId="0" fontId="37" numFmtId="171" xfId="0" applyBorder="1" applyFont="1" applyNumberFormat="1"/>
    <xf borderId="44" fillId="12" fontId="19" numFmtId="0" xfId="0" applyAlignment="1" applyBorder="1" applyFont="1">
      <alignment horizontal="center" readingOrder="0" vertical="center"/>
    </xf>
    <xf borderId="42" fillId="0" fontId="33" numFmtId="171" xfId="0" applyAlignment="1" applyBorder="1" applyFont="1" applyNumberFormat="1">
      <alignment readingOrder="0"/>
    </xf>
    <xf borderId="1" fillId="0" fontId="33" numFmtId="171" xfId="0" applyAlignment="1" applyBorder="1" applyFont="1" applyNumberFormat="1">
      <alignment readingOrder="0"/>
    </xf>
    <xf borderId="42" fillId="2" fontId="33" numFmtId="171" xfId="0" applyBorder="1" applyFont="1" applyNumberFormat="1"/>
    <xf borderId="1" fillId="2" fontId="33" numFmtId="171" xfId="0" applyBorder="1" applyFont="1" applyNumberFormat="1"/>
    <xf borderId="1" fillId="0" fontId="37" numFmtId="3" xfId="0" applyAlignment="1" applyBorder="1" applyFont="1" applyNumberFormat="1">
      <alignment horizontal="center" readingOrder="0"/>
    </xf>
    <xf borderId="1" fillId="0" fontId="33" numFmtId="3" xfId="0" applyBorder="1" applyFont="1" applyNumberFormat="1"/>
    <xf borderId="42" fillId="0" fontId="38" numFmtId="171" xfId="0" applyBorder="1" applyFont="1" applyNumberFormat="1"/>
    <xf borderId="1" fillId="0" fontId="38" numFmtId="171" xfId="0" applyBorder="1" applyFont="1" applyNumberFormat="1"/>
    <xf borderId="0" fillId="0" fontId="32" numFmtId="0" xfId="0" applyFont="1"/>
    <xf borderId="42" fillId="0" fontId="37" numFmtId="171" xfId="0" applyAlignment="1" applyBorder="1" applyFont="1" applyNumberFormat="1">
      <alignment readingOrder="0"/>
    </xf>
    <xf borderId="5" fillId="0" fontId="37" numFmtId="171" xfId="0" applyAlignment="1" applyBorder="1" applyFont="1" applyNumberFormat="1">
      <alignment readingOrder="0"/>
    </xf>
    <xf borderId="1" fillId="0" fontId="37" numFmtId="171" xfId="0" applyAlignment="1" applyBorder="1" applyFont="1" applyNumberFormat="1">
      <alignment readingOrder="0"/>
    </xf>
    <xf borderId="43" fillId="0" fontId="37" numFmtId="171" xfId="0" applyAlignment="1" applyBorder="1" applyFont="1" applyNumberFormat="1">
      <alignment readingOrder="0"/>
    </xf>
    <xf borderId="5" fillId="0" fontId="35" numFmtId="0" xfId="0" applyBorder="1" applyFont="1"/>
    <xf borderId="1" fillId="0" fontId="35" numFmtId="0" xfId="0" applyBorder="1" applyFont="1"/>
    <xf borderId="42" fillId="0" fontId="35" numFmtId="9" xfId="0" applyAlignment="1" applyBorder="1" applyFont="1" applyNumberFormat="1">
      <alignment readingOrder="0"/>
    </xf>
    <xf borderId="5" fillId="0" fontId="35" numFmtId="9" xfId="0" applyAlignment="1" applyBorder="1" applyFont="1" applyNumberFormat="1">
      <alignment readingOrder="0"/>
    </xf>
    <xf borderId="43" fillId="0" fontId="35" numFmtId="9" xfId="0" applyAlignment="1" applyBorder="1" applyFont="1" applyNumberFormat="1">
      <alignment readingOrder="0"/>
    </xf>
    <xf borderId="50" fillId="12" fontId="4" numFmtId="0" xfId="0" applyAlignment="1" applyBorder="1" applyFont="1">
      <alignment horizontal="center" readingOrder="0"/>
    </xf>
    <xf borderId="60" fillId="0" fontId="5" numFmtId="0" xfId="0" applyBorder="1" applyFont="1"/>
    <xf borderId="88" fillId="0" fontId="35" numFmtId="0" xfId="0" applyBorder="1" applyFont="1"/>
    <xf borderId="50" fillId="0" fontId="35" numFmtId="0" xfId="0" applyAlignment="1" applyBorder="1" applyFont="1">
      <alignment readingOrder="0"/>
    </xf>
    <xf borderId="89" fillId="0" fontId="5" numFmtId="0" xfId="0" applyBorder="1" applyFont="1"/>
    <xf borderId="53" fillId="0" fontId="35" numFmtId="0" xfId="0" applyAlignment="1" applyBorder="1" applyFont="1">
      <alignment readingOrder="0"/>
    </xf>
    <xf borderId="1" fillId="10" fontId="21" numFmtId="0" xfId="0" applyAlignment="1" applyBorder="1" applyFont="1">
      <alignment horizontal="center" readingOrder="0" shrinkToFit="0" vertical="center" wrapText="0"/>
    </xf>
    <xf borderId="2" fillId="0" fontId="39" numFmtId="0" xfId="0" applyAlignment="1" applyBorder="1" applyFont="1">
      <alignment horizontal="center" readingOrder="0"/>
    </xf>
    <xf borderId="5" fillId="13" fontId="21" numFmtId="0" xfId="0" applyAlignment="1" applyBorder="1" applyFont="1">
      <alignment horizontal="center" readingOrder="0" shrinkToFit="0" wrapText="0"/>
    </xf>
    <xf borderId="15" fillId="0" fontId="40" numFmtId="0" xfId="0" applyAlignment="1" applyBorder="1" applyFont="1">
      <alignment horizontal="center" readingOrder="0" shrinkToFit="0" vertical="bottom" wrapText="0"/>
    </xf>
    <xf borderId="6" fillId="0" fontId="40" numFmtId="0" xfId="0" applyAlignment="1" applyBorder="1" applyFont="1">
      <alignment horizontal="center" readingOrder="0" shrinkToFit="0" vertical="bottom" wrapText="0"/>
    </xf>
    <xf borderId="14" fillId="12" fontId="2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bottom" wrapText="0"/>
    </xf>
    <xf borderId="5" fillId="0" fontId="41" numFmtId="0" xfId="0" applyAlignment="1" applyBorder="1" applyFont="1">
      <alignment horizontal="center" readingOrder="0" shrinkToFit="0" vertical="bottom" wrapText="0"/>
    </xf>
    <xf borderId="5" fillId="0" fontId="42" numFmtId="0" xfId="0" applyAlignment="1" applyBorder="1" applyFont="1">
      <alignment horizontal="center" shrinkToFit="0" vertical="bottom" wrapText="0"/>
    </xf>
    <xf borderId="5" fillId="0" fontId="42" numFmtId="0" xfId="0" applyAlignment="1" applyBorder="1" applyFont="1">
      <alignment horizontal="center" readingOrder="0" shrinkToFit="0" vertical="bottom" wrapText="0"/>
    </xf>
    <xf borderId="5" fillId="0" fontId="42" numFmtId="9" xfId="0" applyAlignment="1" applyBorder="1" applyFont="1" applyNumberFormat="1">
      <alignment horizontal="center" readingOrder="0" shrinkToFit="0" wrapText="0"/>
    </xf>
    <xf borderId="1" fillId="12" fontId="21" numFmtId="0" xfId="0" applyAlignment="1" applyBorder="1" applyFont="1">
      <alignment horizontal="center" readingOrder="0" shrinkToFit="0" wrapText="0"/>
    </xf>
    <xf borderId="5" fillId="0" fontId="43" numFmtId="0" xfId="0" applyAlignment="1" applyBorder="1" applyFont="1">
      <alignment horizontal="center" readingOrder="0" shrinkToFit="0" vertical="bottom" wrapText="0"/>
    </xf>
    <xf borderId="5" fillId="0" fontId="43" numFmtId="9" xfId="0" applyAlignment="1" applyBorder="1" applyFont="1" applyNumberFormat="1">
      <alignment horizontal="center" readingOrder="0" shrinkToFit="0" wrapText="0"/>
    </xf>
    <xf borderId="0" fillId="0" fontId="39" numFmtId="0" xfId="0" applyAlignment="1" applyFont="1">
      <alignment horizontal="center" shrinkToFit="0" wrapText="0"/>
    </xf>
    <xf borderId="11" fillId="13" fontId="21" numFmtId="0" xfId="0" applyAlignment="1" applyBorder="1" applyFont="1">
      <alignment horizontal="center" readingOrder="0" shrinkToFit="0" wrapText="0"/>
    </xf>
    <xf borderId="5" fillId="0" fontId="44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horizontal="center" readingOrder="0" shrinkToFit="0" vertical="center" wrapText="0"/>
    </xf>
    <xf borderId="5" fillId="0" fontId="41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shrinkToFit="0" vertical="bottom" wrapText="0"/>
    </xf>
    <xf borderId="5" fillId="0" fontId="43" numFmtId="9" xfId="0" applyAlignment="1" applyBorder="1" applyFont="1" applyNumberFormat="1">
      <alignment horizontal="center" readingOrder="0" shrinkToFit="0" vertical="bottom" wrapText="0"/>
    </xf>
    <xf borderId="6" fillId="0" fontId="2" numFmtId="0" xfId="0" applyAlignment="1" applyBorder="1" applyFont="1">
      <alignment shrinkToFit="0" vertical="bottom" wrapText="0"/>
    </xf>
    <xf borderId="1" fillId="0" fontId="44" numFmtId="0" xfId="0" applyAlignment="1" applyBorder="1" applyFont="1">
      <alignment readingOrder="0" shrinkToFit="0" vertical="bottom" wrapText="0"/>
    </xf>
    <xf borderId="1" fillId="0" fontId="44" numFmtId="0" xfId="0" applyAlignment="1" applyBorder="1" applyFont="1">
      <alignment shrinkToFit="0" vertical="bottom" wrapText="0"/>
    </xf>
    <xf borderId="0" fillId="0" fontId="44" numFmtId="0" xfId="0" applyAlignment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0"/>
    </xf>
    <xf borderId="70" fillId="0" fontId="28" numFmtId="0" xfId="0" applyAlignment="1" applyBorder="1" applyFont="1">
      <alignment horizontal="center" shrinkToFit="0" vertical="center" wrapText="1"/>
    </xf>
    <xf borderId="38" fillId="0" fontId="30" numFmtId="171" xfId="0" applyAlignment="1" applyBorder="1" applyFont="1" applyNumberFormat="1">
      <alignment horizontal="center" readingOrder="0"/>
    </xf>
    <xf borderId="90" fillId="0" fontId="12" numFmtId="0" xfId="0" applyAlignment="1" applyBorder="1" applyFont="1">
      <alignment horizontal="center" readingOrder="0"/>
    </xf>
    <xf borderId="0" fillId="0" fontId="33" numFmtId="170" xfId="0" applyAlignment="1" applyFont="1" applyNumberFormat="1">
      <alignment horizontal="center"/>
    </xf>
    <xf borderId="91" fillId="0" fontId="5" numFmtId="0" xfId="0" applyBorder="1" applyFont="1"/>
    <xf borderId="3" fillId="0" fontId="30" numFmtId="171" xfId="0" applyAlignment="1" applyBorder="1" applyFont="1" applyNumberFormat="1">
      <alignment horizontal="center" readingOrder="0"/>
    </xf>
    <xf borderId="3" fillId="0" fontId="33" numFmtId="170" xfId="0" applyAlignment="1" applyBorder="1" applyFont="1" applyNumberFormat="1">
      <alignment horizontal="center"/>
    </xf>
    <xf borderId="3" fillId="0" fontId="33" numFmtId="170" xfId="0" applyAlignment="1" applyBorder="1" applyFont="1" applyNumberFormat="1">
      <alignment horizontal="center" readingOrder="0"/>
    </xf>
    <xf borderId="3" fillId="0" fontId="32" numFmtId="170" xfId="0" applyAlignment="1" applyBorder="1" applyFont="1" applyNumberFormat="1">
      <alignment horizontal="center"/>
    </xf>
    <xf borderId="2" fillId="0" fontId="33" numFmtId="0" xfId="0" applyAlignment="1" applyBorder="1" applyFont="1">
      <alignment horizontal="center" readingOrder="0"/>
    </xf>
    <xf quotePrefix="1" borderId="3" fillId="0" fontId="30" numFmtId="0" xfId="0" applyAlignment="1" applyBorder="1" applyFont="1">
      <alignment horizontal="center" readingOrder="0"/>
    </xf>
    <xf borderId="3" fillId="0" fontId="33" numFmtId="171" xfId="0" applyAlignment="1" applyBorder="1" applyFont="1" applyNumberFormat="1">
      <alignment horizontal="center" readingOrder="0"/>
    </xf>
    <xf borderId="5" fillId="0" fontId="38" numFmtId="9" xfId="0" applyAlignment="1" applyBorder="1" applyFont="1" applyNumberFormat="1">
      <alignment horizontal="center" readingOrder="0"/>
    </xf>
    <xf borderId="3" fillId="0" fontId="33" numFmtId="171" xfId="0" applyAlignment="1" applyBorder="1" applyFont="1" applyNumberFormat="1">
      <alignment horizontal="center" readingOrder="0"/>
    </xf>
    <xf borderId="48" fillId="12" fontId="22" numFmtId="0" xfId="0" applyAlignment="1" applyBorder="1" applyFont="1">
      <alignment horizontal="center" readingOrder="0" vertical="center"/>
    </xf>
    <xf borderId="3" fillId="0" fontId="32" numFmtId="171" xfId="0" applyAlignment="1" applyBorder="1" applyFont="1" applyNumberFormat="1">
      <alignment horizontal="center"/>
    </xf>
    <xf borderId="5" fillId="0" fontId="32" numFmtId="171" xfId="0" applyAlignment="1" applyBorder="1" applyFont="1" applyNumberFormat="1">
      <alignment horizontal="center"/>
    </xf>
    <xf borderId="54" fillId="0" fontId="30" numFmtId="171" xfId="0" applyAlignment="1" applyBorder="1" applyFont="1" applyNumberFormat="1">
      <alignment horizontal="center" readingOrder="0"/>
    </xf>
    <xf borderId="60" fillId="0" fontId="32" numFmtId="170" xfId="0" applyAlignment="1" applyBorder="1" applyFont="1" applyNumberFormat="1">
      <alignment horizontal="center"/>
    </xf>
    <xf borderId="54" fillId="0" fontId="32" numFmtId="170" xfId="0" applyAlignment="1" applyBorder="1" applyFont="1" applyNumberFormat="1">
      <alignment horizontal="center"/>
    </xf>
    <xf borderId="92" fillId="13" fontId="21" numFmtId="0" xfId="0" applyAlignment="1" applyBorder="1" applyFont="1">
      <alignment horizontal="center" readingOrder="0" vertical="center"/>
    </xf>
    <xf borderId="93" fillId="0" fontId="5" numFmtId="0" xfId="0" applyBorder="1" applyFont="1"/>
    <xf borderId="42" fillId="0" fontId="33" numFmtId="3" xfId="0" applyAlignment="1" applyBorder="1" applyFont="1" applyNumberFormat="1">
      <alignment horizontal="center"/>
    </xf>
    <xf borderId="94" fillId="12" fontId="22" numFmtId="0" xfId="0" applyAlignment="1" applyBorder="1" applyFont="1">
      <alignment horizontal="center" readingOrder="0" vertical="center"/>
    </xf>
    <xf borderId="68" fillId="12" fontId="22" numFmtId="0" xfId="0" applyAlignment="1" applyBorder="1" applyFont="1">
      <alignment horizontal="center" readingOrder="0" vertical="center"/>
    </xf>
    <xf borderId="95" fillId="12" fontId="22" numFmtId="0" xfId="0" applyAlignment="1" applyBorder="1" applyFont="1">
      <alignment horizontal="center" readingOrder="0" vertical="center"/>
    </xf>
    <xf borderId="3" fillId="0" fontId="33" numFmtId="171" xfId="0" applyAlignment="1" applyBorder="1" applyFont="1" applyNumberFormat="1">
      <alignment horizontal="center" readingOrder="0"/>
    </xf>
    <xf borderId="1" fillId="0" fontId="33" numFmtId="9" xfId="0" applyAlignment="1" applyBorder="1" applyFont="1" applyNumberFormat="1">
      <alignment horizontal="center" readingOrder="0"/>
    </xf>
    <xf borderId="42" fillId="0" fontId="33" numFmtId="171" xfId="0" applyAlignment="1" applyBorder="1" applyFont="1" applyNumberFormat="1">
      <alignment horizontal="center" readingOrder="0"/>
    </xf>
    <xf borderId="96" fillId="12" fontId="22" numFmtId="0" xfId="0" applyAlignment="1" applyBorder="1" applyFont="1">
      <alignment horizontal="center" vertical="center"/>
    </xf>
    <xf borderId="97" fillId="12" fontId="22" numFmtId="0" xfId="0" applyAlignment="1" applyBorder="1" applyFont="1">
      <alignment horizontal="center" vertical="center"/>
    </xf>
    <xf borderId="98" fillId="12" fontId="22" numFmtId="0" xfId="0" applyAlignment="1" applyBorder="1" applyFont="1">
      <alignment horizontal="center" vertical="center"/>
    </xf>
    <xf borderId="40" fillId="12" fontId="21" numFmtId="0" xfId="0" applyAlignment="1" applyBorder="1" applyFont="1">
      <alignment horizontal="center" vertical="center"/>
    </xf>
    <xf borderId="3" fillId="0" fontId="33" numFmtId="171" xfId="0" applyAlignment="1" applyBorder="1" applyFont="1" applyNumberFormat="1">
      <alignment horizontal="center"/>
    </xf>
    <xf borderId="42" fillId="0" fontId="33" numFmtId="171" xfId="0" applyAlignment="1" applyBorder="1" applyFont="1" applyNumberFormat="1">
      <alignment horizontal="center"/>
    </xf>
    <xf borderId="2" fillId="0" fontId="32" numFmtId="0" xfId="0" applyAlignment="1" applyBorder="1" applyFont="1">
      <alignment horizontal="center"/>
    </xf>
    <xf borderId="31" fillId="0" fontId="1" numFmtId="0" xfId="0" applyBorder="1" applyFont="1"/>
    <xf borderId="91" fillId="0" fontId="1" numFmtId="0" xfId="0" applyBorder="1" applyFont="1"/>
    <xf borderId="99" fillId="0" fontId="32" numFmtId="0" xfId="0" applyAlignment="1" applyBorder="1" applyFont="1">
      <alignment horizontal="center" readingOrder="0"/>
    </xf>
    <xf borderId="100" fillId="0" fontId="32" numFmtId="9" xfId="0" applyAlignment="1" applyBorder="1" applyFont="1" applyNumberFormat="1">
      <alignment horizontal="center" readingOrder="0"/>
    </xf>
    <xf borderId="100" fillId="0" fontId="32" numFmtId="170" xfId="0" applyAlignment="1" applyBorder="1" applyFont="1" applyNumberFormat="1">
      <alignment horizontal="center"/>
    </xf>
    <xf borderId="100" fillId="0" fontId="32" numFmtId="9" xfId="0" applyAlignment="1" applyBorder="1" applyFont="1" applyNumberFormat="1">
      <alignment horizontal="center"/>
    </xf>
    <xf borderId="100" fillId="0" fontId="32" numFmtId="171" xfId="0" applyAlignment="1" applyBorder="1" applyFont="1" applyNumberFormat="1">
      <alignment horizontal="center"/>
    </xf>
    <xf borderId="101" fillId="0" fontId="32" numFmtId="9" xfId="0" applyAlignment="1" applyBorder="1" applyFont="1" applyNumberFormat="1">
      <alignment horizontal="center"/>
    </xf>
    <xf borderId="102" fillId="0" fontId="32" numFmtId="171" xfId="0" applyAlignment="1" applyBorder="1" applyFont="1" applyNumberFormat="1">
      <alignment horizontal="center"/>
    </xf>
    <xf borderId="0" fillId="0" fontId="35" numFmtId="0" xfId="0" applyAlignment="1" applyFont="1">
      <alignment readingOrder="0"/>
    </xf>
    <xf borderId="103" fillId="0" fontId="12" numFmtId="0" xfId="0" applyAlignment="1" applyBorder="1" applyFont="1">
      <alignment horizontal="center" readingOrder="0"/>
    </xf>
    <xf borderId="104" fillId="0" fontId="12" numFmtId="0" xfId="0" applyAlignment="1" applyBorder="1" applyFont="1">
      <alignment horizontal="center" readingOrder="0"/>
    </xf>
    <xf borderId="105" fillId="0" fontId="12" numFmtId="0" xfId="0" applyAlignment="1" applyBorder="1" applyFont="1">
      <alignment horizontal="center" readingOrder="0"/>
    </xf>
    <xf quotePrefix="1" borderId="42" fillId="0" fontId="30" numFmtId="3" xfId="0" applyAlignment="1" applyBorder="1" applyFont="1" applyNumberFormat="1">
      <alignment horizontal="center" readingOrder="0"/>
    </xf>
    <xf borderId="66" fillId="0" fontId="33" numFmtId="9" xfId="0" applyBorder="1" applyFont="1" applyNumberFormat="1"/>
    <xf borderId="106" fillId="0" fontId="19" numFmtId="171" xfId="0" applyAlignment="1" applyBorder="1" applyFont="1" applyNumberFormat="1">
      <alignment horizontal="center" readingOrder="0"/>
    </xf>
    <xf borderId="107" fillId="0" fontId="19" numFmtId="0" xfId="0" applyAlignment="1" applyBorder="1" applyFont="1">
      <alignment horizontal="center" readingOrder="0"/>
    </xf>
    <xf borderId="5" fillId="0" fontId="35" numFmtId="9" xfId="0" applyBorder="1" applyFont="1" applyNumberFormat="1"/>
    <xf borderId="43" fillId="0" fontId="35" numFmtId="9" xfId="0" applyBorder="1" applyFont="1" applyNumberFormat="1"/>
    <xf borderId="3" fillId="0" fontId="32" numFmtId="171" xfId="0" applyAlignment="1" applyBorder="1" applyFont="1" applyNumberFormat="1">
      <alignment readingOrder="0"/>
    </xf>
    <xf borderId="5" fillId="0" fontId="32" numFmtId="171" xfId="0" applyAlignment="1" applyBorder="1" applyFont="1" applyNumberFormat="1">
      <alignment readingOrder="0"/>
    </xf>
    <xf borderId="108" fillId="0" fontId="32" numFmtId="171" xfId="0" applyBorder="1" applyFont="1" applyNumberFormat="1"/>
    <xf borderId="97" fillId="0" fontId="35" numFmtId="0" xfId="0" applyAlignment="1" applyBorder="1" applyFont="1">
      <alignment horizontal="center" readingOrder="0"/>
    </xf>
    <xf borderId="97" fillId="0" fontId="32" numFmtId="171" xfId="0" applyBorder="1" applyFont="1" applyNumberFormat="1"/>
    <xf borderId="97" fillId="0" fontId="35" numFmtId="9" xfId="0" applyBorder="1" applyFont="1" applyNumberFormat="1"/>
    <xf borderId="109" fillId="0" fontId="35" numFmtId="9" xfId="0" applyBorder="1" applyFont="1" applyNumberFormat="1"/>
    <xf borderId="99" fillId="0" fontId="22" numFmtId="0" xfId="0" applyBorder="1" applyFont="1"/>
    <xf borderId="100" fillId="0" fontId="35" numFmtId="0" xfId="0" applyBorder="1" applyFont="1"/>
    <xf borderId="100" fillId="0" fontId="22" numFmtId="0" xfId="0" applyBorder="1" applyFont="1"/>
    <xf borderId="101" fillId="0" fontId="35" numFmtId="0" xfId="0" applyBorder="1" applyFont="1"/>
    <xf borderId="110" fillId="0" fontId="28" numFmtId="0" xfId="0" applyAlignment="1" applyBorder="1" applyFont="1">
      <alignment horizontal="center" shrinkToFit="0" vertical="center" wrapText="1"/>
    </xf>
    <xf borderId="84" fillId="0" fontId="28" numFmtId="0" xfId="0" applyAlignment="1" applyBorder="1" applyFont="1">
      <alignment horizontal="center" shrinkToFit="0" vertical="center" wrapText="1"/>
    </xf>
    <xf borderId="39" fillId="0" fontId="33" numFmtId="171" xfId="0" applyBorder="1" applyFont="1" applyNumberFormat="1"/>
    <xf borderId="5" fillId="0" fontId="30" numFmtId="3" xfId="0" applyAlignment="1" applyBorder="1" applyFont="1" applyNumberFormat="1">
      <alignment horizontal="center"/>
    </xf>
    <xf borderId="5" fillId="0" fontId="37" numFmtId="3" xfId="0" applyAlignment="1" applyBorder="1" applyFont="1" applyNumberFormat="1">
      <alignment horizontal="center"/>
    </xf>
    <xf borderId="5" fillId="0" fontId="33" numFmtId="0" xfId="0" applyAlignment="1" applyBorder="1" applyFont="1">
      <alignment readingOrder="0"/>
    </xf>
    <xf borderId="88" fillId="0" fontId="35" numFmtId="0" xfId="0" applyAlignment="1" applyBorder="1" applyFont="1">
      <alignment readingOrder="0"/>
    </xf>
    <xf borderId="84" fillId="0" fontId="23" numFmtId="0" xfId="0" applyBorder="1" applyFont="1"/>
    <xf borderId="111" fillId="0" fontId="23" numFmtId="0" xfId="0" applyBorder="1" applyFont="1"/>
    <xf borderId="84" fillId="0" fontId="21" numFmtId="0" xfId="0" applyAlignment="1" applyBorder="1" applyFont="1">
      <alignment horizontal="center" vertical="center"/>
    </xf>
    <xf borderId="112" fillId="0" fontId="21" numFmtId="0" xfId="0" applyAlignment="1" applyBorder="1" applyFont="1">
      <alignment horizontal="center" vertical="center"/>
    </xf>
    <xf borderId="79" fillId="0" fontId="5" numFmtId="0" xfId="0" applyBorder="1" applyFont="1"/>
    <xf borderId="79" fillId="0" fontId="21" numFmtId="172" xfId="0" applyAlignment="1" applyBorder="1" applyFont="1" applyNumberFormat="1">
      <alignment horizontal="center" vertical="center"/>
    </xf>
    <xf borderId="111" fillId="0" fontId="21" numFmtId="0" xfId="0" applyAlignment="1" applyBorder="1" applyFont="1">
      <alignment horizontal="center" vertical="center"/>
    </xf>
    <xf borderId="96" fillId="0" fontId="21" numFmtId="0" xfId="0" applyAlignment="1" applyBorder="1" applyFont="1">
      <alignment horizontal="center" vertical="center"/>
    </xf>
    <xf borderId="98" fillId="0" fontId="21" numFmtId="0" xfId="0" applyAlignment="1" applyBorder="1" applyFont="1">
      <alignment horizontal="center" vertical="center"/>
    </xf>
    <xf borderId="113" fillId="0" fontId="21" numFmtId="0" xfId="0" applyAlignment="1" applyBorder="1" applyFont="1">
      <alignment horizontal="center" vertical="center"/>
    </xf>
    <xf borderId="114" fillId="0" fontId="21" numFmtId="0" xfId="0" applyAlignment="1" applyBorder="1" applyFont="1">
      <alignment horizontal="center" vertical="center"/>
    </xf>
    <xf borderId="115" fillId="10" fontId="21" numFmtId="0" xfId="0" applyAlignment="1" applyBorder="1" applyFont="1">
      <alignment horizontal="center" vertical="center"/>
    </xf>
    <xf borderId="82" fillId="0" fontId="21" numFmtId="172" xfId="0" applyAlignment="1" applyBorder="1" applyFont="1" applyNumberFormat="1">
      <alignment horizontal="center" vertical="center"/>
    </xf>
    <xf borderId="97" fillId="0" fontId="21" numFmtId="0" xfId="0" applyAlignment="1" applyBorder="1" applyFont="1">
      <alignment horizontal="center" vertical="center"/>
    </xf>
    <xf borderId="98" fillId="0" fontId="21" numFmtId="0" xfId="0" applyAlignment="1" applyBorder="1" applyFont="1">
      <alignment horizontal="center" shrinkToFit="0" vertical="center" wrapText="1"/>
    </xf>
    <xf borderId="81" fillId="0" fontId="21" numFmtId="0" xfId="0" applyAlignment="1" applyBorder="1" applyFont="1">
      <alignment horizontal="center" vertical="center"/>
    </xf>
    <xf borderId="116" fillId="0" fontId="17" numFmtId="0" xfId="0" applyAlignment="1" applyBorder="1" applyFont="1">
      <alignment horizontal="center" vertical="center"/>
    </xf>
    <xf borderId="64" fillId="0" fontId="20" numFmtId="167" xfId="0" applyAlignment="1" applyBorder="1" applyFont="1" applyNumberFormat="1">
      <alignment horizontal="center"/>
    </xf>
    <xf borderId="116" fillId="0" fontId="23" numFmtId="173" xfId="0" applyBorder="1" applyFont="1" applyNumberFormat="1"/>
    <xf borderId="117" fillId="0" fontId="23" numFmtId="0" xfId="0" applyBorder="1" applyFont="1"/>
    <xf borderId="12" fillId="0" fontId="23" numFmtId="0" xfId="0" applyBorder="1" applyFont="1"/>
    <xf borderId="118" fillId="0" fontId="23" numFmtId="0" xfId="0" applyBorder="1" applyFont="1"/>
    <xf borderId="0" fillId="0" fontId="23" numFmtId="172" xfId="0" applyFont="1" applyNumberFormat="1"/>
    <xf borderId="64" fillId="0" fontId="23" numFmtId="0" xfId="0" applyBorder="1" applyFont="1"/>
    <xf borderId="13" fillId="0" fontId="23" numFmtId="0" xfId="0" applyBorder="1" applyFont="1"/>
    <xf borderId="116" fillId="0" fontId="5" numFmtId="0" xfId="0" applyBorder="1" applyFont="1"/>
    <xf borderId="0" fillId="0" fontId="23" numFmtId="170" xfId="0" applyFont="1" applyNumberFormat="1"/>
    <xf borderId="12" fillId="0" fontId="23" numFmtId="173" xfId="0" applyBorder="1" applyFont="1" applyNumberFormat="1"/>
    <xf borderId="64" fillId="0" fontId="23" numFmtId="173" xfId="0" applyBorder="1" applyFont="1" applyNumberFormat="1"/>
    <xf borderId="117" fillId="0" fontId="23" numFmtId="173" xfId="0" applyBorder="1" applyFont="1" applyNumberFormat="1"/>
    <xf borderId="0" fillId="0" fontId="23" numFmtId="173" xfId="0" applyFont="1" applyNumberFormat="1"/>
    <xf borderId="118" fillId="0" fontId="23" numFmtId="173" xfId="0" applyBorder="1" applyFont="1" applyNumberFormat="1"/>
    <xf borderId="13" fillId="0" fontId="45" numFmtId="0" xfId="0" applyAlignment="1" applyBorder="1" applyFont="1">
      <alignment shrinkToFit="0" wrapText="1"/>
    </xf>
    <xf borderId="119" fillId="0" fontId="5" numFmtId="0" xfId="0" applyBorder="1" applyFont="1"/>
    <xf borderId="65" fillId="0" fontId="20" numFmtId="167" xfId="0" applyAlignment="1" applyBorder="1" applyFont="1" applyNumberFormat="1">
      <alignment horizontal="center"/>
    </xf>
    <xf borderId="119" fillId="0" fontId="23" numFmtId="173" xfId="0" applyBorder="1" applyFont="1" applyNumberFormat="1"/>
    <xf borderId="120" fillId="0" fontId="23" numFmtId="173" xfId="0" applyBorder="1" applyFont="1" applyNumberFormat="1"/>
    <xf borderId="10" fillId="0" fontId="23" numFmtId="173" xfId="0" applyBorder="1" applyFont="1" applyNumberFormat="1"/>
    <xf borderId="10" fillId="0" fontId="23" numFmtId="170" xfId="0" applyBorder="1" applyFont="1" applyNumberFormat="1"/>
    <xf borderId="11" fillId="0" fontId="23" numFmtId="173" xfId="0" applyBorder="1" applyFont="1" applyNumberFormat="1"/>
    <xf borderId="65" fillId="0" fontId="23" numFmtId="173" xfId="0" applyBorder="1" applyFont="1" applyNumberFormat="1"/>
    <xf borderId="121" fillId="0" fontId="17" numFmtId="0" xfId="0" applyAlignment="1" applyBorder="1" applyFont="1">
      <alignment horizontal="center" vertical="center"/>
    </xf>
    <xf borderId="118" fillId="0" fontId="20" numFmtId="167" xfId="0" applyAlignment="1" applyBorder="1" applyFont="1" applyNumberFormat="1">
      <alignment horizontal="center"/>
    </xf>
    <xf borderId="7" fillId="0" fontId="23" numFmtId="173" xfId="0" applyBorder="1" applyFont="1" applyNumberFormat="1"/>
    <xf borderId="8" fillId="0" fontId="23" numFmtId="173" xfId="0" applyBorder="1" applyFont="1" applyNumberFormat="1"/>
    <xf borderId="93" fillId="0" fontId="23" numFmtId="173" xfId="0" applyBorder="1" applyFont="1" applyNumberFormat="1"/>
    <xf borderId="9" fillId="0" fontId="23" numFmtId="0" xfId="0" applyBorder="1" applyFont="1"/>
    <xf borderId="117" fillId="0" fontId="5" numFmtId="0" xfId="0" applyBorder="1" applyFont="1"/>
    <xf borderId="93" fillId="0" fontId="20" numFmtId="167" xfId="0" applyAlignment="1" applyBorder="1" applyFont="1" applyNumberFormat="1">
      <alignment horizontal="center"/>
    </xf>
    <xf borderId="120" fillId="0" fontId="5" numFmtId="0" xfId="0" applyBorder="1" applyFont="1"/>
    <xf borderId="41" fillId="0" fontId="23" numFmtId="173" xfId="0" applyBorder="1" applyFont="1" applyNumberFormat="1"/>
    <xf borderId="6" fillId="0" fontId="23" numFmtId="0" xfId="0" applyBorder="1" applyFont="1"/>
    <xf borderId="122" fillId="0" fontId="17" numFmtId="0" xfId="0" applyAlignment="1" applyBorder="1" applyFont="1">
      <alignment horizontal="center" vertical="center"/>
    </xf>
    <xf borderId="63" fillId="0" fontId="20" numFmtId="167" xfId="0" applyAlignment="1" applyBorder="1" applyFont="1" applyNumberFormat="1">
      <alignment horizontal="center"/>
    </xf>
    <xf borderId="122" fillId="0" fontId="23" numFmtId="173" xfId="0" applyBorder="1" applyFont="1" applyNumberFormat="1"/>
    <xf borderId="8" fillId="0" fontId="23" numFmtId="170" xfId="0" applyBorder="1" applyFont="1" applyNumberFormat="1"/>
    <xf borderId="63" fillId="0" fontId="23" numFmtId="173" xfId="0" applyBorder="1" applyFont="1" applyNumberFormat="1"/>
    <xf borderId="62" fillId="0" fontId="20" numFmtId="167" xfId="0" applyAlignment="1" applyBorder="1" applyFont="1" applyNumberFormat="1">
      <alignment horizontal="center"/>
    </xf>
    <xf borderId="123" fillId="0" fontId="5" numFmtId="0" xfId="0" applyBorder="1" applyFont="1"/>
    <xf borderId="98" fillId="0" fontId="20" numFmtId="167" xfId="0" applyAlignment="1" applyBorder="1" applyFont="1" applyNumberFormat="1">
      <alignment horizontal="center"/>
    </xf>
    <xf borderId="123" fillId="0" fontId="23" numFmtId="173" xfId="0" applyBorder="1" applyFont="1" applyNumberFormat="1"/>
    <xf borderId="124" fillId="0" fontId="23" numFmtId="173" xfId="0" applyBorder="1" applyFont="1" applyNumberFormat="1"/>
    <xf borderId="125" fillId="0" fontId="23" numFmtId="173" xfId="0" applyBorder="1" applyFont="1" applyNumberFormat="1"/>
    <xf borderId="126" fillId="0" fontId="23" numFmtId="173" xfId="0" applyBorder="1" applyFont="1" applyNumberFormat="1"/>
    <xf borderId="125" fillId="0" fontId="23" numFmtId="170" xfId="0" applyBorder="1" applyFont="1" applyNumberFormat="1"/>
    <xf borderId="127" fillId="0" fontId="23" numFmtId="173" xfId="0" applyBorder="1" applyFont="1" applyNumberFormat="1"/>
    <xf borderId="85" fillId="0" fontId="21" numFmtId="0" xfId="0" applyAlignment="1" applyBorder="1" applyFont="1">
      <alignment horizontal="center" vertical="center"/>
    </xf>
    <xf borderId="128" fillId="14" fontId="23" numFmtId="167" xfId="0" applyAlignment="1" applyBorder="1" applyFill="1" applyFont="1" applyNumberFormat="1">
      <alignment horizontal="center" vertical="center"/>
    </xf>
    <xf borderId="129" fillId="0" fontId="21" numFmtId="0" xfId="0" applyAlignment="1" applyBorder="1" applyFont="1">
      <alignment horizontal="center" vertical="center"/>
    </xf>
    <xf borderId="130" fillId="14" fontId="23" numFmtId="167" xfId="0" applyAlignment="1" applyBorder="1" applyFont="1" applyNumberFormat="1">
      <alignment horizontal="center" vertical="center"/>
    </xf>
    <xf borderId="0" fillId="0" fontId="21" numFmtId="0" xfId="0" applyAlignment="1" applyFont="1">
      <alignment horizontal="left" vertical="center"/>
    </xf>
    <xf borderId="130" fillId="14" fontId="23" numFmtId="0" xfId="0" applyAlignment="1" applyBorder="1" applyFont="1">
      <alignment horizontal="center" readingOrder="0" vertical="center"/>
    </xf>
    <xf borderId="116" fillId="0" fontId="23" numFmtId="0" xfId="0" applyBorder="1" applyFont="1"/>
    <xf borderId="130" fillId="14" fontId="23" numFmtId="9" xfId="0" applyAlignment="1" applyBorder="1" applyFont="1" applyNumberFormat="1">
      <alignment horizontal="center" vertical="center"/>
    </xf>
    <xf borderId="131" fillId="0" fontId="21" numFmtId="0" xfId="0" applyAlignment="1" applyBorder="1" applyFont="1">
      <alignment horizontal="center" vertical="center"/>
    </xf>
    <xf borderId="132" fillId="14" fontId="23" numFmtId="9" xfId="0" applyAlignment="1" applyBorder="1" applyFont="1" applyNumberFormat="1">
      <alignment horizontal="center" vertical="center"/>
    </xf>
    <xf borderId="0" fillId="0" fontId="23" numFmtId="9" xfId="0" applyAlignment="1" applyFont="1" applyNumberFormat="1">
      <alignment horizontal="center" vertical="center"/>
    </xf>
    <xf borderId="127" fillId="0" fontId="21" numFmtId="0" xfId="0" applyAlignment="1" applyBorder="1" applyFont="1">
      <alignment horizontal="center" vertical="center"/>
    </xf>
    <xf borderId="0" fillId="4" fontId="12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2" fontId="48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收支紀錄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收入/月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'收入'!$H$2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'收入'!$B$3:$B$101</c:f>
            </c:strRef>
          </c:cat>
          <c:val>
            <c:numRef>
              <c:f>'收入'!$H$3:$H$89</c:f>
              <c:numCache/>
            </c:numRef>
          </c:val>
        </c:ser>
        <c:ser>
          <c:idx val="1"/>
          <c:order val="1"/>
          <c:tx>
            <c:strRef>
              <c:f>'收入'!$P$2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'收入'!$B$3:$B$101</c:f>
            </c:strRef>
          </c:cat>
          <c:val>
            <c:numRef>
              <c:f>'收入'!$P$3:$P$89</c:f>
              <c:numCache/>
            </c:numRef>
          </c:val>
        </c:ser>
        <c:overlap val="100"/>
        <c:axId val="830229222"/>
        <c:axId val="798517515"/>
      </c:barChart>
      <c:catAx>
        <c:axId val="830229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98517515"/>
      </c:catAx>
      <c:valAx>
        <c:axId val="798517515"/>
        <c:scaling>
          <c:orientation val="minMax"/>
          <c:max val="1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收入/月</a:t>
                </a:r>
              </a:p>
            </c:rich>
          </c:tx>
          <c:overlay val="0"/>
        </c:title>
        <c:numFmt formatCode="[$NT$-404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30229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總收入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'收入'!$Q$1:$Q$2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'收入'!$B$4:$B$101</c:f>
            </c:strRef>
          </c:cat>
          <c:val>
            <c:numRef>
              <c:f>'收入'!$Q$3:$Q$89</c:f>
              <c:numCache/>
            </c:numRef>
          </c:val>
          <c:smooth val="0"/>
        </c:ser>
        <c:axId val="1607579474"/>
        <c:axId val="190659317"/>
      </c:lineChart>
      <c:catAx>
        <c:axId val="1607579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900">
                <a:solidFill>
                  <a:srgbClr val="FFFFFF"/>
                </a:solidFill>
                <a:latin typeface="Arial"/>
              </a:defRPr>
            </a:pPr>
          </a:p>
        </c:txPr>
        <c:crossAx val="190659317"/>
      </c:catAx>
      <c:valAx>
        <c:axId val="190659317"/>
        <c:scaling>
          <c:orientation val="minMax"/>
          <c:max val="1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總收入</a:t>
                </a:r>
              </a:p>
            </c:rich>
          </c:tx>
          <c:overlay val="0"/>
        </c:title>
        <c:numFmt formatCode="[$NT$-404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07579474"/>
        <c:majorUnit val="100000.0"/>
        <c:minorUnit val="33333.333333333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chemeClr val="lt1"/>
                </a:solidFill>
                <a:latin typeface="+mn-lt"/>
              </a:defRPr>
            </a:pPr>
            <a:r>
              <a:rPr b="1" i="0" sz="2000">
                <a:solidFill>
                  <a:schemeClr val="lt1"/>
                </a:solidFill>
                <a:latin typeface="+mn-lt"/>
              </a:rPr>
              <a:t>各類別花費</a:t>
            </a:r>
          </a:p>
        </c:rich>
      </c:tx>
      <c:overlay val="0"/>
    </c:title>
    <c:plotArea>
      <c:layout>
        <c:manualLayout>
          <c:xMode val="edge"/>
          <c:yMode val="edge"/>
          <c:x val="0.0976441742250573"/>
          <c:y val="0.1930952380952381"/>
          <c:w val="0.8821026612179806"/>
          <c:h val="0.4679824396950381"/>
        </c:manualLayout>
      </c:layout>
      <c:barChart>
        <c:barDir val="col"/>
        <c:grouping val="stacked"/>
        <c:ser>
          <c:idx val="0"/>
          <c:order val="0"/>
          <c:tx>
            <c:strRef>
              <c:f>'開銷'!$U$2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'開銷'!$B$3:$B$89</c:f>
            </c:strRef>
          </c:cat>
          <c:val>
            <c:numRef>
              <c:f>'開銷'!$U$3:$U$89</c:f>
              <c:numCache/>
            </c:numRef>
          </c:val>
        </c:ser>
        <c:ser>
          <c:idx val="1"/>
          <c:order val="1"/>
          <c:tx>
            <c:strRef>
              <c:f>'開銷'!$X$2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'開銷'!$B$3:$B$89</c:f>
            </c:strRef>
          </c:cat>
          <c:val>
            <c:numRef>
              <c:f>'開銷'!$X$3:$X$89</c:f>
              <c:numCache/>
            </c:numRef>
          </c:val>
        </c:ser>
        <c:ser>
          <c:idx val="2"/>
          <c:order val="2"/>
          <c:tx>
            <c:strRef>
              <c:f>'開銷'!$V$2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'開銷'!$B$3:$B$89</c:f>
            </c:strRef>
          </c:cat>
          <c:val>
            <c:numRef>
              <c:f>'開銷'!$V$3:$V$89</c:f>
              <c:numCache/>
            </c:numRef>
          </c:val>
        </c:ser>
        <c:overlap val="100"/>
        <c:axId val="1819933124"/>
        <c:axId val="364969404"/>
      </c:barChart>
      <c:catAx>
        <c:axId val="1819933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18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64969404"/>
      </c:catAx>
      <c:valAx>
        <c:axId val="364969404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43434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NT$-404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19933124"/>
      </c:valAx>
    </c:plotArea>
    <c:legend>
      <c:legendPos val="b"/>
      <c:overlay val="0"/>
      <c:txPr>
        <a:bodyPr/>
        <a:lstStyle/>
        <a:p>
          <a:pPr lvl="0">
            <a:defRPr b="0" i="0" sz="18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FFFFFF"/>
                </a:solidFill>
                <a:latin typeface="+mn-lt"/>
              </a:defRPr>
            </a:pPr>
            <a:r>
              <a:rPr b="1" i="0">
                <a:solidFill>
                  <a:srgbClr val="FFFFFF"/>
                </a:solidFill>
                <a:latin typeface="+mn-lt"/>
              </a:rPr>
              <a:t>生活+汽機車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'開銷'!$B$4:$B$89</c:f>
            </c:strRef>
          </c:cat>
          <c:val>
            <c:numRef>
              <c:f>'開銷'!$AB$4:$AB$89</c:f>
              <c:numCache/>
            </c:numRef>
          </c:val>
          <c:smooth val="1"/>
        </c:ser>
        <c:axId val="114567282"/>
        <c:axId val="605681545"/>
      </c:lineChart>
      <c:catAx>
        <c:axId val="114567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27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05681545"/>
      </c:catAx>
      <c:valAx>
        <c:axId val="60568154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CCCCCC"/>
              </a:solidFill>
            </a:ln>
          </c:spPr>
        </c:majorGridlines>
        <c:minorGridlines>
          <c:spPr>
            <a:ln>
              <a:solidFill>
                <a:srgbClr val="43434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NT$-404]#,##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4567282"/>
      </c:valAx>
    </c:plotArea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資產累計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'收支預估'!$B$5:$B$62</c:f>
            </c:numRef>
          </c:xVal>
          <c:yVal>
            <c:numRef>
              <c:f>'收支預估'!$N$5:$N$62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51797"/>
        <c:axId val="1465776141"/>
      </c:scatterChart>
      <c:valAx>
        <c:axId val="2111751797"/>
        <c:scaling>
          <c:orientation val="minMax"/>
          <c:max val="47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年月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txPr>
          <a:bodyPr rot="-27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65776141"/>
        <c:majorUnit val="92.0"/>
        <c:minorUnit val="30.6666"/>
      </c:valAx>
      <c:valAx>
        <c:axId val="1465776141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資產累計(萬)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11751797"/>
      </c:valAx>
    </c:plotArea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房屋預估花費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'預估計算表'!$B$12:$B$70</c:f>
            </c:numRef>
          </c:xVal>
          <c:yVal>
            <c:numRef>
              <c:f>'預估計算表'!$F$12:$F$70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318612"/>
        <c:axId val="1286650270"/>
      </c:scatterChart>
      <c:valAx>
        <c:axId val="1814318612"/>
        <c:scaling>
          <c:orientation val="minMax"/>
          <c:max val="47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年月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txPr>
          <a:bodyPr rot="-27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86650270"/>
        <c:majorUnit val="92.0"/>
        <c:minorUnit val="30.6666"/>
      </c:valAx>
      <c:valAx>
        <c:axId val="1286650270"/>
        <c:scaling>
          <c:orientation val="minMax"/>
          <c:max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費用花費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14318612"/>
      </c:valAx>
    </c:plotArea>
    <c:plotVisOnly val="1"/>
  </c:chart>
  <c:spPr>
    <a:solidFill>
      <a:schemeClr val="dk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104</xdr:row>
      <xdr:rowOff>114300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638175</xdr:colOff>
      <xdr:row>104</xdr:row>
      <xdr:rowOff>161925</xdr:rowOff>
    </xdr:from>
    <xdr:ext cx="6829425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115</xdr:row>
      <xdr:rowOff>152400</xdr:rowOff>
    </xdr:from>
    <xdr:ext cx="7524750" cy="3200400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171450</xdr:colOff>
      <xdr:row>116</xdr:row>
      <xdr:rowOff>57150</xdr:rowOff>
    </xdr:from>
    <xdr:ext cx="6829425" cy="3200400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66675</xdr:colOff>
      <xdr:row>2</xdr:row>
      <xdr:rowOff>28575</xdr:rowOff>
    </xdr:from>
    <xdr:ext cx="5924550" cy="33623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104775</xdr:rowOff>
    </xdr:from>
    <xdr:ext cx="5238750" cy="30384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667" displayName="Form_Responses2" name="Form_Responses2" id="1">
  <autoFilter ref="$A$1:$T$1667"/>
  <tableColumns count="20">
    <tableColumn name="時間戳記" id="1"/>
    <tableColumn name="類別" id="2"/>
    <tableColumn name="金額(NTD)" id="3"/>
    <tableColumn name="日期(其他請填yyyymmdd, ex:20240808)" id="4"/>
    <tableColumn name="收入主分類" id="5"/>
    <tableColumn name="工作選項" id="6"/>
    <tableColumn name="其他業外選項" id="7"/>
    <tableColumn name="支出主分類" id="8"/>
    <tableColumn name="食品酒水選項" id="9"/>
    <tableColumn name="日常生活選項" id="10"/>
    <tableColumn name="房屋支出選項" id="11"/>
    <tableColumn name="行車交通選項" id="12"/>
    <tableColumn name="休閒娛樂選項" id="13"/>
    <tableColumn name="稅金保險選項" id="14"/>
    <tableColumn name="醫療費用選項" id="15"/>
    <tableColumn name="進修學習選項" id="16"/>
    <tableColumn name="人情往來" id="17"/>
    <tableColumn name="其他投資選項" id="18"/>
    <tableColumn name="備註" id="19"/>
    <tableColumn name="是否紀錄於總表?" id="20"/>
  </tableColumns>
  <tableStyleInfo name="收支紀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vroqi1W-CkwD_D_KcMMd9Rnzw8A74bxLw-knX-zkFkM/edit" TargetMode="External"/><Relationship Id="rId2" Type="http://schemas.openxmlformats.org/officeDocument/2006/relationships/hyperlink" Target="https://docs.google.com/forms/d/e/1FAIpQLSeyAKWlsAsdlnUxOoEZU-QmxmryTNZ5vLNBuQ2BzJJOBtXdPA/viewform?usp=sf_link" TargetMode="External"/><Relationship Id="rId3" Type="http://schemas.openxmlformats.org/officeDocument/2006/relationships/hyperlink" Target="https://leadingmrk.com/google-sheet-form-account-book/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3" width="18.88"/>
    <col customWidth="1" min="4" max="4" width="28.75"/>
    <col customWidth="1" min="5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45487.51281059028</v>
      </c>
      <c r="B2" s="3" t="s">
        <v>20</v>
      </c>
      <c r="C2" s="4">
        <v>82.0</v>
      </c>
      <c r="D2" s="5">
        <v>45487.0</v>
      </c>
      <c r="E2" s="3"/>
      <c r="F2" s="3"/>
      <c r="G2" s="3"/>
      <c r="H2" s="3" t="s">
        <v>21</v>
      </c>
      <c r="I2" s="3"/>
      <c r="J2" s="3"/>
      <c r="K2" s="3"/>
      <c r="L2" s="3" t="s">
        <v>22</v>
      </c>
      <c r="M2" s="3"/>
      <c r="N2" s="3"/>
      <c r="O2" s="3"/>
      <c r="P2" s="3"/>
      <c r="Q2" s="3"/>
      <c r="R2" s="3"/>
      <c r="S2" s="3"/>
      <c r="T2" s="3"/>
    </row>
    <row r="3" ht="22.5" customHeight="1">
      <c r="A3" s="2">
        <v>45487.51320346065</v>
      </c>
      <c r="B3" s="3" t="s">
        <v>20</v>
      </c>
      <c r="C3" s="4">
        <v>148.0</v>
      </c>
      <c r="D3" s="5">
        <v>45487.0</v>
      </c>
      <c r="E3" s="3"/>
      <c r="F3" s="3"/>
      <c r="G3" s="3"/>
      <c r="H3" s="3" t="s">
        <v>21</v>
      </c>
      <c r="I3" s="3"/>
      <c r="J3" s="3"/>
      <c r="K3" s="3"/>
      <c r="L3" s="3" t="s">
        <v>23</v>
      </c>
      <c r="M3" s="3"/>
      <c r="N3" s="3"/>
      <c r="O3" s="3"/>
      <c r="P3" s="3"/>
      <c r="Q3" s="3"/>
      <c r="R3" s="3"/>
      <c r="S3" s="3"/>
      <c r="T3" s="3"/>
    </row>
    <row r="4" ht="22.5" customHeight="1">
      <c r="A4" s="2">
        <v>45487.513509895834</v>
      </c>
      <c r="B4" s="3" t="s">
        <v>20</v>
      </c>
      <c r="C4" s="4">
        <v>100.0</v>
      </c>
      <c r="D4" s="5">
        <v>45487.0</v>
      </c>
      <c r="E4" s="3"/>
      <c r="F4" s="3"/>
      <c r="G4" s="3"/>
      <c r="H4" s="3" t="s">
        <v>24</v>
      </c>
      <c r="I4" s="3"/>
      <c r="J4" s="3"/>
      <c r="K4" s="3"/>
      <c r="L4" s="3"/>
      <c r="M4" s="3" t="s">
        <v>25</v>
      </c>
      <c r="N4" s="3"/>
      <c r="O4" s="3"/>
      <c r="P4" s="3"/>
      <c r="Q4" s="3"/>
      <c r="R4" s="3"/>
      <c r="S4" s="3"/>
      <c r="T4" s="3"/>
    </row>
    <row r="5" ht="22.5" customHeight="1">
      <c r="A5" s="2">
        <v>45487.513733125</v>
      </c>
      <c r="B5" s="3" t="s">
        <v>20</v>
      </c>
      <c r="C5" s="4">
        <v>60.0</v>
      </c>
      <c r="D5" s="5">
        <v>45487.0</v>
      </c>
      <c r="E5" s="3"/>
      <c r="F5" s="3"/>
      <c r="G5" s="3"/>
      <c r="H5" s="3" t="s">
        <v>26</v>
      </c>
      <c r="I5" s="3"/>
      <c r="J5" s="3" t="s">
        <v>27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ht="22.5" customHeight="1">
      <c r="A6" s="2">
        <v>45487.51392228009</v>
      </c>
      <c r="B6" s="3" t="s">
        <v>20</v>
      </c>
      <c r="C6" s="4">
        <v>77.0</v>
      </c>
      <c r="D6" s="5">
        <v>45487.0</v>
      </c>
      <c r="E6" s="3"/>
      <c r="F6" s="3"/>
      <c r="G6" s="3"/>
      <c r="H6" s="3" t="s">
        <v>21</v>
      </c>
      <c r="I6" s="3"/>
      <c r="J6" s="3"/>
      <c r="K6" s="3"/>
      <c r="L6" s="3" t="s">
        <v>22</v>
      </c>
      <c r="M6" s="3"/>
      <c r="N6" s="3"/>
      <c r="O6" s="3"/>
      <c r="P6" s="3"/>
      <c r="Q6" s="3"/>
      <c r="R6" s="3"/>
      <c r="S6" s="3"/>
      <c r="T6" s="3"/>
    </row>
    <row r="7" ht="22.5" customHeight="1">
      <c r="A7" s="2">
        <v>45487.51412695602</v>
      </c>
      <c r="B7" s="3" t="s">
        <v>20</v>
      </c>
      <c r="C7" s="4">
        <v>380.0</v>
      </c>
      <c r="D7" s="5">
        <v>45487.0</v>
      </c>
      <c r="E7" s="3"/>
      <c r="F7" s="3"/>
      <c r="G7" s="3"/>
      <c r="H7" s="3" t="s">
        <v>28</v>
      </c>
      <c r="I7" s="3" t="s">
        <v>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22.5" customHeight="1">
      <c r="A8" s="2">
        <v>45487.51453959491</v>
      </c>
      <c r="B8" s="3" t="s">
        <v>20</v>
      </c>
      <c r="C8" s="4">
        <v>510.0</v>
      </c>
      <c r="D8" s="5">
        <v>45487.0</v>
      </c>
      <c r="E8" s="3"/>
      <c r="F8" s="3"/>
      <c r="G8" s="3"/>
      <c r="H8" s="3" t="s">
        <v>28</v>
      </c>
      <c r="I8" s="3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22.5" customHeight="1">
      <c r="A9" s="2">
        <v>45487.51480895834</v>
      </c>
      <c r="B9" s="3" t="s">
        <v>20</v>
      </c>
      <c r="C9" s="4">
        <v>359.0</v>
      </c>
      <c r="D9" s="5">
        <v>45487.0</v>
      </c>
      <c r="E9" s="3"/>
      <c r="F9" s="3"/>
      <c r="G9" s="3"/>
      <c r="H9" s="3" t="s">
        <v>26</v>
      </c>
      <c r="I9" s="3"/>
      <c r="J9" s="3" t="s">
        <v>27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ht="22.5" customHeight="1">
      <c r="A10" s="2">
        <v>45487.51497402778</v>
      </c>
      <c r="B10" s="3" t="s">
        <v>20</v>
      </c>
      <c r="C10" s="4">
        <v>233.0</v>
      </c>
      <c r="D10" s="5">
        <v>45487.0</v>
      </c>
      <c r="E10" s="3"/>
      <c r="F10" s="3"/>
      <c r="G10" s="3"/>
      <c r="H10" s="3" t="s">
        <v>26</v>
      </c>
      <c r="I10" s="3"/>
      <c r="J10" s="3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22.5" customHeight="1">
      <c r="A11" s="2">
        <v>45487.51516045139</v>
      </c>
      <c r="B11" s="3" t="s">
        <v>20</v>
      </c>
      <c r="C11" s="4">
        <v>20.0</v>
      </c>
      <c r="D11" s="5">
        <v>45487.0</v>
      </c>
      <c r="E11" s="3"/>
      <c r="F11" s="3"/>
      <c r="G11" s="3"/>
      <c r="H11" s="3" t="s">
        <v>21</v>
      </c>
      <c r="I11" s="3"/>
      <c r="J11" s="3"/>
      <c r="K11" s="3"/>
      <c r="L11" s="3" t="s">
        <v>31</v>
      </c>
      <c r="M11" s="3"/>
      <c r="N11" s="3"/>
      <c r="O11" s="3"/>
      <c r="P11" s="3"/>
      <c r="Q11" s="3"/>
      <c r="R11" s="3"/>
      <c r="S11" s="3"/>
      <c r="T11" s="3"/>
    </row>
    <row r="12" ht="22.5" customHeight="1">
      <c r="A12" s="2">
        <v>45487.51531038195</v>
      </c>
      <c r="B12" s="3" t="s">
        <v>20</v>
      </c>
      <c r="C12" s="4">
        <v>78.0</v>
      </c>
      <c r="D12" s="5">
        <v>45487.0</v>
      </c>
      <c r="E12" s="3"/>
      <c r="F12" s="3"/>
      <c r="G12" s="3"/>
      <c r="H12" s="3" t="s">
        <v>28</v>
      </c>
      <c r="I12" s="3" t="s">
        <v>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22.5" customHeight="1">
      <c r="A13" s="2">
        <v>45487.51546059028</v>
      </c>
      <c r="B13" s="3" t="s">
        <v>20</v>
      </c>
      <c r="C13" s="4">
        <v>515.0</v>
      </c>
      <c r="D13" s="5">
        <v>45487.0</v>
      </c>
      <c r="E13" s="3"/>
      <c r="F13" s="3"/>
      <c r="G13" s="3"/>
      <c r="H13" s="3" t="s">
        <v>24</v>
      </c>
      <c r="I13" s="3"/>
      <c r="J13" s="3"/>
      <c r="K13" s="3"/>
      <c r="L13" s="3"/>
      <c r="M13" s="3" t="s">
        <v>32</v>
      </c>
      <c r="N13" s="3"/>
      <c r="O13" s="3"/>
      <c r="P13" s="3"/>
      <c r="Q13" s="3"/>
      <c r="R13" s="3"/>
      <c r="S13" s="3"/>
      <c r="T13" s="3"/>
    </row>
    <row r="14" ht="22.5" customHeight="1">
      <c r="A14" s="2">
        <v>45487.51565479167</v>
      </c>
      <c r="B14" s="3" t="s">
        <v>20</v>
      </c>
      <c r="C14" s="4">
        <v>1303.0</v>
      </c>
      <c r="D14" s="5">
        <v>45487.0</v>
      </c>
      <c r="E14" s="3"/>
      <c r="F14" s="3"/>
      <c r="G14" s="3"/>
      <c r="H14" s="3" t="s">
        <v>28</v>
      </c>
      <c r="I14" s="3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22.5" customHeight="1">
      <c r="A15" s="2">
        <v>45487.515843229165</v>
      </c>
      <c r="B15" s="3" t="s">
        <v>20</v>
      </c>
      <c r="C15" s="4">
        <v>180.0</v>
      </c>
      <c r="D15" s="5">
        <v>45487.0</v>
      </c>
      <c r="E15" s="3"/>
      <c r="F15" s="3"/>
      <c r="G15" s="3"/>
      <c r="H15" s="3" t="s">
        <v>24</v>
      </c>
      <c r="I15" s="3"/>
      <c r="J15" s="3"/>
      <c r="K15" s="3"/>
      <c r="L15" s="3"/>
      <c r="M15" s="3" t="s">
        <v>25</v>
      </c>
      <c r="N15" s="3"/>
      <c r="O15" s="3"/>
      <c r="P15" s="3"/>
      <c r="Q15" s="3"/>
      <c r="R15" s="3"/>
      <c r="S15" s="3"/>
      <c r="T15" s="3"/>
    </row>
    <row r="16" ht="22.5" customHeight="1">
      <c r="A16" s="2">
        <v>45487.516022094904</v>
      </c>
      <c r="B16" s="3" t="s">
        <v>20</v>
      </c>
      <c r="C16" s="4">
        <v>520.0</v>
      </c>
      <c r="D16" s="5">
        <v>45487.0</v>
      </c>
      <c r="E16" s="3"/>
      <c r="F16" s="3"/>
      <c r="G16" s="3"/>
      <c r="H16" s="3" t="s">
        <v>28</v>
      </c>
      <c r="I16" s="3" t="s">
        <v>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22.5" customHeight="1">
      <c r="A17" s="2">
        <v>45487.51618914352</v>
      </c>
      <c r="B17" s="3" t="s">
        <v>20</v>
      </c>
      <c r="C17" s="4">
        <v>211.0</v>
      </c>
      <c r="D17" s="5">
        <v>45487.0</v>
      </c>
      <c r="E17" s="3"/>
      <c r="F17" s="3"/>
      <c r="G17" s="3"/>
      <c r="H17" s="3" t="s">
        <v>28</v>
      </c>
      <c r="I17" s="3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22.5" customHeight="1">
      <c r="A18" s="2">
        <v>45487.516362442126</v>
      </c>
      <c r="B18" s="3" t="s">
        <v>20</v>
      </c>
      <c r="C18" s="4">
        <v>50.0</v>
      </c>
      <c r="D18" s="5">
        <v>45487.0</v>
      </c>
      <c r="E18" s="3"/>
      <c r="F18" s="3"/>
      <c r="G18" s="3"/>
      <c r="H18" s="3" t="s">
        <v>28</v>
      </c>
      <c r="I18" s="3" t="s">
        <v>35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22.5" customHeight="1">
      <c r="A19" s="2">
        <v>45487.51651212963</v>
      </c>
      <c r="B19" s="3" t="s">
        <v>20</v>
      </c>
      <c r="C19" s="4">
        <v>100.0</v>
      </c>
      <c r="D19" s="5">
        <v>45487.0</v>
      </c>
      <c r="E19" s="3"/>
      <c r="F19" s="3"/>
      <c r="G19" s="3"/>
      <c r="H19" s="3" t="s">
        <v>24</v>
      </c>
      <c r="I19" s="3"/>
      <c r="J19" s="3"/>
      <c r="K19" s="3"/>
      <c r="L19" s="3"/>
      <c r="M19" s="3" t="s">
        <v>25</v>
      </c>
      <c r="N19" s="3"/>
      <c r="O19" s="3"/>
      <c r="P19" s="3"/>
      <c r="Q19" s="3"/>
      <c r="R19" s="3"/>
      <c r="S19" s="3"/>
      <c r="T19" s="3"/>
    </row>
    <row r="20" ht="22.5" customHeight="1">
      <c r="A20" s="2">
        <v>45487.51670461806</v>
      </c>
      <c r="B20" s="3" t="s">
        <v>20</v>
      </c>
      <c r="C20" s="4">
        <v>930.0</v>
      </c>
      <c r="D20" s="5">
        <v>45487.0</v>
      </c>
      <c r="E20" s="3"/>
      <c r="F20" s="3"/>
      <c r="G20" s="3"/>
      <c r="H20" s="3" t="s">
        <v>21</v>
      </c>
      <c r="I20" s="3"/>
      <c r="J20" s="3"/>
      <c r="K20" s="3"/>
      <c r="L20" s="3" t="s">
        <v>36</v>
      </c>
      <c r="M20" s="3"/>
      <c r="N20" s="3"/>
      <c r="O20" s="3"/>
      <c r="P20" s="3"/>
      <c r="Q20" s="3"/>
      <c r="R20" s="3"/>
      <c r="S20" s="3"/>
      <c r="T20" s="3"/>
    </row>
    <row r="21" ht="22.5" customHeight="1">
      <c r="A21" s="2">
        <v>45487.517039502316</v>
      </c>
      <c r="B21" s="3" t="s">
        <v>20</v>
      </c>
      <c r="C21" s="4">
        <v>205.0</v>
      </c>
      <c r="D21" s="5">
        <v>45487.0</v>
      </c>
      <c r="E21" s="3"/>
      <c r="F21" s="3"/>
      <c r="G21" s="3"/>
      <c r="H21" s="3" t="s">
        <v>28</v>
      </c>
      <c r="I21" s="3" t="s">
        <v>30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22.5" customHeight="1">
      <c r="A22" s="2">
        <v>45487.51720028935</v>
      </c>
      <c r="B22" s="3" t="s">
        <v>20</v>
      </c>
      <c r="C22" s="4">
        <v>99.0</v>
      </c>
      <c r="D22" s="5">
        <v>45487.0</v>
      </c>
      <c r="E22" s="3"/>
      <c r="F22" s="3"/>
      <c r="G22" s="3"/>
      <c r="H22" s="3" t="s">
        <v>28</v>
      </c>
      <c r="I22" s="3" t="s">
        <v>35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22.5" customHeight="1">
      <c r="A23" s="2">
        <v>45487.51734261574</v>
      </c>
      <c r="B23" s="3" t="s">
        <v>20</v>
      </c>
      <c r="C23" s="4">
        <v>379.0</v>
      </c>
      <c r="D23" s="5">
        <v>45487.0</v>
      </c>
      <c r="E23" s="3"/>
      <c r="F23" s="3"/>
      <c r="G23" s="3"/>
      <c r="H23" s="3" t="s">
        <v>28</v>
      </c>
      <c r="I23" s="3" t="s">
        <v>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22.5" customHeight="1">
      <c r="A24" s="2">
        <v>45487.51752583333</v>
      </c>
      <c r="B24" s="3" t="s">
        <v>20</v>
      </c>
      <c r="C24" s="4">
        <v>45.0</v>
      </c>
      <c r="D24" s="5">
        <v>45487.0</v>
      </c>
      <c r="E24" s="3"/>
      <c r="F24" s="3"/>
      <c r="G24" s="3"/>
      <c r="H24" s="3" t="s">
        <v>21</v>
      </c>
      <c r="I24" s="3"/>
      <c r="J24" s="3"/>
      <c r="K24" s="3"/>
      <c r="L24" s="3" t="s">
        <v>31</v>
      </c>
      <c r="M24" s="3"/>
      <c r="N24" s="3"/>
      <c r="O24" s="3"/>
      <c r="P24" s="3"/>
      <c r="Q24" s="3"/>
      <c r="R24" s="3"/>
      <c r="S24" s="3"/>
      <c r="T24" s="3"/>
    </row>
    <row r="25" ht="22.5" customHeight="1">
      <c r="A25" s="2">
        <v>45487.51771238426</v>
      </c>
      <c r="B25" s="3" t="s">
        <v>20</v>
      </c>
      <c r="C25" s="4">
        <v>798.0</v>
      </c>
      <c r="D25" s="5">
        <v>45487.0</v>
      </c>
      <c r="E25" s="3"/>
      <c r="F25" s="3"/>
      <c r="G25" s="3"/>
      <c r="H25" s="3" t="s">
        <v>24</v>
      </c>
      <c r="I25" s="3"/>
      <c r="J25" s="3"/>
      <c r="K25" s="3"/>
      <c r="L25" s="3"/>
      <c r="M25" s="3" t="s">
        <v>37</v>
      </c>
      <c r="N25" s="3"/>
      <c r="O25" s="3"/>
      <c r="P25" s="3"/>
      <c r="Q25" s="3"/>
      <c r="R25" s="3"/>
      <c r="S25" s="3"/>
      <c r="T25" s="3"/>
    </row>
    <row r="26" ht="22.5" customHeight="1">
      <c r="A26" s="2">
        <v>45487.51787024306</v>
      </c>
      <c r="B26" s="3" t="s">
        <v>20</v>
      </c>
      <c r="C26" s="4">
        <v>391.0</v>
      </c>
      <c r="D26" s="5">
        <v>45487.0</v>
      </c>
      <c r="E26" s="3"/>
      <c r="F26" s="3"/>
      <c r="G26" s="3"/>
      <c r="H26" s="3" t="s">
        <v>28</v>
      </c>
      <c r="I26" s="3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22.5" customHeight="1">
      <c r="A27" s="2">
        <v>45487.518051527775</v>
      </c>
      <c r="B27" s="3" t="s">
        <v>20</v>
      </c>
      <c r="C27" s="4">
        <v>50.0</v>
      </c>
      <c r="D27" s="5">
        <v>45487.0</v>
      </c>
      <c r="E27" s="3"/>
      <c r="F27" s="3"/>
      <c r="G27" s="3"/>
      <c r="H27" s="3" t="s">
        <v>21</v>
      </c>
      <c r="I27" s="3"/>
      <c r="J27" s="3"/>
      <c r="K27" s="3"/>
      <c r="L27" s="3" t="s">
        <v>31</v>
      </c>
      <c r="M27" s="3"/>
      <c r="N27" s="3"/>
      <c r="O27" s="3"/>
      <c r="P27" s="3"/>
      <c r="Q27" s="3"/>
      <c r="R27" s="3"/>
      <c r="S27" s="3"/>
      <c r="T27" s="3"/>
    </row>
    <row r="28" ht="22.5" customHeight="1">
      <c r="A28" s="2">
        <v>45487.51847319445</v>
      </c>
      <c r="B28" s="3" t="s">
        <v>20</v>
      </c>
      <c r="C28" s="4">
        <v>250.0</v>
      </c>
      <c r="D28" s="5">
        <v>45487.0</v>
      </c>
      <c r="E28" s="3"/>
      <c r="F28" s="3"/>
      <c r="G28" s="3"/>
      <c r="H28" s="3" t="s">
        <v>28</v>
      </c>
      <c r="I28" s="3" t="s">
        <v>35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2.5" customHeight="1">
      <c r="A29" s="2">
        <v>45487.51867954861</v>
      </c>
      <c r="B29" s="3" t="s">
        <v>20</v>
      </c>
      <c r="C29" s="4">
        <v>460.0</v>
      </c>
      <c r="D29" s="5">
        <v>45487.0</v>
      </c>
      <c r="E29" s="3"/>
      <c r="F29" s="3"/>
      <c r="G29" s="3"/>
      <c r="H29" s="3" t="s">
        <v>21</v>
      </c>
      <c r="I29" s="3"/>
      <c r="J29" s="3"/>
      <c r="K29" s="3"/>
      <c r="L29" s="3" t="s">
        <v>22</v>
      </c>
      <c r="M29" s="3"/>
      <c r="N29" s="3"/>
      <c r="O29" s="3"/>
      <c r="P29" s="3"/>
      <c r="Q29" s="3"/>
      <c r="R29" s="3"/>
      <c r="S29" s="3"/>
      <c r="T29" s="3"/>
    </row>
    <row r="30" ht="22.5" customHeight="1">
      <c r="A30" s="2">
        <v>45487.91049736111</v>
      </c>
      <c r="B30" s="3" t="s">
        <v>20</v>
      </c>
      <c r="C30" s="4">
        <v>1118.0</v>
      </c>
      <c r="D30" s="5">
        <v>45487.0</v>
      </c>
      <c r="E30" s="3"/>
      <c r="F30" s="3"/>
      <c r="G30" s="3"/>
      <c r="H30" s="3" t="s">
        <v>28</v>
      </c>
      <c r="I30" s="3" t="s">
        <v>34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22.5" customHeight="1">
      <c r="A31" s="2">
        <v>45488.3498306713</v>
      </c>
      <c r="B31" s="3" t="s">
        <v>20</v>
      </c>
      <c r="C31" s="4">
        <v>82.0</v>
      </c>
      <c r="D31" s="6">
        <v>45488.0</v>
      </c>
      <c r="E31" s="3"/>
      <c r="F31" s="3"/>
      <c r="G31" s="3"/>
      <c r="H31" s="3" t="s">
        <v>21</v>
      </c>
      <c r="I31" s="3"/>
      <c r="J31" s="3"/>
      <c r="K31" s="3"/>
      <c r="L31" s="3" t="s">
        <v>22</v>
      </c>
      <c r="M31" s="3"/>
      <c r="N31" s="3"/>
      <c r="O31" s="3"/>
      <c r="P31" s="3"/>
      <c r="Q31" s="3"/>
      <c r="R31" s="3"/>
      <c r="S31" s="3"/>
      <c r="T31" s="3"/>
    </row>
    <row r="32" ht="22.5" customHeight="1">
      <c r="A32" s="2">
        <v>45490.00174194445</v>
      </c>
      <c r="B32" s="3" t="s">
        <v>38</v>
      </c>
      <c r="C32" s="4">
        <v>930.0</v>
      </c>
      <c r="D32" s="6">
        <v>45489.0</v>
      </c>
      <c r="E32" s="3" t="s">
        <v>39</v>
      </c>
      <c r="F32" s="3"/>
      <c r="G32" s="3" t="s">
        <v>40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41</v>
      </c>
      <c r="T32" s="3" t="s">
        <v>42</v>
      </c>
    </row>
    <row r="33" ht="22.5" customHeight="1">
      <c r="A33" s="2">
        <v>45491.96831664351</v>
      </c>
      <c r="B33" s="3" t="s">
        <v>20</v>
      </c>
      <c r="C33" s="4">
        <v>100.0</v>
      </c>
      <c r="D33" s="6">
        <v>45490.0</v>
      </c>
      <c r="E33" s="3"/>
      <c r="F33" s="3"/>
      <c r="G33" s="3"/>
      <c r="H33" s="3" t="s">
        <v>24</v>
      </c>
      <c r="I33" s="3"/>
      <c r="J33" s="3"/>
      <c r="K33" s="3"/>
      <c r="L33" s="3"/>
      <c r="M33" s="3" t="s">
        <v>25</v>
      </c>
      <c r="N33" s="3"/>
      <c r="O33" s="3"/>
      <c r="P33" s="3"/>
      <c r="Q33" s="3"/>
      <c r="R33" s="3"/>
      <c r="S33" s="3"/>
      <c r="T33" s="3"/>
    </row>
    <row r="34" ht="22.5" customHeight="1">
      <c r="A34" s="2">
        <v>45491.96859464121</v>
      </c>
      <c r="B34" s="3" t="s">
        <v>20</v>
      </c>
      <c r="C34" s="4">
        <v>23.0</v>
      </c>
      <c r="D34" s="6">
        <v>45490.0</v>
      </c>
      <c r="E34" s="3"/>
      <c r="F34" s="3"/>
      <c r="G34" s="3"/>
      <c r="H34" s="3" t="s">
        <v>28</v>
      </c>
      <c r="I34" s="3" t="s">
        <v>43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22.5" customHeight="1">
      <c r="A35" s="2">
        <v>45493.35693013889</v>
      </c>
      <c r="B35" s="3" t="s">
        <v>20</v>
      </c>
      <c r="C35" s="4">
        <v>145.0</v>
      </c>
      <c r="D35" s="6">
        <v>45493.0</v>
      </c>
      <c r="E35" s="3"/>
      <c r="F35" s="3"/>
      <c r="G35" s="3"/>
      <c r="H35" s="3" t="s">
        <v>28</v>
      </c>
      <c r="I35" s="3" t="s">
        <v>29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22.5" customHeight="1">
      <c r="A36" s="2">
        <v>45493.40562556713</v>
      </c>
      <c r="B36" s="3" t="s">
        <v>20</v>
      </c>
      <c r="C36" s="4">
        <v>48.0</v>
      </c>
      <c r="D36" s="6">
        <v>45493.0</v>
      </c>
      <c r="E36" s="3"/>
      <c r="F36" s="3"/>
      <c r="G36" s="3"/>
      <c r="H36" s="3" t="s">
        <v>28</v>
      </c>
      <c r="I36" s="3" t="s">
        <v>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22.5" customHeight="1">
      <c r="A37" s="2">
        <v>45494.33977947917</v>
      </c>
      <c r="B37" s="3" t="s">
        <v>20</v>
      </c>
      <c r="C37" s="4">
        <v>58.0</v>
      </c>
      <c r="D37" s="6">
        <v>45494.0</v>
      </c>
      <c r="E37" s="3"/>
      <c r="F37" s="3"/>
      <c r="G37" s="3"/>
      <c r="H37" s="3" t="s">
        <v>28</v>
      </c>
      <c r="I37" s="3" t="s">
        <v>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22.5" customHeight="1">
      <c r="A38" s="2">
        <v>45494.88618296296</v>
      </c>
      <c r="B38" s="3" t="s">
        <v>20</v>
      </c>
      <c r="C38" s="4">
        <v>200.0</v>
      </c>
      <c r="D38" s="6">
        <v>45494.0</v>
      </c>
      <c r="E38" s="3"/>
      <c r="F38" s="3"/>
      <c r="G38" s="3"/>
      <c r="H38" s="3" t="s">
        <v>28</v>
      </c>
      <c r="I38" s="3" t="s">
        <v>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22.5" customHeight="1">
      <c r="A39" s="2">
        <v>45494.88651980324</v>
      </c>
      <c r="B39" s="3" t="s">
        <v>20</v>
      </c>
      <c r="C39" s="4">
        <v>140.0</v>
      </c>
      <c r="D39" s="6">
        <v>45494.0</v>
      </c>
      <c r="E39" s="3"/>
      <c r="F39" s="3"/>
      <c r="G39" s="3"/>
      <c r="H39" s="3" t="s">
        <v>24</v>
      </c>
      <c r="I39" s="3"/>
      <c r="J39" s="3"/>
      <c r="K39" s="3"/>
      <c r="L39" s="3"/>
      <c r="M39" s="3" t="s">
        <v>25</v>
      </c>
      <c r="N39" s="3"/>
      <c r="O39" s="3"/>
      <c r="P39" s="3"/>
      <c r="Q39" s="3"/>
      <c r="R39" s="3"/>
      <c r="S39" s="3"/>
      <c r="T39" s="3"/>
    </row>
    <row r="40" ht="22.5" customHeight="1">
      <c r="A40" s="2">
        <v>45494.88681792824</v>
      </c>
      <c r="B40" s="3" t="s">
        <v>20</v>
      </c>
      <c r="C40" s="4">
        <v>400.0</v>
      </c>
      <c r="D40" s="6">
        <v>45494.0</v>
      </c>
      <c r="E40" s="3"/>
      <c r="F40" s="3"/>
      <c r="G40" s="3"/>
      <c r="H40" s="3" t="s">
        <v>28</v>
      </c>
      <c r="I40" s="3" t="s">
        <v>34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22.5" customHeight="1">
      <c r="A41" s="2">
        <v>45497.32710115741</v>
      </c>
      <c r="B41" s="3" t="s">
        <v>20</v>
      </c>
      <c r="C41" s="4">
        <v>50.0</v>
      </c>
      <c r="D41" s="6">
        <v>45497.0</v>
      </c>
      <c r="E41" s="3"/>
      <c r="F41" s="3"/>
      <c r="G41" s="3"/>
      <c r="H41" s="3" t="s">
        <v>28</v>
      </c>
      <c r="I41" s="3" t="s">
        <v>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22.5" customHeight="1">
      <c r="A42" s="2">
        <v>45497.438169375004</v>
      </c>
      <c r="B42" s="3" t="s">
        <v>20</v>
      </c>
      <c r="C42" s="4">
        <v>723.0</v>
      </c>
      <c r="D42" s="6">
        <v>45497.0</v>
      </c>
      <c r="E42" s="3"/>
      <c r="F42" s="3"/>
      <c r="G42" s="3"/>
      <c r="H42" s="3" t="s">
        <v>21</v>
      </c>
      <c r="I42" s="3"/>
      <c r="J42" s="3"/>
      <c r="K42" s="3"/>
      <c r="L42" s="3" t="s">
        <v>23</v>
      </c>
      <c r="M42" s="3"/>
      <c r="N42" s="3"/>
      <c r="O42" s="3"/>
      <c r="P42" s="3"/>
      <c r="Q42" s="3"/>
      <c r="R42" s="3"/>
      <c r="S42" s="3"/>
      <c r="T42" s="3"/>
    </row>
    <row r="43" ht="22.5" customHeight="1">
      <c r="A43" s="2">
        <v>45499.93923019676</v>
      </c>
      <c r="B43" s="3" t="s">
        <v>20</v>
      </c>
      <c r="C43" s="4">
        <v>600.0</v>
      </c>
      <c r="D43" s="6">
        <v>45499.0</v>
      </c>
      <c r="E43" s="3"/>
      <c r="F43" s="3"/>
      <c r="G43" s="3"/>
      <c r="H43" s="3" t="s">
        <v>24</v>
      </c>
      <c r="I43" s="3"/>
      <c r="J43" s="3"/>
      <c r="K43" s="3"/>
      <c r="L43" s="3"/>
      <c r="M43" s="3" t="s">
        <v>45</v>
      </c>
      <c r="N43" s="3"/>
      <c r="O43" s="3"/>
      <c r="P43" s="3"/>
      <c r="Q43" s="3"/>
      <c r="R43" s="3"/>
      <c r="S43" s="3"/>
      <c r="T43" s="3"/>
    </row>
    <row r="44" ht="22.5" customHeight="1">
      <c r="A44" s="2">
        <v>45500.347006435186</v>
      </c>
      <c r="B44" s="3" t="s">
        <v>20</v>
      </c>
      <c r="C44" s="4">
        <v>20.0</v>
      </c>
      <c r="D44" s="6">
        <v>45500.0</v>
      </c>
      <c r="E44" s="3"/>
      <c r="F44" s="3"/>
      <c r="G44" s="3"/>
      <c r="H44" s="3" t="s">
        <v>21</v>
      </c>
      <c r="I44" s="3"/>
      <c r="J44" s="3"/>
      <c r="K44" s="3"/>
      <c r="L44" s="3" t="s">
        <v>46</v>
      </c>
      <c r="M44" s="3"/>
      <c r="N44" s="3"/>
      <c r="O44" s="3"/>
      <c r="P44" s="3"/>
      <c r="Q44" s="3"/>
      <c r="R44" s="3"/>
      <c r="S44" s="3"/>
      <c r="T44" s="3"/>
    </row>
    <row r="45" ht="22.5" customHeight="1">
      <c r="A45" s="2">
        <v>45500.829484456015</v>
      </c>
      <c r="B45" s="3" t="s">
        <v>20</v>
      </c>
      <c r="C45" s="4">
        <v>320.0</v>
      </c>
      <c r="D45" s="6">
        <v>45500.0</v>
      </c>
      <c r="E45" s="3"/>
      <c r="F45" s="3"/>
      <c r="G45" s="3"/>
      <c r="H45" s="3" t="s">
        <v>28</v>
      </c>
      <c r="I45" s="3" t="s">
        <v>30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22.5" customHeight="1">
      <c r="A46" s="2">
        <v>45500.89075202546</v>
      </c>
      <c r="B46" s="3" t="s">
        <v>20</v>
      </c>
      <c r="C46" s="4">
        <v>424.0</v>
      </c>
      <c r="D46" s="6">
        <v>45500.0</v>
      </c>
      <c r="E46" s="3"/>
      <c r="F46" s="3"/>
      <c r="G46" s="3"/>
      <c r="H46" s="3" t="s">
        <v>21</v>
      </c>
      <c r="I46" s="3"/>
      <c r="J46" s="3"/>
      <c r="K46" s="3"/>
      <c r="L46" s="3" t="s">
        <v>23</v>
      </c>
      <c r="M46" s="3"/>
      <c r="N46" s="3"/>
      <c r="O46" s="3"/>
      <c r="P46" s="3"/>
      <c r="Q46" s="3"/>
      <c r="R46" s="3"/>
      <c r="S46" s="3"/>
      <c r="T46" s="3"/>
    </row>
    <row r="47" ht="22.5" customHeight="1">
      <c r="A47" s="2">
        <v>45500.89104153935</v>
      </c>
      <c r="B47" s="3" t="s">
        <v>20</v>
      </c>
      <c r="C47" s="4">
        <v>284.0</v>
      </c>
      <c r="D47" s="6">
        <v>45500.0</v>
      </c>
      <c r="E47" s="3"/>
      <c r="F47" s="3"/>
      <c r="G47" s="3"/>
      <c r="H47" s="3" t="s">
        <v>26</v>
      </c>
      <c r="I47" s="3"/>
      <c r="J47" s="3" t="s">
        <v>27</v>
      </c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22.5" customHeight="1">
      <c r="A48" s="2">
        <v>45501.36835103009</v>
      </c>
      <c r="B48" s="3" t="s">
        <v>20</v>
      </c>
      <c r="C48" s="4">
        <v>157.0</v>
      </c>
      <c r="D48" s="6">
        <v>45501.0</v>
      </c>
      <c r="E48" s="3"/>
      <c r="F48" s="3"/>
      <c r="G48" s="3"/>
      <c r="H48" s="3" t="s">
        <v>28</v>
      </c>
      <c r="I48" s="3" t="s">
        <v>29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22.5" customHeight="1">
      <c r="A49" s="2">
        <v>45501.93584553241</v>
      </c>
      <c r="B49" s="3" t="s">
        <v>20</v>
      </c>
      <c r="C49" s="4">
        <v>6600.0</v>
      </c>
      <c r="D49" s="6">
        <v>45501.0</v>
      </c>
      <c r="E49" s="3"/>
      <c r="F49" s="3"/>
      <c r="G49" s="3"/>
      <c r="H49" s="3" t="s">
        <v>16</v>
      </c>
      <c r="I49" s="3"/>
      <c r="J49" s="3"/>
      <c r="K49" s="3"/>
      <c r="L49" s="3"/>
      <c r="M49" s="3"/>
      <c r="N49" s="3"/>
      <c r="O49" s="3"/>
      <c r="P49" s="3"/>
      <c r="Q49" s="3" t="s">
        <v>47</v>
      </c>
      <c r="R49" s="3"/>
      <c r="S49" s="3" t="s">
        <v>48</v>
      </c>
      <c r="T49" s="3" t="s">
        <v>42</v>
      </c>
    </row>
    <row r="50" ht="22.5" customHeight="1">
      <c r="A50" s="2">
        <v>45501.93653278935</v>
      </c>
      <c r="B50" s="3" t="s">
        <v>20</v>
      </c>
      <c r="C50" s="4">
        <v>20.0</v>
      </c>
      <c r="D50" s="6">
        <v>45501.0</v>
      </c>
      <c r="E50" s="3"/>
      <c r="F50" s="3"/>
      <c r="G50" s="3"/>
      <c r="H50" s="3" t="s">
        <v>24</v>
      </c>
      <c r="I50" s="3"/>
      <c r="J50" s="3"/>
      <c r="K50" s="3"/>
      <c r="L50" s="3"/>
      <c r="M50" s="3" t="s">
        <v>49</v>
      </c>
      <c r="N50" s="3"/>
      <c r="O50" s="3"/>
      <c r="P50" s="3"/>
      <c r="Q50" s="3"/>
      <c r="R50" s="3"/>
      <c r="S50" s="3"/>
      <c r="T50" s="3"/>
    </row>
    <row r="51" ht="22.5" customHeight="1">
      <c r="A51" s="2">
        <v>45501.936945856476</v>
      </c>
      <c r="B51" s="3" t="s">
        <v>20</v>
      </c>
      <c r="C51" s="4">
        <v>218.0</v>
      </c>
      <c r="D51" s="6">
        <v>45501.0</v>
      </c>
      <c r="E51" s="3"/>
      <c r="F51" s="3"/>
      <c r="G51" s="3"/>
      <c r="H51" s="3" t="s">
        <v>28</v>
      </c>
      <c r="I51" s="3" t="s">
        <v>30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22.5" customHeight="1">
      <c r="A52" s="2">
        <v>45503.01476535879</v>
      </c>
      <c r="B52" s="3" t="s">
        <v>20</v>
      </c>
      <c r="C52" s="4">
        <v>728.0</v>
      </c>
      <c r="D52" s="6">
        <v>45503.0</v>
      </c>
      <c r="E52" s="3"/>
      <c r="F52" s="3"/>
      <c r="G52" s="3"/>
      <c r="H52" s="3" t="s">
        <v>26</v>
      </c>
      <c r="I52" s="3"/>
      <c r="J52" s="3" t="s">
        <v>50</v>
      </c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22.5" customHeight="1">
      <c r="A53" s="2">
        <v>45503.90629886574</v>
      </c>
      <c r="B53" s="3" t="s">
        <v>20</v>
      </c>
      <c r="C53" s="4">
        <v>384.0</v>
      </c>
      <c r="D53" s="6">
        <v>45503.0</v>
      </c>
      <c r="E53" s="3"/>
      <c r="F53" s="3"/>
      <c r="G53" s="3"/>
      <c r="H53" s="3" t="s">
        <v>51</v>
      </c>
      <c r="I53" s="3"/>
      <c r="J53" s="3"/>
      <c r="K53" s="3" t="s">
        <v>52</v>
      </c>
      <c r="L53" s="3"/>
      <c r="M53" s="3"/>
      <c r="N53" s="3"/>
      <c r="O53" s="3"/>
      <c r="P53" s="3"/>
      <c r="Q53" s="3"/>
      <c r="R53" s="3"/>
      <c r="S53" s="3" t="s">
        <v>53</v>
      </c>
      <c r="T53" s="3" t="s">
        <v>42</v>
      </c>
    </row>
    <row r="54" ht="22.5" customHeight="1">
      <c r="A54" s="2">
        <v>45504.826205081015</v>
      </c>
      <c r="B54" s="3" t="s">
        <v>20</v>
      </c>
      <c r="C54" s="4">
        <v>126.0</v>
      </c>
      <c r="D54" s="6">
        <v>45504.0</v>
      </c>
      <c r="E54" s="3"/>
      <c r="F54" s="3"/>
      <c r="G54" s="3"/>
      <c r="H54" s="3" t="s">
        <v>21</v>
      </c>
      <c r="I54" s="3"/>
      <c r="J54" s="3"/>
      <c r="K54" s="3"/>
      <c r="L54" s="3" t="s">
        <v>23</v>
      </c>
      <c r="M54" s="3"/>
      <c r="N54" s="3"/>
      <c r="O54" s="3"/>
      <c r="P54" s="3"/>
      <c r="Q54" s="3"/>
      <c r="R54" s="3"/>
      <c r="S54" s="3"/>
      <c r="T54" s="3"/>
    </row>
    <row r="55" ht="22.5" customHeight="1">
      <c r="A55" s="2">
        <v>45504.88714457176</v>
      </c>
      <c r="B55" s="3" t="s">
        <v>20</v>
      </c>
      <c r="C55" s="4">
        <v>160.0</v>
      </c>
      <c r="D55" s="6">
        <v>45504.0</v>
      </c>
      <c r="E55" s="3"/>
      <c r="F55" s="3"/>
      <c r="G55" s="3"/>
      <c r="H55" s="3" t="s">
        <v>24</v>
      </c>
      <c r="I55" s="3"/>
      <c r="J55" s="3"/>
      <c r="K55" s="3"/>
      <c r="L55" s="3"/>
      <c r="M55" s="3" t="s">
        <v>54</v>
      </c>
      <c r="N55" s="3"/>
      <c r="O55" s="3"/>
      <c r="P55" s="3"/>
      <c r="Q55" s="3"/>
      <c r="R55" s="3"/>
      <c r="S55" s="3" t="s">
        <v>55</v>
      </c>
      <c r="T55" s="3"/>
    </row>
    <row r="56" ht="22.5" customHeight="1">
      <c r="A56" s="2">
        <v>45505.93192594907</v>
      </c>
      <c r="B56" s="3" t="s">
        <v>20</v>
      </c>
      <c r="C56" s="4">
        <v>1500.0</v>
      </c>
      <c r="D56" s="6">
        <v>45502.0</v>
      </c>
      <c r="E56" s="3"/>
      <c r="F56" s="3"/>
      <c r="G56" s="3"/>
      <c r="H56" s="3" t="s">
        <v>26</v>
      </c>
      <c r="I56" s="3"/>
      <c r="J56" s="3" t="s">
        <v>27</v>
      </c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22.5" customHeight="1">
      <c r="A57" s="2">
        <v>45507.282193182866</v>
      </c>
      <c r="B57" s="3" t="s">
        <v>20</v>
      </c>
      <c r="C57" s="4">
        <v>794.0</v>
      </c>
      <c r="D57" s="6">
        <v>45506.0</v>
      </c>
      <c r="E57" s="3"/>
      <c r="F57" s="3"/>
      <c r="G57" s="3"/>
      <c r="H57" s="3" t="s">
        <v>21</v>
      </c>
      <c r="I57" s="3"/>
      <c r="J57" s="3"/>
      <c r="K57" s="3"/>
      <c r="L57" s="3" t="s">
        <v>23</v>
      </c>
      <c r="M57" s="3"/>
      <c r="N57" s="3"/>
      <c r="O57" s="3"/>
      <c r="P57" s="3"/>
      <c r="Q57" s="3"/>
      <c r="R57" s="3"/>
      <c r="S57" s="3"/>
      <c r="T57" s="3"/>
    </row>
    <row r="58" ht="22.5" customHeight="1">
      <c r="A58" s="2">
        <v>45507.282658842596</v>
      </c>
      <c r="B58" s="3" t="s">
        <v>20</v>
      </c>
      <c r="C58" s="4">
        <v>40.0</v>
      </c>
      <c r="D58" s="6">
        <v>45507.0</v>
      </c>
      <c r="E58" s="3"/>
      <c r="F58" s="3"/>
      <c r="G58" s="3"/>
      <c r="H58" s="3" t="s">
        <v>21</v>
      </c>
      <c r="I58" s="3"/>
      <c r="J58" s="3"/>
      <c r="K58" s="3"/>
      <c r="L58" s="3" t="s">
        <v>46</v>
      </c>
      <c r="M58" s="3"/>
      <c r="N58" s="3"/>
      <c r="O58" s="3"/>
      <c r="P58" s="3"/>
      <c r="Q58" s="3"/>
      <c r="R58" s="3"/>
      <c r="S58" s="3"/>
      <c r="T58" s="3"/>
    </row>
    <row r="59" ht="22.5" customHeight="1">
      <c r="A59" s="2">
        <v>45507.283010914354</v>
      </c>
      <c r="B59" s="3" t="s">
        <v>20</v>
      </c>
      <c r="C59" s="4">
        <v>765.0</v>
      </c>
      <c r="D59" s="6">
        <v>45507.0</v>
      </c>
      <c r="E59" s="3"/>
      <c r="F59" s="3"/>
      <c r="G59" s="3"/>
      <c r="H59" s="3" t="s">
        <v>21</v>
      </c>
      <c r="I59" s="3"/>
      <c r="J59" s="3"/>
      <c r="K59" s="3"/>
      <c r="L59" s="3" t="s">
        <v>36</v>
      </c>
      <c r="M59" s="3"/>
      <c r="N59" s="3"/>
      <c r="O59" s="3"/>
      <c r="P59" s="3"/>
      <c r="Q59" s="3"/>
      <c r="R59" s="3"/>
      <c r="S59" s="3"/>
      <c r="T59" s="3"/>
    </row>
    <row r="60" ht="22.5" customHeight="1">
      <c r="A60" s="2">
        <v>45508.65355123843</v>
      </c>
      <c r="B60" s="3" t="s">
        <v>20</v>
      </c>
      <c r="C60" s="4">
        <v>30.0</v>
      </c>
      <c r="D60" s="6">
        <v>45508.0</v>
      </c>
      <c r="E60" s="3"/>
      <c r="F60" s="3"/>
      <c r="G60" s="3"/>
      <c r="H60" s="3" t="s">
        <v>21</v>
      </c>
      <c r="I60" s="3"/>
      <c r="J60" s="3"/>
      <c r="K60" s="3"/>
      <c r="L60" s="3" t="s">
        <v>46</v>
      </c>
      <c r="M60" s="3"/>
      <c r="N60" s="3"/>
      <c r="O60" s="3"/>
      <c r="P60" s="3"/>
      <c r="Q60" s="3"/>
      <c r="R60" s="3"/>
      <c r="S60" s="3"/>
      <c r="T60" s="3"/>
    </row>
    <row r="61" ht="22.5" customHeight="1">
      <c r="A61" s="2">
        <v>45508.65382733796</v>
      </c>
      <c r="B61" s="3" t="s">
        <v>20</v>
      </c>
      <c r="C61" s="4">
        <v>765.0</v>
      </c>
      <c r="D61" s="6">
        <v>45508.0</v>
      </c>
      <c r="E61" s="3"/>
      <c r="F61" s="3"/>
      <c r="G61" s="3"/>
      <c r="H61" s="3" t="s">
        <v>21</v>
      </c>
      <c r="I61" s="3"/>
      <c r="J61" s="3"/>
      <c r="K61" s="3"/>
      <c r="L61" s="3" t="s">
        <v>36</v>
      </c>
      <c r="M61" s="3"/>
      <c r="N61" s="3"/>
      <c r="O61" s="3"/>
      <c r="P61" s="3"/>
      <c r="Q61" s="3"/>
      <c r="R61" s="3"/>
      <c r="S61" s="3"/>
      <c r="T61" s="3"/>
    </row>
    <row r="62" ht="22.5" customHeight="1">
      <c r="A62" s="2">
        <v>45508.654103692126</v>
      </c>
      <c r="B62" s="3" t="s">
        <v>20</v>
      </c>
      <c r="C62" s="4">
        <v>40.0</v>
      </c>
      <c r="D62" s="6">
        <v>45508.0</v>
      </c>
      <c r="E62" s="3"/>
      <c r="F62" s="3"/>
      <c r="G62" s="3"/>
      <c r="H62" s="3" t="s">
        <v>21</v>
      </c>
      <c r="I62" s="3"/>
      <c r="J62" s="3"/>
      <c r="K62" s="3"/>
      <c r="L62" s="3" t="s">
        <v>46</v>
      </c>
      <c r="M62" s="3"/>
      <c r="N62" s="3"/>
      <c r="O62" s="3"/>
      <c r="P62" s="3"/>
      <c r="Q62" s="3"/>
      <c r="R62" s="3"/>
      <c r="S62" s="3"/>
      <c r="T62" s="3"/>
    </row>
    <row r="63" ht="22.5" customHeight="1">
      <c r="A63" s="2">
        <v>45509.011423055555</v>
      </c>
      <c r="B63" s="3" t="s">
        <v>20</v>
      </c>
      <c r="C63" s="4">
        <v>30.0</v>
      </c>
      <c r="D63" s="6">
        <v>45507.0</v>
      </c>
      <c r="E63" s="3"/>
      <c r="F63" s="3"/>
      <c r="G63" s="3"/>
      <c r="H63" s="3" t="s">
        <v>21</v>
      </c>
      <c r="I63" s="3"/>
      <c r="J63" s="3"/>
      <c r="K63" s="3"/>
      <c r="L63" s="3" t="s">
        <v>46</v>
      </c>
      <c r="M63" s="3"/>
      <c r="N63" s="3"/>
      <c r="O63" s="3"/>
      <c r="P63" s="3"/>
      <c r="Q63" s="3"/>
      <c r="R63" s="3"/>
      <c r="S63" s="3"/>
      <c r="T63" s="3"/>
    </row>
    <row r="64" ht="22.5" customHeight="1">
      <c r="A64" s="2">
        <v>45509.011856087964</v>
      </c>
      <c r="B64" s="3" t="s">
        <v>20</v>
      </c>
      <c r="C64" s="4">
        <v>800.0</v>
      </c>
      <c r="D64" s="6">
        <v>45507.0</v>
      </c>
      <c r="E64" s="3"/>
      <c r="F64" s="3"/>
      <c r="G64" s="3"/>
      <c r="H64" s="3" t="s">
        <v>28</v>
      </c>
      <c r="I64" s="3" t="s">
        <v>44</v>
      </c>
      <c r="J64" s="3"/>
      <c r="K64" s="3"/>
      <c r="L64" s="3"/>
      <c r="M64" s="3"/>
      <c r="N64" s="3"/>
      <c r="O64" s="3"/>
      <c r="P64" s="3"/>
      <c r="Q64" s="3"/>
      <c r="R64" s="3"/>
      <c r="S64" s="3" t="s">
        <v>56</v>
      </c>
      <c r="T64" s="3"/>
    </row>
    <row r="65" ht="22.5" customHeight="1">
      <c r="A65" s="2">
        <v>45510.00802998843</v>
      </c>
      <c r="B65" s="3" t="s">
        <v>20</v>
      </c>
      <c r="C65" s="4">
        <v>375.0</v>
      </c>
      <c r="D65" s="6">
        <v>45493.0</v>
      </c>
      <c r="E65" s="3"/>
      <c r="F65" s="3"/>
      <c r="G65" s="3"/>
      <c r="H65" s="3" t="s">
        <v>28</v>
      </c>
      <c r="I65" s="3" t="s">
        <v>30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22.5" customHeight="1">
      <c r="A66" s="2">
        <v>45510.97415023149</v>
      </c>
      <c r="B66" s="3" t="s">
        <v>20</v>
      </c>
      <c r="C66" s="4">
        <v>2701.0</v>
      </c>
      <c r="D66" s="6">
        <v>45504.0</v>
      </c>
      <c r="E66" s="3"/>
      <c r="F66" s="3"/>
      <c r="G66" s="3"/>
      <c r="H66" s="3" t="s">
        <v>57</v>
      </c>
      <c r="I66" s="3"/>
      <c r="J66" s="3"/>
      <c r="K66" s="3"/>
      <c r="L66" s="3"/>
      <c r="M66" s="3"/>
      <c r="N66" s="3" t="s">
        <v>58</v>
      </c>
      <c r="O66" s="3"/>
      <c r="P66" s="3"/>
      <c r="Q66" s="3"/>
      <c r="R66" s="3"/>
      <c r="S66" s="3"/>
      <c r="T66" s="3"/>
    </row>
    <row r="67" ht="22.5" customHeight="1">
      <c r="A67" s="2">
        <v>45510.97455702546</v>
      </c>
      <c r="B67" s="3" t="s">
        <v>20</v>
      </c>
      <c r="C67" s="4">
        <v>515.0</v>
      </c>
      <c r="D67" s="6">
        <v>45509.0</v>
      </c>
      <c r="E67" s="3"/>
      <c r="F67" s="3"/>
      <c r="G67" s="3"/>
      <c r="H67" s="3" t="s">
        <v>24</v>
      </c>
      <c r="I67" s="3"/>
      <c r="J67" s="3"/>
      <c r="K67" s="3"/>
      <c r="L67" s="3"/>
      <c r="M67" s="3" t="s">
        <v>32</v>
      </c>
      <c r="N67" s="3"/>
      <c r="O67" s="3"/>
      <c r="P67" s="3"/>
      <c r="Q67" s="3"/>
      <c r="R67" s="3"/>
      <c r="S67" s="3"/>
      <c r="T67" s="3"/>
    </row>
    <row r="68" ht="22.5" customHeight="1">
      <c r="A68" s="2">
        <v>45510.974951145836</v>
      </c>
      <c r="B68" s="3" t="s">
        <v>20</v>
      </c>
      <c r="C68" s="4">
        <v>1603.0</v>
      </c>
      <c r="D68" s="6">
        <v>45509.0</v>
      </c>
      <c r="E68" s="3"/>
      <c r="F68" s="3"/>
      <c r="G68" s="3"/>
      <c r="H68" s="3" t="s">
        <v>28</v>
      </c>
      <c r="I68" s="3" t="s">
        <v>33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22.5" customHeight="1">
      <c r="A69" s="2">
        <v>45510.976270405095</v>
      </c>
      <c r="B69" s="3" t="s">
        <v>20</v>
      </c>
      <c r="C69" s="4">
        <v>3087.0</v>
      </c>
      <c r="D69" s="6">
        <v>45504.0</v>
      </c>
      <c r="E69" s="3"/>
      <c r="F69" s="3"/>
      <c r="G69" s="3"/>
      <c r="H69" s="3" t="s">
        <v>59</v>
      </c>
      <c r="I69" s="3"/>
      <c r="J69" s="3"/>
      <c r="K69" s="3"/>
      <c r="L69" s="3"/>
      <c r="M69" s="3"/>
      <c r="N69" s="3"/>
      <c r="O69" s="3"/>
      <c r="P69" s="3"/>
      <c r="Q69" s="3"/>
      <c r="R69" s="3" t="s">
        <v>60</v>
      </c>
      <c r="S69" s="3"/>
      <c r="T69" s="3"/>
    </row>
    <row r="70" ht="22.5" customHeight="1">
      <c r="A70" s="2">
        <v>45510.97714347222</v>
      </c>
      <c r="B70" s="3" t="s">
        <v>38</v>
      </c>
      <c r="C70" s="4">
        <v>102900.0</v>
      </c>
      <c r="D70" s="6">
        <v>45504.0</v>
      </c>
      <c r="E70" s="3" t="s">
        <v>61</v>
      </c>
      <c r="F70" s="3" t="s">
        <v>62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22.5" customHeight="1">
      <c r="A71" s="2">
        <v>45510.97777534722</v>
      </c>
      <c r="B71" s="3" t="s">
        <v>38</v>
      </c>
      <c r="C71" s="4">
        <v>17150.0</v>
      </c>
      <c r="D71" s="6">
        <v>45504.0</v>
      </c>
      <c r="E71" s="3" t="s">
        <v>61</v>
      </c>
      <c r="F71" s="3" t="s">
        <v>63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64</v>
      </c>
      <c r="T71" s="3" t="s">
        <v>42</v>
      </c>
    </row>
    <row r="72" ht="22.5" customHeight="1">
      <c r="A72" s="2">
        <v>45510.97939866898</v>
      </c>
      <c r="B72" s="3" t="s">
        <v>38</v>
      </c>
      <c r="C72" s="4">
        <v>5000.0</v>
      </c>
      <c r="D72" s="6">
        <v>45504.0</v>
      </c>
      <c r="E72" s="3" t="s">
        <v>61</v>
      </c>
      <c r="F72" s="3" t="s">
        <v>63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65</v>
      </c>
      <c r="T72" s="3" t="s">
        <v>42</v>
      </c>
    </row>
    <row r="73" ht="22.5" customHeight="1">
      <c r="A73" s="2">
        <v>45510.98145234954</v>
      </c>
      <c r="B73" s="3" t="s">
        <v>38</v>
      </c>
      <c r="C73" s="4">
        <v>1185.0</v>
      </c>
      <c r="D73" s="6">
        <v>45497.0</v>
      </c>
      <c r="E73" s="3" t="s">
        <v>39</v>
      </c>
      <c r="F73" s="3"/>
      <c r="G73" s="3" t="s">
        <v>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66</v>
      </c>
      <c r="T73" s="3" t="s">
        <v>42</v>
      </c>
    </row>
    <row r="74" ht="22.5" customHeight="1">
      <c r="A74" s="2">
        <v>45510.981872881945</v>
      </c>
      <c r="B74" s="3" t="s">
        <v>38</v>
      </c>
      <c r="C74" s="4">
        <v>1990.0</v>
      </c>
      <c r="D74" s="6">
        <v>45502.0</v>
      </c>
      <c r="E74" s="3" t="s">
        <v>39</v>
      </c>
      <c r="F74" s="3"/>
      <c r="G74" s="3" t="s">
        <v>40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67</v>
      </c>
      <c r="T74" s="3" t="s">
        <v>42</v>
      </c>
    </row>
    <row r="75" ht="22.5" customHeight="1">
      <c r="A75" s="2">
        <v>45510.98223849537</v>
      </c>
      <c r="B75" s="3" t="s">
        <v>38</v>
      </c>
      <c r="C75" s="4">
        <v>990.0</v>
      </c>
      <c r="D75" s="6">
        <v>45503.0</v>
      </c>
      <c r="E75" s="3" t="s">
        <v>39</v>
      </c>
      <c r="F75" s="3"/>
      <c r="G75" s="3" t="s">
        <v>40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68</v>
      </c>
      <c r="T75" s="3" t="s">
        <v>42</v>
      </c>
    </row>
    <row r="76" ht="22.5" customHeight="1">
      <c r="A76" s="2">
        <v>45510.983025995374</v>
      </c>
      <c r="B76" s="3" t="s">
        <v>38</v>
      </c>
      <c r="C76" s="4">
        <v>1491.0</v>
      </c>
      <c r="D76" s="6">
        <v>45504.0</v>
      </c>
      <c r="E76" s="3" t="s">
        <v>39</v>
      </c>
      <c r="F76" s="3"/>
      <c r="G76" s="3" t="s">
        <v>40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69</v>
      </c>
      <c r="T76" s="3" t="s">
        <v>42</v>
      </c>
    </row>
    <row r="77" ht="22.5" customHeight="1">
      <c r="A77" s="2">
        <v>45510.99702755787</v>
      </c>
      <c r="B77" s="3" t="s">
        <v>38</v>
      </c>
      <c r="C77" s="4">
        <v>2370.0</v>
      </c>
      <c r="D77" s="6">
        <v>45488.0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70</v>
      </c>
      <c r="T77" s="3" t="s">
        <v>42</v>
      </c>
    </row>
    <row r="78" ht="22.5" customHeight="1">
      <c r="A78" s="2">
        <v>45510.99891596065</v>
      </c>
      <c r="B78" s="3" t="s">
        <v>38</v>
      </c>
      <c r="C78" s="4">
        <v>1490.0</v>
      </c>
      <c r="D78" s="6">
        <v>45502.0</v>
      </c>
      <c r="E78" s="3" t="s">
        <v>39</v>
      </c>
      <c r="F78" s="3"/>
      <c r="G78" s="3" t="s">
        <v>40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71</v>
      </c>
      <c r="T78" s="3" t="s">
        <v>42</v>
      </c>
    </row>
    <row r="79" ht="22.5" customHeight="1">
      <c r="A79" s="2">
        <v>45510.999365509255</v>
      </c>
      <c r="B79" s="3" t="s">
        <v>38</v>
      </c>
      <c r="C79" s="4">
        <v>1390.0</v>
      </c>
      <c r="D79" s="6">
        <v>45485.0</v>
      </c>
      <c r="E79" s="3" t="s">
        <v>39</v>
      </c>
      <c r="F79" s="3"/>
      <c r="G79" s="3" t="s">
        <v>40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72</v>
      </c>
      <c r="T79" s="3" t="s">
        <v>42</v>
      </c>
    </row>
    <row r="80" ht="22.5" customHeight="1">
      <c r="A80" s="2">
        <v>45511.00472190972</v>
      </c>
      <c r="B80" s="3" t="s">
        <v>38</v>
      </c>
      <c r="C80" s="4">
        <v>100000.0</v>
      </c>
      <c r="D80" s="6">
        <v>45504.0</v>
      </c>
      <c r="E80" s="3" t="s">
        <v>61</v>
      </c>
      <c r="F80" s="3" t="s">
        <v>73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74</v>
      </c>
      <c r="T80" s="3" t="s">
        <v>42</v>
      </c>
    </row>
    <row r="81" ht="22.5" customHeight="1">
      <c r="A81" s="2">
        <v>45511.00564164352</v>
      </c>
      <c r="B81" s="3" t="s">
        <v>20</v>
      </c>
      <c r="C81" s="4">
        <v>7110.0</v>
      </c>
      <c r="D81" s="6">
        <v>45504.0</v>
      </c>
      <c r="E81" s="3"/>
      <c r="F81" s="3"/>
      <c r="G81" s="3"/>
      <c r="H81" s="3" t="s">
        <v>57</v>
      </c>
      <c r="I81" s="3"/>
      <c r="J81" s="3"/>
      <c r="K81" s="3"/>
      <c r="L81" s="3"/>
      <c r="M81" s="3"/>
      <c r="N81" s="3" t="s">
        <v>75</v>
      </c>
      <c r="O81" s="3"/>
      <c r="P81" s="3"/>
      <c r="Q81" s="3"/>
      <c r="R81" s="3"/>
      <c r="S81" s="3" t="s">
        <v>76</v>
      </c>
      <c r="T81" s="3" t="s">
        <v>42</v>
      </c>
    </row>
    <row r="82" ht="22.5" customHeight="1">
      <c r="A82" s="2">
        <v>45511.00784012731</v>
      </c>
      <c r="B82" s="3" t="s">
        <v>20</v>
      </c>
      <c r="C82" s="4">
        <v>800.0</v>
      </c>
      <c r="D82" s="6">
        <v>45502.0</v>
      </c>
      <c r="E82" s="3"/>
      <c r="F82" s="3"/>
      <c r="G82" s="3"/>
      <c r="H82" s="3" t="s">
        <v>21</v>
      </c>
      <c r="I82" s="3"/>
      <c r="J82" s="3"/>
      <c r="K82" s="3"/>
      <c r="L82" s="3" t="s">
        <v>77</v>
      </c>
      <c r="M82" s="3"/>
      <c r="N82" s="3"/>
      <c r="O82" s="3"/>
      <c r="P82" s="3"/>
      <c r="Q82" s="3"/>
      <c r="R82" s="3"/>
      <c r="S82" s="3"/>
      <c r="T82" s="3"/>
    </row>
    <row r="83" ht="22.5" customHeight="1">
      <c r="A83" s="2">
        <v>45519.38315199074</v>
      </c>
      <c r="B83" s="3" t="s">
        <v>38</v>
      </c>
      <c r="C83" s="4">
        <v>1000.0</v>
      </c>
      <c r="D83" s="6">
        <v>45519.0</v>
      </c>
      <c r="E83" s="3" t="s">
        <v>61</v>
      </c>
      <c r="F83" s="3" t="s">
        <v>63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78</v>
      </c>
      <c r="T83" s="3" t="s">
        <v>42</v>
      </c>
    </row>
    <row r="84" ht="22.5" customHeight="1">
      <c r="A84" s="2">
        <v>45521.41338420138</v>
      </c>
      <c r="B84" s="3" t="s">
        <v>38</v>
      </c>
      <c r="C84" s="4">
        <v>172.0</v>
      </c>
      <c r="D84" s="6">
        <v>45523.0</v>
      </c>
      <c r="E84" s="3" t="s">
        <v>39</v>
      </c>
      <c r="F84" s="3"/>
      <c r="G84" s="3" t="s">
        <v>79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80</v>
      </c>
      <c r="T84" s="3" t="s">
        <v>42</v>
      </c>
    </row>
    <row r="85" ht="22.5" customHeight="1">
      <c r="A85" s="2">
        <v>45523.560428819444</v>
      </c>
      <c r="B85" s="3" t="s">
        <v>20</v>
      </c>
      <c r="C85" s="4">
        <v>1679.0</v>
      </c>
      <c r="D85" s="6">
        <v>45523.0</v>
      </c>
      <c r="E85" s="3"/>
      <c r="F85" s="3"/>
      <c r="G85" s="3"/>
      <c r="H85" s="3" t="s">
        <v>51</v>
      </c>
      <c r="I85" s="3"/>
      <c r="J85" s="3"/>
      <c r="K85" s="3" t="s">
        <v>52</v>
      </c>
      <c r="L85" s="3"/>
      <c r="M85" s="3"/>
      <c r="N85" s="3"/>
      <c r="O85" s="3"/>
      <c r="P85" s="3"/>
      <c r="Q85" s="3"/>
      <c r="R85" s="3"/>
      <c r="S85" s="3"/>
      <c r="T85" s="3"/>
    </row>
    <row r="86" ht="22.5" customHeight="1">
      <c r="A86" s="2">
        <v>45526.00949523148</v>
      </c>
      <c r="B86" s="3" t="s">
        <v>20</v>
      </c>
      <c r="C86" s="4">
        <v>214.0</v>
      </c>
      <c r="D86" s="6">
        <v>45511.0</v>
      </c>
      <c r="E86" s="3"/>
      <c r="F86" s="3"/>
      <c r="G86" s="3"/>
      <c r="H86" s="3" t="s">
        <v>28</v>
      </c>
      <c r="I86" s="3" t="s">
        <v>30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22.5" customHeight="1">
      <c r="A87" s="2">
        <v>45526.01014987269</v>
      </c>
      <c r="B87" s="3" t="s">
        <v>20</v>
      </c>
      <c r="C87" s="4">
        <v>1888.0</v>
      </c>
      <c r="D87" s="6">
        <v>45511.0</v>
      </c>
      <c r="E87" s="3"/>
      <c r="F87" s="3"/>
      <c r="G87" s="3"/>
      <c r="H87" s="3" t="s">
        <v>24</v>
      </c>
      <c r="I87" s="3"/>
      <c r="J87" s="3"/>
      <c r="K87" s="3"/>
      <c r="L87" s="3"/>
      <c r="M87" s="3" t="s">
        <v>81</v>
      </c>
      <c r="N87" s="3"/>
      <c r="O87" s="3"/>
      <c r="P87" s="3"/>
      <c r="Q87" s="3"/>
      <c r="R87" s="3"/>
      <c r="S87" s="3" t="s">
        <v>82</v>
      </c>
      <c r="T87" s="3" t="s">
        <v>42</v>
      </c>
    </row>
    <row r="88" ht="22.5" customHeight="1">
      <c r="A88" s="2">
        <v>45526.011796782404</v>
      </c>
      <c r="B88" s="3" t="s">
        <v>20</v>
      </c>
      <c r="C88" s="4">
        <v>40.0</v>
      </c>
      <c r="D88" s="6">
        <v>45517.0</v>
      </c>
      <c r="E88" s="3"/>
      <c r="F88" s="3"/>
      <c r="G88" s="3"/>
      <c r="H88" s="3" t="s">
        <v>21</v>
      </c>
      <c r="I88" s="3"/>
      <c r="J88" s="3"/>
      <c r="K88" s="3"/>
      <c r="L88" s="3" t="s">
        <v>46</v>
      </c>
      <c r="M88" s="3"/>
      <c r="N88" s="3"/>
      <c r="O88" s="3"/>
      <c r="P88" s="3"/>
      <c r="Q88" s="3"/>
      <c r="R88" s="3"/>
      <c r="S88" s="3"/>
      <c r="T88" s="3"/>
    </row>
    <row r="89" ht="22.5" customHeight="1">
      <c r="A89" s="2">
        <v>45526.01204724537</v>
      </c>
      <c r="B89" s="3" t="s">
        <v>20</v>
      </c>
      <c r="C89" s="4">
        <v>1040.0</v>
      </c>
      <c r="D89" s="6">
        <v>45517.0</v>
      </c>
      <c r="E89" s="3"/>
      <c r="F89" s="3"/>
      <c r="G89" s="3"/>
      <c r="H89" s="3" t="s">
        <v>21</v>
      </c>
      <c r="I89" s="3"/>
      <c r="J89" s="3"/>
      <c r="K89" s="3"/>
      <c r="L89" s="3" t="s">
        <v>36</v>
      </c>
      <c r="M89" s="3"/>
      <c r="N89" s="3"/>
      <c r="O89" s="3"/>
      <c r="P89" s="3"/>
      <c r="Q89" s="3"/>
      <c r="R89" s="3"/>
      <c r="S89" s="3"/>
      <c r="T89" s="3"/>
    </row>
    <row r="90" ht="22.5" customHeight="1">
      <c r="A90" s="2">
        <v>45526.01227076389</v>
      </c>
      <c r="B90" s="3" t="s">
        <v>20</v>
      </c>
      <c r="C90" s="4">
        <v>655.0</v>
      </c>
      <c r="D90" s="6">
        <v>45517.0</v>
      </c>
      <c r="E90" s="3"/>
      <c r="F90" s="3"/>
      <c r="G90" s="3"/>
      <c r="H90" s="3" t="s">
        <v>28</v>
      </c>
      <c r="I90" s="3" t="s">
        <v>30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22.5" customHeight="1">
      <c r="A91" s="2">
        <v>45526.012497731484</v>
      </c>
      <c r="B91" s="3" t="s">
        <v>20</v>
      </c>
      <c r="C91" s="4">
        <v>70.0</v>
      </c>
      <c r="D91" s="6">
        <v>45517.0</v>
      </c>
      <c r="E91" s="3"/>
      <c r="F91" s="3"/>
      <c r="G91" s="3"/>
      <c r="H91" s="3" t="s">
        <v>26</v>
      </c>
      <c r="I91" s="3"/>
      <c r="J91" s="3" t="s">
        <v>83</v>
      </c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22.5" customHeight="1">
      <c r="A92" s="2">
        <v>45526.01290223379</v>
      </c>
      <c r="B92" s="3" t="s">
        <v>20</v>
      </c>
      <c r="C92" s="4">
        <v>25.0</v>
      </c>
      <c r="D92" s="6">
        <v>45517.0</v>
      </c>
      <c r="E92" s="3"/>
      <c r="F92" s="3"/>
      <c r="G92" s="3"/>
      <c r="H92" s="3" t="s">
        <v>21</v>
      </c>
      <c r="I92" s="3"/>
      <c r="J92" s="3"/>
      <c r="K92" s="3"/>
      <c r="L92" s="3" t="s">
        <v>46</v>
      </c>
      <c r="M92" s="3"/>
      <c r="N92" s="3"/>
      <c r="O92" s="3"/>
      <c r="P92" s="3"/>
      <c r="Q92" s="3"/>
      <c r="R92" s="3"/>
      <c r="S92" s="3"/>
      <c r="T92" s="3"/>
    </row>
    <row r="93" ht="22.5" customHeight="1">
      <c r="A93" s="2">
        <v>45526.013179456015</v>
      </c>
      <c r="B93" s="3" t="s">
        <v>20</v>
      </c>
      <c r="C93" s="4">
        <v>100.0</v>
      </c>
      <c r="D93" s="6">
        <v>45518.0</v>
      </c>
      <c r="E93" s="3"/>
      <c r="F93" s="3"/>
      <c r="G93" s="3"/>
      <c r="H93" s="3" t="s">
        <v>24</v>
      </c>
      <c r="I93" s="3"/>
      <c r="J93" s="3"/>
      <c r="K93" s="3"/>
      <c r="L93" s="3"/>
      <c r="M93" s="3" t="s">
        <v>25</v>
      </c>
      <c r="N93" s="3"/>
      <c r="O93" s="3"/>
      <c r="P93" s="3"/>
      <c r="Q93" s="3"/>
      <c r="R93" s="3"/>
      <c r="S93" s="3"/>
      <c r="T93" s="3"/>
    </row>
    <row r="94" ht="22.5" customHeight="1">
      <c r="A94" s="2">
        <v>45526.01382921296</v>
      </c>
      <c r="B94" s="3" t="s">
        <v>20</v>
      </c>
      <c r="C94" s="4">
        <v>149.0</v>
      </c>
      <c r="D94" s="6">
        <v>45519.0</v>
      </c>
      <c r="E94" s="3"/>
      <c r="F94" s="3"/>
      <c r="G94" s="3"/>
      <c r="H94" s="3" t="s">
        <v>28</v>
      </c>
      <c r="I94" s="3" t="s">
        <v>84</v>
      </c>
      <c r="J94" s="3"/>
      <c r="K94" s="3"/>
      <c r="L94" s="3"/>
      <c r="M94" s="3"/>
      <c r="N94" s="3"/>
      <c r="O94" s="3"/>
      <c r="P94" s="3"/>
      <c r="Q94" s="3"/>
      <c r="R94" s="3"/>
      <c r="S94" s="3" t="s">
        <v>85</v>
      </c>
      <c r="T94" s="3" t="s">
        <v>86</v>
      </c>
    </row>
    <row r="95" ht="22.5" customHeight="1">
      <c r="A95" s="2">
        <v>45526.014108414354</v>
      </c>
      <c r="B95" s="3" t="s">
        <v>20</v>
      </c>
      <c r="C95" s="4">
        <v>479.0</v>
      </c>
      <c r="D95" s="6">
        <v>45521.0</v>
      </c>
      <c r="E95" s="3"/>
      <c r="F95" s="3"/>
      <c r="G95" s="3"/>
      <c r="H95" s="3" t="s">
        <v>28</v>
      </c>
      <c r="I95" s="3" t="s">
        <v>44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22.5" customHeight="1">
      <c r="A96" s="2">
        <v>45526.01439059028</v>
      </c>
      <c r="B96" s="3" t="s">
        <v>20</v>
      </c>
      <c r="C96" s="4">
        <v>912.0</v>
      </c>
      <c r="D96" s="6">
        <v>45522.0</v>
      </c>
      <c r="E96" s="3"/>
      <c r="F96" s="3"/>
      <c r="G96" s="3"/>
      <c r="H96" s="3" t="s">
        <v>21</v>
      </c>
      <c r="I96" s="3"/>
      <c r="J96" s="3"/>
      <c r="K96" s="3"/>
      <c r="L96" s="3" t="s">
        <v>23</v>
      </c>
      <c r="M96" s="3"/>
      <c r="N96" s="3"/>
      <c r="O96" s="3"/>
      <c r="P96" s="3"/>
      <c r="Q96" s="3"/>
      <c r="R96" s="3"/>
      <c r="S96" s="3"/>
      <c r="T96" s="3"/>
    </row>
    <row r="97" ht="22.5" customHeight="1">
      <c r="A97" s="2">
        <v>45526.01466457176</v>
      </c>
      <c r="B97" s="3" t="s">
        <v>20</v>
      </c>
      <c r="C97" s="4">
        <v>100.0</v>
      </c>
      <c r="D97" s="6">
        <v>45525.0</v>
      </c>
      <c r="E97" s="3"/>
      <c r="F97" s="3"/>
      <c r="G97" s="3"/>
      <c r="H97" s="3" t="s">
        <v>24</v>
      </c>
      <c r="I97" s="3"/>
      <c r="J97" s="3"/>
      <c r="K97" s="3"/>
      <c r="L97" s="3"/>
      <c r="M97" s="3" t="s">
        <v>25</v>
      </c>
      <c r="N97" s="3"/>
      <c r="O97" s="3"/>
      <c r="P97" s="3"/>
      <c r="Q97" s="3"/>
      <c r="R97" s="3"/>
      <c r="S97" s="3"/>
      <c r="T97" s="3" t="s">
        <v>86</v>
      </c>
    </row>
    <row r="98" ht="22.5" customHeight="1">
      <c r="A98" s="2">
        <v>45526.01525489583</v>
      </c>
      <c r="B98" s="3" t="s">
        <v>20</v>
      </c>
      <c r="C98" s="4">
        <v>465.0</v>
      </c>
      <c r="D98" s="6">
        <v>45529.0</v>
      </c>
      <c r="E98" s="3"/>
      <c r="F98" s="3"/>
      <c r="G98" s="3"/>
      <c r="H98" s="3" t="s">
        <v>21</v>
      </c>
      <c r="I98" s="3"/>
      <c r="J98" s="3"/>
      <c r="K98" s="3"/>
      <c r="L98" s="3" t="s">
        <v>22</v>
      </c>
      <c r="M98" s="3"/>
      <c r="N98" s="3"/>
      <c r="O98" s="3"/>
      <c r="P98" s="3"/>
      <c r="Q98" s="3"/>
      <c r="R98" s="3"/>
      <c r="S98" s="3" t="s">
        <v>87</v>
      </c>
      <c r="T98" s="3" t="s">
        <v>86</v>
      </c>
    </row>
    <row r="99" ht="22.5" customHeight="1">
      <c r="A99" s="2">
        <v>45526.021826145836</v>
      </c>
      <c r="B99" s="3" t="s">
        <v>20</v>
      </c>
      <c r="C99" s="4">
        <v>40000.0</v>
      </c>
      <c r="D99" s="6">
        <v>45512.0</v>
      </c>
      <c r="E99" s="3"/>
      <c r="F99" s="3"/>
      <c r="G99" s="3"/>
      <c r="H99" s="3" t="s">
        <v>24</v>
      </c>
      <c r="I99" s="3"/>
      <c r="J99" s="3"/>
      <c r="K99" s="3"/>
      <c r="L99" s="3"/>
      <c r="M99" s="3" t="s">
        <v>49</v>
      </c>
      <c r="N99" s="3"/>
      <c r="O99" s="3"/>
      <c r="P99" s="3"/>
      <c r="Q99" s="3"/>
      <c r="R99" s="3"/>
      <c r="S99" s="3" t="s">
        <v>88</v>
      </c>
      <c r="T99" s="3" t="s">
        <v>42</v>
      </c>
    </row>
    <row r="100" ht="22.5" customHeight="1">
      <c r="A100" s="2">
        <v>45526.024642557866</v>
      </c>
      <c r="B100" s="3" t="s">
        <v>20</v>
      </c>
      <c r="C100" s="4">
        <v>118.0</v>
      </c>
      <c r="D100" s="6">
        <v>45606.0</v>
      </c>
      <c r="E100" s="3"/>
      <c r="F100" s="3"/>
      <c r="G100" s="3"/>
      <c r="H100" s="3" t="s">
        <v>24</v>
      </c>
      <c r="I100" s="3"/>
      <c r="J100" s="3"/>
      <c r="K100" s="3"/>
      <c r="L100" s="3"/>
      <c r="M100" s="3" t="s">
        <v>25</v>
      </c>
      <c r="N100" s="3"/>
      <c r="O100" s="3"/>
      <c r="P100" s="3"/>
      <c r="Q100" s="3"/>
      <c r="R100" s="3"/>
      <c r="S100" s="3" t="s">
        <v>89</v>
      </c>
      <c r="T100" s="3" t="s">
        <v>86</v>
      </c>
    </row>
    <row r="101" ht="22.5" customHeight="1">
      <c r="A101" s="2">
        <v>45528.39581207176</v>
      </c>
      <c r="B101" s="3" t="s">
        <v>20</v>
      </c>
      <c r="C101" s="4">
        <v>40.0</v>
      </c>
      <c r="D101" s="6">
        <v>45528.0</v>
      </c>
      <c r="E101" s="3"/>
      <c r="F101" s="3"/>
      <c r="G101" s="3"/>
      <c r="H101" s="3" t="s">
        <v>21</v>
      </c>
      <c r="I101" s="3"/>
      <c r="J101" s="3"/>
      <c r="K101" s="3"/>
      <c r="L101" s="3" t="s">
        <v>46</v>
      </c>
      <c r="M101" s="3"/>
      <c r="N101" s="3"/>
      <c r="O101" s="3"/>
      <c r="P101" s="3"/>
      <c r="Q101" s="3"/>
      <c r="R101" s="3"/>
      <c r="S101" s="3"/>
      <c r="T101" s="3"/>
    </row>
    <row r="102" ht="22.5" customHeight="1">
      <c r="A102" s="2">
        <v>45528.39618891204</v>
      </c>
      <c r="B102" s="3" t="s">
        <v>20</v>
      </c>
      <c r="C102" s="4">
        <v>765.0</v>
      </c>
      <c r="D102" s="6">
        <v>45528.0</v>
      </c>
      <c r="E102" s="3"/>
      <c r="F102" s="3"/>
      <c r="G102" s="3"/>
      <c r="H102" s="3" t="s">
        <v>21</v>
      </c>
      <c r="I102" s="3"/>
      <c r="J102" s="3"/>
      <c r="K102" s="3"/>
      <c r="L102" s="3" t="s">
        <v>36</v>
      </c>
      <c r="M102" s="3"/>
      <c r="N102" s="3"/>
      <c r="O102" s="3"/>
      <c r="P102" s="3"/>
      <c r="Q102" s="3"/>
      <c r="R102" s="3"/>
      <c r="S102" s="3"/>
      <c r="T102" s="3"/>
    </row>
    <row r="103" ht="22.5" customHeight="1">
      <c r="A103" s="2">
        <v>45528.501406944444</v>
      </c>
      <c r="B103" s="3" t="s">
        <v>20</v>
      </c>
      <c r="C103" s="4">
        <v>32.0</v>
      </c>
      <c r="D103" s="6">
        <v>45528.0</v>
      </c>
      <c r="E103" s="3"/>
      <c r="F103" s="3"/>
      <c r="G103" s="3"/>
      <c r="H103" s="3" t="s">
        <v>21</v>
      </c>
      <c r="I103" s="3"/>
      <c r="J103" s="3"/>
      <c r="K103" s="3"/>
      <c r="L103" s="3" t="s">
        <v>46</v>
      </c>
      <c r="M103" s="3"/>
      <c r="N103" s="3"/>
      <c r="O103" s="3"/>
      <c r="P103" s="3"/>
      <c r="Q103" s="3"/>
      <c r="R103" s="3"/>
      <c r="S103" s="3"/>
      <c r="T103" s="3"/>
    </row>
    <row r="104" ht="22.5" customHeight="1">
      <c r="A104" s="2">
        <v>45529.64042299769</v>
      </c>
      <c r="B104" s="3" t="s">
        <v>20</v>
      </c>
      <c r="C104" s="4">
        <v>35.0</v>
      </c>
      <c r="D104" s="6">
        <v>45529.0</v>
      </c>
      <c r="E104" s="3"/>
      <c r="F104" s="3"/>
      <c r="G104" s="3"/>
      <c r="H104" s="3" t="s">
        <v>28</v>
      </c>
      <c r="I104" s="3" t="s">
        <v>43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22.5" customHeight="1">
      <c r="A105" s="2">
        <v>45529.94301333334</v>
      </c>
      <c r="B105" s="3" t="s">
        <v>20</v>
      </c>
      <c r="C105" s="4">
        <v>480.0</v>
      </c>
      <c r="D105" s="6">
        <v>45529.0</v>
      </c>
      <c r="E105" s="3"/>
      <c r="F105" s="3"/>
      <c r="G105" s="3"/>
      <c r="H105" s="3" t="s">
        <v>28</v>
      </c>
      <c r="I105" s="3" t="s">
        <v>30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22.5" customHeight="1">
      <c r="A106" s="2">
        <v>45533.91611715278</v>
      </c>
      <c r="B106" s="3" t="s">
        <v>20</v>
      </c>
      <c r="C106" s="4">
        <v>100.0</v>
      </c>
      <c r="D106" s="6">
        <v>45532.0</v>
      </c>
      <c r="E106" s="3"/>
      <c r="F106" s="3"/>
      <c r="G106" s="3"/>
      <c r="H106" s="3" t="s">
        <v>24</v>
      </c>
      <c r="I106" s="3"/>
      <c r="J106" s="3"/>
      <c r="K106" s="3"/>
      <c r="L106" s="3"/>
      <c r="M106" s="3" t="s">
        <v>25</v>
      </c>
      <c r="N106" s="3"/>
      <c r="O106" s="3"/>
      <c r="P106" s="3"/>
      <c r="Q106" s="3"/>
      <c r="R106" s="3"/>
      <c r="S106" s="3"/>
      <c r="T106" s="3"/>
    </row>
    <row r="107" ht="22.5" customHeight="1">
      <c r="A107" s="2">
        <v>45534.03348668982</v>
      </c>
      <c r="B107" s="3" t="s">
        <v>20</v>
      </c>
      <c r="C107" s="4">
        <v>205.0</v>
      </c>
      <c r="D107" s="6">
        <v>45536.0</v>
      </c>
      <c r="E107" s="3"/>
      <c r="F107" s="3"/>
      <c r="G107" s="3"/>
      <c r="H107" s="3" t="s">
        <v>51</v>
      </c>
      <c r="I107" s="3"/>
      <c r="J107" s="3"/>
      <c r="K107" s="3" t="s">
        <v>90</v>
      </c>
      <c r="L107" s="3"/>
      <c r="M107" s="3"/>
      <c r="N107" s="3"/>
      <c r="O107" s="3"/>
      <c r="P107" s="3"/>
      <c r="Q107" s="3"/>
      <c r="R107" s="3"/>
      <c r="S107" s="3"/>
      <c r="T107" s="3"/>
    </row>
    <row r="108" ht="22.5" customHeight="1">
      <c r="A108" s="2">
        <v>45534.82850467593</v>
      </c>
      <c r="B108" s="3" t="s">
        <v>20</v>
      </c>
      <c r="C108" s="4">
        <v>215.0</v>
      </c>
      <c r="D108" s="6">
        <v>45535.0</v>
      </c>
      <c r="E108" s="3"/>
      <c r="F108" s="3"/>
      <c r="G108" s="3"/>
      <c r="H108" s="3" t="s">
        <v>21</v>
      </c>
      <c r="I108" s="3"/>
      <c r="J108" s="3"/>
      <c r="K108" s="3"/>
      <c r="L108" s="3" t="s">
        <v>22</v>
      </c>
      <c r="M108" s="3"/>
      <c r="N108" s="3"/>
      <c r="O108" s="3"/>
      <c r="P108" s="3"/>
      <c r="Q108" s="3"/>
      <c r="R108" s="3"/>
      <c r="S108" s="3"/>
      <c r="T108" s="3"/>
    </row>
    <row r="109" ht="22.5" customHeight="1">
      <c r="A109" s="2">
        <v>45534.82876737269</v>
      </c>
      <c r="B109" s="3" t="s">
        <v>20</v>
      </c>
      <c r="C109" s="4">
        <v>82.0</v>
      </c>
      <c r="D109" s="6">
        <v>45534.0</v>
      </c>
      <c r="E109" s="3"/>
      <c r="F109" s="3"/>
      <c r="G109" s="3"/>
      <c r="H109" s="3" t="s">
        <v>21</v>
      </c>
      <c r="I109" s="3"/>
      <c r="J109" s="3"/>
      <c r="K109" s="3"/>
      <c r="L109" s="3" t="s">
        <v>22</v>
      </c>
      <c r="M109" s="3"/>
      <c r="N109" s="3"/>
      <c r="O109" s="3"/>
      <c r="P109" s="3"/>
      <c r="Q109" s="3"/>
      <c r="R109" s="3"/>
      <c r="S109" s="3"/>
      <c r="T109" s="3"/>
    </row>
    <row r="110" ht="22.5" customHeight="1">
      <c r="A110" s="2">
        <v>45534.829065300924</v>
      </c>
      <c r="B110" s="3" t="s">
        <v>20</v>
      </c>
      <c r="C110" s="4">
        <v>20.0</v>
      </c>
      <c r="D110" s="6">
        <v>45534.0</v>
      </c>
      <c r="E110" s="3"/>
      <c r="F110" s="3"/>
      <c r="G110" s="3"/>
      <c r="H110" s="3" t="s">
        <v>21</v>
      </c>
      <c r="I110" s="3"/>
      <c r="J110" s="3"/>
      <c r="K110" s="3"/>
      <c r="L110" s="3" t="s">
        <v>46</v>
      </c>
      <c r="M110" s="3"/>
      <c r="N110" s="3"/>
      <c r="O110" s="3"/>
      <c r="P110" s="3"/>
      <c r="Q110" s="3"/>
      <c r="R110" s="3"/>
      <c r="S110" s="3"/>
      <c r="T110" s="3"/>
    </row>
    <row r="111" ht="22.5" customHeight="1">
      <c r="A111" s="2">
        <v>45535.679993020836</v>
      </c>
      <c r="B111" s="3" t="s">
        <v>20</v>
      </c>
      <c r="C111" s="4">
        <v>511.0</v>
      </c>
      <c r="D111" s="6">
        <v>45534.0</v>
      </c>
      <c r="E111" s="3"/>
      <c r="F111" s="3"/>
      <c r="G111" s="3"/>
      <c r="H111" s="3" t="s">
        <v>28</v>
      </c>
      <c r="I111" s="3" t="s">
        <v>30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22.5" customHeight="1">
      <c r="A112" s="2">
        <v>45535.68040541667</v>
      </c>
      <c r="B112" s="3" t="s">
        <v>20</v>
      </c>
      <c r="C112" s="4">
        <v>90.0</v>
      </c>
      <c r="D112" s="6">
        <v>45535.0</v>
      </c>
      <c r="E112" s="3"/>
      <c r="F112" s="3"/>
      <c r="G112" s="3"/>
      <c r="H112" s="3" t="s">
        <v>28</v>
      </c>
      <c r="I112" s="3" t="s">
        <v>29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22.5" customHeight="1">
      <c r="A113" s="2">
        <v>45535.68066039352</v>
      </c>
      <c r="B113" s="3" t="s">
        <v>20</v>
      </c>
      <c r="C113" s="4">
        <v>20.0</v>
      </c>
      <c r="D113" s="6">
        <v>45535.0</v>
      </c>
      <c r="E113" s="3"/>
      <c r="F113" s="3"/>
      <c r="G113" s="3"/>
      <c r="H113" s="3" t="s">
        <v>21</v>
      </c>
      <c r="I113" s="3"/>
      <c r="J113" s="3"/>
      <c r="K113" s="3"/>
      <c r="L113" s="3" t="s">
        <v>46</v>
      </c>
      <c r="M113" s="3"/>
      <c r="N113" s="3"/>
      <c r="O113" s="3"/>
      <c r="P113" s="3"/>
      <c r="Q113" s="3"/>
      <c r="R113" s="3"/>
      <c r="S113" s="3"/>
      <c r="T113" s="3"/>
    </row>
    <row r="114" ht="22.5" customHeight="1">
      <c r="A114" s="2">
        <v>45535.68091744213</v>
      </c>
      <c r="B114" s="3" t="s">
        <v>20</v>
      </c>
      <c r="C114" s="4">
        <v>91.0</v>
      </c>
      <c r="D114" s="6">
        <v>45535.0</v>
      </c>
      <c r="E114" s="3"/>
      <c r="F114" s="3"/>
      <c r="G114" s="3"/>
      <c r="H114" s="3" t="s">
        <v>21</v>
      </c>
      <c r="I114" s="3"/>
      <c r="J114" s="3"/>
      <c r="K114" s="3"/>
      <c r="L114" s="3" t="s">
        <v>22</v>
      </c>
      <c r="M114" s="3"/>
      <c r="N114" s="3"/>
      <c r="O114" s="3"/>
      <c r="P114" s="3"/>
      <c r="Q114" s="3"/>
      <c r="R114" s="3"/>
      <c r="S114" s="3"/>
      <c r="T114" s="3"/>
    </row>
    <row r="115" ht="22.5" customHeight="1">
      <c r="A115" s="2">
        <v>45535.68114721065</v>
      </c>
      <c r="B115" s="3" t="s">
        <v>20</v>
      </c>
      <c r="C115" s="4">
        <v>166.0</v>
      </c>
      <c r="D115" s="6">
        <v>45535.0</v>
      </c>
      <c r="E115" s="3"/>
      <c r="F115" s="3"/>
      <c r="G115" s="3"/>
      <c r="H115" s="3" t="s">
        <v>28</v>
      </c>
      <c r="I115" s="3" t="s">
        <v>44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22.5" customHeight="1">
      <c r="A116" s="2">
        <v>45535.70550452547</v>
      </c>
      <c r="B116" s="3" t="s">
        <v>20</v>
      </c>
      <c r="C116" s="4">
        <v>28.0</v>
      </c>
      <c r="D116" s="6">
        <v>45535.0</v>
      </c>
      <c r="E116" s="3"/>
      <c r="F116" s="3"/>
      <c r="G116" s="3"/>
      <c r="H116" s="3" t="s">
        <v>28</v>
      </c>
      <c r="I116" s="3" t="s">
        <v>43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22.5" customHeight="1">
      <c r="A117" s="2">
        <v>45535.752152326386</v>
      </c>
      <c r="B117" s="3" t="s">
        <v>20</v>
      </c>
      <c r="C117" s="4">
        <v>20.0</v>
      </c>
      <c r="D117" s="6">
        <v>45535.0</v>
      </c>
      <c r="E117" s="3"/>
      <c r="F117" s="3"/>
      <c r="G117" s="3"/>
      <c r="H117" s="3" t="s">
        <v>21</v>
      </c>
      <c r="I117" s="3"/>
      <c r="J117" s="3"/>
      <c r="K117" s="3"/>
      <c r="L117" s="3" t="s">
        <v>46</v>
      </c>
      <c r="M117" s="3"/>
      <c r="N117" s="3"/>
      <c r="O117" s="3"/>
      <c r="P117" s="3"/>
      <c r="Q117" s="3"/>
      <c r="R117" s="3"/>
      <c r="S117" s="3"/>
      <c r="T117" s="3"/>
    </row>
    <row r="118" ht="22.5" customHeight="1">
      <c r="A118" s="2">
        <v>45535.99719105324</v>
      </c>
      <c r="B118" s="3" t="s">
        <v>20</v>
      </c>
      <c r="C118" s="4">
        <v>20.0</v>
      </c>
      <c r="D118" s="6">
        <v>45535.0</v>
      </c>
      <c r="E118" s="3"/>
      <c r="F118" s="3"/>
      <c r="G118" s="3"/>
      <c r="H118" s="3" t="s">
        <v>21</v>
      </c>
      <c r="I118" s="3"/>
      <c r="J118" s="3"/>
      <c r="K118" s="3"/>
      <c r="L118" s="3" t="s">
        <v>46</v>
      </c>
      <c r="M118" s="3"/>
      <c r="N118" s="3"/>
      <c r="O118" s="3"/>
      <c r="P118" s="3"/>
      <c r="Q118" s="3"/>
      <c r="R118" s="3"/>
      <c r="S118" s="3"/>
      <c r="T118" s="3"/>
    </row>
    <row r="119" ht="22.5" customHeight="1">
      <c r="A119" s="2">
        <v>45536.38667391204</v>
      </c>
      <c r="B119" s="3" t="s">
        <v>20</v>
      </c>
      <c r="C119" s="4">
        <v>150.0</v>
      </c>
      <c r="D119" s="6">
        <v>45536.0</v>
      </c>
      <c r="E119" s="3"/>
      <c r="F119" s="3"/>
      <c r="G119" s="3"/>
      <c r="H119" s="3" t="s">
        <v>28</v>
      </c>
      <c r="I119" s="3" t="s">
        <v>29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22.5" customHeight="1">
      <c r="A120" s="2">
        <v>45536.75696465278</v>
      </c>
      <c r="B120" s="3" t="s">
        <v>20</v>
      </c>
      <c r="C120" s="4">
        <v>70.0</v>
      </c>
      <c r="D120" s="6">
        <v>45536.0</v>
      </c>
      <c r="E120" s="3"/>
      <c r="F120" s="3"/>
      <c r="G120" s="3"/>
      <c r="H120" s="3" t="s">
        <v>21</v>
      </c>
      <c r="I120" s="3"/>
      <c r="J120" s="3"/>
      <c r="K120" s="3"/>
      <c r="L120" s="3" t="s">
        <v>46</v>
      </c>
      <c r="M120" s="3"/>
      <c r="N120" s="3"/>
      <c r="O120" s="3"/>
      <c r="P120" s="3"/>
      <c r="Q120" s="3"/>
      <c r="R120" s="3"/>
      <c r="S120" s="3"/>
      <c r="T120" s="3"/>
    </row>
    <row r="121" ht="22.5" customHeight="1">
      <c r="A121" s="2">
        <v>45536.75732070602</v>
      </c>
      <c r="B121" s="3" t="s">
        <v>20</v>
      </c>
      <c r="C121" s="4">
        <v>475.0</v>
      </c>
      <c r="D121" s="6">
        <v>45536.0</v>
      </c>
      <c r="E121" s="3"/>
      <c r="F121" s="3"/>
      <c r="G121" s="3"/>
      <c r="H121" s="3" t="s">
        <v>28</v>
      </c>
      <c r="I121" s="3" t="s">
        <v>44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22.5" customHeight="1">
      <c r="A122" s="2">
        <v>45536.75763850694</v>
      </c>
      <c r="B122" s="3" t="s">
        <v>20</v>
      </c>
      <c r="C122" s="4">
        <v>550.0</v>
      </c>
      <c r="D122" s="6">
        <v>45536.0</v>
      </c>
      <c r="E122" s="3"/>
      <c r="F122" s="3"/>
      <c r="G122" s="3"/>
      <c r="H122" s="3" t="s">
        <v>24</v>
      </c>
      <c r="I122" s="3"/>
      <c r="J122" s="3"/>
      <c r="K122" s="3"/>
      <c r="L122" s="3"/>
      <c r="M122" s="3" t="s">
        <v>81</v>
      </c>
      <c r="N122" s="3"/>
      <c r="O122" s="3"/>
      <c r="P122" s="3"/>
      <c r="Q122" s="3"/>
      <c r="R122" s="3"/>
      <c r="S122" s="3" t="s">
        <v>91</v>
      </c>
      <c r="T122" s="3" t="s">
        <v>86</v>
      </c>
    </row>
    <row r="123" ht="22.5" customHeight="1">
      <c r="A123" s="2">
        <v>45536.76016046296</v>
      </c>
      <c r="B123" s="3" t="s">
        <v>20</v>
      </c>
      <c r="C123" s="4">
        <v>28.0</v>
      </c>
      <c r="D123" s="6">
        <v>45536.0</v>
      </c>
      <c r="E123" s="3"/>
      <c r="F123" s="3"/>
      <c r="G123" s="3"/>
      <c r="H123" s="3" t="s">
        <v>21</v>
      </c>
      <c r="I123" s="3"/>
      <c r="J123" s="3"/>
      <c r="K123" s="3"/>
      <c r="L123" s="3" t="s">
        <v>22</v>
      </c>
      <c r="M123" s="3"/>
      <c r="N123" s="3"/>
      <c r="O123" s="3"/>
      <c r="P123" s="3"/>
      <c r="Q123" s="3"/>
      <c r="R123" s="3"/>
      <c r="S123" s="3"/>
      <c r="T123" s="3"/>
    </row>
    <row r="124" ht="22.5" customHeight="1">
      <c r="A124" s="2">
        <v>45536.784447592596</v>
      </c>
      <c r="B124" s="3" t="s">
        <v>20</v>
      </c>
      <c r="C124" s="4">
        <v>130.0</v>
      </c>
      <c r="D124" s="6">
        <v>45536.0</v>
      </c>
      <c r="E124" s="3"/>
      <c r="F124" s="3"/>
      <c r="G124" s="3"/>
      <c r="H124" s="3" t="s">
        <v>28</v>
      </c>
      <c r="I124" s="3" t="s">
        <v>30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22.5" customHeight="1">
      <c r="A125" s="2">
        <v>45536.78466856481</v>
      </c>
      <c r="B125" s="3" t="s">
        <v>20</v>
      </c>
      <c r="C125" s="4">
        <v>40.0</v>
      </c>
      <c r="D125" s="6">
        <v>45536.0</v>
      </c>
      <c r="E125" s="3"/>
      <c r="F125" s="3"/>
      <c r="G125" s="3"/>
      <c r="H125" s="3" t="s">
        <v>28</v>
      </c>
      <c r="I125" s="3" t="s">
        <v>43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22.5" customHeight="1">
      <c r="A126" s="2">
        <v>45537.89841472222</v>
      </c>
      <c r="B126" s="3" t="s">
        <v>20</v>
      </c>
      <c r="C126" s="4">
        <v>200.0</v>
      </c>
      <c r="D126" s="6">
        <v>45537.0</v>
      </c>
      <c r="E126" s="3"/>
      <c r="F126" s="3"/>
      <c r="G126" s="3"/>
      <c r="H126" s="3" t="s">
        <v>26</v>
      </c>
      <c r="I126" s="3"/>
      <c r="J126" s="3" t="s">
        <v>83</v>
      </c>
      <c r="K126" s="3"/>
      <c r="L126" s="3"/>
      <c r="M126" s="3"/>
      <c r="N126" s="3"/>
      <c r="O126" s="3"/>
      <c r="P126" s="3"/>
      <c r="Q126" s="3"/>
      <c r="R126" s="3"/>
      <c r="S126" s="3" t="s">
        <v>92</v>
      </c>
      <c r="T126" s="3" t="s">
        <v>86</v>
      </c>
    </row>
    <row r="127" ht="22.5" customHeight="1">
      <c r="A127" s="2">
        <v>45537.89917059027</v>
      </c>
      <c r="B127" s="3" t="s">
        <v>20</v>
      </c>
      <c r="C127" s="4">
        <v>180.0</v>
      </c>
      <c r="D127" s="6">
        <v>45537.0</v>
      </c>
      <c r="E127" s="3"/>
      <c r="F127" s="3"/>
      <c r="G127" s="3"/>
      <c r="H127" s="3" t="s">
        <v>21</v>
      </c>
      <c r="I127" s="3"/>
      <c r="J127" s="3"/>
      <c r="K127" s="3"/>
      <c r="L127" s="3" t="s">
        <v>93</v>
      </c>
      <c r="M127" s="3"/>
      <c r="N127" s="3"/>
      <c r="O127" s="3"/>
      <c r="P127" s="3"/>
      <c r="Q127" s="3"/>
      <c r="R127" s="3"/>
      <c r="S127" s="3"/>
      <c r="T127" s="3"/>
    </row>
    <row r="128" ht="22.5" customHeight="1">
      <c r="A128" s="2">
        <v>45537.89954489583</v>
      </c>
      <c r="B128" s="3" t="s">
        <v>20</v>
      </c>
      <c r="C128" s="4">
        <v>132.0</v>
      </c>
      <c r="D128" s="6">
        <v>45537.0</v>
      </c>
      <c r="E128" s="3"/>
      <c r="F128" s="3"/>
      <c r="G128" s="3"/>
      <c r="H128" s="3" t="s">
        <v>21</v>
      </c>
      <c r="I128" s="3"/>
      <c r="J128" s="3"/>
      <c r="K128" s="3"/>
      <c r="L128" s="3" t="s">
        <v>23</v>
      </c>
      <c r="M128" s="3"/>
      <c r="N128" s="3"/>
      <c r="O128" s="3"/>
      <c r="P128" s="3"/>
      <c r="Q128" s="3"/>
      <c r="R128" s="3"/>
      <c r="S128" s="3"/>
      <c r="T128" s="3"/>
    </row>
    <row r="129" ht="22.5" customHeight="1">
      <c r="A129" s="2">
        <v>45537.89992621528</v>
      </c>
      <c r="B129" s="3" t="s">
        <v>20</v>
      </c>
      <c r="C129" s="4">
        <v>500.0</v>
      </c>
      <c r="D129" s="6">
        <v>45537.0</v>
      </c>
      <c r="E129" s="3"/>
      <c r="F129" s="3"/>
      <c r="G129" s="3"/>
      <c r="H129" s="3" t="s">
        <v>94</v>
      </c>
      <c r="I129" s="3"/>
      <c r="J129" s="3"/>
      <c r="K129" s="3"/>
      <c r="L129" s="3"/>
      <c r="M129" s="3"/>
      <c r="N129" s="3"/>
      <c r="O129" s="3" t="s">
        <v>95</v>
      </c>
      <c r="P129" s="3"/>
      <c r="Q129" s="3"/>
      <c r="R129" s="3"/>
      <c r="S129" s="3"/>
      <c r="T129" s="3"/>
    </row>
    <row r="130" ht="22.5" customHeight="1">
      <c r="A130" s="2">
        <v>45538.982871064814</v>
      </c>
      <c r="B130" s="3" t="s">
        <v>20</v>
      </c>
      <c r="C130" s="4">
        <v>599.0</v>
      </c>
      <c r="D130" s="6">
        <v>45538.0</v>
      </c>
      <c r="E130" s="3"/>
      <c r="F130" s="3"/>
      <c r="G130" s="3"/>
      <c r="H130" s="3" t="s">
        <v>24</v>
      </c>
      <c r="I130" s="3"/>
      <c r="J130" s="3"/>
      <c r="K130" s="3"/>
      <c r="L130" s="3"/>
      <c r="M130" s="3" t="s">
        <v>96</v>
      </c>
      <c r="N130" s="3"/>
      <c r="O130" s="3"/>
      <c r="P130" s="3"/>
      <c r="Q130" s="3"/>
      <c r="R130" s="3"/>
      <c r="S130" s="3" t="s">
        <v>97</v>
      </c>
      <c r="T130" s="3" t="s">
        <v>86</v>
      </c>
    </row>
    <row r="131" ht="22.5" customHeight="1">
      <c r="A131" s="2">
        <v>45540.51834581018</v>
      </c>
      <c r="B131" s="3" t="s">
        <v>20</v>
      </c>
      <c r="C131" s="4">
        <v>100.0</v>
      </c>
      <c r="D131" s="6">
        <v>45540.0</v>
      </c>
      <c r="E131" s="3"/>
      <c r="F131" s="3"/>
      <c r="G131" s="3"/>
      <c r="H131" s="3" t="s">
        <v>24</v>
      </c>
      <c r="I131" s="3"/>
      <c r="J131" s="3"/>
      <c r="K131" s="3"/>
      <c r="L131" s="3"/>
      <c r="M131" s="3" t="s">
        <v>25</v>
      </c>
      <c r="N131" s="3"/>
      <c r="O131" s="3"/>
      <c r="P131" s="3"/>
      <c r="Q131" s="3"/>
      <c r="R131" s="3"/>
      <c r="S131" s="3"/>
      <c r="T131" s="3"/>
    </row>
    <row r="132" ht="22.5" customHeight="1">
      <c r="A132" s="2">
        <v>45540.89201592593</v>
      </c>
      <c r="B132" s="3" t="s">
        <v>20</v>
      </c>
      <c r="C132" s="4">
        <v>60.0</v>
      </c>
      <c r="D132" s="6">
        <v>45540.0</v>
      </c>
      <c r="E132" s="3"/>
      <c r="F132" s="3"/>
      <c r="G132" s="3"/>
      <c r="H132" s="3" t="s">
        <v>26</v>
      </c>
      <c r="I132" s="3"/>
      <c r="J132" s="3" t="s">
        <v>27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22.5" customHeight="1">
      <c r="A133" s="2">
        <v>45540.89376494213</v>
      </c>
      <c r="B133" s="3" t="s">
        <v>20</v>
      </c>
      <c r="C133" s="4">
        <v>2701.0</v>
      </c>
      <c r="D133" s="6">
        <v>45535.0</v>
      </c>
      <c r="E133" s="3"/>
      <c r="F133" s="3"/>
      <c r="G133" s="3"/>
      <c r="H133" s="3" t="s">
        <v>57</v>
      </c>
      <c r="I133" s="3"/>
      <c r="J133" s="3"/>
      <c r="K133" s="3"/>
      <c r="L133" s="3"/>
      <c r="M133" s="3"/>
      <c r="N133" s="3" t="s">
        <v>58</v>
      </c>
      <c r="O133" s="3"/>
      <c r="P133" s="3"/>
      <c r="Q133" s="3"/>
      <c r="R133" s="3"/>
      <c r="S133" s="3"/>
      <c r="T133" s="3"/>
    </row>
    <row r="134" ht="22.5" customHeight="1">
      <c r="A134" s="2">
        <v>45540.894130381945</v>
      </c>
      <c r="B134" s="3" t="s">
        <v>20</v>
      </c>
      <c r="C134" s="4">
        <v>961.0</v>
      </c>
      <c r="D134" s="6">
        <v>45540.0</v>
      </c>
      <c r="E134" s="3"/>
      <c r="F134" s="3"/>
      <c r="G134" s="3"/>
      <c r="H134" s="3" t="s">
        <v>28</v>
      </c>
      <c r="I134" s="3" t="s">
        <v>33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22.5" customHeight="1">
      <c r="A135" s="2">
        <v>45540.89443984954</v>
      </c>
      <c r="B135" s="3" t="s">
        <v>20</v>
      </c>
      <c r="C135" s="4">
        <v>515.0</v>
      </c>
      <c r="D135" s="6">
        <v>45540.0</v>
      </c>
      <c r="E135" s="3"/>
      <c r="F135" s="3"/>
      <c r="G135" s="3"/>
      <c r="H135" s="3" t="s">
        <v>24</v>
      </c>
      <c r="I135" s="3"/>
      <c r="J135" s="3"/>
      <c r="K135" s="3"/>
      <c r="L135" s="3"/>
      <c r="M135" s="3" t="s">
        <v>32</v>
      </c>
      <c r="N135" s="3"/>
      <c r="O135" s="3"/>
      <c r="P135" s="3"/>
      <c r="Q135" s="3"/>
      <c r="R135" s="3"/>
      <c r="S135" s="3"/>
      <c r="T135" s="3"/>
    </row>
    <row r="136" ht="22.5" customHeight="1">
      <c r="A136" s="2">
        <v>45540.894823738425</v>
      </c>
      <c r="B136" s="3" t="s">
        <v>20</v>
      </c>
      <c r="C136" s="4">
        <v>3260.0</v>
      </c>
      <c r="D136" s="6">
        <v>45535.0</v>
      </c>
      <c r="E136" s="3"/>
      <c r="F136" s="3"/>
      <c r="G136" s="3"/>
      <c r="H136" s="3" t="s">
        <v>57</v>
      </c>
      <c r="I136" s="3"/>
      <c r="J136" s="3"/>
      <c r="K136" s="3"/>
      <c r="L136" s="3"/>
      <c r="M136" s="3"/>
      <c r="N136" s="3" t="s">
        <v>75</v>
      </c>
      <c r="O136" s="3"/>
      <c r="P136" s="3"/>
      <c r="Q136" s="3"/>
      <c r="R136" s="3"/>
      <c r="S136" s="3"/>
      <c r="T136" s="3"/>
    </row>
    <row r="137" ht="22.5" customHeight="1">
      <c r="A137" s="2">
        <v>45540.895579178235</v>
      </c>
      <c r="B137" s="3" t="s">
        <v>20</v>
      </c>
      <c r="C137" s="4">
        <v>3087.0</v>
      </c>
      <c r="D137" s="6">
        <v>45535.0</v>
      </c>
      <c r="E137" s="3"/>
      <c r="F137" s="3"/>
      <c r="G137" s="3"/>
      <c r="H137" s="3" t="s">
        <v>59</v>
      </c>
      <c r="I137" s="3"/>
      <c r="J137" s="3"/>
      <c r="K137" s="3"/>
      <c r="L137" s="3"/>
      <c r="M137" s="3"/>
      <c r="N137" s="3"/>
      <c r="O137" s="3"/>
      <c r="P137" s="3"/>
      <c r="Q137" s="3"/>
      <c r="R137" s="3" t="s">
        <v>60</v>
      </c>
      <c r="S137" s="3"/>
      <c r="T137" s="3"/>
    </row>
    <row r="138" ht="22.5" customHeight="1">
      <c r="A138" s="2">
        <v>45540.896724791666</v>
      </c>
      <c r="B138" s="3" t="s">
        <v>20</v>
      </c>
      <c r="C138" s="4">
        <v>26000.0</v>
      </c>
      <c r="D138" s="6">
        <v>45535.0</v>
      </c>
      <c r="E138" s="3"/>
      <c r="F138" s="3"/>
      <c r="G138" s="3"/>
      <c r="H138" s="3" t="s">
        <v>51</v>
      </c>
      <c r="I138" s="3"/>
      <c r="J138" s="3"/>
      <c r="K138" s="3" t="s">
        <v>98</v>
      </c>
      <c r="L138" s="3"/>
      <c r="M138" s="3"/>
      <c r="N138" s="3"/>
      <c r="O138" s="3"/>
      <c r="P138" s="3"/>
      <c r="Q138" s="3"/>
      <c r="R138" s="3"/>
      <c r="S138" s="3"/>
      <c r="T138" s="3"/>
    </row>
    <row r="139" ht="22.5" customHeight="1">
      <c r="A139" s="2">
        <v>45540.98601054398</v>
      </c>
      <c r="B139" s="3" t="s">
        <v>38</v>
      </c>
      <c r="C139" s="4">
        <v>102900.0</v>
      </c>
      <c r="D139" s="6">
        <v>45535.0</v>
      </c>
      <c r="E139" s="3" t="s">
        <v>61</v>
      </c>
      <c r="F139" s="3" t="s">
        <v>62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22.5" customHeight="1">
      <c r="A140" s="2">
        <v>45540.98804646991</v>
      </c>
      <c r="B140" s="3" t="s">
        <v>38</v>
      </c>
      <c r="C140" s="4">
        <v>1190.0</v>
      </c>
      <c r="D140" s="6">
        <v>45506.0</v>
      </c>
      <c r="E140" s="3" t="s">
        <v>39</v>
      </c>
      <c r="F140" s="3"/>
      <c r="G140" s="3" t="s">
        <v>40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99</v>
      </c>
      <c r="T140" s="3" t="s">
        <v>42</v>
      </c>
    </row>
    <row r="141" ht="22.5" customHeight="1">
      <c r="A141" s="2">
        <v>45540.98843467592</v>
      </c>
      <c r="B141" s="3" t="s">
        <v>38</v>
      </c>
      <c r="C141" s="4">
        <v>200.0</v>
      </c>
      <c r="D141" s="6">
        <v>45510.0</v>
      </c>
      <c r="E141" s="3" t="s">
        <v>39</v>
      </c>
      <c r="F141" s="3"/>
      <c r="G141" s="3" t="s">
        <v>100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101</v>
      </c>
      <c r="T141" s="3" t="s">
        <v>42</v>
      </c>
    </row>
    <row r="142" ht="22.5" customHeight="1">
      <c r="A142" s="2">
        <v>45540.98887869213</v>
      </c>
      <c r="B142" s="3" t="s">
        <v>38</v>
      </c>
      <c r="C142" s="4">
        <v>850.0</v>
      </c>
      <c r="D142" s="6">
        <v>45512.0</v>
      </c>
      <c r="E142" s="3" t="s">
        <v>39</v>
      </c>
      <c r="F142" s="3"/>
      <c r="G142" s="3" t="s">
        <v>40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102</v>
      </c>
      <c r="T142" s="3" t="s">
        <v>42</v>
      </c>
    </row>
    <row r="143" ht="22.5" customHeight="1">
      <c r="A143" s="2">
        <v>45540.98936383102</v>
      </c>
      <c r="B143" s="3" t="s">
        <v>38</v>
      </c>
      <c r="C143" s="4">
        <v>2090.0</v>
      </c>
      <c r="D143" s="6">
        <v>45520.0</v>
      </c>
      <c r="E143" s="3" t="s">
        <v>39</v>
      </c>
      <c r="F143" s="3"/>
      <c r="G143" s="3" t="s">
        <v>40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103</v>
      </c>
      <c r="T143" s="3" t="s">
        <v>42</v>
      </c>
    </row>
    <row r="144" ht="22.5" customHeight="1">
      <c r="A144" s="2">
        <v>45540.99040674769</v>
      </c>
      <c r="B144" s="3" t="s">
        <v>38</v>
      </c>
      <c r="C144" s="4">
        <v>390.0</v>
      </c>
      <c r="D144" s="6">
        <v>45531.0</v>
      </c>
      <c r="E144" s="3" t="s">
        <v>39</v>
      </c>
      <c r="F144" s="3"/>
      <c r="G144" s="3" t="s">
        <v>40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104</v>
      </c>
      <c r="T144" s="3" t="s">
        <v>42</v>
      </c>
    </row>
    <row r="145" ht="22.5" customHeight="1">
      <c r="A145" s="2">
        <v>45540.99072771991</v>
      </c>
      <c r="B145" s="3" t="s">
        <v>38</v>
      </c>
      <c r="C145" s="4">
        <v>693.0</v>
      </c>
      <c r="D145" s="6">
        <v>45532.0</v>
      </c>
      <c r="E145" s="3" t="s">
        <v>39</v>
      </c>
      <c r="F145" s="3"/>
      <c r="G145" s="3" t="s">
        <v>40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105</v>
      </c>
      <c r="T145" s="3" t="s">
        <v>42</v>
      </c>
    </row>
    <row r="146" ht="22.5" customHeight="1">
      <c r="A146" s="2">
        <v>45540.992503692134</v>
      </c>
      <c r="B146" s="3" t="s">
        <v>38</v>
      </c>
      <c r="C146" s="4">
        <v>973.0</v>
      </c>
      <c r="D146" s="6">
        <v>45525.0</v>
      </c>
      <c r="E146" s="3" t="s">
        <v>39</v>
      </c>
      <c r="F146" s="3"/>
      <c r="G146" s="3" t="s">
        <v>40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106</v>
      </c>
      <c r="T146" s="3" t="s">
        <v>42</v>
      </c>
    </row>
    <row r="147" ht="22.5" customHeight="1">
      <c r="A147" s="2">
        <v>45540.99286108796</v>
      </c>
      <c r="B147" s="3" t="s">
        <v>38</v>
      </c>
      <c r="C147" s="4">
        <v>1846.0</v>
      </c>
      <c r="D147" s="6">
        <v>45532.0</v>
      </c>
      <c r="E147" s="3" t="s">
        <v>39</v>
      </c>
      <c r="F147" s="3"/>
      <c r="G147" s="3" t="s">
        <v>40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107</v>
      </c>
      <c r="T147" s="3" t="s">
        <v>42</v>
      </c>
    </row>
    <row r="148" ht="22.5" customHeight="1">
      <c r="A148" s="2">
        <v>45540.9933028125</v>
      </c>
      <c r="B148" s="3" t="s">
        <v>38</v>
      </c>
      <c r="C148" s="4">
        <v>1642.0</v>
      </c>
      <c r="D148" s="6">
        <v>45533.0</v>
      </c>
      <c r="E148" s="3" t="s">
        <v>39</v>
      </c>
      <c r="F148" s="3"/>
      <c r="G148" s="3" t="s">
        <v>40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108</v>
      </c>
      <c r="T148" s="3" t="s">
        <v>42</v>
      </c>
    </row>
    <row r="149" ht="22.5" customHeight="1">
      <c r="A149" s="2">
        <v>45540.99361128472</v>
      </c>
      <c r="B149" s="3" t="s">
        <v>38</v>
      </c>
      <c r="C149" s="4">
        <v>1845.0</v>
      </c>
      <c r="D149" s="6">
        <v>45533.0</v>
      </c>
      <c r="E149" s="3" t="s">
        <v>39</v>
      </c>
      <c r="F149" s="3"/>
      <c r="G149" s="3" t="s">
        <v>40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109</v>
      </c>
      <c r="T149" s="3" t="s">
        <v>42</v>
      </c>
    </row>
    <row r="150" ht="22.5" customHeight="1">
      <c r="A150" s="2">
        <v>45540.99397917824</v>
      </c>
      <c r="B150" s="3" t="s">
        <v>38</v>
      </c>
      <c r="C150" s="4">
        <v>2462.0</v>
      </c>
      <c r="D150" s="6">
        <v>45534.0</v>
      </c>
      <c r="E150" s="3" t="s">
        <v>39</v>
      </c>
      <c r="F150" s="3"/>
      <c r="G150" s="3" t="s">
        <v>40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110</v>
      </c>
      <c r="T150" s="3" t="s">
        <v>42</v>
      </c>
    </row>
    <row r="151" ht="22.5" customHeight="1">
      <c r="A151" s="2">
        <v>45541.8391565625</v>
      </c>
      <c r="B151" s="3" t="s">
        <v>20</v>
      </c>
      <c r="C151" s="4">
        <v>253.0</v>
      </c>
      <c r="D151" s="6">
        <v>45541.0</v>
      </c>
      <c r="E151" s="3"/>
      <c r="F151" s="3"/>
      <c r="G151" s="3"/>
      <c r="H151" s="3" t="s">
        <v>28</v>
      </c>
      <c r="I151" s="3" t="s">
        <v>30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22.5" customHeight="1">
      <c r="A152" s="2">
        <v>45542.36320381945</v>
      </c>
      <c r="B152" s="3" t="s">
        <v>20</v>
      </c>
      <c r="C152" s="4">
        <v>6602.0</v>
      </c>
      <c r="D152" s="6">
        <v>45542.0</v>
      </c>
      <c r="E152" s="3"/>
      <c r="F152" s="3"/>
      <c r="G152" s="3"/>
      <c r="H152" s="3" t="s">
        <v>51</v>
      </c>
      <c r="I152" s="3"/>
      <c r="J152" s="3"/>
      <c r="K152" s="3" t="s">
        <v>111</v>
      </c>
      <c r="L152" s="3"/>
      <c r="M152" s="3"/>
      <c r="N152" s="3"/>
      <c r="O152" s="3"/>
      <c r="P152" s="3"/>
      <c r="Q152" s="3"/>
      <c r="R152" s="3"/>
      <c r="S152" s="3"/>
      <c r="T152" s="3"/>
    </row>
    <row r="153" ht="22.5" customHeight="1">
      <c r="A153" s="2">
        <v>45542.93906269676</v>
      </c>
      <c r="B153" s="3" t="s">
        <v>20</v>
      </c>
      <c r="C153" s="4">
        <v>230.0</v>
      </c>
      <c r="D153" s="6">
        <v>45542.0</v>
      </c>
      <c r="E153" s="3"/>
      <c r="F153" s="3"/>
      <c r="G153" s="3"/>
      <c r="H153" s="3" t="s">
        <v>28</v>
      </c>
      <c r="I153" s="3" t="s">
        <v>34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22.5" customHeight="1">
      <c r="A154" s="2">
        <v>45542.93947084491</v>
      </c>
      <c r="B154" s="3" t="s">
        <v>20</v>
      </c>
      <c r="C154" s="4">
        <v>500.0</v>
      </c>
      <c r="D154" s="6">
        <v>45542.0</v>
      </c>
      <c r="E154" s="3"/>
      <c r="F154" s="3"/>
      <c r="G154" s="3"/>
      <c r="H154" s="3" t="s">
        <v>24</v>
      </c>
      <c r="I154" s="3"/>
      <c r="J154" s="3"/>
      <c r="K154" s="3"/>
      <c r="L154" s="3"/>
      <c r="M154" s="3" t="s">
        <v>96</v>
      </c>
      <c r="N154" s="3"/>
      <c r="O154" s="3"/>
      <c r="P154" s="3"/>
      <c r="Q154" s="3"/>
      <c r="R154" s="3"/>
      <c r="S154" s="3"/>
      <c r="T154" s="3"/>
    </row>
    <row r="155" ht="22.5" customHeight="1">
      <c r="A155" s="2">
        <v>45542.94003438657</v>
      </c>
      <c r="B155" s="3" t="s">
        <v>20</v>
      </c>
      <c r="C155" s="4">
        <v>126.0</v>
      </c>
      <c r="D155" s="6">
        <v>45542.0</v>
      </c>
      <c r="E155" s="3"/>
      <c r="F155" s="3"/>
      <c r="G155" s="3"/>
      <c r="H155" s="3" t="s">
        <v>28</v>
      </c>
      <c r="I155" s="3" t="s">
        <v>112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22.5" customHeight="1">
      <c r="A156" s="2">
        <v>45542.94039699074</v>
      </c>
      <c r="B156" s="3" t="s">
        <v>20</v>
      </c>
      <c r="C156" s="4">
        <v>75.0</v>
      </c>
      <c r="D156" s="6">
        <v>45542.0</v>
      </c>
      <c r="E156" s="3"/>
      <c r="F156" s="3"/>
      <c r="G156" s="3"/>
      <c r="H156" s="3" t="s">
        <v>21</v>
      </c>
      <c r="I156" s="3"/>
      <c r="J156" s="3"/>
      <c r="K156" s="3"/>
      <c r="L156" s="3" t="s">
        <v>31</v>
      </c>
      <c r="M156" s="3"/>
      <c r="N156" s="3"/>
      <c r="O156" s="3"/>
      <c r="P156" s="3"/>
      <c r="Q156" s="3"/>
      <c r="R156" s="3"/>
      <c r="S156" s="3"/>
      <c r="T156" s="3"/>
    </row>
    <row r="157" ht="22.5" customHeight="1">
      <c r="A157" s="2">
        <v>45542.940640057874</v>
      </c>
      <c r="B157" s="3" t="s">
        <v>20</v>
      </c>
      <c r="C157" s="4">
        <v>15.0</v>
      </c>
      <c r="D157" s="6">
        <v>45542.0</v>
      </c>
      <c r="E157" s="3"/>
      <c r="F157" s="3"/>
      <c r="G157" s="3"/>
      <c r="H157" s="3" t="s">
        <v>21</v>
      </c>
      <c r="I157" s="3"/>
      <c r="J157" s="3"/>
      <c r="K157" s="3"/>
      <c r="L157" s="3" t="s">
        <v>31</v>
      </c>
      <c r="M157" s="3"/>
      <c r="N157" s="3"/>
      <c r="O157" s="3"/>
      <c r="P157" s="3"/>
      <c r="Q157" s="3"/>
      <c r="R157" s="3"/>
      <c r="S157" s="3"/>
      <c r="T157" s="3"/>
    </row>
    <row r="158" ht="22.5" customHeight="1">
      <c r="A158" s="2">
        <v>45542.94088570602</v>
      </c>
      <c r="B158" s="3" t="s">
        <v>20</v>
      </c>
      <c r="C158" s="4">
        <v>814.0</v>
      </c>
      <c r="D158" s="6">
        <v>45542.0</v>
      </c>
      <c r="E158" s="3"/>
      <c r="F158" s="3"/>
      <c r="G158" s="3"/>
      <c r="H158" s="3" t="s">
        <v>21</v>
      </c>
      <c r="I158" s="3"/>
      <c r="J158" s="3"/>
      <c r="K158" s="3"/>
      <c r="L158" s="3" t="s">
        <v>23</v>
      </c>
      <c r="M158" s="3"/>
      <c r="N158" s="3"/>
      <c r="O158" s="3"/>
      <c r="P158" s="3"/>
      <c r="Q158" s="3"/>
      <c r="R158" s="3"/>
      <c r="S158" s="3"/>
      <c r="T158" s="3"/>
    </row>
    <row r="159" ht="22.5" customHeight="1">
      <c r="A159" s="2">
        <v>45542.94126140046</v>
      </c>
      <c r="B159" s="3" t="s">
        <v>20</v>
      </c>
      <c r="C159" s="4">
        <v>589.0</v>
      </c>
      <c r="D159" s="6">
        <v>45542.0</v>
      </c>
      <c r="E159" s="3"/>
      <c r="F159" s="3"/>
      <c r="G159" s="3"/>
      <c r="H159" s="3" t="s">
        <v>28</v>
      </c>
      <c r="I159" s="3" t="s">
        <v>34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22.5" customHeight="1">
      <c r="A160" s="2">
        <v>45543.62069997685</v>
      </c>
      <c r="B160" s="3" t="s">
        <v>20</v>
      </c>
      <c r="C160" s="4">
        <v>600.0</v>
      </c>
      <c r="D160" s="6">
        <v>45543.0</v>
      </c>
      <c r="E160" s="3"/>
      <c r="F160" s="3"/>
      <c r="G160" s="3"/>
      <c r="H160" s="3" t="s">
        <v>24</v>
      </c>
      <c r="I160" s="3"/>
      <c r="J160" s="3"/>
      <c r="K160" s="3"/>
      <c r="L160" s="3"/>
      <c r="M160" s="3" t="s">
        <v>45</v>
      </c>
      <c r="N160" s="3"/>
      <c r="O160" s="3"/>
      <c r="P160" s="3"/>
      <c r="Q160" s="3"/>
      <c r="R160" s="3"/>
      <c r="S160" s="3"/>
      <c r="T160" s="3"/>
    </row>
    <row r="161" ht="22.5" customHeight="1">
      <c r="A161" s="2">
        <v>45543.984974872685</v>
      </c>
      <c r="B161" s="3" t="s">
        <v>20</v>
      </c>
      <c r="C161" s="4">
        <v>50.0</v>
      </c>
      <c r="D161" s="6">
        <v>45543.0</v>
      </c>
      <c r="E161" s="3"/>
      <c r="F161" s="3"/>
      <c r="G161" s="3"/>
      <c r="H161" s="3" t="s">
        <v>24</v>
      </c>
      <c r="I161" s="3"/>
      <c r="J161" s="3"/>
      <c r="K161" s="3"/>
      <c r="L161" s="3"/>
      <c r="M161" s="3" t="s">
        <v>25</v>
      </c>
      <c r="N161" s="3"/>
      <c r="O161" s="3"/>
      <c r="P161" s="3"/>
      <c r="Q161" s="3"/>
      <c r="R161" s="3"/>
      <c r="S161" s="3"/>
      <c r="T161" s="3"/>
    </row>
    <row r="162" ht="22.5" customHeight="1">
      <c r="A162" s="2">
        <v>45543.98532648148</v>
      </c>
      <c r="B162" s="3" t="s">
        <v>20</v>
      </c>
      <c r="C162" s="4">
        <v>1905.0</v>
      </c>
      <c r="D162" s="6">
        <v>45543.0</v>
      </c>
      <c r="E162" s="3"/>
      <c r="F162" s="3"/>
      <c r="G162" s="3"/>
      <c r="H162" s="3" t="s">
        <v>28</v>
      </c>
      <c r="I162" s="3" t="s">
        <v>34</v>
      </c>
      <c r="J162" s="3"/>
      <c r="K162" s="3"/>
      <c r="L162" s="3"/>
      <c r="M162" s="3"/>
      <c r="N162" s="3"/>
      <c r="O162" s="3"/>
      <c r="P162" s="3"/>
      <c r="Q162" s="3"/>
      <c r="R162" s="3"/>
      <c r="S162" s="3" t="s">
        <v>113</v>
      </c>
      <c r="T162" s="3"/>
    </row>
    <row r="163" ht="22.5" customHeight="1">
      <c r="A163" s="2">
        <v>45544.29248233796</v>
      </c>
      <c r="B163" s="3" t="s">
        <v>20</v>
      </c>
      <c r="C163" s="4">
        <v>160.0</v>
      </c>
      <c r="D163" s="6">
        <v>45544.0</v>
      </c>
      <c r="E163" s="3"/>
      <c r="F163" s="3"/>
      <c r="G163" s="3"/>
      <c r="H163" s="3" t="s">
        <v>26</v>
      </c>
      <c r="I163" s="3"/>
      <c r="J163" s="3" t="s">
        <v>27</v>
      </c>
      <c r="K163" s="3"/>
      <c r="L163" s="3"/>
      <c r="M163" s="3"/>
      <c r="N163" s="3"/>
      <c r="O163" s="3"/>
      <c r="P163" s="3"/>
      <c r="Q163" s="3"/>
      <c r="R163" s="3"/>
      <c r="S163" s="3" t="s">
        <v>114</v>
      </c>
      <c r="T163" s="3"/>
    </row>
    <row r="164" ht="22.5" customHeight="1">
      <c r="A164" s="2">
        <v>45544.292850983795</v>
      </c>
      <c r="B164" s="3" t="s">
        <v>20</v>
      </c>
      <c r="C164" s="4">
        <v>116.0</v>
      </c>
      <c r="D164" s="6">
        <v>45544.0</v>
      </c>
      <c r="E164" s="3"/>
      <c r="F164" s="3"/>
      <c r="G164" s="3"/>
      <c r="H164" s="3" t="s">
        <v>26</v>
      </c>
      <c r="I164" s="3"/>
      <c r="J164" s="3" t="s">
        <v>27</v>
      </c>
      <c r="K164" s="3"/>
      <c r="L164" s="3"/>
      <c r="M164" s="3"/>
      <c r="N164" s="3"/>
      <c r="O164" s="3"/>
      <c r="P164" s="3"/>
      <c r="Q164" s="3"/>
      <c r="R164" s="3"/>
      <c r="S164" s="3" t="s">
        <v>115</v>
      </c>
      <c r="T164" s="3"/>
    </row>
    <row r="165" ht="22.5" customHeight="1">
      <c r="A165" s="2">
        <v>45544.29756304398</v>
      </c>
      <c r="B165" s="3" t="s">
        <v>20</v>
      </c>
      <c r="C165" s="4">
        <v>1385.0</v>
      </c>
      <c r="D165" s="6">
        <v>45544.0</v>
      </c>
      <c r="E165" s="3"/>
      <c r="F165" s="3"/>
      <c r="G165" s="3"/>
      <c r="H165" s="3" t="s">
        <v>26</v>
      </c>
      <c r="I165" s="3"/>
      <c r="J165" s="3" t="s">
        <v>27</v>
      </c>
      <c r="K165" s="3"/>
      <c r="L165" s="3"/>
      <c r="M165" s="3"/>
      <c r="N165" s="3"/>
      <c r="O165" s="3"/>
      <c r="P165" s="3"/>
      <c r="Q165" s="3"/>
      <c r="R165" s="3"/>
      <c r="S165" s="3" t="s">
        <v>116</v>
      </c>
      <c r="T165" s="3"/>
    </row>
    <row r="166" ht="22.5" customHeight="1">
      <c r="A166" s="2">
        <v>45544.96494626158</v>
      </c>
      <c r="B166" s="3" t="s">
        <v>20</v>
      </c>
      <c r="C166" s="4">
        <v>580.0</v>
      </c>
      <c r="D166" s="6">
        <v>45544.0</v>
      </c>
      <c r="E166" s="3"/>
      <c r="F166" s="3"/>
      <c r="G166" s="3"/>
      <c r="H166" s="3" t="s">
        <v>28</v>
      </c>
      <c r="I166" s="3" t="s">
        <v>84</v>
      </c>
      <c r="J166" s="3"/>
      <c r="K166" s="3"/>
      <c r="L166" s="3"/>
      <c r="M166" s="3"/>
      <c r="N166" s="3"/>
      <c r="O166" s="3"/>
      <c r="P166" s="3"/>
      <c r="Q166" s="3"/>
      <c r="R166" s="3"/>
      <c r="S166" s="3" t="s">
        <v>117</v>
      </c>
      <c r="T166" s="3"/>
    </row>
    <row r="167" ht="22.5" customHeight="1">
      <c r="A167" s="2">
        <v>45545.52043671296</v>
      </c>
      <c r="B167" s="3" t="s">
        <v>20</v>
      </c>
      <c r="C167" s="4">
        <v>286.0</v>
      </c>
      <c r="D167" s="6">
        <v>45545.0</v>
      </c>
      <c r="E167" s="3"/>
      <c r="F167" s="3"/>
      <c r="G167" s="3"/>
      <c r="H167" s="3" t="s">
        <v>118</v>
      </c>
      <c r="I167" s="3"/>
      <c r="J167" s="3"/>
      <c r="K167" s="3"/>
      <c r="L167" s="3"/>
      <c r="M167" s="3"/>
      <c r="N167" s="3"/>
      <c r="O167" s="3"/>
      <c r="P167" s="3" t="s">
        <v>119</v>
      </c>
      <c r="Q167" s="3"/>
      <c r="R167" s="3"/>
      <c r="S167" s="3" t="s">
        <v>120</v>
      </c>
      <c r="T167" s="3"/>
    </row>
    <row r="168" ht="22.5" customHeight="1">
      <c r="A168" s="2">
        <v>45547.0260658912</v>
      </c>
      <c r="B168" s="3" t="s">
        <v>20</v>
      </c>
      <c r="C168" s="4">
        <v>621.0</v>
      </c>
      <c r="D168" s="6">
        <v>45551.0</v>
      </c>
      <c r="E168" s="3"/>
      <c r="F168" s="3"/>
      <c r="G168" s="3"/>
      <c r="H168" s="3" t="s">
        <v>21</v>
      </c>
      <c r="I168" s="3"/>
      <c r="J168" s="3"/>
      <c r="K168" s="3"/>
      <c r="L168" s="3" t="s">
        <v>22</v>
      </c>
      <c r="M168" s="3"/>
      <c r="N168" s="3"/>
      <c r="O168" s="3"/>
      <c r="P168" s="3"/>
      <c r="Q168" s="3"/>
      <c r="R168" s="3"/>
      <c r="S168" s="3"/>
      <c r="T168" s="3"/>
    </row>
    <row r="169" ht="22.5" customHeight="1">
      <c r="A169" s="2">
        <v>45549.6893737037</v>
      </c>
      <c r="B169" s="3" t="s">
        <v>20</v>
      </c>
      <c r="C169" s="4">
        <v>467.0</v>
      </c>
      <c r="D169" s="6">
        <v>45548.0</v>
      </c>
      <c r="E169" s="3"/>
      <c r="F169" s="3"/>
      <c r="G169" s="3"/>
      <c r="H169" s="3" t="s">
        <v>28</v>
      </c>
      <c r="I169" s="3" t="s">
        <v>30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22.5" customHeight="1">
      <c r="A170" s="2">
        <v>45549.68968565972</v>
      </c>
      <c r="B170" s="3" t="s">
        <v>20</v>
      </c>
      <c r="C170" s="4">
        <v>645.0</v>
      </c>
      <c r="D170" s="6">
        <v>45549.0</v>
      </c>
      <c r="E170" s="3"/>
      <c r="F170" s="3"/>
      <c r="G170" s="3"/>
      <c r="H170" s="3" t="s">
        <v>21</v>
      </c>
      <c r="I170" s="3"/>
      <c r="J170" s="3"/>
      <c r="K170" s="3"/>
      <c r="L170" s="3" t="s">
        <v>36</v>
      </c>
      <c r="M170" s="3"/>
      <c r="N170" s="3"/>
      <c r="O170" s="3"/>
      <c r="P170" s="3"/>
      <c r="Q170" s="3"/>
      <c r="R170" s="3"/>
      <c r="S170" s="3"/>
      <c r="T170" s="3"/>
    </row>
    <row r="171" ht="22.5" customHeight="1">
      <c r="A171" s="2">
        <v>45549.690070682875</v>
      </c>
      <c r="B171" s="3" t="s">
        <v>20</v>
      </c>
      <c r="C171" s="4">
        <v>5000.0</v>
      </c>
      <c r="D171" s="6">
        <v>45549.0</v>
      </c>
      <c r="E171" s="3"/>
      <c r="F171" s="3"/>
      <c r="G171" s="3"/>
      <c r="H171" s="3" t="s">
        <v>16</v>
      </c>
      <c r="I171" s="3"/>
      <c r="J171" s="3"/>
      <c r="K171" s="3"/>
      <c r="L171" s="3"/>
      <c r="M171" s="3"/>
      <c r="N171" s="3"/>
      <c r="O171" s="3"/>
      <c r="P171" s="3"/>
      <c r="Q171" s="3" t="s">
        <v>47</v>
      </c>
      <c r="R171" s="3"/>
      <c r="S171" s="3" t="s">
        <v>121</v>
      </c>
      <c r="T171" s="3" t="s">
        <v>42</v>
      </c>
    </row>
    <row r="172" ht="22.5" customHeight="1">
      <c r="A172" s="2">
        <v>45549.744472129634</v>
      </c>
      <c r="B172" s="3" t="s">
        <v>20</v>
      </c>
      <c r="C172" s="4">
        <v>30.0</v>
      </c>
      <c r="D172" s="6">
        <v>45549.0</v>
      </c>
      <c r="E172" s="3"/>
      <c r="F172" s="3"/>
      <c r="G172" s="3"/>
      <c r="H172" s="3" t="s">
        <v>21</v>
      </c>
      <c r="I172" s="3"/>
      <c r="J172" s="3"/>
      <c r="K172" s="3"/>
      <c r="L172" s="3" t="s">
        <v>46</v>
      </c>
      <c r="M172" s="3"/>
      <c r="N172" s="3"/>
      <c r="O172" s="3"/>
      <c r="P172" s="3"/>
      <c r="Q172" s="3"/>
      <c r="R172" s="3"/>
      <c r="S172" s="3"/>
      <c r="T172" s="3"/>
    </row>
    <row r="173" ht="22.5" customHeight="1">
      <c r="A173" s="2">
        <v>45550.8685768287</v>
      </c>
      <c r="B173" s="3" t="s">
        <v>20</v>
      </c>
      <c r="C173" s="4">
        <v>220.0</v>
      </c>
      <c r="D173" s="6">
        <v>45550.0</v>
      </c>
      <c r="E173" s="3"/>
      <c r="F173" s="3"/>
      <c r="G173" s="3"/>
      <c r="H173" s="3" t="s">
        <v>26</v>
      </c>
      <c r="I173" s="3"/>
      <c r="J173" s="3" t="s">
        <v>27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22.5" customHeight="1">
      <c r="A174" s="2">
        <v>45550.86905255787</v>
      </c>
      <c r="B174" s="3" t="s">
        <v>20</v>
      </c>
      <c r="C174" s="4">
        <v>753.0</v>
      </c>
      <c r="D174" s="6">
        <v>45550.0</v>
      </c>
      <c r="E174" s="3"/>
      <c r="F174" s="3"/>
      <c r="G174" s="3"/>
      <c r="H174" s="3" t="s">
        <v>28</v>
      </c>
      <c r="I174" s="3" t="s">
        <v>30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22.5" customHeight="1">
      <c r="A175" s="2">
        <v>45551.29302783565</v>
      </c>
      <c r="B175" s="3" t="s">
        <v>38</v>
      </c>
      <c r="C175" s="4">
        <v>1000.0</v>
      </c>
      <c r="D175" s="6">
        <v>45551.0</v>
      </c>
      <c r="E175" s="3" t="s">
        <v>61</v>
      </c>
      <c r="F175" s="3" t="s">
        <v>63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122</v>
      </c>
      <c r="T175" s="3" t="s">
        <v>42</v>
      </c>
    </row>
    <row r="176" ht="22.5" customHeight="1">
      <c r="A176" s="2">
        <v>45552.72567777778</v>
      </c>
      <c r="B176" s="3" t="s">
        <v>20</v>
      </c>
      <c r="C176" s="4">
        <v>99.0</v>
      </c>
      <c r="D176" s="6">
        <v>45551.0</v>
      </c>
      <c r="E176" s="3"/>
      <c r="F176" s="3"/>
      <c r="G176" s="3"/>
      <c r="H176" s="3" t="s">
        <v>21</v>
      </c>
      <c r="I176" s="3"/>
      <c r="J176" s="3"/>
      <c r="K176" s="3"/>
      <c r="L176" s="3" t="s">
        <v>22</v>
      </c>
      <c r="M176" s="3"/>
      <c r="N176" s="3"/>
      <c r="O176" s="3"/>
      <c r="P176" s="3"/>
      <c r="Q176" s="3"/>
      <c r="R176" s="3"/>
      <c r="S176" s="3"/>
      <c r="T176" s="3"/>
    </row>
    <row r="177" ht="22.5" customHeight="1">
      <c r="A177" s="2">
        <v>45552.78406111111</v>
      </c>
      <c r="B177" s="3" t="s">
        <v>20</v>
      </c>
      <c r="C177" s="4">
        <v>44.0</v>
      </c>
      <c r="D177" s="6">
        <v>45551.0</v>
      </c>
      <c r="E177" s="3"/>
      <c r="F177" s="3"/>
      <c r="G177" s="3"/>
      <c r="H177" s="3" t="s">
        <v>21</v>
      </c>
      <c r="I177" s="3"/>
      <c r="J177" s="3"/>
      <c r="K177" s="3"/>
      <c r="L177" s="3" t="s">
        <v>123</v>
      </c>
      <c r="M177" s="3"/>
      <c r="N177" s="3"/>
      <c r="O177" s="3"/>
      <c r="P177" s="3"/>
      <c r="Q177" s="3"/>
      <c r="R177" s="3"/>
      <c r="S177" s="3"/>
      <c r="T177" s="3"/>
    </row>
    <row r="178" ht="22.5" customHeight="1">
      <c r="A178" s="2">
        <v>45552.78434773148</v>
      </c>
      <c r="B178" s="3" t="s">
        <v>20</v>
      </c>
      <c r="C178" s="4">
        <v>50.0</v>
      </c>
      <c r="D178" s="6">
        <v>45552.0</v>
      </c>
      <c r="E178" s="3"/>
      <c r="F178" s="3"/>
      <c r="G178" s="3"/>
      <c r="H178" s="3" t="s">
        <v>24</v>
      </c>
      <c r="I178" s="3"/>
      <c r="J178" s="3"/>
      <c r="K178" s="3"/>
      <c r="L178" s="3"/>
      <c r="M178" s="3" t="s">
        <v>25</v>
      </c>
      <c r="N178" s="3"/>
      <c r="O178" s="3"/>
      <c r="P178" s="3"/>
      <c r="Q178" s="3"/>
      <c r="R178" s="3"/>
      <c r="S178" s="3"/>
      <c r="T178" s="3"/>
    </row>
    <row r="179" ht="22.5" customHeight="1">
      <c r="A179" s="2">
        <v>45552.78475373842</v>
      </c>
      <c r="B179" s="3" t="s">
        <v>20</v>
      </c>
      <c r="C179" s="4">
        <v>654.0</v>
      </c>
      <c r="D179" s="6">
        <v>45552.0</v>
      </c>
      <c r="E179" s="3"/>
      <c r="F179" s="3"/>
      <c r="G179" s="3"/>
      <c r="H179" s="3" t="s">
        <v>21</v>
      </c>
      <c r="I179" s="3"/>
      <c r="J179" s="3"/>
      <c r="K179" s="3"/>
      <c r="L179" s="3" t="s">
        <v>23</v>
      </c>
      <c r="M179" s="3"/>
      <c r="N179" s="3"/>
      <c r="O179" s="3"/>
      <c r="P179" s="3"/>
      <c r="Q179" s="3"/>
      <c r="R179" s="3"/>
      <c r="S179" s="3"/>
      <c r="T179" s="3"/>
    </row>
    <row r="180" ht="22.5" customHeight="1">
      <c r="A180" s="2">
        <v>45552.7851547801</v>
      </c>
      <c r="B180" s="3" t="s">
        <v>20</v>
      </c>
      <c r="C180" s="4">
        <v>794.0</v>
      </c>
      <c r="D180" s="6">
        <v>45552.0</v>
      </c>
      <c r="E180" s="3"/>
      <c r="F180" s="3"/>
      <c r="G180" s="3"/>
      <c r="H180" s="3" t="s">
        <v>28</v>
      </c>
      <c r="I180" s="3" t="s">
        <v>34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22.5" customHeight="1">
      <c r="A181" s="2">
        <v>45552.93311493055</v>
      </c>
      <c r="B181" s="3" t="s">
        <v>20</v>
      </c>
      <c r="C181" s="4">
        <v>686.0</v>
      </c>
      <c r="D181" s="6">
        <v>45552.0</v>
      </c>
      <c r="E181" s="3"/>
      <c r="F181" s="3"/>
      <c r="G181" s="3"/>
      <c r="H181" s="3" t="s">
        <v>28</v>
      </c>
      <c r="I181" s="3" t="s">
        <v>30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22.5" customHeight="1">
      <c r="A182" s="2">
        <v>45554.56259613426</v>
      </c>
      <c r="B182" s="3" t="s">
        <v>20</v>
      </c>
      <c r="C182" s="4">
        <v>305.0</v>
      </c>
      <c r="D182" s="6">
        <v>45554.0</v>
      </c>
      <c r="E182" s="3"/>
      <c r="F182" s="3"/>
      <c r="G182" s="3"/>
      <c r="H182" s="3" t="s">
        <v>51</v>
      </c>
      <c r="I182" s="3"/>
      <c r="J182" s="3"/>
      <c r="K182" s="7" t="s">
        <v>124</v>
      </c>
      <c r="L182" s="3"/>
      <c r="M182" s="3"/>
      <c r="N182" s="3"/>
      <c r="O182" s="3"/>
      <c r="P182" s="3"/>
      <c r="Q182" s="3"/>
      <c r="R182" s="3"/>
      <c r="S182" s="3"/>
      <c r="T182" s="3"/>
    </row>
    <row r="183" ht="22.5" customHeight="1">
      <c r="A183" s="2">
        <v>45554.68003447917</v>
      </c>
      <c r="B183" s="3" t="s">
        <v>20</v>
      </c>
      <c r="C183" s="4">
        <v>98.0</v>
      </c>
      <c r="D183" s="6">
        <v>45552.0</v>
      </c>
      <c r="E183" s="3"/>
      <c r="F183" s="3"/>
      <c r="G183" s="3"/>
      <c r="H183" s="3" t="s">
        <v>26</v>
      </c>
      <c r="I183" s="3"/>
      <c r="J183" s="3" t="s">
        <v>27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22.5" customHeight="1">
      <c r="A184" s="2">
        <v>45556.50660167824</v>
      </c>
      <c r="B184" s="8" t="s">
        <v>20</v>
      </c>
      <c r="C184" s="9">
        <v>88.0</v>
      </c>
      <c r="D184" s="6">
        <v>45556.0</v>
      </c>
      <c r="E184" s="3"/>
      <c r="F184" s="3"/>
      <c r="G184" s="3"/>
      <c r="H184" s="8" t="s">
        <v>28</v>
      </c>
      <c r="I184" s="8" t="s">
        <v>29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8"/>
    </row>
    <row r="185" ht="22.5" customHeight="1">
      <c r="A185" s="2">
        <v>45556.50689017361</v>
      </c>
      <c r="B185" s="8" t="s">
        <v>20</v>
      </c>
      <c r="C185" s="9">
        <v>20.0</v>
      </c>
      <c r="D185" s="6">
        <v>45556.0</v>
      </c>
      <c r="E185" s="3"/>
      <c r="F185" s="3"/>
      <c r="G185" s="3"/>
      <c r="H185" s="8" t="s">
        <v>21</v>
      </c>
      <c r="I185" s="8"/>
      <c r="J185" s="3"/>
      <c r="K185" s="3"/>
      <c r="L185" s="3" t="s">
        <v>31</v>
      </c>
      <c r="M185" s="3"/>
      <c r="N185" s="3"/>
      <c r="O185" s="3"/>
      <c r="P185" s="3"/>
      <c r="Q185" s="3"/>
      <c r="R185" s="3"/>
      <c r="S185" s="3"/>
      <c r="T185" s="8"/>
    </row>
    <row r="186" ht="22.5" customHeight="1">
      <c r="A186" s="2">
        <v>45556.629231122686</v>
      </c>
      <c r="B186" s="8" t="s">
        <v>20</v>
      </c>
      <c r="C186" s="9">
        <v>60.0</v>
      </c>
      <c r="D186" s="6">
        <v>45556.0</v>
      </c>
      <c r="E186" s="3"/>
      <c r="F186" s="3"/>
      <c r="G186" s="3"/>
      <c r="H186" s="8" t="s">
        <v>21</v>
      </c>
      <c r="I186" s="8"/>
      <c r="J186" s="3"/>
      <c r="K186" s="3"/>
      <c r="L186" s="3" t="s">
        <v>31</v>
      </c>
      <c r="M186" s="3"/>
      <c r="N186" s="3"/>
      <c r="O186" s="3"/>
      <c r="P186" s="3"/>
      <c r="Q186" s="3"/>
      <c r="R186" s="3"/>
      <c r="S186" s="3"/>
      <c r="T186" s="8"/>
    </row>
    <row r="187" ht="22.5" customHeight="1">
      <c r="A187" s="2">
        <v>45556.963266666666</v>
      </c>
      <c r="B187" s="8" t="s">
        <v>20</v>
      </c>
      <c r="C187" s="9">
        <v>170.0</v>
      </c>
      <c r="D187" s="6">
        <v>45556.0</v>
      </c>
      <c r="E187" s="3"/>
      <c r="F187" s="3"/>
      <c r="G187" s="3"/>
      <c r="H187" s="8" t="s">
        <v>28</v>
      </c>
      <c r="I187" s="8" t="s">
        <v>30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8"/>
    </row>
    <row r="188" ht="22.5" customHeight="1">
      <c r="A188" s="2">
        <v>45556.96356325231</v>
      </c>
      <c r="B188" s="8" t="s">
        <v>20</v>
      </c>
      <c r="C188" s="9">
        <v>226.0</v>
      </c>
      <c r="D188" s="6">
        <v>45556.0</v>
      </c>
      <c r="E188" s="3"/>
      <c r="F188" s="3"/>
      <c r="G188" s="3"/>
      <c r="H188" s="8" t="s">
        <v>28</v>
      </c>
      <c r="I188" s="8" t="s">
        <v>35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8"/>
    </row>
    <row r="189" ht="22.5" customHeight="1">
      <c r="A189" s="2">
        <v>45556.963825231476</v>
      </c>
      <c r="B189" s="8" t="s">
        <v>20</v>
      </c>
      <c r="C189" s="9">
        <v>50.0</v>
      </c>
      <c r="D189" s="6">
        <v>45556.0</v>
      </c>
      <c r="E189" s="3"/>
      <c r="F189" s="3"/>
      <c r="G189" s="3"/>
      <c r="H189" s="8" t="s">
        <v>21</v>
      </c>
      <c r="I189" s="8"/>
      <c r="J189" s="3"/>
      <c r="K189" s="3"/>
      <c r="L189" s="3" t="s">
        <v>31</v>
      </c>
      <c r="M189" s="3"/>
      <c r="N189" s="3"/>
      <c r="O189" s="3"/>
      <c r="P189" s="3"/>
      <c r="Q189" s="3"/>
      <c r="R189" s="3"/>
      <c r="S189" s="3"/>
      <c r="T189" s="8"/>
    </row>
    <row r="190" ht="22.5" customHeight="1">
      <c r="A190" s="2">
        <v>45556.96493417824</v>
      </c>
      <c r="B190" s="8" t="s">
        <v>20</v>
      </c>
      <c r="C190" s="9">
        <v>230.0</v>
      </c>
      <c r="D190" s="6">
        <v>45557.0</v>
      </c>
      <c r="E190" s="3"/>
      <c r="F190" s="3"/>
      <c r="G190" s="3"/>
      <c r="H190" s="8" t="s">
        <v>24</v>
      </c>
      <c r="I190" s="8"/>
      <c r="J190" s="3"/>
      <c r="K190" s="3"/>
      <c r="L190" s="3"/>
      <c r="M190" s="3" t="s">
        <v>25</v>
      </c>
      <c r="N190" s="3"/>
      <c r="O190" s="3"/>
      <c r="P190" s="3"/>
      <c r="Q190" s="3"/>
      <c r="R190" s="3"/>
      <c r="S190" s="3"/>
      <c r="T190" s="8"/>
    </row>
    <row r="191" ht="22.5" customHeight="1">
      <c r="A191" s="2">
        <v>45556.96634515046</v>
      </c>
      <c r="B191" s="8" t="s">
        <v>20</v>
      </c>
      <c r="C191" s="9">
        <v>3010.0</v>
      </c>
      <c r="D191" s="6">
        <v>45563.0</v>
      </c>
      <c r="E191" s="3"/>
      <c r="F191" s="3"/>
      <c r="G191" s="3"/>
      <c r="H191" s="8" t="s">
        <v>24</v>
      </c>
      <c r="I191" s="8"/>
      <c r="J191" s="3"/>
      <c r="K191" s="3"/>
      <c r="L191" s="3"/>
      <c r="M191" s="3" t="s">
        <v>49</v>
      </c>
      <c r="N191" s="3"/>
      <c r="O191" s="3"/>
      <c r="P191" s="3"/>
      <c r="Q191" s="3"/>
      <c r="R191" s="3"/>
      <c r="S191" s="3" t="s">
        <v>125</v>
      </c>
      <c r="T191" s="8" t="s">
        <v>42</v>
      </c>
    </row>
    <row r="192" ht="22.5" customHeight="1">
      <c r="A192" s="2">
        <v>45557.81544298611</v>
      </c>
      <c r="B192" s="8" t="s">
        <v>20</v>
      </c>
      <c r="C192" s="9">
        <v>23.0</v>
      </c>
      <c r="D192" s="6">
        <v>45557.0</v>
      </c>
      <c r="E192" s="3"/>
      <c r="F192" s="3"/>
      <c r="G192" s="3"/>
      <c r="H192" s="8" t="s">
        <v>28</v>
      </c>
      <c r="I192" s="8" t="s">
        <v>29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8"/>
    </row>
    <row r="193" ht="22.5" customHeight="1">
      <c r="A193" s="2">
        <v>45561.89536443287</v>
      </c>
      <c r="B193" s="8" t="s">
        <v>20</v>
      </c>
      <c r="C193" s="9">
        <v>100.0</v>
      </c>
      <c r="D193" s="6">
        <v>45561.0</v>
      </c>
      <c r="E193" s="3"/>
      <c r="F193" s="3"/>
      <c r="G193" s="3"/>
      <c r="H193" s="8" t="s">
        <v>24</v>
      </c>
      <c r="I193" s="8"/>
      <c r="J193" s="3"/>
      <c r="K193" s="3"/>
      <c r="L193" s="3"/>
      <c r="M193" s="3" t="s">
        <v>25</v>
      </c>
      <c r="N193" s="3"/>
      <c r="O193" s="3"/>
      <c r="P193" s="3"/>
      <c r="Q193" s="3"/>
      <c r="R193" s="3"/>
      <c r="S193" s="3"/>
      <c r="T193" s="8"/>
    </row>
    <row r="194" ht="22.5" customHeight="1">
      <c r="A194" s="2">
        <v>45562.89613302083</v>
      </c>
      <c r="B194" s="8" t="s">
        <v>20</v>
      </c>
      <c r="C194" s="9">
        <v>248.0</v>
      </c>
      <c r="D194" s="6">
        <v>45562.0</v>
      </c>
      <c r="E194" s="3"/>
      <c r="F194" s="3"/>
      <c r="G194" s="3"/>
      <c r="H194" s="8" t="s">
        <v>28</v>
      </c>
      <c r="I194" s="8" t="s">
        <v>30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8"/>
    </row>
    <row r="195" ht="22.5" customHeight="1">
      <c r="A195" s="2">
        <v>45563.36391901621</v>
      </c>
      <c r="B195" s="8" t="s">
        <v>20</v>
      </c>
      <c r="C195" s="9">
        <v>2006.0</v>
      </c>
      <c r="D195" s="6">
        <v>45563.0</v>
      </c>
      <c r="E195" s="3"/>
      <c r="F195" s="3"/>
      <c r="G195" s="3"/>
      <c r="H195" s="8" t="s">
        <v>16</v>
      </c>
      <c r="I195" s="8"/>
      <c r="J195" s="3"/>
      <c r="K195" s="3"/>
      <c r="L195" s="3"/>
      <c r="M195" s="3"/>
      <c r="N195" s="3"/>
      <c r="O195" s="3"/>
      <c r="P195" s="3"/>
      <c r="Q195" s="3" t="s">
        <v>47</v>
      </c>
      <c r="R195" s="3"/>
      <c r="S195" s="3"/>
      <c r="T195" s="8"/>
    </row>
    <row r="196" ht="22.5" customHeight="1">
      <c r="A196" s="2">
        <v>45563.36422109954</v>
      </c>
      <c r="B196" s="8" t="s">
        <v>20</v>
      </c>
      <c r="C196" s="9">
        <v>608.0</v>
      </c>
      <c r="D196" s="6">
        <v>45563.0</v>
      </c>
      <c r="E196" s="3"/>
      <c r="F196" s="3"/>
      <c r="G196" s="3"/>
      <c r="H196" s="8" t="s">
        <v>118</v>
      </c>
      <c r="I196" s="8"/>
      <c r="J196" s="3"/>
      <c r="K196" s="3"/>
      <c r="L196" s="3"/>
      <c r="M196" s="3"/>
      <c r="N196" s="3"/>
      <c r="O196" s="3"/>
      <c r="P196" s="3" t="s">
        <v>119</v>
      </c>
      <c r="Q196" s="3"/>
      <c r="R196" s="3"/>
      <c r="S196" s="3"/>
      <c r="T196" s="8"/>
    </row>
    <row r="197" ht="22.5" customHeight="1">
      <c r="A197" s="2">
        <v>45563.371189375</v>
      </c>
      <c r="B197" s="8" t="s">
        <v>20</v>
      </c>
      <c r="C197" s="9">
        <v>484.0</v>
      </c>
      <c r="D197" s="6">
        <v>45563.0</v>
      </c>
      <c r="E197" s="3"/>
      <c r="F197" s="3"/>
      <c r="G197" s="3"/>
      <c r="H197" s="8" t="s">
        <v>26</v>
      </c>
      <c r="I197" s="8"/>
      <c r="J197" s="3" t="s">
        <v>27</v>
      </c>
      <c r="K197" s="3"/>
      <c r="L197" s="3"/>
      <c r="M197" s="3"/>
      <c r="N197" s="3"/>
      <c r="O197" s="3"/>
      <c r="P197" s="3"/>
      <c r="Q197" s="3"/>
      <c r="R197" s="3"/>
      <c r="S197" s="3" t="s">
        <v>53</v>
      </c>
      <c r="T197" s="8"/>
    </row>
    <row r="198" ht="22.5" customHeight="1">
      <c r="A198" s="2">
        <v>45564.357009687505</v>
      </c>
      <c r="B198" s="8" t="s">
        <v>20</v>
      </c>
      <c r="C198" s="9">
        <v>170.0</v>
      </c>
      <c r="D198" s="6">
        <v>45563.0</v>
      </c>
      <c r="E198" s="3"/>
      <c r="F198" s="3"/>
      <c r="G198" s="3"/>
      <c r="H198" s="8" t="s">
        <v>28</v>
      </c>
      <c r="I198" s="8" t="s">
        <v>44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8"/>
    </row>
    <row r="199" ht="22.5" customHeight="1">
      <c r="A199" s="2">
        <v>45564.35726842593</v>
      </c>
      <c r="B199" s="8" t="s">
        <v>20</v>
      </c>
      <c r="C199" s="9">
        <v>350.0</v>
      </c>
      <c r="D199" s="6">
        <v>45563.0</v>
      </c>
      <c r="E199" s="3"/>
      <c r="F199" s="3"/>
      <c r="G199" s="3"/>
      <c r="H199" s="8" t="s">
        <v>28</v>
      </c>
      <c r="I199" s="8" t="s">
        <v>126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8"/>
    </row>
    <row r="200" ht="22.5" customHeight="1">
      <c r="A200" s="2">
        <v>45564.35768378472</v>
      </c>
      <c r="B200" s="8" t="s">
        <v>20</v>
      </c>
      <c r="C200" s="9">
        <v>179.0</v>
      </c>
      <c r="D200" s="6">
        <v>45563.0</v>
      </c>
      <c r="E200" s="3"/>
      <c r="F200" s="3"/>
      <c r="G200" s="3"/>
      <c r="H200" s="8" t="s">
        <v>28</v>
      </c>
      <c r="I200" s="8" t="s">
        <v>43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8"/>
    </row>
    <row r="201" ht="22.5" customHeight="1">
      <c r="A201" s="2">
        <v>45564.35824822917</v>
      </c>
      <c r="B201" s="8" t="s">
        <v>20</v>
      </c>
      <c r="C201" s="9">
        <v>35.0</v>
      </c>
      <c r="D201" s="6">
        <v>45563.0</v>
      </c>
      <c r="E201" s="3"/>
      <c r="F201" s="3"/>
      <c r="G201" s="3"/>
      <c r="H201" s="8" t="s">
        <v>21</v>
      </c>
      <c r="I201" s="8"/>
      <c r="J201" s="3"/>
      <c r="K201" s="3"/>
      <c r="L201" s="3" t="s">
        <v>123</v>
      </c>
      <c r="M201" s="3"/>
      <c r="N201" s="3"/>
      <c r="O201" s="3"/>
      <c r="P201" s="3"/>
      <c r="Q201" s="3"/>
      <c r="R201" s="3"/>
      <c r="S201" s="3"/>
      <c r="T201" s="8"/>
    </row>
    <row r="202" ht="22.5" customHeight="1">
      <c r="A202" s="2">
        <v>45564.3586490625</v>
      </c>
      <c r="B202" s="8" t="s">
        <v>20</v>
      </c>
      <c r="C202" s="9">
        <v>28.0</v>
      </c>
      <c r="D202" s="6">
        <v>45564.0</v>
      </c>
      <c r="E202" s="3"/>
      <c r="F202" s="3"/>
      <c r="G202" s="3"/>
      <c r="H202" s="8" t="s">
        <v>21</v>
      </c>
      <c r="I202" s="8"/>
      <c r="J202" s="3"/>
      <c r="K202" s="3"/>
      <c r="L202" s="3" t="s">
        <v>123</v>
      </c>
      <c r="M202" s="3"/>
      <c r="N202" s="3"/>
      <c r="O202" s="3"/>
      <c r="P202" s="3"/>
      <c r="Q202" s="3"/>
      <c r="R202" s="3"/>
      <c r="S202" s="3"/>
      <c r="T202" s="8"/>
    </row>
    <row r="203" ht="22.5" customHeight="1">
      <c r="A203" s="2">
        <v>45564.7221853588</v>
      </c>
      <c r="B203" s="8" t="s">
        <v>20</v>
      </c>
      <c r="C203" s="9">
        <v>585.0</v>
      </c>
      <c r="D203" s="6">
        <v>45564.0</v>
      </c>
      <c r="E203" s="3"/>
      <c r="F203" s="3"/>
      <c r="G203" s="3"/>
      <c r="H203" s="8" t="s">
        <v>21</v>
      </c>
      <c r="I203" s="8"/>
      <c r="J203" s="3"/>
      <c r="K203" s="3"/>
      <c r="L203" s="3" t="s">
        <v>23</v>
      </c>
      <c r="M203" s="3"/>
      <c r="N203" s="3"/>
      <c r="O203" s="3"/>
      <c r="P203" s="3"/>
      <c r="Q203" s="3"/>
      <c r="R203" s="3"/>
      <c r="S203" s="3"/>
      <c r="T203" s="8"/>
    </row>
    <row r="204" ht="22.5" customHeight="1">
      <c r="A204" s="10">
        <v>45567.9421777199</v>
      </c>
      <c r="B204" s="11" t="s">
        <v>20</v>
      </c>
      <c r="C204" s="11">
        <v>804.0</v>
      </c>
      <c r="D204" s="11" t="s">
        <v>127</v>
      </c>
      <c r="H204" s="11" t="s">
        <v>21</v>
      </c>
      <c r="L204" s="11" t="s">
        <v>23</v>
      </c>
    </row>
    <row r="205" ht="22.5" customHeight="1">
      <c r="A205" s="10">
        <v>45567.9427941551</v>
      </c>
      <c r="B205" s="11" t="s">
        <v>20</v>
      </c>
      <c r="C205" s="11">
        <v>69.0</v>
      </c>
      <c r="D205" s="11" t="s">
        <v>128</v>
      </c>
      <c r="H205" s="11" t="s">
        <v>26</v>
      </c>
      <c r="J205" s="11" t="s">
        <v>27</v>
      </c>
    </row>
    <row r="206" ht="22.5" customHeight="1">
      <c r="A206" s="10">
        <v>45567.94296490741</v>
      </c>
      <c r="B206" s="11" t="s">
        <v>20</v>
      </c>
      <c r="C206" s="11">
        <v>225.0</v>
      </c>
      <c r="D206" s="11" t="s">
        <v>128</v>
      </c>
      <c r="H206" s="11" t="s">
        <v>28</v>
      </c>
      <c r="I206" s="11" t="s">
        <v>34</v>
      </c>
    </row>
    <row r="207" ht="22.5" customHeight="1">
      <c r="A207" s="10">
        <v>45567.94316797453</v>
      </c>
      <c r="B207" s="11" t="s">
        <v>20</v>
      </c>
      <c r="C207" s="11">
        <v>80.0</v>
      </c>
      <c r="D207" s="11" t="s">
        <v>128</v>
      </c>
      <c r="H207" s="11" t="s">
        <v>28</v>
      </c>
      <c r="I207" s="11" t="s">
        <v>34</v>
      </c>
    </row>
    <row r="208" ht="22.5" customHeight="1">
      <c r="A208" s="10">
        <v>45567.943356689815</v>
      </c>
      <c r="B208" s="11" t="s">
        <v>20</v>
      </c>
      <c r="C208" s="11">
        <v>298.0</v>
      </c>
      <c r="D208" s="11" t="s">
        <v>128</v>
      </c>
      <c r="H208" s="11" t="s">
        <v>28</v>
      </c>
      <c r="I208" s="11" t="s">
        <v>34</v>
      </c>
    </row>
    <row r="209" ht="22.5" customHeight="1">
      <c r="A209" s="10">
        <v>45567.943562291664</v>
      </c>
      <c r="B209" s="11" t="s">
        <v>20</v>
      </c>
      <c r="C209" s="11">
        <v>50.0</v>
      </c>
      <c r="D209" s="11" t="s">
        <v>128</v>
      </c>
      <c r="H209" s="11" t="s">
        <v>21</v>
      </c>
      <c r="L209" s="11" t="s">
        <v>31</v>
      </c>
    </row>
    <row r="210" ht="22.5" customHeight="1">
      <c r="A210" s="10">
        <v>45567.94414619213</v>
      </c>
      <c r="B210" s="11" t="s">
        <v>20</v>
      </c>
      <c r="C210" s="11">
        <v>5700.0</v>
      </c>
      <c r="D210" s="11">
        <v>2.0241011E7</v>
      </c>
      <c r="H210" s="11" t="s">
        <v>24</v>
      </c>
      <c r="M210" s="11" t="s">
        <v>49</v>
      </c>
      <c r="S210" s="11" t="s">
        <v>129</v>
      </c>
      <c r="T210" s="11" t="s">
        <v>42</v>
      </c>
    </row>
    <row r="211" ht="22.5" customHeight="1">
      <c r="A211" s="10">
        <v>45568.47959033565</v>
      </c>
      <c r="B211" s="11" t="s">
        <v>20</v>
      </c>
      <c r="C211" s="11">
        <v>135.0</v>
      </c>
      <c r="D211" s="11" t="s">
        <v>128</v>
      </c>
      <c r="H211" s="11" t="s">
        <v>28</v>
      </c>
      <c r="I211" s="11" t="s">
        <v>44</v>
      </c>
    </row>
    <row r="212" ht="22.5" customHeight="1">
      <c r="A212" s="10">
        <v>45570.36452030092</v>
      </c>
      <c r="B212" s="11" t="s">
        <v>20</v>
      </c>
      <c r="C212" s="11">
        <v>114.0</v>
      </c>
      <c r="D212" s="11" t="s">
        <v>128</v>
      </c>
      <c r="H212" s="11" t="s">
        <v>28</v>
      </c>
      <c r="I212" s="11" t="s">
        <v>29</v>
      </c>
    </row>
    <row r="213" ht="22.5" customHeight="1">
      <c r="A213" s="10">
        <v>45570.56713768518</v>
      </c>
      <c r="B213" s="11" t="s">
        <v>20</v>
      </c>
      <c r="C213" s="11">
        <v>1375.0</v>
      </c>
      <c r="D213" s="11" t="s">
        <v>128</v>
      </c>
      <c r="H213" s="11" t="s">
        <v>28</v>
      </c>
      <c r="I213" s="11" t="s">
        <v>44</v>
      </c>
    </row>
    <row r="214" ht="22.5" customHeight="1">
      <c r="A214" s="10">
        <v>45570.71968659722</v>
      </c>
      <c r="B214" s="11" t="s">
        <v>20</v>
      </c>
      <c r="C214" s="11">
        <v>125.0</v>
      </c>
      <c r="D214" s="11" t="s">
        <v>128</v>
      </c>
      <c r="H214" s="11" t="s">
        <v>21</v>
      </c>
      <c r="L214" s="11" t="s">
        <v>31</v>
      </c>
    </row>
    <row r="215" ht="22.5" customHeight="1">
      <c r="A215" s="10">
        <v>45570.72000753472</v>
      </c>
      <c r="B215" s="11" t="s">
        <v>20</v>
      </c>
      <c r="C215" s="11">
        <v>70.0</v>
      </c>
      <c r="D215" s="11" t="s">
        <v>128</v>
      </c>
      <c r="H215" s="11" t="s">
        <v>28</v>
      </c>
      <c r="I215" s="11" t="s">
        <v>112</v>
      </c>
    </row>
    <row r="216" ht="22.5" customHeight="1">
      <c r="A216" s="10">
        <v>45572.302066226854</v>
      </c>
      <c r="B216" s="11" t="s">
        <v>20</v>
      </c>
      <c r="C216" s="11">
        <v>30.0</v>
      </c>
      <c r="D216" s="11" t="s">
        <v>127</v>
      </c>
      <c r="H216" s="11" t="s">
        <v>21</v>
      </c>
      <c r="L216" s="11" t="s">
        <v>130</v>
      </c>
    </row>
    <row r="217" ht="22.5" customHeight="1">
      <c r="A217" s="10">
        <v>45572.30232</v>
      </c>
      <c r="B217" s="11" t="s">
        <v>20</v>
      </c>
      <c r="C217" s="11">
        <v>135.0</v>
      </c>
      <c r="D217" s="11" t="s">
        <v>127</v>
      </c>
      <c r="H217" s="11" t="s">
        <v>28</v>
      </c>
      <c r="I217" s="11" t="s">
        <v>34</v>
      </c>
    </row>
    <row r="218" ht="22.5" customHeight="1">
      <c r="A218" s="10">
        <v>45572.302497638884</v>
      </c>
      <c r="B218" s="11" t="s">
        <v>20</v>
      </c>
      <c r="C218" s="11">
        <v>100.0</v>
      </c>
      <c r="D218" s="11" t="s">
        <v>127</v>
      </c>
      <c r="H218" s="11" t="s">
        <v>21</v>
      </c>
      <c r="L218" s="11" t="s">
        <v>31</v>
      </c>
    </row>
    <row r="219" ht="22.5" customHeight="1">
      <c r="A219" s="10">
        <v>45572.30275688657</v>
      </c>
      <c r="B219" s="11" t="s">
        <v>20</v>
      </c>
      <c r="C219" s="11">
        <v>1250.0</v>
      </c>
      <c r="D219" s="11" t="s">
        <v>127</v>
      </c>
      <c r="H219" s="11" t="s">
        <v>28</v>
      </c>
      <c r="I219" s="11" t="s">
        <v>44</v>
      </c>
    </row>
    <row r="220" ht="22.5" customHeight="1">
      <c r="A220" s="10">
        <v>45572.3030469213</v>
      </c>
      <c r="B220" s="11" t="s">
        <v>20</v>
      </c>
      <c r="C220" s="11">
        <v>25.0</v>
      </c>
      <c r="D220" s="11" t="s">
        <v>127</v>
      </c>
      <c r="H220" s="11" t="s">
        <v>21</v>
      </c>
      <c r="L220" s="11" t="s">
        <v>31</v>
      </c>
    </row>
    <row r="221" ht="22.5" customHeight="1">
      <c r="A221" s="10">
        <v>45573.872737094905</v>
      </c>
      <c r="B221" s="11" t="s">
        <v>20</v>
      </c>
      <c r="C221" s="11">
        <v>32.0</v>
      </c>
      <c r="D221" s="11" t="s">
        <v>128</v>
      </c>
      <c r="H221" s="11" t="s">
        <v>28</v>
      </c>
      <c r="I221" s="11" t="s">
        <v>35</v>
      </c>
    </row>
    <row r="222" ht="22.5" customHeight="1">
      <c r="A222" s="10">
        <v>45573.874202245366</v>
      </c>
      <c r="B222" s="11" t="s">
        <v>38</v>
      </c>
      <c r="C222" s="11">
        <v>102900.0</v>
      </c>
      <c r="D222" s="11">
        <v>2.024093E7</v>
      </c>
      <c r="E222" s="11" t="s">
        <v>61</v>
      </c>
      <c r="F222" s="11" t="s">
        <v>62</v>
      </c>
    </row>
    <row r="223" ht="22.5" customHeight="1">
      <c r="A223" s="10">
        <v>45573.87529519676</v>
      </c>
      <c r="B223" s="11" t="s">
        <v>20</v>
      </c>
      <c r="C223" s="11">
        <v>3087.0</v>
      </c>
      <c r="D223" s="11">
        <v>2.024093E7</v>
      </c>
      <c r="H223" s="11" t="s">
        <v>59</v>
      </c>
      <c r="R223" s="11" t="s">
        <v>60</v>
      </c>
    </row>
    <row r="224" ht="22.5" customHeight="1">
      <c r="A224" s="10">
        <v>45573.87576646991</v>
      </c>
      <c r="B224" s="11" t="s">
        <v>20</v>
      </c>
      <c r="C224" s="11">
        <v>1899.0</v>
      </c>
      <c r="D224" s="11" t="s">
        <v>128</v>
      </c>
      <c r="H224" s="11" t="s">
        <v>28</v>
      </c>
      <c r="I224" s="11" t="s">
        <v>33</v>
      </c>
    </row>
    <row r="225" ht="22.5" customHeight="1">
      <c r="A225" s="10">
        <v>45573.87677645833</v>
      </c>
      <c r="B225" s="11" t="s">
        <v>20</v>
      </c>
      <c r="C225" s="11">
        <v>2771.0</v>
      </c>
      <c r="D225" s="11">
        <v>2.024093E7</v>
      </c>
      <c r="H225" s="11" t="s">
        <v>57</v>
      </c>
      <c r="N225" s="11" t="s">
        <v>58</v>
      </c>
    </row>
    <row r="226" ht="22.5" customHeight="1">
      <c r="A226" s="10">
        <v>45573.877140173616</v>
      </c>
      <c r="B226" s="11" t="s">
        <v>20</v>
      </c>
      <c r="C226" s="11">
        <v>515.0</v>
      </c>
      <c r="D226" s="11" t="s">
        <v>128</v>
      </c>
      <c r="H226" s="11" t="s">
        <v>24</v>
      </c>
      <c r="M226" s="11" t="s">
        <v>32</v>
      </c>
    </row>
    <row r="227" ht="22.5" customHeight="1">
      <c r="A227" s="10">
        <v>45573.87776037037</v>
      </c>
      <c r="B227" s="11" t="s">
        <v>20</v>
      </c>
      <c r="C227" s="11">
        <v>3260.0</v>
      </c>
      <c r="D227" s="11">
        <v>2.024093E7</v>
      </c>
      <c r="H227" s="11" t="s">
        <v>57</v>
      </c>
      <c r="N227" s="11" t="s">
        <v>75</v>
      </c>
    </row>
    <row r="228" ht="22.5" customHeight="1">
      <c r="A228" s="10">
        <v>45573.89001378472</v>
      </c>
      <c r="B228" s="11" t="s">
        <v>20</v>
      </c>
      <c r="C228" s="11">
        <v>20000.0</v>
      </c>
      <c r="D228" s="11">
        <v>2.024093E7</v>
      </c>
      <c r="H228" s="11" t="s">
        <v>51</v>
      </c>
      <c r="K228" s="11" t="s">
        <v>98</v>
      </c>
    </row>
    <row r="229" ht="22.5" customHeight="1">
      <c r="A229" s="10">
        <v>45573.89025038194</v>
      </c>
      <c r="B229" s="11" t="s">
        <v>20</v>
      </c>
      <c r="C229" s="11">
        <v>6000.0</v>
      </c>
      <c r="D229" s="11">
        <v>2.024093E7</v>
      </c>
      <c r="H229" s="11" t="s">
        <v>51</v>
      </c>
      <c r="K229" s="11" t="s">
        <v>131</v>
      </c>
    </row>
    <row r="230" ht="22.5" customHeight="1">
      <c r="A230" s="10">
        <v>45573.896913379634</v>
      </c>
      <c r="B230" s="11" t="s">
        <v>20</v>
      </c>
      <c r="C230" s="11">
        <v>798.0</v>
      </c>
      <c r="D230" s="11">
        <v>2.0240916E7</v>
      </c>
      <c r="H230" s="11" t="s">
        <v>26</v>
      </c>
      <c r="J230" s="11" t="s">
        <v>50</v>
      </c>
    </row>
    <row r="231" ht="22.5" customHeight="1">
      <c r="A231" s="10">
        <v>45573.904461909726</v>
      </c>
      <c r="B231" s="11" t="s">
        <v>38</v>
      </c>
      <c r="C231" s="11">
        <v>3440.0</v>
      </c>
      <c r="D231" s="11">
        <v>2.0240912E7</v>
      </c>
      <c r="E231" s="11" t="s">
        <v>39</v>
      </c>
      <c r="G231" s="11" t="s">
        <v>40</v>
      </c>
      <c r="S231" s="11" t="s">
        <v>132</v>
      </c>
      <c r="T231" s="11" t="s">
        <v>42</v>
      </c>
    </row>
    <row r="232" ht="22.5" customHeight="1">
      <c r="A232" s="10">
        <v>45573.905114918976</v>
      </c>
      <c r="B232" s="11" t="s">
        <v>38</v>
      </c>
      <c r="C232" s="11">
        <v>2291.0</v>
      </c>
      <c r="D232" s="11">
        <v>2.0240913E7</v>
      </c>
      <c r="E232" s="11" t="s">
        <v>39</v>
      </c>
      <c r="G232" s="11" t="s">
        <v>40</v>
      </c>
      <c r="S232" s="11" t="s">
        <v>133</v>
      </c>
      <c r="T232" s="11" t="s">
        <v>42</v>
      </c>
    </row>
    <row r="233" ht="22.5" customHeight="1">
      <c r="A233" s="10">
        <v>45573.90559733796</v>
      </c>
      <c r="B233" s="11" t="s">
        <v>38</v>
      </c>
      <c r="C233" s="11">
        <v>1653.0</v>
      </c>
      <c r="D233" s="11">
        <v>2.0240913E7</v>
      </c>
      <c r="E233" s="11" t="s">
        <v>39</v>
      </c>
      <c r="G233" s="11" t="s">
        <v>40</v>
      </c>
      <c r="S233" s="11" t="s">
        <v>134</v>
      </c>
      <c r="T233" s="11" t="s">
        <v>42</v>
      </c>
    </row>
    <row r="234" ht="22.5" customHeight="1">
      <c r="A234" s="10">
        <v>45573.906069502314</v>
      </c>
      <c r="B234" s="11" t="s">
        <v>38</v>
      </c>
      <c r="C234" s="11">
        <v>2590.0</v>
      </c>
      <c r="D234" s="11">
        <v>2.0240916E7</v>
      </c>
      <c r="E234" s="11" t="s">
        <v>39</v>
      </c>
      <c r="G234" s="11" t="s">
        <v>40</v>
      </c>
      <c r="S234" s="11" t="s">
        <v>135</v>
      </c>
      <c r="T234" s="11" t="s">
        <v>42</v>
      </c>
    </row>
    <row r="235" ht="22.5" customHeight="1">
      <c r="A235" s="10">
        <v>45573.90651324074</v>
      </c>
      <c r="B235" s="11" t="s">
        <v>38</v>
      </c>
      <c r="C235" s="11">
        <v>890.0</v>
      </c>
      <c r="D235" s="11">
        <v>2.0240918E7</v>
      </c>
      <c r="E235" s="11" t="s">
        <v>39</v>
      </c>
      <c r="G235" s="11" t="s">
        <v>40</v>
      </c>
      <c r="S235" s="11" t="s">
        <v>136</v>
      </c>
      <c r="T235" s="11" t="s">
        <v>42</v>
      </c>
    </row>
    <row r="236" ht="22.5" customHeight="1">
      <c r="A236" s="10">
        <v>45573.90689201389</v>
      </c>
      <c r="B236" s="11" t="s">
        <v>38</v>
      </c>
      <c r="C236" s="11">
        <v>1690.0</v>
      </c>
      <c r="D236" s="11">
        <v>2.0240919E7</v>
      </c>
      <c r="E236" s="11" t="s">
        <v>39</v>
      </c>
      <c r="G236" s="11" t="s">
        <v>40</v>
      </c>
      <c r="S236" s="11" t="s">
        <v>137</v>
      </c>
      <c r="T236" s="11" t="s">
        <v>42</v>
      </c>
    </row>
    <row r="237" ht="22.5" customHeight="1">
      <c r="A237" s="10">
        <v>45573.90745142361</v>
      </c>
      <c r="B237" s="11" t="s">
        <v>38</v>
      </c>
      <c r="C237" s="11">
        <v>3990.0</v>
      </c>
      <c r="D237" s="11">
        <v>2.0240926E7</v>
      </c>
      <c r="E237" s="11" t="s">
        <v>39</v>
      </c>
      <c r="G237" s="11" t="s">
        <v>40</v>
      </c>
      <c r="S237" s="11" t="s">
        <v>138</v>
      </c>
      <c r="T237" s="11" t="s">
        <v>42</v>
      </c>
    </row>
    <row r="238" ht="22.5" customHeight="1">
      <c r="A238" s="10">
        <v>45573.90948659722</v>
      </c>
      <c r="B238" s="11" t="s">
        <v>38</v>
      </c>
      <c r="C238" s="11">
        <v>5000.0</v>
      </c>
      <c r="D238" s="11" t="s">
        <v>128</v>
      </c>
      <c r="E238" s="11" t="s">
        <v>39</v>
      </c>
      <c r="G238" s="11" t="s">
        <v>139</v>
      </c>
      <c r="S238" s="11" t="s">
        <v>140</v>
      </c>
      <c r="T238" s="11" t="s">
        <v>42</v>
      </c>
    </row>
    <row r="239" ht="22.5" customHeight="1">
      <c r="A239" s="10">
        <v>45575.456712060186</v>
      </c>
      <c r="B239" s="11" t="s">
        <v>20</v>
      </c>
      <c r="C239" s="11">
        <v>858.0</v>
      </c>
      <c r="D239" s="11" t="s">
        <v>128</v>
      </c>
      <c r="H239" s="11" t="s">
        <v>21</v>
      </c>
      <c r="L239" s="11" t="s">
        <v>23</v>
      </c>
    </row>
    <row r="240" ht="22.5" customHeight="1">
      <c r="A240" s="10">
        <v>45575.45721709491</v>
      </c>
      <c r="B240" s="11" t="s">
        <v>20</v>
      </c>
      <c r="C240" s="11">
        <v>320.0</v>
      </c>
      <c r="D240" s="11" t="s">
        <v>128</v>
      </c>
      <c r="H240" s="11" t="s">
        <v>26</v>
      </c>
      <c r="J240" s="11" t="s">
        <v>27</v>
      </c>
    </row>
    <row r="241" ht="22.5" customHeight="1">
      <c r="A241" s="10">
        <v>45576.34882142361</v>
      </c>
      <c r="B241" s="11" t="s">
        <v>20</v>
      </c>
      <c r="C241" s="11">
        <v>200.0</v>
      </c>
      <c r="D241" s="11" t="s">
        <v>141</v>
      </c>
      <c r="H241" s="11" t="s">
        <v>21</v>
      </c>
      <c r="L241" s="11" t="s">
        <v>23</v>
      </c>
    </row>
    <row r="242" ht="22.5" customHeight="1">
      <c r="A242" s="10">
        <v>45576.348973831016</v>
      </c>
      <c r="B242" s="11" t="s">
        <v>20</v>
      </c>
      <c r="C242" s="11">
        <v>20.0</v>
      </c>
      <c r="D242" s="11" t="s">
        <v>127</v>
      </c>
      <c r="H242" s="11" t="s">
        <v>21</v>
      </c>
      <c r="L242" s="11" t="s">
        <v>46</v>
      </c>
    </row>
    <row r="243" ht="22.5" customHeight="1">
      <c r="A243" s="10">
        <v>45576.470233217595</v>
      </c>
      <c r="B243" s="11" t="s">
        <v>20</v>
      </c>
      <c r="C243" s="11">
        <v>125.0</v>
      </c>
      <c r="D243" s="11" t="s">
        <v>128</v>
      </c>
      <c r="H243" s="11" t="s">
        <v>26</v>
      </c>
      <c r="J243" s="11" t="s">
        <v>27</v>
      </c>
    </row>
    <row r="244" ht="22.5" customHeight="1">
      <c r="A244" s="10">
        <v>45576.47145525463</v>
      </c>
      <c r="B244" s="11" t="s">
        <v>20</v>
      </c>
      <c r="C244" s="11">
        <v>800.0</v>
      </c>
      <c r="D244" s="11" t="s">
        <v>128</v>
      </c>
      <c r="H244" s="11" t="s">
        <v>28</v>
      </c>
      <c r="I244" s="11" t="s">
        <v>142</v>
      </c>
      <c r="S244" s="11" t="s">
        <v>143</v>
      </c>
    </row>
    <row r="245" ht="22.5" customHeight="1">
      <c r="A245" s="10">
        <v>45576.619508171294</v>
      </c>
      <c r="B245" s="11" t="s">
        <v>20</v>
      </c>
      <c r="C245" s="11">
        <v>20.0</v>
      </c>
      <c r="D245" s="11" t="s">
        <v>128</v>
      </c>
      <c r="H245" s="11" t="s">
        <v>21</v>
      </c>
      <c r="L245" s="11" t="s">
        <v>31</v>
      </c>
    </row>
    <row r="246" ht="22.5" customHeight="1">
      <c r="A246" s="10">
        <v>45577.415552604165</v>
      </c>
      <c r="B246" s="11" t="s">
        <v>20</v>
      </c>
      <c r="C246" s="11">
        <v>13167.0</v>
      </c>
      <c r="D246" s="11" t="s">
        <v>127</v>
      </c>
      <c r="H246" s="11" t="s">
        <v>24</v>
      </c>
      <c r="M246" s="11" t="s">
        <v>49</v>
      </c>
      <c r="S246" s="11" t="s">
        <v>144</v>
      </c>
      <c r="T246" s="11" t="s">
        <v>42</v>
      </c>
    </row>
    <row r="247" ht="22.5" customHeight="1">
      <c r="A247" s="10">
        <v>45577.79795173611</v>
      </c>
      <c r="B247" s="11" t="s">
        <v>20</v>
      </c>
      <c r="C247" s="11">
        <v>400.0</v>
      </c>
      <c r="D247" s="11" t="s">
        <v>128</v>
      </c>
      <c r="H247" s="11" t="s">
        <v>24</v>
      </c>
      <c r="M247" s="11" t="s">
        <v>49</v>
      </c>
      <c r="S247" s="11" t="s">
        <v>145</v>
      </c>
      <c r="T247" s="11" t="s">
        <v>86</v>
      </c>
    </row>
    <row r="248" ht="22.5" customHeight="1">
      <c r="A248" s="10">
        <v>45577.79817304398</v>
      </c>
      <c r="B248" s="11" t="s">
        <v>20</v>
      </c>
      <c r="C248" s="11">
        <v>300.0</v>
      </c>
      <c r="D248" s="11" t="s">
        <v>128</v>
      </c>
      <c r="H248" s="11" t="s">
        <v>28</v>
      </c>
      <c r="I248" s="11" t="s">
        <v>34</v>
      </c>
    </row>
    <row r="249" ht="22.5" customHeight="1">
      <c r="A249" s="10">
        <v>45577.84338572917</v>
      </c>
      <c r="B249" s="11" t="s">
        <v>20</v>
      </c>
      <c r="C249" s="11">
        <v>960.0</v>
      </c>
      <c r="D249" s="11" t="s">
        <v>141</v>
      </c>
      <c r="H249" s="11" t="s">
        <v>28</v>
      </c>
      <c r="I249" s="11" t="s">
        <v>30</v>
      </c>
      <c r="S249" s="11" t="s">
        <v>146</v>
      </c>
    </row>
    <row r="250" ht="22.5" customHeight="1">
      <c r="A250" s="10">
        <v>45577.888062199076</v>
      </c>
      <c r="B250" s="11" t="s">
        <v>20</v>
      </c>
      <c r="C250" s="11">
        <v>135.0</v>
      </c>
      <c r="D250" s="11" t="s">
        <v>128</v>
      </c>
      <c r="H250" s="11" t="s">
        <v>26</v>
      </c>
      <c r="J250" s="11" t="s">
        <v>27</v>
      </c>
    </row>
    <row r="251" ht="22.5" customHeight="1">
      <c r="A251" s="10">
        <v>45577.88822603009</v>
      </c>
      <c r="B251" s="11" t="s">
        <v>20</v>
      </c>
      <c r="C251" s="11">
        <v>180.0</v>
      </c>
      <c r="D251" s="11" t="s">
        <v>128</v>
      </c>
      <c r="H251" s="11" t="s">
        <v>26</v>
      </c>
      <c r="J251" s="11" t="s">
        <v>27</v>
      </c>
    </row>
    <row r="252" ht="22.5" customHeight="1">
      <c r="A252" s="10">
        <v>45577.92127119213</v>
      </c>
      <c r="B252" s="11" t="s">
        <v>20</v>
      </c>
      <c r="C252" s="11">
        <v>66.0</v>
      </c>
      <c r="D252" s="11" t="s">
        <v>128</v>
      </c>
      <c r="H252" s="11" t="s">
        <v>28</v>
      </c>
      <c r="I252" s="11" t="s">
        <v>35</v>
      </c>
    </row>
    <row r="253" ht="22.5" customHeight="1">
      <c r="A253" s="10">
        <v>45578.432891261575</v>
      </c>
      <c r="B253" s="11" t="s">
        <v>20</v>
      </c>
      <c r="C253" s="11">
        <v>50.0</v>
      </c>
      <c r="D253" s="11" t="s">
        <v>128</v>
      </c>
      <c r="H253" s="11" t="s">
        <v>24</v>
      </c>
      <c r="M253" s="11" t="s">
        <v>25</v>
      </c>
    </row>
    <row r="254" ht="22.5" customHeight="1">
      <c r="A254" s="10">
        <v>45578.43308574074</v>
      </c>
      <c r="B254" s="11" t="s">
        <v>20</v>
      </c>
      <c r="C254" s="11">
        <v>25.0</v>
      </c>
      <c r="D254" s="11" t="s">
        <v>128</v>
      </c>
      <c r="H254" s="11" t="s">
        <v>28</v>
      </c>
      <c r="I254" s="11" t="s">
        <v>29</v>
      </c>
    </row>
    <row r="255" ht="22.5" customHeight="1">
      <c r="A255" s="10">
        <v>45578.433257743054</v>
      </c>
      <c r="B255" s="11" t="s">
        <v>20</v>
      </c>
      <c r="C255" s="11">
        <v>29.0</v>
      </c>
      <c r="D255" s="11" t="s">
        <v>128</v>
      </c>
      <c r="H255" s="11" t="s">
        <v>26</v>
      </c>
      <c r="J255" s="11" t="s">
        <v>27</v>
      </c>
    </row>
    <row r="256" ht="22.5" customHeight="1">
      <c r="A256" s="10">
        <v>45578.91779016204</v>
      </c>
      <c r="B256" s="11" t="s">
        <v>20</v>
      </c>
      <c r="C256" s="11">
        <v>251.0</v>
      </c>
      <c r="D256" s="11" t="s">
        <v>128</v>
      </c>
      <c r="H256" s="11" t="s">
        <v>28</v>
      </c>
      <c r="I256" s="11" t="s">
        <v>34</v>
      </c>
    </row>
    <row r="257" ht="22.5" customHeight="1">
      <c r="A257" s="10">
        <v>45578.91799111111</v>
      </c>
      <c r="B257" s="11" t="s">
        <v>20</v>
      </c>
      <c r="C257" s="11">
        <v>40.0</v>
      </c>
      <c r="D257" s="11" t="s">
        <v>128</v>
      </c>
      <c r="H257" s="11" t="s">
        <v>21</v>
      </c>
      <c r="L257" s="11" t="s">
        <v>31</v>
      </c>
    </row>
    <row r="258" ht="22.5" customHeight="1">
      <c r="A258" s="10">
        <v>45581.51867710648</v>
      </c>
      <c r="B258" s="11" t="s">
        <v>20</v>
      </c>
      <c r="C258" s="11">
        <v>1100.0</v>
      </c>
      <c r="D258" s="11">
        <v>2.0250425E7</v>
      </c>
      <c r="H258" s="11" t="s">
        <v>24</v>
      </c>
      <c r="M258" s="11" t="s">
        <v>49</v>
      </c>
      <c r="S258" s="11" t="s">
        <v>147</v>
      </c>
      <c r="T258" s="11" t="s">
        <v>86</v>
      </c>
    </row>
    <row r="259" ht="22.5" customHeight="1">
      <c r="A259" s="10">
        <v>45581.56879628472</v>
      </c>
      <c r="B259" s="11" t="s">
        <v>20</v>
      </c>
      <c r="C259" s="11">
        <v>158.0</v>
      </c>
      <c r="D259" s="11">
        <v>2.0241019E7</v>
      </c>
      <c r="H259" s="11" t="s">
        <v>21</v>
      </c>
      <c r="L259" s="11" t="s">
        <v>148</v>
      </c>
    </row>
    <row r="260" ht="22.5" customHeight="1">
      <c r="A260" s="10">
        <v>45581.86063390046</v>
      </c>
      <c r="B260" s="11" t="s">
        <v>20</v>
      </c>
      <c r="C260" s="11">
        <v>149.0</v>
      </c>
      <c r="D260" s="11" t="s">
        <v>128</v>
      </c>
      <c r="H260" s="11" t="s">
        <v>21</v>
      </c>
      <c r="L260" s="11" t="s">
        <v>23</v>
      </c>
    </row>
    <row r="261" ht="22.5" customHeight="1">
      <c r="A261" s="10">
        <v>45583.37251987269</v>
      </c>
      <c r="B261" s="11" t="s">
        <v>20</v>
      </c>
      <c r="C261" s="11">
        <v>1444.0</v>
      </c>
      <c r="D261" s="11" t="s">
        <v>128</v>
      </c>
      <c r="H261" s="11" t="s">
        <v>51</v>
      </c>
      <c r="K261" s="11" t="s">
        <v>52</v>
      </c>
    </row>
    <row r="262" ht="22.5" customHeight="1">
      <c r="A262" s="10">
        <v>45583.52080138889</v>
      </c>
      <c r="B262" s="11" t="s">
        <v>20</v>
      </c>
      <c r="C262" s="11">
        <v>86.0</v>
      </c>
      <c r="D262" s="11" t="s">
        <v>128</v>
      </c>
      <c r="H262" s="11" t="s">
        <v>21</v>
      </c>
      <c r="L262" s="11" t="s">
        <v>22</v>
      </c>
    </row>
    <row r="263" ht="22.5" customHeight="1">
      <c r="A263" s="10">
        <v>45583.52125829861</v>
      </c>
      <c r="B263" s="11" t="s">
        <v>20</v>
      </c>
      <c r="C263" s="11">
        <v>10.0</v>
      </c>
      <c r="D263" s="11" t="s">
        <v>149</v>
      </c>
      <c r="H263" s="11" t="s">
        <v>21</v>
      </c>
      <c r="L263" s="11" t="s">
        <v>148</v>
      </c>
    </row>
    <row r="264" ht="22.5" customHeight="1">
      <c r="A264" s="10">
        <v>45584.858700509256</v>
      </c>
      <c r="B264" s="11" t="s">
        <v>20</v>
      </c>
      <c r="C264" s="11">
        <v>20.0</v>
      </c>
      <c r="D264" s="11" t="s">
        <v>128</v>
      </c>
      <c r="H264" s="11" t="s">
        <v>21</v>
      </c>
      <c r="L264" s="11" t="s">
        <v>46</v>
      </c>
    </row>
    <row r="265" ht="22.5" customHeight="1">
      <c r="A265" s="10">
        <v>45584.85890766204</v>
      </c>
      <c r="B265" s="11" t="s">
        <v>20</v>
      </c>
      <c r="C265" s="11">
        <v>260.0</v>
      </c>
      <c r="D265" s="11" t="s">
        <v>128</v>
      </c>
      <c r="H265" s="11" t="s">
        <v>28</v>
      </c>
      <c r="I265" s="11" t="s">
        <v>44</v>
      </c>
    </row>
    <row r="266" ht="22.5" customHeight="1">
      <c r="A266" s="10">
        <v>45584.8590596875</v>
      </c>
      <c r="B266" s="11" t="s">
        <v>20</v>
      </c>
      <c r="C266" s="11">
        <v>220.0</v>
      </c>
      <c r="D266" s="11" t="s">
        <v>128</v>
      </c>
      <c r="H266" s="11" t="s">
        <v>28</v>
      </c>
      <c r="I266" s="11" t="s">
        <v>30</v>
      </c>
    </row>
    <row r="267" ht="22.5" customHeight="1">
      <c r="A267" s="10">
        <v>45584.859245740736</v>
      </c>
      <c r="B267" s="11" t="s">
        <v>20</v>
      </c>
      <c r="C267" s="11">
        <v>380.0</v>
      </c>
      <c r="D267" s="11" t="s">
        <v>128</v>
      </c>
      <c r="H267" s="11" t="s">
        <v>28</v>
      </c>
      <c r="I267" s="11" t="s">
        <v>126</v>
      </c>
    </row>
    <row r="268" ht="22.5" customHeight="1">
      <c r="A268" s="10">
        <v>45584.85945902778</v>
      </c>
      <c r="B268" s="11" t="s">
        <v>20</v>
      </c>
      <c r="C268" s="11">
        <v>675.0</v>
      </c>
      <c r="D268" s="11" t="s">
        <v>128</v>
      </c>
      <c r="H268" s="11" t="s">
        <v>21</v>
      </c>
      <c r="L268" s="11" t="s">
        <v>36</v>
      </c>
    </row>
    <row r="269" ht="22.5" customHeight="1">
      <c r="A269" s="10">
        <v>45584.8596768287</v>
      </c>
      <c r="B269" s="11" t="s">
        <v>20</v>
      </c>
      <c r="C269" s="11">
        <v>40.0</v>
      </c>
      <c r="D269" s="11" t="s">
        <v>128</v>
      </c>
      <c r="H269" s="11" t="s">
        <v>21</v>
      </c>
      <c r="L269" s="11" t="s">
        <v>46</v>
      </c>
    </row>
    <row r="270" ht="22.5" customHeight="1">
      <c r="A270" s="10">
        <v>45585.52674547453</v>
      </c>
      <c r="B270" s="11" t="s">
        <v>20</v>
      </c>
      <c r="C270" s="11">
        <v>35.0</v>
      </c>
      <c r="D270" s="11" t="s">
        <v>128</v>
      </c>
      <c r="H270" s="11" t="s">
        <v>28</v>
      </c>
      <c r="I270" s="11" t="s">
        <v>34</v>
      </c>
    </row>
    <row r="271" ht="22.5" customHeight="1">
      <c r="A271" s="10">
        <v>45585.526896180556</v>
      </c>
      <c r="B271" s="11" t="s">
        <v>20</v>
      </c>
      <c r="C271" s="11">
        <v>35.0</v>
      </c>
      <c r="D271" s="11" t="s">
        <v>128</v>
      </c>
      <c r="H271" s="11" t="s">
        <v>28</v>
      </c>
      <c r="I271" s="11" t="s">
        <v>43</v>
      </c>
    </row>
    <row r="272" ht="22.5" customHeight="1">
      <c r="A272" s="10">
        <v>45586.51355862268</v>
      </c>
      <c r="B272" s="11" t="s">
        <v>20</v>
      </c>
      <c r="C272" s="11">
        <v>70.0</v>
      </c>
      <c r="D272" s="11" t="s">
        <v>127</v>
      </c>
      <c r="H272" s="11" t="s">
        <v>21</v>
      </c>
      <c r="L272" s="11" t="s">
        <v>23</v>
      </c>
    </row>
    <row r="273" ht="22.5" customHeight="1">
      <c r="A273" s="10">
        <v>45586.51378606481</v>
      </c>
      <c r="B273" s="11" t="s">
        <v>20</v>
      </c>
      <c r="C273" s="11">
        <v>880.0</v>
      </c>
      <c r="D273" s="11" t="s">
        <v>127</v>
      </c>
      <c r="H273" s="11" t="s">
        <v>21</v>
      </c>
      <c r="L273" s="11" t="s">
        <v>23</v>
      </c>
    </row>
    <row r="274" ht="22.5" customHeight="1">
      <c r="A274" s="10">
        <v>45586.51394883102</v>
      </c>
      <c r="B274" s="11" t="s">
        <v>20</v>
      </c>
      <c r="C274" s="11">
        <v>908.0</v>
      </c>
      <c r="D274" s="11" t="s">
        <v>127</v>
      </c>
      <c r="H274" s="11" t="s">
        <v>28</v>
      </c>
      <c r="I274" s="11" t="s">
        <v>34</v>
      </c>
    </row>
    <row r="275" ht="22.5" customHeight="1">
      <c r="A275" s="10">
        <v>45586.51453172453</v>
      </c>
      <c r="B275" s="11" t="s">
        <v>20</v>
      </c>
      <c r="C275" s="11">
        <v>20.0</v>
      </c>
      <c r="D275" s="11" t="s">
        <v>128</v>
      </c>
      <c r="H275" s="11" t="s">
        <v>21</v>
      </c>
      <c r="L275" s="11" t="s">
        <v>46</v>
      </c>
    </row>
    <row r="276" ht="22.5" customHeight="1">
      <c r="A276" s="10">
        <v>45586.51467636574</v>
      </c>
      <c r="B276" s="11" t="s">
        <v>20</v>
      </c>
      <c r="C276" s="11">
        <v>91.0</v>
      </c>
      <c r="D276" s="11" t="s">
        <v>128</v>
      </c>
      <c r="H276" s="11" t="s">
        <v>21</v>
      </c>
      <c r="L276" s="11" t="s">
        <v>22</v>
      </c>
    </row>
    <row r="277" ht="22.5" customHeight="1">
      <c r="A277" s="10">
        <v>45590.293111875</v>
      </c>
      <c r="B277" s="11" t="s">
        <v>20</v>
      </c>
      <c r="C277" s="11">
        <v>91.0</v>
      </c>
      <c r="D277" s="11" t="s">
        <v>127</v>
      </c>
      <c r="H277" s="11" t="s">
        <v>21</v>
      </c>
      <c r="L277" s="11" t="s">
        <v>22</v>
      </c>
    </row>
    <row r="278" ht="22.5" customHeight="1">
      <c r="A278" s="10">
        <v>45590.29326856481</v>
      </c>
      <c r="B278" s="11" t="s">
        <v>20</v>
      </c>
      <c r="C278" s="11">
        <v>20.0</v>
      </c>
      <c r="D278" s="11" t="s">
        <v>127</v>
      </c>
      <c r="H278" s="11" t="s">
        <v>21</v>
      </c>
      <c r="L278" s="11" t="s">
        <v>46</v>
      </c>
    </row>
    <row r="279" ht="22.5" customHeight="1">
      <c r="A279" s="10">
        <v>45590.29345090278</v>
      </c>
      <c r="B279" s="11" t="s">
        <v>20</v>
      </c>
      <c r="C279" s="11">
        <v>11.0</v>
      </c>
      <c r="D279" s="11" t="s">
        <v>127</v>
      </c>
      <c r="H279" s="11" t="s">
        <v>21</v>
      </c>
      <c r="L279" s="11" t="s">
        <v>123</v>
      </c>
    </row>
    <row r="280" ht="22.5" customHeight="1">
      <c r="A280" s="10">
        <v>45590.29382510416</v>
      </c>
      <c r="B280" s="11" t="s">
        <v>20</v>
      </c>
      <c r="C280" s="11">
        <v>650.0</v>
      </c>
      <c r="D280" s="11" t="s">
        <v>127</v>
      </c>
      <c r="H280" s="11" t="s">
        <v>26</v>
      </c>
      <c r="J280" s="11" t="s">
        <v>27</v>
      </c>
      <c r="S280" s="11" t="s">
        <v>150</v>
      </c>
    </row>
    <row r="281" ht="22.5" customHeight="1">
      <c r="A281" s="10">
        <v>45590.2942396875</v>
      </c>
      <c r="B281" s="11" t="s">
        <v>20</v>
      </c>
      <c r="C281" s="11">
        <v>13180.0</v>
      </c>
      <c r="D281" s="11" t="s">
        <v>127</v>
      </c>
      <c r="H281" s="11" t="s">
        <v>26</v>
      </c>
      <c r="J281" s="11" t="s">
        <v>27</v>
      </c>
      <c r="S281" s="11" t="s">
        <v>151</v>
      </c>
      <c r="T281" s="11" t="s">
        <v>42</v>
      </c>
    </row>
    <row r="282" ht="22.5" customHeight="1">
      <c r="A282" s="10">
        <v>45590.29458540509</v>
      </c>
      <c r="B282" s="11" t="s">
        <v>20</v>
      </c>
      <c r="C282" s="11">
        <v>38910.0</v>
      </c>
      <c r="D282" s="11" t="s">
        <v>127</v>
      </c>
      <c r="H282" s="11" t="s">
        <v>26</v>
      </c>
      <c r="J282" s="11" t="s">
        <v>27</v>
      </c>
      <c r="S282" s="11" t="s">
        <v>152</v>
      </c>
      <c r="T282" s="11" t="s">
        <v>42</v>
      </c>
    </row>
    <row r="283" ht="22.5" customHeight="1">
      <c r="A283" s="10">
        <v>45590.29501605324</v>
      </c>
      <c r="B283" s="11" t="s">
        <v>20</v>
      </c>
      <c r="C283" s="11">
        <v>91.0</v>
      </c>
      <c r="D283" s="11" t="s">
        <v>128</v>
      </c>
      <c r="H283" s="11" t="s">
        <v>21</v>
      </c>
      <c r="L283" s="11" t="s">
        <v>22</v>
      </c>
    </row>
    <row r="284" ht="22.5" customHeight="1">
      <c r="A284" s="10">
        <v>45590.84033943287</v>
      </c>
      <c r="B284" s="11" t="s">
        <v>20</v>
      </c>
      <c r="C284" s="11">
        <v>78.0</v>
      </c>
      <c r="D284" s="11" t="s">
        <v>128</v>
      </c>
      <c r="H284" s="11" t="s">
        <v>21</v>
      </c>
      <c r="L284" s="11" t="s">
        <v>22</v>
      </c>
    </row>
    <row r="285" ht="22.5" customHeight="1">
      <c r="A285" s="10">
        <v>45590.840507870365</v>
      </c>
      <c r="B285" s="11" t="s">
        <v>20</v>
      </c>
      <c r="C285" s="11">
        <v>10.0</v>
      </c>
      <c r="D285" s="11" t="s">
        <v>128</v>
      </c>
      <c r="H285" s="11" t="s">
        <v>21</v>
      </c>
      <c r="L285" s="11" t="s">
        <v>130</v>
      </c>
    </row>
    <row r="286" ht="22.5" customHeight="1">
      <c r="A286" s="10">
        <v>45590.84065302083</v>
      </c>
      <c r="B286" s="11" t="s">
        <v>20</v>
      </c>
      <c r="C286" s="11">
        <v>110.0</v>
      </c>
      <c r="D286" s="11" t="s">
        <v>128</v>
      </c>
      <c r="H286" s="11" t="s">
        <v>28</v>
      </c>
      <c r="I286" s="11" t="s">
        <v>30</v>
      </c>
    </row>
    <row r="287" ht="22.5" customHeight="1">
      <c r="A287" s="10">
        <v>45591.766842349534</v>
      </c>
      <c r="B287" s="11" t="s">
        <v>20</v>
      </c>
      <c r="C287" s="11">
        <v>250.0</v>
      </c>
      <c r="D287" s="11" t="s">
        <v>128</v>
      </c>
      <c r="H287" s="11" t="s">
        <v>94</v>
      </c>
      <c r="O287" s="11" t="s">
        <v>153</v>
      </c>
    </row>
    <row r="288" ht="22.5" customHeight="1">
      <c r="A288" s="10">
        <v>45591.766993171295</v>
      </c>
      <c r="B288" s="11" t="s">
        <v>20</v>
      </c>
      <c r="C288" s="11">
        <v>160.0</v>
      </c>
      <c r="D288" s="11" t="s">
        <v>128</v>
      </c>
      <c r="H288" s="11" t="s">
        <v>28</v>
      </c>
      <c r="I288" s="11" t="s">
        <v>44</v>
      </c>
    </row>
    <row r="289" ht="22.5" customHeight="1">
      <c r="A289" s="10">
        <v>45591.767166412035</v>
      </c>
      <c r="B289" s="11" t="s">
        <v>20</v>
      </c>
      <c r="C289" s="11">
        <v>20.0</v>
      </c>
      <c r="D289" s="11" t="s">
        <v>128</v>
      </c>
      <c r="H289" s="11" t="s">
        <v>21</v>
      </c>
      <c r="L289" s="11" t="s">
        <v>46</v>
      </c>
    </row>
    <row r="290" ht="22.5" customHeight="1">
      <c r="A290" s="10">
        <v>45591.76737289352</v>
      </c>
      <c r="B290" s="11" t="s">
        <v>20</v>
      </c>
      <c r="C290" s="11">
        <v>38.0</v>
      </c>
      <c r="D290" s="11" t="s">
        <v>128</v>
      </c>
      <c r="H290" s="11" t="s">
        <v>21</v>
      </c>
      <c r="L290" s="11" t="s">
        <v>154</v>
      </c>
    </row>
    <row r="291" ht="22.5" customHeight="1">
      <c r="A291" s="10">
        <v>45591.767643900464</v>
      </c>
      <c r="B291" s="11" t="s">
        <v>20</v>
      </c>
      <c r="C291" s="11">
        <v>590.0</v>
      </c>
      <c r="D291" s="11" t="s">
        <v>128</v>
      </c>
      <c r="H291" s="11" t="s">
        <v>24</v>
      </c>
      <c r="M291" s="11" t="s">
        <v>96</v>
      </c>
    </row>
    <row r="292" ht="22.5" customHeight="1">
      <c r="A292" s="10">
        <v>45591.76803575231</v>
      </c>
      <c r="B292" s="11" t="s">
        <v>20</v>
      </c>
      <c r="C292" s="11">
        <v>3494.0</v>
      </c>
      <c r="D292" s="11" t="s">
        <v>128</v>
      </c>
      <c r="H292" s="11" t="s">
        <v>24</v>
      </c>
      <c r="M292" s="11" t="s">
        <v>96</v>
      </c>
      <c r="S292" s="11" t="s">
        <v>155</v>
      </c>
      <c r="T292" s="11" t="s">
        <v>42</v>
      </c>
    </row>
    <row r="293" ht="22.5" customHeight="1">
      <c r="A293" s="10">
        <v>45591.76835106481</v>
      </c>
      <c r="B293" s="11" t="s">
        <v>20</v>
      </c>
      <c r="C293" s="11">
        <v>3578.0</v>
      </c>
      <c r="D293" s="11" t="s">
        <v>128</v>
      </c>
      <c r="H293" s="11" t="s">
        <v>24</v>
      </c>
      <c r="M293" s="11" t="s">
        <v>96</v>
      </c>
      <c r="S293" s="11" t="s">
        <v>156</v>
      </c>
      <c r="T293" s="11" t="s">
        <v>42</v>
      </c>
    </row>
    <row r="294" ht="22.5" customHeight="1">
      <c r="A294" s="10">
        <v>45591.888053703704</v>
      </c>
      <c r="B294" s="11" t="s">
        <v>20</v>
      </c>
      <c r="C294" s="11">
        <v>350.0</v>
      </c>
      <c r="D294" s="11" t="s">
        <v>128</v>
      </c>
      <c r="H294" s="11" t="s">
        <v>28</v>
      </c>
      <c r="I294" s="11" t="s">
        <v>30</v>
      </c>
    </row>
    <row r="295" ht="22.5" customHeight="1">
      <c r="A295" s="10">
        <v>45593.31490427083</v>
      </c>
      <c r="B295" s="11" t="s">
        <v>20</v>
      </c>
      <c r="C295" s="11">
        <v>129.0</v>
      </c>
      <c r="D295" s="11" t="s">
        <v>127</v>
      </c>
      <c r="H295" s="11" t="s">
        <v>26</v>
      </c>
      <c r="J295" s="11" t="s">
        <v>27</v>
      </c>
    </row>
    <row r="296" ht="22.5" customHeight="1">
      <c r="A296" s="10">
        <v>45593.315044884264</v>
      </c>
      <c r="B296" s="11" t="s">
        <v>20</v>
      </c>
      <c r="C296" s="11">
        <v>139.0</v>
      </c>
      <c r="D296" s="11" t="s">
        <v>127</v>
      </c>
      <c r="H296" s="11" t="s">
        <v>26</v>
      </c>
      <c r="J296" s="11" t="s">
        <v>27</v>
      </c>
    </row>
    <row r="297" ht="22.5" customHeight="1">
      <c r="A297" s="10">
        <v>45593.31523846065</v>
      </c>
      <c r="B297" s="11" t="s">
        <v>20</v>
      </c>
      <c r="C297" s="11">
        <v>131.0</v>
      </c>
      <c r="D297" s="11" t="s">
        <v>127</v>
      </c>
      <c r="H297" s="11" t="s">
        <v>28</v>
      </c>
      <c r="I297" s="11" t="s">
        <v>34</v>
      </c>
    </row>
    <row r="298" ht="22.5" customHeight="1">
      <c r="A298" s="10">
        <v>45593.3154549537</v>
      </c>
      <c r="B298" s="11" t="s">
        <v>20</v>
      </c>
      <c r="C298" s="11">
        <v>40.0</v>
      </c>
      <c r="D298" s="11" t="s">
        <v>127</v>
      </c>
      <c r="H298" s="11" t="s">
        <v>21</v>
      </c>
      <c r="L298" s="11" t="s">
        <v>31</v>
      </c>
    </row>
    <row r="299" ht="22.5" customHeight="1">
      <c r="A299" s="10">
        <v>45593.31587835649</v>
      </c>
      <c r="B299" s="11" t="s">
        <v>20</v>
      </c>
      <c r="C299" s="11">
        <v>7999.0</v>
      </c>
      <c r="D299" s="11" t="s">
        <v>127</v>
      </c>
      <c r="H299" s="11" t="s">
        <v>26</v>
      </c>
      <c r="J299" s="11" t="s">
        <v>157</v>
      </c>
      <c r="S299" s="11" t="s">
        <v>158</v>
      </c>
      <c r="T299" s="11" t="s">
        <v>42</v>
      </c>
    </row>
    <row r="300" ht="22.5" customHeight="1">
      <c r="A300" s="10">
        <v>45593.316174629625</v>
      </c>
      <c r="B300" s="11" t="s">
        <v>20</v>
      </c>
      <c r="C300" s="11">
        <v>1375.0</v>
      </c>
      <c r="D300" s="11" t="s">
        <v>127</v>
      </c>
      <c r="H300" s="11" t="s">
        <v>26</v>
      </c>
      <c r="J300" s="11" t="s">
        <v>157</v>
      </c>
      <c r="S300" s="11" t="s">
        <v>159</v>
      </c>
      <c r="T300" s="11" t="s">
        <v>86</v>
      </c>
    </row>
    <row r="301" ht="22.5" customHeight="1">
      <c r="A301" s="10">
        <v>45593.316362847225</v>
      </c>
      <c r="B301" s="11" t="s">
        <v>20</v>
      </c>
      <c r="C301" s="11">
        <v>20.0</v>
      </c>
      <c r="D301" s="11" t="s">
        <v>128</v>
      </c>
      <c r="H301" s="11" t="s">
        <v>21</v>
      </c>
      <c r="L301" s="11" t="s">
        <v>46</v>
      </c>
    </row>
    <row r="302" ht="22.5" customHeight="1">
      <c r="A302" s="10">
        <v>45593.3165590625</v>
      </c>
      <c r="B302" s="11" t="s">
        <v>20</v>
      </c>
      <c r="C302" s="11">
        <v>91.0</v>
      </c>
      <c r="D302" s="11" t="s">
        <v>128</v>
      </c>
      <c r="H302" s="11" t="s">
        <v>21</v>
      </c>
      <c r="L302" s="11" t="s">
        <v>22</v>
      </c>
    </row>
    <row r="303" ht="22.5" customHeight="1">
      <c r="A303" s="10">
        <v>45593.31679842593</v>
      </c>
      <c r="B303" s="11" t="s">
        <v>20</v>
      </c>
      <c r="C303" s="11">
        <v>623.0</v>
      </c>
      <c r="D303" s="11">
        <v>2.0241101E7</v>
      </c>
      <c r="H303" s="11" t="s">
        <v>21</v>
      </c>
      <c r="L303" s="11" t="s">
        <v>22</v>
      </c>
    </row>
    <row r="304" ht="22.5" customHeight="1">
      <c r="A304" s="10">
        <v>45593.31719699074</v>
      </c>
      <c r="B304" s="11" t="s">
        <v>20</v>
      </c>
      <c r="C304" s="11">
        <v>623.0</v>
      </c>
      <c r="D304" s="11">
        <v>2.0241104E7</v>
      </c>
      <c r="H304" s="11" t="s">
        <v>21</v>
      </c>
      <c r="L304" s="11" t="s">
        <v>22</v>
      </c>
    </row>
    <row r="305" ht="22.5" customHeight="1">
      <c r="A305" s="10">
        <v>45595.29905489583</v>
      </c>
      <c r="B305" s="11" t="s">
        <v>20</v>
      </c>
      <c r="C305" s="11">
        <v>324.0</v>
      </c>
      <c r="D305" s="11" t="s">
        <v>128</v>
      </c>
      <c r="H305" s="11" t="s">
        <v>118</v>
      </c>
      <c r="P305" s="11" t="s">
        <v>119</v>
      </c>
      <c r="S305" s="11" t="s">
        <v>160</v>
      </c>
    </row>
    <row r="306" ht="22.5" customHeight="1">
      <c r="A306" s="10">
        <v>45597.55749222222</v>
      </c>
      <c r="B306" s="11" t="s">
        <v>20</v>
      </c>
      <c r="C306" s="11">
        <v>91.0</v>
      </c>
      <c r="D306" s="11" t="s">
        <v>141</v>
      </c>
      <c r="H306" s="11" t="s">
        <v>21</v>
      </c>
      <c r="L306" s="11" t="s">
        <v>22</v>
      </c>
    </row>
    <row r="307" ht="22.5" customHeight="1">
      <c r="A307" s="10">
        <v>45597.55769113426</v>
      </c>
      <c r="B307" s="11" t="s">
        <v>20</v>
      </c>
      <c r="C307" s="11">
        <v>20.0</v>
      </c>
      <c r="D307" s="11" t="s">
        <v>141</v>
      </c>
      <c r="H307" s="11" t="s">
        <v>21</v>
      </c>
      <c r="L307" s="11" t="s">
        <v>46</v>
      </c>
    </row>
    <row r="308" ht="22.5" customHeight="1">
      <c r="A308" s="10">
        <v>45597.55789737268</v>
      </c>
      <c r="B308" s="11" t="s">
        <v>20</v>
      </c>
      <c r="C308" s="11">
        <v>116.0</v>
      </c>
      <c r="D308" s="11" t="s">
        <v>127</v>
      </c>
      <c r="H308" s="11" t="s">
        <v>28</v>
      </c>
      <c r="I308" s="11" t="s">
        <v>34</v>
      </c>
    </row>
    <row r="309" ht="22.5" customHeight="1">
      <c r="A309" s="10">
        <v>45597.558284074075</v>
      </c>
      <c r="B309" s="11" t="s">
        <v>20</v>
      </c>
      <c r="C309" s="11">
        <v>154.0</v>
      </c>
      <c r="D309" s="11" t="s">
        <v>128</v>
      </c>
      <c r="H309" s="11" t="s">
        <v>21</v>
      </c>
      <c r="L309" s="11" t="s">
        <v>22</v>
      </c>
      <c r="S309" s="11" t="s">
        <v>161</v>
      </c>
    </row>
    <row r="310" ht="22.5" customHeight="1">
      <c r="A310" s="10">
        <v>45598.27283074074</v>
      </c>
      <c r="B310" s="11" t="s">
        <v>20</v>
      </c>
      <c r="C310" s="11">
        <v>20.0</v>
      </c>
      <c r="D310" s="11" t="s">
        <v>127</v>
      </c>
      <c r="H310" s="11" t="s">
        <v>21</v>
      </c>
      <c r="L310" s="11" t="s">
        <v>46</v>
      </c>
    </row>
    <row r="311" ht="22.5" customHeight="1">
      <c r="A311" s="10">
        <v>45598.4470241088</v>
      </c>
      <c r="B311" s="11" t="s">
        <v>38</v>
      </c>
      <c r="C311" s="11">
        <v>75500.0</v>
      </c>
      <c r="D311" s="11" t="s">
        <v>141</v>
      </c>
      <c r="E311" s="11" t="s">
        <v>61</v>
      </c>
      <c r="F311" s="11" t="s">
        <v>73</v>
      </c>
    </row>
    <row r="312" ht="22.5" customHeight="1">
      <c r="A312" s="10">
        <v>45598.44753444444</v>
      </c>
      <c r="B312" s="11" t="s">
        <v>20</v>
      </c>
      <c r="C312" s="11">
        <v>1593.0</v>
      </c>
      <c r="D312" s="11" t="s">
        <v>141</v>
      </c>
      <c r="H312" s="11" t="s">
        <v>57</v>
      </c>
      <c r="N312" s="11" t="s">
        <v>75</v>
      </c>
      <c r="S312" s="11" t="s">
        <v>162</v>
      </c>
      <c r="T312" s="11" t="s">
        <v>42</v>
      </c>
    </row>
    <row r="313" ht="22.5" customHeight="1">
      <c r="A313" s="10">
        <v>45598.45995471065</v>
      </c>
      <c r="B313" s="11" t="s">
        <v>20</v>
      </c>
      <c r="C313" s="11">
        <v>0.0</v>
      </c>
      <c r="D313" s="11" t="s">
        <v>128</v>
      </c>
      <c r="H313" s="11" t="s">
        <v>28</v>
      </c>
      <c r="I313" s="11" t="s">
        <v>29</v>
      </c>
      <c r="S313" s="11" t="s">
        <v>163</v>
      </c>
      <c r="T313" s="11" t="s">
        <v>42</v>
      </c>
    </row>
    <row r="314" ht="22.5" customHeight="1">
      <c r="A314" s="10">
        <v>45598.4608050463</v>
      </c>
      <c r="B314" s="11" t="s">
        <v>20</v>
      </c>
      <c r="C314" s="11">
        <v>20000.0</v>
      </c>
      <c r="D314" s="11" t="s">
        <v>141</v>
      </c>
      <c r="H314" s="11" t="s">
        <v>51</v>
      </c>
      <c r="K314" s="11" t="s">
        <v>98</v>
      </c>
    </row>
    <row r="315" ht="22.5" customHeight="1">
      <c r="A315" s="10">
        <v>45598.46097969907</v>
      </c>
      <c r="B315" s="11" t="s">
        <v>20</v>
      </c>
      <c r="C315" s="11">
        <v>6000.0</v>
      </c>
      <c r="D315" s="11" t="s">
        <v>141</v>
      </c>
      <c r="H315" s="11" t="s">
        <v>51</v>
      </c>
      <c r="K315" s="11" t="s">
        <v>131</v>
      </c>
    </row>
    <row r="316" ht="22.5" customHeight="1">
      <c r="A316" s="10">
        <v>45598.46115103009</v>
      </c>
      <c r="B316" s="11" t="s">
        <v>20</v>
      </c>
      <c r="C316" s="11">
        <v>20000.0</v>
      </c>
      <c r="D316" s="11" t="s">
        <v>127</v>
      </c>
      <c r="H316" s="11" t="s">
        <v>51</v>
      </c>
      <c r="K316" s="11" t="s">
        <v>98</v>
      </c>
    </row>
    <row r="317" ht="22.5" customHeight="1">
      <c r="A317" s="10">
        <v>45598.461310115745</v>
      </c>
      <c r="B317" s="11" t="s">
        <v>20</v>
      </c>
      <c r="C317" s="11">
        <v>6000.0</v>
      </c>
      <c r="D317" s="11" t="s">
        <v>127</v>
      </c>
      <c r="H317" s="11" t="s">
        <v>51</v>
      </c>
      <c r="K317" s="11" t="s">
        <v>131</v>
      </c>
    </row>
    <row r="318" ht="22.5" customHeight="1">
      <c r="A318" s="10">
        <v>45598.65325927083</v>
      </c>
      <c r="B318" s="11" t="s">
        <v>20</v>
      </c>
      <c r="C318" s="11">
        <v>111.0</v>
      </c>
      <c r="D318" s="11" t="s">
        <v>128</v>
      </c>
      <c r="H318" s="11" t="s">
        <v>26</v>
      </c>
      <c r="J318" s="11" t="s">
        <v>27</v>
      </c>
      <c r="S318" s="11" t="s">
        <v>164</v>
      </c>
    </row>
    <row r="319" ht="22.5" customHeight="1">
      <c r="A319" s="10">
        <v>45598.653420648145</v>
      </c>
      <c r="B319" s="11" t="s">
        <v>20</v>
      </c>
      <c r="C319" s="11">
        <v>550.0</v>
      </c>
      <c r="D319" s="11" t="s">
        <v>128</v>
      </c>
      <c r="H319" s="11" t="s">
        <v>24</v>
      </c>
      <c r="M319" s="11" t="s">
        <v>45</v>
      </c>
    </row>
    <row r="320" ht="22.5" customHeight="1">
      <c r="A320" s="10">
        <v>45598.97522070602</v>
      </c>
      <c r="B320" s="11" t="s">
        <v>20</v>
      </c>
      <c r="C320" s="11">
        <v>585.0</v>
      </c>
      <c r="D320" s="11">
        <v>2.0241028E7</v>
      </c>
      <c r="H320" s="11" t="s">
        <v>24</v>
      </c>
      <c r="M320" s="11" t="s">
        <v>165</v>
      </c>
    </row>
    <row r="321" ht="22.5" customHeight="1">
      <c r="A321" s="10">
        <v>45599.57946114583</v>
      </c>
      <c r="B321" s="11" t="s">
        <v>38</v>
      </c>
      <c r="C321" s="11">
        <v>5000.0</v>
      </c>
      <c r="D321" s="11" t="s">
        <v>128</v>
      </c>
      <c r="E321" s="11" t="s">
        <v>39</v>
      </c>
      <c r="G321" s="11" t="s">
        <v>139</v>
      </c>
      <c r="S321" s="11" t="s">
        <v>140</v>
      </c>
      <c r="T321" s="11" t="s">
        <v>42</v>
      </c>
    </row>
    <row r="322" ht="22.5" customHeight="1">
      <c r="A322" s="10">
        <v>45599.84606216435</v>
      </c>
      <c r="B322" s="11" t="s">
        <v>20</v>
      </c>
      <c r="C322" s="11">
        <v>400.0</v>
      </c>
      <c r="D322" s="11">
        <v>2.0241012E7</v>
      </c>
      <c r="H322" s="11" t="s">
        <v>21</v>
      </c>
      <c r="L322" s="11" t="s">
        <v>77</v>
      </c>
    </row>
    <row r="323" ht="22.5" customHeight="1">
      <c r="A323" s="10">
        <v>45599.93835096065</v>
      </c>
      <c r="B323" s="11" t="s">
        <v>20</v>
      </c>
      <c r="C323" s="11">
        <v>700.0</v>
      </c>
      <c r="D323" s="11" t="s">
        <v>128</v>
      </c>
      <c r="H323" s="11" t="s">
        <v>16</v>
      </c>
      <c r="Q323" s="11" t="s">
        <v>47</v>
      </c>
      <c r="S323" s="11" t="s">
        <v>166</v>
      </c>
      <c r="T323" s="11" t="s">
        <v>42</v>
      </c>
    </row>
    <row r="324" ht="22.5" customHeight="1">
      <c r="A324" s="10">
        <v>45601.22153135417</v>
      </c>
      <c r="B324" s="11" t="s">
        <v>20</v>
      </c>
      <c r="C324" s="11">
        <v>141.0</v>
      </c>
      <c r="D324" s="11" t="s">
        <v>127</v>
      </c>
      <c r="H324" s="11" t="s">
        <v>21</v>
      </c>
      <c r="L324" s="11" t="s">
        <v>23</v>
      </c>
    </row>
    <row r="325" ht="22.5" customHeight="1">
      <c r="A325" s="10">
        <v>45603.55719148148</v>
      </c>
      <c r="B325" s="11" t="s">
        <v>20</v>
      </c>
      <c r="C325" s="11">
        <v>100.0</v>
      </c>
      <c r="D325" s="11" t="s">
        <v>127</v>
      </c>
      <c r="H325" s="11" t="s">
        <v>24</v>
      </c>
      <c r="M325" s="11" t="s">
        <v>25</v>
      </c>
    </row>
    <row r="326" ht="22.5" customHeight="1">
      <c r="A326" s="10">
        <v>45603.55778715278</v>
      </c>
      <c r="B326" s="11" t="s">
        <v>38</v>
      </c>
      <c r="C326" s="11">
        <v>102900.0</v>
      </c>
      <c r="D326" s="11" t="s">
        <v>141</v>
      </c>
      <c r="E326" s="11" t="s">
        <v>61</v>
      </c>
      <c r="F326" s="11" t="s">
        <v>62</v>
      </c>
    </row>
    <row r="327" ht="22.5" customHeight="1">
      <c r="A327" s="10">
        <v>45603.55855625</v>
      </c>
      <c r="B327" s="11" t="s">
        <v>20</v>
      </c>
      <c r="C327" s="11">
        <v>3087.0</v>
      </c>
      <c r="D327" s="11" t="s">
        <v>141</v>
      </c>
      <c r="H327" s="11" t="s">
        <v>59</v>
      </c>
      <c r="R327" s="11" t="s">
        <v>60</v>
      </c>
    </row>
    <row r="328" ht="22.5" customHeight="1">
      <c r="A328" s="10">
        <v>45603.55881736111</v>
      </c>
      <c r="B328" s="11" t="s">
        <v>20</v>
      </c>
      <c r="C328" s="11">
        <v>1235.0</v>
      </c>
      <c r="D328" s="11" t="s">
        <v>141</v>
      </c>
      <c r="H328" s="11" t="s">
        <v>28</v>
      </c>
      <c r="I328" s="11" t="s">
        <v>33</v>
      </c>
    </row>
    <row r="329" ht="22.5" customHeight="1">
      <c r="A329" s="10">
        <v>45603.55918490741</v>
      </c>
      <c r="B329" s="11" t="s">
        <v>20</v>
      </c>
      <c r="C329" s="11">
        <v>2771.0</v>
      </c>
      <c r="D329" s="11" t="s">
        <v>141</v>
      </c>
      <c r="H329" s="11" t="s">
        <v>57</v>
      </c>
      <c r="N329" s="11" t="s">
        <v>58</v>
      </c>
    </row>
    <row r="330" ht="22.5" customHeight="1">
      <c r="A330" s="10">
        <v>45603.5593618287</v>
      </c>
      <c r="B330" s="11" t="s">
        <v>20</v>
      </c>
      <c r="C330" s="11">
        <v>515.0</v>
      </c>
      <c r="D330" s="11" t="s">
        <v>141</v>
      </c>
      <c r="H330" s="11" t="s">
        <v>24</v>
      </c>
      <c r="M330" s="11" t="s">
        <v>32</v>
      </c>
    </row>
    <row r="331" ht="22.5" customHeight="1">
      <c r="A331" s="10">
        <v>45603.55956974537</v>
      </c>
      <c r="B331" s="11" t="s">
        <v>20</v>
      </c>
      <c r="C331" s="11">
        <v>3260.0</v>
      </c>
      <c r="D331" s="11" t="s">
        <v>141</v>
      </c>
      <c r="H331" s="11" t="s">
        <v>57</v>
      </c>
      <c r="N331" s="11" t="s">
        <v>75</v>
      </c>
    </row>
    <row r="332" ht="22.5" customHeight="1">
      <c r="A332" s="10">
        <v>45603.92029787037</v>
      </c>
      <c r="B332" s="11" t="s">
        <v>38</v>
      </c>
      <c r="C332" s="11">
        <v>2290.0</v>
      </c>
      <c r="D332" s="11">
        <v>2.0241015E7</v>
      </c>
      <c r="E332" s="11" t="s">
        <v>39</v>
      </c>
      <c r="G332" s="11" t="s">
        <v>40</v>
      </c>
      <c r="S332" s="11" t="s">
        <v>167</v>
      </c>
      <c r="T332" s="11" t="s">
        <v>42</v>
      </c>
    </row>
    <row r="333" ht="22.5" customHeight="1">
      <c r="A333" s="10">
        <v>45603.920916041665</v>
      </c>
      <c r="B333" s="11" t="s">
        <v>38</v>
      </c>
      <c r="C333" s="11">
        <v>4190.0</v>
      </c>
      <c r="D333" s="11">
        <v>2.0241015E7</v>
      </c>
      <c r="E333" s="11" t="s">
        <v>39</v>
      </c>
      <c r="G333" s="11" t="s">
        <v>40</v>
      </c>
      <c r="S333" s="11" t="s">
        <v>168</v>
      </c>
      <c r="T333" s="11" t="s">
        <v>42</v>
      </c>
    </row>
    <row r="334" ht="22.5" customHeight="1">
      <c r="A334" s="10">
        <v>45603.92174502315</v>
      </c>
      <c r="B334" s="11" t="s">
        <v>38</v>
      </c>
      <c r="C334" s="11">
        <v>490.0</v>
      </c>
      <c r="D334" s="11">
        <v>2.0241031E7</v>
      </c>
      <c r="E334" s="11" t="s">
        <v>39</v>
      </c>
      <c r="G334" s="11" t="s">
        <v>40</v>
      </c>
      <c r="S334" s="11" t="s">
        <v>169</v>
      </c>
      <c r="T334" s="11" t="s">
        <v>42</v>
      </c>
    </row>
    <row r="335" ht="22.5" customHeight="1">
      <c r="A335" s="10">
        <v>45604.849527569444</v>
      </c>
      <c r="B335" s="11" t="s">
        <v>20</v>
      </c>
      <c r="C335" s="11">
        <v>100.0</v>
      </c>
      <c r="D335" s="11" t="s">
        <v>128</v>
      </c>
      <c r="H335" s="11" t="s">
        <v>21</v>
      </c>
      <c r="L335" s="11" t="s">
        <v>22</v>
      </c>
    </row>
    <row r="336" ht="22.5" customHeight="1">
      <c r="A336" s="10">
        <v>45604.98769072916</v>
      </c>
      <c r="B336" s="11" t="s">
        <v>20</v>
      </c>
      <c r="C336" s="11">
        <v>6102.0</v>
      </c>
      <c r="D336" s="11" t="s">
        <v>128</v>
      </c>
      <c r="H336" s="11" t="s">
        <v>51</v>
      </c>
      <c r="K336" s="11" t="s">
        <v>111</v>
      </c>
    </row>
    <row r="337" ht="22.5" customHeight="1">
      <c r="A337" s="10">
        <v>45605.502473333334</v>
      </c>
      <c r="B337" s="11" t="s">
        <v>20</v>
      </c>
      <c r="C337" s="11">
        <v>66.0</v>
      </c>
      <c r="D337" s="11" t="s">
        <v>127</v>
      </c>
      <c r="H337" s="11" t="s">
        <v>28</v>
      </c>
      <c r="I337" s="11" t="s">
        <v>35</v>
      </c>
    </row>
    <row r="338" ht="22.5" customHeight="1">
      <c r="A338" s="10">
        <v>45605.73531975695</v>
      </c>
      <c r="B338" s="11" t="s">
        <v>20</v>
      </c>
      <c r="C338" s="11">
        <v>742.0</v>
      </c>
      <c r="D338" s="11" t="s">
        <v>128</v>
      </c>
      <c r="H338" s="11" t="s">
        <v>21</v>
      </c>
      <c r="L338" s="11" t="s">
        <v>23</v>
      </c>
    </row>
    <row r="339" ht="22.5" customHeight="1">
      <c r="A339" s="10">
        <v>45605.7355056713</v>
      </c>
      <c r="B339" s="11" t="s">
        <v>20</v>
      </c>
      <c r="C339" s="11">
        <v>390.0</v>
      </c>
      <c r="D339" s="11" t="s">
        <v>128</v>
      </c>
      <c r="H339" s="11" t="s">
        <v>26</v>
      </c>
      <c r="J339" s="11" t="s">
        <v>27</v>
      </c>
    </row>
    <row r="340" ht="22.5" customHeight="1">
      <c r="A340" s="10">
        <v>45605.73565908565</v>
      </c>
      <c r="B340" s="11" t="s">
        <v>20</v>
      </c>
      <c r="C340" s="11">
        <v>545.0</v>
      </c>
      <c r="D340" s="11" t="s">
        <v>128</v>
      </c>
      <c r="H340" s="11" t="s">
        <v>28</v>
      </c>
      <c r="I340" s="11" t="s">
        <v>34</v>
      </c>
    </row>
    <row r="341" ht="22.5" customHeight="1">
      <c r="A341" s="10">
        <v>45606.650867222226</v>
      </c>
      <c r="B341" s="11" t="s">
        <v>20</v>
      </c>
      <c r="C341" s="11">
        <v>5373.0</v>
      </c>
      <c r="D341" s="11">
        <v>2.0250117E7</v>
      </c>
      <c r="H341" s="11" t="s">
        <v>24</v>
      </c>
      <c r="M341" s="11" t="s">
        <v>49</v>
      </c>
      <c r="S341" s="11" t="s">
        <v>170</v>
      </c>
      <c r="T341" s="11" t="s">
        <v>42</v>
      </c>
    </row>
    <row r="342" ht="22.5" customHeight="1">
      <c r="A342" s="10">
        <v>45607.332825543985</v>
      </c>
      <c r="B342" s="11" t="s">
        <v>20</v>
      </c>
      <c r="C342" s="11">
        <v>200.0</v>
      </c>
      <c r="D342" s="11" t="s">
        <v>141</v>
      </c>
      <c r="H342" s="11" t="s">
        <v>24</v>
      </c>
      <c r="M342" s="11" t="s">
        <v>54</v>
      </c>
      <c r="S342" s="11" t="s">
        <v>171</v>
      </c>
      <c r="T342" s="11" t="s">
        <v>86</v>
      </c>
    </row>
    <row r="343" ht="22.5" customHeight="1">
      <c r="A343" s="10">
        <v>45607.333072974536</v>
      </c>
      <c r="B343" s="11" t="s">
        <v>20</v>
      </c>
      <c r="C343" s="11">
        <v>1000.0</v>
      </c>
      <c r="D343" s="11" t="s">
        <v>141</v>
      </c>
      <c r="H343" s="11" t="s">
        <v>28</v>
      </c>
      <c r="I343" s="11" t="s">
        <v>30</v>
      </c>
      <c r="S343" s="11" t="s">
        <v>172</v>
      </c>
    </row>
    <row r="344" ht="22.5" customHeight="1">
      <c r="A344" s="10">
        <v>45607.33385417824</v>
      </c>
      <c r="B344" s="11" t="s">
        <v>20</v>
      </c>
      <c r="C344" s="11">
        <v>72.0</v>
      </c>
      <c r="D344" s="11" t="s">
        <v>127</v>
      </c>
      <c r="H344" s="11" t="s">
        <v>21</v>
      </c>
      <c r="L344" s="11" t="s">
        <v>23</v>
      </c>
    </row>
    <row r="345" ht="22.5" customHeight="1">
      <c r="A345" s="10">
        <v>45607.33406400463</v>
      </c>
      <c r="B345" s="11" t="s">
        <v>20</v>
      </c>
      <c r="C345" s="11">
        <v>1500.0</v>
      </c>
      <c r="D345" s="11" t="s">
        <v>127</v>
      </c>
      <c r="H345" s="11" t="s">
        <v>28</v>
      </c>
      <c r="I345" s="11" t="s">
        <v>44</v>
      </c>
    </row>
    <row r="346" ht="22.5" customHeight="1">
      <c r="A346" s="10">
        <v>45607.334475509255</v>
      </c>
      <c r="B346" s="11" t="s">
        <v>20</v>
      </c>
      <c r="C346" s="11">
        <v>1060.0</v>
      </c>
      <c r="D346" s="11" t="s">
        <v>127</v>
      </c>
      <c r="H346" s="11" t="s">
        <v>28</v>
      </c>
      <c r="I346" s="11" t="s">
        <v>34</v>
      </c>
      <c r="S346" s="11" t="s">
        <v>173</v>
      </c>
    </row>
    <row r="347" ht="22.5" customHeight="1">
      <c r="A347" s="10">
        <v>45607.334899270834</v>
      </c>
      <c r="B347" s="11" t="s">
        <v>20</v>
      </c>
      <c r="C347" s="11">
        <v>580.0</v>
      </c>
      <c r="D347" s="11" t="s">
        <v>128</v>
      </c>
      <c r="H347" s="11" t="s">
        <v>28</v>
      </c>
      <c r="I347" s="11" t="s">
        <v>84</v>
      </c>
      <c r="S347" s="11" t="s">
        <v>174</v>
      </c>
    </row>
    <row r="348" ht="22.5" customHeight="1">
      <c r="A348" s="10">
        <v>45607.33520403935</v>
      </c>
      <c r="B348" s="11" t="s">
        <v>20</v>
      </c>
      <c r="C348" s="11">
        <v>20.0</v>
      </c>
      <c r="D348" s="11" t="s">
        <v>128</v>
      </c>
      <c r="H348" s="11" t="s">
        <v>21</v>
      </c>
      <c r="L348" s="11" t="s">
        <v>46</v>
      </c>
    </row>
    <row r="349" ht="22.5" customHeight="1">
      <c r="A349" s="10">
        <v>45607.335418773146</v>
      </c>
      <c r="B349" s="11" t="s">
        <v>20</v>
      </c>
      <c r="C349" s="11">
        <v>91.0</v>
      </c>
      <c r="D349" s="11" t="s">
        <v>128</v>
      </c>
      <c r="H349" s="11" t="s">
        <v>21</v>
      </c>
      <c r="L349" s="11" t="s">
        <v>22</v>
      </c>
    </row>
    <row r="350" ht="22.5" customHeight="1">
      <c r="A350" s="10">
        <v>45607.34644140046</v>
      </c>
      <c r="B350" s="11" t="s">
        <v>20</v>
      </c>
      <c r="C350" s="11">
        <v>233.0</v>
      </c>
      <c r="D350" s="11" t="s">
        <v>127</v>
      </c>
      <c r="H350" s="11" t="s">
        <v>24</v>
      </c>
      <c r="M350" s="11" t="s">
        <v>54</v>
      </c>
      <c r="S350" s="11" t="s">
        <v>175</v>
      </c>
      <c r="T350" s="11" t="s">
        <v>42</v>
      </c>
    </row>
    <row r="351" ht="22.5" customHeight="1">
      <c r="A351" s="10">
        <v>45607.35311652778</v>
      </c>
      <c r="B351" s="11" t="s">
        <v>20</v>
      </c>
      <c r="C351" s="11">
        <v>198.0</v>
      </c>
      <c r="D351" s="11" t="s">
        <v>128</v>
      </c>
      <c r="H351" s="11" t="s">
        <v>28</v>
      </c>
      <c r="I351" s="11" t="s">
        <v>84</v>
      </c>
    </row>
    <row r="352" ht="22.5" customHeight="1">
      <c r="A352" s="10">
        <v>45607.83495523148</v>
      </c>
      <c r="B352" s="11" t="s">
        <v>20</v>
      </c>
      <c r="C352" s="11">
        <v>300.0</v>
      </c>
      <c r="D352" s="11" t="s">
        <v>128</v>
      </c>
      <c r="H352" s="11" t="s">
        <v>21</v>
      </c>
      <c r="L352" s="11" t="s">
        <v>176</v>
      </c>
      <c r="S352" s="11" t="s">
        <v>177</v>
      </c>
    </row>
    <row r="353" ht="22.5" customHeight="1">
      <c r="A353" s="10">
        <v>45609.98131510417</v>
      </c>
      <c r="B353" s="11" t="s">
        <v>20</v>
      </c>
      <c r="C353" s="11">
        <v>100.0</v>
      </c>
      <c r="D353" s="11" t="s">
        <v>128</v>
      </c>
      <c r="H353" s="11" t="s">
        <v>24</v>
      </c>
      <c r="M353" s="11" t="s">
        <v>25</v>
      </c>
    </row>
    <row r="354" ht="22.5" customHeight="1">
      <c r="A354" s="10">
        <v>45609.98149359954</v>
      </c>
      <c r="B354" s="11" t="s">
        <v>20</v>
      </c>
      <c r="C354" s="11">
        <v>25.0</v>
      </c>
      <c r="D354" s="11" t="s">
        <v>128</v>
      </c>
      <c r="H354" s="11" t="s">
        <v>28</v>
      </c>
      <c r="I354" s="11" t="s">
        <v>43</v>
      </c>
    </row>
    <row r="355" ht="22.5" customHeight="1">
      <c r="A355" s="10">
        <v>45610.96782280093</v>
      </c>
      <c r="B355" s="11" t="s">
        <v>20</v>
      </c>
      <c r="C355" s="11">
        <v>600.0</v>
      </c>
      <c r="D355" s="11" t="s">
        <v>128</v>
      </c>
      <c r="H355" s="11" t="s">
        <v>28</v>
      </c>
      <c r="I355" s="11" t="s">
        <v>30</v>
      </c>
      <c r="T355" s="11" t="s">
        <v>86</v>
      </c>
    </row>
    <row r="356" ht="22.5" customHeight="1">
      <c r="A356" s="10">
        <v>45611.280532881945</v>
      </c>
      <c r="B356" s="11" t="s">
        <v>38</v>
      </c>
      <c r="C356" s="11">
        <v>20000.0</v>
      </c>
      <c r="D356" s="11" t="s">
        <v>128</v>
      </c>
      <c r="E356" s="11" t="s">
        <v>61</v>
      </c>
      <c r="F356" s="11" t="s">
        <v>63</v>
      </c>
      <c r="S356" s="11" t="s">
        <v>178</v>
      </c>
      <c r="T356" s="11" t="s">
        <v>42</v>
      </c>
    </row>
    <row r="357" ht="22.5" customHeight="1">
      <c r="A357" s="10">
        <v>45611.80074883102</v>
      </c>
      <c r="B357" s="11" t="s">
        <v>20</v>
      </c>
      <c r="C357" s="11">
        <v>91.0</v>
      </c>
      <c r="D357" s="11" t="s">
        <v>128</v>
      </c>
      <c r="H357" s="11" t="s">
        <v>21</v>
      </c>
      <c r="L357" s="11" t="s">
        <v>22</v>
      </c>
    </row>
    <row r="358" ht="22.5" customHeight="1">
      <c r="A358" s="10">
        <v>45611.80090577547</v>
      </c>
      <c r="B358" s="11" t="s">
        <v>20</v>
      </c>
      <c r="C358" s="11">
        <v>20.0</v>
      </c>
      <c r="D358" s="11" t="s">
        <v>128</v>
      </c>
      <c r="H358" s="11" t="s">
        <v>21</v>
      </c>
      <c r="L358" s="11" t="s">
        <v>46</v>
      </c>
    </row>
    <row r="359" ht="22.5" customHeight="1">
      <c r="A359" s="10">
        <v>45611.961099513894</v>
      </c>
      <c r="B359" s="11" t="s">
        <v>20</v>
      </c>
      <c r="C359" s="11">
        <v>60.0</v>
      </c>
      <c r="D359" s="11" t="s">
        <v>128</v>
      </c>
      <c r="H359" s="11" t="s">
        <v>28</v>
      </c>
      <c r="I359" s="11" t="s">
        <v>43</v>
      </c>
      <c r="S359" s="11" t="s">
        <v>179</v>
      </c>
    </row>
    <row r="360" ht="22.5" customHeight="1">
      <c r="A360" s="10">
        <v>45612.502836099535</v>
      </c>
      <c r="B360" s="11" t="s">
        <v>20</v>
      </c>
      <c r="C360" s="11">
        <v>788.0</v>
      </c>
      <c r="D360" s="11" t="s">
        <v>128</v>
      </c>
      <c r="H360" s="11" t="s">
        <v>26</v>
      </c>
      <c r="J360" s="11" t="s">
        <v>50</v>
      </c>
    </row>
    <row r="361" ht="22.5" customHeight="1">
      <c r="A361" s="10">
        <v>45612.71924337963</v>
      </c>
      <c r="B361" s="11" t="s">
        <v>20</v>
      </c>
      <c r="C361" s="11">
        <v>629.0</v>
      </c>
      <c r="D361" s="11" t="s">
        <v>128</v>
      </c>
      <c r="H361" s="11" t="s">
        <v>28</v>
      </c>
      <c r="I361" s="11" t="s">
        <v>34</v>
      </c>
    </row>
    <row r="362" ht="22.5" customHeight="1">
      <c r="A362" s="10">
        <v>45612.719382986106</v>
      </c>
      <c r="B362" s="11" t="s">
        <v>20</v>
      </c>
      <c r="C362" s="11">
        <v>315.0</v>
      </c>
      <c r="D362" s="11" t="s">
        <v>128</v>
      </c>
      <c r="H362" s="11" t="s">
        <v>28</v>
      </c>
      <c r="I362" s="11" t="s">
        <v>44</v>
      </c>
    </row>
    <row r="363" ht="22.5" customHeight="1">
      <c r="A363" s="10">
        <v>45612.71953930556</v>
      </c>
      <c r="B363" s="11" t="s">
        <v>20</v>
      </c>
      <c r="C363" s="11">
        <v>219.0</v>
      </c>
      <c r="D363" s="11" t="s">
        <v>128</v>
      </c>
      <c r="H363" s="11" t="s">
        <v>26</v>
      </c>
      <c r="J363" s="11" t="s">
        <v>27</v>
      </c>
    </row>
    <row r="364" ht="22.5" customHeight="1">
      <c r="A364" s="10">
        <v>45612.71974605324</v>
      </c>
      <c r="B364" s="11" t="s">
        <v>20</v>
      </c>
      <c r="C364" s="11">
        <v>204.0</v>
      </c>
      <c r="D364" s="11" t="s">
        <v>128</v>
      </c>
      <c r="H364" s="11" t="s">
        <v>28</v>
      </c>
      <c r="I364" s="11" t="s">
        <v>35</v>
      </c>
    </row>
    <row r="365" ht="22.5" customHeight="1">
      <c r="A365" s="10">
        <v>45612.82313721065</v>
      </c>
      <c r="B365" s="11" t="s">
        <v>20</v>
      </c>
      <c r="C365" s="11">
        <v>151.0</v>
      </c>
      <c r="D365" s="11">
        <v>2.0241113E7</v>
      </c>
      <c r="H365" s="11" t="s">
        <v>51</v>
      </c>
      <c r="K365" s="11" t="s">
        <v>90</v>
      </c>
    </row>
    <row r="366" ht="22.5" customHeight="1">
      <c r="A366" s="10">
        <v>45612.83793692129</v>
      </c>
      <c r="B366" s="11" t="s">
        <v>20</v>
      </c>
      <c r="C366" s="11">
        <v>10.0</v>
      </c>
      <c r="D366" s="11" t="s">
        <v>128</v>
      </c>
      <c r="H366" s="11" t="s">
        <v>21</v>
      </c>
      <c r="L366" s="11" t="s">
        <v>130</v>
      </c>
    </row>
    <row r="367" ht="22.5" customHeight="1">
      <c r="A367" s="10">
        <v>45612.83811711805</v>
      </c>
      <c r="B367" s="11" t="s">
        <v>20</v>
      </c>
      <c r="C367" s="11">
        <v>20.0</v>
      </c>
      <c r="D367" s="11" t="s">
        <v>128</v>
      </c>
      <c r="H367" s="11" t="s">
        <v>21</v>
      </c>
      <c r="L367" s="11" t="s">
        <v>46</v>
      </c>
    </row>
    <row r="368" ht="22.5" customHeight="1">
      <c r="A368" s="10">
        <v>45612.83827069444</v>
      </c>
      <c r="B368" s="11" t="s">
        <v>20</v>
      </c>
      <c r="C368" s="11">
        <v>20.0</v>
      </c>
      <c r="D368" s="11" t="s">
        <v>128</v>
      </c>
      <c r="H368" s="11" t="s">
        <v>21</v>
      </c>
      <c r="L368" s="11" t="s">
        <v>31</v>
      </c>
    </row>
    <row r="369" ht="22.5" customHeight="1">
      <c r="A369" s="10">
        <v>45613.89749512731</v>
      </c>
      <c r="B369" s="11" t="s">
        <v>20</v>
      </c>
      <c r="C369" s="11">
        <v>695.0</v>
      </c>
      <c r="D369" s="11" t="s">
        <v>128</v>
      </c>
      <c r="H369" s="11" t="s">
        <v>21</v>
      </c>
      <c r="L369" s="11" t="s">
        <v>23</v>
      </c>
    </row>
    <row r="370" ht="22.5" customHeight="1">
      <c r="A370" s="10">
        <v>45614.516532511574</v>
      </c>
      <c r="B370" s="11" t="s">
        <v>20</v>
      </c>
      <c r="C370" s="11">
        <v>39.0</v>
      </c>
      <c r="D370" s="11" t="s">
        <v>127</v>
      </c>
      <c r="H370" s="11" t="s">
        <v>28</v>
      </c>
      <c r="I370" s="11" t="s">
        <v>29</v>
      </c>
    </row>
    <row r="371" ht="22.5" customHeight="1">
      <c r="A371" s="10">
        <v>45614.51698383102</v>
      </c>
      <c r="B371" s="11" t="s">
        <v>20</v>
      </c>
      <c r="C371" s="11">
        <v>35.0</v>
      </c>
      <c r="D371" s="11" t="s">
        <v>128</v>
      </c>
      <c r="H371" s="11" t="s">
        <v>28</v>
      </c>
      <c r="I371" s="11" t="s">
        <v>29</v>
      </c>
    </row>
    <row r="372" ht="22.5" customHeight="1">
      <c r="A372" s="10">
        <v>45614.51712616898</v>
      </c>
      <c r="B372" s="11" t="s">
        <v>20</v>
      </c>
      <c r="C372" s="11">
        <v>60.0</v>
      </c>
      <c r="D372" s="11" t="s">
        <v>128</v>
      </c>
      <c r="H372" s="11" t="s">
        <v>28</v>
      </c>
      <c r="I372" s="11" t="s">
        <v>43</v>
      </c>
    </row>
    <row r="373" ht="22.5" customHeight="1">
      <c r="A373" s="10">
        <v>45614.5176169676</v>
      </c>
      <c r="B373" s="11" t="s">
        <v>20</v>
      </c>
      <c r="C373" s="11">
        <v>91.0</v>
      </c>
      <c r="D373" s="11" t="s">
        <v>128</v>
      </c>
      <c r="H373" s="11" t="s">
        <v>21</v>
      </c>
      <c r="L373" s="11" t="s">
        <v>22</v>
      </c>
    </row>
    <row r="374" ht="22.5" customHeight="1">
      <c r="A374" s="10">
        <v>45615.01110592592</v>
      </c>
      <c r="B374" s="11" t="s">
        <v>20</v>
      </c>
      <c r="C374" s="11">
        <v>60.0</v>
      </c>
      <c r="D374" s="11" t="s">
        <v>127</v>
      </c>
      <c r="H374" s="11" t="s">
        <v>26</v>
      </c>
      <c r="J374" s="11" t="s">
        <v>27</v>
      </c>
    </row>
    <row r="375" ht="22.5" customHeight="1">
      <c r="A375" s="10">
        <v>45615.44056457176</v>
      </c>
      <c r="B375" s="11" t="s">
        <v>20</v>
      </c>
      <c r="C375" s="11">
        <v>104.0</v>
      </c>
      <c r="D375" s="11" t="s">
        <v>128</v>
      </c>
      <c r="H375" s="11" t="s">
        <v>28</v>
      </c>
      <c r="I375" s="11" t="s">
        <v>43</v>
      </c>
    </row>
    <row r="376" ht="22.5" customHeight="1">
      <c r="A376" s="10">
        <v>45615.512361030094</v>
      </c>
      <c r="B376" s="11" t="s">
        <v>20</v>
      </c>
      <c r="C376" s="11">
        <v>387.0</v>
      </c>
      <c r="D376" s="11" t="s">
        <v>149</v>
      </c>
      <c r="H376" s="11" t="s">
        <v>51</v>
      </c>
      <c r="K376" s="11" t="s">
        <v>124</v>
      </c>
    </row>
    <row r="377" ht="22.5" customHeight="1">
      <c r="A377" s="10">
        <v>45615.88454039352</v>
      </c>
      <c r="B377" s="11" t="s">
        <v>20</v>
      </c>
      <c r="C377" s="11">
        <v>404.0</v>
      </c>
      <c r="D377" s="11" t="s">
        <v>128</v>
      </c>
      <c r="H377" s="11" t="s">
        <v>118</v>
      </c>
      <c r="P377" s="11" t="s">
        <v>119</v>
      </c>
    </row>
    <row r="378" ht="22.5" customHeight="1">
      <c r="A378" s="10">
        <v>45616.92690465278</v>
      </c>
      <c r="B378" s="11" t="s">
        <v>20</v>
      </c>
      <c r="C378" s="11">
        <v>230.0</v>
      </c>
      <c r="D378" s="11" t="s">
        <v>128</v>
      </c>
      <c r="H378" s="11" t="s">
        <v>28</v>
      </c>
      <c r="I378" s="11" t="s">
        <v>35</v>
      </c>
    </row>
    <row r="379" ht="22.5" customHeight="1">
      <c r="A379" s="10">
        <v>45616.93006425926</v>
      </c>
      <c r="B379" s="11" t="s">
        <v>20</v>
      </c>
      <c r="C379" s="11">
        <v>100.0</v>
      </c>
      <c r="D379" s="11" t="s">
        <v>128</v>
      </c>
      <c r="H379" s="11" t="s">
        <v>24</v>
      </c>
      <c r="M379" s="11" t="s">
        <v>25</v>
      </c>
    </row>
    <row r="380" ht="22.5" customHeight="1">
      <c r="A380" s="10">
        <v>45617.9067840162</v>
      </c>
      <c r="B380" s="11" t="s">
        <v>20</v>
      </c>
      <c r="C380" s="11">
        <v>140.0</v>
      </c>
      <c r="D380" s="11" t="s">
        <v>128</v>
      </c>
      <c r="H380" s="11" t="s">
        <v>21</v>
      </c>
      <c r="L380" s="11" t="s">
        <v>23</v>
      </c>
    </row>
    <row r="381" ht="22.5" customHeight="1">
      <c r="A381" s="10">
        <v>45617.907045127315</v>
      </c>
      <c r="B381" s="11" t="s">
        <v>20</v>
      </c>
      <c r="C381" s="11">
        <v>55.0</v>
      </c>
      <c r="D381" s="11" t="s">
        <v>128</v>
      </c>
      <c r="H381" s="11" t="s">
        <v>28</v>
      </c>
      <c r="I381" s="11" t="s">
        <v>84</v>
      </c>
    </row>
    <row r="382" ht="22.5" customHeight="1">
      <c r="A382" s="10">
        <v>45619.90555486111</v>
      </c>
      <c r="B382" s="11" t="s">
        <v>20</v>
      </c>
      <c r="C382" s="11">
        <v>85.0</v>
      </c>
      <c r="D382" s="11" t="s">
        <v>128</v>
      </c>
      <c r="H382" s="11" t="s">
        <v>28</v>
      </c>
      <c r="I382" s="11" t="s">
        <v>29</v>
      </c>
    </row>
    <row r="383" ht="22.5" customHeight="1">
      <c r="A383" s="10">
        <v>45619.90571864584</v>
      </c>
      <c r="B383" s="11" t="s">
        <v>20</v>
      </c>
      <c r="C383" s="11">
        <v>265.0</v>
      </c>
      <c r="D383" s="11" t="s">
        <v>128</v>
      </c>
      <c r="H383" s="11" t="s">
        <v>28</v>
      </c>
      <c r="I383" s="11" t="s">
        <v>44</v>
      </c>
    </row>
    <row r="384" ht="22.5" customHeight="1">
      <c r="A384" s="10">
        <v>45620.36918688657</v>
      </c>
      <c r="B384" s="11" t="s">
        <v>20</v>
      </c>
      <c r="C384" s="11">
        <v>616.0</v>
      </c>
      <c r="D384" s="11">
        <v>2.0241209E7</v>
      </c>
      <c r="H384" s="11" t="s">
        <v>21</v>
      </c>
      <c r="L384" s="11" t="s">
        <v>22</v>
      </c>
    </row>
    <row r="385" ht="22.5" customHeight="1">
      <c r="A385" s="10">
        <v>45620.90667552083</v>
      </c>
      <c r="B385" s="11" t="s">
        <v>20</v>
      </c>
      <c r="C385" s="11">
        <v>175.0</v>
      </c>
      <c r="D385" s="11" t="s">
        <v>128</v>
      </c>
      <c r="H385" s="11" t="s">
        <v>28</v>
      </c>
      <c r="I385" s="11" t="s">
        <v>35</v>
      </c>
    </row>
    <row r="386" ht="22.5" customHeight="1">
      <c r="A386" s="10">
        <v>45620.98358429398</v>
      </c>
      <c r="B386" s="11" t="s">
        <v>20</v>
      </c>
      <c r="C386" s="11">
        <v>133.0</v>
      </c>
      <c r="D386" s="11" t="s">
        <v>128</v>
      </c>
      <c r="H386" s="11" t="s">
        <v>28</v>
      </c>
      <c r="I386" s="11" t="s">
        <v>29</v>
      </c>
    </row>
    <row r="387" ht="22.5" customHeight="1">
      <c r="A387" s="10">
        <v>45621.81065289352</v>
      </c>
      <c r="B387" s="11" t="s">
        <v>20</v>
      </c>
      <c r="C387" s="11">
        <v>91.0</v>
      </c>
      <c r="D387" s="11" t="s">
        <v>128</v>
      </c>
      <c r="H387" s="11" t="s">
        <v>21</v>
      </c>
      <c r="L387" s="11" t="s">
        <v>22</v>
      </c>
    </row>
    <row r="388" ht="22.5" customHeight="1">
      <c r="A388" s="10">
        <v>45621.81079982639</v>
      </c>
      <c r="B388" s="11" t="s">
        <v>20</v>
      </c>
      <c r="C388" s="11">
        <v>55.0</v>
      </c>
      <c r="D388" s="11" t="s">
        <v>128</v>
      </c>
      <c r="H388" s="11" t="s">
        <v>28</v>
      </c>
      <c r="I388" s="11" t="s">
        <v>84</v>
      </c>
    </row>
    <row r="389" ht="22.5" customHeight="1">
      <c r="A389" s="10">
        <v>45621.91748118056</v>
      </c>
      <c r="B389" s="11" t="s">
        <v>20</v>
      </c>
      <c r="C389" s="11">
        <v>80.0</v>
      </c>
      <c r="D389" s="11" t="s">
        <v>128</v>
      </c>
      <c r="H389" s="11" t="s">
        <v>28</v>
      </c>
      <c r="I389" s="11" t="s">
        <v>43</v>
      </c>
    </row>
    <row r="390" ht="22.5" customHeight="1">
      <c r="A390" s="10">
        <v>45624.94483148148</v>
      </c>
      <c r="B390" s="11" t="s">
        <v>20</v>
      </c>
      <c r="C390" s="11">
        <v>701.0</v>
      </c>
      <c r="D390" s="11" t="s">
        <v>128</v>
      </c>
      <c r="H390" s="11" t="s">
        <v>28</v>
      </c>
      <c r="I390" s="11" t="s">
        <v>34</v>
      </c>
    </row>
    <row r="391" ht="22.5" customHeight="1">
      <c r="A391" s="10">
        <v>45625.36271677083</v>
      </c>
      <c r="B391" s="11" t="s">
        <v>20</v>
      </c>
      <c r="C391" s="11">
        <v>91.0</v>
      </c>
      <c r="D391" s="11" t="s">
        <v>128</v>
      </c>
      <c r="H391" s="11" t="s">
        <v>21</v>
      </c>
      <c r="L391" s="11" t="s">
        <v>22</v>
      </c>
    </row>
    <row r="392" ht="22.5" customHeight="1">
      <c r="A392" s="10">
        <v>45625.362892627316</v>
      </c>
      <c r="B392" s="11" t="s">
        <v>20</v>
      </c>
      <c r="C392" s="11">
        <v>91.0</v>
      </c>
      <c r="D392" s="11" t="s">
        <v>128</v>
      </c>
      <c r="H392" s="11" t="s">
        <v>21</v>
      </c>
      <c r="L392" s="11" t="s">
        <v>22</v>
      </c>
    </row>
    <row r="393" ht="22.5" customHeight="1">
      <c r="A393" s="10">
        <v>45625.36411439815</v>
      </c>
      <c r="B393" s="11" t="s">
        <v>20</v>
      </c>
      <c r="C393" s="11">
        <v>4358.0</v>
      </c>
      <c r="D393" s="11">
        <v>2.0241215E7</v>
      </c>
      <c r="H393" s="11" t="s">
        <v>24</v>
      </c>
      <c r="M393" s="11" t="s">
        <v>49</v>
      </c>
      <c r="S393" s="11" t="s">
        <v>180</v>
      </c>
      <c r="T393" s="11" t="s">
        <v>42</v>
      </c>
    </row>
    <row r="394" ht="22.5" customHeight="1">
      <c r="A394" s="10">
        <v>45625.36467805556</v>
      </c>
      <c r="B394" s="11" t="s">
        <v>20</v>
      </c>
      <c r="C394" s="11">
        <v>288.0</v>
      </c>
      <c r="D394" s="11" t="s">
        <v>127</v>
      </c>
      <c r="H394" s="11" t="s">
        <v>24</v>
      </c>
      <c r="M394" s="11" t="s">
        <v>96</v>
      </c>
      <c r="S394" s="11" t="s">
        <v>181</v>
      </c>
    </row>
    <row r="395" ht="22.5" customHeight="1">
      <c r="A395" s="10">
        <v>45625.95875023148</v>
      </c>
      <c r="B395" s="11" t="s">
        <v>20</v>
      </c>
      <c r="C395" s="11">
        <v>20.0</v>
      </c>
      <c r="D395" s="11" t="s">
        <v>128</v>
      </c>
      <c r="H395" s="11" t="s">
        <v>21</v>
      </c>
      <c r="L395" s="11" t="s">
        <v>46</v>
      </c>
    </row>
    <row r="396" ht="22.5" customHeight="1">
      <c r="A396" s="10">
        <v>45626.662554675924</v>
      </c>
      <c r="B396" s="11" t="s">
        <v>20</v>
      </c>
      <c r="C396" s="11">
        <v>1301.0</v>
      </c>
      <c r="D396" s="11" t="s">
        <v>128</v>
      </c>
      <c r="H396" s="11" t="s">
        <v>28</v>
      </c>
      <c r="I396" s="11" t="s">
        <v>44</v>
      </c>
    </row>
    <row r="397" ht="22.5" customHeight="1">
      <c r="A397" s="10">
        <v>45626.66283956019</v>
      </c>
      <c r="B397" s="11" t="s">
        <v>20</v>
      </c>
      <c r="C397" s="11">
        <v>786.0</v>
      </c>
      <c r="D397" s="11" t="s">
        <v>128</v>
      </c>
      <c r="H397" s="11" t="s">
        <v>21</v>
      </c>
      <c r="L397" s="11" t="s">
        <v>23</v>
      </c>
    </row>
    <row r="398" ht="22.5" customHeight="1">
      <c r="A398" s="10">
        <v>45626.921839120376</v>
      </c>
      <c r="B398" s="11" t="s">
        <v>20</v>
      </c>
      <c r="C398" s="11">
        <v>354.0</v>
      </c>
      <c r="D398" s="11" t="s">
        <v>128</v>
      </c>
      <c r="H398" s="11" t="s">
        <v>28</v>
      </c>
      <c r="I398" s="11" t="s">
        <v>30</v>
      </c>
    </row>
    <row r="399" ht="22.5" customHeight="1">
      <c r="A399" s="10">
        <v>45626.92200342593</v>
      </c>
      <c r="B399" s="11" t="s">
        <v>20</v>
      </c>
      <c r="C399" s="11">
        <v>99.0</v>
      </c>
      <c r="D399" s="11" t="s">
        <v>128</v>
      </c>
      <c r="H399" s="11" t="s">
        <v>28</v>
      </c>
      <c r="I399" s="11" t="s">
        <v>43</v>
      </c>
    </row>
    <row r="400" ht="22.5" customHeight="1">
      <c r="A400" s="10">
        <v>45626.92219179399</v>
      </c>
      <c r="B400" s="11" t="s">
        <v>20</v>
      </c>
      <c r="C400" s="11">
        <v>85.0</v>
      </c>
      <c r="D400" s="11" t="s">
        <v>128</v>
      </c>
      <c r="H400" s="11" t="s">
        <v>21</v>
      </c>
      <c r="L400" s="11" t="s">
        <v>23</v>
      </c>
    </row>
    <row r="401" ht="22.5" customHeight="1">
      <c r="A401" s="10">
        <v>45627.668940393516</v>
      </c>
      <c r="B401" s="11" t="s">
        <v>20</v>
      </c>
      <c r="C401" s="11">
        <v>94.0</v>
      </c>
      <c r="D401" s="11" t="s">
        <v>128</v>
      </c>
      <c r="H401" s="11" t="s">
        <v>28</v>
      </c>
      <c r="I401" s="11" t="s">
        <v>29</v>
      </c>
    </row>
    <row r="402" ht="22.5" customHeight="1">
      <c r="A402" s="10">
        <v>45627.66913365741</v>
      </c>
      <c r="B402" s="11" t="s">
        <v>20</v>
      </c>
      <c r="C402" s="11">
        <v>109.0</v>
      </c>
      <c r="D402" s="11" t="s">
        <v>128</v>
      </c>
      <c r="H402" s="11" t="s">
        <v>28</v>
      </c>
      <c r="I402" s="11" t="s">
        <v>44</v>
      </c>
      <c r="S402" s="11" t="s">
        <v>182</v>
      </c>
    </row>
    <row r="403" ht="22.5" customHeight="1">
      <c r="A403" s="10">
        <v>45627.85136075232</v>
      </c>
      <c r="B403" s="11" t="s">
        <v>38</v>
      </c>
      <c r="C403" s="11">
        <v>5000.0</v>
      </c>
      <c r="D403" s="11" t="s">
        <v>128</v>
      </c>
      <c r="E403" s="11" t="s">
        <v>39</v>
      </c>
      <c r="G403" s="11" t="s">
        <v>139</v>
      </c>
    </row>
    <row r="404" ht="22.5" customHeight="1">
      <c r="A404" s="10">
        <v>45627.85570306713</v>
      </c>
      <c r="B404" s="11" t="s">
        <v>38</v>
      </c>
      <c r="C404" s="11">
        <v>3953.0</v>
      </c>
      <c r="D404" s="11">
        <v>2.0241111E7</v>
      </c>
      <c r="E404" s="11" t="s">
        <v>39</v>
      </c>
      <c r="G404" s="11" t="s">
        <v>40</v>
      </c>
      <c r="S404" s="11" t="s">
        <v>183</v>
      </c>
      <c r="T404" s="11" t="s">
        <v>42</v>
      </c>
    </row>
    <row r="405" ht="22.5" customHeight="1">
      <c r="A405" s="10">
        <v>45627.856275555554</v>
      </c>
      <c r="B405" s="11" t="s">
        <v>38</v>
      </c>
      <c r="C405" s="11">
        <v>795.0</v>
      </c>
      <c r="D405" s="11">
        <v>2.0241112E7</v>
      </c>
      <c r="E405" s="11" t="s">
        <v>39</v>
      </c>
      <c r="G405" s="11" t="s">
        <v>40</v>
      </c>
      <c r="S405" s="11" t="s">
        <v>184</v>
      </c>
      <c r="T405" s="11" t="s">
        <v>42</v>
      </c>
    </row>
    <row r="406" ht="22.5" customHeight="1">
      <c r="A406" s="10">
        <v>45627.858786944445</v>
      </c>
      <c r="B406" s="11" t="s">
        <v>20</v>
      </c>
      <c r="C406" s="11">
        <v>20000.0</v>
      </c>
      <c r="D406" s="11" t="s">
        <v>128</v>
      </c>
      <c r="H406" s="11" t="s">
        <v>51</v>
      </c>
      <c r="K406" s="11" t="s">
        <v>98</v>
      </c>
    </row>
    <row r="407" ht="22.5" customHeight="1">
      <c r="A407" s="10">
        <v>45627.85896975694</v>
      </c>
      <c r="B407" s="11" t="s">
        <v>20</v>
      </c>
      <c r="C407" s="11">
        <v>6000.0</v>
      </c>
      <c r="D407" s="11" t="s">
        <v>128</v>
      </c>
      <c r="H407" s="11" t="s">
        <v>51</v>
      </c>
      <c r="K407" s="11" t="s">
        <v>131</v>
      </c>
    </row>
    <row r="408" ht="22.5" customHeight="1">
      <c r="A408" s="10">
        <v>45628.885729456015</v>
      </c>
      <c r="B408" s="11" t="s">
        <v>20</v>
      </c>
      <c r="C408" s="11">
        <v>20.0</v>
      </c>
      <c r="D408" s="11" t="s">
        <v>128</v>
      </c>
      <c r="H408" s="11" t="s">
        <v>21</v>
      </c>
      <c r="L408" s="11" t="s">
        <v>46</v>
      </c>
    </row>
    <row r="409" ht="22.5" customHeight="1">
      <c r="A409" s="10">
        <v>45628.885971111114</v>
      </c>
      <c r="B409" s="11" t="s">
        <v>20</v>
      </c>
      <c r="C409" s="11">
        <v>91.0</v>
      </c>
      <c r="D409" s="11" t="s">
        <v>128</v>
      </c>
      <c r="H409" s="11" t="s">
        <v>21</v>
      </c>
      <c r="L409" s="11" t="s">
        <v>22</v>
      </c>
    </row>
    <row r="410" ht="22.5" customHeight="1">
      <c r="A410" s="10">
        <v>45628.88614614583</v>
      </c>
      <c r="B410" s="11" t="s">
        <v>20</v>
      </c>
      <c r="C410" s="11">
        <v>91.0</v>
      </c>
      <c r="D410" s="11" t="s">
        <v>128</v>
      </c>
      <c r="H410" s="11" t="s">
        <v>21</v>
      </c>
      <c r="L410" s="11" t="s">
        <v>22</v>
      </c>
    </row>
    <row r="411" ht="22.5" customHeight="1">
      <c r="A411" s="10">
        <v>45628.88633592593</v>
      </c>
      <c r="B411" s="11" t="s">
        <v>20</v>
      </c>
      <c r="C411" s="11">
        <v>20.0</v>
      </c>
      <c r="D411" s="11" t="s">
        <v>128</v>
      </c>
      <c r="H411" s="11" t="s">
        <v>21</v>
      </c>
      <c r="L411" s="11" t="s">
        <v>46</v>
      </c>
    </row>
    <row r="412" ht="22.5" customHeight="1">
      <c r="A412" s="10">
        <v>45630.948171157404</v>
      </c>
      <c r="B412" s="11" t="s">
        <v>20</v>
      </c>
      <c r="C412" s="11">
        <v>100.0</v>
      </c>
      <c r="D412" s="11" t="s">
        <v>128</v>
      </c>
      <c r="H412" s="11" t="s">
        <v>24</v>
      </c>
      <c r="M412" s="11" t="s">
        <v>25</v>
      </c>
    </row>
    <row r="413" ht="22.5" customHeight="1">
      <c r="A413" s="10">
        <v>45631.8714122338</v>
      </c>
      <c r="B413" s="11" t="s">
        <v>38</v>
      </c>
      <c r="C413" s="11">
        <v>102900.0</v>
      </c>
      <c r="D413" s="11" t="s">
        <v>128</v>
      </c>
      <c r="E413" s="11" t="s">
        <v>61</v>
      </c>
      <c r="F413" s="11" t="s">
        <v>62</v>
      </c>
      <c r="T413" s="11" t="s">
        <v>86</v>
      </c>
    </row>
    <row r="414" ht="22.5" customHeight="1">
      <c r="A414" s="10">
        <v>45631.87174011574</v>
      </c>
      <c r="B414" s="11" t="s">
        <v>20</v>
      </c>
      <c r="C414" s="11">
        <v>1423.0</v>
      </c>
      <c r="D414" s="11" t="s">
        <v>128</v>
      </c>
      <c r="H414" s="11" t="s">
        <v>28</v>
      </c>
      <c r="I414" s="11" t="s">
        <v>33</v>
      </c>
    </row>
    <row r="415" ht="22.5" customHeight="1">
      <c r="A415" s="10">
        <v>45631.87220224537</v>
      </c>
      <c r="B415" s="11" t="s">
        <v>20</v>
      </c>
      <c r="C415" s="11">
        <v>3087.0</v>
      </c>
      <c r="D415" s="11" t="s">
        <v>128</v>
      </c>
      <c r="H415" s="11" t="s">
        <v>59</v>
      </c>
      <c r="R415" s="11" t="s">
        <v>60</v>
      </c>
    </row>
    <row r="416" ht="22.5" customHeight="1">
      <c r="A416" s="10">
        <v>45631.872614479165</v>
      </c>
      <c r="B416" s="11" t="s">
        <v>20</v>
      </c>
      <c r="C416" s="11">
        <v>2771.0</v>
      </c>
      <c r="D416" s="11" t="s">
        <v>128</v>
      </c>
      <c r="H416" s="11" t="s">
        <v>57</v>
      </c>
      <c r="N416" s="11" t="s">
        <v>58</v>
      </c>
    </row>
    <row r="417" ht="22.5" customHeight="1">
      <c r="A417" s="10">
        <v>45631.87286309028</v>
      </c>
      <c r="B417" s="11" t="s">
        <v>20</v>
      </c>
      <c r="C417" s="11">
        <v>515.0</v>
      </c>
      <c r="D417" s="11" t="s">
        <v>128</v>
      </c>
      <c r="H417" s="11" t="s">
        <v>24</v>
      </c>
      <c r="M417" s="11" t="s">
        <v>32</v>
      </c>
    </row>
    <row r="418" ht="22.5" customHeight="1">
      <c r="A418" s="10">
        <v>45631.87321553241</v>
      </c>
      <c r="B418" s="11" t="s">
        <v>20</v>
      </c>
      <c r="C418" s="11">
        <v>3260.0</v>
      </c>
      <c r="D418" s="11" t="s">
        <v>128</v>
      </c>
      <c r="H418" s="11" t="s">
        <v>57</v>
      </c>
      <c r="N418" s="11" t="s">
        <v>75</v>
      </c>
    </row>
    <row r="419" ht="22.5" customHeight="1">
      <c r="A419" s="10">
        <v>45631.87434841435</v>
      </c>
      <c r="B419" s="11" t="s">
        <v>20</v>
      </c>
      <c r="C419" s="11">
        <v>117.0</v>
      </c>
      <c r="D419" s="11" t="s">
        <v>128</v>
      </c>
      <c r="H419" s="11" t="s">
        <v>21</v>
      </c>
      <c r="L419" s="11" t="s">
        <v>23</v>
      </c>
    </row>
    <row r="420" ht="22.5" customHeight="1">
      <c r="A420" s="10">
        <v>45631.88022623843</v>
      </c>
      <c r="B420" s="11" t="s">
        <v>20</v>
      </c>
      <c r="C420" s="11">
        <v>388.0</v>
      </c>
      <c r="D420" s="11">
        <v>2.0241125E7</v>
      </c>
      <c r="H420" s="11" t="s">
        <v>51</v>
      </c>
      <c r="K420" s="11" t="s">
        <v>185</v>
      </c>
    </row>
    <row r="421" ht="22.5" customHeight="1">
      <c r="A421" s="10">
        <v>45632.04137658565</v>
      </c>
      <c r="B421" s="11" t="s">
        <v>20</v>
      </c>
      <c r="C421" s="11">
        <v>4000.0</v>
      </c>
      <c r="D421" s="11" t="s">
        <v>128</v>
      </c>
      <c r="H421" s="11" t="s">
        <v>16</v>
      </c>
      <c r="Q421" s="11" t="s">
        <v>186</v>
      </c>
    </row>
    <row r="422" ht="22.5" customHeight="1">
      <c r="A422" s="10">
        <v>45632.835904444444</v>
      </c>
      <c r="B422" s="11" t="s">
        <v>20</v>
      </c>
      <c r="C422" s="11">
        <v>16.0</v>
      </c>
      <c r="D422" s="11" t="s">
        <v>128</v>
      </c>
      <c r="H422" s="11" t="s">
        <v>21</v>
      </c>
      <c r="L422" s="11" t="s">
        <v>22</v>
      </c>
    </row>
    <row r="423" ht="22.5" customHeight="1">
      <c r="A423" s="10">
        <v>45632.83612835648</v>
      </c>
      <c r="B423" s="11" t="s">
        <v>20</v>
      </c>
      <c r="C423" s="11">
        <v>1025.0</v>
      </c>
      <c r="D423" s="11" t="s">
        <v>128</v>
      </c>
      <c r="H423" s="11" t="s">
        <v>21</v>
      </c>
      <c r="L423" s="11" t="s">
        <v>36</v>
      </c>
    </row>
    <row r="424" ht="22.5" customHeight="1">
      <c r="A424" s="10">
        <v>45632.83631157408</v>
      </c>
      <c r="B424" s="11" t="s">
        <v>20</v>
      </c>
      <c r="C424" s="11">
        <v>35.0</v>
      </c>
      <c r="D424" s="11" t="s">
        <v>128</v>
      </c>
      <c r="H424" s="11" t="s">
        <v>21</v>
      </c>
      <c r="L424" s="11" t="s">
        <v>46</v>
      </c>
    </row>
    <row r="425" ht="22.5" customHeight="1">
      <c r="A425" s="10">
        <v>45632.849806377315</v>
      </c>
      <c r="B425" s="11" t="s">
        <v>38</v>
      </c>
      <c r="C425" s="11">
        <v>4000.0</v>
      </c>
      <c r="D425" s="11" t="s">
        <v>128</v>
      </c>
      <c r="E425" s="11" t="s">
        <v>39</v>
      </c>
      <c r="G425" s="11" t="s">
        <v>100</v>
      </c>
      <c r="S425" s="11" t="s">
        <v>187</v>
      </c>
      <c r="T425" s="11" t="s">
        <v>42</v>
      </c>
    </row>
    <row r="426" ht="22.5" customHeight="1">
      <c r="A426" s="10">
        <v>45633.01841359954</v>
      </c>
      <c r="B426" s="11" t="s">
        <v>20</v>
      </c>
      <c r="C426" s="11">
        <v>955.0</v>
      </c>
      <c r="D426" s="11" t="s">
        <v>128</v>
      </c>
      <c r="H426" s="11" t="s">
        <v>24</v>
      </c>
      <c r="M426" s="11" t="s">
        <v>54</v>
      </c>
      <c r="S426" s="11" t="s">
        <v>188</v>
      </c>
    </row>
    <row r="427" ht="22.5" customHeight="1">
      <c r="A427" s="10">
        <v>45633.38356913194</v>
      </c>
      <c r="B427" s="11" t="s">
        <v>20</v>
      </c>
      <c r="C427" s="11">
        <v>58.0</v>
      </c>
      <c r="D427" s="11" t="s">
        <v>128</v>
      </c>
      <c r="H427" s="11" t="s">
        <v>28</v>
      </c>
      <c r="I427" s="11" t="s">
        <v>84</v>
      </c>
    </row>
    <row r="428" ht="22.5" customHeight="1">
      <c r="A428" s="10">
        <v>45634.954319861106</v>
      </c>
      <c r="B428" s="11" t="s">
        <v>20</v>
      </c>
      <c r="C428" s="11">
        <v>953.0</v>
      </c>
      <c r="D428" s="11" t="s">
        <v>128</v>
      </c>
      <c r="H428" s="11" t="s">
        <v>28</v>
      </c>
      <c r="I428" s="11" t="s">
        <v>30</v>
      </c>
      <c r="S428" s="11" t="s">
        <v>189</v>
      </c>
    </row>
    <row r="429" ht="22.5" customHeight="1">
      <c r="A429" s="10">
        <v>45636.009779699074</v>
      </c>
      <c r="B429" s="11" t="s">
        <v>20</v>
      </c>
      <c r="C429" s="11">
        <v>86.0</v>
      </c>
      <c r="D429" s="11" t="s">
        <v>127</v>
      </c>
      <c r="H429" s="11" t="s">
        <v>21</v>
      </c>
      <c r="L429" s="11" t="s">
        <v>22</v>
      </c>
    </row>
    <row r="430" ht="22.5" customHeight="1">
      <c r="A430" s="10">
        <v>45636.009952974535</v>
      </c>
      <c r="B430" s="11" t="s">
        <v>20</v>
      </c>
      <c r="C430" s="11">
        <v>26.0</v>
      </c>
      <c r="D430" s="11" t="s">
        <v>127</v>
      </c>
      <c r="H430" s="11" t="s">
        <v>21</v>
      </c>
      <c r="L430" s="11" t="s">
        <v>123</v>
      </c>
    </row>
    <row r="431" ht="22.5" customHeight="1">
      <c r="A431" s="10">
        <v>45636.52087097222</v>
      </c>
      <c r="B431" s="11" t="s">
        <v>20</v>
      </c>
      <c r="C431" s="11">
        <v>91.0</v>
      </c>
      <c r="D431" s="11" t="s">
        <v>128</v>
      </c>
      <c r="H431" s="11" t="s">
        <v>21</v>
      </c>
      <c r="L431" s="11" t="s">
        <v>22</v>
      </c>
    </row>
    <row r="432" ht="22.5" customHeight="1">
      <c r="A432" s="10">
        <v>45638.01264368056</v>
      </c>
      <c r="B432" s="11" t="s">
        <v>20</v>
      </c>
      <c r="C432" s="11">
        <v>3688.0</v>
      </c>
      <c r="D432" s="11" t="s">
        <v>128</v>
      </c>
      <c r="H432" s="11" t="s">
        <v>26</v>
      </c>
      <c r="J432" s="11" t="s">
        <v>27</v>
      </c>
      <c r="S432" s="11" t="s">
        <v>190</v>
      </c>
      <c r="T432" s="11" t="s">
        <v>42</v>
      </c>
    </row>
    <row r="433" ht="22.5" customHeight="1">
      <c r="A433" s="10">
        <v>45638.01323001157</v>
      </c>
      <c r="B433" s="11" t="s">
        <v>20</v>
      </c>
      <c r="C433" s="11">
        <v>639.0</v>
      </c>
      <c r="D433" s="11" t="s">
        <v>128</v>
      </c>
      <c r="H433" s="11" t="s">
        <v>26</v>
      </c>
      <c r="J433" s="11" t="s">
        <v>27</v>
      </c>
    </row>
    <row r="434" ht="22.5" customHeight="1">
      <c r="A434" s="10">
        <v>45639.84857144676</v>
      </c>
      <c r="B434" s="11" t="s">
        <v>20</v>
      </c>
      <c r="C434" s="11">
        <v>91.0</v>
      </c>
      <c r="D434" s="11" t="s">
        <v>128</v>
      </c>
      <c r="H434" s="11" t="s">
        <v>21</v>
      </c>
      <c r="L434" s="11" t="s">
        <v>22</v>
      </c>
    </row>
    <row r="435" ht="22.5" customHeight="1">
      <c r="A435" s="10">
        <v>45639.84874128472</v>
      </c>
      <c r="B435" s="11" t="s">
        <v>20</v>
      </c>
      <c r="C435" s="11">
        <v>20.0</v>
      </c>
      <c r="D435" s="11" t="s">
        <v>128</v>
      </c>
      <c r="H435" s="11" t="s">
        <v>21</v>
      </c>
      <c r="L435" s="11" t="s">
        <v>46</v>
      </c>
    </row>
    <row r="436" ht="22.5" customHeight="1">
      <c r="A436" s="10">
        <v>45640.531041979164</v>
      </c>
      <c r="B436" s="11" t="s">
        <v>20</v>
      </c>
      <c r="C436" s="11">
        <v>575.0</v>
      </c>
      <c r="D436" s="11" t="s">
        <v>128</v>
      </c>
      <c r="H436" s="11" t="s">
        <v>28</v>
      </c>
      <c r="I436" s="11" t="s">
        <v>44</v>
      </c>
    </row>
    <row r="437" ht="22.5" customHeight="1">
      <c r="A437" s="10">
        <v>45640.704626377315</v>
      </c>
      <c r="B437" s="11" t="s">
        <v>20</v>
      </c>
      <c r="C437" s="11">
        <v>55.0</v>
      </c>
      <c r="D437" s="11" t="s">
        <v>128</v>
      </c>
      <c r="H437" s="11" t="s">
        <v>28</v>
      </c>
      <c r="I437" s="11" t="s">
        <v>43</v>
      </c>
    </row>
    <row r="438" ht="22.5" customHeight="1">
      <c r="A438" s="10">
        <v>45641.35043813658</v>
      </c>
      <c r="B438" s="11" t="s">
        <v>20</v>
      </c>
      <c r="C438" s="11">
        <v>450.0</v>
      </c>
      <c r="D438" s="11" t="s">
        <v>128</v>
      </c>
      <c r="H438" s="11" t="s">
        <v>21</v>
      </c>
      <c r="L438" s="11" t="s">
        <v>23</v>
      </c>
    </row>
    <row r="439" ht="22.5" customHeight="1">
      <c r="A439" s="10">
        <v>45641.893354722226</v>
      </c>
      <c r="B439" s="11" t="s">
        <v>20</v>
      </c>
      <c r="C439" s="11">
        <v>44.0</v>
      </c>
      <c r="D439" s="11" t="s">
        <v>128</v>
      </c>
      <c r="H439" s="11" t="s">
        <v>28</v>
      </c>
      <c r="I439" s="11" t="s">
        <v>29</v>
      </c>
    </row>
    <row r="440" ht="22.5" customHeight="1">
      <c r="A440" s="10">
        <v>45641.894183807875</v>
      </c>
      <c r="B440" s="11" t="s">
        <v>20</v>
      </c>
      <c r="C440" s="11">
        <v>50.0</v>
      </c>
      <c r="D440" s="11" t="s">
        <v>128</v>
      </c>
      <c r="H440" s="11" t="s">
        <v>28</v>
      </c>
      <c r="I440" s="11" t="s">
        <v>112</v>
      </c>
    </row>
    <row r="441" ht="22.5" customHeight="1">
      <c r="A441" s="10">
        <v>45641.894367534725</v>
      </c>
      <c r="B441" s="11" t="s">
        <v>20</v>
      </c>
      <c r="C441" s="11">
        <v>90.0</v>
      </c>
      <c r="D441" s="11" t="s">
        <v>128</v>
      </c>
      <c r="H441" s="11" t="s">
        <v>28</v>
      </c>
      <c r="I441" s="11" t="s">
        <v>35</v>
      </c>
    </row>
    <row r="442" ht="22.5" customHeight="1">
      <c r="A442" s="10">
        <v>45642.494843125</v>
      </c>
      <c r="B442" s="11" t="s">
        <v>20</v>
      </c>
      <c r="C442" s="11">
        <v>144.0</v>
      </c>
      <c r="D442" s="11" t="s">
        <v>128</v>
      </c>
      <c r="H442" s="11" t="s">
        <v>28</v>
      </c>
      <c r="I442" s="11" t="s">
        <v>126</v>
      </c>
    </row>
    <row r="443" ht="22.5" customHeight="1">
      <c r="A443" s="10">
        <v>45643.43995003472</v>
      </c>
      <c r="B443" s="11" t="s">
        <v>20</v>
      </c>
      <c r="C443" s="11">
        <v>50.0</v>
      </c>
      <c r="D443" s="11" t="s">
        <v>127</v>
      </c>
      <c r="H443" s="11" t="s">
        <v>28</v>
      </c>
      <c r="I443" s="11" t="s">
        <v>43</v>
      </c>
    </row>
    <row r="444" ht="22.5" customHeight="1">
      <c r="A444" s="10">
        <v>45643.44291428241</v>
      </c>
      <c r="B444" s="11" t="s">
        <v>20</v>
      </c>
      <c r="C444" s="11">
        <v>1196.0</v>
      </c>
      <c r="D444" s="11" t="s">
        <v>128</v>
      </c>
      <c r="H444" s="11" t="s">
        <v>51</v>
      </c>
      <c r="K444" s="11" t="s">
        <v>52</v>
      </c>
    </row>
    <row r="445" ht="22.5" customHeight="1">
      <c r="A445" s="10">
        <v>45644.543632754634</v>
      </c>
      <c r="B445" s="11" t="s">
        <v>20</v>
      </c>
      <c r="C445" s="11">
        <v>160.0</v>
      </c>
      <c r="D445" s="11" t="s">
        <v>128</v>
      </c>
      <c r="H445" s="11" t="s">
        <v>28</v>
      </c>
      <c r="I445" s="11" t="s">
        <v>44</v>
      </c>
    </row>
    <row r="446" ht="22.5" customHeight="1">
      <c r="A446" s="10">
        <v>45644.54379296296</v>
      </c>
      <c r="B446" s="11" t="s">
        <v>20</v>
      </c>
      <c r="C446" s="11">
        <v>55.0</v>
      </c>
      <c r="D446" s="11" t="s">
        <v>128</v>
      </c>
      <c r="H446" s="11" t="s">
        <v>28</v>
      </c>
      <c r="I446" s="11" t="s">
        <v>43</v>
      </c>
    </row>
    <row r="447" ht="22.5" customHeight="1">
      <c r="A447" s="10">
        <v>45644.82675876157</v>
      </c>
      <c r="B447" s="11" t="s">
        <v>20</v>
      </c>
      <c r="C447" s="11">
        <v>75.0</v>
      </c>
      <c r="D447" s="11" t="s">
        <v>128</v>
      </c>
      <c r="H447" s="11" t="s">
        <v>28</v>
      </c>
      <c r="I447" s="11" t="s">
        <v>30</v>
      </c>
    </row>
    <row r="448" ht="22.5" customHeight="1">
      <c r="A448" s="10">
        <v>45646.81582217592</v>
      </c>
      <c r="B448" s="11" t="s">
        <v>20</v>
      </c>
      <c r="C448" s="11">
        <v>91.0</v>
      </c>
      <c r="D448" s="11" t="s">
        <v>128</v>
      </c>
      <c r="H448" s="11" t="s">
        <v>21</v>
      </c>
      <c r="L448" s="11" t="s">
        <v>22</v>
      </c>
    </row>
    <row r="449" ht="22.5" customHeight="1">
      <c r="A449" s="10">
        <v>45646.81599541666</v>
      </c>
      <c r="B449" s="11" t="s">
        <v>20</v>
      </c>
      <c r="C449" s="11">
        <v>20.0</v>
      </c>
      <c r="D449" s="11" t="s">
        <v>128</v>
      </c>
      <c r="H449" s="11" t="s">
        <v>21</v>
      </c>
      <c r="L449" s="11" t="s">
        <v>46</v>
      </c>
    </row>
    <row r="450" ht="22.5" customHeight="1">
      <c r="A450" s="10">
        <v>45647.43221745371</v>
      </c>
      <c r="B450" s="11" t="s">
        <v>20</v>
      </c>
      <c r="C450" s="11">
        <v>250.0</v>
      </c>
      <c r="D450" s="11" t="s">
        <v>128</v>
      </c>
      <c r="H450" s="11" t="s">
        <v>94</v>
      </c>
      <c r="O450" s="11" t="s">
        <v>153</v>
      </c>
    </row>
    <row r="451" ht="22.5" customHeight="1">
      <c r="A451" s="10">
        <v>45647.432358391205</v>
      </c>
      <c r="B451" s="11" t="s">
        <v>20</v>
      </c>
      <c r="C451" s="11">
        <v>20.0</v>
      </c>
      <c r="D451" s="11" t="s">
        <v>128</v>
      </c>
      <c r="H451" s="11" t="s">
        <v>26</v>
      </c>
      <c r="J451" s="11" t="s">
        <v>27</v>
      </c>
    </row>
    <row r="452" ht="22.5" customHeight="1">
      <c r="A452" s="10">
        <v>45647.57665422454</v>
      </c>
      <c r="B452" s="11" t="s">
        <v>20</v>
      </c>
      <c r="C452" s="11">
        <v>600.0</v>
      </c>
      <c r="D452" s="11" t="s">
        <v>128</v>
      </c>
      <c r="H452" s="11" t="s">
        <v>24</v>
      </c>
      <c r="M452" s="11" t="s">
        <v>45</v>
      </c>
    </row>
    <row r="453" ht="22.5" customHeight="1">
      <c r="A453" s="10">
        <v>45648.43143560185</v>
      </c>
      <c r="B453" s="11" t="s">
        <v>20</v>
      </c>
      <c r="C453" s="11">
        <v>40.0</v>
      </c>
      <c r="D453" s="11" t="s">
        <v>128</v>
      </c>
      <c r="H453" s="11" t="s">
        <v>21</v>
      </c>
      <c r="L453" s="11" t="s">
        <v>31</v>
      </c>
    </row>
    <row r="454" ht="22.5" customHeight="1">
      <c r="A454" s="10">
        <v>45648.542413449075</v>
      </c>
      <c r="B454" s="11" t="s">
        <v>20</v>
      </c>
      <c r="C454" s="11">
        <v>934.0</v>
      </c>
      <c r="D454" s="11" t="s">
        <v>128</v>
      </c>
      <c r="H454" s="11" t="s">
        <v>28</v>
      </c>
      <c r="I454" s="11" t="s">
        <v>44</v>
      </c>
    </row>
    <row r="455" ht="22.5" customHeight="1">
      <c r="A455" s="10">
        <v>45651.048897581015</v>
      </c>
      <c r="B455" s="11" t="s">
        <v>20</v>
      </c>
      <c r="C455" s="11">
        <v>91.0</v>
      </c>
      <c r="D455" s="11">
        <v>2.0241223E7</v>
      </c>
      <c r="H455" s="11" t="s">
        <v>21</v>
      </c>
      <c r="L455" s="11" t="s">
        <v>22</v>
      </c>
    </row>
    <row r="456" ht="22.5" customHeight="1">
      <c r="A456" s="10">
        <v>45652.02606642361</v>
      </c>
      <c r="B456" s="11" t="s">
        <v>20</v>
      </c>
      <c r="C456" s="11">
        <v>473.0</v>
      </c>
      <c r="D456" s="11" t="s">
        <v>128</v>
      </c>
      <c r="H456" s="11" t="s">
        <v>118</v>
      </c>
      <c r="P456" s="11" t="s">
        <v>119</v>
      </c>
    </row>
    <row r="457" ht="22.5" customHeight="1">
      <c r="A457" s="10">
        <v>45653.81407644676</v>
      </c>
      <c r="B457" s="11" t="s">
        <v>20</v>
      </c>
      <c r="C457" s="11">
        <v>1171.0</v>
      </c>
      <c r="D457" s="11" t="s">
        <v>128</v>
      </c>
      <c r="H457" s="11" t="s">
        <v>57</v>
      </c>
      <c r="N457" s="11" t="s">
        <v>191</v>
      </c>
      <c r="S457" s="11" t="s">
        <v>191</v>
      </c>
      <c r="T457" s="11" t="s">
        <v>42</v>
      </c>
    </row>
    <row r="458" ht="22.5" customHeight="1">
      <c r="A458" s="10">
        <v>45653.84082585648</v>
      </c>
      <c r="B458" s="11" t="s">
        <v>20</v>
      </c>
      <c r="C458" s="11">
        <v>91.0</v>
      </c>
      <c r="D458" s="11" t="s">
        <v>128</v>
      </c>
      <c r="H458" s="11" t="s">
        <v>21</v>
      </c>
      <c r="L458" s="11" t="s">
        <v>22</v>
      </c>
    </row>
    <row r="459" ht="22.5" customHeight="1">
      <c r="A459" s="10">
        <v>45653.840999548614</v>
      </c>
      <c r="B459" s="11" t="s">
        <v>20</v>
      </c>
      <c r="C459" s="11">
        <v>20.0</v>
      </c>
      <c r="D459" s="11" t="s">
        <v>128</v>
      </c>
      <c r="H459" s="11" t="s">
        <v>21</v>
      </c>
      <c r="L459" s="11" t="s">
        <v>46</v>
      </c>
    </row>
    <row r="460" ht="22.5" customHeight="1">
      <c r="A460" s="10">
        <v>45654.89437732639</v>
      </c>
      <c r="B460" s="11" t="s">
        <v>20</v>
      </c>
      <c r="C460" s="11">
        <v>1000.0</v>
      </c>
      <c r="D460" s="11" t="s">
        <v>128</v>
      </c>
      <c r="H460" s="11" t="s">
        <v>28</v>
      </c>
      <c r="I460" s="11" t="s">
        <v>30</v>
      </c>
    </row>
    <row r="461" ht="22.5" customHeight="1">
      <c r="A461" s="10">
        <v>45655.572041064814</v>
      </c>
      <c r="B461" s="11" t="s">
        <v>20</v>
      </c>
      <c r="C461" s="11">
        <v>1250.0</v>
      </c>
      <c r="D461" s="11" t="s">
        <v>128</v>
      </c>
      <c r="H461" s="11" t="s">
        <v>28</v>
      </c>
      <c r="I461" s="11" t="s">
        <v>34</v>
      </c>
    </row>
    <row r="462" ht="22.5" customHeight="1">
      <c r="A462" s="10">
        <v>45655.57239032407</v>
      </c>
      <c r="B462" s="11" t="s">
        <v>20</v>
      </c>
      <c r="C462" s="11">
        <v>85.0</v>
      </c>
      <c r="D462" s="11" t="s">
        <v>128</v>
      </c>
      <c r="H462" s="11" t="s">
        <v>28</v>
      </c>
      <c r="I462" s="11" t="s">
        <v>43</v>
      </c>
    </row>
    <row r="463" ht="22.5" customHeight="1">
      <c r="A463" s="10">
        <v>45656.31197171296</v>
      </c>
      <c r="B463" s="11" t="s">
        <v>20</v>
      </c>
      <c r="C463" s="11">
        <v>18.0</v>
      </c>
      <c r="D463" s="11" t="s">
        <v>127</v>
      </c>
      <c r="H463" s="11" t="s">
        <v>21</v>
      </c>
      <c r="L463" s="11" t="s">
        <v>123</v>
      </c>
    </row>
    <row r="464" ht="22.5" customHeight="1">
      <c r="A464" s="10">
        <v>45656.56244627315</v>
      </c>
      <c r="B464" s="11" t="s">
        <v>20</v>
      </c>
      <c r="C464" s="11">
        <v>1500.0</v>
      </c>
      <c r="D464" s="11" t="s">
        <v>127</v>
      </c>
      <c r="H464" s="11" t="s">
        <v>24</v>
      </c>
      <c r="M464" s="11" t="s">
        <v>54</v>
      </c>
      <c r="S464" s="11" t="s">
        <v>192</v>
      </c>
      <c r="T464" s="11" t="s">
        <v>86</v>
      </c>
    </row>
    <row r="465" ht="22.5" customHeight="1">
      <c r="A465" s="10">
        <v>45657.382715451386</v>
      </c>
      <c r="B465" s="11" t="s">
        <v>20</v>
      </c>
      <c r="C465" s="11">
        <v>20.0</v>
      </c>
      <c r="D465" s="11" t="s">
        <v>127</v>
      </c>
      <c r="H465" s="11" t="s">
        <v>21</v>
      </c>
      <c r="L465" s="11" t="s">
        <v>46</v>
      </c>
    </row>
    <row r="466" ht="22.5" customHeight="1">
      <c r="A466" s="10">
        <v>45657.382870393514</v>
      </c>
      <c r="B466" s="11" t="s">
        <v>20</v>
      </c>
      <c r="C466" s="11">
        <v>91.0</v>
      </c>
      <c r="D466" s="11" t="s">
        <v>127</v>
      </c>
      <c r="H466" s="11" t="s">
        <v>21</v>
      </c>
      <c r="L466" s="11" t="s">
        <v>22</v>
      </c>
    </row>
    <row r="467" ht="22.5" customHeight="1">
      <c r="A467" s="10">
        <v>45657.3830247338</v>
      </c>
      <c r="B467" s="11" t="s">
        <v>20</v>
      </c>
      <c r="C467" s="11">
        <v>195.0</v>
      </c>
      <c r="D467" s="11" t="s">
        <v>127</v>
      </c>
      <c r="H467" s="11" t="s">
        <v>28</v>
      </c>
      <c r="I467" s="11" t="s">
        <v>35</v>
      </c>
    </row>
    <row r="468" ht="22.5" customHeight="1">
      <c r="A468" s="10">
        <v>45657.38326351852</v>
      </c>
      <c r="B468" s="11" t="s">
        <v>20</v>
      </c>
      <c r="C468" s="11">
        <v>137.0</v>
      </c>
      <c r="D468" s="11" t="s">
        <v>127</v>
      </c>
      <c r="H468" s="11" t="s">
        <v>21</v>
      </c>
      <c r="L468" s="11" t="s">
        <v>23</v>
      </c>
    </row>
    <row r="469" ht="22.5" customHeight="1">
      <c r="A469" s="10">
        <v>45657.3834178588</v>
      </c>
      <c r="B469" s="11" t="s">
        <v>20</v>
      </c>
      <c r="C469" s="11">
        <v>339.0</v>
      </c>
      <c r="D469" s="11" t="s">
        <v>128</v>
      </c>
      <c r="H469" s="11" t="s">
        <v>28</v>
      </c>
      <c r="I469" s="11" t="s">
        <v>30</v>
      </c>
    </row>
    <row r="470" ht="22.5" customHeight="1">
      <c r="A470" s="10">
        <v>45657.38359697917</v>
      </c>
      <c r="B470" s="11" t="s">
        <v>20</v>
      </c>
      <c r="C470" s="11">
        <v>91.0</v>
      </c>
      <c r="D470" s="11" t="s">
        <v>128</v>
      </c>
      <c r="H470" s="11" t="s">
        <v>21</v>
      </c>
      <c r="L470" s="11" t="s">
        <v>22</v>
      </c>
    </row>
    <row r="471" ht="22.5" customHeight="1">
      <c r="A471" s="10">
        <v>45658.119693506946</v>
      </c>
      <c r="B471" s="11" t="s">
        <v>20</v>
      </c>
      <c r="C471" s="11">
        <v>66.0</v>
      </c>
      <c r="D471" s="11" t="s">
        <v>127</v>
      </c>
      <c r="H471" s="11" t="s">
        <v>28</v>
      </c>
      <c r="I471" s="11" t="s">
        <v>35</v>
      </c>
    </row>
    <row r="472" ht="22.5" customHeight="1">
      <c r="A472" s="10">
        <v>45658.42435310185</v>
      </c>
      <c r="B472" s="11" t="s">
        <v>38</v>
      </c>
      <c r="C472" s="11">
        <v>440.0</v>
      </c>
      <c r="D472" s="11">
        <v>2.0241212E7</v>
      </c>
      <c r="E472" s="11" t="s">
        <v>39</v>
      </c>
      <c r="G472" s="11" t="s">
        <v>40</v>
      </c>
      <c r="S472" s="11" t="s">
        <v>193</v>
      </c>
      <c r="T472" s="11" t="s">
        <v>42</v>
      </c>
    </row>
    <row r="473" ht="22.5" customHeight="1">
      <c r="A473" s="10">
        <v>45658.42479045139</v>
      </c>
      <c r="B473" s="11" t="s">
        <v>38</v>
      </c>
      <c r="C473" s="11">
        <v>5090.0</v>
      </c>
      <c r="D473" s="11">
        <v>2.0241212E7</v>
      </c>
      <c r="E473" s="11" t="s">
        <v>39</v>
      </c>
      <c r="G473" s="11" t="s">
        <v>40</v>
      </c>
      <c r="S473" s="11" t="s">
        <v>194</v>
      </c>
      <c r="T473" s="11" t="s">
        <v>42</v>
      </c>
    </row>
    <row r="474" ht="22.5" customHeight="1">
      <c r="A474" s="10">
        <v>45658.42534390047</v>
      </c>
      <c r="B474" s="11" t="s">
        <v>38</v>
      </c>
      <c r="C474" s="11">
        <v>1820.0</v>
      </c>
      <c r="D474" s="11">
        <v>2.0241212E7</v>
      </c>
      <c r="E474" s="11" t="s">
        <v>39</v>
      </c>
      <c r="G474" s="11" t="s">
        <v>40</v>
      </c>
      <c r="S474" s="11" t="s">
        <v>184</v>
      </c>
      <c r="T474" s="11" t="s">
        <v>42</v>
      </c>
    </row>
    <row r="475" ht="22.5" customHeight="1">
      <c r="A475" s="10">
        <v>45658.699861493056</v>
      </c>
      <c r="B475" s="11" t="s">
        <v>20</v>
      </c>
      <c r="C475" s="11">
        <v>400.0</v>
      </c>
      <c r="D475" s="11" t="s">
        <v>127</v>
      </c>
      <c r="H475" s="11" t="s">
        <v>21</v>
      </c>
      <c r="L475" s="11" t="s">
        <v>77</v>
      </c>
    </row>
    <row r="476" ht="22.5" customHeight="1">
      <c r="A476" s="10">
        <v>45658.70061813657</v>
      </c>
      <c r="B476" s="11" t="s">
        <v>20</v>
      </c>
      <c r="C476" s="11">
        <v>20000.0</v>
      </c>
      <c r="D476" s="11" t="s">
        <v>128</v>
      </c>
      <c r="H476" s="11" t="s">
        <v>51</v>
      </c>
      <c r="K476" s="11" t="s">
        <v>98</v>
      </c>
    </row>
    <row r="477" ht="22.5" customHeight="1">
      <c r="A477" s="10">
        <v>45658.70085601852</v>
      </c>
      <c r="B477" s="11" t="s">
        <v>20</v>
      </c>
      <c r="C477" s="11">
        <v>6000.0</v>
      </c>
      <c r="D477" s="11" t="s">
        <v>128</v>
      </c>
      <c r="H477" s="11" t="s">
        <v>51</v>
      </c>
      <c r="K477" s="11" t="s">
        <v>131</v>
      </c>
    </row>
    <row r="478" ht="22.5" customHeight="1">
      <c r="A478" s="10">
        <v>45658.70767304398</v>
      </c>
      <c r="B478" s="11" t="s">
        <v>20</v>
      </c>
      <c r="C478" s="11">
        <v>197.0</v>
      </c>
      <c r="D478" s="11" t="s">
        <v>128</v>
      </c>
      <c r="H478" s="11" t="s">
        <v>51</v>
      </c>
      <c r="K478" s="11" t="s">
        <v>90</v>
      </c>
    </row>
    <row r="479" ht="22.5" customHeight="1">
      <c r="A479" s="10">
        <v>45658.70863350695</v>
      </c>
      <c r="B479" s="11" t="s">
        <v>20</v>
      </c>
      <c r="C479" s="11">
        <v>1155.0</v>
      </c>
      <c r="D479" s="11" t="s">
        <v>128</v>
      </c>
      <c r="H479" s="11" t="s">
        <v>28</v>
      </c>
      <c r="I479" s="11" t="s">
        <v>44</v>
      </c>
    </row>
    <row r="480" ht="22.5" customHeight="1">
      <c r="A480" s="10">
        <v>45658.84827268518</v>
      </c>
      <c r="B480" s="11" t="s">
        <v>38</v>
      </c>
      <c r="C480" s="11">
        <v>5000.0</v>
      </c>
      <c r="D480" s="11" t="s">
        <v>128</v>
      </c>
      <c r="E480" s="11" t="s">
        <v>39</v>
      </c>
      <c r="G480" s="11" t="s">
        <v>139</v>
      </c>
    </row>
    <row r="481" ht="22.5" customHeight="1">
      <c r="A481" s="10">
        <v>45658.86051466435</v>
      </c>
      <c r="B481" s="11" t="s">
        <v>20</v>
      </c>
      <c r="C481" s="11">
        <v>195.0</v>
      </c>
      <c r="D481" s="11" t="s">
        <v>128</v>
      </c>
      <c r="H481" s="11" t="s">
        <v>118</v>
      </c>
      <c r="P481" s="11" t="s">
        <v>119</v>
      </c>
    </row>
    <row r="482" ht="22.5" customHeight="1">
      <c r="A482" s="10">
        <v>45658.9063546875</v>
      </c>
      <c r="B482" s="11" t="s">
        <v>20</v>
      </c>
      <c r="C482" s="11">
        <v>180.0</v>
      </c>
      <c r="D482" s="11" t="s">
        <v>128</v>
      </c>
      <c r="H482" s="11" t="s">
        <v>28</v>
      </c>
      <c r="I482" s="11" t="s">
        <v>34</v>
      </c>
    </row>
    <row r="483" ht="22.5" customHeight="1">
      <c r="A483" s="10">
        <v>45659.88767099537</v>
      </c>
      <c r="B483" s="11" t="s">
        <v>20</v>
      </c>
      <c r="C483" s="11">
        <v>20.0</v>
      </c>
      <c r="D483" s="11" t="s">
        <v>128</v>
      </c>
      <c r="H483" s="11" t="s">
        <v>21</v>
      </c>
      <c r="L483" s="11" t="s">
        <v>22</v>
      </c>
    </row>
    <row r="484" ht="22.5" customHeight="1">
      <c r="A484" s="10">
        <v>45659.88783678241</v>
      </c>
      <c r="B484" s="11" t="s">
        <v>20</v>
      </c>
      <c r="C484" s="11">
        <v>91.0</v>
      </c>
      <c r="D484" s="11" t="s">
        <v>128</v>
      </c>
      <c r="H484" s="11" t="s">
        <v>21</v>
      </c>
      <c r="L484" s="11" t="s">
        <v>22</v>
      </c>
    </row>
    <row r="485" ht="22.5" customHeight="1">
      <c r="A485" s="10">
        <v>45661.77933121528</v>
      </c>
      <c r="B485" s="11" t="s">
        <v>20</v>
      </c>
      <c r="C485" s="11">
        <v>570.0</v>
      </c>
      <c r="D485" s="11" t="s">
        <v>128</v>
      </c>
      <c r="H485" s="11" t="s">
        <v>28</v>
      </c>
      <c r="I485" s="11" t="s">
        <v>30</v>
      </c>
    </row>
    <row r="486" ht="22.5" customHeight="1">
      <c r="A486" s="10">
        <v>45662.050707013885</v>
      </c>
      <c r="B486" s="11" t="s">
        <v>20</v>
      </c>
      <c r="C486" s="11">
        <v>352.0</v>
      </c>
      <c r="D486" s="11">
        <v>2.0250117E7</v>
      </c>
      <c r="H486" s="11" t="s">
        <v>24</v>
      </c>
      <c r="M486" s="11" t="s">
        <v>49</v>
      </c>
      <c r="S486" s="11" t="s">
        <v>195</v>
      </c>
    </row>
    <row r="487" ht="22.5" customHeight="1">
      <c r="A487" s="10">
        <v>45662.69493488426</v>
      </c>
      <c r="B487" s="11" t="s">
        <v>38</v>
      </c>
      <c r="C487" s="11">
        <v>102900.0</v>
      </c>
      <c r="D487" s="11" t="s">
        <v>128</v>
      </c>
      <c r="E487" s="11" t="s">
        <v>61</v>
      </c>
      <c r="F487" s="11" t="s">
        <v>62</v>
      </c>
    </row>
    <row r="488" ht="22.5" customHeight="1">
      <c r="A488" s="10">
        <v>45662.69549449074</v>
      </c>
      <c r="B488" s="11" t="s">
        <v>20</v>
      </c>
      <c r="C488" s="11">
        <v>3087.0</v>
      </c>
      <c r="D488" s="11" t="s">
        <v>128</v>
      </c>
      <c r="H488" s="11" t="s">
        <v>59</v>
      </c>
      <c r="R488" s="11" t="s">
        <v>60</v>
      </c>
    </row>
    <row r="489" ht="22.5" customHeight="1">
      <c r="A489" s="10">
        <v>45662.69636356481</v>
      </c>
      <c r="B489" s="11" t="s">
        <v>20</v>
      </c>
      <c r="C489" s="11">
        <v>1241.0</v>
      </c>
      <c r="D489" s="11" t="s">
        <v>128</v>
      </c>
      <c r="H489" s="11" t="s">
        <v>28</v>
      </c>
      <c r="I489" s="11" t="s">
        <v>33</v>
      </c>
    </row>
    <row r="490" ht="22.5" customHeight="1">
      <c r="A490" s="10">
        <v>45662.69687269676</v>
      </c>
      <c r="B490" s="11" t="s">
        <v>20</v>
      </c>
      <c r="C490" s="11">
        <v>2738.0</v>
      </c>
      <c r="D490" s="11" t="s">
        <v>128</v>
      </c>
      <c r="H490" s="11" t="s">
        <v>57</v>
      </c>
      <c r="N490" s="11" t="s">
        <v>58</v>
      </c>
    </row>
    <row r="491" ht="22.5" customHeight="1">
      <c r="A491" s="10">
        <v>45662.697074814816</v>
      </c>
      <c r="B491" s="11" t="s">
        <v>20</v>
      </c>
      <c r="C491" s="11">
        <v>515.0</v>
      </c>
      <c r="D491" s="11" t="s">
        <v>128</v>
      </c>
      <c r="H491" s="11" t="s">
        <v>24</v>
      </c>
      <c r="M491" s="11" t="s">
        <v>32</v>
      </c>
    </row>
    <row r="492" ht="22.5" customHeight="1">
      <c r="A492" s="10">
        <v>45662.69738869213</v>
      </c>
      <c r="B492" s="11" t="s">
        <v>20</v>
      </c>
      <c r="C492" s="11">
        <v>3260.0</v>
      </c>
      <c r="D492" s="11" t="s">
        <v>128</v>
      </c>
      <c r="H492" s="11" t="s">
        <v>57</v>
      </c>
      <c r="N492" s="11" t="s">
        <v>75</v>
      </c>
    </row>
    <row r="493" ht="22.5" customHeight="1">
      <c r="A493" s="10">
        <v>45662.9036027199</v>
      </c>
      <c r="B493" s="11" t="s">
        <v>20</v>
      </c>
      <c r="C493" s="11">
        <v>92.0</v>
      </c>
      <c r="D493" s="11" t="s">
        <v>128</v>
      </c>
      <c r="H493" s="11" t="s">
        <v>21</v>
      </c>
      <c r="L493" s="11" t="s">
        <v>23</v>
      </c>
    </row>
    <row r="494" ht="22.5" customHeight="1">
      <c r="A494" s="10">
        <v>45663.64214128473</v>
      </c>
      <c r="B494" s="11" t="s">
        <v>20</v>
      </c>
      <c r="C494" s="11">
        <v>200.0</v>
      </c>
      <c r="D494" s="11" t="s">
        <v>128</v>
      </c>
      <c r="H494" s="11" t="s">
        <v>94</v>
      </c>
      <c r="O494" s="11" t="s">
        <v>153</v>
      </c>
    </row>
    <row r="495" ht="22.5" customHeight="1">
      <c r="A495" s="10">
        <v>45663.646184467594</v>
      </c>
      <c r="B495" s="11" t="s">
        <v>20</v>
      </c>
      <c r="C495" s="11">
        <v>7802.0</v>
      </c>
      <c r="D495" s="11" t="s">
        <v>128</v>
      </c>
      <c r="H495" s="11" t="s">
        <v>51</v>
      </c>
      <c r="K495" s="11" t="s">
        <v>111</v>
      </c>
    </row>
    <row r="496" ht="22.5" customHeight="1">
      <c r="A496" s="10">
        <v>45666.860244421296</v>
      </c>
      <c r="B496" s="11" t="s">
        <v>20</v>
      </c>
      <c r="C496" s="11">
        <v>60.0</v>
      </c>
      <c r="D496" s="11" t="s">
        <v>128</v>
      </c>
      <c r="H496" s="11" t="s">
        <v>26</v>
      </c>
      <c r="J496" s="11" t="s">
        <v>27</v>
      </c>
    </row>
    <row r="497" ht="22.5" customHeight="1">
      <c r="A497" s="10">
        <v>45667.933702696755</v>
      </c>
      <c r="B497" s="11" t="s">
        <v>20</v>
      </c>
      <c r="C497" s="11">
        <v>130.0</v>
      </c>
      <c r="D497" s="11" t="s">
        <v>128</v>
      </c>
      <c r="H497" s="11" t="s">
        <v>28</v>
      </c>
      <c r="I497" s="11" t="s">
        <v>30</v>
      </c>
    </row>
    <row r="498" ht="22.5" customHeight="1">
      <c r="A498" s="10">
        <v>45667.93454884259</v>
      </c>
      <c r="B498" s="11" t="s">
        <v>20</v>
      </c>
      <c r="C498" s="11">
        <v>699.0</v>
      </c>
      <c r="D498" s="11">
        <v>2.0250106E7</v>
      </c>
      <c r="H498" s="11" t="s">
        <v>21</v>
      </c>
      <c r="L498" s="11" t="s">
        <v>22</v>
      </c>
      <c r="S498" s="11" t="s">
        <v>196</v>
      </c>
    </row>
    <row r="499" ht="22.5" customHeight="1">
      <c r="A499" s="10">
        <v>45668.33243177083</v>
      </c>
      <c r="B499" s="11" t="s">
        <v>20</v>
      </c>
      <c r="C499" s="11">
        <v>126.0</v>
      </c>
      <c r="D499" s="11" t="s">
        <v>128</v>
      </c>
      <c r="H499" s="11" t="s">
        <v>21</v>
      </c>
      <c r="L499" s="11" t="s">
        <v>22</v>
      </c>
    </row>
    <row r="500" ht="22.5" customHeight="1">
      <c r="A500" s="10">
        <v>45668.429031921296</v>
      </c>
      <c r="B500" s="11" t="s">
        <v>20</v>
      </c>
      <c r="C500" s="11">
        <v>230.0</v>
      </c>
      <c r="D500" s="11" t="s">
        <v>128</v>
      </c>
      <c r="H500" s="11" t="s">
        <v>28</v>
      </c>
      <c r="I500" s="11" t="s">
        <v>29</v>
      </c>
    </row>
    <row r="501" ht="22.5" customHeight="1">
      <c r="A501" s="10">
        <v>45668.43550194445</v>
      </c>
      <c r="B501" s="11" t="s">
        <v>20</v>
      </c>
      <c r="C501" s="11">
        <v>43.0</v>
      </c>
      <c r="D501" s="11" t="s">
        <v>128</v>
      </c>
      <c r="H501" s="11" t="s">
        <v>21</v>
      </c>
      <c r="L501" s="11" t="s">
        <v>154</v>
      </c>
    </row>
    <row r="502" ht="22.5" customHeight="1">
      <c r="A502" s="10">
        <v>45668.70297960648</v>
      </c>
      <c r="B502" s="11" t="s">
        <v>20</v>
      </c>
      <c r="C502" s="11">
        <v>550.0</v>
      </c>
      <c r="D502" s="11" t="s">
        <v>128</v>
      </c>
      <c r="H502" s="11" t="s">
        <v>28</v>
      </c>
      <c r="I502" s="11" t="s">
        <v>44</v>
      </c>
    </row>
    <row r="503" ht="22.5" customHeight="1">
      <c r="A503" s="10">
        <v>45668.70336569444</v>
      </c>
      <c r="B503" s="11" t="s">
        <v>20</v>
      </c>
      <c r="C503" s="11">
        <v>650.0</v>
      </c>
      <c r="D503" s="11" t="s">
        <v>128</v>
      </c>
      <c r="H503" s="11" t="s">
        <v>24</v>
      </c>
      <c r="M503" s="11" t="s">
        <v>54</v>
      </c>
      <c r="S503" s="11" t="s">
        <v>197</v>
      </c>
    </row>
    <row r="504" ht="22.5" customHeight="1">
      <c r="A504" s="10">
        <v>45668.768949375</v>
      </c>
      <c r="B504" s="11" t="s">
        <v>20</v>
      </c>
      <c r="C504" s="11">
        <v>90.0</v>
      </c>
      <c r="D504" s="11" t="s">
        <v>128</v>
      </c>
      <c r="H504" s="11" t="s">
        <v>21</v>
      </c>
      <c r="L504" s="11" t="s">
        <v>46</v>
      </c>
    </row>
    <row r="505" ht="22.5" customHeight="1">
      <c r="A505" s="10">
        <v>45668.76910827546</v>
      </c>
      <c r="B505" s="11" t="s">
        <v>20</v>
      </c>
      <c r="C505" s="11">
        <v>520.0</v>
      </c>
      <c r="D505" s="11" t="s">
        <v>128</v>
      </c>
      <c r="H505" s="11" t="s">
        <v>21</v>
      </c>
      <c r="L505" s="11" t="s">
        <v>36</v>
      </c>
    </row>
    <row r="506" ht="22.5" customHeight="1">
      <c r="A506" s="10">
        <v>45668.769470416664</v>
      </c>
      <c r="B506" s="11" t="s">
        <v>20</v>
      </c>
      <c r="C506" s="11">
        <v>200.0</v>
      </c>
      <c r="D506" s="11" t="s">
        <v>128</v>
      </c>
      <c r="H506" s="11" t="s">
        <v>28</v>
      </c>
      <c r="I506" s="11" t="s">
        <v>126</v>
      </c>
    </row>
    <row r="507" ht="22.5" customHeight="1">
      <c r="A507" s="10">
        <v>45669.450684814816</v>
      </c>
      <c r="B507" s="11" t="s">
        <v>20</v>
      </c>
      <c r="C507" s="11">
        <v>491.0</v>
      </c>
      <c r="D507" s="11" t="s">
        <v>128</v>
      </c>
      <c r="H507" s="11" t="s">
        <v>21</v>
      </c>
      <c r="L507" s="11" t="s">
        <v>23</v>
      </c>
    </row>
    <row r="508" ht="22.5" customHeight="1">
      <c r="A508" s="10">
        <v>45669.45083614583</v>
      </c>
      <c r="B508" s="11" t="s">
        <v>20</v>
      </c>
      <c r="C508" s="11">
        <v>100.0</v>
      </c>
      <c r="D508" s="11" t="s">
        <v>128</v>
      </c>
      <c r="H508" s="11" t="s">
        <v>28</v>
      </c>
      <c r="I508" s="11" t="s">
        <v>44</v>
      </c>
    </row>
    <row r="509" ht="22.5" customHeight="1">
      <c r="A509" s="10">
        <v>45669.924120069445</v>
      </c>
      <c r="B509" s="11" t="s">
        <v>20</v>
      </c>
      <c r="C509" s="11">
        <v>514.0</v>
      </c>
      <c r="D509" s="11" t="s">
        <v>128</v>
      </c>
      <c r="H509" s="11" t="s">
        <v>28</v>
      </c>
      <c r="I509" s="11" t="s">
        <v>30</v>
      </c>
    </row>
    <row r="510" ht="22.5" customHeight="1">
      <c r="A510" s="10">
        <v>45672.293408032405</v>
      </c>
      <c r="B510" s="11" t="s">
        <v>20</v>
      </c>
      <c r="C510" s="11">
        <v>28854.0</v>
      </c>
      <c r="D510" s="11" t="s">
        <v>127</v>
      </c>
      <c r="H510" s="11" t="s">
        <v>21</v>
      </c>
      <c r="L510" s="11" t="s">
        <v>198</v>
      </c>
      <c r="S510" s="11" t="s">
        <v>199</v>
      </c>
      <c r="T510" s="11" t="s">
        <v>42</v>
      </c>
    </row>
    <row r="511" ht="22.5" customHeight="1">
      <c r="A511" s="10">
        <v>45672.50485515046</v>
      </c>
      <c r="B511" s="11" t="s">
        <v>20</v>
      </c>
      <c r="C511" s="11">
        <v>445.0</v>
      </c>
      <c r="D511" s="11" t="s">
        <v>128</v>
      </c>
      <c r="H511" s="11" t="s">
        <v>51</v>
      </c>
      <c r="K511" s="11" t="s">
        <v>124</v>
      </c>
    </row>
    <row r="512" ht="22.5" customHeight="1">
      <c r="A512" s="10">
        <v>45672.949433587964</v>
      </c>
      <c r="B512" s="11" t="s">
        <v>20</v>
      </c>
      <c r="C512" s="11">
        <v>200.0</v>
      </c>
      <c r="D512" s="11" t="s">
        <v>128</v>
      </c>
      <c r="H512" s="11" t="s">
        <v>24</v>
      </c>
      <c r="M512" s="11" t="s">
        <v>54</v>
      </c>
      <c r="S512" s="11" t="s">
        <v>200</v>
      </c>
    </row>
    <row r="513" ht="22.5" customHeight="1">
      <c r="A513" s="10">
        <v>45673.50628883102</v>
      </c>
      <c r="B513" s="11" t="s">
        <v>20</v>
      </c>
      <c r="C513" s="11">
        <v>698.0</v>
      </c>
      <c r="D513" s="11" t="s">
        <v>128</v>
      </c>
      <c r="H513" s="11" t="s">
        <v>26</v>
      </c>
      <c r="J513" s="11" t="s">
        <v>50</v>
      </c>
    </row>
    <row r="514" ht="22.5" customHeight="1">
      <c r="A514" s="10">
        <v>45673.693918206016</v>
      </c>
      <c r="B514" s="11" t="s">
        <v>20</v>
      </c>
      <c r="C514" s="11">
        <v>152.0</v>
      </c>
      <c r="D514" s="11" t="s">
        <v>128</v>
      </c>
      <c r="H514" s="11" t="s">
        <v>21</v>
      </c>
      <c r="L514" s="11" t="s">
        <v>23</v>
      </c>
    </row>
    <row r="515" ht="22.5" customHeight="1">
      <c r="A515" s="10">
        <v>45673.8661284838</v>
      </c>
      <c r="B515" s="11" t="s">
        <v>20</v>
      </c>
      <c r="C515" s="11">
        <v>40.0</v>
      </c>
      <c r="D515" s="11" t="s">
        <v>128</v>
      </c>
      <c r="H515" s="11" t="s">
        <v>28</v>
      </c>
      <c r="I515" s="11" t="s">
        <v>43</v>
      </c>
    </row>
    <row r="516" ht="22.5" customHeight="1">
      <c r="A516" s="10">
        <v>45673.86648243056</v>
      </c>
      <c r="B516" s="11" t="s">
        <v>20</v>
      </c>
      <c r="C516" s="11">
        <v>410.0</v>
      </c>
      <c r="D516" s="11" t="s">
        <v>128</v>
      </c>
      <c r="H516" s="11" t="s">
        <v>24</v>
      </c>
      <c r="M516" s="11" t="s">
        <v>54</v>
      </c>
      <c r="S516" s="11" t="s">
        <v>201</v>
      </c>
      <c r="T516" s="11" t="s">
        <v>86</v>
      </c>
    </row>
    <row r="517" ht="22.5" customHeight="1">
      <c r="A517" s="10">
        <v>45674.391208796296</v>
      </c>
      <c r="B517" s="11" t="s">
        <v>20</v>
      </c>
      <c r="C517" s="11">
        <v>58.0</v>
      </c>
      <c r="D517" s="11" t="s">
        <v>128</v>
      </c>
      <c r="H517" s="11" t="s">
        <v>28</v>
      </c>
      <c r="I517" s="11" t="s">
        <v>29</v>
      </c>
    </row>
    <row r="518" ht="22.5" customHeight="1">
      <c r="A518" s="10">
        <v>45674.474130208335</v>
      </c>
      <c r="B518" s="11" t="s">
        <v>20</v>
      </c>
      <c r="C518" s="11">
        <v>125.0</v>
      </c>
      <c r="D518" s="11" t="s">
        <v>128</v>
      </c>
      <c r="H518" s="11" t="s">
        <v>28</v>
      </c>
      <c r="I518" s="11" t="s">
        <v>44</v>
      </c>
    </row>
    <row r="519" ht="22.5" customHeight="1">
      <c r="A519" s="10">
        <v>45674.5792597338</v>
      </c>
      <c r="B519" s="11" t="s">
        <v>20</v>
      </c>
      <c r="C519" s="11">
        <v>116.0</v>
      </c>
      <c r="D519" s="11" t="s">
        <v>128</v>
      </c>
      <c r="H519" s="11" t="s">
        <v>21</v>
      </c>
      <c r="L519" s="11" t="s">
        <v>202</v>
      </c>
    </row>
    <row r="520" ht="22.5" customHeight="1">
      <c r="A520" s="10">
        <v>45674.60051078704</v>
      </c>
      <c r="B520" s="11" t="s">
        <v>20</v>
      </c>
      <c r="C520" s="11">
        <v>270.0</v>
      </c>
      <c r="D520" s="11" t="s">
        <v>128</v>
      </c>
      <c r="H520" s="11" t="s">
        <v>21</v>
      </c>
      <c r="L520" s="11" t="s">
        <v>36</v>
      </c>
    </row>
    <row r="521" ht="22.5" customHeight="1">
      <c r="A521" s="10">
        <v>45674.68989876157</v>
      </c>
      <c r="B521" s="11" t="s">
        <v>20</v>
      </c>
      <c r="C521" s="11">
        <v>59.0</v>
      </c>
      <c r="D521" s="11" t="s">
        <v>128</v>
      </c>
      <c r="H521" s="11" t="s">
        <v>28</v>
      </c>
      <c r="I521" s="11" t="s">
        <v>30</v>
      </c>
    </row>
    <row r="522" ht="22.5" customHeight="1">
      <c r="A522" s="10">
        <v>45674.690126898146</v>
      </c>
      <c r="B522" s="11" t="s">
        <v>20</v>
      </c>
      <c r="C522" s="11">
        <v>35.0</v>
      </c>
      <c r="D522" s="11" t="s">
        <v>128</v>
      </c>
      <c r="H522" s="11" t="s">
        <v>21</v>
      </c>
      <c r="L522" s="11" t="s">
        <v>46</v>
      </c>
    </row>
    <row r="523" ht="22.5" customHeight="1">
      <c r="A523" s="10">
        <v>45676.06277478009</v>
      </c>
      <c r="B523" s="11" t="s">
        <v>20</v>
      </c>
      <c r="C523" s="11">
        <v>495.0</v>
      </c>
      <c r="D523" s="11" t="s">
        <v>141</v>
      </c>
      <c r="H523" s="11" t="s">
        <v>21</v>
      </c>
      <c r="L523" s="11" t="s">
        <v>202</v>
      </c>
      <c r="S523" s="11" t="s">
        <v>203</v>
      </c>
      <c r="T523" s="11" t="s">
        <v>86</v>
      </c>
    </row>
    <row r="524" ht="22.5" customHeight="1">
      <c r="A524" s="10">
        <v>45676.063445567124</v>
      </c>
      <c r="B524" s="11" t="s">
        <v>20</v>
      </c>
      <c r="C524" s="11">
        <v>79.0</v>
      </c>
      <c r="D524" s="11" t="s">
        <v>127</v>
      </c>
      <c r="H524" s="11" t="s">
        <v>28</v>
      </c>
      <c r="I524" s="11" t="s">
        <v>126</v>
      </c>
    </row>
    <row r="525" ht="22.5" customHeight="1">
      <c r="A525" s="10">
        <v>45676.06473924768</v>
      </c>
      <c r="B525" s="11" t="s">
        <v>20</v>
      </c>
      <c r="C525" s="11">
        <v>280.0</v>
      </c>
      <c r="D525" s="11" t="s">
        <v>127</v>
      </c>
      <c r="H525" s="11" t="s">
        <v>21</v>
      </c>
      <c r="L525" s="11" t="s">
        <v>202</v>
      </c>
      <c r="S525" s="11" t="s">
        <v>204</v>
      </c>
      <c r="T525" s="11" t="s">
        <v>86</v>
      </c>
    </row>
    <row r="526" ht="22.5" customHeight="1">
      <c r="A526" s="10">
        <v>45677.84550164352</v>
      </c>
      <c r="B526" s="11" t="s">
        <v>20</v>
      </c>
      <c r="C526" s="11">
        <v>4000.0</v>
      </c>
      <c r="D526" s="11" t="s">
        <v>141</v>
      </c>
      <c r="H526" s="11" t="s">
        <v>16</v>
      </c>
      <c r="Q526" s="11" t="s">
        <v>47</v>
      </c>
      <c r="S526" s="11" t="s">
        <v>205</v>
      </c>
      <c r="T526" s="11" t="s">
        <v>42</v>
      </c>
    </row>
    <row r="527" ht="22.5" customHeight="1">
      <c r="A527" s="10">
        <v>45677.87307444445</v>
      </c>
      <c r="B527" s="11" t="s">
        <v>20</v>
      </c>
      <c r="C527" s="11">
        <v>12000.0</v>
      </c>
      <c r="D527" s="11" t="s">
        <v>128</v>
      </c>
      <c r="H527" s="11" t="s">
        <v>24</v>
      </c>
      <c r="M527" s="11" t="s">
        <v>49</v>
      </c>
      <c r="S527" s="11" t="s">
        <v>206</v>
      </c>
      <c r="T527" s="11" t="s">
        <v>42</v>
      </c>
    </row>
    <row r="528" ht="22.5" customHeight="1">
      <c r="A528" s="10">
        <v>45677.8733784375</v>
      </c>
      <c r="B528" s="11" t="s">
        <v>20</v>
      </c>
      <c r="C528" s="11">
        <v>800.0</v>
      </c>
      <c r="D528" s="11" t="s">
        <v>128</v>
      </c>
      <c r="H528" s="11" t="s">
        <v>28</v>
      </c>
      <c r="I528" s="11" t="s">
        <v>126</v>
      </c>
    </row>
    <row r="529" ht="22.5" customHeight="1">
      <c r="A529" s="10">
        <v>45677.873609120375</v>
      </c>
      <c r="B529" s="11" t="s">
        <v>20</v>
      </c>
      <c r="C529" s="11">
        <v>101.0</v>
      </c>
      <c r="D529" s="11" t="s">
        <v>127</v>
      </c>
      <c r="H529" s="11" t="s">
        <v>28</v>
      </c>
      <c r="I529" s="11" t="s">
        <v>126</v>
      </c>
    </row>
    <row r="530" ht="22.5" customHeight="1">
      <c r="A530" s="10">
        <v>45677.87377185185</v>
      </c>
      <c r="B530" s="11" t="s">
        <v>20</v>
      </c>
      <c r="C530" s="11">
        <v>699.0</v>
      </c>
      <c r="D530" s="11" t="s">
        <v>128</v>
      </c>
      <c r="H530" s="11" t="s">
        <v>28</v>
      </c>
      <c r="I530" s="11" t="s">
        <v>126</v>
      </c>
    </row>
    <row r="531" ht="22.5" customHeight="1">
      <c r="A531" s="10">
        <v>45677.87906782408</v>
      </c>
      <c r="B531" s="11" t="s">
        <v>20</v>
      </c>
      <c r="C531" s="11">
        <v>3420.0</v>
      </c>
      <c r="D531" s="11" t="s">
        <v>128</v>
      </c>
      <c r="H531" s="11" t="s">
        <v>28</v>
      </c>
      <c r="I531" s="11" t="s">
        <v>43</v>
      </c>
      <c r="S531" s="11" t="s">
        <v>207</v>
      </c>
    </row>
    <row r="532" ht="22.5" customHeight="1">
      <c r="A532" s="10">
        <v>45677.88030042824</v>
      </c>
      <c r="B532" s="11" t="s">
        <v>20</v>
      </c>
      <c r="C532" s="11">
        <v>1759.0</v>
      </c>
      <c r="D532" s="11">
        <v>2.0250117E7</v>
      </c>
      <c r="H532" s="11" t="s">
        <v>24</v>
      </c>
      <c r="M532" s="11" t="s">
        <v>49</v>
      </c>
      <c r="S532" s="11" t="s">
        <v>208</v>
      </c>
      <c r="T532" s="11" t="s">
        <v>86</v>
      </c>
    </row>
    <row r="533" ht="22.5" customHeight="1">
      <c r="A533" s="10">
        <v>45678.55528755787</v>
      </c>
      <c r="B533" s="11" t="s">
        <v>20</v>
      </c>
      <c r="C533" s="11">
        <v>930.0</v>
      </c>
      <c r="D533" s="11" t="s">
        <v>128</v>
      </c>
      <c r="H533" s="11" t="s">
        <v>21</v>
      </c>
      <c r="L533" s="11" t="s">
        <v>36</v>
      </c>
    </row>
    <row r="534" ht="22.5" customHeight="1">
      <c r="A534" s="10">
        <v>45678.55546379629</v>
      </c>
      <c r="B534" s="11" t="s">
        <v>20</v>
      </c>
      <c r="C534" s="11">
        <v>35.0</v>
      </c>
      <c r="D534" s="11" t="s">
        <v>128</v>
      </c>
      <c r="H534" s="11" t="s">
        <v>21</v>
      </c>
      <c r="L534" s="11" t="s">
        <v>46</v>
      </c>
    </row>
    <row r="535" ht="22.5" customHeight="1">
      <c r="A535" s="10">
        <v>45680.51564033565</v>
      </c>
      <c r="B535" s="11" t="s">
        <v>20</v>
      </c>
      <c r="C535" s="11">
        <v>250.0</v>
      </c>
      <c r="D535" s="11" t="s">
        <v>127</v>
      </c>
      <c r="H535" s="11" t="s">
        <v>94</v>
      </c>
      <c r="O535" s="11" t="s">
        <v>153</v>
      </c>
    </row>
    <row r="536" ht="22.5" customHeight="1">
      <c r="A536" s="10">
        <v>45680.5159290625</v>
      </c>
      <c r="B536" s="11" t="s">
        <v>20</v>
      </c>
      <c r="C536" s="11">
        <v>800.0</v>
      </c>
      <c r="D536" s="11" t="s">
        <v>149</v>
      </c>
      <c r="H536" s="11" t="s">
        <v>94</v>
      </c>
      <c r="O536" s="11" t="s">
        <v>209</v>
      </c>
    </row>
    <row r="537" ht="22.5" customHeight="1">
      <c r="A537" s="10">
        <v>45680.80715287037</v>
      </c>
      <c r="B537" s="11" t="s">
        <v>20</v>
      </c>
      <c r="C537" s="11">
        <v>95.0</v>
      </c>
      <c r="D537" s="11" t="s">
        <v>128</v>
      </c>
      <c r="H537" s="11" t="s">
        <v>28</v>
      </c>
      <c r="I537" s="11" t="s">
        <v>30</v>
      </c>
    </row>
    <row r="538" ht="22.5" customHeight="1">
      <c r="A538" s="10">
        <v>45681.93975873843</v>
      </c>
      <c r="B538" s="11" t="s">
        <v>20</v>
      </c>
      <c r="C538" s="11">
        <v>250.0</v>
      </c>
      <c r="D538" s="11" t="s">
        <v>128</v>
      </c>
      <c r="H538" s="11" t="s">
        <v>94</v>
      </c>
      <c r="O538" s="11" t="s">
        <v>153</v>
      </c>
    </row>
    <row r="539" ht="22.5" customHeight="1">
      <c r="A539" s="10">
        <v>45681.94002900463</v>
      </c>
      <c r="B539" s="11" t="s">
        <v>20</v>
      </c>
      <c r="C539" s="11">
        <v>400.0</v>
      </c>
      <c r="D539" s="11" t="s">
        <v>128</v>
      </c>
      <c r="H539" s="11" t="s">
        <v>94</v>
      </c>
      <c r="O539" s="11" t="s">
        <v>210</v>
      </c>
    </row>
    <row r="540" ht="22.5" customHeight="1">
      <c r="A540" s="10">
        <v>45682.473122256946</v>
      </c>
      <c r="B540" s="11" t="s">
        <v>20</v>
      </c>
      <c r="C540" s="11">
        <v>35.0</v>
      </c>
      <c r="D540" s="11" t="s">
        <v>128</v>
      </c>
      <c r="H540" s="11" t="s">
        <v>28</v>
      </c>
      <c r="I540" s="11" t="s">
        <v>34</v>
      </c>
    </row>
    <row r="541" ht="22.5" customHeight="1">
      <c r="A541" s="10">
        <v>45682.473412569445</v>
      </c>
      <c r="B541" s="11" t="s">
        <v>20</v>
      </c>
      <c r="C541" s="11">
        <v>20.0</v>
      </c>
      <c r="D541" s="11" t="s">
        <v>128</v>
      </c>
      <c r="H541" s="11" t="s">
        <v>94</v>
      </c>
      <c r="O541" s="11" t="s">
        <v>211</v>
      </c>
    </row>
    <row r="542" ht="22.5" customHeight="1">
      <c r="A542" s="10">
        <v>45682.68349457176</v>
      </c>
      <c r="B542" s="11" t="s">
        <v>20</v>
      </c>
      <c r="C542" s="11">
        <v>2999.0</v>
      </c>
      <c r="D542" s="11" t="s">
        <v>128</v>
      </c>
      <c r="H542" s="11" t="s">
        <v>28</v>
      </c>
      <c r="I542" s="11" t="s">
        <v>126</v>
      </c>
      <c r="S542" s="11" t="s">
        <v>212</v>
      </c>
      <c r="T542" s="11" t="s">
        <v>42</v>
      </c>
    </row>
    <row r="543" ht="22.5" customHeight="1">
      <c r="A543" s="10">
        <v>45682.68381931713</v>
      </c>
      <c r="B543" s="11" t="s">
        <v>20</v>
      </c>
      <c r="C543" s="11">
        <v>84.0</v>
      </c>
      <c r="D543" s="11" t="s">
        <v>128</v>
      </c>
      <c r="H543" s="11" t="s">
        <v>21</v>
      </c>
      <c r="L543" s="11" t="s">
        <v>23</v>
      </c>
    </row>
    <row r="544" ht="22.5" customHeight="1">
      <c r="A544" s="10">
        <v>45682.87746224537</v>
      </c>
      <c r="B544" s="11" t="s">
        <v>20</v>
      </c>
      <c r="C544" s="11">
        <v>857.0</v>
      </c>
      <c r="D544" s="11" t="s">
        <v>128</v>
      </c>
      <c r="H544" s="11" t="s">
        <v>28</v>
      </c>
      <c r="I544" s="11" t="s">
        <v>30</v>
      </c>
    </row>
    <row r="545" ht="22.5" customHeight="1">
      <c r="A545" s="10">
        <v>45682.87935628472</v>
      </c>
      <c r="B545" s="11" t="s">
        <v>20</v>
      </c>
      <c r="C545" s="11">
        <v>13152.0</v>
      </c>
      <c r="D545" s="11" t="s">
        <v>128</v>
      </c>
      <c r="H545" s="11" t="s">
        <v>16</v>
      </c>
      <c r="Q545" s="11" t="s">
        <v>47</v>
      </c>
      <c r="S545" s="11" t="s">
        <v>213</v>
      </c>
      <c r="T545" s="11" t="s">
        <v>42</v>
      </c>
    </row>
    <row r="546" ht="22.5" customHeight="1">
      <c r="A546" s="10">
        <v>45682.880574062496</v>
      </c>
      <c r="B546" s="11" t="s">
        <v>38</v>
      </c>
      <c r="C546" s="11">
        <v>3659.0</v>
      </c>
      <c r="D546" s="11" t="s">
        <v>128</v>
      </c>
      <c r="E546" s="11" t="s">
        <v>39</v>
      </c>
      <c r="G546" s="11" t="s">
        <v>100</v>
      </c>
      <c r="S546" s="11" t="s">
        <v>214</v>
      </c>
      <c r="T546" s="11" t="s">
        <v>42</v>
      </c>
    </row>
    <row r="547" ht="22.5" customHeight="1">
      <c r="A547" s="10">
        <v>45682.88116641204</v>
      </c>
      <c r="B547" s="11" t="s">
        <v>20</v>
      </c>
      <c r="C547" s="11">
        <v>1687.0</v>
      </c>
      <c r="D547" s="11" t="s">
        <v>127</v>
      </c>
      <c r="H547" s="11" t="s">
        <v>16</v>
      </c>
      <c r="Q547" s="11" t="s">
        <v>47</v>
      </c>
      <c r="S547" s="11" t="s">
        <v>215</v>
      </c>
    </row>
    <row r="548" ht="22.5" customHeight="1">
      <c r="A548" s="10">
        <v>45682.886664247686</v>
      </c>
      <c r="B548" s="11" t="s">
        <v>20</v>
      </c>
      <c r="C548" s="11">
        <v>56.0</v>
      </c>
      <c r="D548" s="11" t="s">
        <v>128</v>
      </c>
      <c r="H548" s="11" t="s">
        <v>28</v>
      </c>
      <c r="I548" s="11" t="s">
        <v>112</v>
      </c>
    </row>
    <row r="549" ht="22.5" customHeight="1">
      <c r="A549" s="10">
        <v>45683.64011771991</v>
      </c>
      <c r="B549" s="11" t="s">
        <v>20</v>
      </c>
      <c r="C549" s="11">
        <v>765.0</v>
      </c>
      <c r="D549" s="11" t="s">
        <v>128</v>
      </c>
      <c r="H549" s="11" t="s">
        <v>21</v>
      </c>
      <c r="L549" s="11" t="s">
        <v>36</v>
      </c>
    </row>
    <row r="550" ht="22.5" customHeight="1">
      <c r="A550" s="10">
        <v>45683.64027290509</v>
      </c>
      <c r="B550" s="11" t="s">
        <v>20</v>
      </c>
      <c r="C550" s="11">
        <v>35.0</v>
      </c>
      <c r="D550" s="11" t="s">
        <v>128</v>
      </c>
      <c r="H550" s="11" t="s">
        <v>21</v>
      </c>
      <c r="L550" s="11" t="s">
        <v>46</v>
      </c>
    </row>
    <row r="551" ht="22.5" customHeight="1">
      <c r="A551" s="10">
        <v>45683.93703965278</v>
      </c>
      <c r="B551" s="11" t="s">
        <v>38</v>
      </c>
      <c r="C551" s="11">
        <v>536987.0</v>
      </c>
      <c r="D551" s="11">
        <v>2.0250121E7</v>
      </c>
      <c r="E551" s="11" t="s">
        <v>61</v>
      </c>
      <c r="F551" s="11" t="s">
        <v>73</v>
      </c>
      <c r="S551" s="11" t="s">
        <v>216</v>
      </c>
      <c r="T551" s="11" t="s">
        <v>42</v>
      </c>
    </row>
    <row r="552" ht="22.5" customHeight="1">
      <c r="A552" s="10">
        <v>45683.93824</v>
      </c>
      <c r="B552" s="11" t="s">
        <v>20</v>
      </c>
      <c r="C552" s="11">
        <v>29299.0</v>
      </c>
      <c r="D552" s="11">
        <v>2.0250121E7</v>
      </c>
      <c r="H552" s="11" t="s">
        <v>57</v>
      </c>
      <c r="N552" s="11" t="s">
        <v>75</v>
      </c>
    </row>
    <row r="553" ht="22.5" customHeight="1">
      <c r="A553" s="10">
        <v>45684.627688981476</v>
      </c>
      <c r="B553" s="11" t="s">
        <v>20</v>
      </c>
      <c r="C553" s="11">
        <v>550.0</v>
      </c>
      <c r="D553" s="11" t="s">
        <v>128</v>
      </c>
      <c r="H553" s="11" t="s">
        <v>24</v>
      </c>
      <c r="M553" s="11" t="s">
        <v>45</v>
      </c>
    </row>
    <row r="554" ht="22.5" customHeight="1">
      <c r="A554" s="10">
        <v>45684.62785611111</v>
      </c>
      <c r="B554" s="11" t="s">
        <v>20</v>
      </c>
      <c r="C554" s="11">
        <v>20.0</v>
      </c>
      <c r="D554" s="11" t="s">
        <v>128</v>
      </c>
      <c r="H554" s="11" t="s">
        <v>21</v>
      </c>
      <c r="L554" s="11" t="s">
        <v>46</v>
      </c>
    </row>
    <row r="555" ht="22.5" customHeight="1">
      <c r="A555" s="10">
        <v>45685.436748113425</v>
      </c>
      <c r="B555" s="11" t="s">
        <v>20</v>
      </c>
      <c r="C555" s="11">
        <v>1599.0</v>
      </c>
      <c r="D555" s="11">
        <v>2.0250118E7</v>
      </c>
      <c r="H555" s="11" t="s">
        <v>24</v>
      </c>
      <c r="M555" s="11" t="s">
        <v>49</v>
      </c>
      <c r="S555" s="11" t="s">
        <v>217</v>
      </c>
      <c r="T555" s="11" t="s">
        <v>42</v>
      </c>
    </row>
    <row r="556" ht="22.5" customHeight="1">
      <c r="A556" s="10">
        <v>45685.44183947917</v>
      </c>
      <c r="B556" s="11" t="s">
        <v>20</v>
      </c>
      <c r="C556" s="11">
        <v>280.0</v>
      </c>
      <c r="D556" s="11" t="s">
        <v>127</v>
      </c>
      <c r="H556" s="11" t="s">
        <v>28</v>
      </c>
      <c r="I556" s="11" t="s">
        <v>30</v>
      </c>
    </row>
    <row r="557" ht="22.5" customHeight="1">
      <c r="A557" s="10">
        <v>45685.44203604167</v>
      </c>
      <c r="B557" s="11" t="s">
        <v>20</v>
      </c>
      <c r="C557" s="11">
        <v>5.0</v>
      </c>
      <c r="D557" s="11" t="s">
        <v>127</v>
      </c>
      <c r="H557" s="11" t="s">
        <v>21</v>
      </c>
      <c r="L557" s="11" t="s">
        <v>130</v>
      </c>
    </row>
    <row r="558" ht="22.5" customHeight="1">
      <c r="A558" s="10">
        <v>45685.442277662034</v>
      </c>
      <c r="B558" s="11" t="s">
        <v>20</v>
      </c>
      <c r="C558" s="11">
        <v>75.0</v>
      </c>
      <c r="D558" s="11" t="s">
        <v>127</v>
      </c>
      <c r="H558" s="11" t="s">
        <v>28</v>
      </c>
      <c r="I558" s="11" t="s">
        <v>43</v>
      </c>
    </row>
    <row r="559" ht="22.5" customHeight="1">
      <c r="A559" s="10">
        <v>45685.651995416665</v>
      </c>
      <c r="B559" s="11" t="s">
        <v>20</v>
      </c>
      <c r="C559" s="11">
        <v>516.0</v>
      </c>
      <c r="D559" s="11" t="s">
        <v>128</v>
      </c>
      <c r="H559" s="11" t="s">
        <v>51</v>
      </c>
      <c r="K559" s="11" t="s">
        <v>185</v>
      </c>
    </row>
    <row r="560" ht="22.5" customHeight="1">
      <c r="A560" s="10">
        <v>45686.448057326386</v>
      </c>
      <c r="B560" s="11" t="s">
        <v>20</v>
      </c>
      <c r="C560" s="11">
        <v>207.0</v>
      </c>
      <c r="D560" s="11" t="s">
        <v>128</v>
      </c>
      <c r="H560" s="11" t="s">
        <v>26</v>
      </c>
      <c r="J560" s="11" t="s">
        <v>27</v>
      </c>
    </row>
    <row r="561" ht="22.5" customHeight="1">
      <c r="A561" s="10">
        <v>45686.776357152776</v>
      </c>
      <c r="B561" s="11" t="s">
        <v>20</v>
      </c>
      <c r="C561" s="11">
        <v>6000.0</v>
      </c>
      <c r="D561" s="11" t="s">
        <v>128</v>
      </c>
      <c r="H561" s="11" t="s">
        <v>16</v>
      </c>
      <c r="Q561" s="11" t="s">
        <v>218</v>
      </c>
      <c r="S561" s="11" t="s">
        <v>219</v>
      </c>
      <c r="T561" s="11" t="s">
        <v>42</v>
      </c>
    </row>
    <row r="562" ht="22.5" customHeight="1">
      <c r="A562" s="10">
        <v>45687.766712743054</v>
      </c>
      <c r="B562" s="11" t="s">
        <v>20</v>
      </c>
      <c r="C562" s="11">
        <v>184.0</v>
      </c>
      <c r="D562" s="11" t="s">
        <v>128</v>
      </c>
      <c r="H562" s="11" t="s">
        <v>28</v>
      </c>
      <c r="I562" s="11" t="s">
        <v>30</v>
      </c>
    </row>
    <row r="563" ht="22.5" customHeight="1">
      <c r="A563" s="10">
        <v>45687.76688733796</v>
      </c>
      <c r="B563" s="11" t="s">
        <v>20</v>
      </c>
      <c r="C563" s="11">
        <v>340.0</v>
      </c>
      <c r="D563" s="11" t="s">
        <v>127</v>
      </c>
      <c r="H563" s="11" t="s">
        <v>28</v>
      </c>
      <c r="I563" s="11" t="s">
        <v>30</v>
      </c>
    </row>
    <row r="564" ht="22.5" customHeight="1">
      <c r="A564" s="10">
        <v>45688.39210680556</v>
      </c>
      <c r="B564" s="11" t="s">
        <v>20</v>
      </c>
      <c r="C564" s="11">
        <v>33.0</v>
      </c>
      <c r="D564" s="11" t="s">
        <v>127</v>
      </c>
      <c r="H564" s="11" t="s">
        <v>21</v>
      </c>
      <c r="L564" s="11" t="s">
        <v>123</v>
      </c>
    </row>
    <row r="565" ht="22.5" customHeight="1">
      <c r="A565" s="10">
        <v>45688.39236803241</v>
      </c>
      <c r="B565" s="11" t="s">
        <v>20</v>
      </c>
      <c r="C565" s="11">
        <v>1000.0</v>
      </c>
      <c r="D565" s="11" t="s">
        <v>127</v>
      </c>
      <c r="H565" s="11" t="s">
        <v>28</v>
      </c>
      <c r="I565" s="11" t="s">
        <v>35</v>
      </c>
      <c r="S565" s="11" t="s">
        <v>220</v>
      </c>
    </row>
    <row r="566" ht="22.5" customHeight="1">
      <c r="A566" s="10">
        <v>45688.39257210648</v>
      </c>
      <c r="B566" s="11" t="s">
        <v>20</v>
      </c>
      <c r="C566" s="11">
        <v>33.0</v>
      </c>
      <c r="D566" s="11" t="s">
        <v>128</v>
      </c>
      <c r="H566" s="11" t="s">
        <v>28</v>
      </c>
      <c r="I566" s="11" t="s">
        <v>29</v>
      </c>
    </row>
    <row r="567" ht="22.5" customHeight="1">
      <c r="A567" s="10">
        <v>45688.592078472226</v>
      </c>
      <c r="B567" s="11" t="s">
        <v>20</v>
      </c>
      <c r="C567" s="11">
        <v>165.0</v>
      </c>
      <c r="D567" s="11" t="s">
        <v>128</v>
      </c>
      <c r="H567" s="11" t="s">
        <v>26</v>
      </c>
      <c r="J567" s="11" t="s">
        <v>27</v>
      </c>
    </row>
    <row r="568" ht="22.5" customHeight="1">
      <c r="A568" s="10">
        <v>45688.59303210648</v>
      </c>
      <c r="B568" s="11" t="s">
        <v>20</v>
      </c>
      <c r="C568" s="11">
        <v>35.0</v>
      </c>
      <c r="D568" s="11" t="s">
        <v>128</v>
      </c>
      <c r="H568" s="11" t="s">
        <v>21</v>
      </c>
      <c r="L568" s="11" t="s">
        <v>46</v>
      </c>
    </row>
    <row r="569" ht="22.5" customHeight="1">
      <c r="A569" s="10">
        <v>45688.59319724537</v>
      </c>
      <c r="B569" s="11" t="s">
        <v>20</v>
      </c>
      <c r="C569" s="11">
        <v>765.0</v>
      </c>
      <c r="D569" s="11" t="s">
        <v>128</v>
      </c>
      <c r="H569" s="11" t="s">
        <v>21</v>
      </c>
      <c r="L569" s="11" t="s">
        <v>36</v>
      </c>
    </row>
    <row r="570" ht="22.5" customHeight="1">
      <c r="A570" s="10">
        <v>45688.889369537035</v>
      </c>
      <c r="B570" s="11" t="s">
        <v>20</v>
      </c>
      <c r="C570" s="11">
        <v>699.0</v>
      </c>
      <c r="D570" s="11" t="s">
        <v>128</v>
      </c>
      <c r="H570" s="11" t="s">
        <v>21</v>
      </c>
      <c r="L570" s="11" t="s">
        <v>22</v>
      </c>
    </row>
    <row r="571" ht="22.5" customHeight="1">
      <c r="A571" s="10">
        <v>45690.318496886575</v>
      </c>
      <c r="B571" s="11" t="s">
        <v>20</v>
      </c>
      <c r="C571" s="11">
        <v>2588.0</v>
      </c>
      <c r="D571" s="11" t="s">
        <v>128</v>
      </c>
      <c r="H571" s="11" t="s">
        <v>24</v>
      </c>
      <c r="M571" s="11" t="s">
        <v>81</v>
      </c>
      <c r="S571" s="11" t="s">
        <v>221</v>
      </c>
    </row>
    <row r="572" ht="22.5" customHeight="1">
      <c r="A572" s="10">
        <v>45690.31907868056</v>
      </c>
      <c r="B572" s="11" t="s">
        <v>20</v>
      </c>
      <c r="C572" s="11">
        <v>589.0</v>
      </c>
      <c r="D572" s="11" t="s">
        <v>127</v>
      </c>
      <c r="H572" s="11" t="s">
        <v>21</v>
      </c>
      <c r="L572" s="11" t="s">
        <v>23</v>
      </c>
    </row>
    <row r="573" ht="22.5" customHeight="1">
      <c r="A573" s="10">
        <v>45690.42056579861</v>
      </c>
      <c r="B573" s="11" t="s">
        <v>20</v>
      </c>
      <c r="C573" s="11">
        <v>45.0</v>
      </c>
      <c r="D573" s="11" t="s">
        <v>127</v>
      </c>
      <c r="H573" s="11" t="s">
        <v>28</v>
      </c>
      <c r="I573" s="11" t="s">
        <v>43</v>
      </c>
    </row>
    <row r="574" ht="22.5" customHeight="1">
      <c r="A574" s="10">
        <v>45690.45082744213</v>
      </c>
      <c r="B574" s="11" t="s">
        <v>20</v>
      </c>
      <c r="C574" s="11">
        <v>915.0</v>
      </c>
      <c r="D574" s="11" t="s">
        <v>128</v>
      </c>
      <c r="H574" s="11" t="s">
        <v>28</v>
      </c>
      <c r="I574" s="11" t="s">
        <v>34</v>
      </c>
    </row>
    <row r="575" ht="22.5" customHeight="1">
      <c r="A575" s="10">
        <v>45690.721462500005</v>
      </c>
      <c r="B575" s="11" t="s">
        <v>20</v>
      </c>
      <c r="C575" s="11">
        <v>272.0</v>
      </c>
      <c r="D575" s="11" t="s">
        <v>128</v>
      </c>
      <c r="H575" s="11" t="s">
        <v>28</v>
      </c>
      <c r="I575" s="11" t="s">
        <v>30</v>
      </c>
    </row>
    <row r="576" ht="22.5" customHeight="1">
      <c r="A576" s="10">
        <v>45691.86229752315</v>
      </c>
      <c r="B576" s="11" t="s">
        <v>38</v>
      </c>
      <c r="C576" s="11">
        <v>5000.0</v>
      </c>
      <c r="D576" s="11" t="s">
        <v>128</v>
      </c>
      <c r="E576" s="11" t="s">
        <v>39</v>
      </c>
      <c r="G576" s="11" t="s">
        <v>139</v>
      </c>
    </row>
    <row r="577" ht="22.5" customHeight="1">
      <c r="A577" s="10">
        <v>45693.82624296296</v>
      </c>
      <c r="B577" s="11" t="s">
        <v>38</v>
      </c>
      <c r="C577" s="11">
        <v>500.0</v>
      </c>
      <c r="D577" s="11" t="s">
        <v>127</v>
      </c>
      <c r="E577" s="11" t="s">
        <v>39</v>
      </c>
      <c r="G577" s="11" t="s">
        <v>79</v>
      </c>
      <c r="S577" s="11" t="s">
        <v>222</v>
      </c>
      <c r="T577" s="11" t="s">
        <v>42</v>
      </c>
    </row>
    <row r="578" ht="22.5" customHeight="1">
      <c r="A578" s="10">
        <v>45693.84793541666</v>
      </c>
      <c r="B578" s="11" t="s">
        <v>20</v>
      </c>
      <c r="C578" s="11">
        <v>114.0</v>
      </c>
      <c r="D578" s="11" t="s">
        <v>128</v>
      </c>
      <c r="H578" s="11" t="s">
        <v>28</v>
      </c>
      <c r="I578" s="11" t="s">
        <v>35</v>
      </c>
    </row>
    <row r="579" ht="22.5" customHeight="1">
      <c r="A579" s="10">
        <v>45694.89881770834</v>
      </c>
      <c r="B579" s="11" t="s">
        <v>38</v>
      </c>
      <c r="C579" s="11">
        <v>101185.0</v>
      </c>
      <c r="D579" s="11" t="s">
        <v>127</v>
      </c>
      <c r="E579" s="11" t="s">
        <v>61</v>
      </c>
      <c r="F579" s="11" t="s">
        <v>62</v>
      </c>
      <c r="S579" s="11" t="s">
        <v>223</v>
      </c>
      <c r="T579" s="11" t="s">
        <v>42</v>
      </c>
    </row>
    <row r="580" ht="22.5" customHeight="1">
      <c r="A580" s="10">
        <v>45694.900254872686</v>
      </c>
      <c r="B580" s="11" t="s">
        <v>20</v>
      </c>
      <c r="C580" s="11">
        <v>1162.0</v>
      </c>
      <c r="D580" s="11" t="s">
        <v>127</v>
      </c>
      <c r="H580" s="11" t="s">
        <v>28</v>
      </c>
      <c r="I580" s="11" t="s">
        <v>33</v>
      </c>
    </row>
    <row r="581" ht="22.5" customHeight="1">
      <c r="A581" s="10">
        <v>45694.90086190972</v>
      </c>
      <c r="B581" s="11" t="s">
        <v>20</v>
      </c>
      <c r="C581" s="11">
        <v>3087.0</v>
      </c>
      <c r="D581" s="11" t="s">
        <v>127</v>
      </c>
      <c r="H581" s="11" t="s">
        <v>59</v>
      </c>
      <c r="R581" s="11" t="s">
        <v>60</v>
      </c>
    </row>
    <row r="582" ht="22.5" customHeight="1">
      <c r="A582" s="10">
        <v>45694.9013319213</v>
      </c>
      <c r="B582" s="11" t="s">
        <v>20</v>
      </c>
      <c r="C582" s="11">
        <v>2816.0</v>
      </c>
      <c r="D582" s="11" t="s">
        <v>127</v>
      </c>
      <c r="H582" s="11" t="s">
        <v>57</v>
      </c>
      <c r="N582" s="11" t="s">
        <v>58</v>
      </c>
    </row>
    <row r="583" ht="22.5" customHeight="1">
      <c r="A583" s="10">
        <v>45694.9015425463</v>
      </c>
      <c r="B583" s="11" t="s">
        <v>20</v>
      </c>
      <c r="C583" s="11">
        <v>515.0</v>
      </c>
      <c r="D583" s="11" t="s">
        <v>127</v>
      </c>
      <c r="H583" s="11" t="s">
        <v>24</v>
      </c>
      <c r="M583" s="11" t="s">
        <v>32</v>
      </c>
    </row>
    <row r="584" ht="22.5" customHeight="1">
      <c r="A584" s="10">
        <v>45694.90171298611</v>
      </c>
      <c r="B584" s="11" t="s">
        <v>20</v>
      </c>
      <c r="C584" s="11">
        <v>3080.0</v>
      </c>
      <c r="D584" s="11" t="s">
        <v>127</v>
      </c>
      <c r="H584" s="11" t="s">
        <v>57</v>
      </c>
      <c r="N584" s="11" t="s">
        <v>75</v>
      </c>
    </row>
    <row r="585" ht="22.5" customHeight="1">
      <c r="A585" s="10">
        <v>45694.902321875</v>
      </c>
      <c r="B585" s="11" t="s">
        <v>20</v>
      </c>
      <c r="C585" s="11">
        <v>20000.0</v>
      </c>
      <c r="D585" s="11">
        <v>2.0250201E7</v>
      </c>
      <c r="H585" s="11" t="s">
        <v>51</v>
      </c>
      <c r="K585" s="11" t="s">
        <v>98</v>
      </c>
    </row>
    <row r="586" ht="22.5" customHeight="1">
      <c r="A586" s="10">
        <v>45694.90256657408</v>
      </c>
      <c r="B586" s="11" t="s">
        <v>20</v>
      </c>
      <c r="C586" s="11">
        <v>6000.0</v>
      </c>
      <c r="D586" s="11">
        <v>2.0250201E7</v>
      </c>
      <c r="H586" s="11" t="s">
        <v>51</v>
      </c>
      <c r="K586" s="11" t="s">
        <v>131</v>
      </c>
    </row>
    <row r="587" ht="22.5" customHeight="1">
      <c r="A587" s="10">
        <v>45694.90347611111</v>
      </c>
      <c r="B587" s="11" t="s">
        <v>20</v>
      </c>
      <c r="C587" s="11">
        <v>12.0</v>
      </c>
      <c r="D587" s="11">
        <v>2.0250131E7</v>
      </c>
      <c r="H587" s="11" t="s">
        <v>21</v>
      </c>
      <c r="L587" s="11" t="s">
        <v>31</v>
      </c>
    </row>
    <row r="588" ht="22.5" customHeight="1">
      <c r="A588" s="10">
        <v>45695.926459560185</v>
      </c>
      <c r="B588" s="11" t="s">
        <v>20</v>
      </c>
      <c r="C588" s="11">
        <v>250.0</v>
      </c>
      <c r="D588" s="11" t="s">
        <v>128</v>
      </c>
      <c r="H588" s="11" t="s">
        <v>94</v>
      </c>
      <c r="O588" s="11" t="s">
        <v>153</v>
      </c>
    </row>
    <row r="589" ht="22.5" customHeight="1">
      <c r="A589" s="10">
        <v>45696.48572398148</v>
      </c>
      <c r="B589" s="11" t="s">
        <v>20</v>
      </c>
      <c r="C589" s="11">
        <v>20.0</v>
      </c>
      <c r="D589" s="11" t="s">
        <v>128</v>
      </c>
      <c r="H589" s="11" t="s">
        <v>94</v>
      </c>
      <c r="O589" s="11" t="s">
        <v>153</v>
      </c>
    </row>
    <row r="590" ht="22.5" customHeight="1">
      <c r="A590" s="10">
        <v>45696.485998379634</v>
      </c>
      <c r="B590" s="11" t="s">
        <v>20</v>
      </c>
      <c r="C590" s="11">
        <v>200.0</v>
      </c>
      <c r="D590" s="11" t="s">
        <v>128</v>
      </c>
      <c r="H590" s="11" t="s">
        <v>94</v>
      </c>
      <c r="O590" s="11" t="s">
        <v>153</v>
      </c>
    </row>
    <row r="591" ht="22.5" customHeight="1">
      <c r="A591" s="10">
        <v>45696.556420740744</v>
      </c>
      <c r="B591" s="11" t="s">
        <v>20</v>
      </c>
      <c r="C591" s="11">
        <v>597.0</v>
      </c>
      <c r="D591" s="11" t="s">
        <v>128</v>
      </c>
      <c r="H591" s="11" t="s">
        <v>21</v>
      </c>
      <c r="L591" s="11" t="s">
        <v>23</v>
      </c>
    </row>
    <row r="592" ht="22.5" customHeight="1">
      <c r="A592" s="10">
        <v>45697.693317060184</v>
      </c>
      <c r="B592" s="11" t="s">
        <v>20</v>
      </c>
      <c r="C592" s="11">
        <v>1080.0</v>
      </c>
      <c r="D592" s="11">
        <v>2.0250316E7</v>
      </c>
      <c r="H592" s="11" t="s">
        <v>24</v>
      </c>
      <c r="M592" s="11" t="s">
        <v>25</v>
      </c>
    </row>
    <row r="593" ht="22.5" customHeight="1">
      <c r="A593" s="10">
        <v>45697.919648877316</v>
      </c>
      <c r="B593" s="11" t="s">
        <v>20</v>
      </c>
      <c r="C593" s="11">
        <v>1012.0</v>
      </c>
      <c r="D593" s="11" t="s">
        <v>128</v>
      </c>
      <c r="H593" s="11" t="s">
        <v>28</v>
      </c>
      <c r="I593" s="11" t="s">
        <v>30</v>
      </c>
    </row>
    <row r="594" ht="22.5" customHeight="1">
      <c r="A594" s="10">
        <v>45697.91979641204</v>
      </c>
      <c r="B594" s="11" t="s">
        <v>20</v>
      </c>
      <c r="C594" s="11">
        <v>1138.0</v>
      </c>
      <c r="D594" s="11" t="s">
        <v>128</v>
      </c>
      <c r="H594" s="11" t="s">
        <v>28</v>
      </c>
      <c r="I594" s="11" t="s">
        <v>34</v>
      </c>
    </row>
    <row r="595" ht="22.5" customHeight="1">
      <c r="A595" s="10">
        <v>45698.98048430556</v>
      </c>
      <c r="B595" s="11" t="s">
        <v>20</v>
      </c>
      <c r="C595" s="11">
        <v>568.0</v>
      </c>
      <c r="D595" s="11" t="s">
        <v>128</v>
      </c>
      <c r="H595" s="11" t="s">
        <v>118</v>
      </c>
      <c r="P595" s="11" t="s">
        <v>119</v>
      </c>
    </row>
    <row r="596" ht="22.5" customHeight="1">
      <c r="A596" s="10">
        <v>45699.95438502315</v>
      </c>
      <c r="B596" s="11" t="s">
        <v>20</v>
      </c>
      <c r="C596" s="11">
        <v>134.0</v>
      </c>
      <c r="D596" s="11" t="s">
        <v>128</v>
      </c>
      <c r="H596" s="11" t="s">
        <v>21</v>
      </c>
      <c r="L596" s="11" t="s">
        <v>23</v>
      </c>
    </row>
    <row r="597" ht="22.5" customHeight="1">
      <c r="A597" s="10">
        <v>45700.570233425926</v>
      </c>
      <c r="B597" s="11" t="s">
        <v>20</v>
      </c>
      <c r="C597" s="11">
        <v>468.0</v>
      </c>
      <c r="D597" s="11" t="s">
        <v>128</v>
      </c>
      <c r="H597" s="11" t="s">
        <v>28</v>
      </c>
      <c r="I597" s="11" t="s">
        <v>34</v>
      </c>
      <c r="S597" s="11" t="s">
        <v>224</v>
      </c>
    </row>
    <row r="598" ht="22.5" customHeight="1">
      <c r="A598" s="10">
        <v>45703.417509039355</v>
      </c>
      <c r="B598" s="11" t="s">
        <v>20</v>
      </c>
      <c r="C598" s="11">
        <v>154.0</v>
      </c>
      <c r="D598" s="11" t="s">
        <v>127</v>
      </c>
      <c r="H598" s="11" t="s">
        <v>28</v>
      </c>
      <c r="I598" s="11" t="s">
        <v>44</v>
      </c>
    </row>
    <row r="599" ht="22.5" customHeight="1">
      <c r="A599" s="10">
        <v>45703.41767420139</v>
      </c>
      <c r="B599" s="11" t="s">
        <v>20</v>
      </c>
      <c r="C599" s="11">
        <v>250.0</v>
      </c>
      <c r="D599" s="11" t="s">
        <v>128</v>
      </c>
      <c r="H599" s="11" t="s">
        <v>94</v>
      </c>
      <c r="O599" s="11" t="s">
        <v>153</v>
      </c>
    </row>
    <row r="600" ht="22.5" customHeight="1">
      <c r="A600" s="10">
        <v>45703.80069679398</v>
      </c>
      <c r="B600" s="11" t="s">
        <v>20</v>
      </c>
      <c r="C600" s="11">
        <v>445.0</v>
      </c>
      <c r="D600" s="11" t="s">
        <v>128</v>
      </c>
      <c r="H600" s="11" t="s">
        <v>28</v>
      </c>
      <c r="I600" s="11" t="s">
        <v>44</v>
      </c>
    </row>
    <row r="601" ht="22.5" customHeight="1">
      <c r="A601" s="10">
        <v>45703.80087006945</v>
      </c>
      <c r="B601" s="11" t="s">
        <v>20</v>
      </c>
      <c r="C601" s="11">
        <v>429.0</v>
      </c>
      <c r="D601" s="11" t="s">
        <v>128</v>
      </c>
      <c r="H601" s="11" t="s">
        <v>28</v>
      </c>
      <c r="I601" s="11" t="s">
        <v>34</v>
      </c>
    </row>
    <row r="602" ht="22.5" customHeight="1">
      <c r="A602" s="10">
        <v>45704.68327112269</v>
      </c>
      <c r="B602" s="11" t="s">
        <v>20</v>
      </c>
      <c r="C602" s="11">
        <v>331.0</v>
      </c>
      <c r="D602" s="11" t="s">
        <v>128</v>
      </c>
      <c r="H602" s="11" t="s">
        <v>28</v>
      </c>
      <c r="I602" s="11" t="s">
        <v>29</v>
      </c>
    </row>
    <row r="603" ht="22.5" customHeight="1">
      <c r="A603" s="10">
        <v>45704.68349452547</v>
      </c>
      <c r="B603" s="11" t="s">
        <v>20</v>
      </c>
      <c r="C603" s="11">
        <v>10.0</v>
      </c>
      <c r="D603" s="11" t="s">
        <v>128</v>
      </c>
      <c r="H603" s="11" t="s">
        <v>24</v>
      </c>
      <c r="M603" s="11" t="s">
        <v>25</v>
      </c>
    </row>
    <row r="604" ht="22.5" customHeight="1">
      <c r="A604" s="10">
        <v>45705.58004153935</v>
      </c>
      <c r="B604" s="11" t="s">
        <v>20</v>
      </c>
      <c r="C604" s="11">
        <v>1154.0</v>
      </c>
      <c r="D604" s="11" t="s">
        <v>128</v>
      </c>
      <c r="H604" s="11" t="s">
        <v>51</v>
      </c>
      <c r="K604" s="11" t="s">
        <v>52</v>
      </c>
    </row>
    <row r="605" ht="22.5" customHeight="1">
      <c r="A605" s="10">
        <v>45705.897001562495</v>
      </c>
      <c r="B605" s="11" t="s">
        <v>20</v>
      </c>
      <c r="C605" s="11">
        <v>3471.0</v>
      </c>
      <c r="D605" s="11">
        <v>2.0250222E7</v>
      </c>
      <c r="H605" s="11" t="s">
        <v>24</v>
      </c>
      <c r="M605" s="11" t="s">
        <v>49</v>
      </c>
      <c r="S605" s="11" t="s">
        <v>225</v>
      </c>
      <c r="T605" s="11" t="s">
        <v>86</v>
      </c>
    </row>
    <row r="606" ht="22.5" customHeight="1">
      <c r="A606" s="10">
        <v>45707.4105255787</v>
      </c>
      <c r="B606" s="11" t="s">
        <v>20</v>
      </c>
      <c r="C606" s="11">
        <v>700.0</v>
      </c>
      <c r="D606" s="11" t="s">
        <v>128</v>
      </c>
      <c r="H606" s="11" t="s">
        <v>26</v>
      </c>
      <c r="J606" s="11" t="s">
        <v>27</v>
      </c>
      <c r="S606" s="11" t="s">
        <v>226</v>
      </c>
    </row>
    <row r="607" ht="22.5" customHeight="1">
      <c r="A607" s="10">
        <v>45709.89635471065</v>
      </c>
      <c r="B607" s="11" t="s">
        <v>20</v>
      </c>
      <c r="C607" s="11">
        <v>503.0</v>
      </c>
      <c r="D607" s="11" t="s">
        <v>128</v>
      </c>
      <c r="H607" s="11" t="s">
        <v>21</v>
      </c>
      <c r="L607" s="11" t="s">
        <v>23</v>
      </c>
    </row>
    <row r="608" ht="22.5" customHeight="1">
      <c r="A608" s="10">
        <v>45709.89658598379</v>
      </c>
      <c r="B608" s="11" t="s">
        <v>20</v>
      </c>
      <c r="C608" s="11">
        <v>461.0</v>
      </c>
      <c r="D608" s="11" t="s">
        <v>128</v>
      </c>
      <c r="H608" s="11" t="s">
        <v>28</v>
      </c>
      <c r="I608" s="11" t="s">
        <v>30</v>
      </c>
    </row>
    <row r="609" ht="22.5" customHeight="1">
      <c r="A609" s="10">
        <v>45710.594379305556</v>
      </c>
      <c r="B609" s="11" t="s">
        <v>20</v>
      </c>
      <c r="C609" s="11">
        <v>258.0</v>
      </c>
      <c r="D609" s="11" t="s">
        <v>128</v>
      </c>
      <c r="H609" s="11" t="s">
        <v>28</v>
      </c>
      <c r="I609" s="11" t="s">
        <v>29</v>
      </c>
    </row>
    <row r="610" ht="22.5" customHeight="1">
      <c r="A610" s="10">
        <v>45710.59451471065</v>
      </c>
      <c r="B610" s="11" t="s">
        <v>20</v>
      </c>
      <c r="C610" s="11">
        <v>150.0</v>
      </c>
      <c r="D610" s="11" t="s">
        <v>128</v>
      </c>
      <c r="H610" s="11" t="s">
        <v>28</v>
      </c>
      <c r="I610" s="11" t="s">
        <v>34</v>
      </c>
    </row>
    <row r="611" ht="22.5" customHeight="1">
      <c r="A611" s="10">
        <v>45710.59464452547</v>
      </c>
      <c r="B611" s="11" t="s">
        <v>20</v>
      </c>
      <c r="C611" s="11">
        <v>188.0</v>
      </c>
      <c r="D611" s="11" t="s">
        <v>128</v>
      </c>
      <c r="H611" s="11" t="s">
        <v>26</v>
      </c>
      <c r="J611" s="11" t="s">
        <v>27</v>
      </c>
    </row>
    <row r="612" ht="22.5" customHeight="1">
      <c r="A612" s="10">
        <v>45710.59505482639</v>
      </c>
      <c r="B612" s="11" t="s">
        <v>20</v>
      </c>
      <c r="C612" s="11">
        <v>580.0</v>
      </c>
      <c r="D612" s="11" t="s">
        <v>128</v>
      </c>
      <c r="H612" s="11" t="s">
        <v>28</v>
      </c>
      <c r="I612" s="11" t="s">
        <v>44</v>
      </c>
    </row>
    <row r="613" ht="22.5" customHeight="1">
      <c r="A613" s="10">
        <v>45710.596900046294</v>
      </c>
      <c r="B613" s="11" t="s">
        <v>20</v>
      </c>
      <c r="C613" s="11">
        <v>94.0</v>
      </c>
      <c r="D613" s="11" t="s">
        <v>128</v>
      </c>
      <c r="H613" s="11" t="s">
        <v>28</v>
      </c>
      <c r="I613" s="11" t="s">
        <v>43</v>
      </c>
    </row>
    <row r="614" ht="22.5" customHeight="1">
      <c r="A614" s="10">
        <v>45710.970692118055</v>
      </c>
      <c r="B614" s="11" t="s">
        <v>20</v>
      </c>
      <c r="C614" s="11">
        <v>110.0</v>
      </c>
      <c r="D614" s="11" t="s">
        <v>128</v>
      </c>
      <c r="H614" s="11" t="s">
        <v>28</v>
      </c>
      <c r="I614" s="11" t="s">
        <v>35</v>
      </c>
    </row>
    <row r="615" ht="22.5" customHeight="1">
      <c r="A615" s="10">
        <v>45712.77236596065</v>
      </c>
      <c r="B615" s="11" t="s">
        <v>20</v>
      </c>
      <c r="C615" s="11">
        <v>410.0</v>
      </c>
      <c r="D615" s="11" t="s">
        <v>127</v>
      </c>
      <c r="H615" s="11" t="s">
        <v>28</v>
      </c>
      <c r="I615" s="11" t="s">
        <v>44</v>
      </c>
    </row>
    <row r="616" ht="22.5" customHeight="1">
      <c r="A616" s="10">
        <v>45712.772604224534</v>
      </c>
      <c r="B616" s="11" t="s">
        <v>20</v>
      </c>
      <c r="C616" s="11">
        <v>180.0</v>
      </c>
      <c r="D616" s="11" t="s">
        <v>127</v>
      </c>
      <c r="H616" s="11" t="s">
        <v>28</v>
      </c>
      <c r="I616" s="11" t="s">
        <v>43</v>
      </c>
    </row>
    <row r="617" ht="22.5" customHeight="1">
      <c r="A617" s="10">
        <v>45712.7727447338</v>
      </c>
      <c r="B617" s="11" t="s">
        <v>20</v>
      </c>
      <c r="C617" s="11">
        <v>226.0</v>
      </c>
      <c r="D617" s="11" t="s">
        <v>127</v>
      </c>
      <c r="H617" s="11" t="s">
        <v>28</v>
      </c>
      <c r="I617" s="11" t="s">
        <v>30</v>
      </c>
    </row>
    <row r="618" ht="22.5" customHeight="1">
      <c r="A618" s="10">
        <v>45712.77294081019</v>
      </c>
      <c r="B618" s="11" t="s">
        <v>20</v>
      </c>
      <c r="C618" s="11">
        <v>932.0</v>
      </c>
      <c r="D618" s="11" t="s">
        <v>128</v>
      </c>
      <c r="H618" s="11" t="s">
        <v>21</v>
      </c>
      <c r="L618" s="11" t="s">
        <v>23</v>
      </c>
    </row>
    <row r="619" ht="22.5" customHeight="1">
      <c r="A619" s="10">
        <v>45712.77315459491</v>
      </c>
      <c r="B619" s="11" t="s">
        <v>20</v>
      </c>
      <c r="C619" s="11">
        <v>985.0</v>
      </c>
      <c r="D619" s="11" t="s">
        <v>128</v>
      </c>
      <c r="H619" s="11" t="s">
        <v>28</v>
      </c>
      <c r="I619" s="11" t="s">
        <v>34</v>
      </c>
    </row>
    <row r="620" ht="22.5" customHeight="1">
      <c r="A620" s="10">
        <v>45712.77339364583</v>
      </c>
      <c r="B620" s="11" t="s">
        <v>20</v>
      </c>
      <c r="C620" s="11">
        <v>1848.0</v>
      </c>
      <c r="D620" s="11" t="s">
        <v>128</v>
      </c>
      <c r="H620" s="11" t="s">
        <v>26</v>
      </c>
      <c r="J620" s="11" t="s">
        <v>27</v>
      </c>
    </row>
    <row r="621" ht="22.5" customHeight="1">
      <c r="A621" s="10">
        <v>45715.920078298615</v>
      </c>
      <c r="B621" s="11" t="s">
        <v>20</v>
      </c>
      <c r="C621" s="11">
        <v>699.0</v>
      </c>
      <c r="D621" s="11" t="s">
        <v>128</v>
      </c>
      <c r="H621" s="11" t="s">
        <v>21</v>
      </c>
      <c r="L621" s="11" t="s">
        <v>22</v>
      </c>
    </row>
    <row r="622" ht="22.5" customHeight="1">
      <c r="A622" s="10">
        <v>45716.95764946759</v>
      </c>
      <c r="B622" s="11" t="s">
        <v>20</v>
      </c>
      <c r="C622" s="11">
        <v>50.0</v>
      </c>
      <c r="D622" s="11" t="s">
        <v>128</v>
      </c>
      <c r="H622" s="11" t="s">
        <v>24</v>
      </c>
      <c r="M622" s="11" t="s">
        <v>54</v>
      </c>
    </row>
    <row r="623" ht="22.5" customHeight="1">
      <c r="A623" s="10">
        <v>45716.95790057871</v>
      </c>
      <c r="B623" s="11" t="s">
        <v>20</v>
      </c>
      <c r="C623" s="11">
        <v>350.0</v>
      </c>
      <c r="D623" s="11" t="s">
        <v>128</v>
      </c>
      <c r="H623" s="11" t="s">
        <v>28</v>
      </c>
      <c r="I623" s="11" t="s">
        <v>44</v>
      </c>
    </row>
    <row r="624" ht="22.5" customHeight="1">
      <c r="A624" s="10">
        <v>45716.95813138889</v>
      </c>
      <c r="B624" s="11" t="s">
        <v>20</v>
      </c>
      <c r="C624" s="11">
        <v>30.0</v>
      </c>
      <c r="D624" s="11" t="s">
        <v>128</v>
      </c>
      <c r="H624" s="11" t="s">
        <v>28</v>
      </c>
      <c r="I624" s="11" t="s">
        <v>43</v>
      </c>
    </row>
    <row r="625" ht="22.5" customHeight="1">
      <c r="A625" s="10">
        <v>45716.95831939815</v>
      </c>
      <c r="B625" s="11" t="s">
        <v>20</v>
      </c>
      <c r="C625" s="11">
        <v>350.0</v>
      </c>
      <c r="D625" s="11" t="s">
        <v>128</v>
      </c>
      <c r="H625" s="11" t="s">
        <v>28</v>
      </c>
      <c r="I625" s="11" t="s">
        <v>30</v>
      </c>
    </row>
    <row r="626" ht="22.5" customHeight="1">
      <c r="A626" s="10">
        <v>45717.4152405787</v>
      </c>
      <c r="B626" s="11" t="s">
        <v>38</v>
      </c>
      <c r="C626" s="11">
        <v>5000.0</v>
      </c>
      <c r="D626" s="11" t="s">
        <v>128</v>
      </c>
      <c r="E626" s="11" t="s">
        <v>39</v>
      </c>
      <c r="G626" s="11" t="s">
        <v>139</v>
      </c>
    </row>
    <row r="627" ht="22.5" customHeight="1">
      <c r="A627" s="10">
        <v>45717.415491203705</v>
      </c>
      <c r="B627" s="11" t="s">
        <v>20</v>
      </c>
      <c r="C627" s="11">
        <v>20000.0</v>
      </c>
      <c r="D627" s="11" t="s">
        <v>128</v>
      </c>
      <c r="H627" s="11" t="s">
        <v>51</v>
      </c>
      <c r="K627" s="11" t="s">
        <v>98</v>
      </c>
    </row>
    <row r="628" ht="22.5" customHeight="1">
      <c r="A628" s="10">
        <v>45717.41566274306</v>
      </c>
      <c r="B628" s="11" t="s">
        <v>20</v>
      </c>
      <c r="C628" s="11">
        <v>6000.0</v>
      </c>
      <c r="D628" s="11" t="s">
        <v>128</v>
      </c>
      <c r="H628" s="11" t="s">
        <v>51</v>
      </c>
      <c r="K628" s="11" t="s">
        <v>131</v>
      </c>
    </row>
    <row r="629" ht="22.5" customHeight="1">
      <c r="A629" s="10">
        <v>45717.73442519676</v>
      </c>
      <c r="B629" s="11" t="s">
        <v>20</v>
      </c>
      <c r="C629" s="11">
        <v>460.0</v>
      </c>
      <c r="D629" s="11" t="s">
        <v>128</v>
      </c>
      <c r="H629" s="11" t="s">
        <v>28</v>
      </c>
      <c r="I629" s="11" t="s">
        <v>44</v>
      </c>
      <c r="S629" s="11" t="s">
        <v>227</v>
      </c>
    </row>
    <row r="630" ht="22.5" customHeight="1">
      <c r="A630" s="10">
        <v>45718.32944716435</v>
      </c>
      <c r="B630" s="11" t="s">
        <v>20</v>
      </c>
      <c r="C630" s="11">
        <v>49000.0</v>
      </c>
      <c r="D630" s="11" t="s">
        <v>127</v>
      </c>
      <c r="H630" s="11" t="s">
        <v>16</v>
      </c>
      <c r="Q630" s="11" t="s">
        <v>47</v>
      </c>
      <c r="S630" s="11" t="s">
        <v>228</v>
      </c>
      <c r="T630" s="11" t="s">
        <v>42</v>
      </c>
    </row>
    <row r="631" ht="22.5" customHeight="1">
      <c r="A631" s="10">
        <v>45718.51098358796</v>
      </c>
      <c r="B631" s="11" t="s">
        <v>20</v>
      </c>
      <c r="C631" s="11">
        <v>197.0</v>
      </c>
      <c r="D631" s="11" t="s">
        <v>128</v>
      </c>
      <c r="H631" s="11" t="s">
        <v>51</v>
      </c>
      <c r="K631" s="11" t="s">
        <v>90</v>
      </c>
    </row>
    <row r="632" ht="22.5" customHeight="1">
      <c r="A632" s="10">
        <v>45718.94453356482</v>
      </c>
      <c r="B632" s="11" t="s">
        <v>20</v>
      </c>
      <c r="C632" s="11">
        <v>370.0</v>
      </c>
      <c r="D632" s="11" t="s">
        <v>128</v>
      </c>
      <c r="H632" s="11" t="s">
        <v>28</v>
      </c>
      <c r="I632" s="11" t="s">
        <v>44</v>
      </c>
    </row>
    <row r="633" ht="22.5" customHeight="1">
      <c r="A633" s="10">
        <v>45718.94466689815</v>
      </c>
      <c r="B633" s="11" t="s">
        <v>20</v>
      </c>
      <c r="C633" s="11">
        <v>299.0</v>
      </c>
      <c r="D633" s="11" t="s">
        <v>128</v>
      </c>
      <c r="H633" s="11" t="s">
        <v>28</v>
      </c>
      <c r="I633" s="11" t="s">
        <v>30</v>
      </c>
    </row>
    <row r="634" ht="22.5" customHeight="1">
      <c r="A634" s="10">
        <v>45718.94487746528</v>
      </c>
      <c r="B634" s="11" t="s">
        <v>20</v>
      </c>
      <c r="C634" s="11">
        <v>585.0</v>
      </c>
      <c r="D634" s="11" t="s">
        <v>128</v>
      </c>
      <c r="H634" s="11" t="s">
        <v>28</v>
      </c>
      <c r="I634" s="11" t="s">
        <v>34</v>
      </c>
    </row>
    <row r="635" ht="22.5" customHeight="1">
      <c r="A635" s="10">
        <v>45718.94514766204</v>
      </c>
      <c r="B635" s="11" t="s">
        <v>20</v>
      </c>
      <c r="C635" s="11">
        <v>100.0</v>
      </c>
      <c r="D635" s="11" t="s">
        <v>128</v>
      </c>
      <c r="H635" s="11" t="s">
        <v>21</v>
      </c>
      <c r="L635" s="11" t="s">
        <v>176</v>
      </c>
    </row>
    <row r="636" ht="22.5" customHeight="1">
      <c r="A636" s="10">
        <v>45718.945416828705</v>
      </c>
      <c r="B636" s="11" t="s">
        <v>20</v>
      </c>
      <c r="C636" s="11">
        <v>1257.0</v>
      </c>
      <c r="D636" s="11" t="s">
        <v>128</v>
      </c>
      <c r="H636" s="11" t="s">
        <v>24</v>
      </c>
      <c r="M636" s="11" t="s">
        <v>96</v>
      </c>
    </row>
    <row r="637" ht="22.5" customHeight="1">
      <c r="A637" s="10">
        <v>45719.873299189814</v>
      </c>
      <c r="B637" s="11" t="s">
        <v>20</v>
      </c>
      <c r="C637" s="11">
        <v>103.0</v>
      </c>
      <c r="D637" s="11" t="s">
        <v>128</v>
      </c>
      <c r="H637" s="11" t="s">
        <v>21</v>
      </c>
      <c r="L637" s="11" t="s">
        <v>23</v>
      </c>
    </row>
    <row r="638" ht="22.5" customHeight="1">
      <c r="A638" s="10">
        <v>45719.91112802083</v>
      </c>
      <c r="B638" s="11" t="s">
        <v>20</v>
      </c>
      <c r="C638" s="11">
        <v>1534.0</v>
      </c>
      <c r="D638" s="11">
        <v>2.0250301E7</v>
      </c>
      <c r="H638" s="11" t="s">
        <v>24</v>
      </c>
      <c r="M638" s="11" t="s">
        <v>49</v>
      </c>
      <c r="S638" s="11" t="s">
        <v>229</v>
      </c>
    </row>
    <row r="639" ht="22.5" customHeight="1">
      <c r="A639" s="10">
        <v>45720.91655807871</v>
      </c>
      <c r="B639" s="11" t="s">
        <v>20</v>
      </c>
      <c r="C639" s="11">
        <v>7802.0</v>
      </c>
      <c r="D639" s="11" t="s">
        <v>128</v>
      </c>
      <c r="H639" s="11" t="s">
        <v>51</v>
      </c>
      <c r="K639" s="11" t="s">
        <v>111</v>
      </c>
    </row>
    <row r="640" ht="22.5" customHeight="1">
      <c r="A640" s="10">
        <v>45721.953146643515</v>
      </c>
      <c r="B640" s="11" t="s">
        <v>20</v>
      </c>
      <c r="C640" s="11">
        <v>433.0</v>
      </c>
      <c r="D640" s="11" t="s">
        <v>128</v>
      </c>
      <c r="H640" s="11" t="s">
        <v>28</v>
      </c>
      <c r="I640" s="11" t="s">
        <v>112</v>
      </c>
      <c r="S640" s="11" t="s">
        <v>230</v>
      </c>
    </row>
    <row r="641" ht="22.5" customHeight="1">
      <c r="A641" s="10">
        <v>45722.90571190973</v>
      </c>
      <c r="B641" s="11" t="s">
        <v>38</v>
      </c>
      <c r="C641" s="11">
        <v>101078.0</v>
      </c>
      <c r="D641" s="11" t="s">
        <v>127</v>
      </c>
      <c r="E641" s="11" t="s">
        <v>61</v>
      </c>
      <c r="F641" s="11" t="s">
        <v>62</v>
      </c>
      <c r="S641" s="11" t="s">
        <v>231</v>
      </c>
      <c r="T641" s="11" t="s">
        <v>42</v>
      </c>
    </row>
    <row r="642" ht="22.5" customHeight="1">
      <c r="A642" s="10">
        <v>45722.90612275463</v>
      </c>
      <c r="B642" s="11" t="s">
        <v>38</v>
      </c>
      <c r="C642" s="11">
        <v>7443.0</v>
      </c>
      <c r="D642" s="11" t="s">
        <v>127</v>
      </c>
      <c r="E642" s="11" t="s">
        <v>61</v>
      </c>
      <c r="F642" s="11" t="s">
        <v>63</v>
      </c>
      <c r="S642" s="11" t="s">
        <v>232</v>
      </c>
      <c r="T642" s="11" t="s">
        <v>42</v>
      </c>
    </row>
    <row r="643" ht="22.5" customHeight="1">
      <c r="A643" s="10">
        <v>45722.906396817125</v>
      </c>
      <c r="B643" s="11" t="s">
        <v>38</v>
      </c>
      <c r="C643" s="11">
        <v>120.0</v>
      </c>
      <c r="D643" s="11" t="s">
        <v>127</v>
      </c>
      <c r="E643" s="11" t="s">
        <v>61</v>
      </c>
      <c r="F643" s="11" t="s">
        <v>63</v>
      </c>
      <c r="S643" s="11" t="s">
        <v>233</v>
      </c>
      <c r="T643" s="11" t="s">
        <v>42</v>
      </c>
    </row>
    <row r="644" ht="22.5" customHeight="1">
      <c r="A644" s="10">
        <v>45722.906713460645</v>
      </c>
      <c r="B644" s="11" t="s">
        <v>20</v>
      </c>
      <c r="C644" s="11">
        <v>1192.0</v>
      </c>
      <c r="D644" s="11" t="s">
        <v>127</v>
      </c>
      <c r="H644" s="11" t="s">
        <v>28</v>
      </c>
      <c r="I644" s="11" t="s">
        <v>33</v>
      </c>
    </row>
    <row r="645" ht="22.5" customHeight="1">
      <c r="A645" s="10">
        <v>45722.90734262731</v>
      </c>
      <c r="B645" s="11" t="s">
        <v>20</v>
      </c>
      <c r="C645" s="11">
        <v>2816.0</v>
      </c>
      <c r="D645" s="11" t="s">
        <v>127</v>
      </c>
      <c r="H645" s="11" t="s">
        <v>57</v>
      </c>
      <c r="N645" s="11" t="s">
        <v>58</v>
      </c>
    </row>
    <row r="646" ht="22.5" customHeight="1">
      <c r="A646" s="10">
        <v>45722.90753829861</v>
      </c>
      <c r="B646" s="11" t="s">
        <v>20</v>
      </c>
      <c r="C646" s="11">
        <v>515.0</v>
      </c>
      <c r="D646" s="11" t="s">
        <v>127</v>
      </c>
      <c r="H646" s="11" t="s">
        <v>24</v>
      </c>
      <c r="M646" s="11" t="s">
        <v>32</v>
      </c>
    </row>
    <row r="647" ht="22.5" customHeight="1">
      <c r="A647" s="10">
        <v>45722.90779545139</v>
      </c>
      <c r="B647" s="11" t="s">
        <v>20</v>
      </c>
      <c r="C647" s="11">
        <v>3080.0</v>
      </c>
      <c r="D647" s="11" t="s">
        <v>127</v>
      </c>
      <c r="H647" s="11" t="s">
        <v>57</v>
      </c>
      <c r="N647" s="11" t="s">
        <v>75</v>
      </c>
    </row>
    <row r="648" ht="22.5" customHeight="1">
      <c r="A648" s="10">
        <v>45722.97587039352</v>
      </c>
      <c r="B648" s="11" t="s">
        <v>38</v>
      </c>
      <c r="C648" s="11">
        <v>6890.0</v>
      </c>
      <c r="D648" s="11">
        <v>2.0250113E7</v>
      </c>
      <c r="E648" s="11" t="s">
        <v>39</v>
      </c>
      <c r="G648" s="11" t="s">
        <v>40</v>
      </c>
      <c r="S648" s="11" t="s">
        <v>167</v>
      </c>
      <c r="T648" s="11" t="s">
        <v>42</v>
      </c>
    </row>
    <row r="649" ht="22.5" customHeight="1">
      <c r="A649" s="10">
        <v>45722.976904317125</v>
      </c>
      <c r="B649" s="11" t="s">
        <v>38</v>
      </c>
      <c r="C649" s="11">
        <v>1820.0</v>
      </c>
      <c r="D649" s="11">
        <v>2.0250113E7</v>
      </c>
      <c r="E649" s="11" t="s">
        <v>39</v>
      </c>
      <c r="G649" s="11" t="s">
        <v>40</v>
      </c>
      <c r="S649" s="11" t="s">
        <v>184</v>
      </c>
      <c r="T649" s="11" t="s">
        <v>42</v>
      </c>
    </row>
    <row r="650" ht="22.5" customHeight="1">
      <c r="A650" s="10">
        <v>45722.97766391204</v>
      </c>
      <c r="B650" s="11" t="s">
        <v>38</v>
      </c>
      <c r="C650" s="11">
        <v>1680.0</v>
      </c>
      <c r="D650" s="11">
        <v>2.025022E7</v>
      </c>
      <c r="E650" s="11" t="s">
        <v>39</v>
      </c>
      <c r="G650" s="11" t="s">
        <v>40</v>
      </c>
      <c r="S650" s="11" t="s">
        <v>184</v>
      </c>
      <c r="T650" s="11" t="s">
        <v>42</v>
      </c>
    </row>
    <row r="651" ht="22.5" customHeight="1">
      <c r="A651" s="10">
        <v>45722.97995230324</v>
      </c>
      <c r="B651" s="11" t="s">
        <v>20</v>
      </c>
      <c r="C651" s="11">
        <v>400.0</v>
      </c>
      <c r="D651" s="11">
        <v>2.0250223E7</v>
      </c>
      <c r="H651" s="11" t="s">
        <v>21</v>
      </c>
      <c r="L651" s="11" t="s">
        <v>77</v>
      </c>
    </row>
    <row r="652" ht="22.5" customHeight="1">
      <c r="A652" s="10">
        <v>45722.980767256944</v>
      </c>
      <c r="B652" s="11" t="s">
        <v>20</v>
      </c>
      <c r="C652" s="11">
        <v>285.0</v>
      </c>
      <c r="D652" s="11">
        <v>2.0250228E7</v>
      </c>
      <c r="H652" s="11" t="s">
        <v>21</v>
      </c>
      <c r="L652" s="11" t="s">
        <v>31</v>
      </c>
    </row>
    <row r="653" ht="22.5" customHeight="1">
      <c r="A653" s="10">
        <v>45722.982821365746</v>
      </c>
      <c r="B653" s="11" t="s">
        <v>20</v>
      </c>
      <c r="C653" s="11">
        <v>3087.0</v>
      </c>
      <c r="D653" s="11" t="s">
        <v>127</v>
      </c>
      <c r="H653" s="11" t="s">
        <v>59</v>
      </c>
      <c r="R653" s="11" t="s">
        <v>60</v>
      </c>
    </row>
    <row r="654" ht="22.5" customHeight="1">
      <c r="A654" s="10">
        <v>45724.40633304398</v>
      </c>
      <c r="B654" s="11" t="s">
        <v>20</v>
      </c>
      <c r="C654" s="11">
        <v>10.0</v>
      </c>
      <c r="D654" s="11" t="s">
        <v>128</v>
      </c>
      <c r="H654" s="11" t="s">
        <v>21</v>
      </c>
      <c r="L654" s="11" t="s">
        <v>130</v>
      </c>
    </row>
    <row r="655" ht="22.5" customHeight="1">
      <c r="A655" s="10">
        <v>45724.99054134259</v>
      </c>
      <c r="B655" s="11" t="s">
        <v>20</v>
      </c>
      <c r="C655" s="11">
        <v>335.0</v>
      </c>
      <c r="D655" s="11" t="s">
        <v>128</v>
      </c>
      <c r="H655" s="11" t="s">
        <v>28</v>
      </c>
      <c r="I655" s="11" t="s">
        <v>30</v>
      </c>
    </row>
    <row r="656" ht="22.5" customHeight="1">
      <c r="A656" s="10">
        <v>45724.99074858797</v>
      </c>
      <c r="B656" s="11" t="s">
        <v>20</v>
      </c>
      <c r="C656" s="11">
        <v>25.0</v>
      </c>
      <c r="D656" s="11" t="s">
        <v>128</v>
      </c>
      <c r="H656" s="11" t="s">
        <v>21</v>
      </c>
      <c r="L656" s="11" t="s">
        <v>31</v>
      </c>
    </row>
    <row r="657" ht="22.5" customHeight="1">
      <c r="A657" s="10">
        <v>45725.928454016204</v>
      </c>
      <c r="B657" s="11" t="s">
        <v>20</v>
      </c>
      <c r="C657" s="11">
        <v>1656.0</v>
      </c>
      <c r="D657" s="11" t="s">
        <v>128</v>
      </c>
      <c r="H657" s="11" t="s">
        <v>28</v>
      </c>
      <c r="I657" s="11" t="s">
        <v>34</v>
      </c>
      <c r="S657" s="11" t="s">
        <v>113</v>
      </c>
    </row>
    <row r="658" ht="22.5" customHeight="1">
      <c r="A658" s="10">
        <v>45730.56880252315</v>
      </c>
      <c r="B658" s="11" t="s">
        <v>20</v>
      </c>
      <c r="C658" s="11">
        <v>420.0</v>
      </c>
      <c r="D658" s="11" t="s">
        <v>127</v>
      </c>
      <c r="H658" s="11" t="s">
        <v>28</v>
      </c>
      <c r="I658" s="11" t="s">
        <v>35</v>
      </c>
    </row>
    <row r="659" ht="22.5" customHeight="1">
      <c r="A659" s="10">
        <v>45731.757509421295</v>
      </c>
      <c r="B659" s="11" t="s">
        <v>20</v>
      </c>
      <c r="C659" s="11">
        <v>1000.0</v>
      </c>
      <c r="D659" s="11" t="s">
        <v>128</v>
      </c>
      <c r="H659" s="11" t="s">
        <v>28</v>
      </c>
      <c r="I659" s="11" t="s">
        <v>44</v>
      </c>
      <c r="S659" s="11" t="s">
        <v>234</v>
      </c>
    </row>
    <row r="660" ht="22.5" customHeight="1">
      <c r="A660" s="10">
        <v>45731.75772096065</v>
      </c>
      <c r="B660" s="11" t="s">
        <v>20</v>
      </c>
      <c r="C660" s="11">
        <v>180.0</v>
      </c>
      <c r="D660" s="11" t="s">
        <v>128</v>
      </c>
      <c r="H660" s="11" t="s">
        <v>21</v>
      </c>
      <c r="L660" s="11" t="s">
        <v>31</v>
      </c>
    </row>
    <row r="661" ht="22.5" customHeight="1">
      <c r="A661" s="10">
        <v>45731.757927071754</v>
      </c>
      <c r="B661" s="11" t="s">
        <v>20</v>
      </c>
      <c r="C661" s="11">
        <v>686.0</v>
      </c>
      <c r="D661" s="11" t="s">
        <v>128</v>
      </c>
      <c r="H661" s="11" t="s">
        <v>21</v>
      </c>
      <c r="L661" s="11" t="s">
        <v>23</v>
      </c>
    </row>
    <row r="662" ht="22.5" customHeight="1">
      <c r="A662" s="10">
        <v>45732.67928517361</v>
      </c>
      <c r="B662" s="11" t="s">
        <v>20</v>
      </c>
      <c r="C662" s="11">
        <v>235.0</v>
      </c>
      <c r="D662" s="11" t="s">
        <v>128</v>
      </c>
      <c r="H662" s="11" t="s">
        <v>28</v>
      </c>
      <c r="I662" s="11" t="s">
        <v>112</v>
      </c>
    </row>
    <row r="663" ht="22.5" customHeight="1">
      <c r="A663" s="10">
        <v>45732.69018959491</v>
      </c>
      <c r="B663" s="11" t="s">
        <v>20</v>
      </c>
      <c r="C663" s="11">
        <v>137.0</v>
      </c>
      <c r="D663" s="11" t="s">
        <v>128</v>
      </c>
      <c r="H663" s="11" t="s">
        <v>28</v>
      </c>
      <c r="I663" s="11" t="s">
        <v>30</v>
      </c>
    </row>
    <row r="664" ht="22.5" customHeight="1">
      <c r="A664" s="10">
        <v>45733.91129188657</v>
      </c>
      <c r="B664" s="11" t="s">
        <v>20</v>
      </c>
      <c r="C664" s="11">
        <v>113.0</v>
      </c>
      <c r="D664" s="11" t="s">
        <v>128</v>
      </c>
      <c r="H664" s="11" t="s">
        <v>21</v>
      </c>
      <c r="L664" s="11" t="s">
        <v>23</v>
      </c>
    </row>
    <row r="665" ht="22.5" customHeight="1">
      <c r="A665" s="10">
        <v>45734.93815230324</v>
      </c>
      <c r="B665" s="11" t="s">
        <v>20</v>
      </c>
      <c r="C665" s="11">
        <v>200.0</v>
      </c>
      <c r="D665" s="11" t="s">
        <v>128</v>
      </c>
      <c r="H665" s="11" t="s">
        <v>94</v>
      </c>
      <c r="O665" s="11" t="s">
        <v>153</v>
      </c>
    </row>
    <row r="666" ht="22.5" customHeight="1">
      <c r="A666" s="10">
        <v>45734.94062487269</v>
      </c>
      <c r="B666" s="11" t="s">
        <v>20</v>
      </c>
      <c r="C666" s="11">
        <v>608.0</v>
      </c>
      <c r="D666" s="11" t="s">
        <v>128</v>
      </c>
      <c r="H666" s="11" t="s">
        <v>51</v>
      </c>
      <c r="K666" s="11" t="s">
        <v>124</v>
      </c>
    </row>
    <row r="667" ht="22.5" customHeight="1">
      <c r="A667" s="10">
        <v>45737.80016605324</v>
      </c>
      <c r="B667" s="11" t="s">
        <v>20</v>
      </c>
      <c r="C667" s="11">
        <v>950.0</v>
      </c>
      <c r="D667" s="11" t="s">
        <v>128</v>
      </c>
      <c r="H667" s="11" t="s">
        <v>21</v>
      </c>
      <c r="L667" s="11" t="s">
        <v>36</v>
      </c>
    </row>
    <row r="668" ht="22.5" customHeight="1">
      <c r="A668" s="10">
        <v>45738.263288946764</v>
      </c>
      <c r="B668" s="11" t="s">
        <v>20</v>
      </c>
      <c r="C668" s="11">
        <v>35.0</v>
      </c>
      <c r="D668" s="11" t="s">
        <v>127</v>
      </c>
      <c r="H668" s="11" t="s">
        <v>21</v>
      </c>
      <c r="L668" s="11" t="s">
        <v>46</v>
      </c>
    </row>
    <row r="669" ht="22.5" customHeight="1">
      <c r="A669" s="10">
        <v>45738.49714883102</v>
      </c>
      <c r="B669" s="11" t="s">
        <v>20</v>
      </c>
      <c r="C669" s="11">
        <v>622.0</v>
      </c>
      <c r="D669" s="11">
        <v>2.0250324E7</v>
      </c>
      <c r="H669" s="11" t="s">
        <v>21</v>
      </c>
      <c r="L669" s="11" t="s">
        <v>22</v>
      </c>
    </row>
    <row r="670" ht="22.5" customHeight="1">
      <c r="A670" s="10">
        <v>45739.449772002314</v>
      </c>
      <c r="B670" s="11" t="s">
        <v>20</v>
      </c>
      <c r="C670" s="11">
        <v>722.0</v>
      </c>
      <c r="D670" s="11">
        <v>2.0250328E7</v>
      </c>
      <c r="H670" s="11" t="s">
        <v>26</v>
      </c>
      <c r="J670" s="11" t="s">
        <v>50</v>
      </c>
    </row>
    <row r="671" ht="22.5" customHeight="1">
      <c r="A671" s="10">
        <v>45739.533486597225</v>
      </c>
      <c r="B671" s="11" t="s">
        <v>20</v>
      </c>
      <c r="C671" s="11">
        <v>550.0</v>
      </c>
      <c r="D671" s="11" t="s">
        <v>128</v>
      </c>
      <c r="H671" s="11" t="s">
        <v>24</v>
      </c>
      <c r="M671" s="11" t="s">
        <v>45</v>
      </c>
    </row>
    <row r="672" ht="22.5" customHeight="1">
      <c r="A672" s="10">
        <v>45739.55229752314</v>
      </c>
      <c r="B672" s="11" t="s">
        <v>20</v>
      </c>
      <c r="C672" s="11">
        <v>73.0</v>
      </c>
      <c r="D672" s="11" t="s">
        <v>128</v>
      </c>
      <c r="H672" s="11" t="s">
        <v>28</v>
      </c>
      <c r="I672" s="11" t="s">
        <v>44</v>
      </c>
    </row>
    <row r="673" ht="22.5" customHeight="1">
      <c r="A673" s="10">
        <v>45739.81627597222</v>
      </c>
      <c r="B673" s="11" t="s">
        <v>20</v>
      </c>
      <c r="C673" s="11">
        <v>50.0</v>
      </c>
      <c r="D673" s="11" t="s">
        <v>128</v>
      </c>
      <c r="H673" s="11" t="s">
        <v>21</v>
      </c>
      <c r="L673" s="11" t="s">
        <v>46</v>
      </c>
    </row>
    <row r="674" ht="22.5" customHeight="1">
      <c r="A674" s="10">
        <v>45742.338128171294</v>
      </c>
      <c r="B674" s="11" t="s">
        <v>20</v>
      </c>
      <c r="C674" s="11">
        <v>508.0</v>
      </c>
      <c r="D674" s="11" t="s">
        <v>128</v>
      </c>
      <c r="H674" s="11" t="s">
        <v>51</v>
      </c>
      <c r="K674" s="11" t="s">
        <v>185</v>
      </c>
    </row>
    <row r="675" ht="22.5" customHeight="1">
      <c r="A675" s="10">
        <v>45742.66285209491</v>
      </c>
      <c r="B675" s="11" t="s">
        <v>20</v>
      </c>
      <c r="C675" s="11">
        <v>200.0</v>
      </c>
      <c r="D675" s="11" t="s">
        <v>128</v>
      </c>
      <c r="H675" s="11" t="s">
        <v>94</v>
      </c>
      <c r="O675" s="11" t="s">
        <v>153</v>
      </c>
    </row>
    <row r="676" ht="22.5" customHeight="1">
      <c r="A676" s="10">
        <v>45742.76898133101</v>
      </c>
      <c r="B676" s="11" t="s">
        <v>20</v>
      </c>
      <c r="C676" s="11">
        <v>124.0</v>
      </c>
      <c r="D676" s="11" t="s">
        <v>128</v>
      </c>
      <c r="H676" s="11" t="s">
        <v>21</v>
      </c>
      <c r="L676" s="11" t="s">
        <v>202</v>
      </c>
    </row>
    <row r="677" ht="22.5" customHeight="1">
      <c r="A677" s="10">
        <v>45742.895803182866</v>
      </c>
      <c r="B677" s="11" t="s">
        <v>20</v>
      </c>
      <c r="C677" s="11">
        <v>341.0</v>
      </c>
      <c r="D677" s="11" t="s">
        <v>128</v>
      </c>
      <c r="H677" s="11" t="s">
        <v>26</v>
      </c>
      <c r="J677" s="11" t="s">
        <v>27</v>
      </c>
    </row>
    <row r="678" ht="22.5" customHeight="1">
      <c r="A678" s="10">
        <v>45745.43411986111</v>
      </c>
      <c r="B678" s="11" t="s">
        <v>20</v>
      </c>
      <c r="C678" s="11">
        <v>4162.0</v>
      </c>
      <c r="D678" s="11" t="s">
        <v>128</v>
      </c>
      <c r="H678" s="11" t="s">
        <v>21</v>
      </c>
      <c r="L678" s="11" t="s">
        <v>235</v>
      </c>
    </row>
    <row r="679" ht="22.5" customHeight="1">
      <c r="A679" s="10">
        <v>45745.43426504629</v>
      </c>
      <c r="B679" s="11" t="s">
        <v>20</v>
      </c>
      <c r="C679" s="11">
        <v>133.0</v>
      </c>
      <c r="D679" s="11" t="s">
        <v>127</v>
      </c>
      <c r="H679" s="11" t="s">
        <v>28</v>
      </c>
      <c r="I679" s="11" t="s">
        <v>44</v>
      </c>
    </row>
    <row r="680" ht="22.5" customHeight="1">
      <c r="A680" s="10">
        <v>45745.434423784725</v>
      </c>
      <c r="B680" s="11" t="s">
        <v>20</v>
      </c>
      <c r="C680" s="11">
        <v>115.0</v>
      </c>
      <c r="D680" s="11" t="s">
        <v>127</v>
      </c>
      <c r="H680" s="11" t="s">
        <v>28</v>
      </c>
      <c r="I680" s="11" t="s">
        <v>35</v>
      </c>
    </row>
    <row r="681" ht="22.5" customHeight="1">
      <c r="A681" s="10">
        <v>45745.47713655092</v>
      </c>
      <c r="B681" s="11" t="s">
        <v>20</v>
      </c>
      <c r="C681" s="11">
        <v>105.0</v>
      </c>
      <c r="D681" s="11" t="s">
        <v>128</v>
      </c>
      <c r="H681" s="11" t="s">
        <v>28</v>
      </c>
      <c r="I681" s="11" t="s">
        <v>44</v>
      </c>
    </row>
    <row r="682" ht="22.5" customHeight="1">
      <c r="A682" s="10">
        <v>45745.836109027776</v>
      </c>
      <c r="B682" s="11" t="s">
        <v>20</v>
      </c>
      <c r="C682" s="11">
        <v>60.0</v>
      </c>
      <c r="D682" s="11" t="s">
        <v>128</v>
      </c>
      <c r="H682" s="11" t="s">
        <v>21</v>
      </c>
      <c r="L682" s="11" t="s">
        <v>31</v>
      </c>
    </row>
    <row r="683" ht="22.5" customHeight="1">
      <c r="A683" s="10">
        <v>45745.83626357639</v>
      </c>
      <c r="B683" s="11" t="s">
        <v>20</v>
      </c>
      <c r="C683" s="11">
        <v>770.0</v>
      </c>
      <c r="D683" s="11" t="s">
        <v>128</v>
      </c>
      <c r="H683" s="11" t="s">
        <v>28</v>
      </c>
      <c r="I683" s="11" t="s">
        <v>34</v>
      </c>
    </row>
    <row r="684" ht="22.5" customHeight="1">
      <c r="A684" s="10">
        <v>45746.8878459838</v>
      </c>
      <c r="B684" s="11" t="s">
        <v>20</v>
      </c>
      <c r="C684" s="11">
        <v>85.0</v>
      </c>
      <c r="D684" s="11" t="s">
        <v>128</v>
      </c>
      <c r="H684" s="11" t="s">
        <v>28</v>
      </c>
      <c r="I684" s="11" t="s">
        <v>34</v>
      </c>
    </row>
    <row r="685" ht="22.5" customHeight="1">
      <c r="A685" s="10">
        <v>45746.88798849537</v>
      </c>
      <c r="B685" s="11" t="s">
        <v>20</v>
      </c>
      <c r="C685" s="11">
        <v>450.0</v>
      </c>
      <c r="D685" s="11" t="s">
        <v>128</v>
      </c>
      <c r="H685" s="11" t="s">
        <v>28</v>
      </c>
      <c r="I685" s="11" t="s">
        <v>44</v>
      </c>
    </row>
    <row r="686" ht="22.5" customHeight="1">
      <c r="A686" s="10">
        <v>45746.88819020834</v>
      </c>
      <c r="B686" s="11" t="s">
        <v>20</v>
      </c>
      <c r="C686" s="11">
        <v>83.0</v>
      </c>
      <c r="D686" s="11" t="s">
        <v>128</v>
      </c>
      <c r="H686" s="11" t="s">
        <v>21</v>
      </c>
      <c r="L686" s="11" t="s">
        <v>23</v>
      </c>
    </row>
    <row r="687" ht="22.5" customHeight="1">
      <c r="A687" s="10">
        <v>45747.3054884375</v>
      </c>
      <c r="B687" s="11" t="s">
        <v>20</v>
      </c>
      <c r="C687" s="11">
        <v>699.0</v>
      </c>
      <c r="D687" s="11" t="s">
        <v>128</v>
      </c>
      <c r="H687" s="11" t="s">
        <v>21</v>
      </c>
      <c r="L687" s="11" t="s">
        <v>46</v>
      </c>
    </row>
    <row r="688" ht="22.5" customHeight="1">
      <c r="A688" s="10">
        <v>45748.32092844907</v>
      </c>
      <c r="B688" s="11" t="s">
        <v>20</v>
      </c>
      <c r="C688" s="11">
        <v>20000.0</v>
      </c>
      <c r="D688" s="11" t="s">
        <v>128</v>
      </c>
      <c r="H688" s="11" t="s">
        <v>51</v>
      </c>
      <c r="K688" s="11" t="s">
        <v>98</v>
      </c>
    </row>
    <row r="689" ht="22.5" customHeight="1">
      <c r="A689" s="10">
        <v>45748.32109618056</v>
      </c>
      <c r="B689" s="11" t="s">
        <v>20</v>
      </c>
      <c r="C689" s="11">
        <v>6000.0</v>
      </c>
      <c r="D689" s="11" t="s">
        <v>128</v>
      </c>
      <c r="H689" s="11" t="s">
        <v>51</v>
      </c>
      <c r="K689" s="11" t="s">
        <v>131</v>
      </c>
    </row>
    <row r="690" ht="22.5" customHeight="1">
      <c r="A690" s="10">
        <v>45749.75791368056</v>
      </c>
      <c r="B690" s="11" t="s">
        <v>20</v>
      </c>
      <c r="C690" s="11">
        <v>150.0</v>
      </c>
      <c r="D690" s="11" t="s">
        <v>128</v>
      </c>
      <c r="H690" s="11" t="s">
        <v>94</v>
      </c>
      <c r="O690" s="11" t="s">
        <v>153</v>
      </c>
    </row>
    <row r="691" ht="22.5" customHeight="1">
      <c r="A691" s="10">
        <v>45749.758212465276</v>
      </c>
      <c r="B691" s="11" t="s">
        <v>20</v>
      </c>
      <c r="C691" s="11">
        <v>4000.0</v>
      </c>
      <c r="D691" s="11" t="s">
        <v>128</v>
      </c>
      <c r="H691" s="11" t="s">
        <v>94</v>
      </c>
      <c r="O691" s="11" t="s">
        <v>153</v>
      </c>
      <c r="S691" s="11" t="s">
        <v>236</v>
      </c>
      <c r="T691" s="11" t="s">
        <v>42</v>
      </c>
    </row>
    <row r="692" ht="22.5" customHeight="1">
      <c r="A692" s="10">
        <v>45750.62585630787</v>
      </c>
      <c r="B692" s="11" t="s">
        <v>20</v>
      </c>
      <c r="C692" s="11">
        <v>765.0</v>
      </c>
      <c r="D692" s="11" t="s">
        <v>128</v>
      </c>
      <c r="H692" s="11" t="s">
        <v>21</v>
      </c>
      <c r="L692" s="11" t="s">
        <v>36</v>
      </c>
    </row>
    <row r="693" ht="22.5" customHeight="1">
      <c r="A693" s="10">
        <v>45750.7338484375</v>
      </c>
      <c r="B693" s="11" t="s">
        <v>20</v>
      </c>
      <c r="C693" s="11">
        <v>35.0</v>
      </c>
      <c r="D693" s="11" t="s">
        <v>128</v>
      </c>
      <c r="H693" s="11" t="s">
        <v>21</v>
      </c>
      <c r="L693" s="11" t="s">
        <v>46</v>
      </c>
    </row>
    <row r="694" ht="22.5" customHeight="1">
      <c r="A694" s="10">
        <v>45750.75483452546</v>
      </c>
      <c r="B694" s="11" t="s">
        <v>38</v>
      </c>
      <c r="C694" s="11">
        <v>2430.0</v>
      </c>
      <c r="D694" s="11">
        <v>2.0250317E7</v>
      </c>
      <c r="E694" s="11" t="s">
        <v>39</v>
      </c>
      <c r="G694" s="11" t="s">
        <v>40</v>
      </c>
      <c r="S694" s="11" t="s">
        <v>184</v>
      </c>
      <c r="T694" s="11" t="s">
        <v>42</v>
      </c>
    </row>
    <row r="695" ht="22.5" customHeight="1">
      <c r="A695" s="10">
        <v>45750.755253194446</v>
      </c>
      <c r="B695" s="11" t="s">
        <v>38</v>
      </c>
      <c r="C695" s="11">
        <v>4500.0</v>
      </c>
      <c r="D695" s="11">
        <v>2.0250314E7</v>
      </c>
      <c r="E695" s="11" t="s">
        <v>39</v>
      </c>
      <c r="G695" s="11" t="s">
        <v>40</v>
      </c>
      <c r="S695" s="11" t="s">
        <v>132</v>
      </c>
      <c r="T695" s="11" t="s">
        <v>42</v>
      </c>
    </row>
    <row r="696" ht="22.5" customHeight="1">
      <c r="A696" s="10">
        <v>45750.75655831018</v>
      </c>
      <c r="B696" s="11" t="s">
        <v>38</v>
      </c>
      <c r="C696" s="11">
        <v>102364.0</v>
      </c>
      <c r="D696" s="11" t="s">
        <v>128</v>
      </c>
      <c r="E696" s="11" t="s">
        <v>61</v>
      </c>
      <c r="F696" s="11" t="s">
        <v>62</v>
      </c>
      <c r="S696" s="11" t="s">
        <v>237</v>
      </c>
      <c r="T696" s="11" t="s">
        <v>42</v>
      </c>
    </row>
    <row r="697" ht="22.5" customHeight="1">
      <c r="A697" s="10">
        <v>45750.75801427083</v>
      </c>
      <c r="B697" s="11" t="s">
        <v>20</v>
      </c>
      <c r="C697" s="11">
        <v>3200.0</v>
      </c>
      <c r="D697" s="11" t="s">
        <v>128</v>
      </c>
      <c r="H697" s="11" t="s">
        <v>57</v>
      </c>
      <c r="N697" s="11" t="s">
        <v>75</v>
      </c>
    </row>
    <row r="698" ht="22.5" customHeight="1">
      <c r="A698" s="10">
        <v>45750.758528356484</v>
      </c>
      <c r="B698" s="11" t="s">
        <v>20</v>
      </c>
      <c r="C698" s="11">
        <v>2816.0</v>
      </c>
      <c r="D698" s="11" t="s">
        <v>128</v>
      </c>
      <c r="H698" s="11" t="s">
        <v>57</v>
      </c>
      <c r="N698" s="11" t="s">
        <v>58</v>
      </c>
    </row>
    <row r="699" ht="22.5" customHeight="1">
      <c r="A699" s="10">
        <v>45750.75929238426</v>
      </c>
      <c r="B699" s="11" t="s">
        <v>20</v>
      </c>
      <c r="C699" s="11">
        <v>3087.0</v>
      </c>
      <c r="D699" s="11" t="s">
        <v>128</v>
      </c>
      <c r="H699" s="11" t="s">
        <v>59</v>
      </c>
      <c r="R699" s="11" t="s">
        <v>60</v>
      </c>
    </row>
    <row r="700" ht="22.5" customHeight="1">
      <c r="A700" s="10">
        <v>45750.75949520833</v>
      </c>
      <c r="B700" s="11" t="s">
        <v>20</v>
      </c>
      <c r="C700" s="11">
        <v>1372.0</v>
      </c>
      <c r="D700" s="11" t="s">
        <v>128</v>
      </c>
      <c r="H700" s="11" t="s">
        <v>28</v>
      </c>
      <c r="I700" s="11" t="s">
        <v>33</v>
      </c>
    </row>
    <row r="701" ht="22.5" customHeight="1">
      <c r="A701" s="10">
        <v>45750.75965141204</v>
      </c>
      <c r="B701" s="11" t="s">
        <v>20</v>
      </c>
      <c r="C701" s="11">
        <v>515.0</v>
      </c>
      <c r="D701" s="11" t="s">
        <v>128</v>
      </c>
      <c r="H701" s="11" t="s">
        <v>24</v>
      </c>
      <c r="M701" s="11" t="s">
        <v>32</v>
      </c>
    </row>
    <row r="702" ht="22.5" customHeight="1">
      <c r="A702" s="10">
        <v>45750.76133393518</v>
      </c>
      <c r="B702" s="11" t="s">
        <v>20</v>
      </c>
      <c r="C702" s="11">
        <v>16.0</v>
      </c>
      <c r="D702" s="11">
        <v>2.0250323E7</v>
      </c>
      <c r="H702" s="11" t="s">
        <v>21</v>
      </c>
      <c r="L702" s="11" t="s">
        <v>31</v>
      </c>
    </row>
    <row r="703" ht="22.5" customHeight="1">
      <c r="A703" s="10">
        <v>45750.94881696759</v>
      </c>
      <c r="B703" s="11" t="s">
        <v>20</v>
      </c>
      <c r="C703" s="11">
        <v>905.0</v>
      </c>
      <c r="D703" s="11">
        <v>2.0250427E7</v>
      </c>
      <c r="H703" s="11" t="s">
        <v>21</v>
      </c>
      <c r="L703" s="11" t="s">
        <v>22</v>
      </c>
      <c r="S703" s="11" t="s">
        <v>238</v>
      </c>
    </row>
    <row r="704" ht="22.5" customHeight="1">
      <c r="A704" s="10">
        <v>45750.949326608796</v>
      </c>
      <c r="B704" s="11" t="s">
        <v>20</v>
      </c>
      <c r="C704" s="11">
        <v>966.0</v>
      </c>
      <c r="D704" s="11">
        <v>2.0250427E7</v>
      </c>
      <c r="H704" s="11" t="s">
        <v>24</v>
      </c>
      <c r="M704" s="11" t="s">
        <v>25</v>
      </c>
      <c r="S704" s="11" t="s">
        <v>239</v>
      </c>
    </row>
    <row r="705" ht="22.5" customHeight="1">
      <c r="A705" s="10">
        <v>45750.94981681713</v>
      </c>
      <c r="B705" s="11" t="s">
        <v>20</v>
      </c>
      <c r="C705" s="11">
        <v>6626.0</v>
      </c>
      <c r="D705" s="11">
        <v>2.0250426E7</v>
      </c>
      <c r="H705" s="11" t="s">
        <v>24</v>
      </c>
      <c r="M705" s="11" t="s">
        <v>25</v>
      </c>
      <c r="S705" s="11" t="s">
        <v>240</v>
      </c>
      <c r="T705" s="11" t="s">
        <v>42</v>
      </c>
    </row>
    <row r="706" ht="22.5" customHeight="1">
      <c r="A706" s="10">
        <v>45750.950298055555</v>
      </c>
      <c r="B706" s="11" t="s">
        <v>20</v>
      </c>
      <c r="C706" s="11">
        <v>831.0</v>
      </c>
      <c r="D706" s="11">
        <v>2.0250425E7</v>
      </c>
      <c r="H706" s="11" t="s">
        <v>21</v>
      </c>
      <c r="L706" s="11" t="s">
        <v>22</v>
      </c>
      <c r="S706" s="11" t="s">
        <v>241</v>
      </c>
    </row>
    <row r="707" ht="22.5" customHeight="1">
      <c r="A707" s="10">
        <v>45751.57598197917</v>
      </c>
      <c r="B707" s="11" t="s">
        <v>38</v>
      </c>
      <c r="C707" s="11">
        <v>6000.0</v>
      </c>
      <c r="D707" s="11" t="s">
        <v>128</v>
      </c>
      <c r="E707" s="11" t="s">
        <v>39</v>
      </c>
      <c r="G707" s="11" t="s">
        <v>139</v>
      </c>
    </row>
    <row r="708" ht="22.5" customHeight="1">
      <c r="A708" s="10">
        <v>45753.651145208336</v>
      </c>
      <c r="B708" s="11" t="s">
        <v>20</v>
      </c>
      <c r="C708" s="11">
        <v>109.0</v>
      </c>
      <c r="D708" s="11" t="s">
        <v>128</v>
      </c>
      <c r="H708" s="11" t="s">
        <v>28</v>
      </c>
      <c r="I708" s="11" t="s">
        <v>44</v>
      </c>
      <c r="T708" s="11" t="s">
        <v>86</v>
      </c>
    </row>
    <row r="709" ht="22.5" customHeight="1">
      <c r="A709" s="10">
        <v>45753.651326527775</v>
      </c>
      <c r="B709" s="11" t="s">
        <v>20</v>
      </c>
      <c r="C709" s="11">
        <v>35.0</v>
      </c>
      <c r="D709" s="11" t="s">
        <v>128</v>
      </c>
      <c r="H709" s="11" t="s">
        <v>21</v>
      </c>
      <c r="L709" s="11" t="s">
        <v>46</v>
      </c>
    </row>
    <row r="710" ht="22.5" customHeight="1">
      <c r="A710" s="10">
        <v>45753.65152659723</v>
      </c>
      <c r="B710" s="11" t="s">
        <v>20</v>
      </c>
      <c r="C710" s="11">
        <v>765.0</v>
      </c>
      <c r="D710" s="11" t="s">
        <v>128</v>
      </c>
      <c r="H710" s="11" t="s">
        <v>21</v>
      </c>
      <c r="L710" s="11" t="s">
        <v>36</v>
      </c>
    </row>
    <row r="711" ht="22.5" customHeight="1">
      <c r="A711" s="10">
        <v>45754.91994236111</v>
      </c>
      <c r="B711" s="11" t="s">
        <v>20</v>
      </c>
      <c r="C711" s="11">
        <v>98.0</v>
      </c>
      <c r="D711" s="11" t="s">
        <v>128</v>
      </c>
      <c r="H711" s="11" t="s">
        <v>21</v>
      </c>
      <c r="L711" s="11" t="s">
        <v>23</v>
      </c>
    </row>
    <row r="712" ht="22.5" customHeight="1">
      <c r="A712" s="10">
        <v>45754.92008409722</v>
      </c>
      <c r="B712" s="11" t="s">
        <v>20</v>
      </c>
      <c r="C712" s="11">
        <v>25.0</v>
      </c>
      <c r="D712" s="11" t="s">
        <v>128</v>
      </c>
      <c r="H712" s="11" t="s">
        <v>28</v>
      </c>
      <c r="I712" s="11" t="s">
        <v>43</v>
      </c>
    </row>
    <row r="713" ht="22.5" customHeight="1">
      <c r="A713" s="10">
        <v>45755.89659559028</v>
      </c>
      <c r="B713" s="11" t="s">
        <v>20</v>
      </c>
      <c r="C713" s="11">
        <v>7120.0</v>
      </c>
      <c r="D713" s="11" t="s">
        <v>128</v>
      </c>
      <c r="H713" s="11" t="s">
        <v>21</v>
      </c>
      <c r="L713" s="11" t="s">
        <v>198</v>
      </c>
      <c r="S713" s="11" t="s">
        <v>242</v>
      </c>
      <c r="T713" s="11" t="s">
        <v>42</v>
      </c>
    </row>
    <row r="714" ht="22.5" customHeight="1">
      <c r="A714" s="10">
        <v>45756.018596759255</v>
      </c>
      <c r="B714" s="11" t="s">
        <v>20</v>
      </c>
      <c r="C714" s="11">
        <v>25.0</v>
      </c>
      <c r="D714" s="11" t="s">
        <v>127</v>
      </c>
      <c r="H714" s="11" t="s">
        <v>28</v>
      </c>
      <c r="I714" s="11" t="s">
        <v>43</v>
      </c>
    </row>
    <row r="715" ht="22.5" customHeight="1">
      <c r="A715" s="10">
        <v>45757.93010525463</v>
      </c>
      <c r="B715" s="11" t="s">
        <v>20</v>
      </c>
      <c r="C715" s="11">
        <v>23.0</v>
      </c>
      <c r="D715" s="11" t="s">
        <v>128</v>
      </c>
      <c r="H715" s="11" t="s">
        <v>28</v>
      </c>
      <c r="I715" s="11" t="s">
        <v>35</v>
      </c>
    </row>
    <row r="716" ht="22.5" customHeight="1">
      <c r="A716" s="10">
        <v>45758.988764375</v>
      </c>
      <c r="B716" s="11" t="s">
        <v>20</v>
      </c>
      <c r="C716" s="11">
        <v>90.0</v>
      </c>
      <c r="D716" s="11" t="s">
        <v>128</v>
      </c>
      <c r="H716" s="11" t="s">
        <v>24</v>
      </c>
      <c r="M716" s="11" t="s">
        <v>25</v>
      </c>
    </row>
    <row r="717" ht="22.5" customHeight="1">
      <c r="A717" s="10">
        <v>45758.9889300463</v>
      </c>
      <c r="B717" s="11" t="s">
        <v>20</v>
      </c>
      <c r="C717" s="11">
        <v>36.0</v>
      </c>
      <c r="D717" s="11" t="s">
        <v>128</v>
      </c>
      <c r="H717" s="11" t="s">
        <v>16</v>
      </c>
      <c r="Q717" s="11" t="s">
        <v>47</v>
      </c>
    </row>
    <row r="718" ht="22.5" customHeight="1">
      <c r="A718" s="10">
        <v>45759.38544601852</v>
      </c>
      <c r="B718" s="11" t="s">
        <v>20</v>
      </c>
      <c r="C718" s="11">
        <v>250.0</v>
      </c>
      <c r="D718" s="11" t="s">
        <v>128</v>
      </c>
      <c r="H718" s="11" t="s">
        <v>94</v>
      </c>
      <c r="O718" s="11" t="s">
        <v>153</v>
      </c>
    </row>
    <row r="719" ht="22.5" customHeight="1">
      <c r="A719" s="10">
        <v>45761.46866208334</v>
      </c>
      <c r="B719" s="11" t="s">
        <v>20</v>
      </c>
      <c r="C719" s="11">
        <v>479.0</v>
      </c>
      <c r="D719" s="11" t="s">
        <v>128</v>
      </c>
      <c r="H719" s="11" t="s">
        <v>21</v>
      </c>
      <c r="L719" s="11" t="s">
        <v>23</v>
      </c>
    </row>
    <row r="720" ht="22.5" customHeight="1">
      <c r="A720" s="10">
        <v>45761.47090642361</v>
      </c>
      <c r="B720" s="11" t="s">
        <v>20</v>
      </c>
      <c r="C720" s="11">
        <v>5694.0</v>
      </c>
      <c r="D720" s="11" t="s">
        <v>141</v>
      </c>
      <c r="H720" s="11" t="s">
        <v>28</v>
      </c>
      <c r="I720" s="11" t="s">
        <v>44</v>
      </c>
      <c r="S720" s="11" t="s">
        <v>243</v>
      </c>
      <c r="T720" s="11" t="s">
        <v>42</v>
      </c>
    </row>
    <row r="721" ht="22.5" customHeight="1">
      <c r="A721" s="10">
        <v>45761.47110671297</v>
      </c>
      <c r="B721" s="11" t="s">
        <v>20</v>
      </c>
      <c r="C721" s="11">
        <v>2744.0</v>
      </c>
      <c r="D721" s="11" t="s">
        <v>141</v>
      </c>
      <c r="H721" s="11" t="s">
        <v>28</v>
      </c>
      <c r="I721" s="11" t="s">
        <v>30</v>
      </c>
      <c r="S721" s="11" t="s">
        <v>234</v>
      </c>
      <c r="T721" s="11" t="s">
        <v>42</v>
      </c>
    </row>
    <row r="722" ht="22.5" customHeight="1">
      <c r="A722" s="10">
        <v>45761.86892097222</v>
      </c>
      <c r="B722" s="11" t="s">
        <v>20</v>
      </c>
      <c r="C722" s="11">
        <v>75.0</v>
      </c>
      <c r="D722" s="11" t="s">
        <v>128</v>
      </c>
      <c r="H722" s="11" t="s">
        <v>21</v>
      </c>
      <c r="L722" s="11" t="s">
        <v>31</v>
      </c>
    </row>
    <row r="723" ht="22.5" customHeight="1">
      <c r="A723" s="10">
        <v>45761.86910726852</v>
      </c>
      <c r="B723" s="11" t="s">
        <v>20</v>
      </c>
      <c r="C723" s="11">
        <v>85.0</v>
      </c>
      <c r="D723" s="11" t="s">
        <v>128</v>
      </c>
      <c r="H723" s="11" t="s">
        <v>28</v>
      </c>
      <c r="I723" s="11" t="s">
        <v>112</v>
      </c>
    </row>
    <row r="724" ht="22.5" customHeight="1">
      <c r="A724" s="10">
        <v>45761.86926083334</v>
      </c>
      <c r="B724" s="11" t="s">
        <v>20</v>
      </c>
      <c r="C724" s="11">
        <v>60.0</v>
      </c>
      <c r="D724" s="11" t="s">
        <v>128</v>
      </c>
      <c r="H724" s="11" t="s">
        <v>21</v>
      </c>
      <c r="L724" s="11" t="s">
        <v>31</v>
      </c>
    </row>
    <row r="725" ht="22.5" customHeight="1">
      <c r="A725" s="10">
        <v>45761.86963686343</v>
      </c>
      <c r="B725" s="11" t="s">
        <v>20</v>
      </c>
      <c r="C725" s="11">
        <v>25.0</v>
      </c>
      <c r="D725" s="11" t="s">
        <v>141</v>
      </c>
      <c r="H725" s="11" t="s">
        <v>21</v>
      </c>
      <c r="L725" s="11" t="s">
        <v>31</v>
      </c>
    </row>
    <row r="726" ht="22.5" customHeight="1">
      <c r="A726" s="10">
        <v>45762.90868170139</v>
      </c>
      <c r="B726" s="11" t="s">
        <v>20</v>
      </c>
      <c r="C726" s="11">
        <v>1000.0</v>
      </c>
      <c r="D726" s="11" t="s">
        <v>128</v>
      </c>
      <c r="H726" s="11" t="s">
        <v>28</v>
      </c>
      <c r="I726" s="11" t="s">
        <v>126</v>
      </c>
    </row>
    <row r="727" ht="22.5" customHeight="1">
      <c r="A727" s="10">
        <v>45762.90907902778</v>
      </c>
      <c r="B727" s="11" t="s">
        <v>20</v>
      </c>
      <c r="C727" s="11">
        <v>479.0</v>
      </c>
      <c r="D727" s="11" t="s">
        <v>128</v>
      </c>
      <c r="H727" s="11" t="s">
        <v>26</v>
      </c>
      <c r="J727" s="11" t="s">
        <v>27</v>
      </c>
      <c r="S727" s="11" t="s">
        <v>244</v>
      </c>
    </row>
    <row r="728" ht="22.5" customHeight="1">
      <c r="A728" s="10">
        <v>45762.90928439815</v>
      </c>
      <c r="B728" s="11" t="s">
        <v>20</v>
      </c>
      <c r="C728" s="11">
        <v>119.0</v>
      </c>
      <c r="D728" s="11" t="s">
        <v>128</v>
      </c>
      <c r="H728" s="11" t="s">
        <v>26</v>
      </c>
      <c r="J728" s="11" t="s">
        <v>27</v>
      </c>
    </row>
    <row r="729" ht="22.5" customHeight="1">
      <c r="A729" s="10">
        <v>45762.90962078703</v>
      </c>
      <c r="B729" s="11" t="s">
        <v>20</v>
      </c>
      <c r="C729" s="11">
        <v>500.0</v>
      </c>
      <c r="D729" s="11" t="s">
        <v>141</v>
      </c>
      <c r="H729" s="11" t="s">
        <v>28</v>
      </c>
      <c r="I729" s="11" t="s">
        <v>34</v>
      </c>
      <c r="S729" s="11" t="s">
        <v>245</v>
      </c>
    </row>
    <row r="730" ht="22.5" customHeight="1">
      <c r="A730" s="10">
        <v>45763.684392083334</v>
      </c>
      <c r="B730" s="11" t="s">
        <v>20</v>
      </c>
      <c r="C730" s="11">
        <v>17.0</v>
      </c>
      <c r="D730" s="11" t="s">
        <v>128</v>
      </c>
      <c r="H730" s="11" t="s">
        <v>21</v>
      </c>
      <c r="L730" s="11" t="s">
        <v>123</v>
      </c>
    </row>
    <row r="731" ht="22.5" customHeight="1">
      <c r="A731" s="10">
        <v>45763.68457300926</v>
      </c>
      <c r="B731" s="11" t="s">
        <v>20</v>
      </c>
      <c r="C731" s="11">
        <v>200.0</v>
      </c>
      <c r="D731" s="11" t="s">
        <v>128</v>
      </c>
      <c r="H731" s="11" t="s">
        <v>94</v>
      </c>
      <c r="O731" s="11" t="s">
        <v>153</v>
      </c>
    </row>
    <row r="732" ht="22.5" customHeight="1">
      <c r="A732" s="10">
        <v>45763.83867832176</v>
      </c>
      <c r="B732" s="11" t="s">
        <v>20</v>
      </c>
      <c r="C732" s="11">
        <v>100.0</v>
      </c>
      <c r="D732" s="11" t="s">
        <v>128</v>
      </c>
      <c r="H732" s="11" t="s">
        <v>24</v>
      </c>
      <c r="M732" s="11" t="s">
        <v>25</v>
      </c>
    </row>
    <row r="733" ht="22.5" customHeight="1">
      <c r="A733" s="10">
        <v>45764.37072334491</v>
      </c>
      <c r="B733" s="11" t="s">
        <v>20</v>
      </c>
      <c r="C733" s="11">
        <v>673.0</v>
      </c>
      <c r="D733" s="11" t="s">
        <v>128</v>
      </c>
      <c r="H733" s="11" t="s">
        <v>24</v>
      </c>
      <c r="M733" s="11" t="s">
        <v>165</v>
      </c>
    </row>
    <row r="734" ht="22.5" customHeight="1">
      <c r="A734" s="10">
        <v>45765.802853807865</v>
      </c>
      <c r="B734" s="11" t="s">
        <v>20</v>
      </c>
      <c r="C734" s="11">
        <v>100.0</v>
      </c>
      <c r="D734" s="11" t="s">
        <v>127</v>
      </c>
      <c r="H734" s="11" t="s">
        <v>24</v>
      </c>
      <c r="M734" s="11" t="s">
        <v>25</v>
      </c>
    </row>
    <row r="735" ht="22.5" customHeight="1">
      <c r="A735" s="10">
        <v>45766.41050893519</v>
      </c>
      <c r="B735" s="11" t="s">
        <v>20</v>
      </c>
      <c r="C735" s="11">
        <v>40.0</v>
      </c>
      <c r="D735" s="11" t="s">
        <v>128</v>
      </c>
      <c r="H735" s="11" t="s">
        <v>21</v>
      </c>
      <c r="L735" s="11" t="s">
        <v>31</v>
      </c>
    </row>
    <row r="736" ht="22.5" customHeight="1">
      <c r="A736" s="10">
        <v>45766.79221743056</v>
      </c>
      <c r="B736" s="11" t="s">
        <v>20</v>
      </c>
      <c r="C736" s="11">
        <v>65.0</v>
      </c>
      <c r="D736" s="11" t="s">
        <v>128</v>
      </c>
      <c r="H736" s="11" t="s">
        <v>28</v>
      </c>
      <c r="I736" s="11" t="s">
        <v>29</v>
      </c>
    </row>
    <row r="737" ht="22.5" customHeight="1">
      <c r="A737" s="10">
        <v>45766.79538178241</v>
      </c>
      <c r="B737" s="11" t="s">
        <v>20</v>
      </c>
      <c r="C737" s="11">
        <v>49.0</v>
      </c>
      <c r="D737" s="11" t="s">
        <v>128</v>
      </c>
      <c r="H737" s="11" t="s">
        <v>26</v>
      </c>
      <c r="J737" s="11" t="s">
        <v>27</v>
      </c>
    </row>
    <row r="738" ht="22.5" customHeight="1">
      <c r="A738" s="10">
        <v>45766.79556143518</v>
      </c>
      <c r="B738" s="11" t="s">
        <v>20</v>
      </c>
      <c r="C738" s="11">
        <v>619.0</v>
      </c>
      <c r="D738" s="11" t="s">
        <v>128</v>
      </c>
      <c r="H738" s="11" t="s">
        <v>26</v>
      </c>
      <c r="J738" s="11" t="s">
        <v>27</v>
      </c>
    </row>
    <row r="739" ht="22.5" customHeight="1">
      <c r="A739" s="10">
        <v>45766.79694082176</v>
      </c>
      <c r="B739" s="11" t="s">
        <v>20</v>
      </c>
      <c r="C739" s="11">
        <v>100.0</v>
      </c>
      <c r="D739" s="11" t="s">
        <v>128</v>
      </c>
      <c r="H739" s="11" t="s">
        <v>24</v>
      </c>
      <c r="M739" s="11" t="s">
        <v>25</v>
      </c>
    </row>
    <row r="740" ht="22.5" customHeight="1">
      <c r="A740" s="10">
        <v>45766.805366851855</v>
      </c>
      <c r="B740" s="11" t="s">
        <v>20</v>
      </c>
      <c r="C740" s="11">
        <v>606.0</v>
      </c>
      <c r="D740" s="11" t="s">
        <v>128</v>
      </c>
      <c r="H740" s="11" t="s">
        <v>21</v>
      </c>
      <c r="L740" s="11" t="s">
        <v>23</v>
      </c>
    </row>
    <row r="741" ht="22.5" customHeight="1">
      <c r="A741" s="10">
        <v>45767.81028953704</v>
      </c>
      <c r="B741" s="11" t="s">
        <v>20</v>
      </c>
      <c r="C741" s="11">
        <v>30.0</v>
      </c>
      <c r="D741" s="11" t="s">
        <v>128</v>
      </c>
      <c r="H741" s="11" t="s">
        <v>28</v>
      </c>
      <c r="I741" s="11" t="s">
        <v>29</v>
      </c>
    </row>
    <row r="742" ht="22.5" customHeight="1">
      <c r="A742" s="10">
        <v>45767.81043709491</v>
      </c>
      <c r="B742" s="11" t="s">
        <v>20</v>
      </c>
      <c r="C742" s="11">
        <v>355.0</v>
      </c>
      <c r="D742" s="11" t="s">
        <v>128</v>
      </c>
      <c r="H742" s="11" t="s">
        <v>28</v>
      </c>
      <c r="I742" s="11" t="s">
        <v>44</v>
      </c>
    </row>
    <row r="743" ht="22.5" customHeight="1">
      <c r="A743" s="10">
        <v>45770.86512076389</v>
      </c>
      <c r="B743" s="11" t="s">
        <v>20</v>
      </c>
      <c r="C743" s="11">
        <v>129.0</v>
      </c>
      <c r="D743" s="11" t="s">
        <v>128</v>
      </c>
      <c r="H743" s="11" t="s">
        <v>21</v>
      </c>
      <c r="L743" s="11" t="s">
        <v>23</v>
      </c>
    </row>
    <row r="744" ht="22.5" customHeight="1">
      <c r="A744" s="10">
        <v>45772.767401087964</v>
      </c>
      <c r="B744" s="11" t="s">
        <v>20</v>
      </c>
      <c r="C744" s="11">
        <v>99.0</v>
      </c>
      <c r="D744" s="11" t="s">
        <v>128</v>
      </c>
      <c r="H744" s="11" t="s">
        <v>28</v>
      </c>
      <c r="I744" s="11" t="s">
        <v>44</v>
      </c>
    </row>
    <row r="745" ht="22.5" customHeight="1">
      <c r="A745" s="10">
        <v>45772.76755283565</v>
      </c>
      <c r="B745" s="11" t="s">
        <v>20</v>
      </c>
      <c r="C745" s="11">
        <v>110.0</v>
      </c>
      <c r="D745" s="11" t="s">
        <v>127</v>
      </c>
      <c r="H745" s="11" t="s">
        <v>28</v>
      </c>
      <c r="I745" s="11" t="s">
        <v>30</v>
      </c>
    </row>
    <row r="746" ht="22.5" customHeight="1">
      <c r="A746" s="10">
        <v>45772.85985728009</v>
      </c>
      <c r="B746" s="11" t="s">
        <v>20</v>
      </c>
      <c r="C746" s="11">
        <v>220.0</v>
      </c>
      <c r="D746" s="11" t="s">
        <v>128</v>
      </c>
      <c r="H746" s="11" t="s">
        <v>28</v>
      </c>
      <c r="I746" s="11" t="s">
        <v>29</v>
      </c>
    </row>
    <row r="747" ht="22.5" customHeight="1">
      <c r="A747" s="10">
        <v>45773.559420509264</v>
      </c>
      <c r="B747" s="11" t="s">
        <v>20</v>
      </c>
      <c r="C747" s="11">
        <v>45.0</v>
      </c>
      <c r="D747" s="11" t="s">
        <v>128</v>
      </c>
      <c r="H747" s="11" t="s">
        <v>28</v>
      </c>
      <c r="I747" s="11" t="s">
        <v>29</v>
      </c>
    </row>
    <row r="748" ht="22.5" customHeight="1">
      <c r="A748" s="10">
        <v>45773.559610543976</v>
      </c>
      <c r="B748" s="11" t="s">
        <v>20</v>
      </c>
      <c r="C748" s="11">
        <v>100.0</v>
      </c>
      <c r="D748" s="11" t="s">
        <v>128</v>
      </c>
      <c r="H748" s="11" t="s">
        <v>28</v>
      </c>
      <c r="I748" s="11" t="s">
        <v>44</v>
      </c>
    </row>
    <row r="749" ht="22.5" customHeight="1">
      <c r="A749" s="10">
        <v>45773.78736274305</v>
      </c>
      <c r="B749" s="11" t="s">
        <v>20</v>
      </c>
      <c r="C749" s="11">
        <v>245.0</v>
      </c>
      <c r="D749" s="11" t="s">
        <v>128</v>
      </c>
      <c r="H749" s="11" t="s">
        <v>28</v>
      </c>
      <c r="I749" s="11" t="s">
        <v>30</v>
      </c>
    </row>
    <row r="750" ht="22.5" customHeight="1">
      <c r="A750" s="10">
        <v>45774.430086064815</v>
      </c>
      <c r="B750" s="11" t="s">
        <v>20</v>
      </c>
      <c r="C750" s="11">
        <v>85.0</v>
      </c>
      <c r="D750" s="11" t="s">
        <v>128</v>
      </c>
      <c r="H750" s="11" t="s">
        <v>28</v>
      </c>
      <c r="I750" s="11" t="s">
        <v>29</v>
      </c>
    </row>
    <row r="751" ht="22.5" customHeight="1">
      <c r="A751" s="10">
        <v>45774.430299837964</v>
      </c>
      <c r="B751" s="11" t="s">
        <v>20</v>
      </c>
      <c r="C751" s="11">
        <v>230.0</v>
      </c>
      <c r="D751" s="11" t="s">
        <v>128</v>
      </c>
      <c r="H751" s="11" t="s">
        <v>28</v>
      </c>
      <c r="I751" s="11" t="s">
        <v>126</v>
      </c>
    </row>
    <row r="752" ht="22.5" customHeight="1">
      <c r="A752" s="10">
        <v>45777.384356979164</v>
      </c>
      <c r="B752" s="11" t="s">
        <v>20</v>
      </c>
      <c r="C752" s="11">
        <v>200.0</v>
      </c>
      <c r="D752" s="11" t="s">
        <v>127</v>
      </c>
      <c r="H752" s="11" t="s">
        <v>94</v>
      </c>
      <c r="O752" s="11" t="s">
        <v>153</v>
      </c>
    </row>
    <row r="753" ht="22.5" customHeight="1">
      <c r="A753" s="10">
        <v>45777.38449708333</v>
      </c>
      <c r="B753" s="11" t="s">
        <v>20</v>
      </c>
      <c r="C753" s="11">
        <v>51.0</v>
      </c>
      <c r="D753" s="11" t="s">
        <v>127</v>
      </c>
      <c r="H753" s="11" t="s">
        <v>28</v>
      </c>
      <c r="I753" s="11" t="s">
        <v>30</v>
      </c>
    </row>
    <row r="754" ht="22.5" customHeight="1">
      <c r="A754" s="10">
        <v>45778.38457309028</v>
      </c>
      <c r="B754" s="11" t="s">
        <v>20</v>
      </c>
      <c r="C754" s="11">
        <v>20000.0</v>
      </c>
      <c r="D754" s="11" t="s">
        <v>128</v>
      </c>
      <c r="H754" s="11" t="s">
        <v>51</v>
      </c>
      <c r="K754" s="11" t="s">
        <v>98</v>
      </c>
    </row>
    <row r="755" ht="22.5" customHeight="1">
      <c r="A755" s="10">
        <v>45778.38474148148</v>
      </c>
      <c r="B755" s="11" t="s">
        <v>20</v>
      </c>
      <c r="C755" s="11">
        <v>6000.0</v>
      </c>
      <c r="D755" s="11" t="s">
        <v>128</v>
      </c>
      <c r="H755" s="11" t="s">
        <v>51</v>
      </c>
      <c r="K755" s="11" t="s">
        <v>131</v>
      </c>
    </row>
    <row r="756" ht="22.5" customHeight="1">
      <c r="A756" s="10">
        <v>45778.386455740736</v>
      </c>
      <c r="B756" s="11" t="s">
        <v>38</v>
      </c>
      <c r="C756" s="11">
        <v>1000.0</v>
      </c>
      <c r="D756" s="11" t="s">
        <v>127</v>
      </c>
      <c r="E756" s="11" t="s">
        <v>61</v>
      </c>
      <c r="F756" s="11" t="s">
        <v>63</v>
      </c>
      <c r="S756" s="11" t="s">
        <v>246</v>
      </c>
      <c r="T756" s="11" t="s">
        <v>42</v>
      </c>
    </row>
    <row r="757" ht="22.5" customHeight="1">
      <c r="A757" s="10">
        <v>45778.38688722222</v>
      </c>
      <c r="B757" s="11" t="s">
        <v>38</v>
      </c>
      <c r="C757" s="11">
        <v>75500.0</v>
      </c>
      <c r="D757" s="11" t="s">
        <v>127</v>
      </c>
      <c r="E757" s="11" t="s">
        <v>61</v>
      </c>
      <c r="F757" s="11" t="s">
        <v>73</v>
      </c>
      <c r="S757" s="11" t="s">
        <v>247</v>
      </c>
      <c r="T757" s="11" t="s">
        <v>42</v>
      </c>
    </row>
    <row r="758" ht="22.5" customHeight="1">
      <c r="A758" s="10">
        <v>45778.38716076389</v>
      </c>
      <c r="B758" s="11" t="s">
        <v>20</v>
      </c>
      <c r="C758" s="11">
        <v>1593.0</v>
      </c>
      <c r="D758" s="11" t="s">
        <v>127</v>
      </c>
      <c r="H758" s="11" t="s">
        <v>57</v>
      </c>
      <c r="N758" s="11" t="s">
        <v>75</v>
      </c>
    </row>
    <row r="759" ht="22.5" customHeight="1">
      <c r="A759" s="10">
        <v>45778.39655611111</v>
      </c>
      <c r="B759" s="11" t="s">
        <v>20</v>
      </c>
      <c r="C759" s="11">
        <v>606.0</v>
      </c>
      <c r="D759" s="11">
        <v>2.0250512E7</v>
      </c>
      <c r="H759" s="11" t="s">
        <v>21</v>
      </c>
      <c r="L759" s="11" t="s">
        <v>22</v>
      </c>
    </row>
    <row r="760" ht="22.5" customHeight="1">
      <c r="A760" s="10">
        <v>45778.63427604167</v>
      </c>
      <c r="B760" s="11" t="s">
        <v>38</v>
      </c>
      <c r="C760" s="11">
        <v>6000.0</v>
      </c>
      <c r="D760" s="11" t="s">
        <v>128</v>
      </c>
      <c r="E760" s="11" t="s">
        <v>39</v>
      </c>
      <c r="G760" s="11" t="s">
        <v>139</v>
      </c>
    </row>
    <row r="761" ht="22.5" customHeight="1">
      <c r="A761" s="10">
        <v>45779.60396153935</v>
      </c>
      <c r="B761" s="11" t="s">
        <v>20</v>
      </c>
      <c r="C761" s="11">
        <v>560.0</v>
      </c>
      <c r="D761" s="11" t="s">
        <v>127</v>
      </c>
      <c r="H761" s="11" t="s">
        <v>28</v>
      </c>
      <c r="I761" s="11" t="s">
        <v>44</v>
      </c>
    </row>
    <row r="762" ht="22.5" customHeight="1">
      <c r="A762" s="10">
        <v>45779.60411810185</v>
      </c>
      <c r="B762" s="11" t="s">
        <v>20</v>
      </c>
      <c r="C762" s="11">
        <v>150.0</v>
      </c>
      <c r="D762" s="11" t="s">
        <v>127</v>
      </c>
      <c r="H762" s="11" t="s">
        <v>94</v>
      </c>
      <c r="O762" s="11" t="s">
        <v>153</v>
      </c>
    </row>
    <row r="763" ht="22.5" customHeight="1">
      <c r="A763" s="10">
        <v>45779.60426204861</v>
      </c>
      <c r="B763" s="11" t="s">
        <v>20</v>
      </c>
      <c r="C763" s="11">
        <v>294.0</v>
      </c>
      <c r="D763" s="11" t="s">
        <v>127</v>
      </c>
      <c r="H763" s="11" t="s">
        <v>28</v>
      </c>
      <c r="I763" s="11" t="s">
        <v>30</v>
      </c>
    </row>
    <row r="764" ht="22.5" customHeight="1">
      <c r="A764" s="10">
        <v>45779.850264039356</v>
      </c>
      <c r="B764" s="11" t="s">
        <v>20</v>
      </c>
      <c r="C764" s="11">
        <v>30.0</v>
      </c>
      <c r="D764" s="11" t="s">
        <v>128</v>
      </c>
      <c r="H764" s="11" t="s">
        <v>21</v>
      </c>
      <c r="L764" s="11" t="s">
        <v>22</v>
      </c>
      <c r="T764" s="11" t="s">
        <v>42</v>
      </c>
    </row>
    <row r="765" ht="22.5" customHeight="1">
      <c r="A765" s="10">
        <v>45779.85058424769</v>
      </c>
      <c r="B765" s="11" t="s">
        <v>20</v>
      </c>
      <c r="C765" s="11">
        <v>5800.0</v>
      </c>
      <c r="D765" s="11" t="s">
        <v>128</v>
      </c>
      <c r="H765" s="11" t="s">
        <v>21</v>
      </c>
      <c r="L765" s="11" t="s">
        <v>248</v>
      </c>
      <c r="T765" s="11" t="s">
        <v>42</v>
      </c>
    </row>
    <row r="766" ht="22.5" customHeight="1">
      <c r="A766" s="10">
        <v>45779.91900009259</v>
      </c>
      <c r="B766" s="11" t="s">
        <v>20</v>
      </c>
      <c r="C766" s="11">
        <v>7802.0</v>
      </c>
      <c r="D766" s="11" t="s">
        <v>128</v>
      </c>
      <c r="H766" s="11" t="s">
        <v>51</v>
      </c>
      <c r="K766" s="11" t="s">
        <v>111</v>
      </c>
    </row>
    <row r="767" ht="22.5" customHeight="1">
      <c r="A767" s="10">
        <v>45781.88942518519</v>
      </c>
      <c r="B767" s="11" t="s">
        <v>20</v>
      </c>
      <c r="C767" s="11">
        <v>4328.0</v>
      </c>
      <c r="D767" s="11" t="s">
        <v>128</v>
      </c>
      <c r="H767" s="11" t="s">
        <v>26</v>
      </c>
      <c r="J767" s="11" t="s">
        <v>27</v>
      </c>
      <c r="S767" s="11" t="s">
        <v>249</v>
      </c>
      <c r="T767" s="11" t="s">
        <v>42</v>
      </c>
    </row>
    <row r="768" ht="22.5" customHeight="1">
      <c r="A768" s="10">
        <v>45781.8896468287</v>
      </c>
      <c r="B768" s="11" t="s">
        <v>20</v>
      </c>
      <c r="C768" s="11">
        <v>677.0</v>
      </c>
      <c r="D768" s="11" t="s">
        <v>128</v>
      </c>
      <c r="H768" s="11" t="s">
        <v>28</v>
      </c>
      <c r="I768" s="11" t="s">
        <v>44</v>
      </c>
    </row>
    <row r="769" ht="22.5" customHeight="1">
      <c r="A769" s="10">
        <v>45781.891162858796</v>
      </c>
      <c r="B769" s="11" t="s">
        <v>20</v>
      </c>
      <c r="C769" s="11">
        <v>247.0</v>
      </c>
      <c r="D769" s="11" t="s">
        <v>127</v>
      </c>
      <c r="H769" s="11" t="s">
        <v>26</v>
      </c>
      <c r="J769" s="11" t="s">
        <v>27</v>
      </c>
    </row>
    <row r="770" ht="22.5" customHeight="1">
      <c r="A770" s="10">
        <v>45781.891290659725</v>
      </c>
      <c r="B770" s="11" t="s">
        <v>20</v>
      </c>
      <c r="C770" s="11">
        <v>45.0</v>
      </c>
      <c r="D770" s="11" t="s">
        <v>128</v>
      </c>
      <c r="H770" s="11" t="s">
        <v>26</v>
      </c>
      <c r="J770" s="11" t="s">
        <v>27</v>
      </c>
    </row>
    <row r="771" ht="22.5" customHeight="1">
      <c r="A771" s="10">
        <v>45782.970131435184</v>
      </c>
      <c r="B771" s="11" t="s">
        <v>38</v>
      </c>
      <c r="C771" s="11">
        <v>100649.0</v>
      </c>
      <c r="D771" s="11" t="s">
        <v>128</v>
      </c>
      <c r="E771" s="11" t="s">
        <v>61</v>
      </c>
      <c r="F771" s="11" t="s">
        <v>62</v>
      </c>
      <c r="S771" s="11" t="s">
        <v>250</v>
      </c>
      <c r="T771" s="11" t="s">
        <v>42</v>
      </c>
    </row>
    <row r="772" ht="22.5" customHeight="1">
      <c r="A772" s="10">
        <v>45782.97207729166</v>
      </c>
      <c r="B772" s="11" t="s">
        <v>38</v>
      </c>
      <c r="C772" s="11">
        <v>2592.0</v>
      </c>
      <c r="D772" s="11">
        <v>2.0250415E7</v>
      </c>
      <c r="E772" s="11" t="s">
        <v>39</v>
      </c>
      <c r="G772" s="11" t="s">
        <v>40</v>
      </c>
      <c r="S772" s="11" t="s">
        <v>184</v>
      </c>
      <c r="T772" s="11" t="s">
        <v>42</v>
      </c>
    </row>
    <row r="773" ht="22.5" customHeight="1">
      <c r="A773" s="10">
        <v>45782.97284702546</v>
      </c>
      <c r="B773" s="11" t="s">
        <v>38</v>
      </c>
      <c r="C773" s="11">
        <v>7190.0</v>
      </c>
      <c r="D773" s="11">
        <v>2.0250415E7</v>
      </c>
      <c r="E773" s="11" t="s">
        <v>39</v>
      </c>
      <c r="G773" s="11" t="s">
        <v>40</v>
      </c>
      <c r="S773" s="11" t="s">
        <v>167</v>
      </c>
      <c r="T773" s="11" t="s">
        <v>42</v>
      </c>
    </row>
    <row r="774" ht="22.5" customHeight="1">
      <c r="A774" s="10">
        <v>45782.97599796296</v>
      </c>
      <c r="B774" s="11" t="s">
        <v>20</v>
      </c>
      <c r="C774" s="11">
        <v>220.0</v>
      </c>
      <c r="D774" s="11">
        <v>2.025043E7</v>
      </c>
      <c r="H774" s="11" t="s">
        <v>21</v>
      </c>
      <c r="L774" s="11" t="s">
        <v>31</v>
      </c>
    </row>
    <row r="775" ht="22.5" customHeight="1">
      <c r="A775" s="10">
        <v>45782.97810869213</v>
      </c>
      <c r="B775" s="11" t="s">
        <v>20</v>
      </c>
      <c r="C775" s="11">
        <v>1068.0</v>
      </c>
      <c r="D775" s="11">
        <v>2.0250417E7</v>
      </c>
      <c r="H775" s="11" t="s">
        <v>51</v>
      </c>
      <c r="K775" s="11" t="s">
        <v>52</v>
      </c>
    </row>
    <row r="776" ht="22.5" customHeight="1">
      <c r="A776" s="10">
        <v>45782.97984775463</v>
      </c>
      <c r="B776" s="11" t="s">
        <v>20</v>
      </c>
      <c r="C776" s="11">
        <v>2826.0</v>
      </c>
      <c r="D776" s="11" t="s">
        <v>128</v>
      </c>
      <c r="H776" s="11" t="s">
        <v>57</v>
      </c>
      <c r="N776" s="11" t="s">
        <v>58</v>
      </c>
    </row>
    <row r="777" ht="22.5" customHeight="1">
      <c r="A777" s="10">
        <v>45782.98002703703</v>
      </c>
      <c r="B777" s="11" t="s">
        <v>20</v>
      </c>
      <c r="C777" s="11">
        <v>3080.0</v>
      </c>
      <c r="D777" s="11" t="s">
        <v>128</v>
      </c>
      <c r="H777" s="11" t="s">
        <v>57</v>
      </c>
      <c r="N777" s="11" t="s">
        <v>75</v>
      </c>
    </row>
    <row r="778" ht="22.5" customHeight="1">
      <c r="A778" s="10">
        <v>45782.980236504634</v>
      </c>
      <c r="B778" s="11" t="s">
        <v>20</v>
      </c>
      <c r="C778" s="11">
        <v>515.0</v>
      </c>
      <c r="D778" s="11" t="s">
        <v>128</v>
      </c>
      <c r="H778" s="11" t="s">
        <v>24</v>
      </c>
      <c r="M778" s="11" t="s">
        <v>32</v>
      </c>
    </row>
    <row r="779" ht="22.5" customHeight="1">
      <c r="A779" s="10">
        <v>45782.98042604167</v>
      </c>
      <c r="B779" s="11" t="s">
        <v>20</v>
      </c>
      <c r="C779" s="11">
        <v>998.0</v>
      </c>
      <c r="D779" s="11" t="s">
        <v>128</v>
      </c>
      <c r="H779" s="11" t="s">
        <v>28</v>
      </c>
      <c r="I779" s="11" t="s">
        <v>33</v>
      </c>
    </row>
    <row r="780" ht="22.5" customHeight="1">
      <c r="A780" s="10">
        <v>45782.98076701388</v>
      </c>
      <c r="B780" s="11" t="s">
        <v>20</v>
      </c>
      <c r="C780" s="11">
        <v>4116.0</v>
      </c>
      <c r="D780" s="11" t="s">
        <v>128</v>
      </c>
      <c r="H780" s="11" t="s">
        <v>59</v>
      </c>
      <c r="R780" s="11" t="s">
        <v>60</v>
      </c>
    </row>
    <row r="781" ht="22.5" customHeight="1">
      <c r="A781" s="10">
        <v>45783.87237016203</v>
      </c>
      <c r="B781" s="11" t="s">
        <v>20</v>
      </c>
      <c r="C781" s="11">
        <v>49.0</v>
      </c>
      <c r="D781" s="11" t="s">
        <v>128</v>
      </c>
      <c r="H781" s="11" t="s">
        <v>26</v>
      </c>
      <c r="J781" s="11" t="s">
        <v>27</v>
      </c>
    </row>
    <row r="782" ht="22.5" customHeight="1">
      <c r="A782" s="10">
        <v>45783.87256472222</v>
      </c>
      <c r="B782" s="11" t="s">
        <v>20</v>
      </c>
      <c r="C782" s="11">
        <v>124.0</v>
      </c>
      <c r="D782" s="11" t="s">
        <v>128</v>
      </c>
      <c r="H782" s="11" t="s">
        <v>21</v>
      </c>
      <c r="L782" s="11" t="s">
        <v>23</v>
      </c>
    </row>
    <row r="783" ht="22.5" customHeight="1">
      <c r="A783" s="10">
        <v>45785.939231875</v>
      </c>
      <c r="B783" s="11" t="s">
        <v>20</v>
      </c>
      <c r="C783" s="11">
        <v>100.0</v>
      </c>
      <c r="D783" s="11" t="s">
        <v>128</v>
      </c>
      <c r="H783" s="11" t="s">
        <v>24</v>
      </c>
      <c r="M783" s="11" t="s">
        <v>25</v>
      </c>
    </row>
    <row r="784" ht="22.5" customHeight="1">
      <c r="A784" s="10">
        <v>45786.792502951386</v>
      </c>
      <c r="B784" s="11" t="s">
        <v>20</v>
      </c>
      <c r="C784" s="11">
        <v>16.0</v>
      </c>
      <c r="D784" s="11" t="s">
        <v>128</v>
      </c>
      <c r="H784" s="11" t="s">
        <v>21</v>
      </c>
      <c r="L784" s="11" t="s">
        <v>22</v>
      </c>
    </row>
    <row r="785" ht="22.5" customHeight="1">
      <c r="A785" s="10">
        <v>45786.79269638889</v>
      </c>
      <c r="B785" s="11" t="s">
        <v>20</v>
      </c>
      <c r="C785" s="11">
        <v>1025.0</v>
      </c>
      <c r="D785" s="11" t="s">
        <v>128</v>
      </c>
      <c r="H785" s="11" t="s">
        <v>21</v>
      </c>
      <c r="L785" s="11" t="s">
        <v>36</v>
      </c>
    </row>
    <row r="786" ht="22.5" customHeight="1">
      <c r="A786" s="10">
        <v>45786.98701383102</v>
      </c>
      <c r="B786" s="11" t="s">
        <v>20</v>
      </c>
      <c r="C786" s="11">
        <v>35.0</v>
      </c>
      <c r="D786" s="11" t="s">
        <v>128</v>
      </c>
      <c r="H786" s="11" t="s">
        <v>21</v>
      </c>
      <c r="L786" s="11" t="s">
        <v>46</v>
      </c>
    </row>
    <row r="787" ht="22.5" customHeight="1">
      <c r="A787" s="10">
        <v>45788.01752671297</v>
      </c>
      <c r="B787" s="11" t="s">
        <v>20</v>
      </c>
      <c r="C787" s="11">
        <v>550.0</v>
      </c>
      <c r="D787" s="11" t="s">
        <v>127</v>
      </c>
      <c r="H787" s="11" t="s">
        <v>24</v>
      </c>
      <c r="M787" s="11" t="s">
        <v>45</v>
      </c>
    </row>
    <row r="788" ht="22.5" customHeight="1">
      <c r="A788" s="10">
        <v>45788.01768873843</v>
      </c>
      <c r="B788" s="11" t="s">
        <v>20</v>
      </c>
      <c r="C788" s="11">
        <v>500.0</v>
      </c>
      <c r="D788" s="11" t="s">
        <v>127</v>
      </c>
      <c r="H788" s="11" t="s">
        <v>24</v>
      </c>
      <c r="M788" s="11" t="s">
        <v>54</v>
      </c>
    </row>
    <row r="789" ht="22.5" customHeight="1">
      <c r="A789" s="10">
        <v>45788.979331574075</v>
      </c>
      <c r="B789" s="11" t="s">
        <v>20</v>
      </c>
      <c r="C789" s="11">
        <v>1066.0</v>
      </c>
      <c r="D789" s="11" t="s">
        <v>128</v>
      </c>
      <c r="H789" s="11" t="s">
        <v>26</v>
      </c>
      <c r="J789" s="11" t="s">
        <v>27</v>
      </c>
      <c r="S789" s="11" t="s">
        <v>251</v>
      </c>
      <c r="T789" s="11" t="s">
        <v>86</v>
      </c>
    </row>
    <row r="790" ht="22.5" customHeight="1">
      <c r="A790" s="10">
        <v>45788.980136805556</v>
      </c>
      <c r="B790" s="11" t="s">
        <v>20</v>
      </c>
      <c r="C790" s="11">
        <v>1033.0</v>
      </c>
      <c r="D790" s="11" t="s">
        <v>127</v>
      </c>
      <c r="H790" s="11" t="s">
        <v>28</v>
      </c>
      <c r="I790" s="11" t="s">
        <v>44</v>
      </c>
      <c r="S790" s="11" t="s">
        <v>252</v>
      </c>
    </row>
    <row r="791" ht="22.5" customHeight="1">
      <c r="A791" s="10">
        <v>45788.98093100694</v>
      </c>
      <c r="B791" s="11" t="s">
        <v>20</v>
      </c>
      <c r="C791" s="11">
        <v>133.0</v>
      </c>
      <c r="D791" s="11" t="s">
        <v>141</v>
      </c>
      <c r="H791" s="11" t="s">
        <v>28</v>
      </c>
      <c r="I791" s="11" t="s">
        <v>112</v>
      </c>
      <c r="S791" s="11" t="s">
        <v>253</v>
      </c>
    </row>
    <row r="792" ht="22.5" customHeight="1">
      <c r="A792" s="10">
        <v>45790.90822350694</v>
      </c>
      <c r="B792" s="11" t="s">
        <v>20</v>
      </c>
      <c r="C792" s="11">
        <v>25.0</v>
      </c>
      <c r="D792" s="11" t="s">
        <v>128</v>
      </c>
      <c r="H792" s="11" t="s">
        <v>28</v>
      </c>
      <c r="I792" s="11" t="s">
        <v>35</v>
      </c>
    </row>
    <row r="793" ht="22.5" customHeight="1">
      <c r="A793" s="10">
        <v>45794.351285868055</v>
      </c>
      <c r="B793" s="11" t="s">
        <v>20</v>
      </c>
      <c r="C793" s="11">
        <v>100.0</v>
      </c>
      <c r="D793" s="11" t="s">
        <v>141</v>
      </c>
      <c r="H793" s="11" t="s">
        <v>24</v>
      </c>
      <c r="M793" s="11" t="s">
        <v>25</v>
      </c>
    </row>
    <row r="794" ht="22.5" customHeight="1">
      <c r="A794" s="10">
        <v>45794.35143555555</v>
      </c>
      <c r="B794" s="11" t="s">
        <v>20</v>
      </c>
      <c r="C794" s="11">
        <v>200.0</v>
      </c>
      <c r="D794" s="11" t="s">
        <v>127</v>
      </c>
      <c r="H794" s="11" t="s">
        <v>24</v>
      </c>
      <c r="M794" s="11" t="s">
        <v>25</v>
      </c>
    </row>
    <row r="795" ht="22.5" customHeight="1">
      <c r="A795" s="10">
        <v>45794.351626504635</v>
      </c>
      <c r="B795" s="11" t="s">
        <v>20</v>
      </c>
      <c r="C795" s="11">
        <v>699.0</v>
      </c>
      <c r="D795" s="11" t="s">
        <v>127</v>
      </c>
      <c r="H795" s="11" t="s">
        <v>21</v>
      </c>
      <c r="L795" s="11" t="s">
        <v>46</v>
      </c>
    </row>
    <row r="796" ht="22.5" customHeight="1">
      <c r="A796" s="10">
        <v>45794.72953862269</v>
      </c>
      <c r="B796" s="11" t="s">
        <v>20</v>
      </c>
      <c r="C796" s="11">
        <v>310.0</v>
      </c>
      <c r="D796" s="11" t="s">
        <v>128</v>
      </c>
      <c r="H796" s="11" t="s">
        <v>28</v>
      </c>
      <c r="I796" s="11" t="s">
        <v>44</v>
      </c>
    </row>
    <row r="797" ht="22.5" customHeight="1">
      <c r="A797" s="10">
        <v>45794.72970715278</v>
      </c>
      <c r="B797" s="11" t="s">
        <v>20</v>
      </c>
      <c r="C797" s="11">
        <v>2656.0</v>
      </c>
      <c r="D797" s="11" t="s">
        <v>128</v>
      </c>
      <c r="H797" s="11" t="s">
        <v>28</v>
      </c>
      <c r="I797" s="11" t="s">
        <v>34</v>
      </c>
    </row>
    <row r="798" ht="22.5" customHeight="1">
      <c r="A798" s="10">
        <v>45794.72984697917</v>
      </c>
      <c r="B798" s="11" t="s">
        <v>20</v>
      </c>
      <c r="C798" s="11">
        <v>30.0</v>
      </c>
      <c r="D798" s="11" t="s">
        <v>128</v>
      </c>
      <c r="H798" s="11" t="s">
        <v>21</v>
      </c>
      <c r="L798" s="11" t="s">
        <v>31</v>
      </c>
    </row>
    <row r="799" ht="22.5" customHeight="1">
      <c r="A799" s="10">
        <v>45794.965175324076</v>
      </c>
      <c r="B799" s="11" t="s">
        <v>20</v>
      </c>
      <c r="C799" s="11">
        <v>919.0</v>
      </c>
      <c r="D799" s="11" t="s">
        <v>128</v>
      </c>
      <c r="H799" s="11" t="s">
        <v>28</v>
      </c>
      <c r="I799" s="11" t="s">
        <v>34</v>
      </c>
      <c r="S799" s="11" t="s">
        <v>254</v>
      </c>
      <c r="T799" s="11" t="s">
        <v>86</v>
      </c>
    </row>
    <row r="800" ht="22.5" customHeight="1">
      <c r="A800" s="10">
        <v>45795.55911787037</v>
      </c>
      <c r="B800" s="11" t="s">
        <v>20</v>
      </c>
      <c r="C800" s="11">
        <v>50.0</v>
      </c>
      <c r="D800" s="11" t="s">
        <v>128</v>
      </c>
      <c r="H800" s="11" t="s">
        <v>28</v>
      </c>
      <c r="I800" s="11" t="s">
        <v>34</v>
      </c>
    </row>
    <row r="801" ht="22.5" customHeight="1">
      <c r="A801" s="10">
        <v>45795.559319409724</v>
      </c>
      <c r="B801" s="11" t="s">
        <v>20</v>
      </c>
      <c r="C801" s="11">
        <v>1500.0</v>
      </c>
      <c r="D801" s="11" t="s">
        <v>128</v>
      </c>
      <c r="H801" s="11" t="s">
        <v>28</v>
      </c>
      <c r="I801" s="11" t="s">
        <v>34</v>
      </c>
      <c r="S801" s="11" t="s">
        <v>255</v>
      </c>
    </row>
    <row r="802" ht="22.5" customHeight="1">
      <c r="A802" s="10">
        <v>45795.57943817129</v>
      </c>
      <c r="B802" s="11" t="s">
        <v>20</v>
      </c>
      <c r="C802" s="11">
        <v>490.0</v>
      </c>
      <c r="D802" s="11" t="s">
        <v>128</v>
      </c>
      <c r="H802" s="11" t="s">
        <v>28</v>
      </c>
      <c r="I802" s="11" t="s">
        <v>44</v>
      </c>
    </row>
    <row r="803" ht="22.5" customHeight="1">
      <c r="A803" s="10">
        <v>45795.90270673611</v>
      </c>
      <c r="B803" s="11" t="s">
        <v>20</v>
      </c>
      <c r="C803" s="11">
        <v>722.0</v>
      </c>
      <c r="D803" s="11" t="s">
        <v>128</v>
      </c>
      <c r="H803" s="11" t="s">
        <v>21</v>
      </c>
      <c r="L803" s="11" t="s">
        <v>23</v>
      </c>
    </row>
    <row r="804" ht="22.5" customHeight="1">
      <c r="A804" s="10">
        <v>45795.902842615746</v>
      </c>
      <c r="B804" s="11" t="s">
        <v>20</v>
      </c>
      <c r="C804" s="11">
        <v>628.0</v>
      </c>
      <c r="D804" s="11" t="s">
        <v>128</v>
      </c>
      <c r="H804" s="11" t="s">
        <v>28</v>
      </c>
      <c r="I804" s="11" t="s">
        <v>34</v>
      </c>
    </row>
    <row r="805" ht="22.5" customHeight="1">
      <c r="A805" s="10">
        <v>45796.964356666664</v>
      </c>
      <c r="B805" s="11" t="s">
        <v>20</v>
      </c>
      <c r="C805" s="11">
        <v>2000.0</v>
      </c>
      <c r="D805" s="11" t="s">
        <v>128</v>
      </c>
      <c r="H805" s="11" t="s">
        <v>16</v>
      </c>
      <c r="Q805" s="11" t="s">
        <v>186</v>
      </c>
      <c r="S805" s="11" t="s">
        <v>256</v>
      </c>
    </row>
    <row r="806" ht="22.5" customHeight="1">
      <c r="A806" s="10">
        <v>45798.52217490741</v>
      </c>
      <c r="B806" s="11" t="s">
        <v>20</v>
      </c>
      <c r="C806" s="11">
        <v>180.0</v>
      </c>
      <c r="D806" s="11" t="s">
        <v>127</v>
      </c>
      <c r="H806" s="11" t="s">
        <v>28</v>
      </c>
      <c r="I806" s="11" t="s">
        <v>30</v>
      </c>
    </row>
    <row r="807" ht="22.5" customHeight="1">
      <c r="A807" s="10">
        <v>45798.9805031713</v>
      </c>
      <c r="B807" s="11" t="s">
        <v>20</v>
      </c>
      <c r="C807" s="11">
        <v>175.0</v>
      </c>
      <c r="D807" s="11" t="s">
        <v>128</v>
      </c>
      <c r="H807" s="11" t="s">
        <v>28</v>
      </c>
      <c r="I807" s="11" t="s">
        <v>30</v>
      </c>
    </row>
    <row r="808" ht="22.5" customHeight="1">
      <c r="A808" s="10">
        <v>45799.0028147338</v>
      </c>
      <c r="B808" s="11" t="s">
        <v>20</v>
      </c>
      <c r="C808" s="11">
        <v>685.0</v>
      </c>
      <c r="D808" s="11">
        <v>2.0250618E7</v>
      </c>
      <c r="H808" s="11" t="s">
        <v>21</v>
      </c>
      <c r="L808" s="11" t="s">
        <v>36</v>
      </c>
      <c r="S808" s="11" t="s">
        <v>257</v>
      </c>
    </row>
    <row r="809" ht="22.5" customHeight="1">
      <c r="A809" s="10">
        <v>45799.91629521991</v>
      </c>
      <c r="B809" s="11" t="s">
        <v>20</v>
      </c>
      <c r="C809" s="11">
        <v>100.0</v>
      </c>
      <c r="D809" s="11" t="s">
        <v>128</v>
      </c>
      <c r="H809" s="11" t="s">
        <v>24</v>
      </c>
      <c r="M809" s="11" t="s">
        <v>25</v>
      </c>
    </row>
    <row r="810" ht="22.5" customHeight="1">
      <c r="A810" s="10">
        <v>45801.39567510417</v>
      </c>
      <c r="B810" s="11" t="s">
        <v>20</v>
      </c>
      <c r="C810" s="11">
        <v>28.0</v>
      </c>
      <c r="D810" s="11" t="s">
        <v>127</v>
      </c>
      <c r="H810" s="11" t="s">
        <v>21</v>
      </c>
      <c r="L810" s="11" t="s">
        <v>22</v>
      </c>
    </row>
    <row r="811" ht="22.5" customHeight="1">
      <c r="A811" s="10">
        <v>45801.39585043982</v>
      </c>
      <c r="B811" s="11" t="s">
        <v>20</v>
      </c>
      <c r="C811" s="11">
        <v>400.0</v>
      </c>
      <c r="D811" s="11" t="s">
        <v>127</v>
      </c>
      <c r="H811" s="11" t="s">
        <v>28</v>
      </c>
      <c r="I811" s="11" t="s">
        <v>30</v>
      </c>
    </row>
    <row r="812" ht="22.5" customHeight="1">
      <c r="A812" s="10">
        <v>45801.39600460648</v>
      </c>
      <c r="B812" s="11" t="s">
        <v>20</v>
      </c>
      <c r="C812" s="11">
        <v>69.0</v>
      </c>
      <c r="D812" s="11" t="s">
        <v>127</v>
      </c>
      <c r="H812" s="11" t="s">
        <v>28</v>
      </c>
      <c r="I812" s="11" t="s">
        <v>43</v>
      </c>
    </row>
    <row r="813" ht="22.5" customHeight="1">
      <c r="A813" s="10">
        <v>45801.396136944444</v>
      </c>
      <c r="B813" s="11" t="s">
        <v>20</v>
      </c>
      <c r="C813" s="11">
        <v>161.0</v>
      </c>
      <c r="D813" s="11" t="s">
        <v>128</v>
      </c>
      <c r="H813" s="11" t="s">
        <v>28</v>
      </c>
      <c r="I813" s="11" t="s">
        <v>29</v>
      </c>
    </row>
    <row r="814" ht="22.5" customHeight="1">
      <c r="A814" s="10">
        <v>45801.61979793981</v>
      </c>
      <c r="B814" s="11" t="s">
        <v>20</v>
      </c>
      <c r="C814" s="11">
        <v>1000.0</v>
      </c>
      <c r="D814" s="11" t="s">
        <v>128</v>
      </c>
      <c r="H814" s="11" t="s">
        <v>24</v>
      </c>
      <c r="M814" s="11" t="s">
        <v>54</v>
      </c>
      <c r="S814" s="11" t="s">
        <v>258</v>
      </c>
    </row>
    <row r="815" ht="22.5" customHeight="1">
      <c r="A815" s="10">
        <v>45801.62001246528</v>
      </c>
      <c r="B815" s="11" t="s">
        <v>20</v>
      </c>
      <c r="C815" s="11">
        <v>951.0</v>
      </c>
      <c r="D815" s="11" t="s">
        <v>128</v>
      </c>
      <c r="H815" s="11" t="s">
        <v>28</v>
      </c>
      <c r="I815" s="11" t="s">
        <v>44</v>
      </c>
      <c r="S815" s="11" t="s">
        <v>259</v>
      </c>
    </row>
    <row r="816" ht="22.5" customHeight="1">
      <c r="A816" s="10">
        <v>45801.96519501157</v>
      </c>
      <c r="B816" s="11" t="s">
        <v>20</v>
      </c>
      <c r="C816" s="11">
        <v>75.0</v>
      </c>
      <c r="D816" s="11" t="s">
        <v>128</v>
      </c>
      <c r="H816" s="11" t="s">
        <v>21</v>
      </c>
      <c r="L816" s="11" t="s">
        <v>31</v>
      </c>
    </row>
    <row r="817" ht="22.5" customHeight="1">
      <c r="A817" s="10">
        <v>45801.965373240746</v>
      </c>
      <c r="B817" s="11" t="s">
        <v>20</v>
      </c>
      <c r="C817" s="11">
        <v>150.0</v>
      </c>
      <c r="D817" s="11" t="s">
        <v>128</v>
      </c>
      <c r="H817" s="11" t="s">
        <v>26</v>
      </c>
      <c r="J817" s="11" t="s">
        <v>27</v>
      </c>
    </row>
    <row r="818" ht="22.5" customHeight="1">
      <c r="A818" s="10">
        <v>45801.96556636574</v>
      </c>
      <c r="B818" s="11" t="s">
        <v>20</v>
      </c>
      <c r="C818" s="11">
        <v>30.0</v>
      </c>
      <c r="D818" s="11" t="s">
        <v>128</v>
      </c>
      <c r="H818" s="11" t="s">
        <v>21</v>
      </c>
      <c r="L818" s="11" t="s">
        <v>31</v>
      </c>
    </row>
    <row r="819" ht="22.5" customHeight="1">
      <c r="A819" s="10">
        <v>45802.6307071412</v>
      </c>
      <c r="B819" s="11" t="s">
        <v>20</v>
      </c>
      <c r="C819" s="11">
        <v>338.0</v>
      </c>
      <c r="D819" s="11" t="s">
        <v>128</v>
      </c>
      <c r="H819" s="11" t="s">
        <v>28</v>
      </c>
      <c r="I819" s="11" t="s">
        <v>44</v>
      </c>
    </row>
    <row r="820" ht="22.5" customHeight="1">
      <c r="A820" s="10">
        <v>45802.630994583335</v>
      </c>
      <c r="B820" s="11" t="s">
        <v>20</v>
      </c>
      <c r="C820" s="11">
        <v>1087.0</v>
      </c>
      <c r="D820" s="11" t="s">
        <v>128</v>
      </c>
      <c r="H820" s="11" t="s">
        <v>26</v>
      </c>
      <c r="J820" s="11" t="s">
        <v>27</v>
      </c>
      <c r="S820" s="11" t="s">
        <v>260</v>
      </c>
    </row>
    <row r="821" ht="22.5" customHeight="1">
      <c r="A821" s="10">
        <v>45802.631153738424</v>
      </c>
      <c r="B821" s="11" t="s">
        <v>20</v>
      </c>
      <c r="C821" s="11">
        <v>30.0</v>
      </c>
      <c r="D821" s="11" t="s">
        <v>128</v>
      </c>
      <c r="H821" s="11" t="s">
        <v>21</v>
      </c>
      <c r="L821" s="11" t="s">
        <v>31</v>
      </c>
    </row>
    <row r="822" ht="22.5" customHeight="1">
      <c r="A822" s="10">
        <v>45802.68489559028</v>
      </c>
      <c r="B822" s="11" t="s">
        <v>20</v>
      </c>
      <c r="C822" s="11">
        <v>639.0</v>
      </c>
      <c r="D822" s="11" t="s">
        <v>128</v>
      </c>
      <c r="H822" s="11" t="s">
        <v>28</v>
      </c>
      <c r="I822" s="11" t="s">
        <v>34</v>
      </c>
      <c r="S822" s="11" t="s">
        <v>261</v>
      </c>
      <c r="T822" s="11" t="s">
        <v>86</v>
      </c>
    </row>
    <row r="823" ht="22.5" customHeight="1">
      <c r="A823" s="10">
        <v>45802.685151875005</v>
      </c>
      <c r="B823" s="11" t="s">
        <v>20</v>
      </c>
      <c r="C823" s="11">
        <v>10.0</v>
      </c>
      <c r="D823" s="11" t="s">
        <v>128</v>
      </c>
      <c r="H823" s="11" t="s">
        <v>24</v>
      </c>
      <c r="M823" s="11" t="s">
        <v>25</v>
      </c>
    </row>
    <row r="824" ht="22.5" customHeight="1">
      <c r="A824" s="10">
        <v>45803.9210409838</v>
      </c>
      <c r="B824" s="11" t="s">
        <v>20</v>
      </c>
      <c r="C824" s="11">
        <v>130.0</v>
      </c>
      <c r="D824" s="11" t="s">
        <v>128</v>
      </c>
      <c r="H824" s="11" t="s">
        <v>21</v>
      </c>
      <c r="L824" s="11" t="s">
        <v>23</v>
      </c>
    </row>
    <row r="825" ht="22.5" customHeight="1">
      <c r="A825" s="10">
        <v>45804.857335567125</v>
      </c>
      <c r="B825" s="11" t="s">
        <v>20</v>
      </c>
      <c r="C825" s="11">
        <v>480.0</v>
      </c>
      <c r="D825" s="11" t="s">
        <v>128</v>
      </c>
      <c r="H825" s="11" t="s">
        <v>51</v>
      </c>
      <c r="K825" s="11" t="s">
        <v>185</v>
      </c>
    </row>
    <row r="826" ht="22.5" customHeight="1">
      <c r="A826" s="10">
        <v>45804.857662395836</v>
      </c>
      <c r="B826" s="11" t="s">
        <v>20</v>
      </c>
      <c r="C826" s="11">
        <v>600.0</v>
      </c>
      <c r="D826" s="11" t="s">
        <v>128</v>
      </c>
      <c r="H826" s="11" t="s">
        <v>16</v>
      </c>
      <c r="Q826" s="11" t="s">
        <v>47</v>
      </c>
      <c r="S826" s="11" t="s">
        <v>262</v>
      </c>
    </row>
    <row r="827" ht="22.5" customHeight="1">
      <c r="A827" s="10">
        <v>45807.21482501157</v>
      </c>
      <c r="B827" s="11" t="s">
        <v>20</v>
      </c>
      <c r="C827" s="11">
        <v>1025.0</v>
      </c>
      <c r="D827" s="11" t="s">
        <v>127</v>
      </c>
      <c r="H827" s="11" t="s">
        <v>21</v>
      </c>
      <c r="L827" s="11" t="s">
        <v>36</v>
      </c>
    </row>
    <row r="828" ht="22.5" customHeight="1">
      <c r="A828" s="10">
        <v>45807.215007164355</v>
      </c>
      <c r="B828" s="11" t="s">
        <v>20</v>
      </c>
      <c r="C828" s="11">
        <v>35.0</v>
      </c>
      <c r="D828" s="11" t="s">
        <v>127</v>
      </c>
      <c r="H828" s="11" t="s">
        <v>21</v>
      </c>
      <c r="L828" s="11" t="s">
        <v>46</v>
      </c>
    </row>
    <row r="829" ht="22.5" customHeight="1">
      <c r="A829" s="10">
        <v>45807.215528553235</v>
      </c>
      <c r="B829" s="11" t="s">
        <v>38</v>
      </c>
      <c r="C829" s="11">
        <v>1000.0</v>
      </c>
      <c r="D829" s="11" t="s">
        <v>141</v>
      </c>
      <c r="E829" s="11" t="s">
        <v>61</v>
      </c>
      <c r="F829" s="11" t="s">
        <v>63</v>
      </c>
      <c r="S829" s="11" t="s">
        <v>263</v>
      </c>
      <c r="T829" s="11" t="s">
        <v>42</v>
      </c>
    </row>
    <row r="830" ht="22.5" customHeight="1">
      <c r="A830" s="10">
        <v>45807.79741298611</v>
      </c>
      <c r="B830" s="11" t="s">
        <v>20</v>
      </c>
      <c r="C830" s="11">
        <v>1065.0</v>
      </c>
      <c r="D830" s="11" t="s">
        <v>128</v>
      </c>
      <c r="H830" s="11" t="s">
        <v>28</v>
      </c>
      <c r="I830" s="11" t="s">
        <v>30</v>
      </c>
    </row>
    <row r="831" ht="22.5" customHeight="1">
      <c r="A831" s="10">
        <v>45807.875159456016</v>
      </c>
      <c r="B831" s="11" t="s">
        <v>20</v>
      </c>
      <c r="C831" s="11">
        <v>494.0</v>
      </c>
      <c r="D831" s="11" t="s">
        <v>128</v>
      </c>
      <c r="H831" s="11" t="s">
        <v>28</v>
      </c>
      <c r="I831" s="11" t="s">
        <v>34</v>
      </c>
    </row>
    <row r="832" ht="22.5" customHeight="1">
      <c r="A832" s="10">
        <v>45809.61225034722</v>
      </c>
      <c r="B832" s="11" t="s">
        <v>20</v>
      </c>
      <c r="C832" s="11">
        <v>35.0</v>
      </c>
      <c r="D832" s="11" t="s">
        <v>128</v>
      </c>
      <c r="H832" s="11" t="s">
        <v>21</v>
      </c>
      <c r="L832" s="11" t="s">
        <v>46</v>
      </c>
    </row>
    <row r="833" ht="22.5" customHeight="1">
      <c r="A833" s="10">
        <v>45809.612461365745</v>
      </c>
      <c r="B833" s="11" t="s">
        <v>20</v>
      </c>
      <c r="C833" s="11">
        <v>765.0</v>
      </c>
      <c r="D833" s="11" t="s">
        <v>128</v>
      </c>
      <c r="H833" s="11" t="s">
        <v>21</v>
      </c>
      <c r="L833" s="11" t="s">
        <v>36</v>
      </c>
    </row>
    <row r="834" ht="22.5" customHeight="1">
      <c r="A834" s="10">
        <v>45810.32305234954</v>
      </c>
      <c r="B834" s="11" t="s">
        <v>20</v>
      </c>
      <c r="C834" s="11">
        <v>6000.0</v>
      </c>
      <c r="D834" s="11" t="s">
        <v>127</v>
      </c>
      <c r="H834" s="11" t="s">
        <v>51</v>
      </c>
      <c r="K834" s="11" t="s">
        <v>131</v>
      </c>
    </row>
    <row r="835" ht="22.5" customHeight="1">
      <c r="A835" s="10">
        <v>45810.32328236111</v>
      </c>
      <c r="B835" s="11" t="s">
        <v>20</v>
      </c>
      <c r="C835" s="11">
        <v>20000.0</v>
      </c>
      <c r="D835" s="11" t="s">
        <v>127</v>
      </c>
      <c r="H835" s="11" t="s">
        <v>51</v>
      </c>
      <c r="K835" s="11" t="s">
        <v>98</v>
      </c>
    </row>
    <row r="836" ht="22.5" customHeight="1">
      <c r="A836" s="10">
        <v>45810.323496666664</v>
      </c>
      <c r="B836" s="11" t="s">
        <v>38</v>
      </c>
      <c r="C836" s="11">
        <v>6000.0</v>
      </c>
      <c r="D836" s="11" t="s">
        <v>127</v>
      </c>
      <c r="E836" s="11" t="s">
        <v>39</v>
      </c>
      <c r="G836" s="11" t="s">
        <v>139</v>
      </c>
    </row>
    <row r="837" ht="22.5" customHeight="1">
      <c r="A837" s="10">
        <v>45811.50704951389</v>
      </c>
      <c r="B837" s="11" t="s">
        <v>20</v>
      </c>
      <c r="C837" s="11">
        <v>139.0</v>
      </c>
      <c r="D837" s="11" t="s">
        <v>128</v>
      </c>
      <c r="H837" s="11" t="s">
        <v>21</v>
      </c>
      <c r="L837" s="11" t="s">
        <v>202</v>
      </c>
    </row>
    <row r="838" ht="22.5" customHeight="1">
      <c r="A838" s="10">
        <v>45813.291320648146</v>
      </c>
      <c r="B838" s="11" t="s">
        <v>20</v>
      </c>
      <c r="C838" s="11">
        <v>20000.0</v>
      </c>
      <c r="D838" s="11">
        <v>2.0250601E7</v>
      </c>
      <c r="H838" s="11" t="s">
        <v>16</v>
      </c>
      <c r="Q838" s="11" t="s">
        <v>47</v>
      </c>
      <c r="S838" s="11" t="s">
        <v>264</v>
      </c>
      <c r="T838" s="11" t="s">
        <v>42</v>
      </c>
    </row>
    <row r="839" ht="22.5" customHeight="1">
      <c r="A839" s="10">
        <v>45813.81544100694</v>
      </c>
      <c r="B839" s="11" t="s">
        <v>20</v>
      </c>
      <c r="C839" s="11">
        <v>5000.0</v>
      </c>
      <c r="D839" s="11" t="s">
        <v>128</v>
      </c>
      <c r="H839" s="11" t="s">
        <v>94</v>
      </c>
      <c r="O839" s="11" t="s">
        <v>153</v>
      </c>
      <c r="S839" s="11" t="s">
        <v>265</v>
      </c>
      <c r="T839" s="11" t="s">
        <v>42</v>
      </c>
    </row>
    <row r="840" ht="22.5" customHeight="1">
      <c r="A840" s="10">
        <v>45813.81559219907</v>
      </c>
      <c r="B840" s="11" t="s">
        <v>20</v>
      </c>
      <c r="C840" s="11">
        <v>200.0</v>
      </c>
      <c r="D840" s="11" t="s">
        <v>128</v>
      </c>
      <c r="H840" s="11" t="s">
        <v>94</v>
      </c>
      <c r="O840" s="11" t="s">
        <v>153</v>
      </c>
    </row>
    <row r="841" ht="22.5" customHeight="1">
      <c r="A841" s="10">
        <v>45813.910035567125</v>
      </c>
      <c r="B841" s="11" t="s">
        <v>20</v>
      </c>
      <c r="C841" s="11">
        <v>155.0</v>
      </c>
      <c r="D841" s="11" t="s">
        <v>128</v>
      </c>
      <c r="H841" s="11" t="s">
        <v>28</v>
      </c>
      <c r="I841" s="11" t="s">
        <v>30</v>
      </c>
    </row>
    <row r="842" ht="22.5" customHeight="1">
      <c r="A842" s="10">
        <v>45815.3821882176</v>
      </c>
      <c r="B842" s="11" t="s">
        <v>20</v>
      </c>
      <c r="C842" s="11">
        <v>100.0</v>
      </c>
      <c r="D842" s="11" t="s">
        <v>128</v>
      </c>
      <c r="H842" s="11" t="s">
        <v>24</v>
      </c>
      <c r="M842" s="11" t="s">
        <v>25</v>
      </c>
    </row>
    <row r="843" ht="22.5" customHeight="1">
      <c r="A843" s="10">
        <v>45815.43556894676</v>
      </c>
      <c r="B843" s="11" t="s">
        <v>20</v>
      </c>
      <c r="C843" s="11">
        <v>1000.0</v>
      </c>
      <c r="D843" s="11" t="s">
        <v>128</v>
      </c>
      <c r="H843" s="11" t="s">
        <v>26</v>
      </c>
      <c r="J843" s="11" t="s">
        <v>27</v>
      </c>
      <c r="S843" s="11" t="s">
        <v>266</v>
      </c>
    </row>
    <row r="844" ht="22.5" customHeight="1">
      <c r="A844" s="10">
        <v>45815.43574446759</v>
      </c>
      <c r="B844" s="11" t="s">
        <v>20</v>
      </c>
      <c r="C844" s="11">
        <v>250.0</v>
      </c>
      <c r="D844" s="11" t="s">
        <v>128</v>
      </c>
      <c r="H844" s="11" t="s">
        <v>94</v>
      </c>
      <c r="O844" s="11" t="s">
        <v>153</v>
      </c>
    </row>
    <row r="845" ht="22.5" customHeight="1">
      <c r="A845" s="10">
        <v>45816.39361934028</v>
      </c>
      <c r="B845" s="11" t="s">
        <v>20</v>
      </c>
      <c r="C845" s="11">
        <v>359.0</v>
      </c>
      <c r="D845" s="11" t="s">
        <v>128</v>
      </c>
      <c r="H845" s="11" t="s">
        <v>28</v>
      </c>
      <c r="I845" s="11" t="s">
        <v>29</v>
      </c>
    </row>
    <row r="846" ht="22.5" customHeight="1">
      <c r="A846" s="10">
        <v>45816.394316817124</v>
      </c>
      <c r="B846" s="11" t="s">
        <v>20</v>
      </c>
      <c r="C846" s="11">
        <v>530.0</v>
      </c>
      <c r="D846" s="11" t="s">
        <v>127</v>
      </c>
      <c r="H846" s="11" t="s">
        <v>28</v>
      </c>
      <c r="I846" s="11" t="s">
        <v>30</v>
      </c>
    </row>
    <row r="847" ht="22.5" customHeight="1">
      <c r="A847" s="10">
        <v>45816.39445959491</v>
      </c>
      <c r="B847" s="11" t="s">
        <v>20</v>
      </c>
      <c r="C847" s="11">
        <v>80.0</v>
      </c>
      <c r="D847" s="11" t="s">
        <v>127</v>
      </c>
      <c r="H847" s="11" t="s">
        <v>28</v>
      </c>
      <c r="I847" s="11" t="s">
        <v>35</v>
      </c>
    </row>
    <row r="848" ht="22.5" customHeight="1">
      <c r="A848" s="10">
        <v>45816.394939756945</v>
      </c>
      <c r="B848" s="11" t="s">
        <v>20</v>
      </c>
      <c r="C848" s="11">
        <v>25.0</v>
      </c>
      <c r="D848" s="11" t="s">
        <v>127</v>
      </c>
      <c r="H848" s="11" t="s">
        <v>21</v>
      </c>
      <c r="L848" s="11" t="s">
        <v>31</v>
      </c>
    </row>
    <row r="849" ht="22.5" customHeight="1">
      <c r="A849" s="10">
        <v>45816.63581342592</v>
      </c>
      <c r="B849" s="11" t="s">
        <v>20</v>
      </c>
      <c r="C849" s="11">
        <v>67.0</v>
      </c>
      <c r="D849" s="11" t="s">
        <v>128</v>
      </c>
      <c r="H849" s="11" t="s">
        <v>28</v>
      </c>
      <c r="I849" s="11" t="s">
        <v>43</v>
      </c>
    </row>
    <row r="850" ht="22.5" customHeight="1">
      <c r="A850" s="10">
        <v>45817.28093789352</v>
      </c>
      <c r="B850" s="11" t="s">
        <v>20</v>
      </c>
      <c r="C850" s="11">
        <v>60.0</v>
      </c>
      <c r="D850" s="11" t="s">
        <v>127</v>
      </c>
      <c r="H850" s="11" t="s">
        <v>21</v>
      </c>
      <c r="L850" s="11" t="s">
        <v>31</v>
      </c>
    </row>
    <row r="851" ht="22.5" customHeight="1">
      <c r="A851" s="10">
        <v>45817.28113300926</v>
      </c>
      <c r="B851" s="11" t="s">
        <v>20</v>
      </c>
      <c r="C851" s="11">
        <v>234.0</v>
      </c>
      <c r="D851" s="11" t="s">
        <v>127</v>
      </c>
      <c r="H851" s="11" t="s">
        <v>28</v>
      </c>
      <c r="I851" s="11" t="s">
        <v>34</v>
      </c>
    </row>
    <row r="852" ht="22.5" customHeight="1">
      <c r="A852" s="10">
        <v>45817.88293626157</v>
      </c>
      <c r="B852" s="11" t="s">
        <v>38</v>
      </c>
      <c r="C852" s="11">
        <v>107300.0</v>
      </c>
      <c r="D852" s="11">
        <v>2.0250605E7</v>
      </c>
      <c r="E852" s="11" t="s">
        <v>61</v>
      </c>
      <c r="F852" s="11" t="s">
        <v>62</v>
      </c>
    </row>
    <row r="853" ht="22.5" customHeight="1">
      <c r="A853" s="10">
        <v>45817.88327896991</v>
      </c>
      <c r="B853" s="11" t="s">
        <v>20</v>
      </c>
      <c r="C853" s="11">
        <v>1231.0</v>
      </c>
      <c r="D853" s="11">
        <v>2.0250605E7</v>
      </c>
      <c r="H853" s="11" t="s">
        <v>28</v>
      </c>
      <c r="I853" s="11" t="s">
        <v>33</v>
      </c>
    </row>
    <row r="854" ht="22.5" customHeight="1">
      <c r="A854" s="10">
        <v>45817.883786446764</v>
      </c>
      <c r="B854" s="11" t="s">
        <v>20</v>
      </c>
      <c r="C854" s="11">
        <v>4292.0</v>
      </c>
      <c r="D854" s="11">
        <v>2.0250605E7</v>
      </c>
      <c r="H854" s="11" t="s">
        <v>59</v>
      </c>
      <c r="R854" s="11" t="s">
        <v>60</v>
      </c>
    </row>
    <row r="855" ht="22.5" customHeight="1">
      <c r="A855" s="10">
        <v>45817.884329016204</v>
      </c>
      <c r="B855" s="11" t="s">
        <v>20</v>
      </c>
      <c r="C855" s="11">
        <v>2828.0</v>
      </c>
      <c r="D855" s="11">
        <v>2.0250605E7</v>
      </c>
      <c r="H855" s="11" t="s">
        <v>57</v>
      </c>
      <c r="N855" s="11" t="s">
        <v>58</v>
      </c>
    </row>
    <row r="856" ht="22.5" customHeight="1">
      <c r="A856" s="10">
        <v>45817.8846102199</v>
      </c>
      <c r="B856" s="11" t="s">
        <v>20</v>
      </c>
      <c r="C856" s="11">
        <v>537.0</v>
      </c>
      <c r="D856" s="11">
        <v>2.0250605E7</v>
      </c>
      <c r="H856" s="11" t="s">
        <v>24</v>
      </c>
      <c r="M856" s="11" t="s">
        <v>32</v>
      </c>
    </row>
    <row r="857" ht="22.5" customHeight="1">
      <c r="A857" s="10">
        <v>45817.884868506946</v>
      </c>
      <c r="B857" s="11" t="s">
        <v>20</v>
      </c>
      <c r="C857" s="11">
        <v>3860.0</v>
      </c>
      <c r="D857" s="11">
        <v>2.0250605E7</v>
      </c>
      <c r="H857" s="11" t="s">
        <v>57</v>
      </c>
      <c r="N857" s="11" t="s">
        <v>75</v>
      </c>
    </row>
    <row r="858" ht="22.5" customHeight="1">
      <c r="A858" s="10">
        <v>45817.88556663194</v>
      </c>
      <c r="B858" s="11" t="s">
        <v>20</v>
      </c>
      <c r="C858" s="11">
        <v>99.0</v>
      </c>
      <c r="D858" s="11">
        <v>2.025053E7</v>
      </c>
      <c r="H858" s="11" t="s">
        <v>21</v>
      </c>
      <c r="L858" s="11" t="s">
        <v>31</v>
      </c>
    </row>
    <row r="859" ht="22.5" customHeight="1">
      <c r="A859" s="10">
        <v>45817.88660486111</v>
      </c>
      <c r="B859" s="11" t="s">
        <v>20</v>
      </c>
      <c r="C859" s="11">
        <v>585.0</v>
      </c>
      <c r="D859" s="11">
        <v>2.025052E7</v>
      </c>
      <c r="H859" s="11" t="s">
        <v>51</v>
      </c>
      <c r="K859" s="11" t="s">
        <v>124</v>
      </c>
    </row>
    <row r="860" ht="22.5" customHeight="1">
      <c r="A860" s="10">
        <v>45817.886927997686</v>
      </c>
      <c r="B860" s="11" t="s">
        <v>20</v>
      </c>
      <c r="C860" s="11">
        <v>220.0</v>
      </c>
      <c r="D860" s="11">
        <v>2.0250513E7</v>
      </c>
      <c r="H860" s="11" t="s">
        <v>51</v>
      </c>
      <c r="K860" s="11" t="s">
        <v>90</v>
      </c>
    </row>
    <row r="861" ht="22.5" customHeight="1">
      <c r="A861" s="10">
        <v>45817.887606828706</v>
      </c>
      <c r="B861" s="11" t="s">
        <v>20</v>
      </c>
      <c r="C861" s="11">
        <v>788.0</v>
      </c>
      <c r="D861" s="11">
        <v>2.0250528E7</v>
      </c>
      <c r="H861" s="11" t="s">
        <v>26</v>
      </c>
      <c r="J861" s="11" t="s">
        <v>50</v>
      </c>
    </row>
    <row r="862" ht="22.5" customHeight="1">
      <c r="A862" s="10">
        <v>45817.88978533565</v>
      </c>
      <c r="B862" s="11" t="s">
        <v>38</v>
      </c>
      <c r="C862" s="11">
        <v>282.0</v>
      </c>
      <c r="D862" s="11">
        <v>2.0250519E7</v>
      </c>
      <c r="E862" s="11" t="s">
        <v>39</v>
      </c>
      <c r="G862" s="11" t="s">
        <v>40</v>
      </c>
      <c r="S862" s="11" t="s">
        <v>183</v>
      </c>
      <c r="T862" s="11" t="s">
        <v>42</v>
      </c>
    </row>
    <row r="863" ht="22.5" customHeight="1">
      <c r="A863" s="10">
        <v>45817.89028972222</v>
      </c>
      <c r="B863" s="11" t="s">
        <v>38</v>
      </c>
      <c r="C863" s="11">
        <v>2592.0</v>
      </c>
      <c r="D863" s="11">
        <v>2.0250515E7</v>
      </c>
      <c r="E863" s="11" t="s">
        <v>39</v>
      </c>
      <c r="G863" s="11" t="s">
        <v>40</v>
      </c>
      <c r="S863" s="11" t="s">
        <v>184</v>
      </c>
      <c r="T863" s="11" t="s">
        <v>42</v>
      </c>
    </row>
    <row r="864" ht="22.5" customHeight="1">
      <c r="A864" s="10">
        <v>45818.88324925926</v>
      </c>
      <c r="B864" s="11" t="s">
        <v>20</v>
      </c>
      <c r="C864" s="11">
        <v>1500.0</v>
      </c>
      <c r="D864" s="11" t="s">
        <v>128</v>
      </c>
      <c r="H864" s="11" t="s">
        <v>21</v>
      </c>
      <c r="L864" s="11" t="s">
        <v>267</v>
      </c>
      <c r="S864" s="11" t="s">
        <v>267</v>
      </c>
      <c r="T864" s="11" t="s">
        <v>42</v>
      </c>
    </row>
    <row r="865" ht="22.5" customHeight="1">
      <c r="A865" s="10">
        <v>45818.88341530092</v>
      </c>
      <c r="B865" s="11" t="s">
        <v>20</v>
      </c>
      <c r="C865" s="11">
        <v>109.0</v>
      </c>
      <c r="D865" s="11" t="s">
        <v>128</v>
      </c>
      <c r="H865" s="11" t="s">
        <v>21</v>
      </c>
      <c r="L865" s="11" t="s">
        <v>23</v>
      </c>
    </row>
    <row r="866" ht="22.5" customHeight="1">
      <c r="A866" s="10">
        <v>45819.31672336806</v>
      </c>
      <c r="B866" s="11" t="s">
        <v>20</v>
      </c>
      <c r="C866" s="11">
        <v>350.0</v>
      </c>
      <c r="D866" s="11">
        <v>2.0250607E7</v>
      </c>
      <c r="H866" s="11" t="s">
        <v>26</v>
      </c>
      <c r="J866" s="11" t="s">
        <v>27</v>
      </c>
      <c r="S866" s="11" t="s">
        <v>268</v>
      </c>
      <c r="T866" s="11" t="s">
        <v>86</v>
      </c>
    </row>
    <row r="867" ht="22.5" customHeight="1">
      <c r="A867" s="10">
        <v>45820.997452696756</v>
      </c>
      <c r="B867" s="11" t="s">
        <v>20</v>
      </c>
      <c r="C867" s="11">
        <v>355.0</v>
      </c>
      <c r="D867" s="11" t="s">
        <v>128</v>
      </c>
      <c r="H867" s="11" t="s">
        <v>118</v>
      </c>
      <c r="P867" s="11" t="s">
        <v>119</v>
      </c>
    </row>
    <row r="868" ht="22.5" customHeight="1">
      <c r="A868" s="10">
        <v>45821.75977351852</v>
      </c>
      <c r="B868" s="11" t="s">
        <v>20</v>
      </c>
      <c r="C868" s="11">
        <v>1359.0</v>
      </c>
      <c r="D868" s="11" t="s">
        <v>127</v>
      </c>
      <c r="H868" s="11" t="s">
        <v>28</v>
      </c>
      <c r="I868" s="11" t="s">
        <v>30</v>
      </c>
      <c r="S868" s="11" t="s">
        <v>269</v>
      </c>
    </row>
    <row r="869" ht="22.5" customHeight="1">
      <c r="A869" s="10">
        <v>45821.87707121528</v>
      </c>
      <c r="B869" s="11" t="s">
        <v>20</v>
      </c>
      <c r="C869" s="11">
        <v>499.0</v>
      </c>
      <c r="D869" s="11" t="s">
        <v>128</v>
      </c>
      <c r="H869" s="11" t="s">
        <v>28</v>
      </c>
      <c r="I869" s="11" t="s">
        <v>30</v>
      </c>
    </row>
    <row r="870" ht="22.5" customHeight="1">
      <c r="A870" s="10">
        <v>45822.702455763894</v>
      </c>
      <c r="B870" s="11" t="s">
        <v>20</v>
      </c>
      <c r="C870" s="11">
        <v>170.0</v>
      </c>
      <c r="D870" s="11" t="s">
        <v>128</v>
      </c>
      <c r="H870" s="11" t="s">
        <v>28</v>
      </c>
      <c r="I870" s="11" t="s">
        <v>44</v>
      </c>
    </row>
    <row r="871" ht="22.5" customHeight="1">
      <c r="A871" s="10">
        <v>45822.70277243055</v>
      </c>
      <c r="B871" s="11" t="s">
        <v>20</v>
      </c>
      <c r="C871" s="11">
        <v>708.0</v>
      </c>
      <c r="D871" s="11" t="s">
        <v>128</v>
      </c>
      <c r="H871" s="11" t="s">
        <v>21</v>
      </c>
      <c r="L871" s="11" t="s">
        <v>23</v>
      </c>
    </row>
    <row r="872" ht="22.5" customHeight="1">
      <c r="A872" s="10">
        <v>45822.70293929398</v>
      </c>
      <c r="B872" s="11" t="s">
        <v>20</v>
      </c>
      <c r="C872" s="11">
        <v>1056.0</v>
      </c>
      <c r="D872" s="11" t="s">
        <v>128</v>
      </c>
      <c r="H872" s="11" t="s">
        <v>28</v>
      </c>
      <c r="I872" s="11" t="s">
        <v>34</v>
      </c>
    </row>
    <row r="873" ht="22.5" customHeight="1">
      <c r="A873" s="10">
        <v>45823.685294097224</v>
      </c>
      <c r="B873" s="11" t="s">
        <v>20</v>
      </c>
      <c r="C873" s="11">
        <v>73.0</v>
      </c>
      <c r="D873" s="11" t="s">
        <v>128</v>
      </c>
      <c r="H873" s="11" t="s">
        <v>21</v>
      </c>
      <c r="L873" s="11" t="s">
        <v>23</v>
      </c>
    </row>
    <row r="874" ht="22.5" customHeight="1">
      <c r="A874" s="10">
        <v>45823.897394513886</v>
      </c>
      <c r="B874" s="11" t="s">
        <v>20</v>
      </c>
      <c r="C874" s="11">
        <v>142.0</v>
      </c>
      <c r="D874" s="11" t="s">
        <v>128</v>
      </c>
      <c r="H874" s="11" t="s">
        <v>28</v>
      </c>
      <c r="I874" s="11" t="s">
        <v>30</v>
      </c>
    </row>
    <row r="875" ht="22.5" customHeight="1">
      <c r="A875" s="10">
        <v>45823.89804318287</v>
      </c>
      <c r="B875" s="11" t="s">
        <v>20</v>
      </c>
      <c r="C875" s="11">
        <v>699.0</v>
      </c>
      <c r="D875" s="11" t="s">
        <v>149</v>
      </c>
      <c r="H875" s="11" t="s">
        <v>21</v>
      </c>
      <c r="L875" s="11" t="s">
        <v>46</v>
      </c>
    </row>
    <row r="876" ht="22.5" customHeight="1">
      <c r="A876" s="10">
        <v>45825.51126056713</v>
      </c>
      <c r="B876" s="11" t="s">
        <v>20</v>
      </c>
      <c r="C876" s="11">
        <v>1300.0</v>
      </c>
      <c r="D876" s="11" t="s">
        <v>128</v>
      </c>
      <c r="H876" s="11" t="s">
        <v>28</v>
      </c>
      <c r="I876" s="11" t="s">
        <v>34</v>
      </c>
      <c r="S876" s="11" t="s">
        <v>270</v>
      </c>
    </row>
    <row r="877" ht="22.5" customHeight="1">
      <c r="A877" s="10">
        <v>45827.960445000004</v>
      </c>
      <c r="B877" s="11" t="s">
        <v>20</v>
      </c>
      <c r="C877" s="11">
        <v>35.0</v>
      </c>
      <c r="D877" s="11" t="s">
        <v>128</v>
      </c>
      <c r="H877" s="11" t="s">
        <v>21</v>
      </c>
      <c r="L877" s="11" t="s">
        <v>46</v>
      </c>
    </row>
    <row r="878" ht="22.5" customHeight="1">
      <c r="A878" s="10">
        <v>45828.69188604166</v>
      </c>
      <c r="B878" s="11" t="s">
        <v>20</v>
      </c>
      <c r="C878" s="11">
        <v>15000.0</v>
      </c>
      <c r="D878" s="11" t="s">
        <v>128</v>
      </c>
      <c r="H878" s="11" t="s">
        <v>94</v>
      </c>
      <c r="O878" s="11" t="s">
        <v>153</v>
      </c>
      <c r="S878" s="11" t="s">
        <v>271</v>
      </c>
      <c r="T878" s="11" t="s">
        <v>42</v>
      </c>
    </row>
    <row r="879" ht="22.5" customHeight="1">
      <c r="A879" s="10">
        <v>45829.355644247684</v>
      </c>
      <c r="B879" s="11" t="s">
        <v>20</v>
      </c>
      <c r="C879" s="11">
        <v>2000.0</v>
      </c>
      <c r="D879" s="11" t="s">
        <v>127</v>
      </c>
      <c r="H879" s="11" t="s">
        <v>28</v>
      </c>
      <c r="I879" s="11" t="s">
        <v>30</v>
      </c>
      <c r="S879" s="11" t="s">
        <v>272</v>
      </c>
    </row>
    <row r="880" ht="22.5" customHeight="1">
      <c r="A880" s="10">
        <v>45830.332378657404</v>
      </c>
      <c r="B880" s="11" t="s">
        <v>20</v>
      </c>
      <c r="C880" s="11">
        <v>80.0</v>
      </c>
      <c r="D880" s="11" t="s">
        <v>127</v>
      </c>
      <c r="H880" s="11" t="s">
        <v>21</v>
      </c>
      <c r="L880" s="11" t="s">
        <v>31</v>
      </c>
    </row>
    <row r="881" ht="22.5" customHeight="1">
      <c r="A881" s="10">
        <v>45830.61855800926</v>
      </c>
      <c r="B881" s="11" t="s">
        <v>20</v>
      </c>
      <c r="C881" s="11">
        <v>35.0</v>
      </c>
      <c r="D881" s="11" t="s">
        <v>128</v>
      </c>
      <c r="H881" s="11" t="s">
        <v>21</v>
      </c>
      <c r="L881" s="11" t="s">
        <v>46</v>
      </c>
    </row>
    <row r="882" ht="22.5" customHeight="1">
      <c r="A882" s="10">
        <v>45830.61874262731</v>
      </c>
      <c r="B882" s="11" t="s">
        <v>20</v>
      </c>
      <c r="C882" s="11">
        <v>765.0</v>
      </c>
      <c r="D882" s="11" t="s">
        <v>128</v>
      </c>
      <c r="H882" s="11" t="s">
        <v>21</v>
      </c>
      <c r="L882" s="11" t="s">
        <v>36</v>
      </c>
    </row>
    <row r="883" ht="22.5" customHeight="1">
      <c r="A883" s="10">
        <v>45831.315461782404</v>
      </c>
      <c r="B883" s="11" t="s">
        <v>20</v>
      </c>
      <c r="C883" s="11">
        <v>270.0</v>
      </c>
      <c r="D883" s="11" t="s">
        <v>127</v>
      </c>
      <c r="H883" s="11" t="s">
        <v>28</v>
      </c>
      <c r="I883" s="11" t="s">
        <v>30</v>
      </c>
    </row>
    <row r="884" ht="22.5" customHeight="1">
      <c r="A884" s="10">
        <v>45835.81691976852</v>
      </c>
      <c r="B884" s="11" t="s">
        <v>20</v>
      </c>
      <c r="C884" s="11">
        <v>6900.0</v>
      </c>
      <c r="D884" s="11" t="s">
        <v>149</v>
      </c>
      <c r="H884" s="11" t="s">
        <v>24</v>
      </c>
      <c r="M884" s="11" t="s">
        <v>49</v>
      </c>
      <c r="S884" s="11" t="s">
        <v>273</v>
      </c>
      <c r="T884" s="11" t="s">
        <v>42</v>
      </c>
    </row>
    <row r="885" ht="22.5" customHeight="1">
      <c r="A885" s="10">
        <v>45835.82543107639</v>
      </c>
      <c r="B885" s="11" t="s">
        <v>20</v>
      </c>
      <c r="C885" s="11">
        <v>20.0</v>
      </c>
      <c r="D885" s="11" t="s">
        <v>128</v>
      </c>
      <c r="H885" s="11" t="s">
        <v>28</v>
      </c>
      <c r="I885" s="11" t="s">
        <v>43</v>
      </c>
    </row>
    <row r="886" ht="22.5" customHeight="1">
      <c r="A886" s="10">
        <v>45836.79442048611</v>
      </c>
      <c r="B886" s="11" t="s">
        <v>20</v>
      </c>
      <c r="C886" s="11">
        <v>8052.0</v>
      </c>
      <c r="D886" s="11" t="s">
        <v>128</v>
      </c>
      <c r="H886" s="11" t="s">
        <v>28</v>
      </c>
      <c r="I886" s="11" t="s">
        <v>44</v>
      </c>
      <c r="S886" s="11" t="s">
        <v>274</v>
      </c>
      <c r="T886" s="11" t="s">
        <v>42</v>
      </c>
    </row>
    <row r="887" ht="22.5" customHeight="1">
      <c r="A887" s="10">
        <v>45836.79468141204</v>
      </c>
      <c r="B887" s="11" t="s">
        <v>20</v>
      </c>
      <c r="C887" s="11">
        <v>794.0</v>
      </c>
      <c r="D887" s="11" t="s">
        <v>128</v>
      </c>
      <c r="H887" s="11" t="s">
        <v>21</v>
      </c>
      <c r="L887" s="11" t="s">
        <v>23</v>
      </c>
    </row>
    <row r="888" ht="22.5" customHeight="1">
      <c r="A888" s="10">
        <v>45837.0011422338</v>
      </c>
      <c r="B888" s="11" t="s">
        <v>20</v>
      </c>
      <c r="C888" s="11">
        <v>1356.0</v>
      </c>
      <c r="D888" s="11" t="s">
        <v>127</v>
      </c>
      <c r="H888" s="11" t="s">
        <v>28</v>
      </c>
      <c r="I888" s="11" t="s">
        <v>30</v>
      </c>
      <c r="S888" s="11" t="s">
        <v>275</v>
      </c>
    </row>
    <row r="889" ht="22.5" customHeight="1">
      <c r="A889" s="10">
        <v>45837.00187997685</v>
      </c>
      <c r="B889" s="11" t="s">
        <v>20</v>
      </c>
      <c r="C889" s="11">
        <v>687.0</v>
      </c>
      <c r="D889" s="11" t="s">
        <v>127</v>
      </c>
      <c r="H889" s="11" t="s">
        <v>28</v>
      </c>
      <c r="I889" s="11" t="s">
        <v>35</v>
      </c>
      <c r="S889" s="11" t="s">
        <v>276</v>
      </c>
    </row>
    <row r="890" ht="22.5" customHeight="1">
      <c r="A890" s="10">
        <v>45837.01098791667</v>
      </c>
      <c r="B890" s="11" t="s">
        <v>20</v>
      </c>
      <c r="C890" s="11">
        <v>40.0</v>
      </c>
      <c r="D890" s="11" t="s">
        <v>128</v>
      </c>
      <c r="H890" s="11" t="s">
        <v>21</v>
      </c>
      <c r="L890" s="11" t="s">
        <v>31</v>
      </c>
    </row>
    <row r="891" ht="22.5" customHeight="1">
      <c r="A891" s="10">
        <v>45838.317876493056</v>
      </c>
      <c r="B891" s="11" t="s">
        <v>20</v>
      </c>
      <c r="C891" s="11">
        <v>305.0</v>
      </c>
      <c r="D891" s="11" t="s">
        <v>127</v>
      </c>
      <c r="H891" s="11" t="s">
        <v>28</v>
      </c>
      <c r="I891" s="11" t="s">
        <v>34</v>
      </c>
      <c r="S891" s="11" t="s">
        <v>277</v>
      </c>
    </row>
    <row r="892" ht="22.5" customHeight="1">
      <c r="A892" s="10">
        <v>45838.31811559028</v>
      </c>
      <c r="B892" s="11" t="s">
        <v>20</v>
      </c>
      <c r="C892" s="11">
        <v>45.0</v>
      </c>
      <c r="D892" s="11" t="s">
        <v>127</v>
      </c>
      <c r="H892" s="11" t="s">
        <v>21</v>
      </c>
      <c r="L892" s="11" t="s">
        <v>31</v>
      </c>
    </row>
    <row r="893" ht="22.5" customHeight="1">
      <c r="A893" s="10">
        <v>45838.318380717596</v>
      </c>
      <c r="B893" s="11" t="s">
        <v>20</v>
      </c>
      <c r="C893" s="11">
        <v>700.0</v>
      </c>
      <c r="D893" s="11" t="s">
        <v>127</v>
      </c>
      <c r="H893" s="11" t="s">
        <v>28</v>
      </c>
      <c r="I893" s="11" t="s">
        <v>126</v>
      </c>
      <c r="S893" s="11" t="s">
        <v>278</v>
      </c>
    </row>
    <row r="894" ht="22.5" customHeight="1">
      <c r="A894" s="10">
        <v>45838.31857326389</v>
      </c>
      <c r="B894" s="11" t="s">
        <v>20</v>
      </c>
      <c r="C894" s="11">
        <v>416.0</v>
      </c>
      <c r="D894" s="11" t="s">
        <v>127</v>
      </c>
      <c r="H894" s="11" t="s">
        <v>21</v>
      </c>
      <c r="L894" s="11" t="s">
        <v>23</v>
      </c>
    </row>
    <row r="895" ht="22.5" customHeight="1">
      <c r="A895" s="10">
        <v>45838.88727356482</v>
      </c>
      <c r="B895" s="11" t="s">
        <v>20</v>
      </c>
      <c r="C895" s="11">
        <v>60.0</v>
      </c>
      <c r="D895" s="11" t="s">
        <v>128</v>
      </c>
      <c r="H895" s="11" t="s">
        <v>26</v>
      </c>
      <c r="J895" s="11" t="s">
        <v>27</v>
      </c>
    </row>
    <row r="896" ht="22.5" customHeight="1">
      <c r="A896" s="10">
        <v>45839.39306002315</v>
      </c>
      <c r="B896" s="11" t="s">
        <v>20</v>
      </c>
      <c r="C896" s="11">
        <v>500.0</v>
      </c>
      <c r="D896" s="11" t="s">
        <v>127</v>
      </c>
      <c r="H896" s="11" t="s">
        <v>28</v>
      </c>
      <c r="I896" s="11" t="s">
        <v>142</v>
      </c>
      <c r="S896" s="11" t="s">
        <v>279</v>
      </c>
    </row>
    <row r="897" ht="22.5" customHeight="1">
      <c r="A897" s="10">
        <v>45839.39329295139</v>
      </c>
      <c r="B897" s="11" t="s">
        <v>20</v>
      </c>
      <c r="C897" s="11">
        <v>1000.0</v>
      </c>
      <c r="D897" s="11" t="s">
        <v>127</v>
      </c>
      <c r="H897" s="11" t="s">
        <v>28</v>
      </c>
      <c r="I897" s="11" t="s">
        <v>142</v>
      </c>
      <c r="S897" s="11" t="s">
        <v>280</v>
      </c>
    </row>
    <row r="898" ht="22.5" customHeight="1">
      <c r="A898" s="10">
        <v>45841.78452400463</v>
      </c>
      <c r="B898" s="11" t="s">
        <v>20</v>
      </c>
      <c r="C898" s="11">
        <v>129.0</v>
      </c>
      <c r="D898" s="11" t="s">
        <v>128</v>
      </c>
      <c r="H898" s="11" t="s">
        <v>21</v>
      </c>
      <c r="L898" s="11" t="s">
        <v>23</v>
      </c>
    </row>
    <row r="899" ht="22.5" customHeight="1">
      <c r="A899" s="10">
        <v>45841.92089925926</v>
      </c>
      <c r="B899" s="11" t="s">
        <v>20</v>
      </c>
      <c r="C899" s="11">
        <v>150.0</v>
      </c>
      <c r="D899" s="11" t="s">
        <v>128</v>
      </c>
      <c r="H899" s="11" t="s">
        <v>94</v>
      </c>
      <c r="O899" s="11" t="s">
        <v>153</v>
      </c>
    </row>
    <row r="900" ht="22.5" customHeight="1">
      <c r="A900" s="10">
        <v>45841.92111984953</v>
      </c>
      <c r="B900" s="11" t="s">
        <v>20</v>
      </c>
      <c r="C900" s="11">
        <v>5000.0</v>
      </c>
      <c r="D900" s="11" t="s">
        <v>128</v>
      </c>
      <c r="H900" s="11" t="s">
        <v>94</v>
      </c>
      <c r="O900" s="11" t="s">
        <v>153</v>
      </c>
      <c r="S900" s="11" t="s">
        <v>265</v>
      </c>
      <c r="T900" s="11" t="s">
        <v>42</v>
      </c>
    </row>
    <row r="901" ht="22.5" customHeight="1">
      <c r="A901" s="10">
        <v>45841.921306828706</v>
      </c>
      <c r="B901" s="11" t="s">
        <v>20</v>
      </c>
      <c r="C901" s="11">
        <v>6000.0</v>
      </c>
      <c r="D901" s="11" t="s">
        <v>141</v>
      </c>
      <c r="H901" s="11" t="s">
        <v>51</v>
      </c>
      <c r="K901" s="11" t="s">
        <v>131</v>
      </c>
    </row>
    <row r="902" ht="22.5" customHeight="1">
      <c r="A902" s="10">
        <v>45841.92147756944</v>
      </c>
      <c r="B902" s="11" t="s">
        <v>20</v>
      </c>
      <c r="C902" s="11">
        <v>20000.0</v>
      </c>
      <c r="D902" s="11" t="s">
        <v>141</v>
      </c>
      <c r="H902" s="11" t="s">
        <v>51</v>
      </c>
      <c r="K902" s="11" t="s">
        <v>98</v>
      </c>
    </row>
    <row r="903" ht="22.5" customHeight="1">
      <c r="A903" s="10">
        <v>45841.92164277778</v>
      </c>
      <c r="B903" s="11" t="s">
        <v>38</v>
      </c>
      <c r="C903" s="11">
        <v>6000.0</v>
      </c>
      <c r="D903" s="11" t="s">
        <v>141</v>
      </c>
      <c r="E903" s="11" t="s">
        <v>39</v>
      </c>
      <c r="G903" s="11" t="s">
        <v>139</v>
      </c>
    </row>
    <row r="904" ht="22.5" customHeight="1">
      <c r="A904" s="10">
        <v>45842.909397048614</v>
      </c>
      <c r="B904" s="11" t="s">
        <v>20</v>
      </c>
      <c r="C904" s="11">
        <v>7802.0</v>
      </c>
      <c r="D904" s="11" t="s">
        <v>128</v>
      </c>
      <c r="H904" s="11" t="s">
        <v>51</v>
      </c>
      <c r="K904" s="11" t="s">
        <v>111</v>
      </c>
    </row>
    <row r="905" ht="22.5" customHeight="1">
      <c r="A905" s="10">
        <v>45843.51312539352</v>
      </c>
      <c r="B905" s="11" t="s">
        <v>20</v>
      </c>
      <c r="C905" s="11">
        <v>30.0</v>
      </c>
      <c r="D905" s="11" t="s">
        <v>128</v>
      </c>
      <c r="H905" s="11" t="s">
        <v>21</v>
      </c>
      <c r="L905" s="11" t="s">
        <v>31</v>
      </c>
    </row>
    <row r="906" ht="22.5" customHeight="1">
      <c r="A906" s="10">
        <v>45843.60487836806</v>
      </c>
      <c r="B906" s="11" t="s">
        <v>20</v>
      </c>
      <c r="C906" s="11">
        <v>1206.0</v>
      </c>
      <c r="D906" s="11" t="s">
        <v>128</v>
      </c>
      <c r="H906" s="11" t="s">
        <v>28</v>
      </c>
      <c r="I906" s="11" t="s">
        <v>34</v>
      </c>
    </row>
    <row r="907" ht="22.5" customHeight="1">
      <c r="A907" s="10">
        <v>45843.60515289352</v>
      </c>
      <c r="B907" s="11" t="s">
        <v>20</v>
      </c>
      <c r="C907" s="11">
        <v>2244.0</v>
      </c>
      <c r="D907" s="11" t="s">
        <v>128</v>
      </c>
      <c r="H907" s="11" t="s">
        <v>28</v>
      </c>
      <c r="I907" s="11" t="s">
        <v>34</v>
      </c>
      <c r="S907" s="11" t="s">
        <v>113</v>
      </c>
      <c r="T907" s="11" t="s">
        <v>86</v>
      </c>
    </row>
    <row r="908" ht="22.5" customHeight="1">
      <c r="A908" s="10">
        <v>45845.498056365745</v>
      </c>
      <c r="B908" s="11" t="s">
        <v>20</v>
      </c>
      <c r="C908" s="11">
        <v>328.0</v>
      </c>
      <c r="D908" s="11" t="s">
        <v>128</v>
      </c>
      <c r="H908" s="11" t="s">
        <v>28</v>
      </c>
      <c r="I908" s="11" t="s">
        <v>44</v>
      </c>
    </row>
    <row r="909" ht="22.5" customHeight="1">
      <c r="A909" s="10">
        <v>45845.49865069444</v>
      </c>
      <c r="B909" s="11" t="s">
        <v>20</v>
      </c>
      <c r="C909" s="11">
        <v>515.0</v>
      </c>
      <c r="D909" s="11" t="s">
        <v>127</v>
      </c>
      <c r="H909" s="11" t="s">
        <v>28</v>
      </c>
      <c r="I909" s="11" t="s">
        <v>34</v>
      </c>
      <c r="S909" s="11" t="s">
        <v>281</v>
      </c>
    </row>
    <row r="910" ht="22.5" customHeight="1">
      <c r="A910" s="10">
        <v>45845.8192130324</v>
      </c>
      <c r="B910" s="11" t="s">
        <v>20</v>
      </c>
      <c r="C910" s="11">
        <v>449.0</v>
      </c>
      <c r="D910" s="11" t="s">
        <v>128</v>
      </c>
      <c r="H910" s="11" t="s">
        <v>24</v>
      </c>
      <c r="M910" s="11" t="s">
        <v>96</v>
      </c>
    </row>
    <row r="911" ht="22.5" customHeight="1">
      <c r="A911" s="10">
        <v>45845.81965935185</v>
      </c>
      <c r="B911" s="11" t="s">
        <v>20</v>
      </c>
      <c r="C911" s="11">
        <v>308.0</v>
      </c>
      <c r="D911" s="11" t="s">
        <v>128</v>
      </c>
      <c r="H911" s="11" t="s">
        <v>26</v>
      </c>
      <c r="J911" s="11" t="s">
        <v>27</v>
      </c>
    </row>
    <row r="912" ht="22.5" customHeight="1">
      <c r="A912" s="10">
        <v>45845.90540561343</v>
      </c>
      <c r="B912" s="11" t="s">
        <v>20</v>
      </c>
      <c r="C912" s="11">
        <v>39.0</v>
      </c>
      <c r="D912" s="11" t="s">
        <v>127</v>
      </c>
      <c r="H912" s="11" t="s">
        <v>26</v>
      </c>
      <c r="J912" s="11" t="s">
        <v>27</v>
      </c>
    </row>
    <row r="913" ht="22.5" customHeight="1">
      <c r="A913" s="10">
        <v>45845.90574277777</v>
      </c>
      <c r="B913" s="11" t="s">
        <v>20</v>
      </c>
      <c r="C913" s="11">
        <v>348.0</v>
      </c>
      <c r="D913" s="11" t="s">
        <v>127</v>
      </c>
      <c r="H913" s="11" t="s">
        <v>26</v>
      </c>
      <c r="J913" s="11" t="s">
        <v>27</v>
      </c>
    </row>
    <row r="914" ht="22.5" customHeight="1">
      <c r="A914" s="10">
        <v>45845.90611413194</v>
      </c>
      <c r="B914" s="11" t="s">
        <v>20</v>
      </c>
      <c r="C914" s="11">
        <v>95.0</v>
      </c>
      <c r="D914" s="11" t="s">
        <v>127</v>
      </c>
      <c r="H914" s="11" t="s">
        <v>28</v>
      </c>
      <c r="I914" s="11" t="s">
        <v>112</v>
      </c>
    </row>
    <row r="915" ht="22.5" customHeight="1">
      <c r="A915" s="10">
        <v>45846.90953619213</v>
      </c>
      <c r="B915" s="11" t="s">
        <v>20</v>
      </c>
      <c r="C915" s="11">
        <v>25.0</v>
      </c>
      <c r="D915" s="11" t="s">
        <v>128</v>
      </c>
      <c r="H915" s="11" t="s">
        <v>28</v>
      </c>
      <c r="I915" s="11" t="s">
        <v>43</v>
      </c>
    </row>
    <row r="916" ht="22.5" customHeight="1">
      <c r="A916" s="10">
        <v>45847.98629039351</v>
      </c>
      <c r="B916" s="11" t="s">
        <v>38</v>
      </c>
      <c r="C916" s="11">
        <v>107300.0</v>
      </c>
      <c r="D916" s="11">
        <v>2.0250705E7</v>
      </c>
      <c r="E916" s="11" t="s">
        <v>61</v>
      </c>
      <c r="F916" s="11" t="s">
        <v>62</v>
      </c>
    </row>
    <row r="917" ht="22.5" customHeight="1">
      <c r="A917" s="10">
        <v>45847.98728017361</v>
      </c>
      <c r="B917" s="11" t="s">
        <v>38</v>
      </c>
      <c r="C917" s="11">
        <v>2736.0</v>
      </c>
      <c r="D917" s="11">
        <v>2.0250613E7</v>
      </c>
      <c r="E917" s="11" t="s">
        <v>39</v>
      </c>
      <c r="G917" s="11" t="s">
        <v>40</v>
      </c>
      <c r="S917" s="11" t="s">
        <v>184</v>
      </c>
      <c r="T917" s="11" t="s">
        <v>42</v>
      </c>
    </row>
    <row r="918" ht="22.5" customHeight="1">
      <c r="A918" s="10">
        <v>45847.987919583335</v>
      </c>
      <c r="B918" s="11" t="s">
        <v>38</v>
      </c>
      <c r="C918" s="11">
        <v>5120.0</v>
      </c>
      <c r="D918" s="11">
        <v>2.0250612E7</v>
      </c>
      <c r="E918" s="11" t="s">
        <v>39</v>
      </c>
      <c r="G918" s="11" t="s">
        <v>40</v>
      </c>
      <c r="S918" s="11" t="s">
        <v>132</v>
      </c>
      <c r="T918" s="11" t="s">
        <v>42</v>
      </c>
    </row>
    <row r="919" ht="22.5" customHeight="1">
      <c r="A919" s="10">
        <v>45847.99006486111</v>
      </c>
      <c r="B919" s="11" t="s">
        <v>20</v>
      </c>
      <c r="C919" s="11">
        <v>90.0</v>
      </c>
      <c r="D919" s="11">
        <v>2.025063E7</v>
      </c>
      <c r="H919" s="11" t="s">
        <v>21</v>
      </c>
      <c r="L919" s="11" t="s">
        <v>31</v>
      </c>
    </row>
    <row r="920" ht="22.5" customHeight="1">
      <c r="A920" s="10">
        <v>45847.99091363426</v>
      </c>
      <c r="B920" s="11" t="s">
        <v>20</v>
      </c>
      <c r="C920" s="11">
        <v>400.0</v>
      </c>
      <c r="D920" s="11">
        <v>2.025063E7</v>
      </c>
      <c r="H920" s="11" t="s">
        <v>21</v>
      </c>
      <c r="L920" s="11" t="s">
        <v>77</v>
      </c>
    </row>
    <row r="921" ht="22.5" customHeight="1">
      <c r="A921" s="10">
        <v>45847.992421400464</v>
      </c>
      <c r="B921" s="11" t="s">
        <v>20</v>
      </c>
      <c r="C921" s="11">
        <v>197.0</v>
      </c>
      <c r="D921" s="11">
        <v>2.0250714E7</v>
      </c>
      <c r="H921" s="11" t="s">
        <v>51</v>
      </c>
      <c r="K921" s="11" t="s">
        <v>90</v>
      </c>
    </row>
    <row r="922" ht="22.5" customHeight="1">
      <c r="A922" s="10">
        <v>45847.993692986114</v>
      </c>
      <c r="B922" s="11" t="s">
        <v>20</v>
      </c>
      <c r="C922" s="11">
        <v>1303.0</v>
      </c>
      <c r="D922" s="11">
        <v>2.025063E7</v>
      </c>
      <c r="H922" s="11" t="s">
        <v>51</v>
      </c>
      <c r="K922" s="11" t="s">
        <v>52</v>
      </c>
    </row>
    <row r="923" ht="22.5" customHeight="1">
      <c r="A923" s="10">
        <v>45847.995866412035</v>
      </c>
      <c r="B923" s="11" t="s">
        <v>20</v>
      </c>
      <c r="C923" s="11">
        <v>1149.0</v>
      </c>
      <c r="D923" s="11">
        <v>2.0250705E7</v>
      </c>
      <c r="H923" s="11" t="s">
        <v>28</v>
      </c>
      <c r="I923" s="11" t="s">
        <v>33</v>
      </c>
    </row>
    <row r="924" ht="22.5" customHeight="1">
      <c r="A924" s="10">
        <v>45847.99632164351</v>
      </c>
      <c r="B924" s="11" t="s">
        <v>20</v>
      </c>
      <c r="C924" s="11">
        <v>4292.0</v>
      </c>
      <c r="D924" s="11">
        <v>2.0250705E7</v>
      </c>
      <c r="H924" s="11" t="s">
        <v>59</v>
      </c>
      <c r="R924" s="11" t="s">
        <v>60</v>
      </c>
    </row>
    <row r="925" ht="22.5" customHeight="1">
      <c r="A925" s="10">
        <v>45847.99682583333</v>
      </c>
      <c r="B925" s="11" t="s">
        <v>20</v>
      </c>
      <c r="C925" s="11">
        <v>2828.0</v>
      </c>
      <c r="D925" s="11">
        <v>2.0250705E7</v>
      </c>
      <c r="H925" s="11" t="s">
        <v>57</v>
      </c>
      <c r="N925" s="11" t="s">
        <v>58</v>
      </c>
    </row>
    <row r="926" ht="22.5" customHeight="1">
      <c r="A926" s="10">
        <v>45847.99712167824</v>
      </c>
      <c r="B926" s="11" t="s">
        <v>20</v>
      </c>
      <c r="C926" s="11">
        <v>537.0</v>
      </c>
      <c r="D926" s="11">
        <v>2.0250705E7</v>
      </c>
      <c r="H926" s="11" t="s">
        <v>24</v>
      </c>
      <c r="M926" s="11" t="s">
        <v>32</v>
      </c>
    </row>
    <row r="927" ht="22.5" customHeight="1">
      <c r="A927" s="10">
        <v>45847.99741327546</v>
      </c>
      <c r="B927" s="11" t="s">
        <v>20</v>
      </c>
      <c r="C927" s="11">
        <v>3860.0</v>
      </c>
      <c r="D927" s="11">
        <v>2.0250705E7</v>
      </c>
      <c r="H927" s="11" t="s">
        <v>57</v>
      </c>
      <c r="N927" s="11" t="s">
        <v>75</v>
      </c>
    </row>
    <row r="928" ht="22.5" customHeight="1">
      <c r="A928" s="10">
        <v>45848.52801555555</v>
      </c>
      <c r="B928" s="11" t="s">
        <v>20</v>
      </c>
      <c r="C928" s="11">
        <v>219.0</v>
      </c>
      <c r="D928" s="11" t="s">
        <v>149</v>
      </c>
      <c r="H928" s="11" t="s">
        <v>21</v>
      </c>
      <c r="L928" s="11" t="s">
        <v>22</v>
      </c>
    </row>
    <row r="929" ht="22.5" customHeight="1">
      <c r="A929" s="10">
        <v>45849.828282291666</v>
      </c>
      <c r="B929" s="11" t="s">
        <v>20</v>
      </c>
      <c r="C929" s="11">
        <v>150.0</v>
      </c>
      <c r="D929" s="11" t="s">
        <v>128</v>
      </c>
      <c r="H929" s="11" t="s">
        <v>94</v>
      </c>
      <c r="O929" s="11" t="s">
        <v>153</v>
      </c>
    </row>
    <row r="930" ht="22.5" customHeight="1">
      <c r="A930" s="10">
        <v>45849.82852412037</v>
      </c>
      <c r="B930" s="11" t="s">
        <v>20</v>
      </c>
      <c r="C930" s="11">
        <v>5000.0</v>
      </c>
      <c r="D930" s="11" t="s">
        <v>128</v>
      </c>
      <c r="H930" s="11" t="s">
        <v>94</v>
      </c>
      <c r="O930" s="11" t="s">
        <v>153</v>
      </c>
      <c r="S930" s="11" t="s">
        <v>265</v>
      </c>
      <c r="T930" s="11" t="s">
        <v>42</v>
      </c>
    </row>
    <row r="931" ht="22.5" customHeight="1">
      <c r="A931" s="10">
        <v>45851.533684548616</v>
      </c>
      <c r="B931" s="11" t="s">
        <v>20</v>
      </c>
      <c r="C931" s="11">
        <v>100.0</v>
      </c>
      <c r="D931" s="11" t="s">
        <v>128</v>
      </c>
      <c r="H931" s="11" t="s">
        <v>24</v>
      </c>
      <c r="M931" s="11" t="s">
        <v>25</v>
      </c>
    </row>
    <row r="932" ht="22.5" customHeight="1">
      <c r="A932" s="10">
        <v>45851.533864178244</v>
      </c>
      <c r="B932" s="11" t="s">
        <v>20</v>
      </c>
      <c r="C932" s="11">
        <v>80.0</v>
      </c>
      <c r="D932" s="11" t="s">
        <v>128</v>
      </c>
      <c r="H932" s="11" t="s">
        <v>21</v>
      </c>
      <c r="L932" s="11" t="s">
        <v>31</v>
      </c>
    </row>
    <row r="933" ht="22.5" customHeight="1">
      <c r="A933" s="10">
        <v>45851.72673248843</v>
      </c>
      <c r="B933" s="11" t="s">
        <v>20</v>
      </c>
      <c r="C933" s="11">
        <v>2519.0</v>
      </c>
      <c r="D933" s="11" t="s">
        <v>127</v>
      </c>
      <c r="H933" s="11" t="s">
        <v>28</v>
      </c>
      <c r="I933" s="11" t="s">
        <v>34</v>
      </c>
    </row>
    <row r="934" ht="22.5" customHeight="1">
      <c r="A934" s="10">
        <v>45851.73064405093</v>
      </c>
      <c r="B934" s="11" t="s">
        <v>20</v>
      </c>
      <c r="C934" s="11">
        <v>300.0</v>
      </c>
      <c r="D934" s="11" t="s">
        <v>127</v>
      </c>
      <c r="H934" s="11" t="s">
        <v>28</v>
      </c>
      <c r="I934" s="11" t="s">
        <v>30</v>
      </c>
    </row>
    <row r="935" ht="22.5" customHeight="1">
      <c r="A935" s="10">
        <v>45851.917789189814</v>
      </c>
      <c r="B935" s="11" t="s">
        <v>20</v>
      </c>
      <c r="C935" s="11">
        <v>164.0</v>
      </c>
      <c r="D935" s="11" t="s">
        <v>128</v>
      </c>
      <c r="H935" s="11" t="s">
        <v>28</v>
      </c>
      <c r="I935" s="11" t="s">
        <v>34</v>
      </c>
    </row>
    <row r="936" ht="22.5" customHeight="1">
      <c r="A936" s="10">
        <v>45852.330360231485</v>
      </c>
      <c r="B936" s="11" t="s">
        <v>20</v>
      </c>
      <c r="C936" s="11">
        <v>630.0</v>
      </c>
      <c r="D936" s="11" t="s">
        <v>128</v>
      </c>
      <c r="H936" s="11" t="s">
        <v>118</v>
      </c>
      <c r="P936" s="11" t="s">
        <v>119</v>
      </c>
    </row>
    <row r="937" ht="22.5" customHeight="1">
      <c r="A937" s="10">
        <v>45853.768407361116</v>
      </c>
      <c r="B937" s="11" t="s">
        <v>20</v>
      </c>
      <c r="C937" s="11">
        <v>699.0</v>
      </c>
      <c r="D937" s="11" t="s">
        <v>128</v>
      </c>
      <c r="H937" s="11" t="s">
        <v>21</v>
      </c>
      <c r="L937" s="11" t="s">
        <v>46</v>
      </c>
    </row>
    <row r="938" ht="22.5" customHeight="1">
      <c r="A938" s="10">
        <v>45853.86027392361</v>
      </c>
      <c r="B938" s="11" t="s">
        <v>20</v>
      </c>
      <c r="C938" s="11">
        <v>508.0</v>
      </c>
      <c r="D938" s="11" t="s">
        <v>128</v>
      </c>
      <c r="H938" s="11" t="s">
        <v>94</v>
      </c>
      <c r="O938" s="11" t="s">
        <v>153</v>
      </c>
    </row>
    <row r="939" ht="22.5" customHeight="1">
      <c r="A939" s="10">
        <v>45853.86062090278</v>
      </c>
      <c r="B939" s="11" t="s">
        <v>20</v>
      </c>
      <c r="C939" s="11">
        <v>429.0</v>
      </c>
      <c r="D939" s="11" t="s">
        <v>128</v>
      </c>
      <c r="H939" s="11" t="s">
        <v>28</v>
      </c>
      <c r="I939" s="11" t="s">
        <v>30</v>
      </c>
    </row>
    <row r="940" ht="22.5" customHeight="1">
      <c r="A940" s="10">
        <v>45855.309247488425</v>
      </c>
      <c r="B940" s="11" t="s">
        <v>20</v>
      </c>
      <c r="C940" s="11">
        <v>414.0</v>
      </c>
      <c r="D940" s="11" t="s">
        <v>128</v>
      </c>
      <c r="H940" s="11" t="s">
        <v>26</v>
      </c>
      <c r="J940" s="11" t="s">
        <v>27</v>
      </c>
    </row>
    <row r="941" ht="22.5" customHeight="1">
      <c r="A941" s="10">
        <v>45856.793912395835</v>
      </c>
      <c r="B941" s="11" t="s">
        <v>20</v>
      </c>
      <c r="C941" s="11">
        <v>950.0</v>
      </c>
      <c r="D941" s="11" t="s">
        <v>128</v>
      </c>
      <c r="H941" s="11" t="s">
        <v>21</v>
      </c>
      <c r="L941" s="11" t="s">
        <v>36</v>
      </c>
    </row>
    <row r="942" ht="22.5" customHeight="1">
      <c r="A942" s="10">
        <v>45857.404967916664</v>
      </c>
      <c r="B942" s="11" t="s">
        <v>20</v>
      </c>
      <c r="C942" s="11">
        <v>35.0</v>
      </c>
      <c r="D942" s="11" t="s">
        <v>127</v>
      </c>
      <c r="H942" s="11" t="s">
        <v>21</v>
      </c>
      <c r="L942" s="11" t="s">
        <v>46</v>
      </c>
    </row>
    <row r="943" ht="22.5" customHeight="1">
      <c r="A943" s="10">
        <v>45857.74181010417</v>
      </c>
      <c r="B943" s="11" t="s">
        <v>20</v>
      </c>
      <c r="C943" s="11">
        <v>421.0</v>
      </c>
      <c r="D943" s="11" t="s">
        <v>128</v>
      </c>
      <c r="H943" s="11" t="s">
        <v>28</v>
      </c>
      <c r="I943" s="11" t="s">
        <v>34</v>
      </c>
      <c r="T943" s="11" t="s">
        <v>86</v>
      </c>
    </row>
    <row r="944" ht="22.5" customHeight="1">
      <c r="A944" s="10">
        <v>45857.837978634256</v>
      </c>
      <c r="B944" s="11" t="s">
        <v>20</v>
      </c>
      <c r="C944" s="11">
        <v>430.0</v>
      </c>
      <c r="D944" s="11" t="s">
        <v>128</v>
      </c>
      <c r="H944" s="11" t="s">
        <v>28</v>
      </c>
      <c r="I944" s="11" t="s">
        <v>30</v>
      </c>
    </row>
    <row r="945" ht="22.5" customHeight="1">
      <c r="A945" s="10">
        <v>45857.83859047454</v>
      </c>
      <c r="B945" s="11" t="s">
        <v>20</v>
      </c>
      <c r="C945" s="11">
        <v>4800.0</v>
      </c>
      <c r="D945" s="11" t="s">
        <v>128</v>
      </c>
      <c r="H945" s="11" t="s">
        <v>21</v>
      </c>
      <c r="L945" s="11" t="s">
        <v>198</v>
      </c>
      <c r="S945" s="11" t="s">
        <v>282</v>
      </c>
      <c r="T945" s="11" t="s">
        <v>42</v>
      </c>
    </row>
    <row r="946" ht="22.5" customHeight="1">
      <c r="A946" s="10">
        <v>45857.83906989583</v>
      </c>
      <c r="B946" s="11" t="s">
        <v>20</v>
      </c>
      <c r="C946" s="11">
        <v>450.0</v>
      </c>
      <c r="D946" s="11" t="s">
        <v>128</v>
      </c>
      <c r="H946" s="11" t="s">
        <v>21</v>
      </c>
      <c r="L946" s="11" t="s">
        <v>198</v>
      </c>
      <c r="S946" s="11" t="s">
        <v>283</v>
      </c>
    </row>
    <row r="947" ht="22.5" customHeight="1">
      <c r="A947" s="10">
        <v>45858.65124037037</v>
      </c>
      <c r="B947" s="11" t="s">
        <v>20</v>
      </c>
      <c r="C947" s="11">
        <v>35.0</v>
      </c>
      <c r="D947" s="11" t="s">
        <v>128</v>
      </c>
      <c r="H947" s="11" t="s">
        <v>21</v>
      </c>
      <c r="L947" s="11" t="s">
        <v>46</v>
      </c>
    </row>
    <row r="948" ht="22.5" customHeight="1">
      <c r="A948" s="10">
        <v>45858.65141615741</v>
      </c>
      <c r="B948" s="11" t="s">
        <v>20</v>
      </c>
      <c r="C948" s="11">
        <v>765.0</v>
      </c>
      <c r="D948" s="11" t="s">
        <v>128</v>
      </c>
      <c r="H948" s="11" t="s">
        <v>21</v>
      </c>
      <c r="L948" s="11" t="s">
        <v>36</v>
      </c>
    </row>
    <row r="949" ht="22.5" customHeight="1">
      <c r="A949" s="10">
        <v>45859.286549537035</v>
      </c>
      <c r="B949" s="11" t="s">
        <v>20</v>
      </c>
      <c r="C949" s="11">
        <v>660.0</v>
      </c>
      <c r="D949" s="11" t="s">
        <v>127</v>
      </c>
      <c r="H949" s="11" t="s">
        <v>28</v>
      </c>
      <c r="I949" s="11" t="s">
        <v>30</v>
      </c>
    </row>
    <row r="950" ht="22.5" customHeight="1">
      <c r="A950" s="10">
        <v>45859.28681466435</v>
      </c>
      <c r="B950" s="11" t="s">
        <v>20</v>
      </c>
      <c r="C950" s="11">
        <v>183.0</v>
      </c>
      <c r="D950" s="11" t="s">
        <v>127</v>
      </c>
      <c r="H950" s="11" t="s">
        <v>28</v>
      </c>
      <c r="I950" s="11" t="s">
        <v>34</v>
      </c>
    </row>
    <row r="951" ht="22.5" customHeight="1">
      <c r="A951" s="10">
        <v>45859.28752734954</v>
      </c>
      <c r="B951" s="11" t="s">
        <v>20</v>
      </c>
      <c r="C951" s="11">
        <v>803.0</v>
      </c>
      <c r="D951" s="11" t="s">
        <v>127</v>
      </c>
      <c r="H951" s="11" t="s">
        <v>21</v>
      </c>
      <c r="L951" s="11" t="s">
        <v>23</v>
      </c>
    </row>
    <row r="952" ht="22.5" customHeight="1">
      <c r="A952" s="10">
        <v>45859.35014709491</v>
      </c>
      <c r="B952" s="11" t="s">
        <v>20</v>
      </c>
      <c r="C952" s="11">
        <v>535.0</v>
      </c>
      <c r="D952" s="11" t="s">
        <v>128</v>
      </c>
      <c r="H952" s="11" t="s">
        <v>26</v>
      </c>
      <c r="J952" s="11" t="s">
        <v>27</v>
      </c>
      <c r="S952" s="11" t="s">
        <v>284</v>
      </c>
    </row>
    <row r="953" ht="22.5" customHeight="1">
      <c r="A953" s="10">
        <v>45860.5581108912</v>
      </c>
      <c r="B953" s="11" t="s">
        <v>20</v>
      </c>
      <c r="C953" s="11">
        <v>520.0</v>
      </c>
      <c r="D953" s="11" t="s">
        <v>128</v>
      </c>
      <c r="H953" s="11" t="s">
        <v>26</v>
      </c>
      <c r="J953" s="11" t="s">
        <v>27</v>
      </c>
    </row>
    <row r="954" ht="22.5" customHeight="1">
      <c r="A954" s="10">
        <v>45861.510534166664</v>
      </c>
      <c r="B954" s="11" t="s">
        <v>20</v>
      </c>
      <c r="C954" s="11">
        <v>1060.0</v>
      </c>
      <c r="D954" s="11">
        <v>2.0250808E7</v>
      </c>
      <c r="H954" s="11" t="s">
        <v>21</v>
      </c>
      <c r="L954" s="11" t="s">
        <v>36</v>
      </c>
    </row>
    <row r="955" ht="22.5" customHeight="1">
      <c r="A955" s="10">
        <v>45862.512316215274</v>
      </c>
      <c r="B955" s="11" t="s">
        <v>20</v>
      </c>
      <c r="C955" s="11">
        <v>2163.0</v>
      </c>
      <c r="D955" s="11" t="s">
        <v>128</v>
      </c>
      <c r="H955" s="11" t="s">
        <v>26</v>
      </c>
      <c r="J955" s="11" t="s">
        <v>27</v>
      </c>
      <c r="S955" s="11" t="s">
        <v>285</v>
      </c>
      <c r="T955" s="11" t="s">
        <v>42</v>
      </c>
    </row>
    <row r="956" ht="22.5" customHeight="1">
      <c r="A956" s="10">
        <v>45862.94925637732</v>
      </c>
      <c r="B956" s="11" t="s">
        <v>20</v>
      </c>
      <c r="C956" s="11">
        <v>123.0</v>
      </c>
      <c r="D956" s="11" t="s">
        <v>128</v>
      </c>
      <c r="H956" s="11" t="s">
        <v>21</v>
      </c>
      <c r="L956" s="11" t="s">
        <v>23</v>
      </c>
    </row>
    <row r="957" ht="22.5" customHeight="1">
      <c r="A957" s="10">
        <v>45862.976859201386</v>
      </c>
      <c r="B957" s="11" t="s">
        <v>20</v>
      </c>
      <c r="C957" s="11">
        <v>167.0</v>
      </c>
      <c r="D957" s="11" t="s">
        <v>128</v>
      </c>
      <c r="H957" s="11" t="s">
        <v>26</v>
      </c>
      <c r="J957" s="11" t="s">
        <v>27</v>
      </c>
      <c r="S957" s="11" t="s">
        <v>286</v>
      </c>
    </row>
    <row r="958" ht="22.5" customHeight="1">
      <c r="A958" s="10">
        <v>45864.45342020833</v>
      </c>
      <c r="B958" s="11" t="s">
        <v>20</v>
      </c>
      <c r="C958" s="11">
        <v>225.0</v>
      </c>
      <c r="D958" s="11" t="s">
        <v>128</v>
      </c>
      <c r="H958" s="11" t="s">
        <v>28</v>
      </c>
      <c r="I958" s="11" t="s">
        <v>29</v>
      </c>
    </row>
    <row r="959" ht="22.5" customHeight="1">
      <c r="A959" s="10">
        <v>45864.55987909722</v>
      </c>
      <c r="B959" s="11" t="s">
        <v>20</v>
      </c>
      <c r="C959" s="11">
        <v>60.0</v>
      </c>
      <c r="D959" s="11" t="s">
        <v>128</v>
      </c>
      <c r="H959" s="11" t="s">
        <v>21</v>
      </c>
      <c r="L959" s="11" t="s">
        <v>31</v>
      </c>
    </row>
    <row r="960" ht="22.5" customHeight="1">
      <c r="A960" s="10">
        <v>45864.93218754629</v>
      </c>
      <c r="B960" s="11" t="s">
        <v>20</v>
      </c>
      <c r="C960" s="11">
        <v>40.0</v>
      </c>
      <c r="D960" s="11" t="s">
        <v>128</v>
      </c>
      <c r="H960" s="11" t="s">
        <v>28</v>
      </c>
      <c r="I960" s="11" t="s">
        <v>43</v>
      </c>
    </row>
    <row r="961" ht="22.5" customHeight="1">
      <c r="A961" s="10">
        <v>45865.844240509265</v>
      </c>
      <c r="B961" s="11" t="s">
        <v>20</v>
      </c>
      <c r="C961" s="11">
        <v>720.0</v>
      </c>
      <c r="D961" s="11" t="s">
        <v>128</v>
      </c>
      <c r="H961" s="11" t="s">
        <v>24</v>
      </c>
      <c r="M961" s="11" t="s">
        <v>54</v>
      </c>
    </row>
    <row r="962" ht="22.5" customHeight="1">
      <c r="A962" s="10">
        <v>45865.90392868056</v>
      </c>
      <c r="B962" s="11" t="s">
        <v>20</v>
      </c>
      <c r="C962" s="11">
        <v>100.0</v>
      </c>
      <c r="D962" s="11" t="s">
        <v>128</v>
      </c>
      <c r="H962" s="11" t="s">
        <v>21</v>
      </c>
      <c r="L962" s="11" t="s">
        <v>31</v>
      </c>
    </row>
    <row r="963" ht="22.5" customHeight="1">
      <c r="A963" s="10">
        <v>45866.62958260417</v>
      </c>
      <c r="B963" s="11" t="s">
        <v>20</v>
      </c>
      <c r="C963" s="11">
        <v>728.0</v>
      </c>
      <c r="D963" s="11" t="s">
        <v>128</v>
      </c>
      <c r="H963" s="11" t="s">
        <v>26</v>
      </c>
      <c r="J963" s="11" t="s">
        <v>50</v>
      </c>
    </row>
    <row r="964" ht="22.5" customHeight="1">
      <c r="A964" s="10">
        <v>45867.51611106482</v>
      </c>
      <c r="B964" s="11" t="s">
        <v>20</v>
      </c>
      <c r="C964" s="11">
        <v>263.0</v>
      </c>
      <c r="D964" s="11" t="s">
        <v>128</v>
      </c>
      <c r="H964" s="11" t="s">
        <v>26</v>
      </c>
      <c r="J964" s="11" t="s">
        <v>27</v>
      </c>
      <c r="S964" s="11" t="s">
        <v>287</v>
      </c>
    </row>
    <row r="965" ht="22.5" customHeight="1">
      <c r="A965" s="10">
        <v>45867.89735072917</v>
      </c>
      <c r="B965" s="11" t="s">
        <v>20</v>
      </c>
      <c r="C965" s="11">
        <v>997.0</v>
      </c>
      <c r="D965" s="11" t="s">
        <v>128</v>
      </c>
      <c r="H965" s="11" t="s">
        <v>26</v>
      </c>
      <c r="J965" s="11" t="s">
        <v>27</v>
      </c>
      <c r="S965" s="11" t="s">
        <v>286</v>
      </c>
    </row>
    <row r="966" ht="22.5" customHeight="1">
      <c r="A966" s="10">
        <v>45868.93821230324</v>
      </c>
      <c r="B966" s="11" t="s">
        <v>20</v>
      </c>
      <c r="C966" s="11">
        <v>838.0</v>
      </c>
      <c r="D966" s="11" t="s">
        <v>128</v>
      </c>
      <c r="H966" s="11" t="s">
        <v>26</v>
      </c>
      <c r="J966" s="11" t="s">
        <v>27</v>
      </c>
      <c r="S966" s="11" t="s">
        <v>288</v>
      </c>
    </row>
    <row r="967" ht="22.5" customHeight="1">
      <c r="A967" s="10">
        <v>45870.982072743056</v>
      </c>
      <c r="B967" s="11" t="s">
        <v>20</v>
      </c>
      <c r="C967" s="11">
        <v>58.0</v>
      </c>
      <c r="D967" s="11" t="s">
        <v>149</v>
      </c>
      <c r="H967" s="11" t="s">
        <v>28</v>
      </c>
      <c r="I967" s="11" t="s">
        <v>29</v>
      </c>
    </row>
    <row r="968" ht="22.5" customHeight="1">
      <c r="A968" s="10">
        <v>45871.48844581019</v>
      </c>
      <c r="B968" s="11" t="s">
        <v>20</v>
      </c>
      <c r="C968" s="11">
        <v>417.0</v>
      </c>
      <c r="D968" s="11" t="s">
        <v>128</v>
      </c>
      <c r="H968" s="11" t="s">
        <v>21</v>
      </c>
      <c r="L968" s="11" t="s">
        <v>23</v>
      </c>
    </row>
    <row r="969" ht="22.5" customHeight="1">
      <c r="A969" s="10">
        <v>45871.48861185185</v>
      </c>
      <c r="B969" s="11" t="s">
        <v>20</v>
      </c>
      <c r="C969" s="11">
        <v>20000.0</v>
      </c>
      <c r="D969" s="11" t="s">
        <v>127</v>
      </c>
      <c r="H969" s="11" t="s">
        <v>51</v>
      </c>
      <c r="K969" s="11" t="s">
        <v>98</v>
      </c>
    </row>
    <row r="970" ht="22.5" customHeight="1">
      <c r="A970" s="10">
        <v>45871.48877116898</v>
      </c>
      <c r="B970" s="11" t="s">
        <v>20</v>
      </c>
      <c r="C970" s="11">
        <v>6000.0</v>
      </c>
      <c r="D970" s="11" t="s">
        <v>127</v>
      </c>
      <c r="H970" s="11" t="s">
        <v>51</v>
      </c>
      <c r="K970" s="11" t="s">
        <v>131</v>
      </c>
    </row>
    <row r="971" ht="22.5" customHeight="1">
      <c r="A971" s="10">
        <v>45871.488919317126</v>
      </c>
      <c r="B971" s="11" t="s">
        <v>38</v>
      </c>
      <c r="C971" s="11">
        <v>6000.0</v>
      </c>
      <c r="D971" s="11" t="s">
        <v>127</v>
      </c>
      <c r="E971" s="11" t="s">
        <v>39</v>
      </c>
      <c r="G971" s="11" t="s">
        <v>139</v>
      </c>
    </row>
    <row r="972" ht="22.5" customHeight="1">
      <c r="A972" s="10">
        <v>45871.49464168982</v>
      </c>
      <c r="B972" s="11" t="s">
        <v>38</v>
      </c>
      <c r="C972" s="11">
        <v>101000.0</v>
      </c>
      <c r="D972" s="11" t="s">
        <v>141</v>
      </c>
      <c r="E972" s="11" t="s">
        <v>61</v>
      </c>
      <c r="F972" s="11" t="s">
        <v>73</v>
      </c>
    </row>
    <row r="973" ht="22.5" customHeight="1">
      <c r="A973" s="10">
        <v>45871.494936331015</v>
      </c>
      <c r="B973" s="11" t="s">
        <v>20</v>
      </c>
      <c r="C973" s="11">
        <v>7181.0</v>
      </c>
      <c r="D973" s="11" t="s">
        <v>141</v>
      </c>
      <c r="H973" s="11" t="s">
        <v>57</v>
      </c>
      <c r="N973" s="11" t="s">
        <v>75</v>
      </c>
    </row>
    <row r="974" ht="22.5" customHeight="1">
      <c r="A974" s="10">
        <v>45871.609354305554</v>
      </c>
      <c r="B974" s="11" t="s">
        <v>20</v>
      </c>
      <c r="C974" s="11">
        <v>940.0</v>
      </c>
      <c r="D974" s="11" t="s">
        <v>128</v>
      </c>
      <c r="H974" s="11" t="s">
        <v>28</v>
      </c>
      <c r="I974" s="11" t="s">
        <v>44</v>
      </c>
    </row>
    <row r="975" ht="22.5" customHeight="1">
      <c r="A975" s="10">
        <v>45871.8770578588</v>
      </c>
      <c r="B975" s="11" t="s">
        <v>20</v>
      </c>
      <c r="C975" s="11">
        <v>300.0</v>
      </c>
      <c r="D975" s="11" t="s">
        <v>128</v>
      </c>
      <c r="H975" s="11" t="s">
        <v>28</v>
      </c>
      <c r="I975" s="11" t="s">
        <v>30</v>
      </c>
    </row>
    <row r="976" ht="22.5" customHeight="1">
      <c r="A976" s="10">
        <v>45871.877280925924</v>
      </c>
      <c r="B976" s="11" t="s">
        <v>20</v>
      </c>
      <c r="C976" s="11">
        <v>140.0</v>
      </c>
      <c r="D976" s="11" t="s">
        <v>128</v>
      </c>
      <c r="H976" s="11" t="s">
        <v>21</v>
      </c>
      <c r="L976" s="11" t="s">
        <v>31</v>
      </c>
    </row>
    <row r="977" ht="22.5" customHeight="1">
      <c r="A977" s="10">
        <v>45872.842547754626</v>
      </c>
      <c r="B977" s="11" t="s">
        <v>20</v>
      </c>
      <c r="C977" s="11">
        <v>860.0</v>
      </c>
      <c r="D977" s="11" t="s">
        <v>128</v>
      </c>
      <c r="H977" s="11" t="s">
        <v>28</v>
      </c>
      <c r="I977" s="11" t="s">
        <v>30</v>
      </c>
    </row>
    <row r="978" ht="22.5" customHeight="1">
      <c r="A978" s="10">
        <v>45872.84324545139</v>
      </c>
      <c r="B978" s="11" t="s">
        <v>20</v>
      </c>
      <c r="C978" s="11">
        <v>662.0</v>
      </c>
      <c r="D978" s="11" t="s">
        <v>128</v>
      </c>
      <c r="H978" s="11" t="s">
        <v>21</v>
      </c>
      <c r="L978" s="11" t="s">
        <v>23</v>
      </c>
    </row>
    <row r="979" ht="22.5" customHeight="1">
      <c r="A979" s="10">
        <v>45872.90443270833</v>
      </c>
      <c r="B979" s="11" t="s">
        <v>20</v>
      </c>
      <c r="C979" s="11">
        <v>300.0</v>
      </c>
      <c r="D979" s="11" t="s">
        <v>128</v>
      </c>
      <c r="H979" s="11" t="s">
        <v>28</v>
      </c>
      <c r="I979" s="11" t="s">
        <v>44</v>
      </c>
      <c r="S979" s="11" t="s">
        <v>289</v>
      </c>
    </row>
    <row r="980" ht="22.5" customHeight="1">
      <c r="A980" s="10">
        <v>45872.90475402778</v>
      </c>
      <c r="B980" s="11" t="s">
        <v>20</v>
      </c>
      <c r="C980" s="11">
        <v>148.0</v>
      </c>
      <c r="D980" s="11" t="s">
        <v>128</v>
      </c>
      <c r="H980" s="11" t="s">
        <v>24</v>
      </c>
      <c r="M980" s="11" t="s">
        <v>49</v>
      </c>
      <c r="S980" s="11" t="s">
        <v>290</v>
      </c>
    </row>
    <row r="981" ht="22.5" customHeight="1">
      <c r="A981" s="10">
        <v>45872.905330740745</v>
      </c>
      <c r="B981" s="11" t="s">
        <v>20</v>
      </c>
      <c r="C981" s="11">
        <v>90.0</v>
      </c>
      <c r="D981" s="11" t="s">
        <v>149</v>
      </c>
      <c r="H981" s="11" t="s">
        <v>28</v>
      </c>
      <c r="I981" s="11" t="s">
        <v>29</v>
      </c>
    </row>
    <row r="982" ht="22.5" customHeight="1">
      <c r="A982" s="10">
        <v>45874.87626611111</v>
      </c>
      <c r="B982" s="11" t="s">
        <v>38</v>
      </c>
      <c r="C982" s="11">
        <v>106741.0</v>
      </c>
      <c r="D982" s="11" t="s">
        <v>128</v>
      </c>
      <c r="E982" s="11" t="s">
        <v>61</v>
      </c>
      <c r="F982" s="11" t="s">
        <v>62</v>
      </c>
      <c r="S982" s="11" t="s">
        <v>291</v>
      </c>
      <c r="T982" s="11" t="s">
        <v>42</v>
      </c>
    </row>
    <row r="983" ht="22.5" customHeight="1">
      <c r="A983" s="10">
        <v>45874.87657446759</v>
      </c>
      <c r="B983" s="11" t="s">
        <v>38</v>
      </c>
      <c r="C983" s="11">
        <v>2459.0</v>
      </c>
      <c r="D983" s="11" t="s">
        <v>128</v>
      </c>
      <c r="E983" s="11" t="s">
        <v>61</v>
      </c>
      <c r="F983" s="11" t="s">
        <v>63</v>
      </c>
      <c r="S983" s="11" t="s">
        <v>292</v>
      </c>
      <c r="T983" s="11" t="s">
        <v>42</v>
      </c>
    </row>
    <row r="984" ht="22.5" customHeight="1">
      <c r="A984" s="10">
        <v>45874.87679821759</v>
      </c>
      <c r="B984" s="11" t="s">
        <v>38</v>
      </c>
      <c r="C984" s="11">
        <v>5000.0</v>
      </c>
      <c r="D984" s="11" t="s">
        <v>128</v>
      </c>
      <c r="E984" s="11" t="s">
        <v>61</v>
      </c>
      <c r="F984" s="11" t="s">
        <v>63</v>
      </c>
      <c r="S984" s="11" t="s">
        <v>293</v>
      </c>
      <c r="T984" s="11" t="s">
        <v>42</v>
      </c>
    </row>
    <row r="985" ht="22.5" customHeight="1">
      <c r="A985" s="10">
        <v>45874.8771918287</v>
      </c>
      <c r="B985" s="11" t="s">
        <v>20</v>
      </c>
      <c r="C985" s="11">
        <v>4292.0</v>
      </c>
      <c r="D985" s="11" t="s">
        <v>128</v>
      </c>
      <c r="H985" s="11" t="s">
        <v>59</v>
      </c>
      <c r="R985" s="11" t="s">
        <v>60</v>
      </c>
    </row>
    <row r="986" ht="22.5" customHeight="1">
      <c r="A986" s="10">
        <v>45874.87742737269</v>
      </c>
      <c r="B986" s="11" t="s">
        <v>20</v>
      </c>
      <c r="C986" s="11">
        <v>250.0</v>
      </c>
      <c r="D986" s="11" t="s">
        <v>127</v>
      </c>
      <c r="H986" s="11" t="s">
        <v>94</v>
      </c>
      <c r="O986" s="11" t="s">
        <v>153</v>
      </c>
    </row>
    <row r="987" ht="22.5" customHeight="1">
      <c r="A987" s="10">
        <v>45874.88243614583</v>
      </c>
      <c r="B987" s="11" t="s">
        <v>20</v>
      </c>
      <c r="C987" s="11">
        <v>1395.0</v>
      </c>
      <c r="D987" s="11" t="s">
        <v>128</v>
      </c>
      <c r="H987" s="11" t="s">
        <v>28</v>
      </c>
      <c r="I987" s="11" t="s">
        <v>33</v>
      </c>
    </row>
    <row r="988" ht="22.5" customHeight="1">
      <c r="A988" s="10">
        <v>45874.88306104166</v>
      </c>
      <c r="B988" s="11" t="s">
        <v>20</v>
      </c>
      <c r="C988" s="11">
        <v>2828.0</v>
      </c>
      <c r="D988" s="11" t="s">
        <v>128</v>
      </c>
      <c r="H988" s="11" t="s">
        <v>57</v>
      </c>
      <c r="N988" s="11" t="s">
        <v>58</v>
      </c>
    </row>
    <row r="989" ht="22.5" customHeight="1">
      <c r="A989" s="10">
        <v>45874.88340104166</v>
      </c>
      <c r="B989" s="11" t="s">
        <v>20</v>
      </c>
      <c r="C989" s="11">
        <v>537.0</v>
      </c>
      <c r="D989" s="11" t="s">
        <v>128</v>
      </c>
      <c r="H989" s="11" t="s">
        <v>24</v>
      </c>
      <c r="M989" s="11" t="s">
        <v>32</v>
      </c>
    </row>
    <row r="990" ht="22.5" customHeight="1">
      <c r="A990" s="10">
        <v>45874.88359982639</v>
      </c>
      <c r="B990" s="11" t="s">
        <v>20</v>
      </c>
      <c r="C990" s="11">
        <v>4400.0</v>
      </c>
      <c r="D990" s="11" t="s">
        <v>128</v>
      </c>
      <c r="H990" s="11" t="s">
        <v>57</v>
      </c>
      <c r="N990" s="11" t="s">
        <v>75</v>
      </c>
    </row>
    <row r="991" ht="22.5" customHeight="1">
      <c r="A991" s="10">
        <v>45876.29359318287</v>
      </c>
      <c r="B991" s="11" t="s">
        <v>20</v>
      </c>
      <c r="C991" s="11">
        <v>250.0</v>
      </c>
      <c r="D991" s="11" t="s">
        <v>127</v>
      </c>
      <c r="H991" s="11" t="s">
        <v>26</v>
      </c>
      <c r="J991" s="11" t="s">
        <v>27</v>
      </c>
      <c r="S991" s="11" t="s">
        <v>294</v>
      </c>
    </row>
    <row r="992" ht="22.5" customHeight="1">
      <c r="A992" s="10">
        <v>45876.558814108794</v>
      </c>
      <c r="B992" s="11" t="s">
        <v>20</v>
      </c>
      <c r="C992" s="11">
        <v>360.0</v>
      </c>
      <c r="D992" s="11" t="s">
        <v>128</v>
      </c>
      <c r="H992" s="11" t="s">
        <v>118</v>
      </c>
      <c r="P992" s="11" t="s">
        <v>119</v>
      </c>
    </row>
    <row r="993" ht="22.5" customHeight="1">
      <c r="A993" s="10">
        <v>45876.92451216435</v>
      </c>
      <c r="B993" s="11" t="s">
        <v>38</v>
      </c>
      <c r="C993" s="11">
        <v>6960.0</v>
      </c>
      <c r="D993" s="11">
        <v>2.0250711E7</v>
      </c>
      <c r="E993" s="11" t="s">
        <v>39</v>
      </c>
      <c r="G993" s="11" t="s">
        <v>40</v>
      </c>
      <c r="S993" s="11" t="s">
        <v>167</v>
      </c>
      <c r="T993" s="11" t="s">
        <v>42</v>
      </c>
    </row>
    <row r="994" ht="22.5" customHeight="1">
      <c r="A994" s="10">
        <v>45876.92521747685</v>
      </c>
      <c r="B994" s="11" t="s">
        <v>38</v>
      </c>
      <c r="C994" s="11">
        <v>2622.0</v>
      </c>
      <c r="D994" s="11">
        <v>2.0250711E7</v>
      </c>
      <c r="E994" s="11" t="s">
        <v>39</v>
      </c>
      <c r="G994" s="11" t="s">
        <v>40</v>
      </c>
      <c r="S994" s="11" t="s">
        <v>184</v>
      </c>
      <c r="T994" s="11" t="s">
        <v>42</v>
      </c>
    </row>
    <row r="995" ht="22.5" customHeight="1">
      <c r="A995" s="10">
        <v>45876.925711585645</v>
      </c>
      <c r="B995" s="11" t="s">
        <v>38</v>
      </c>
      <c r="C995" s="11">
        <v>3790.0</v>
      </c>
      <c r="D995" s="11">
        <v>2.0250718E7</v>
      </c>
      <c r="E995" s="11" t="s">
        <v>39</v>
      </c>
      <c r="G995" s="11" t="s">
        <v>40</v>
      </c>
      <c r="S995" s="11" t="s">
        <v>72</v>
      </c>
      <c r="T995" s="11" t="s">
        <v>42</v>
      </c>
    </row>
    <row r="996" ht="22.5" customHeight="1">
      <c r="A996" s="10">
        <v>45876.92624458333</v>
      </c>
      <c r="B996" s="11" t="s">
        <v>38</v>
      </c>
      <c r="C996" s="11">
        <v>1540.0</v>
      </c>
      <c r="D996" s="11">
        <v>2.0250723E7</v>
      </c>
      <c r="E996" s="11" t="s">
        <v>39</v>
      </c>
      <c r="G996" s="11" t="s">
        <v>40</v>
      </c>
      <c r="S996" s="11" t="s">
        <v>66</v>
      </c>
      <c r="T996" s="11" t="s">
        <v>42</v>
      </c>
    </row>
    <row r="997" ht="22.5" customHeight="1">
      <c r="A997" s="10">
        <v>45876.92666064815</v>
      </c>
      <c r="B997" s="11" t="s">
        <v>38</v>
      </c>
      <c r="C997" s="11">
        <v>4040.0</v>
      </c>
      <c r="D997" s="11">
        <v>2.0250722E7</v>
      </c>
      <c r="E997" s="11" t="s">
        <v>39</v>
      </c>
      <c r="G997" s="11" t="s">
        <v>40</v>
      </c>
      <c r="S997" s="11" t="s">
        <v>295</v>
      </c>
      <c r="T997" s="11" t="s">
        <v>42</v>
      </c>
    </row>
    <row r="998" ht="22.5" customHeight="1">
      <c r="A998" s="10">
        <v>45876.927136122686</v>
      </c>
      <c r="B998" s="11" t="s">
        <v>38</v>
      </c>
      <c r="C998" s="11">
        <v>890.0</v>
      </c>
      <c r="D998" s="11">
        <v>2.0250725E7</v>
      </c>
      <c r="E998" s="11" t="s">
        <v>39</v>
      </c>
      <c r="G998" s="11" t="s">
        <v>40</v>
      </c>
      <c r="S998" s="11" t="s">
        <v>71</v>
      </c>
      <c r="T998" s="11" t="s">
        <v>42</v>
      </c>
    </row>
    <row r="999" ht="22.5" customHeight="1">
      <c r="A999" s="10">
        <v>45876.92753652778</v>
      </c>
      <c r="B999" s="11" t="s">
        <v>38</v>
      </c>
      <c r="C999" s="11">
        <v>1690.0</v>
      </c>
      <c r="D999" s="11">
        <v>2.025073E7</v>
      </c>
      <c r="E999" s="11" t="s">
        <v>39</v>
      </c>
      <c r="G999" s="11" t="s">
        <v>40</v>
      </c>
      <c r="S999" s="11" t="s">
        <v>296</v>
      </c>
      <c r="T999" s="11" t="s">
        <v>42</v>
      </c>
    </row>
    <row r="1000" ht="22.5" customHeight="1">
      <c r="A1000" s="10">
        <v>45876.928805081014</v>
      </c>
      <c r="B1000" s="11" t="s">
        <v>20</v>
      </c>
      <c r="C1000" s="11">
        <v>324.0</v>
      </c>
      <c r="D1000" s="11">
        <v>2.0250731E7</v>
      </c>
      <c r="H1000" s="11" t="s">
        <v>21</v>
      </c>
      <c r="L1000" s="11" t="s">
        <v>31</v>
      </c>
    </row>
    <row r="1001" ht="22.5" customHeight="1">
      <c r="A1001" s="10">
        <v>45876.93082835648</v>
      </c>
      <c r="B1001" s="11" t="s">
        <v>20</v>
      </c>
      <c r="C1001" s="11">
        <v>422.0</v>
      </c>
      <c r="D1001" s="11">
        <v>2.0250721E7</v>
      </c>
      <c r="H1001" s="11" t="s">
        <v>51</v>
      </c>
      <c r="K1001" s="11" t="s">
        <v>124</v>
      </c>
    </row>
    <row r="1002" ht="22.5" customHeight="1">
      <c r="A1002" s="10">
        <v>45876.931705173614</v>
      </c>
      <c r="B1002" s="11" t="s">
        <v>20</v>
      </c>
      <c r="C1002" s="11">
        <v>400.0</v>
      </c>
      <c r="D1002" s="11">
        <v>2.025073E7</v>
      </c>
      <c r="H1002" s="11" t="s">
        <v>26</v>
      </c>
      <c r="J1002" s="11" t="s">
        <v>27</v>
      </c>
      <c r="S1002" s="11" t="s">
        <v>185</v>
      </c>
    </row>
    <row r="1003" ht="22.5" customHeight="1">
      <c r="A1003" s="10">
        <v>45876.9344915625</v>
      </c>
      <c r="B1003" s="11" t="s">
        <v>20</v>
      </c>
      <c r="C1003" s="11">
        <v>103622.0</v>
      </c>
      <c r="D1003" s="11">
        <v>2.0250726E7</v>
      </c>
      <c r="H1003" s="11" t="s">
        <v>26</v>
      </c>
      <c r="J1003" s="11" t="s">
        <v>27</v>
      </c>
      <c r="S1003" s="11" t="s">
        <v>297</v>
      </c>
      <c r="T1003" s="11" t="s">
        <v>42</v>
      </c>
    </row>
    <row r="1004" ht="22.5" customHeight="1">
      <c r="A1004" s="10">
        <v>45878.717077256944</v>
      </c>
      <c r="B1004" s="11" t="s">
        <v>20</v>
      </c>
      <c r="C1004" s="11">
        <v>35.0</v>
      </c>
      <c r="D1004" s="11" t="s">
        <v>127</v>
      </c>
      <c r="H1004" s="11" t="s">
        <v>21</v>
      </c>
      <c r="L1004" s="11" t="s">
        <v>46</v>
      </c>
    </row>
    <row r="1005" ht="22.5" customHeight="1">
      <c r="A1005" s="10">
        <v>45879.61962244213</v>
      </c>
      <c r="B1005" s="11" t="s">
        <v>20</v>
      </c>
      <c r="C1005" s="11">
        <v>765.0</v>
      </c>
      <c r="D1005" s="11" t="s">
        <v>128</v>
      </c>
      <c r="H1005" s="11" t="s">
        <v>21</v>
      </c>
      <c r="L1005" s="11" t="s">
        <v>36</v>
      </c>
    </row>
    <row r="1006" ht="22.5" customHeight="1">
      <c r="A1006" s="10">
        <v>45879.64928287037</v>
      </c>
      <c r="B1006" s="11" t="s">
        <v>20</v>
      </c>
      <c r="C1006" s="11">
        <v>118.0</v>
      </c>
      <c r="D1006" s="11" t="s">
        <v>128</v>
      </c>
      <c r="H1006" s="11" t="s">
        <v>21</v>
      </c>
      <c r="L1006" s="11" t="s">
        <v>23</v>
      </c>
    </row>
    <row r="1007" ht="22.5" customHeight="1">
      <c r="A1007" s="10">
        <v>45879.64957650463</v>
      </c>
      <c r="B1007" s="11" t="s">
        <v>20</v>
      </c>
      <c r="C1007" s="11">
        <v>162.0</v>
      </c>
      <c r="D1007" s="11" t="s">
        <v>128</v>
      </c>
      <c r="H1007" s="11" t="s">
        <v>26</v>
      </c>
      <c r="J1007" s="11" t="s">
        <v>27</v>
      </c>
    </row>
    <row r="1008" ht="22.5" customHeight="1">
      <c r="A1008" s="10">
        <v>45880.911402314814</v>
      </c>
      <c r="B1008" s="11" t="s">
        <v>20</v>
      </c>
      <c r="C1008" s="11">
        <v>281.0</v>
      </c>
      <c r="D1008" s="11" t="s">
        <v>127</v>
      </c>
      <c r="H1008" s="11" t="s">
        <v>26</v>
      </c>
      <c r="J1008" s="11" t="s">
        <v>27</v>
      </c>
    </row>
    <row r="1009" ht="22.5" customHeight="1">
      <c r="A1009" s="10">
        <v>45881.94331453704</v>
      </c>
      <c r="B1009" s="11" t="s">
        <v>20</v>
      </c>
      <c r="C1009" s="11">
        <v>894.0</v>
      </c>
      <c r="D1009" s="11" t="s">
        <v>128</v>
      </c>
      <c r="H1009" s="11" t="s">
        <v>24</v>
      </c>
      <c r="M1009" s="11" t="s">
        <v>37</v>
      </c>
    </row>
    <row r="1010" ht="22.5" customHeight="1">
      <c r="A1010" s="10">
        <v>45882.95145331019</v>
      </c>
      <c r="B1010" s="11" t="s">
        <v>20</v>
      </c>
      <c r="C1010" s="11">
        <v>100.0</v>
      </c>
      <c r="D1010" s="11" t="s">
        <v>128</v>
      </c>
      <c r="H1010" s="11" t="s">
        <v>21</v>
      </c>
      <c r="L1010" s="11" t="s">
        <v>23</v>
      </c>
    </row>
    <row r="1011" ht="22.5" customHeight="1">
      <c r="A1011" s="10">
        <v>45883.9351566088</v>
      </c>
      <c r="B1011" s="11" t="s">
        <v>20</v>
      </c>
      <c r="C1011" s="11">
        <v>200.0</v>
      </c>
      <c r="D1011" s="11" t="s">
        <v>128</v>
      </c>
      <c r="H1011" s="11" t="s">
        <v>94</v>
      </c>
      <c r="O1011" s="11" t="s">
        <v>153</v>
      </c>
    </row>
    <row r="1012" ht="22.5" customHeight="1">
      <c r="A1012" s="10">
        <v>45883.93537402777</v>
      </c>
      <c r="B1012" s="11" t="s">
        <v>20</v>
      </c>
      <c r="C1012" s="11">
        <v>5000.0</v>
      </c>
      <c r="D1012" s="11" t="s">
        <v>128</v>
      </c>
      <c r="H1012" s="11" t="s">
        <v>94</v>
      </c>
      <c r="O1012" s="11" t="s">
        <v>153</v>
      </c>
      <c r="S1012" s="11" t="s">
        <v>265</v>
      </c>
      <c r="T1012" s="11" t="s">
        <v>42</v>
      </c>
    </row>
    <row r="1013" ht="22.5" customHeight="1">
      <c r="A1013" s="10">
        <v>45884.33917681713</v>
      </c>
      <c r="B1013" s="11" t="s">
        <v>20</v>
      </c>
      <c r="C1013" s="11">
        <v>150.0</v>
      </c>
      <c r="D1013" s="11" t="s">
        <v>127</v>
      </c>
      <c r="H1013" s="11" t="s">
        <v>28</v>
      </c>
      <c r="I1013" s="11" t="s">
        <v>44</v>
      </c>
    </row>
    <row r="1014" ht="22.5" customHeight="1">
      <c r="A1014" s="10">
        <v>45884.79372306713</v>
      </c>
      <c r="B1014" s="11" t="s">
        <v>20</v>
      </c>
      <c r="C1014" s="11">
        <v>699.0</v>
      </c>
      <c r="D1014" s="11" t="s">
        <v>128</v>
      </c>
      <c r="H1014" s="11" t="s">
        <v>21</v>
      </c>
      <c r="L1014" s="11" t="s">
        <v>46</v>
      </c>
    </row>
    <row r="1015" ht="22.5" customHeight="1">
      <c r="A1015" s="10">
        <v>45884.803297997685</v>
      </c>
      <c r="B1015" s="11" t="s">
        <v>20</v>
      </c>
      <c r="C1015" s="11">
        <v>302.0</v>
      </c>
      <c r="D1015" s="11" t="s">
        <v>128</v>
      </c>
      <c r="H1015" s="11" t="s">
        <v>118</v>
      </c>
      <c r="P1015" s="11" t="s">
        <v>119</v>
      </c>
    </row>
    <row r="1016" ht="22.5" customHeight="1">
      <c r="A1016" s="10">
        <v>45885.82248702546</v>
      </c>
      <c r="B1016" s="11" t="s">
        <v>20</v>
      </c>
      <c r="C1016" s="11">
        <v>1097.0</v>
      </c>
      <c r="D1016" s="11" t="s">
        <v>128</v>
      </c>
      <c r="H1016" s="11" t="s">
        <v>28</v>
      </c>
      <c r="I1016" s="11" t="s">
        <v>44</v>
      </c>
    </row>
    <row r="1017" ht="22.5" customHeight="1">
      <c r="A1017" s="10">
        <v>45885.82267061343</v>
      </c>
      <c r="B1017" s="11" t="s">
        <v>20</v>
      </c>
      <c r="C1017" s="11">
        <v>868.0</v>
      </c>
      <c r="D1017" s="11" t="s">
        <v>128</v>
      </c>
      <c r="H1017" s="11" t="s">
        <v>28</v>
      </c>
      <c r="I1017" s="11" t="s">
        <v>34</v>
      </c>
    </row>
    <row r="1018" ht="22.5" customHeight="1">
      <c r="A1018" s="10">
        <v>45886.32187753472</v>
      </c>
      <c r="B1018" s="11" t="s">
        <v>20</v>
      </c>
      <c r="C1018" s="11">
        <v>110.0</v>
      </c>
      <c r="D1018" s="11" t="s">
        <v>128</v>
      </c>
      <c r="H1018" s="11" t="s">
        <v>24</v>
      </c>
      <c r="M1018" s="11" t="s">
        <v>25</v>
      </c>
    </row>
    <row r="1019" ht="22.5" customHeight="1">
      <c r="A1019" s="10">
        <v>45886.47676600695</v>
      </c>
      <c r="B1019" s="11" t="s">
        <v>20</v>
      </c>
      <c r="C1019" s="11">
        <v>337.0</v>
      </c>
      <c r="D1019" s="11" t="s">
        <v>128</v>
      </c>
      <c r="H1019" s="11" t="s">
        <v>21</v>
      </c>
      <c r="L1019" s="11" t="s">
        <v>148</v>
      </c>
    </row>
    <row r="1020" ht="22.5" customHeight="1">
      <c r="A1020" s="10">
        <v>45886.921842407406</v>
      </c>
      <c r="B1020" s="11" t="s">
        <v>20</v>
      </c>
      <c r="C1020" s="11">
        <v>1000.0</v>
      </c>
      <c r="D1020" s="11" t="s">
        <v>128</v>
      </c>
      <c r="H1020" s="11" t="s">
        <v>28</v>
      </c>
      <c r="I1020" s="11" t="s">
        <v>30</v>
      </c>
    </row>
    <row r="1021" ht="22.5" customHeight="1">
      <c r="A1021" s="10">
        <v>45886.922025798616</v>
      </c>
      <c r="B1021" s="11" t="s">
        <v>20</v>
      </c>
      <c r="C1021" s="11">
        <v>302.0</v>
      </c>
      <c r="D1021" s="11" t="s">
        <v>128</v>
      </c>
      <c r="H1021" s="11" t="s">
        <v>21</v>
      </c>
      <c r="L1021" s="11" t="s">
        <v>22</v>
      </c>
    </row>
    <row r="1022" ht="22.5" customHeight="1">
      <c r="A1022" s="10">
        <v>45889.98047126157</v>
      </c>
      <c r="B1022" s="11" t="s">
        <v>20</v>
      </c>
      <c r="C1022" s="11">
        <v>600.0</v>
      </c>
      <c r="D1022" s="11" t="s">
        <v>128</v>
      </c>
      <c r="H1022" s="11" t="s">
        <v>21</v>
      </c>
      <c r="L1022" s="11" t="s">
        <v>176</v>
      </c>
    </row>
    <row r="1023" ht="22.5" customHeight="1">
      <c r="A1023" s="10">
        <v>45891.993427511574</v>
      </c>
      <c r="B1023" s="11" t="s">
        <v>20</v>
      </c>
      <c r="C1023" s="11">
        <v>120.0</v>
      </c>
      <c r="D1023" s="11" t="s">
        <v>128</v>
      </c>
      <c r="H1023" s="11" t="s">
        <v>28</v>
      </c>
      <c r="I1023" s="11" t="s">
        <v>30</v>
      </c>
    </row>
    <row r="1024" ht="22.5" customHeight="1">
      <c r="A1024" s="10">
        <v>45892.59358056713</v>
      </c>
      <c r="B1024" s="11" t="s">
        <v>20</v>
      </c>
      <c r="C1024" s="11">
        <v>669.0</v>
      </c>
      <c r="D1024" s="11" t="s">
        <v>128</v>
      </c>
      <c r="H1024" s="11" t="s">
        <v>21</v>
      </c>
      <c r="L1024" s="11" t="s">
        <v>23</v>
      </c>
    </row>
    <row r="1025" ht="22.5" customHeight="1">
      <c r="A1025" s="10">
        <v>45892.59471943287</v>
      </c>
      <c r="B1025" s="11" t="s">
        <v>20</v>
      </c>
      <c r="C1025" s="11">
        <v>832.0</v>
      </c>
      <c r="D1025" s="11" t="s">
        <v>128</v>
      </c>
      <c r="H1025" s="11" t="s">
        <v>28</v>
      </c>
      <c r="I1025" s="11" t="s">
        <v>44</v>
      </c>
    </row>
    <row r="1026" ht="22.5" customHeight="1">
      <c r="A1026" s="10">
        <v>45892.59529439815</v>
      </c>
      <c r="B1026" s="11" t="s">
        <v>20</v>
      </c>
      <c r="C1026" s="11">
        <v>40.0</v>
      </c>
      <c r="D1026" s="11" t="s">
        <v>128</v>
      </c>
      <c r="H1026" s="11" t="s">
        <v>21</v>
      </c>
      <c r="L1026" s="11" t="s">
        <v>31</v>
      </c>
    </row>
    <row r="1027" ht="22.5" customHeight="1">
      <c r="A1027" s="10">
        <v>45893.34159981481</v>
      </c>
      <c r="B1027" s="11" t="s">
        <v>20</v>
      </c>
      <c r="C1027" s="11">
        <v>115.0</v>
      </c>
      <c r="D1027" s="11" t="s">
        <v>127</v>
      </c>
      <c r="H1027" s="11" t="s">
        <v>26</v>
      </c>
      <c r="J1027" s="11" t="s">
        <v>27</v>
      </c>
    </row>
    <row r="1028" ht="22.5" customHeight="1">
      <c r="A1028" s="10">
        <v>45893.34175626157</v>
      </c>
      <c r="B1028" s="11" t="s">
        <v>20</v>
      </c>
      <c r="C1028" s="11">
        <v>65.0</v>
      </c>
      <c r="D1028" s="11" t="s">
        <v>128</v>
      </c>
      <c r="H1028" s="11" t="s">
        <v>26</v>
      </c>
      <c r="J1028" s="11" t="s">
        <v>27</v>
      </c>
    </row>
    <row r="1029" ht="22.5" customHeight="1">
      <c r="A1029" s="10">
        <v>45893.341925625005</v>
      </c>
      <c r="B1029" s="11" t="s">
        <v>20</v>
      </c>
      <c r="C1029" s="11">
        <v>110.0</v>
      </c>
      <c r="D1029" s="11" t="s">
        <v>128</v>
      </c>
      <c r="H1029" s="11" t="s">
        <v>24</v>
      </c>
      <c r="M1029" s="11" t="s">
        <v>25</v>
      </c>
    </row>
    <row r="1030" ht="22.5" customHeight="1">
      <c r="A1030" s="10">
        <v>45893.54394179398</v>
      </c>
      <c r="B1030" s="11" t="s">
        <v>20</v>
      </c>
      <c r="C1030" s="11">
        <v>99.0</v>
      </c>
      <c r="D1030" s="11" t="s">
        <v>128</v>
      </c>
      <c r="H1030" s="11" t="s">
        <v>28</v>
      </c>
      <c r="I1030" s="11" t="s">
        <v>29</v>
      </c>
    </row>
    <row r="1031" ht="22.5" customHeight="1">
      <c r="A1031" s="10">
        <v>45893.544092233795</v>
      </c>
      <c r="B1031" s="11" t="s">
        <v>20</v>
      </c>
      <c r="C1031" s="11">
        <v>435.0</v>
      </c>
      <c r="D1031" s="11" t="s">
        <v>128</v>
      </c>
      <c r="H1031" s="11" t="s">
        <v>28</v>
      </c>
      <c r="I1031" s="11" t="s">
        <v>44</v>
      </c>
    </row>
    <row r="1032" ht="22.5" customHeight="1">
      <c r="A1032" s="10">
        <v>45895.52295532408</v>
      </c>
      <c r="B1032" s="11" t="s">
        <v>20</v>
      </c>
      <c r="C1032" s="11">
        <v>60.0</v>
      </c>
      <c r="D1032" s="11" t="s">
        <v>127</v>
      </c>
      <c r="H1032" s="11" t="s">
        <v>26</v>
      </c>
      <c r="J1032" s="11" t="s">
        <v>27</v>
      </c>
    </row>
    <row r="1033" ht="22.5" customHeight="1">
      <c r="A1033" s="10">
        <v>45897.93344017361</v>
      </c>
      <c r="B1033" s="11" t="s">
        <v>20</v>
      </c>
      <c r="C1033" s="11">
        <v>123.0</v>
      </c>
      <c r="D1033" s="11" t="s">
        <v>128</v>
      </c>
      <c r="H1033" s="11" t="s">
        <v>21</v>
      </c>
      <c r="L1033" s="11" t="s">
        <v>23</v>
      </c>
    </row>
    <row r="1034" ht="22.5" customHeight="1">
      <c r="A1034" s="10">
        <v>45898.90079315972</v>
      </c>
      <c r="B1034" s="11" t="s">
        <v>20</v>
      </c>
      <c r="C1034" s="11">
        <v>407.0</v>
      </c>
      <c r="D1034" s="11" t="s">
        <v>128</v>
      </c>
      <c r="H1034" s="11" t="s">
        <v>28</v>
      </c>
      <c r="I1034" s="11" t="s">
        <v>30</v>
      </c>
    </row>
    <row r="1035" ht="22.5" customHeight="1">
      <c r="A1035" s="10">
        <v>45899.81011025463</v>
      </c>
      <c r="B1035" s="11" t="s">
        <v>20</v>
      </c>
      <c r="C1035" s="11">
        <v>524.0</v>
      </c>
      <c r="D1035" s="11" t="s">
        <v>128</v>
      </c>
      <c r="H1035" s="11" t="s">
        <v>21</v>
      </c>
      <c r="L1035" s="11" t="s">
        <v>23</v>
      </c>
    </row>
    <row r="1036" ht="22.5" customHeight="1">
      <c r="A1036" s="10">
        <v>45899.90481962963</v>
      </c>
      <c r="B1036" s="11" t="s">
        <v>20</v>
      </c>
      <c r="C1036" s="11">
        <v>60.0</v>
      </c>
      <c r="D1036" s="11" t="s">
        <v>128</v>
      </c>
      <c r="H1036" s="11" t="s">
        <v>21</v>
      </c>
      <c r="L1036" s="11" t="s">
        <v>31</v>
      </c>
    </row>
    <row r="1037" ht="22.5" customHeight="1">
      <c r="A1037" s="10">
        <v>45900.62839869213</v>
      </c>
      <c r="B1037" s="11" t="s">
        <v>20</v>
      </c>
      <c r="C1037" s="11">
        <v>145.0</v>
      </c>
      <c r="D1037" s="11" t="s">
        <v>128</v>
      </c>
      <c r="H1037" s="11" t="s">
        <v>28</v>
      </c>
      <c r="I1037" s="11" t="s">
        <v>29</v>
      </c>
    </row>
    <row r="1038" ht="22.5" customHeight="1">
      <c r="A1038" s="10">
        <v>45900.62855125</v>
      </c>
      <c r="B1038" s="11" t="s">
        <v>20</v>
      </c>
      <c r="C1038" s="11">
        <v>255.0</v>
      </c>
      <c r="D1038" s="11" t="s">
        <v>128</v>
      </c>
      <c r="H1038" s="11" t="s">
        <v>28</v>
      </c>
      <c r="I1038" s="11" t="s">
        <v>44</v>
      </c>
    </row>
    <row r="1039" ht="22.5" customHeight="1">
      <c r="A1039" s="10">
        <v>45900.62870981482</v>
      </c>
      <c r="B1039" s="11" t="s">
        <v>20</v>
      </c>
      <c r="C1039" s="11">
        <v>100.0</v>
      </c>
      <c r="D1039" s="11" t="s">
        <v>128</v>
      </c>
      <c r="H1039" s="11" t="s">
        <v>26</v>
      </c>
      <c r="J1039" s="11" t="s">
        <v>27</v>
      </c>
    </row>
    <row r="1040" ht="22.5" customHeight="1">
      <c r="A1040" s="10">
        <v>45900.62983560185</v>
      </c>
      <c r="B1040" s="11" t="s">
        <v>20</v>
      </c>
      <c r="C1040" s="11">
        <v>1701.0</v>
      </c>
      <c r="D1040" s="11" t="s">
        <v>128</v>
      </c>
      <c r="H1040" s="11" t="s">
        <v>51</v>
      </c>
      <c r="K1040" s="11" t="s">
        <v>52</v>
      </c>
    </row>
    <row r="1041" ht="22.5" customHeight="1">
      <c r="A1041" s="10">
        <v>45900.63057304398</v>
      </c>
      <c r="B1041" s="11" t="s">
        <v>20</v>
      </c>
      <c r="C1041" s="11">
        <v>136.0</v>
      </c>
      <c r="D1041" s="11" t="s">
        <v>128</v>
      </c>
      <c r="H1041" s="11" t="s">
        <v>21</v>
      </c>
      <c r="L1041" s="11" t="s">
        <v>31</v>
      </c>
    </row>
    <row r="1042" ht="22.5" customHeight="1">
      <c r="A1042" s="10">
        <v>45900.63125527778</v>
      </c>
      <c r="B1042" s="11" t="s">
        <v>20</v>
      </c>
      <c r="C1042" s="11">
        <v>400.0</v>
      </c>
      <c r="D1042" s="11" t="s">
        <v>128</v>
      </c>
      <c r="H1042" s="11" t="s">
        <v>21</v>
      </c>
      <c r="L1042" s="11" t="s">
        <v>77</v>
      </c>
    </row>
    <row r="1043" ht="22.5" customHeight="1">
      <c r="A1043" s="10">
        <v>45900.63263241899</v>
      </c>
      <c r="B1043" s="11" t="s">
        <v>38</v>
      </c>
      <c r="C1043" s="11">
        <v>1674.0</v>
      </c>
      <c r="D1043" s="11">
        <v>2.0250827E7</v>
      </c>
      <c r="E1043" s="11" t="s">
        <v>39</v>
      </c>
      <c r="G1043" s="11" t="s">
        <v>40</v>
      </c>
      <c r="S1043" s="11" t="s">
        <v>108</v>
      </c>
      <c r="T1043" s="11" t="s">
        <v>42</v>
      </c>
    </row>
    <row r="1044" ht="22.5" customHeight="1">
      <c r="A1044" s="10">
        <v>45900.63328638889</v>
      </c>
      <c r="B1044" s="11" t="s">
        <v>38</v>
      </c>
      <c r="C1044" s="11">
        <v>2508.0</v>
      </c>
      <c r="D1044" s="11">
        <v>2.0250811E7</v>
      </c>
      <c r="E1044" s="11" t="s">
        <v>39</v>
      </c>
      <c r="G1044" s="11" t="s">
        <v>40</v>
      </c>
      <c r="S1044" s="11" t="s">
        <v>184</v>
      </c>
      <c r="T1044" s="11" t="s">
        <v>42</v>
      </c>
    </row>
    <row r="1045" ht="22.5" customHeight="1">
      <c r="A1045" s="10">
        <v>45900.63378618055</v>
      </c>
      <c r="B1045" s="11" t="s">
        <v>38</v>
      </c>
      <c r="C1045" s="11">
        <v>890.0</v>
      </c>
      <c r="D1045" s="11">
        <v>2.0250808E7</v>
      </c>
      <c r="E1045" s="11" t="s">
        <v>39</v>
      </c>
      <c r="G1045" s="11" t="s">
        <v>40</v>
      </c>
      <c r="S1045" s="11" t="s">
        <v>102</v>
      </c>
      <c r="T1045" s="11" t="s">
        <v>42</v>
      </c>
    </row>
    <row r="1046" ht="22.5" customHeight="1">
      <c r="A1046" s="10">
        <v>45900.634163043986</v>
      </c>
      <c r="B1046" s="11" t="s">
        <v>38</v>
      </c>
      <c r="C1046" s="11">
        <v>2290.0</v>
      </c>
      <c r="D1046" s="11">
        <v>2.0250808E7</v>
      </c>
      <c r="E1046" s="11" t="s">
        <v>39</v>
      </c>
      <c r="G1046" s="11" t="s">
        <v>40</v>
      </c>
      <c r="S1046" s="11" t="s">
        <v>298</v>
      </c>
      <c r="T1046" s="11" t="s">
        <v>42</v>
      </c>
    </row>
    <row r="1047" ht="22.5" customHeight="1">
      <c r="A1047" s="10">
        <v>45900.63463579861</v>
      </c>
      <c r="B1047" s="11" t="s">
        <v>38</v>
      </c>
      <c r="C1047" s="11">
        <v>8990.0</v>
      </c>
      <c r="D1047" s="11">
        <v>2.0250811E7</v>
      </c>
      <c r="E1047" s="11" t="s">
        <v>39</v>
      </c>
      <c r="G1047" s="11" t="s">
        <v>40</v>
      </c>
      <c r="S1047" s="11" t="s">
        <v>299</v>
      </c>
      <c r="T1047" s="11" t="s">
        <v>42</v>
      </c>
    </row>
    <row r="1048" ht="22.5" customHeight="1">
      <c r="A1048" s="10">
        <v>45900.63516951389</v>
      </c>
      <c r="B1048" s="11" t="s">
        <v>38</v>
      </c>
      <c r="C1048" s="11">
        <v>1089.0</v>
      </c>
      <c r="D1048" s="11">
        <v>2.0250826E7</v>
      </c>
      <c r="E1048" s="11" t="s">
        <v>39</v>
      </c>
      <c r="G1048" s="11" t="s">
        <v>40</v>
      </c>
      <c r="S1048" s="11" t="s">
        <v>104</v>
      </c>
      <c r="T1048" s="11" t="s">
        <v>42</v>
      </c>
    </row>
    <row r="1049" ht="22.5" customHeight="1">
      <c r="A1049" s="10">
        <v>45901.350398877315</v>
      </c>
      <c r="B1049" s="11" t="s">
        <v>20</v>
      </c>
      <c r="C1049" s="11">
        <v>6000.0</v>
      </c>
      <c r="D1049" s="11" t="s">
        <v>128</v>
      </c>
      <c r="H1049" s="11" t="s">
        <v>51</v>
      </c>
      <c r="K1049" s="11" t="s">
        <v>131</v>
      </c>
    </row>
    <row r="1050" ht="22.5" customHeight="1">
      <c r="A1050" s="10">
        <v>45901.350636863426</v>
      </c>
      <c r="B1050" s="11" t="s">
        <v>20</v>
      </c>
      <c r="C1050" s="11">
        <v>20000.0</v>
      </c>
      <c r="D1050" s="11" t="s">
        <v>128</v>
      </c>
      <c r="H1050" s="11" t="s">
        <v>51</v>
      </c>
      <c r="K1050" s="11" t="s">
        <v>98</v>
      </c>
    </row>
    <row r="1051" ht="22.5" customHeight="1">
      <c r="A1051" s="10">
        <v>45901.35080341435</v>
      </c>
      <c r="B1051" s="11" t="s">
        <v>38</v>
      </c>
      <c r="C1051" s="11">
        <v>6000.0</v>
      </c>
      <c r="D1051" s="11" t="s">
        <v>128</v>
      </c>
      <c r="E1051" s="11" t="s">
        <v>39</v>
      </c>
      <c r="G1051" s="11" t="s">
        <v>139</v>
      </c>
    </row>
    <row r="1052" ht="22.5" customHeight="1">
      <c r="A1052" s="10">
        <v>45905.520562314814</v>
      </c>
      <c r="B1052" s="11" t="s">
        <v>20</v>
      </c>
      <c r="C1052" s="11">
        <v>1226.0</v>
      </c>
      <c r="D1052" s="11" t="s">
        <v>128</v>
      </c>
      <c r="H1052" s="11" t="s">
        <v>118</v>
      </c>
      <c r="P1052" s="11" t="s">
        <v>119</v>
      </c>
    </row>
    <row r="1053" ht="22.5" customHeight="1">
      <c r="A1053" s="10">
        <v>45905.78084244213</v>
      </c>
      <c r="B1053" s="11" t="s">
        <v>38</v>
      </c>
      <c r="C1053" s="11">
        <v>1000.0</v>
      </c>
      <c r="D1053" s="11">
        <v>2.0250815E7</v>
      </c>
      <c r="E1053" s="11" t="s">
        <v>61</v>
      </c>
      <c r="F1053" s="11" t="s">
        <v>63</v>
      </c>
      <c r="S1053" s="11" t="s">
        <v>78</v>
      </c>
      <c r="T1053" s="11" t="s">
        <v>42</v>
      </c>
    </row>
    <row r="1054" ht="22.5" customHeight="1">
      <c r="A1054" s="10">
        <v>45905.781102974535</v>
      </c>
      <c r="B1054" s="11" t="s">
        <v>38</v>
      </c>
      <c r="C1054" s="11">
        <v>20000.0</v>
      </c>
      <c r="D1054" s="11">
        <v>2.0250815E7</v>
      </c>
      <c r="E1054" s="11" t="s">
        <v>61</v>
      </c>
      <c r="F1054" s="11" t="s">
        <v>63</v>
      </c>
      <c r="S1054" s="11" t="s">
        <v>178</v>
      </c>
      <c r="T1054" s="11" t="s">
        <v>42</v>
      </c>
    </row>
    <row r="1055" ht="22.5" customHeight="1">
      <c r="A1055" s="10">
        <v>45905.78279684028</v>
      </c>
      <c r="B1055" s="11" t="s">
        <v>20</v>
      </c>
      <c r="C1055" s="11">
        <v>4292.0</v>
      </c>
      <c r="D1055" s="11" t="s">
        <v>128</v>
      </c>
      <c r="H1055" s="11" t="s">
        <v>59</v>
      </c>
      <c r="R1055" s="11" t="s">
        <v>60</v>
      </c>
    </row>
    <row r="1056" ht="22.5" customHeight="1">
      <c r="A1056" s="10">
        <v>45905.783854444446</v>
      </c>
      <c r="B1056" s="11" t="s">
        <v>38</v>
      </c>
      <c r="C1056" s="11">
        <v>107076.0</v>
      </c>
      <c r="D1056" s="11" t="s">
        <v>128</v>
      </c>
      <c r="E1056" s="11" t="s">
        <v>61</v>
      </c>
      <c r="F1056" s="11" t="s">
        <v>62</v>
      </c>
      <c r="S1056" s="11" t="s">
        <v>300</v>
      </c>
      <c r="T1056" s="11" t="s">
        <v>42</v>
      </c>
    </row>
    <row r="1057" ht="22.5" customHeight="1">
      <c r="A1057" s="10">
        <v>45905.78463921296</v>
      </c>
      <c r="B1057" s="11" t="s">
        <v>20</v>
      </c>
      <c r="C1057" s="11">
        <v>2828.0</v>
      </c>
      <c r="D1057" s="11" t="s">
        <v>128</v>
      </c>
      <c r="H1057" s="11" t="s">
        <v>57</v>
      </c>
      <c r="N1057" s="11" t="s">
        <v>58</v>
      </c>
    </row>
    <row r="1058" ht="22.5" customHeight="1">
      <c r="A1058" s="10">
        <v>45905.78509175926</v>
      </c>
      <c r="B1058" s="11" t="s">
        <v>20</v>
      </c>
      <c r="C1058" s="11">
        <v>3860.0</v>
      </c>
      <c r="D1058" s="11" t="s">
        <v>128</v>
      </c>
      <c r="H1058" s="11" t="s">
        <v>57</v>
      </c>
      <c r="N1058" s="11" t="s">
        <v>75</v>
      </c>
    </row>
    <row r="1059" ht="22.5" customHeight="1">
      <c r="A1059" s="10">
        <v>45906.49375432871</v>
      </c>
      <c r="B1059" s="11" t="s">
        <v>20</v>
      </c>
      <c r="C1059" s="11">
        <v>200.0</v>
      </c>
      <c r="D1059" s="11" t="s">
        <v>128</v>
      </c>
      <c r="H1059" s="11" t="s">
        <v>94</v>
      </c>
      <c r="O1059" s="11" t="s">
        <v>153</v>
      </c>
    </row>
    <row r="1060" ht="22.5" customHeight="1">
      <c r="A1060" s="10">
        <v>45906.937065624996</v>
      </c>
      <c r="B1060" s="11" t="s">
        <v>20</v>
      </c>
      <c r="C1060" s="11">
        <v>3590.0</v>
      </c>
      <c r="D1060" s="11" t="s">
        <v>128</v>
      </c>
      <c r="H1060" s="11" t="s">
        <v>28</v>
      </c>
      <c r="I1060" s="11" t="s">
        <v>34</v>
      </c>
    </row>
    <row r="1061" ht="22.5" customHeight="1">
      <c r="A1061" s="10">
        <v>45908.32216954861</v>
      </c>
      <c r="B1061" s="11" t="s">
        <v>20</v>
      </c>
      <c r="C1061" s="11">
        <v>540.0</v>
      </c>
      <c r="D1061" s="11" t="s">
        <v>127</v>
      </c>
      <c r="H1061" s="11" t="s">
        <v>28</v>
      </c>
      <c r="I1061" s="11" t="s">
        <v>44</v>
      </c>
    </row>
    <row r="1062" ht="22.5" customHeight="1">
      <c r="A1062" s="10">
        <v>45908.32230140046</v>
      </c>
      <c r="B1062" s="11" t="s">
        <v>20</v>
      </c>
      <c r="C1062" s="11">
        <v>410.0</v>
      </c>
      <c r="D1062" s="11" t="s">
        <v>127</v>
      </c>
      <c r="H1062" s="11" t="s">
        <v>28</v>
      </c>
      <c r="I1062" s="11" t="s">
        <v>44</v>
      </c>
    </row>
    <row r="1063" ht="22.5" customHeight="1">
      <c r="A1063" s="10">
        <v>45908.32251987269</v>
      </c>
      <c r="B1063" s="11" t="s">
        <v>20</v>
      </c>
      <c r="C1063" s="11">
        <v>260.0</v>
      </c>
      <c r="D1063" s="11" t="s">
        <v>127</v>
      </c>
      <c r="H1063" s="11" t="s">
        <v>28</v>
      </c>
      <c r="I1063" s="11" t="s">
        <v>35</v>
      </c>
    </row>
    <row r="1064" ht="22.5" customHeight="1">
      <c r="A1064" s="10">
        <v>45909.515915104166</v>
      </c>
      <c r="B1064" s="11" t="s">
        <v>20</v>
      </c>
      <c r="C1064" s="11">
        <v>705.0</v>
      </c>
      <c r="D1064" s="11" t="s">
        <v>128</v>
      </c>
      <c r="H1064" s="11" t="s">
        <v>28</v>
      </c>
      <c r="I1064" s="11" t="s">
        <v>34</v>
      </c>
    </row>
    <row r="1065" ht="22.5" customHeight="1">
      <c r="A1065" s="10">
        <v>45911.345055972226</v>
      </c>
      <c r="B1065" s="11" t="s">
        <v>20</v>
      </c>
      <c r="C1065" s="11">
        <v>474.0</v>
      </c>
      <c r="D1065" s="11" t="s">
        <v>127</v>
      </c>
      <c r="H1065" s="11" t="s">
        <v>21</v>
      </c>
      <c r="L1065" s="11" t="s">
        <v>23</v>
      </c>
    </row>
    <row r="1066" ht="22.5" customHeight="1">
      <c r="A1066" s="10">
        <v>45911.34522959491</v>
      </c>
      <c r="B1066" s="11" t="s">
        <v>20</v>
      </c>
      <c r="C1066" s="11">
        <v>60.0</v>
      </c>
      <c r="D1066" s="11" t="s">
        <v>127</v>
      </c>
      <c r="H1066" s="11" t="s">
        <v>28</v>
      </c>
      <c r="I1066" s="11" t="s">
        <v>35</v>
      </c>
    </row>
    <row r="1067" ht="22.5" customHeight="1">
      <c r="A1067" s="10">
        <v>45912.86412752315</v>
      </c>
      <c r="B1067" s="11" t="s">
        <v>20</v>
      </c>
      <c r="C1067" s="11">
        <v>337.0</v>
      </c>
      <c r="D1067" s="11" t="s">
        <v>128</v>
      </c>
      <c r="H1067" s="11" t="s">
        <v>28</v>
      </c>
      <c r="I1067" s="11" t="s">
        <v>30</v>
      </c>
    </row>
    <row r="1068" ht="22.5" customHeight="1">
      <c r="A1068" s="10">
        <v>45912.86439986111</v>
      </c>
      <c r="B1068" s="11" t="s">
        <v>20</v>
      </c>
      <c r="C1068" s="11">
        <v>669.0</v>
      </c>
      <c r="D1068" s="11" t="s">
        <v>128</v>
      </c>
      <c r="H1068" s="11" t="s">
        <v>21</v>
      </c>
      <c r="L1068" s="11" t="s">
        <v>46</v>
      </c>
    </row>
    <row r="1069" ht="22.5" customHeight="1">
      <c r="A1069" s="10">
        <v>45912.864611157405</v>
      </c>
      <c r="B1069" s="11" t="s">
        <v>20</v>
      </c>
      <c r="C1069" s="11">
        <v>7802.0</v>
      </c>
      <c r="D1069" s="11" t="s">
        <v>128</v>
      </c>
      <c r="H1069" s="11" t="s">
        <v>51</v>
      </c>
      <c r="K1069" s="11" t="s">
        <v>111</v>
      </c>
    </row>
    <row r="1070" ht="22.5" customHeight="1">
      <c r="A1070" s="10">
        <v>45913.396830694444</v>
      </c>
      <c r="B1070" s="11" t="s">
        <v>20</v>
      </c>
      <c r="C1070" s="11">
        <v>765.0</v>
      </c>
      <c r="D1070" s="11" t="s">
        <v>128</v>
      </c>
      <c r="H1070" s="11" t="s">
        <v>21</v>
      </c>
      <c r="L1070" s="11" t="s">
        <v>36</v>
      </c>
    </row>
    <row r="1071" ht="22.5" customHeight="1">
      <c r="A1071" s="10">
        <v>45913.8238240625</v>
      </c>
      <c r="B1071" s="11" t="s">
        <v>20</v>
      </c>
      <c r="C1071" s="11">
        <v>33.0</v>
      </c>
      <c r="D1071" s="11" t="s">
        <v>128</v>
      </c>
      <c r="H1071" s="11" t="s">
        <v>21</v>
      </c>
      <c r="L1071" s="11" t="s">
        <v>123</v>
      </c>
    </row>
    <row r="1072" ht="22.5" customHeight="1">
      <c r="A1072" s="10">
        <v>45914.058971990744</v>
      </c>
      <c r="B1072" s="11" t="s">
        <v>20</v>
      </c>
      <c r="C1072" s="11">
        <v>800.0</v>
      </c>
      <c r="D1072" s="11" t="s">
        <v>127</v>
      </c>
      <c r="H1072" s="11" t="s">
        <v>28</v>
      </c>
      <c r="I1072" s="11" t="s">
        <v>35</v>
      </c>
    </row>
    <row r="1073" ht="22.5" customHeight="1">
      <c r="A1073" s="10">
        <v>45915.29268429398</v>
      </c>
      <c r="B1073" s="11" t="s">
        <v>20</v>
      </c>
      <c r="C1073" s="11">
        <v>1025.0</v>
      </c>
      <c r="D1073" s="11" t="s">
        <v>128</v>
      </c>
      <c r="H1073" s="11" t="s">
        <v>21</v>
      </c>
      <c r="L1073" s="11" t="s">
        <v>36</v>
      </c>
    </row>
    <row r="1074" ht="22.5" customHeight="1">
      <c r="A1074" s="10">
        <v>45917.55858626157</v>
      </c>
      <c r="B1074" s="11" t="s">
        <v>20</v>
      </c>
      <c r="C1074" s="11">
        <v>150.0</v>
      </c>
      <c r="D1074" s="11" t="s">
        <v>127</v>
      </c>
      <c r="H1074" s="11" t="s">
        <v>94</v>
      </c>
      <c r="O1074" s="11" t="s">
        <v>153</v>
      </c>
    </row>
    <row r="1075" ht="22.5" customHeight="1">
      <c r="A1075" s="10">
        <v>45917.55877849537</v>
      </c>
      <c r="B1075" s="11" t="s">
        <v>20</v>
      </c>
      <c r="C1075" s="11">
        <v>250.0</v>
      </c>
      <c r="D1075" s="11" t="s">
        <v>141</v>
      </c>
      <c r="H1075" s="11" t="s">
        <v>94</v>
      </c>
      <c r="O1075" s="11" t="s">
        <v>153</v>
      </c>
      <c r="T1075" s="11" t="s">
        <v>86</v>
      </c>
    </row>
    <row r="1076" ht="22.5" customHeight="1">
      <c r="A1076" s="10">
        <v>45917.55896288194</v>
      </c>
      <c r="B1076" s="11" t="s">
        <v>20</v>
      </c>
      <c r="C1076" s="11">
        <v>46.0</v>
      </c>
      <c r="D1076" s="11" t="s">
        <v>141</v>
      </c>
      <c r="H1076" s="11" t="s">
        <v>28</v>
      </c>
      <c r="I1076" s="11" t="s">
        <v>43</v>
      </c>
    </row>
    <row r="1077" ht="22.5" customHeight="1">
      <c r="A1077" s="10">
        <v>45918.494568622686</v>
      </c>
      <c r="B1077" s="11" t="s">
        <v>20</v>
      </c>
      <c r="C1077" s="11">
        <v>433.0</v>
      </c>
      <c r="D1077" s="11" t="s">
        <v>128</v>
      </c>
      <c r="H1077" s="11" t="s">
        <v>51</v>
      </c>
      <c r="K1077" s="11" t="s">
        <v>124</v>
      </c>
    </row>
    <row r="1078" ht="22.5" customHeight="1">
      <c r="A1078" s="10">
        <v>45918.495415717596</v>
      </c>
      <c r="B1078" s="11" t="s">
        <v>20</v>
      </c>
      <c r="C1078" s="11">
        <v>698.0</v>
      </c>
      <c r="D1078" s="11" t="s">
        <v>128</v>
      </c>
      <c r="H1078" s="11" t="s">
        <v>26</v>
      </c>
      <c r="J1078" s="11" t="s">
        <v>50</v>
      </c>
    </row>
    <row r="1079" ht="22.5" customHeight="1">
      <c r="A1079" s="10">
        <v>45918.85415151621</v>
      </c>
      <c r="B1079" s="11" t="s">
        <v>20</v>
      </c>
      <c r="C1079" s="11">
        <v>110.0</v>
      </c>
      <c r="D1079" s="11" t="s">
        <v>128</v>
      </c>
      <c r="H1079" s="11" t="s">
        <v>28</v>
      </c>
      <c r="I1079" s="11" t="s">
        <v>30</v>
      </c>
    </row>
    <row r="1080" ht="22.5" customHeight="1">
      <c r="A1080" s="10">
        <v>45919.923389965275</v>
      </c>
      <c r="B1080" s="11" t="s">
        <v>20</v>
      </c>
      <c r="C1080" s="11">
        <v>945.0</v>
      </c>
      <c r="D1080" s="11" t="s">
        <v>128</v>
      </c>
      <c r="H1080" s="11" t="s">
        <v>28</v>
      </c>
      <c r="I1080" s="11" t="s">
        <v>30</v>
      </c>
    </row>
    <row r="1081" ht="22.5" customHeight="1">
      <c r="A1081" s="10">
        <v>45920.63072988426</v>
      </c>
      <c r="B1081" s="11" t="s">
        <v>20</v>
      </c>
      <c r="C1081" s="11">
        <v>1150.0</v>
      </c>
      <c r="D1081" s="11" t="s">
        <v>128</v>
      </c>
      <c r="H1081" s="11" t="s">
        <v>28</v>
      </c>
      <c r="I1081" s="11" t="s">
        <v>126</v>
      </c>
      <c r="S1081" s="11" t="s">
        <v>301</v>
      </c>
    </row>
    <row r="1082" ht="22.5" customHeight="1">
      <c r="A1082" s="10">
        <v>45921.71306371527</v>
      </c>
      <c r="B1082" s="11" t="s">
        <v>20</v>
      </c>
      <c r="C1082" s="11">
        <v>938.0</v>
      </c>
      <c r="D1082" s="11" t="s">
        <v>128</v>
      </c>
      <c r="H1082" s="11" t="s">
        <v>28</v>
      </c>
      <c r="I1082" s="11" t="s">
        <v>34</v>
      </c>
      <c r="S1082" s="11" t="s">
        <v>302</v>
      </c>
    </row>
    <row r="1083" ht="22.5" customHeight="1">
      <c r="A1083" s="10">
        <v>45921.7132628588</v>
      </c>
      <c r="B1083" s="11" t="s">
        <v>20</v>
      </c>
      <c r="C1083" s="11">
        <v>1381.0</v>
      </c>
      <c r="D1083" s="11" t="s">
        <v>128</v>
      </c>
      <c r="H1083" s="11" t="s">
        <v>28</v>
      </c>
      <c r="I1083" s="11" t="s">
        <v>34</v>
      </c>
      <c r="S1083" s="11" t="s">
        <v>113</v>
      </c>
    </row>
    <row r="1084" ht="22.5" customHeight="1">
      <c r="A1084" s="10">
        <v>45921.7134510301</v>
      </c>
      <c r="B1084" s="11" t="s">
        <v>20</v>
      </c>
      <c r="C1084" s="11">
        <v>110.0</v>
      </c>
      <c r="D1084" s="11" t="s">
        <v>128</v>
      </c>
      <c r="H1084" s="11" t="s">
        <v>24</v>
      </c>
      <c r="M1084" s="11" t="s">
        <v>25</v>
      </c>
    </row>
    <row r="1085" ht="22.5" customHeight="1">
      <c r="A1085" s="10">
        <v>45921.71361077546</v>
      </c>
      <c r="B1085" s="11" t="s">
        <v>20</v>
      </c>
      <c r="C1085" s="11">
        <v>23.0</v>
      </c>
      <c r="D1085" s="11" t="s">
        <v>128</v>
      </c>
      <c r="H1085" s="11" t="s">
        <v>28</v>
      </c>
      <c r="I1085" s="11" t="s">
        <v>43</v>
      </c>
    </row>
    <row r="1086" ht="22.5" customHeight="1">
      <c r="A1086" s="10">
        <v>45921.867685254634</v>
      </c>
      <c r="B1086" s="11" t="s">
        <v>20</v>
      </c>
      <c r="C1086" s="11">
        <v>476.0</v>
      </c>
      <c r="D1086" s="11" t="s">
        <v>128</v>
      </c>
      <c r="H1086" s="11" t="s">
        <v>51</v>
      </c>
      <c r="K1086" s="11" t="s">
        <v>185</v>
      </c>
    </row>
    <row r="1087" ht="22.5" customHeight="1">
      <c r="A1087" s="10">
        <v>45925.31544972223</v>
      </c>
      <c r="B1087" s="11" t="s">
        <v>20</v>
      </c>
      <c r="C1087" s="11">
        <v>1800.0</v>
      </c>
      <c r="D1087" s="11" t="s">
        <v>127</v>
      </c>
      <c r="H1087" s="11" t="s">
        <v>94</v>
      </c>
      <c r="O1087" s="11" t="s">
        <v>153</v>
      </c>
      <c r="S1087" s="11" t="s">
        <v>303</v>
      </c>
      <c r="T1087" s="11" t="s">
        <v>42</v>
      </c>
    </row>
    <row r="1088" ht="22.5" customHeight="1">
      <c r="A1088" s="10">
        <v>45925.31567524305</v>
      </c>
      <c r="B1088" s="11" t="s">
        <v>20</v>
      </c>
      <c r="C1088" s="11">
        <v>65.0</v>
      </c>
      <c r="D1088" s="11" t="s">
        <v>127</v>
      </c>
      <c r="H1088" s="11" t="s">
        <v>26</v>
      </c>
      <c r="J1088" s="11" t="s">
        <v>27</v>
      </c>
    </row>
    <row r="1089" ht="22.5" customHeight="1">
      <c r="A1089" s="10">
        <v>45925.96553681713</v>
      </c>
      <c r="B1089" s="11" t="s">
        <v>20</v>
      </c>
      <c r="C1089" s="11">
        <v>152.0</v>
      </c>
      <c r="D1089" s="11" t="s">
        <v>128</v>
      </c>
      <c r="H1089" s="11" t="s">
        <v>21</v>
      </c>
      <c r="L1089" s="11" t="s">
        <v>23</v>
      </c>
    </row>
    <row r="1090" ht="22.5" customHeight="1">
      <c r="A1090" s="10">
        <v>45925.96567790509</v>
      </c>
      <c r="B1090" s="11" t="s">
        <v>20</v>
      </c>
      <c r="C1090" s="11">
        <v>100.0</v>
      </c>
      <c r="D1090" s="11" t="s">
        <v>128</v>
      </c>
      <c r="H1090" s="11" t="s">
        <v>26</v>
      </c>
      <c r="J1090" s="11" t="s">
        <v>27</v>
      </c>
    </row>
    <row r="1091" ht="22.5" customHeight="1">
      <c r="A1091" s="10">
        <v>45926.840642337964</v>
      </c>
      <c r="B1091" s="11" t="s">
        <v>20</v>
      </c>
      <c r="C1091" s="11">
        <v>716.0</v>
      </c>
      <c r="D1091" s="11" t="s">
        <v>128</v>
      </c>
      <c r="H1091" s="11" t="s">
        <v>21</v>
      </c>
      <c r="L1091" s="11" t="s">
        <v>23</v>
      </c>
    </row>
    <row r="1092" ht="22.5" customHeight="1">
      <c r="A1092" s="10">
        <v>45927.45035796297</v>
      </c>
      <c r="B1092" s="11" t="s">
        <v>20</v>
      </c>
      <c r="C1092" s="11">
        <v>1794.0</v>
      </c>
      <c r="D1092" s="11" t="s">
        <v>128</v>
      </c>
      <c r="H1092" s="11" t="s">
        <v>28</v>
      </c>
      <c r="I1092" s="11" t="s">
        <v>126</v>
      </c>
      <c r="S1092" s="11" t="s">
        <v>301</v>
      </c>
    </row>
    <row r="1093" ht="22.5" customHeight="1">
      <c r="A1093" s="10">
        <v>45927.450561261576</v>
      </c>
      <c r="B1093" s="11" t="s">
        <v>20</v>
      </c>
      <c r="C1093" s="11">
        <v>86.0</v>
      </c>
      <c r="D1093" s="11" t="s">
        <v>128</v>
      </c>
      <c r="H1093" s="11" t="s">
        <v>21</v>
      </c>
      <c r="L1093" s="11" t="s">
        <v>23</v>
      </c>
    </row>
    <row r="1094" ht="22.5" customHeight="1">
      <c r="A1094" s="10">
        <v>45927.637086296294</v>
      </c>
      <c r="B1094" s="11" t="s">
        <v>20</v>
      </c>
      <c r="C1094" s="11">
        <v>208.0</v>
      </c>
      <c r="D1094" s="11" t="s">
        <v>128</v>
      </c>
      <c r="H1094" s="11" t="s">
        <v>28</v>
      </c>
      <c r="I1094" s="11" t="s">
        <v>29</v>
      </c>
    </row>
    <row r="1095" ht="22.5" customHeight="1">
      <c r="A1095" s="10">
        <v>45927.63723679398</v>
      </c>
      <c r="B1095" s="11" t="s">
        <v>20</v>
      </c>
      <c r="C1095" s="11">
        <v>45.0</v>
      </c>
      <c r="D1095" s="11" t="s">
        <v>128</v>
      </c>
      <c r="H1095" s="11" t="s">
        <v>28</v>
      </c>
      <c r="I1095" s="11" t="s">
        <v>43</v>
      </c>
    </row>
    <row r="1096" ht="22.5" customHeight="1">
      <c r="A1096" s="10">
        <v>45927.63741751158</v>
      </c>
      <c r="B1096" s="11" t="s">
        <v>20</v>
      </c>
      <c r="C1096" s="11">
        <v>370.0</v>
      </c>
      <c r="D1096" s="11" t="s">
        <v>128</v>
      </c>
      <c r="H1096" s="11" t="s">
        <v>28</v>
      </c>
      <c r="I1096" s="11" t="s">
        <v>44</v>
      </c>
    </row>
    <row r="1097" ht="22.5" customHeight="1">
      <c r="A1097" s="10">
        <v>45927.67276721065</v>
      </c>
      <c r="B1097" s="11" t="s">
        <v>20</v>
      </c>
      <c r="C1097" s="11">
        <v>115.0</v>
      </c>
      <c r="D1097" s="11" t="s">
        <v>128</v>
      </c>
      <c r="H1097" s="11" t="s">
        <v>28</v>
      </c>
      <c r="I1097" s="11" t="s">
        <v>112</v>
      </c>
    </row>
    <row r="1098" ht="22.5" customHeight="1">
      <c r="A1098" s="10">
        <v>45929.42767398148</v>
      </c>
      <c r="B1098" s="11" t="s">
        <v>20</v>
      </c>
      <c r="C1098" s="11">
        <v>150.0</v>
      </c>
      <c r="D1098" s="11" t="s">
        <v>128</v>
      </c>
      <c r="H1098" s="11" t="s">
        <v>94</v>
      </c>
      <c r="O1098" s="11" t="s">
        <v>153</v>
      </c>
      <c r="T1098" s="11" t="s">
        <v>86</v>
      </c>
    </row>
    <row r="1099" ht="22.5" customHeight="1">
      <c r="A1099" s="10">
        <v>45929.4278255324</v>
      </c>
      <c r="B1099" s="11" t="s">
        <v>20</v>
      </c>
      <c r="C1099" s="11">
        <v>250.0</v>
      </c>
      <c r="D1099" s="11" t="s">
        <v>128</v>
      </c>
      <c r="H1099" s="11" t="s">
        <v>94</v>
      </c>
      <c r="O1099" s="11" t="s">
        <v>153</v>
      </c>
    </row>
    <row r="1100" ht="22.5" customHeight="1">
      <c r="A1100" s="10">
        <v>45929.6019721412</v>
      </c>
      <c r="B1100" s="11" t="s">
        <v>20</v>
      </c>
      <c r="C1100" s="11">
        <v>700.0</v>
      </c>
      <c r="D1100" s="11" t="s">
        <v>127</v>
      </c>
      <c r="H1100" s="11" t="s">
        <v>24</v>
      </c>
      <c r="M1100" s="11" t="s">
        <v>96</v>
      </c>
      <c r="S1100" s="11" t="s">
        <v>304</v>
      </c>
    </row>
    <row r="1101" ht="22.5" customHeight="1">
      <c r="A1101" s="10">
        <v>45929.93873368055</v>
      </c>
      <c r="B1101" s="11" t="s">
        <v>20</v>
      </c>
      <c r="C1101" s="11">
        <v>20.0</v>
      </c>
      <c r="D1101" s="11" t="s">
        <v>141</v>
      </c>
      <c r="H1101" s="11" t="s">
        <v>21</v>
      </c>
      <c r="L1101" s="11" t="s">
        <v>31</v>
      </c>
    </row>
    <row r="1102" ht="22.5" customHeight="1">
      <c r="A1102" s="10">
        <v>45929.93894449074</v>
      </c>
      <c r="B1102" s="11" t="s">
        <v>20</v>
      </c>
      <c r="C1102" s="11">
        <v>2800.0</v>
      </c>
      <c r="D1102" s="11" t="s">
        <v>141</v>
      </c>
      <c r="H1102" s="11" t="s">
        <v>28</v>
      </c>
      <c r="I1102" s="11" t="s">
        <v>30</v>
      </c>
      <c r="S1102" s="11" t="s">
        <v>305</v>
      </c>
    </row>
    <row r="1103" ht="22.5" customHeight="1">
      <c r="A1103" s="10">
        <v>45929.93930135417</v>
      </c>
      <c r="B1103" s="11" t="s">
        <v>20</v>
      </c>
      <c r="C1103" s="11">
        <v>700.0</v>
      </c>
      <c r="D1103" s="11" t="s">
        <v>127</v>
      </c>
      <c r="H1103" s="11" t="s">
        <v>24</v>
      </c>
      <c r="M1103" s="11" t="s">
        <v>96</v>
      </c>
      <c r="S1103" s="11" t="s">
        <v>306</v>
      </c>
    </row>
    <row r="1104" ht="22.5" customHeight="1">
      <c r="A1104" s="10">
        <v>45929.93946421296</v>
      </c>
      <c r="B1104" s="11" t="s">
        <v>20</v>
      </c>
      <c r="C1104" s="11">
        <v>210.0</v>
      </c>
      <c r="D1104" s="11" t="s">
        <v>127</v>
      </c>
      <c r="H1104" s="11" t="s">
        <v>28</v>
      </c>
      <c r="I1104" s="11" t="s">
        <v>30</v>
      </c>
    </row>
    <row r="1105" ht="22.5" customHeight="1">
      <c r="A1105" s="10">
        <v>45929.939765902775</v>
      </c>
      <c r="B1105" s="11" t="s">
        <v>20</v>
      </c>
      <c r="C1105" s="11">
        <v>250.0</v>
      </c>
      <c r="D1105" s="11" t="s">
        <v>128</v>
      </c>
      <c r="H1105" s="11" t="s">
        <v>94</v>
      </c>
      <c r="O1105" s="11" t="s">
        <v>153</v>
      </c>
    </row>
    <row r="1106" ht="22.5" customHeight="1">
      <c r="A1106" s="10">
        <v>45929.939994189815</v>
      </c>
      <c r="B1106" s="11" t="s">
        <v>20</v>
      </c>
      <c r="C1106" s="11">
        <v>230.0</v>
      </c>
      <c r="D1106" s="11" t="s">
        <v>128</v>
      </c>
      <c r="H1106" s="11" t="s">
        <v>28</v>
      </c>
      <c r="I1106" s="11" t="s">
        <v>44</v>
      </c>
    </row>
    <row r="1107" ht="22.5" customHeight="1">
      <c r="A1107" s="10">
        <v>45929.94023710648</v>
      </c>
      <c r="B1107" s="11" t="s">
        <v>20</v>
      </c>
      <c r="C1107" s="11">
        <v>480.0</v>
      </c>
      <c r="D1107" s="11" t="s">
        <v>128</v>
      </c>
      <c r="H1107" s="11" t="s">
        <v>28</v>
      </c>
      <c r="I1107" s="11" t="s">
        <v>30</v>
      </c>
    </row>
    <row r="1108" ht="22.5" customHeight="1">
      <c r="A1108" s="10">
        <v>45929.940451145834</v>
      </c>
      <c r="B1108" s="11" t="s">
        <v>20</v>
      </c>
      <c r="C1108" s="11">
        <v>840.0</v>
      </c>
      <c r="D1108" s="11" t="s">
        <v>128</v>
      </c>
      <c r="H1108" s="11" t="s">
        <v>21</v>
      </c>
      <c r="L1108" s="11" t="s">
        <v>23</v>
      </c>
    </row>
    <row r="1109" ht="22.5" customHeight="1">
      <c r="A1109" s="10">
        <v>45930.521587546296</v>
      </c>
      <c r="B1109" s="11" t="s">
        <v>20</v>
      </c>
      <c r="C1109" s="11">
        <v>657.0</v>
      </c>
      <c r="D1109" s="11" t="s">
        <v>127</v>
      </c>
      <c r="H1109" s="11" t="s">
        <v>28</v>
      </c>
      <c r="I1109" s="11" t="s">
        <v>34</v>
      </c>
    </row>
    <row r="1110" ht="22.5" customHeight="1">
      <c r="A1110" s="10">
        <v>45931.55790918981</v>
      </c>
      <c r="B1110" s="11" t="s">
        <v>20</v>
      </c>
      <c r="C1110" s="11">
        <v>20000.0</v>
      </c>
      <c r="D1110" s="11" t="s">
        <v>128</v>
      </c>
      <c r="H1110" s="11" t="s">
        <v>51</v>
      </c>
      <c r="K1110" s="11" t="s">
        <v>98</v>
      </c>
    </row>
    <row r="1111" ht="22.5" customHeight="1">
      <c r="A1111" s="10">
        <v>45931.558088923615</v>
      </c>
      <c r="B1111" s="11" t="s">
        <v>20</v>
      </c>
      <c r="C1111" s="11">
        <v>6000.0</v>
      </c>
      <c r="D1111" s="11" t="s">
        <v>128</v>
      </c>
      <c r="H1111" s="11" t="s">
        <v>51</v>
      </c>
      <c r="K1111" s="11" t="s">
        <v>131</v>
      </c>
    </row>
    <row r="1112" ht="22.5" customHeight="1">
      <c r="A1112" s="10">
        <v>45931.94206023148</v>
      </c>
      <c r="B1112" s="11" t="s">
        <v>38</v>
      </c>
      <c r="C1112" s="11">
        <v>6000.0</v>
      </c>
      <c r="D1112" s="11" t="s">
        <v>128</v>
      </c>
      <c r="E1112" s="11" t="s">
        <v>39</v>
      </c>
      <c r="G1112" s="11" t="s">
        <v>139</v>
      </c>
    </row>
    <row r="1113" ht="22.5" customHeight="1">
      <c r="A1113" s="10">
        <v>45934.56837375</v>
      </c>
      <c r="B1113" s="11" t="s">
        <v>20</v>
      </c>
      <c r="C1113" s="11">
        <v>70.0</v>
      </c>
      <c r="D1113" s="11" t="s">
        <v>128</v>
      </c>
      <c r="H1113" s="11" t="s">
        <v>28</v>
      </c>
      <c r="I1113" s="11" t="s">
        <v>43</v>
      </c>
    </row>
    <row r="1114" ht="22.5" customHeight="1">
      <c r="A1114" s="10">
        <v>45934.796300601854</v>
      </c>
      <c r="B1114" s="11" t="s">
        <v>20</v>
      </c>
      <c r="C1114" s="11">
        <v>205.0</v>
      </c>
      <c r="D1114" s="11">
        <v>2.025093E7</v>
      </c>
      <c r="H1114" s="11" t="s">
        <v>51</v>
      </c>
      <c r="K1114" s="11" t="s">
        <v>90</v>
      </c>
    </row>
    <row r="1115" ht="22.5" customHeight="1">
      <c r="A1115" s="10">
        <v>45934.79841282408</v>
      </c>
      <c r="B1115" s="11" t="s">
        <v>20</v>
      </c>
      <c r="C1115" s="11">
        <v>279.0</v>
      </c>
      <c r="D1115" s="11">
        <v>2.025093E7</v>
      </c>
      <c r="H1115" s="11" t="s">
        <v>21</v>
      </c>
      <c r="L1115" s="11" t="s">
        <v>31</v>
      </c>
    </row>
    <row r="1116" ht="22.5" customHeight="1">
      <c r="A1116" s="10">
        <v>45934.79889313657</v>
      </c>
      <c r="B1116" s="11" t="s">
        <v>20</v>
      </c>
      <c r="C1116" s="11">
        <v>400.0</v>
      </c>
      <c r="D1116" s="11">
        <v>2.025093E7</v>
      </c>
      <c r="H1116" s="11" t="s">
        <v>21</v>
      </c>
      <c r="L1116" s="11" t="s">
        <v>77</v>
      </c>
    </row>
    <row r="1117" ht="22.5" customHeight="1">
      <c r="A1117" s="10">
        <v>45934.80014306713</v>
      </c>
      <c r="B1117" s="11" t="s">
        <v>38</v>
      </c>
      <c r="C1117" s="11">
        <v>105065.0</v>
      </c>
      <c r="D1117" s="11" t="s">
        <v>128</v>
      </c>
      <c r="E1117" s="11" t="s">
        <v>61</v>
      </c>
      <c r="F1117" s="11" t="s">
        <v>62</v>
      </c>
      <c r="S1117" s="11" t="s">
        <v>307</v>
      </c>
      <c r="T1117" s="11" t="s">
        <v>42</v>
      </c>
    </row>
    <row r="1118" ht="22.5" customHeight="1">
      <c r="A1118" s="10">
        <v>45934.8004080324</v>
      </c>
      <c r="B1118" s="11" t="s">
        <v>38</v>
      </c>
      <c r="C1118" s="11">
        <v>1000.0</v>
      </c>
      <c r="D1118" s="11" t="s">
        <v>128</v>
      </c>
      <c r="E1118" s="11" t="s">
        <v>61</v>
      </c>
      <c r="F1118" s="11" t="s">
        <v>63</v>
      </c>
      <c r="S1118" s="11" t="s">
        <v>308</v>
      </c>
      <c r="T1118" s="11" t="s">
        <v>42</v>
      </c>
    </row>
    <row r="1119" ht="22.5" customHeight="1">
      <c r="A1119" s="10">
        <v>45934.80084336805</v>
      </c>
      <c r="B1119" s="11" t="s">
        <v>20</v>
      </c>
      <c r="C1119" s="11">
        <v>1432.0</v>
      </c>
      <c r="D1119" s="11" t="s">
        <v>128</v>
      </c>
      <c r="H1119" s="11" t="s">
        <v>28</v>
      </c>
      <c r="I1119" s="11" t="s">
        <v>33</v>
      </c>
    </row>
    <row r="1120" ht="22.5" customHeight="1">
      <c r="A1120" s="10">
        <v>45934.801195416665</v>
      </c>
      <c r="B1120" s="11" t="s">
        <v>20</v>
      </c>
      <c r="C1120" s="11">
        <v>4292.0</v>
      </c>
      <c r="D1120" s="11" t="s">
        <v>128</v>
      </c>
      <c r="H1120" s="11" t="s">
        <v>59</v>
      </c>
      <c r="R1120" s="11" t="s">
        <v>60</v>
      </c>
    </row>
    <row r="1121" ht="22.5" customHeight="1">
      <c r="A1121" s="10">
        <v>45934.801653981485</v>
      </c>
      <c r="B1121" s="11" t="s">
        <v>20</v>
      </c>
      <c r="C1121" s="11">
        <v>2898.0</v>
      </c>
      <c r="D1121" s="11" t="s">
        <v>128</v>
      </c>
      <c r="H1121" s="11" t="s">
        <v>57</v>
      </c>
      <c r="N1121" s="11" t="s">
        <v>58</v>
      </c>
    </row>
    <row r="1122" ht="22.5" customHeight="1">
      <c r="A1122" s="10">
        <v>45934.802228518514</v>
      </c>
      <c r="B1122" s="11" t="s">
        <v>20</v>
      </c>
      <c r="C1122" s="11">
        <v>537.0</v>
      </c>
      <c r="D1122" s="11" t="s">
        <v>128</v>
      </c>
      <c r="H1122" s="11" t="s">
        <v>24</v>
      </c>
      <c r="M1122" s="11" t="s">
        <v>32</v>
      </c>
    </row>
    <row r="1123" ht="22.5" customHeight="1">
      <c r="A1123" s="10">
        <v>45934.80248694445</v>
      </c>
      <c r="B1123" s="11" t="s">
        <v>20</v>
      </c>
      <c r="C1123" s="11">
        <v>3620.0</v>
      </c>
      <c r="D1123" s="11" t="s">
        <v>128</v>
      </c>
      <c r="H1123" s="11" t="s">
        <v>57</v>
      </c>
      <c r="N1123" s="11" t="s">
        <v>75</v>
      </c>
    </row>
    <row r="1124" ht="22.5" customHeight="1">
      <c r="A1124" s="10">
        <v>45935.1307174074</v>
      </c>
      <c r="B1124" s="11" t="s">
        <v>20</v>
      </c>
      <c r="C1124" s="11">
        <v>185.0</v>
      </c>
      <c r="D1124" s="11" t="s">
        <v>127</v>
      </c>
      <c r="H1124" s="11" t="s">
        <v>28</v>
      </c>
      <c r="I1124" s="11" t="s">
        <v>35</v>
      </c>
    </row>
    <row r="1125" ht="22.5" customHeight="1">
      <c r="A1125" s="10">
        <v>45935.13148726852</v>
      </c>
      <c r="B1125" s="11" t="s">
        <v>20</v>
      </c>
      <c r="C1125" s="11">
        <v>3187.0</v>
      </c>
      <c r="D1125" s="11" t="s">
        <v>127</v>
      </c>
      <c r="H1125" s="11" t="s">
        <v>28</v>
      </c>
      <c r="I1125" s="11" t="s">
        <v>30</v>
      </c>
      <c r="S1125" s="11" t="s">
        <v>309</v>
      </c>
    </row>
    <row r="1126" ht="22.5" customHeight="1">
      <c r="A1126" s="10">
        <v>45936.3934621875</v>
      </c>
      <c r="B1126" s="11" t="s">
        <v>20</v>
      </c>
      <c r="C1126" s="11">
        <v>110.0</v>
      </c>
      <c r="D1126" s="11" t="s">
        <v>128</v>
      </c>
      <c r="H1126" s="11" t="s">
        <v>24</v>
      </c>
      <c r="M1126" s="11" t="s">
        <v>25</v>
      </c>
    </row>
    <row r="1127" ht="22.5" customHeight="1">
      <c r="A1127" s="10">
        <v>45936.39360664352</v>
      </c>
      <c r="B1127" s="11" t="s">
        <v>20</v>
      </c>
      <c r="C1127" s="11">
        <v>50.0</v>
      </c>
      <c r="D1127" s="11" t="s">
        <v>128</v>
      </c>
      <c r="H1127" s="11" t="s">
        <v>26</v>
      </c>
      <c r="J1127" s="11" t="s">
        <v>27</v>
      </c>
    </row>
    <row r="1128" ht="22.5" customHeight="1">
      <c r="A1128" s="10">
        <v>45936.39602840278</v>
      </c>
      <c r="B1128" s="11" t="s">
        <v>20</v>
      </c>
      <c r="C1128" s="11">
        <v>2299.0</v>
      </c>
      <c r="D1128" s="11" t="s">
        <v>127</v>
      </c>
      <c r="H1128" s="11" t="s">
        <v>28</v>
      </c>
      <c r="I1128" s="11" t="s">
        <v>34</v>
      </c>
      <c r="S1128" s="11" t="s">
        <v>310</v>
      </c>
    </row>
    <row r="1129" ht="22.5" customHeight="1">
      <c r="A1129" s="10">
        <v>45936.40449746528</v>
      </c>
      <c r="B1129" s="11" t="s">
        <v>20</v>
      </c>
      <c r="C1129" s="11">
        <v>1060.0</v>
      </c>
      <c r="D1129" s="11">
        <v>2.0251009E7</v>
      </c>
      <c r="H1129" s="11" t="s">
        <v>21</v>
      </c>
      <c r="L1129" s="11" t="s">
        <v>36</v>
      </c>
    </row>
    <row r="1130" ht="22.5" customHeight="1">
      <c r="A1130" s="10">
        <v>45936.63834892361</v>
      </c>
      <c r="B1130" s="11" t="s">
        <v>38</v>
      </c>
      <c r="C1130" s="11">
        <v>990.0</v>
      </c>
      <c r="D1130" s="11">
        <v>2.0250902E7</v>
      </c>
      <c r="E1130" s="11" t="s">
        <v>39</v>
      </c>
      <c r="G1130" s="11" t="s">
        <v>40</v>
      </c>
      <c r="S1130" s="11" t="s">
        <v>137</v>
      </c>
      <c r="T1130" s="11" t="s">
        <v>42</v>
      </c>
    </row>
    <row r="1131" ht="22.5" customHeight="1">
      <c r="A1131" s="10">
        <v>45936.63893725694</v>
      </c>
      <c r="B1131" s="11" t="s">
        <v>38</v>
      </c>
      <c r="C1131" s="11">
        <v>4470.0</v>
      </c>
      <c r="D1131" s="11">
        <v>2.025091E7</v>
      </c>
      <c r="E1131" s="11" t="s">
        <v>39</v>
      </c>
      <c r="G1131" s="11" t="s">
        <v>40</v>
      </c>
      <c r="S1131" s="11" t="s">
        <v>311</v>
      </c>
      <c r="T1131" s="11" t="s">
        <v>42</v>
      </c>
    </row>
    <row r="1132" ht="22.5" customHeight="1">
      <c r="A1132" s="10">
        <v>45936.63931814815</v>
      </c>
      <c r="B1132" s="11" t="s">
        <v>38</v>
      </c>
      <c r="C1132" s="11">
        <v>1590.0</v>
      </c>
      <c r="D1132" s="11">
        <v>2.0250905E7</v>
      </c>
      <c r="E1132" s="11" t="s">
        <v>39</v>
      </c>
      <c r="G1132" s="11" t="s">
        <v>40</v>
      </c>
      <c r="S1132" s="11" t="s">
        <v>134</v>
      </c>
      <c r="T1132" s="11" t="s">
        <v>42</v>
      </c>
    </row>
    <row r="1133" ht="22.5" customHeight="1">
      <c r="A1133" s="10">
        <v>45936.639720543986</v>
      </c>
      <c r="B1133" s="11" t="s">
        <v>38</v>
      </c>
      <c r="C1133" s="11">
        <v>3590.0</v>
      </c>
      <c r="D1133" s="11">
        <v>2.0250904E7</v>
      </c>
      <c r="E1133" s="11" t="s">
        <v>39</v>
      </c>
      <c r="G1133" s="11" t="s">
        <v>40</v>
      </c>
      <c r="S1133" s="11" t="s">
        <v>312</v>
      </c>
      <c r="T1133" s="11" t="s">
        <v>42</v>
      </c>
    </row>
    <row r="1134" ht="22.5" customHeight="1">
      <c r="A1134" s="10">
        <v>45936.640171562496</v>
      </c>
      <c r="B1134" s="11" t="s">
        <v>38</v>
      </c>
      <c r="C1134" s="11">
        <v>2160.0</v>
      </c>
      <c r="D1134" s="11">
        <v>2.0250911E7</v>
      </c>
      <c r="E1134" s="11" t="s">
        <v>39</v>
      </c>
      <c r="G1134" s="11" t="s">
        <v>40</v>
      </c>
      <c r="S1134" s="11" t="s">
        <v>184</v>
      </c>
      <c r="T1134" s="11" t="s">
        <v>42</v>
      </c>
    </row>
    <row r="1135" ht="22.5" customHeight="1">
      <c r="A1135" s="10">
        <v>45936.6407229051</v>
      </c>
      <c r="B1135" s="11" t="s">
        <v>38</v>
      </c>
      <c r="C1135" s="11">
        <v>770.0</v>
      </c>
      <c r="D1135" s="11">
        <v>2.0250917E7</v>
      </c>
      <c r="E1135" s="11" t="s">
        <v>39</v>
      </c>
      <c r="G1135" s="11" t="s">
        <v>40</v>
      </c>
      <c r="S1135" s="11" t="s">
        <v>313</v>
      </c>
      <c r="T1135" s="11" t="s">
        <v>42</v>
      </c>
    </row>
    <row r="1136" ht="22.5" customHeight="1">
      <c r="A1136" s="10">
        <v>45936.6411766088</v>
      </c>
      <c r="B1136" s="11" t="s">
        <v>38</v>
      </c>
      <c r="C1136" s="11">
        <v>900.0</v>
      </c>
      <c r="D1136" s="11">
        <v>2.0250922E7</v>
      </c>
      <c r="E1136" s="11" t="s">
        <v>39</v>
      </c>
      <c r="G1136" s="11" t="s">
        <v>40</v>
      </c>
      <c r="S1136" s="11" t="s">
        <v>314</v>
      </c>
      <c r="T1136" s="11" t="s">
        <v>42</v>
      </c>
    </row>
    <row r="1137" ht="22.5" customHeight="1">
      <c r="A1137" s="10">
        <v>45936.64188831019</v>
      </c>
      <c r="B1137" s="11" t="s">
        <v>38</v>
      </c>
      <c r="C1137" s="11">
        <v>5990.0</v>
      </c>
      <c r="D1137" s="11">
        <v>2.025093E7</v>
      </c>
      <c r="E1137" s="11" t="s">
        <v>39</v>
      </c>
      <c r="G1137" s="11" t="s">
        <v>40</v>
      </c>
      <c r="S1137" s="11" t="s">
        <v>315</v>
      </c>
      <c r="T1137" s="11" t="s">
        <v>42</v>
      </c>
    </row>
    <row r="1138" ht="22.5" customHeight="1">
      <c r="A1138" s="10">
        <v>45937.79843818287</v>
      </c>
      <c r="B1138" s="11" t="s">
        <v>20</v>
      </c>
      <c r="C1138" s="11">
        <v>49.0</v>
      </c>
      <c r="D1138" s="11" t="s">
        <v>127</v>
      </c>
      <c r="H1138" s="11" t="s">
        <v>28</v>
      </c>
      <c r="I1138" s="11" t="s">
        <v>43</v>
      </c>
    </row>
    <row r="1139" ht="22.5" customHeight="1">
      <c r="A1139" s="10">
        <v>45940.887348495366</v>
      </c>
      <c r="B1139" s="11" t="s">
        <v>20</v>
      </c>
      <c r="C1139" s="11">
        <v>75.0</v>
      </c>
      <c r="D1139" s="11" t="s">
        <v>128</v>
      </c>
      <c r="H1139" s="11" t="s">
        <v>21</v>
      </c>
      <c r="L1139" s="11" t="s">
        <v>31</v>
      </c>
    </row>
    <row r="1140" ht="22.5" customHeight="1">
      <c r="A1140" s="10">
        <v>45940.88751858796</v>
      </c>
      <c r="B1140" s="11" t="s">
        <v>20</v>
      </c>
      <c r="C1140" s="11">
        <v>590.0</v>
      </c>
      <c r="D1140" s="11" t="s">
        <v>128</v>
      </c>
      <c r="H1140" s="11" t="s">
        <v>28</v>
      </c>
      <c r="I1140" s="11" t="s">
        <v>30</v>
      </c>
    </row>
    <row r="1141" ht="22.5" customHeight="1">
      <c r="A1141" s="10">
        <v>45942.677229375</v>
      </c>
      <c r="B1141" s="11" t="s">
        <v>20</v>
      </c>
      <c r="C1141" s="11">
        <v>790.0</v>
      </c>
      <c r="D1141" s="11" t="s">
        <v>128</v>
      </c>
      <c r="H1141" s="11" t="s">
        <v>21</v>
      </c>
      <c r="L1141" s="11" t="s">
        <v>36</v>
      </c>
    </row>
    <row r="1142" ht="22.5" customHeight="1">
      <c r="A1142" s="10">
        <v>45942.67746222222</v>
      </c>
      <c r="B1142" s="11" t="s">
        <v>20</v>
      </c>
      <c r="C1142" s="11">
        <v>379.0</v>
      </c>
      <c r="D1142" s="11" t="s">
        <v>128</v>
      </c>
      <c r="H1142" s="11" t="s">
        <v>28</v>
      </c>
      <c r="I1142" s="11" t="s">
        <v>43</v>
      </c>
    </row>
    <row r="1143" ht="22.5" customHeight="1">
      <c r="A1143" s="10">
        <v>45942.891188113426</v>
      </c>
      <c r="B1143" s="11" t="s">
        <v>20</v>
      </c>
      <c r="C1143" s="11">
        <v>405.0</v>
      </c>
      <c r="D1143" s="11" t="s">
        <v>128</v>
      </c>
      <c r="H1143" s="11" t="s">
        <v>28</v>
      </c>
      <c r="I1143" s="11" t="s">
        <v>30</v>
      </c>
    </row>
    <row r="1144" ht="22.5" customHeight="1">
      <c r="A1144" s="10">
        <v>45942.89132862269</v>
      </c>
      <c r="B1144" s="11" t="s">
        <v>20</v>
      </c>
      <c r="C1144" s="11">
        <v>25.0</v>
      </c>
      <c r="D1144" s="11" t="s">
        <v>128</v>
      </c>
      <c r="H1144" s="11" t="s">
        <v>28</v>
      </c>
      <c r="I1144" s="11" t="s">
        <v>43</v>
      </c>
    </row>
    <row r="1145" ht="22.5" customHeight="1">
      <c r="A1145" s="10">
        <v>45942.90897498843</v>
      </c>
      <c r="B1145" s="11" t="s">
        <v>20</v>
      </c>
      <c r="C1145" s="11">
        <v>6000.0</v>
      </c>
      <c r="D1145" s="11" t="s">
        <v>128</v>
      </c>
      <c r="H1145" s="11" t="s">
        <v>26</v>
      </c>
      <c r="J1145" s="11" t="s">
        <v>27</v>
      </c>
      <c r="S1145" s="11" t="s">
        <v>316</v>
      </c>
      <c r="T1145" s="11" t="s">
        <v>42</v>
      </c>
    </row>
    <row r="1146" ht="22.5" customHeight="1">
      <c r="A1146" s="10">
        <v>45942.90943310186</v>
      </c>
      <c r="B1146" s="11" t="s">
        <v>20</v>
      </c>
      <c r="C1146" s="11">
        <v>500.0</v>
      </c>
      <c r="D1146" s="11" t="s">
        <v>127</v>
      </c>
      <c r="H1146" s="11" t="s">
        <v>24</v>
      </c>
      <c r="M1146" s="11" t="s">
        <v>45</v>
      </c>
    </row>
    <row r="1147" ht="22.5" customHeight="1">
      <c r="A1147" s="10">
        <v>45942.90958537037</v>
      </c>
      <c r="B1147" s="11" t="s">
        <v>20</v>
      </c>
      <c r="C1147" s="11">
        <v>69.0</v>
      </c>
      <c r="D1147" s="11" t="s">
        <v>127</v>
      </c>
      <c r="H1147" s="11" t="s">
        <v>26</v>
      </c>
      <c r="J1147" s="11" t="s">
        <v>27</v>
      </c>
    </row>
    <row r="1148" ht="22.5" customHeight="1">
      <c r="A1148" s="10">
        <v>45943.30910002315</v>
      </c>
      <c r="B1148" s="11" t="s">
        <v>20</v>
      </c>
      <c r="C1148" s="11">
        <v>699.0</v>
      </c>
      <c r="D1148" s="11" t="s">
        <v>128</v>
      </c>
      <c r="H1148" s="11" t="s">
        <v>21</v>
      </c>
      <c r="L1148" s="11" t="s">
        <v>46</v>
      </c>
    </row>
    <row r="1149" ht="22.5" customHeight="1">
      <c r="A1149" s="10">
        <v>45946.494873194446</v>
      </c>
      <c r="B1149" s="11" t="s">
        <v>20</v>
      </c>
      <c r="C1149" s="11">
        <v>76.0</v>
      </c>
      <c r="D1149" s="11" t="s">
        <v>128</v>
      </c>
      <c r="H1149" s="11" t="s">
        <v>21</v>
      </c>
      <c r="L1149" s="11" t="s">
        <v>202</v>
      </c>
    </row>
    <row r="1150" ht="22.5" customHeight="1">
      <c r="A1150" s="10">
        <v>45948.38111011574</v>
      </c>
      <c r="B1150" s="11" t="s">
        <v>20</v>
      </c>
      <c r="C1150" s="11">
        <v>513.0</v>
      </c>
      <c r="D1150" s="11" t="s">
        <v>127</v>
      </c>
      <c r="H1150" s="11" t="s">
        <v>28</v>
      </c>
      <c r="I1150" s="11" t="s">
        <v>30</v>
      </c>
    </row>
    <row r="1151" ht="22.5" customHeight="1">
      <c r="A1151" s="10">
        <v>45948.38315787037</v>
      </c>
      <c r="B1151" s="11" t="s">
        <v>20</v>
      </c>
      <c r="C1151" s="11">
        <v>110.0</v>
      </c>
      <c r="D1151" s="11" t="s">
        <v>128</v>
      </c>
      <c r="H1151" s="11" t="s">
        <v>24</v>
      </c>
      <c r="M1151" s="11" t="s">
        <v>25</v>
      </c>
    </row>
    <row r="1152" ht="22.5" customHeight="1">
      <c r="A1152" s="10">
        <v>45948.442509976856</v>
      </c>
      <c r="B1152" s="11" t="s">
        <v>20</v>
      </c>
      <c r="C1152" s="11">
        <v>1200.0</v>
      </c>
      <c r="D1152" s="11" t="s">
        <v>128</v>
      </c>
      <c r="H1152" s="11" t="s">
        <v>94</v>
      </c>
      <c r="O1152" s="11" t="s">
        <v>153</v>
      </c>
      <c r="S1152" s="11" t="s">
        <v>317</v>
      </c>
    </row>
    <row r="1153" ht="22.5" customHeight="1">
      <c r="A1153" s="10">
        <v>45948.53776796296</v>
      </c>
      <c r="B1153" s="11" t="s">
        <v>20</v>
      </c>
      <c r="C1153" s="11">
        <v>50.0</v>
      </c>
      <c r="D1153" s="11" t="s">
        <v>128</v>
      </c>
      <c r="H1153" s="11" t="s">
        <v>28</v>
      </c>
      <c r="I1153" s="11" t="s">
        <v>43</v>
      </c>
    </row>
    <row r="1154" ht="22.5" customHeight="1">
      <c r="A1154" s="10">
        <v>45948.67299826389</v>
      </c>
      <c r="B1154" s="11" t="s">
        <v>20</v>
      </c>
      <c r="C1154" s="11">
        <v>145.0</v>
      </c>
      <c r="D1154" s="11" t="s">
        <v>128</v>
      </c>
      <c r="H1154" s="11" t="s">
        <v>26</v>
      </c>
      <c r="J1154" s="11" t="s">
        <v>27</v>
      </c>
    </row>
    <row r="1155" ht="22.5" customHeight="1">
      <c r="A1155" s="10">
        <v>45948.81918795139</v>
      </c>
      <c r="B1155" s="11" t="s">
        <v>20</v>
      </c>
      <c r="C1155" s="11">
        <v>670.0</v>
      </c>
      <c r="D1155" s="11" t="s">
        <v>128</v>
      </c>
      <c r="H1155" s="11" t="s">
        <v>28</v>
      </c>
      <c r="I1155" s="11" t="s">
        <v>30</v>
      </c>
    </row>
    <row r="1156" ht="22.5" customHeight="1">
      <c r="A1156" s="10">
        <v>45949.42996222222</v>
      </c>
      <c r="B1156" s="11" t="s">
        <v>20</v>
      </c>
      <c r="C1156" s="11">
        <v>100.0</v>
      </c>
      <c r="D1156" s="11" t="s">
        <v>128</v>
      </c>
      <c r="H1156" s="11" t="s">
        <v>24</v>
      </c>
      <c r="M1156" s="11" t="s">
        <v>25</v>
      </c>
    </row>
    <row r="1157" ht="22.5" customHeight="1">
      <c r="A1157" s="10">
        <v>45949.446775081014</v>
      </c>
      <c r="B1157" s="11" t="s">
        <v>20</v>
      </c>
      <c r="C1157" s="11">
        <v>2280.0</v>
      </c>
      <c r="D1157" s="11" t="s">
        <v>127</v>
      </c>
      <c r="H1157" s="11" t="s">
        <v>28</v>
      </c>
      <c r="I1157" s="11" t="s">
        <v>34</v>
      </c>
    </row>
    <row r="1158" ht="22.5" customHeight="1">
      <c r="A1158" s="10">
        <v>45949.4469424537</v>
      </c>
      <c r="B1158" s="11" t="s">
        <v>20</v>
      </c>
      <c r="C1158" s="11">
        <v>2000.0</v>
      </c>
      <c r="D1158" s="11" t="s">
        <v>127</v>
      </c>
      <c r="H1158" s="11" t="s">
        <v>26</v>
      </c>
      <c r="J1158" s="11" t="s">
        <v>27</v>
      </c>
    </row>
    <row r="1159" ht="22.5" customHeight="1">
      <c r="A1159" s="10">
        <v>45950.36218876157</v>
      </c>
      <c r="B1159" s="11" t="s">
        <v>20</v>
      </c>
      <c r="C1159" s="11">
        <v>1746.0</v>
      </c>
      <c r="D1159" s="11" t="s">
        <v>128</v>
      </c>
      <c r="H1159" s="11" t="s">
        <v>51</v>
      </c>
      <c r="K1159" s="11" t="s">
        <v>52</v>
      </c>
    </row>
    <row r="1160" ht="22.5" customHeight="1">
      <c r="A1160" s="10">
        <v>45950.83851905093</v>
      </c>
      <c r="B1160" s="11" t="s">
        <v>20</v>
      </c>
      <c r="C1160" s="11">
        <v>119.0</v>
      </c>
      <c r="D1160" s="11" t="s">
        <v>128</v>
      </c>
      <c r="H1160" s="11" t="s">
        <v>21</v>
      </c>
      <c r="L1160" s="11" t="s">
        <v>23</v>
      </c>
    </row>
    <row r="1161" ht="22.5" customHeight="1">
      <c r="A1161" s="10">
        <v>45950.83865849537</v>
      </c>
      <c r="B1161" s="11" t="s">
        <v>20</v>
      </c>
      <c r="C1161" s="11">
        <v>60.0</v>
      </c>
      <c r="D1161" s="11" t="s">
        <v>128</v>
      </c>
      <c r="H1161" s="11" t="s">
        <v>26</v>
      </c>
      <c r="J1161" s="11" t="s">
        <v>27</v>
      </c>
    </row>
    <row r="1162" ht="22.5" customHeight="1">
      <c r="A1162" s="10">
        <v>45954.38166366898</v>
      </c>
      <c r="B1162" s="11" t="s">
        <v>20</v>
      </c>
      <c r="C1162" s="11">
        <v>1500.0</v>
      </c>
      <c r="D1162" s="11" t="s">
        <v>127</v>
      </c>
      <c r="H1162" s="11" t="s">
        <v>26</v>
      </c>
      <c r="J1162" s="11" t="s">
        <v>27</v>
      </c>
    </row>
    <row r="1163" ht="22.5" customHeight="1">
      <c r="A1163" s="10">
        <v>45954.625613564815</v>
      </c>
      <c r="B1163" s="11" t="s">
        <v>20</v>
      </c>
      <c r="C1163" s="11">
        <v>100.0</v>
      </c>
      <c r="D1163" s="11" t="s">
        <v>128</v>
      </c>
      <c r="H1163" s="11" t="s">
        <v>28</v>
      </c>
      <c r="I1163" s="11" t="s">
        <v>43</v>
      </c>
    </row>
    <row r="1164" ht="22.5" customHeight="1">
      <c r="A1164" s="10">
        <v>45954.62575388889</v>
      </c>
      <c r="B1164" s="11" t="s">
        <v>20</v>
      </c>
      <c r="C1164" s="11">
        <v>247.0</v>
      </c>
      <c r="D1164" s="11" t="s">
        <v>128</v>
      </c>
      <c r="H1164" s="11" t="s">
        <v>28</v>
      </c>
      <c r="I1164" s="11" t="s">
        <v>112</v>
      </c>
    </row>
    <row r="1165" ht="22.5" customHeight="1">
      <c r="A1165" s="10">
        <v>45954.76643004629</v>
      </c>
      <c r="B1165" s="11" t="s">
        <v>20</v>
      </c>
      <c r="C1165" s="11">
        <v>200.0</v>
      </c>
      <c r="D1165" s="11" t="s">
        <v>128</v>
      </c>
      <c r="H1165" s="11" t="s">
        <v>28</v>
      </c>
      <c r="I1165" s="11" t="s">
        <v>30</v>
      </c>
    </row>
    <row r="1166" ht="22.5" customHeight="1">
      <c r="A1166" s="10">
        <v>45955.30095527778</v>
      </c>
      <c r="B1166" s="11" t="s">
        <v>20</v>
      </c>
      <c r="C1166" s="11">
        <v>20.0</v>
      </c>
      <c r="D1166" s="11" t="s">
        <v>127</v>
      </c>
      <c r="H1166" s="11" t="s">
        <v>21</v>
      </c>
      <c r="L1166" s="11" t="s">
        <v>31</v>
      </c>
    </row>
    <row r="1167" ht="22.5" customHeight="1">
      <c r="A1167" s="10">
        <v>45955.40698515046</v>
      </c>
      <c r="B1167" s="11" t="s">
        <v>20</v>
      </c>
      <c r="C1167" s="11">
        <v>100.0</v>
      </c>
      <c r="D1167" s="11" t="s">
        <v>128</v>
      </c>
      <c r="H1167" s="11" t="s">
        <v>21</v>
      </c>
      <c r="L1167" s="11" t="s">
        <v>23</v>
      </c>
    </row>
    <row r="1168" ht="22.5" customHeight="1">
      <c r="A1168" s="10">
        <v>45955.40717141204</v>
      </c>
      <c r="B1168" s="11" t="s">
        <v>20</v>
      </c>
      <c r="C1168" s="11">
        <v>100.0</v>
      </c>
      <c r="D1168" s="11" t="s">
        <v>128</v>
      </c>
      <c r="H1168" s="11" t="s">
        <v>24</v>
      </c>
      <c r="M1168" s="11" t="s">
        <v>25</v>
      </c>
    </row>
    <row r="1169" ht="22.5" customHeight="1">
      <c r="A1169" s="10">
        <v>45955.818865671295</v>
      </c>
      <c r="B1169" s="11" t="s">
        <v>20</v>
      </c>
      <c r="C1169" s="11">
        <v>500.0</v>
      </c>
      <c r="D1169" s="11" t="s">
        <v>128</v>
      </c>
      <c r="H1169" s="11" t="s">
        <v>26</v>
      </c>
      <c r="J1169" s="11" t="s">
        <v>27</v>
      </c>
    </row>
    <row r="1170" ht="22.5" customHeight="1">
      <c r="A1170" s="10">
        <v>45956.46777862268</v>
      </c>
      <c r="B1170" s="11" t="s">
        <v>20</v>
      </c>
      <c r="C1170" s="11">
        <v>30.0</v>
      </c>
      <c r="D1170" s="11" t="s">
        <v>128</v>
      </c>
      <c r="H1170" s="11" t="s">
        <v>24</v>
      </c>
      <c r="M1170" s="11" t="s">
        <v>25</v>
      </c>
    </row>
    <row r="1171" ht="22.5" customHeight="1">
      <c r="A1171" s="10">
        <v>45956.4682466088</v>
      </c>
      <c r="B1171" s="11" t="s">
        <v>20</v>
      </c>
      <c r="C1171" s="11">
        <v>84.0</v>
      </c>
      <c r="D1171" s="11" t="s">
        <v>128</v>
      </c>
      <c r="H1171" s="11" t="s">
        <v>28</v>
      </c>
      <c r="I1171" s="11" t="s">
        <v>29</v>
      </c>
    </row>
    <row r="1172" ht="22.5" customHeight="1">
      <c r="A1172" s="10">
        <v>45956.909327326386</v>
      </c>
      <c r="B1172" s="11" t="s">
        <v>20</v>
      </c>
      <c r="C1172" s="11">
        <v>268.0</v>
      </c>
      <c r="D1172" s="11" t="s">
        <v>128</v>
      </c>
      <c r="H1172" s="11" t="s">
        <v>28</v>
      </c>
      <c r="I1172" s="11" t="s">
        <v>44</v>
      </c>
    </row>
    <row r="1173" ht="22.5" customHeight="1">
      <c r="A1173" s="10">
        <v>45956.90946445602</v>
      </c>
      <c r="B1173" s="11" t="s">
        <v>20</v>
      </c>
      <c r="C1173" s="11">
        <v>122.0</v>
      </c>
      <c r="D1173" s="11" t="s">
        <v>128</v>
      </c>
      <c r="H1173" s="11" t="s">
        <v>26</v>
      </c>
      <c r="J1173" s="11" t="s">
        <v>27</v>
      </c>
    </row>
    <row r="1174" ht="22.5" customHeight="1">
      <c r="A1174" s="10">
        <v>45958.91652987269</v>
      </c>
      <c r="B1174" s="11" t="s">
        <v>20</v>
      </c>
      <c r="C1174" s="11">
        <v>48900.0</v>
      </c>
      <c r="D1174" s="11">
        <v>2.0251024E7</v>
      </c>
      <c r="H1174" s="11" t="s">
        <v>26</v>
      </c>
      <c r="J1174" s="11" t="s">
        <v>157</v>
      </c>
      <c r="S1174" s="11" t="s">
        <v>318</v>
      </c>
      <c r="T1174" s="11" t="s">
        <v>42</v>
      </c>
    </row>
    <row r="1175" ht="22.5" customHeight="1">
      <c r="A1175" s="10">
        <v>45958.92120003472</v>
      </c>
      <c r="B1175" s="11" t="s">
        <v>20</v>
      </c>
      <c r="C1175" s="11">
        <v>690.0</v>
      </c>
      <c r="D1175" s="11" t="s">
        <v>128</v>
      </c>
      <c r="H1175" s="11" t="s">
        <v>24</v>
      </c>
      <c r="M1175" s="11" t="s">
        <v>165</v>
      </c>
    </row>
    <row r="1176" ht="22.5" customHeight="1">
      <c r="A1176" s="10">
        <v>45959.76639429398</v>
      </c>
      <c r="B1176" s="11" t="s">
        <v>20</v>
      </c>
      <c r="C1176" s="11">
        <v>45.0</v>
      </c>
      <c r="D1176" s="11" t="s">
        <v>128</v>
      </c>
      <c r="H1176" s="11" t="s">
        <v>28</v>
      </c>
      <c r="I1176" s="11" t="s">
        <v>112</v>
      </c>
    </row>
    <row r="1177" ht="22.5" customHeight="1">
      <c r="A1177" s="10">
        <v>45961.34744186343</v>
      </c>
      <c r="B1177" s="11" t="s">
        <v>20</v>
      </c>
      <c r="C1177" s="11">
        <v>90.0</v>
      </c>
      <c r="D1177" s="11" t="s">
        <v>127</v>
      </c>
      <c r="H1177" s="11" t="s">
        <v>28</v>
      </c>
      <c r="I1177" s="11" t="s">
        <v>29</v>
      </c>
    </row>
    <row r="1178" ht="22.5" customHeight="1">
      <c r="A1178" s="10">
        <v>45962.349957280094</v>
      </c>
      <c r="B1178" s="11" t="s">
        <v>20</v>
      </c>
      <c r="C1178" s="11">
        <v>20000.0</v>
      </c>
      <c r="D1178" s="11" t="s">
        <v>128</v>
      </c>
      <c r="H1178" s="11" t="s">
        <v>51</v>
      </c>
      <c r="K1178" s="11" t="s">
        <v>98</v>
      </c>
    </row>
    <row r="1179" ht="22.5" customHeight="1">
      <c r="A1179" s="10">
        <v>45962.350237858795</v>
      </c>
      <c r="B1179" s="11" t="s">
        <v>20</v>
      </c>
      <c r="C1179" s="11">
        <v>6000.0</v>
      </c>
      <c r="D1179" s="11" t="s">
        <v>128</v>
      </c>
      <c r="H1179" s="11" t="s">
        <v>51</v>
      </c>
      <c r="K1179" s="11" t="s">
        <v>131</v>
      </c>
    </row>
    <row r="1180" ht="22.5" customHeight="1">
      <c r="A1180" s="10">
        <v>45964.47438559028</v>
      </c>
      <c r="B1180" s="11" t="s">
        <v>20</v>
      </c>
      <c r="C1180" s="11">
        <v>213.0</v>
      </c>
      <c r="D1180" s="11" t="s">
        <v>128</v>
      </c>
      <c r="H1180" s="11" t="s">
        <v>51</v>
      </c>
      <c r="K1180" s="11" t="s">
        <v>90</v>
      </c>
    </row>
    <row r="1181" ht="22.5" customHeight="1">
      <c r="A1181" s="10">
        <v>45964.474574594904</v>
      </c>
      <c r="B1181" s="11" t="s">
        <v>38</v>
      </c>
      <c r="C1181" s="11">
        <v>6000.0</v>
      </c>
      <c r="D1181" s="11" t="s">
        <v>141</v>
      </c>
      <c r="E1181" s="11" t="s">
        <v>39</v>
      </c>
      <c r="G1181" s="11" t="s">
        <v>139</v>
      </c>
    </row>
    <row r="1182" ht="22.5" customHeight="1">
      <c r="A1182" s="10">
        <v>45964.875132395835</v>
      </c>
      <c r="B1182" s="11" t="s">
        <v>20</v>
      </c>
      <c r="C1182" s="11">
        <v>210.0</v>
      </c>
      <c r="D1182" s="11" t="s">
        <v>128</v>
      </c>
      <c r="H1182" s="11" t="s">
        <v>28</v>
      </c>
      <c r="I1182" s="11" t="s">
        <v>30</v>
      </c>
    </row>
    <row r="1183" ht="22.5" customHeight="1">
      <c r="A1183" s="10">
        <v>45965.5624690625</v>
      </c>
      <c r="B1183" s="11" t="s">
        <v>20</v>
      </c>
      <c r="C1183" s="11">
        <v>58492.0</v>
      </c>
      <c r="D1183" s="11" t="s">
        <v>127</v>
      </c>
      <c r="H1183" s="11" t="s">
        <v>24</v>
      </c>
      <c r="M1183" s="11" t="s">
        <v>49</v>
      </c>
      <c r="S1183" s="11" t="s">
        <v>319</v>
      </c>
      <c r="T1183" s="11" t="s">
        <v>42</v>
      </c>
    </row>
    <row r="1184" ht="22.5" customHeight="1">
      <c r="A1184" s="10">
        <v>45965.918612187495</v>
      </c>
      <c r="B1184" s="11" t="s">
        <v>20</v>
      </c>
      <c r="C1184" s="11">
        <v>5900.0</v>
      </c>
      <c r="D1184" s="11" t="s">
        <v>128</v>
      </c>
      <c r="H1184" s="11" t="s">
        <v>26</v>
      </c>
      <c r="J1184" s="11" t="s">
        <v>27</v>
      </c>
      <c r="S1184" s="11" t="s">
        <v>320</v>
      </c>
      <c r="T1184" s="11" t="s">
        <v>42</v>
      </c>
    </row>
    <row r="1185" ht="22.5" customHeight="1">
      <c r="A1185" s="10">
        <v>45966.89651715278</v>
      </c>
      <c r="B1185" s="11" t="s">
        <v>20</v>
      </c>
      <c r="C1185" s="11">
        <v>25.0</v>
      </c>
      <c r="D1185" s="11" t="s">
        <v>128</v>
      </c>
      <c r="H1185" s="11" t="s">
        <v>28</v>
      </c>
      <c r="I1185" s="11" t="s">
        <v>43</v>
      </c>
    </row>
    <row r="1186" ht="22.5" customHeight="1">
      <c r="A1186" s="10">
        <v>45967.51155164352</v>
      </c>
      <c r="B1186" s="11" t="s">
        <v>38</v>
      </c>
      <c r="C1186" s="11">
        <v>76000.0</v>
      </c>
      <c r="D1186" s="11">
        <v>2.0251031E7</v>
      </c>
      <c r="E1186" s="11" t="s">
        <v>61</v>
      </c>
      <c r="F1186" s="11" t="s">
        <v>73</v>
      </c>
      <c r="S1186" s="11" t="s">
        <v>247</v>
      </c>
      <c r="T1186" s="11" t="s">
        <v>42</v>
      </c>
    </row>
    <row r="1187" ht="22.5" customHeight="1">
      <c r="A1187" s="10">
        <v>45967.5119124537</v>
      </c>
      <c r="B1187" s="11" t="s">
        <v>20</v>
      </c>
      <c r="C1187" s="11">
        <v>1604.0</v>
      </c>
      <c r="D1187" s="11">
        <v>2.02501031E8</v>
      </c>
      <c r="H1187" s="11" t="s">
        <v>57</v>
      </c>
      <c r="N1187" s="11" t="s">
        <v>75</v>
      </c>
    </row>
    <row r="1188" ht="22.5" customHeight="1">
      <c r="A1188" s="10">
        <v>45967.51235300926</v>
      </c>
      <c r="B1188" s="11" t="s">
        <v>38</v>
      </c>
      <c r="C1188" s="11">
        <v>107300.0</v>
      </c>
      <c r="D1188" s="11" t="s">
        <v>127</v>
      </c>
      <c r="E1188" s="11" t="s">
        <v>61</v>
      </c>
      <c r="F1188" s="11" t="s">
        <v>62</v>
      </c>
    </row>
    <row r="1189" ht="22.5" customHeight="1">
      <c r="A1189" s="10">
        <v>45967.51266917824</v>
      </c>
      <c r="B1189" s="11" t="s">
        <v>20</v>
      </c>
      <c r="C1189" s="11">
        <v>1151.0</v>
      </c>
      <c r="D1189" s="11" t="s">
        <v>127</v>
      </c>
      <c r="H1189" s="11" t="s">
        <v>28</v>
      </c>
      <c r="I1189" s="11" t="s">
        <v>33</v>
      </c>
    </row>
    <row r="1190" ht="22.5" customHeight="1">
      <c r="A1190" s="10">
        <v>45967.51329018519</v>
      </c>
      <c r="B1190" s="11" t="s">
        <v>20</v>
      </c>
      <c r="C1190" s="11">
        <v>4292.0</v>
      </c>
      <c r="D1190" s="11" t="s">
        <v>127</v>
      </c>
      <c r="H1190" s="11" t="s">
        <v>59</v>
      </c>
      <c r="R1190" s="11" t="s">
        <v>60</v>
      </c>
    </row>
    <row r="1191" ht="22.5" customHeight="1">
      <c r="A1191" s="10">
        <v>45967.51415707176</v>
      </c>
      <c r="B1191" s="11" t="s">
        <v>20</v>
      </c>
      <c r="C1191" s="11">
        <v>6201.0</v>
      </c>
      <c r="D1191" s="11" t="s">
        <v>127</v>
      </c>
      <c r="H1191" s="11" t="s">
        <v>57</v>
      </c>
      <c r="N1191" s="11" t="s">
        <v>58</v>
      </c>
    </row>
    <row r="1192" ht="22.5" customHeight="1">
      <c r="A1192" s="10">
        <v>45967.51440622685</v>
      </c>
      <c r="B1192" s="11" t="s">
        <v>20</v>
      </c>
      <c r="C1192" s="11">
        <v>537.0</v>
      </c>
      <c r="D1192" s="11" t="s">
        <v>127</v>
      </c>
      <c r="H1192" s="11" t="s">
        <v>24</v>
      </c>
      <c r="M1192" s="11" t="s">
        <v>32</v>
      </c>
    </row>
    <row r="1193" ht="22.5" customHeight="1">
      <c r="A1193" s="10">
        <v>45967.514814027774</v>
      </c>
      <c r="B1193" s="11" t="s">
        <v>20</v>
      </c>
      <c r="C1193" s="11">
        <v>3500.0</v>
      </c>
      <c r="D1193" s="11" t="s">
        <v>127</v>
      </c>
      <c r="H1193" s="11" t="s">
        <v>57</v>
      </c>
      <c r="N1193" s="11" t="s">
        <v>75</v>
      </c>
    </row>
    <row r="1194" ht="22.5" customHeight="1">
      <c r="A1194" s="10">
        <v>45967.55355873842</v>
      </c>
      <c r="B1194" s="11" t="s">
        <v>38</v>
      </c>
      <c r="C1194" s="11">
        <v>6960.0</v>
      </c>
      <c r="D1194" s="11">
        <v>2.0251015E7</v>
      </c>
      <c r="E1194" s="11" t="s">
        <v>39</v>
      </c>
      <c r="G1194" s="11" t="s">
        <v>40</v>
      </c>
      <c r="S1194" s="11" t="s">
        <v>167</v>
      </c>
      <c r="T1194" s="11" t="s">
        <v>42</v>
      </c>
    </row>
    <row r="1195" ht="22.5" customHeight="1">
      <c r="A1195" s="10">
        <v>45967.554220624996</v>
      </c>
      <c r="B1195" s="11" t="s">
        <v>38</v>
      </c>
      <c r="C1195" s="11">
        <v>2520.0</v>
      </c>
      <c r="D1195" s="11">
        <v>2.0251015E7</v>
      </c>
      <c r="E1195" s="11" t="s">
        <v>39</v>
      </c>
      <c r="G1195" s="11" t="s">
        <v>40</v>
      </c>
      <c r="S1195" s="11" t="s">
        <v>184</v>
      </c>
      <c r="T1195" s="11" t="s">
        <v>42</v>
      </c>
    </row>
    <row r="1196" ht="22.5" customHeight="1">
      <c r="A1196" s="10">
        <v>45967.55470951389</v>
      </c>
      <c r="B1196" s="11" t="s">
        <v>38</v>
      </c>
      <c r="C1196" s="11">
        <v>2190.0</v>
      </c>
      <c r="D1196" s="11">
        <v>2.0251031E7</v>
      </c>
      <c r="E1196" s="11" t="s">
        <v>39</v>
      </c>
      <c r="G1196" s="11" t="s">
        <v>40</v>
      </c>
      <c r="S1196" s="11" t="s">
        <v>169</v>
      </c>
      <c r="T1196" s="11" t="s">
        <v>42</v>
      </c>
    </row>
    <row r="1197" ht="22.5" customHeight="1">
      <c r="A1197" s="10">
        <v>45967.56491310185</v>
      </c>
      <c r="B1197" s="11" t="s">
        <v>20</v>
      </c>
      <c r="C1197" s="11">
        <v>224.0</v>
      </c>
      <c r="D1197" s="11" t="s">
        <v>128</v>
      </c>
      <c r="H1197" s="11" t="s">
        <v>26</v>
      </c>
      <c r="J1197" s="11" t="s">
        <v>27</v>
      </c>
    </row>
    <row r="1198" ht="22.5" customHeight="1">
      <c r="A1198" s="10">
        <v>45969.00215115741</v>
      </c>
      <c r="B1198" s="11" t="s">
        <v>20</v>
      </c>
      <c r="C1198" s="11">
        <v>150.0</v>
      </c>
      <c r="D1198" s="11" t="s">
        <v>127</v>
      </c>
      <c r="H1198" s="11" t="s">
        <v>24</v>
      </c>
      <c r="M1198" s="11" t="s">
        <v>25</v>
      </c>
    </row>
    <row r="1199" ht="22.5" customHeight="1">
      <c r="A1199" s="10">
        <v>45969.00234172454</v>
      </c>
      <c r="B1199" s="11" t="s">
        <v>20</v>
      </c>
      <c r="C1199" s="11">
        <v>58.0</v>
      </c>
      <c r="D1199" s="11" t="s">
        <v>127</v>
      </c>
      <c r="H1199" s="11" t="s">
        <v>28</v>
      </c>
      <c r="I1199" s="11" t="s">
        <v>35</v>
      </c>
    </row>
    <row r="1200" ht="22.5" customHeight="1">
      <c r="A1200" s="10">
        <v>45969.397374479166</v>
      </c>
      <c r="B1200" s="11" t="s">
        <v>20</v>
      </c>
      <c r="C1200" s="11">
        <v>7302.0</v>
      </c>
      <c r="D1200" s="11" t="s">
        <v>128</v>
      </c>
      <c r="H1200" s="11" t="s">
        <v>51</v>
      </c>
      <c r="K1200" s="11" t="s">
        <v>111</v>
      </c>
    </row>
    <row r="1201" ht="22.5" customHeight="1">
      <c r="A1201" s="10">
        <v>45969.69147351852</v>
      </c>
      <c r="B1201" s="11" t="s">
        <v>20</v>
      </c>
      <c r="C1201" s="11">
        <v>857.0</v>
      </c>
      <c r="D1201" s="11" t="s">
        <v>128</v>
      </c>
      <c r="H1201" s="11" t="s">
        <v>21</v>
      </c>
      <c r="L1201" s="11" t="s">
        <v>23</v>
      </c>
    </row>
    <row r="1202" ht="22.5" customHeight="1">
      <c r="A1202" s="10">
        <v>45969.69194875</v>
      </c>
      <c r="B1202" s="11" t="s">
        <v>20</v>
      </c>
      <c r="C1202" s="11">
        <v>8400.0</v>
      </c>
      <c r="D1202" s="11" t="s">
        <v>128</v>
      </c>
      <c r="H1202" s="11" t="s">
        <v>26</v>
      </c>
      <c r="J1202" s="11" t="s">
        <v>27</v>
      </c>
      <c r="S1202" s="11" t="s">
        <v>321</v>
      </c>
      <c r="T1202" s="11" t="s">
        <v>42</v>
      </c>
    </row>
    <row r="1203" ht="22.5" customHeight="1">
      <c r="A1203" s="10">
        <v>45970.438414398144</v>
      </c>
      <c r="B1203" s="11" t="s">
        <v>20</v>
      </c>
      <c r="C1203" s="11">
        <v>350.0</v>
      </c>
      <c r="D1203" s="11" t="s">
        <v>128</v>
      </c>
      <c r="H1203" s="11" t="s">
        <v>28</v>
      </c>
      <c r="I1203" s="11" t="s">
        <v>29</v>
      </c>
    </row>
    <row r="1204" ht="22.5" customHeight="1">
      <c r="A1204" s="10">
        <v>45970.861431157406</v>
      </c>
      <c r="B1204" s="11" t="s">
        <v>20</v>
      </c>
      <c r="C1204" s="11">
        <v>919.0</v>
      </c>
      <c r="D1204" s="11" t="s">
        <v>128</v>
      </c>
      <c r="H1204" s="11" t="s">
        <v>28</v>
      </c>
      <c r="I1204" s="11" t="s">
        <v>34</v>
      </c>
    </row>
    <row r="1205" ht="22.5" customHeight="1">
      <c r="A1205" s="10">
        <v>45970.861589548615</v>
      </c>
      <c r="B1205" s="11" t="s">
        <v>20</v>
      </c>
      <c r="C1205" s="11">
        <v>165.0</v>
      </c>
      <c r="D1205" s="11" t="s">
        <v>128</v>
      </c>
      <c r="H1205" s="11" t="s">
        <v>28</v>
      </c>
      <c r="I1205" s="11" t="s">
        <v>44</v>
      </c>
    </row>
    <row r="1206" ht="22.5" customHeight="1">
      <c r="A1206" s="10">
        <v>45971.52154103009</v>
      </c>
      <c r="B1206" s="11" t="s">
        <v>20</v>
      </c>
      <c r="C1206" s="11">
        <v>220.0</v>
      </c>
      <c r="D1206" s="11" t="s">
        <v>128</v>
      </c>
      <c r="H1206" s="11" t="s">
        <v>26</v>
      </c>
      <c r="J1206" s="11" t="s">
        <v>27</v>
      </c>
    </row>
    <row r="1207" ht="22.5" customHeight="1">
      <c r="A1207" s="10">
        <v>45971.85133605324</v>
      </c>
      <c r="B1207" s="11" t="s">
        <v>20</v>
      </c>
      <c r="C1207" s="11">
        <v>92.0</v>
      </c>
      <c r="D1207" s="11" t="s">
        <v>128</v>
      </c>
      <c r="H1207" s="11" t="s">
        <v>21</v>
      </c>
      <c r="L1207" s="11" t="s">
        <v>23</v>
      </c>
    </row>
    <row r="1208" ht="22.5" customHeight="1">
      <c r="A1208" s="10">
        <v>45971.89787759259</v>
      </c>
      <c r="B1208" s="11" t="s">
        <v>20</v>
      </c>
      <c r="C1208" s="11">
        <v>223.0</v>
      </c>
      <c r="D1208" s="11" t="s">
        <v>128</v>
      </c>
      <c r="H1208" s="11" t="s">
        <v>28</v>
      </c>
      <c r="I1208" s="11" t="s">
        <v>34</v>
      </c>
    </row>
    <row r="1209" ht="22.5" customHeight="1">
      <c r="A1209" s="10">
        <v>45972.796830057865</v>
      </c>
      <c r="B1209" s="11" t="s">
        <v>20</v>
      </c>
      <c r="C1209" s="11">
        <v>175.0</v>
      </c>
      <c r="D1209" s="11" t="s">
        <v>128</v>
      </c>
      <c r="H1209" s="11" t="s">
        <v>28</v>
      </c>
      <c r="I1209" s="11" t="s">
        <v>30</v>
      </c>
    </row>
    <row r="1210" ht="22.5" customHeight="1">
      <c r="A1210" s="10">
        <v>45972.974328275464</v>
      </c>
      <c r="B1210" s="11" t="s">
        <v>20</v>
      </c>
      <c r="C1210" s="11">
        <v>699.0</v>
      </c>
      <c r="D1210" s="11" t="s">
        <v>128</v>
      </c>
      <c r="H1210" s="11" t="s">
        <v>21</v>
      </c>
      <c r="L1210" s="11" t="s">
        <v>46</v>
      </c>
    </row>
    <row r="1211" ht="22.5" customHeight="1">
      <c r="A1211" s="10">
        <v>45973.545735798616</v>
      </c>
      <c r="B1211" s="11" t="s">
        <v>20</v>
      </c>
      <c r="C1211" s="11">
        <v>200.0</v>
      </c>
      <c r="D1211" s="11" t="s">
        <v>128</v>
      </c>
      <c r="H1211" s="11" t="s">
        <v>28</v>
      </c>
      <c r="I1211" s="11" t="s">
        <v>29</v>
      </c>
    </row>
    <row r="1212" ht="22.5" customHeight="1">
      <c r="A1212" s="10">
        <v>45974.32103741898</v>
      </c>
      <c r="B1212" s="11" t="s">
        <v>20</v>
      </c>
      <c r="C1212" s="11">
        <v>145.0</v>
      </c>
      <c r="D1212" s="11" t="s">
        <v>127</v>
      </c>
      <c r="H1212" s="11" t="s">
        <v>28</v>
      </c>
      <c r="I1212" s="11" t="s">
        <v>43</v>
      </c>
    </row>
    <row r="1213" ht="22.5" customHeight="1">
      <c r="A1213" s="10">
        <v>45974.32163684028</v>
      </c>
      <c r="B1213" s="11" t="s">
        <v>20</v>
      </c>
      <c r="C1213" s="11">
        <v>738.0</v>
      </c>
      <c r="D1213" s="11" t="s">
        <v>128</v>
      </c>
      <c r="H1213" s="11" t="s">
        <v>28</v>
      </c>
      <c r="I1213" s="11" t="s">
        <v>34</v>
      </c>
    </row>
    <row r="1214" ht="22.5" customHeight="1">
      <c r="A1214" s="10">
        <v>45976.66913123842</v>
      </c>
      <c r="B1214" s="11" t="s">
        <v>20</v>
      </c>
      <c r="C1214" s="11">
        <v>275.0</v>
      </c>
      <c r="D1214" s="11" t="s">
        <v>128</v>
      </c>
      <c r="H1214" s="11" t="s">
        <v>28</v>
      </c>
      <c r="I1214" s="11" t="s">
        <v>44</v>
      </c>
    </row>
    <row r="1215" ht="22.5" customHeight="1">
      <c r="A1215" s="10">
        <v>45976.669482997684</v>
      </c>
      <c r="B1215" s="11" t="s">
        <v>20</v>
      </c>
      <c r="C1215" s="11">
        <v>180.0</v>
      </c>
      <c r="D1215" s="11" t="s">
        <v>128</v>
      </c>
      <c r="H1215" s="11" t="s">
        <v>21</v>
      </c>
      <c r="L1215" s="11" t="s">
        <v>176</v>
      </c>
    </row>
    <row r="1216" ht="22.5" customHeight="1">
      <c r="A1216" s="10">
        <v>45978.35023145833</v>
      </c>
      <c r="B1216" s="11" t="s">
        <v>20</v>
      </c>
      <c r="C1216" s="11">
        <v>1650.0</v>
      </c>
      <c r="D1216" s="11" t="s">
        <v>128</v>
      </c>
      <c r="H1216" s="11" t="s">
        <v>28</v>
      </c>
      <c r="I1216" s="11" t="s">
        <v>34</v>
      </c>
    </row>
    <row r="1217" ht="22.5" customHeight="1">
      <c r="A1217" s="10">
        <v>45979.86489268519</v>
      </c>
      <c r="B1217" s="11" t="s">
        <v>20</v>
      </c>
      <c r="C1217" s="11">
        <v>433.0</v>
      </c>
      <c r="D1217" s="11" t="s">
        <v>128</v>
      </c>
      <c r="H1217" s="11" t="s">
        <v>51</v>
      </c>
      <c r="K1217" s="11" t="s">
        <v>124</v>
      </c>
    </row>
    <row r="1218" ht="22.5" customHeight="1">
      <c r="A1218" s="10">
        <v>45980.35151315972</v>
      </c>
      <c r="B1218" s="11" t="s">
        <v>20</v>
      </c>
      <c r="C1218" s="11">
        <v>35.0</v>
      </c>
      <c r="D1218" s="11" t="s">
        <v>127</v>
      </c>
      <c r="H1218" s="11" t="s">
        <v>21</v>
      </c>
      <c r="L1218" s="11" t="s">
        <v>46</v>
      </c>
    </row>
    <row r="1219" ht="22.5" customHeight="1">
      <c r="A1219" s="10">
        <v>45981.85217886574</v>
      </c>
      <c r="B1219" s="11" t="s">
        <v>20</v>
      </c>
      <c r="C1219" s="11">
        <v>150.0</v>
      </c>
      <c r="D1219" s="11" t="s">
        <v>128</v>
      </c>
      <c r="H1219" s="11" t="s">
        <v>26</v>
      </c>
      <c r="J1219" s="11" t="s">
        <v>27</v>
      </c>
    </row>
    <row r="1220" ht="22.5" customHeight="1">
      <c r="A1220" s="10">
        <v>45981.85232457176</v>
      </c>
      <c r="B1220" s="11" t="s">
        <v>20</v>
      </c>
      <c r="C1220" s="11">
        <v>137.0</v>
      </c>
      <c r="D1220" s="11" t="s">
        <v>128</v>
      </c>
      <c r="H1220" s="11" t="s">
        <v>28</v>
      </c>
      <c r="I1220" s="11" t="s">
        <v>30</v>
      </c>
    </row>
    <row r="1221" ht="22.5" customHeight="1">
      <c r="A1221" s="10">
        <v>45982.98923811343</v>
      </c>
      <c r="B1221" s="11" t="s">
        <v>20</v>
      </c>
      <c r="C1221" s="11">
        <v>1100.0</v>
      </c>
      <c r="D1221" s="11" t="s">
        <v>128</v>
      </c>
      <c r="H1221" s="11" t="s">
        <v>28</v>
      </c>
      <c r="I1221" s="11" t="s">
        <v>35</v>
      </c>
    </row>
    <row r="1222" ht="22.5" customHeight="1">
      <c r="A1222" s="10">
        <v>45984.37525167824</v>
      </c>
      <c r="B1222" s="11" t="s">
        <v>20</v>
      </c>
      <c r="C1222" s="11">
        <v>134.0</v>
      </c>
      <c r="D1222" s="11" t="s">
        <v>128</v>
      </c>
      <c r="H1222" s="11" t="s">
        <v>28</v>
      </c>
      <c r="I1222" s="11" t="s">
        <v>29</v>
      </c>
    </row>
    <row r="1223" ht="22.5" customHeight="1">
      <c r="A1223" s="10">
        <v>45984.37573891204</v>
      </c>
      <c r="B1223" s="11" t="s">
        <v>20</v>
      </c>
      <c r="C1223" s="11">
        <v>35.0</v>
      </c>
      <c r="D1223" s="11" t="s">
        <v>127</v>
      </c>
      <c r="H1223" s="11" t="s">
        <v>21</v>
      </c>
      <c r="L1223" s="11" t="s">
        <v>46</v>
      </c>
    </row>
    <row r="1224" ht="22.5" customHeight="1">
      <c r="A1224" s="10">
        <v>45984.376152048615</v>
      </c>
      <c r="B1224" s="11" t="s">
        <v>20</v>
      </c>
      <c r="C1224" s="11">
        <v>765.0</v>
      </c>
      <c r="D1224" s="11" t="s">
        <v>127</v>
      </c>
      <c r="H1224" s="11" t="s">
        <v>21</v>
      </c>
      <c r="L1224" s="11" t="s">
        <v>36</v>
      </c>
    </row>
    <row r="1225" ht="22.5" customHeight="1">
      <c r="A1225" s="10">
        <v>45984.3763444213</v>
      </c>
      <c r="B1225" s="11" t="s">
        <v>20</v>
      </c>
      <c r="C1225" s="11">
        <v>945.0</v>
      </c>
      <c r="D1225" s="11" t="s">
        <v>127</v>
      </c>
      <c r="H1225" s="11" t="s">
        <v>28</v>
      </c>
      <c r="I1225" s="11" t="s">
        <v>44</v>
      </c>
    </row>
    <row r="1226" ht="22.5" customHeight="1">
      <c r="A1226" s="10">
        <v>45988.90046633102</v>
      </c>
      <c r="B1226" s="11" t="s">
        <v>20</v>
      </c>
      <c r="C1226" s="11">
        <v>250.0</v>
      </c>
      <c r="D1226" s="11" t="s">
        <v>127</v>
      </c>
      <c r="H1226" s="11" t="s">
        <v>94</v>
      </c>
      <c r="O1226" s="11" t="s">
        <v>153</v>
      </c>
    </row>
    <row r="1227" ht="22.5" customHeight="1">
      <c r="A1227" s="10">
        <v>45989.76200391204</v>
      </c>
      <c r="B1227" s="11" t="s">
        <v>20</v>
      </c>
      <c r="C1227" s="11">
        <v>14900.0</v>
      </c>
      <c r="D1227" s="11" t="s">
        <v>128</v>
      </c>
      <c r="H1227" s="11" t="s">
        <v>26</v>
      </c>
      <c r="J1227" s="11" t="s">
        <v>27</v>
      </c>
      <c r="S1227" s="11" t="s">
        <v>322</v>
      </c>
      <c r="T1227" s="11" t="s">
        <v>42</v>
      </c>
    </row>
    <row r="1228" ht="22.5" customHeight="1">
      <c r="A1228" s="10">
        <v>45989.90232179398</v>
      </c>
      <c r="B1228" s="11" t="s">
        <v>20</v>
      </c>
      <c r="C1228" s="11">
        <v>99.0</v>
      </c>
      <c r="D1228" s="11" t="s">
        <v>128</v>
      </c>
      <c r="H1228" s="11" t="s">
        <v>28</v>
      </c>
      <c r="I1228" s="11" t="s">
        <v>30</v>
      </c>
    </row>
    <row r="1229" ht="22.5" customHeight="1">
      <c r="A1229" s="10">
        <v>45989.93426555555</v>
      </c>
      <c r="B1229" s="11" t="s">
        <v>20</v>
      </c>
      <c r="C1229" s="11">
        <v>842.0</v>
      </c>
      <c r="D1229" s="11" t="s">
        <v>128</v>
      </c>
      <c r="H1229" s="11" t="s">
        <v>118</v>
      </c>
      <c r="P1229" s="11" t="s">
        <v>119</v>
      </c>
    </row>
    <row r="1230" ht="22.5" customHeight="1">
      <c r="A1230" s="10">
        <v>45990.664816539356</v>
      </c>
      <c r="B1230" s="11" t="s">
        <v>20</v>
      </c>
      <c r="C1230" s="11">
        <v>765.0</v>
      </c>
      <c r="D1230" s="11" t="s">
        <v>128</v>
      </c>
      <c r="H1230" s="11" t="s">
        <v>21</v>
      </c>
      <c r="L1230" s="11" t="s">
        <v>23</v>
      </c>
    </row>
    <row r="1231" ht="22.5" customHeight="1">
      <c r="A1231" s="10">
        <v>45991.500577569444</v>
      </c>
      <c r="B1231" s="11" t="s">
        <v>20</v>
      </c>
      <c r="C1231" s="11">
        <v>1081.0</v>
      </c>
      <c r="D1231" s="11" t="s">
        <v>128</v>
      </c>
      <c r="H1231" s="11" t="s">
        <v>26</v>
      </c>
      <c r="J1231" s="11" t="s">
        <v>27</v>
      </c>
    </row>
    <row r="1232" ht="22.5" customHeight="1">
      <c r="A1232" s="10">
        <v>45991.85670682871</v>
      </c>
      <c r="B1232" s="11" t="s">
        <v>20</v>
      </c>
      <c r="C1232" s="11">
        <v>480.0</v>
      </c>
      <c r="D1232" s="11" t="s">
        <v>128</v>
      </c>
      <c r="H1232" s="11" t="s">
        <v>51</v>
      </c>
      <c r="K1232" s="11" t="s">
        <v>185</v>
      </c>
    </row>
    <row r="1233" ht="22.5" customHeight="1">
      <c r="A1233" s="10">
        <v>45992.31617582176</v>
      </c>
      <c r="B1233" s="11" t="s">
        <v>20</v>
      </c>
      <c r="C1233" s="11">
        <v>6000.0</v>
      </c>
      <c r="D1233" s="11" t="s">
        <v>128</v>
      </c>
      <c r="H1233" s="11" t="s">
        <v>51</v>
      </c>
      <c r="K1233" s="11" t="s">
        <v>131</v>
      </c>
    </row>
    <row r="1234" ht="22.5" customHeight="1">
      <c r="A1234" s="10">
        <v>45992.31633930556</v>
      </c>
      <c r="B1234" s="11" t="s">
        <v>20</v>
      </c>
      <c r="C1234" s="11">
        <v>20000.0</v>
      </c>
      <c r="D1234" s="11" t="s">
        <v>128</v>
      </c>
      <c r="H1234" s="11" t="s">
        <v>51</v>
      </c>
      <c r="K1234" s="11" t="s">
        <v>98</v>
      </c>
    </row>
    <row r="1235" ht="22.5" customHeight="1">
      <c r="A1235" s="10">
        <v>45992.31650888889</v>
      </c>
      <c r="B1235" s="11" t="s">
        <v>38</v>
      </c>
      <c r="C1235" s="11">
        <v>6000.0</v>
      </c>
      <c r="D1235" s="11" t="s">
        <v>128</v>
      </c>
      <c r="E1235" s="11" t="s">
        <v>39</v>
      </c>
      <c r="G1235" s="11" t="s">
        <v>139</v>
      </c>
    </row>
    <row r="1236" ht="22.5" customHeight="1">
      <c r="A1236" s="10">
        <v>45992.31689623842</v>
      </c>
      <c r="B1236" s="11" t="s">
        <v>20</v>
      </c>
      <c r="C1236" s="11">
        <v>100.0</v>
      </c>
      <c r="D1236" s="11" t="s">
        <v>127</v>
      </c>
      <c r="H1236" s="11" t="s">
        <v>24</v>
      </c>
      <c r="M1236" s="11" t="s">
        <v>25</v>
      </c>
    </row>
    <row r="1237" ht="22.5" customHeight="1">
      <c r="A1237" s="10">
        <v>45992.320623611115</v>
      </c>
      <c r="B1237" s="11" t="s">
        <v>20</v>
      </c>
      <c r="C1237" s="11">
        <v>794.0</v>
      </c>
      <c r="D1237" s="11" t="s">
        <v>141</v>
      </c>
      <c r="H1237" s="11" t="s">
        <v>26</v>
      </c>
      <c r="J1237" s="11" t="s">
        <v>50</v>
      </c>
    </row>
    <row r="1238" ht="22.5" customHeight="1">
      <c r="A1238" s="10">
        <v>45993.904973310186</v>
      </c>
      <c r="B1238" s="11" t="s">
        <v>20</v>
      </c>
      <c r="C1238" s="11">
        <v>123.0</v>
      </c>
      <c r="D1238" s="11" t="s">
        <v>128</v>
      </c>
      <c r="H1238" s="11" t="s">
        <v>21</v>
      </c>
      <c r="L1238" s="11" t="s">
        <v>23</v>
      </c>
    </row>
    <row r="1239" ht="22.5" customHeight="1">
      <c r="A1239" s="10">
        <v>45993.9051135301</v>
      </c>
      <c r="B1239" s="11" t="s">
        <v>20</v>
      </c>
      <c r="C1239" s="11">
        <v>32.0</v>
      </c>
      <c r="D1239" s="11" t="s">
        <v>128</v>
      </c>
      <c r="H1239" s="11" t="s">
        <v>28</v>
      </c>
      <c r="I1239" s="11" t="s">
        <v>35</v>
      </c>
    </row>
    <row r="1240" ht="22.5" customHeight="1">
      <c r="A1240" s="10">
        <v>45994.77449885417</v>
      </c>
      <c r="B1240" s="11" t="s">
        <v>20</v>
      </c>
      <c r="C1240" s="11">
        <v>169.0</v>
      </c>
      <c r="D1240" s="11" t="s">
        <v>128</v>
      </c>
      <c r="H1240" s="11" t="s">
        <v>28</v>
      </c>
      <c r="I1240" s="11" t="s">
        <v>30</v>
      </c>
    </row>
    <row r="1241" ht="22.5" customHeight="1">
      <c r="A1241" s="10">
        <v>45998.36816802083</v>
      </c>
      <c r="B1241" s="11" t="s">
        <v>20</v>
      </c>
      <c r="C1241" s="11">
        <v>110.0</v>
      </c>
      <c r="D1241" s="11" t="s">
        <v>141</v>
      </c>
      <c r="H1241" s="11" t="s">
        <v>24</v>
      </c>
      <c r="M1241" s="11" t="s">
        <v>25</v>
      </c>
    </row>
    <row r="1242" ht="22.5" customHeight="1">
      <c r="A1242" s="10">
        <v>45998.36840634259</v>
      </c>
      <c r="B1242" s="11" t="s">
        <v>20</v>
      </c>
      <c r="C1242" s="11">
        <v>288.0</v>
      </c>
      <c r="D1242" s="11" t="s">
        <v>127</v>
      </c>
      <c r="H1242" s="11" t="s">
        <v>28</v>
      </c>
      <c r="I1242" s="11" t="s">
        <v>30</v>
      </c>
    </row>
    <row r="1243" ht="22.5" customHeight="1">
      <c r="A1243" s="10">
        <v>45998.606510972226</v>
      </c>
      <c r="B1243" s="11" t="s">
        <v>20</v>
      </c>
      <c r="C1243" s="11">
        <v>2845.0</v>
      </c>
      <c r="D1243" s="11" t="s">
        <v>128</v>
      </c>
      <c r="H1243" s="11" t="s">
        <v>28</v>
      </c>
      <c r="I1243" s="11" t="s">
        <v>44</v>
      </c>
    </row>
    <row r="1244" ht="22.5" customHeight="1">
      <c r="A1244" s="10">
        <v>45998.606762118055</v>
      </c>
      <c r="B1244" s="11" t="s">
        <v>20</v>
      </c>
      <c r="C1244" s="11">
        <v>150.0</v>
      </c>
      <c r="D1244" s="11" t="s">
        <v>128</v>
      </c>
      <c r="H1244" s="11" t="s">
        <v>21</v>
      </c>
      <c r="L1244" s="11" t="s">
        <v>31</v>
      </c>
    </row>
    <row r="1245" ht="22.5" customHeight="1">
      <c r="A1245" s="10">
        <v>45998.87978318287</v>
      </c>
      <c r="B1245" s="11" t="s">
        <v>20</v>
      </c>
      <c r="C1245" s="11">
        <v>55.0</v>
      </c>
      <c r="D1245" s="11" t="s">
        <v>128</v>
      </c>
      <c r="H1245" s="11" t="s">
        <v>28</v>
      </c>
      <c r="I1245" s="11" t="s">
        <v>43</v>
      </c>
    </row>
    <row r="1246" ht="22.5" customHeight="1">
      <c r="A1246" s="10">
        <v>45998.8800034375</v>
      </c>
      <c r="B1246" s="11" t="s">
        <v>20</v>
      </c>
      <c r="C1246" s="11">
        <v>580.0</v>
      </c>
      <c r="D1246" s="11" t="s">
        <v>128</v>
      </c>
      <c r="H1246" s="11" t="s">
        <v>21</v>
      </c>
      <c r="L1246" s="11" t="s">
        <v>23</v>
      </c>
    </row>
    <row r="1247" ht="22.5" customHeight="1">
      <c r="A1247" s="10">
        <v>45999.950583067126</v>
      </c>
      <c r="B1247" s="11" t="s">
        <v>38</v>
      </c>
      <c r="C1247" s="11">
        <v>107300.0</v>
      </c>
      <c r="D1247" s="11" t="s">
        <v>128</v>
      </c>
      <c r="E1247" s="11" t="s">
        <v>61</v>
      </c>
      <c r="F1247" s="11" t="s">
        <v>62</v>
      </c>
    </row>
    <row r="1248" ht="22.5" customHeight="1">
      <c r="A1248" s="10">
        <v>45999.95089694444</v>
      </c>
      <c r="B1248" s="11" t="s">
        <v>38</v>
      </c>
      <c r="C1248" s="11">
        <v>25000.0</v>
      </c>
      <c r="D1248" s="11" t="s">
        <v>128</v>
      </c>
      <c r="E1248" s="11" t="s">
        <v>61</v>
      </c>
      <c r="F1248" s="11" t="s">
        <v>63</v>
      </c>
      <c r="S1248" s="11" t="s">
        <v>323</v>
      </c>
      <c r="T1248" s="11" t="s">
        <v>42</v>
      </c>
    </row>
    <row r="1249" ht="22.5" customHeight="1">
      <c r="A1249" s="10">
        <v>45999.95140508102</v>
      </c>
      <c r="B1249" s="11" t="s">
        <v>20</v>
      </c>
      <c r="C1249" s="11">
        <v>4292.0</v>
      </c>
      <c r="D1249" s="11" t="s">
        <v>128</v>
      </c>
      <c r="H1249" s="11" t="s">
        <v>59</v>
      </c>
      <c r="R1249" s="11" t="s">
        <v>60</v>
      </c>
    </row>
    <row r="1250" ht="22.5" customHeight="1">
      <c r="A1250" s="10">
        <v>45999.9517083449</v>
      </c>
      <c r="B1250" s="11" t="s">
        <v>20</v>
      </c>
      <c r="C1250" s="11">
        <v>1179.0</v>
      </c>
      <c r="D1250" s="11" t="s">
        <v>128</v>
      </c>
      <c r="H1250" s="11" t="s">
        <v>28</v>
      </c>
      <c r="I1250" s="11" t="s">
        <v>33</v>
      </c>
    </row>
    <row r="1251" ht="22.5" customHeight="1">
      <c r="A1251" s="10">
        <v>45999.9522407176</v>
      </c>
      <c r="B1251" s="11" t="s">
        <v>20</v>
      </c>
      <c r="C1251" s="11">
        <v>6729.0</v>
      </c>
      <c r="D1251" s="11" t="s">
        <v>128</v>
      </c>
      <c r="H1251" s="11" t="s">
        <v>57</v>
      </c>
      <c r="N1251" s="11" t="s">
        <v>58</v>
      </c>
    </row>
    <row r="1252" ht="22.5" customHeight="1">
      <c r="A1252" s="10">
        <v>45999.95254532408</v>
      </c>
      <c r="B1252" s="11" t="s">
        <v>20</v>
      </c>
      <c r="C1252" s="11">
        <v>537.0</v>
      </c>
      <c r="D1252" s="11" t="s">
        <v>128</v>
      </c>
      <c r="H1252" s="11" t="s">
        <v>24</v>
      </c>
      <c r="M1252" s="11" t="s">
        <v>32</v>
      </c>
    </row>
    <row r="1253" ht="22.5" customHeight="1">
      <c r="A1253" s="10">
        <v>45999.95277079861</v>
      </c>
      <c r="B1253" s="11" t="s">
        <v>20</v>
      </c>
      <c r="C1253" s="11">
        <v>3500.0</v>
      </c>
      <c r="D1253" s="11" t="s">
        <v>128</v>
      </c>
      <c r="H1253" s="11" t="s">
        <v>57</v>
      </c>
      <c r="N1253" s="11" t="s">
        <v>75</v>
      </c>
    </row>
    <row r="1254" ht="22.5" customHeight="1">
      <c r="A1254" s="10">
        <v>45999.9538478125</v>
      </c>
      <c r="B1254" s="11" t="s">
        <v>20</v>
      </c>
      <c r="C1254" s="11">
        <v>95.0</v>
      </c>
      <c r="D1254" s="11">
        <v>2.025113E7</v>
      </c>
      <c r="H1254" s="11" t="s">
        <v>21</v>
      </c>
      <c r="L1254" s="11" t="s">
        <v>31</v>
      </c>
    </row>
    <row r="1255" ht="22.5" customHeight="1">
      <c r="A1255" s="10">
        <v>45999.95454773148</v>
      </c>
      <c r="B1255" s="11" t="s">
        <v>38</v>
      </c>
      <c r="C1255" s="11">
        <v>2520.0</v>
      </c>
      <c r="D1255" s="11">
        <v>2.0251114E7</v>
      </c>
      <c r="E1255" s="11" t="s">
        <v>39</v>
      </c>
      <c r="G1255" s="11" t="s">
        <v>40</v>
      </c>
      <c r="S1255" s="11" t="s">
        <v>184</v>
      </c>
      <c r="T1255" s="11" t="s">
        <v>42</v>
      </c>
    </row>
    <row r="1256" ht="22.5" customHeight="1">
      <c r="A1256" s="10">
        <v>46000.95591655093</v>
      </c>
      <c r="B1256" s="11" t="s">
        <v>20</v>
      </c>
      <c r="C1256" s="11">
        <v>32.0</v>
      </c>
      <c r="D1256" s="11" t="s">
        <v>128</v>
      </c>
      <c r="H1256" s="11" t="s">
        <v>28</v>
      </c>
      <c r="I1256" s="11" t="s">
        <v>35</v>
      </c>
    </row>
    <row r="1257" ht="22.5" customHeight="1">
      <c r="A1257" s="10">
        <v>46001.89044166666</v>
      </c>
      <c r="B1257" s="11" t="s">
        <v>20</v>
      </c>
      <c r="C1257" s="11">
        <v>98.0</v>
      </c>
      <c r="D1257" s="11" t="s">
        <v>128</v>
      </c>
      <c r="H1257" s="11" t="s">
        <v>28</v>
      </c>
      <c r="I1257" s="11" t="s">
        <v>35</v>
      </c>
    </row>
    <row r="1258" ht="22.5" customHeight="1">
      <c r="A1258" s="10">
        <v>46002.87516329861</v>
      </c>
      <c r="B1258" s="11" t="s">
        <v>20</v>
      </c>
      <c r="C1258" s="11">
        <v>50.0</v>
      </c>
      <c r="D1258" s="11" t="s">
        <v>128</v>
      </c>
      <c r="H1258" s="11" t="s">
        <v>28</v>
      </c>
      <c r="I1258" s="11" t="s">
        <v>35</v>
      </c>
    </row>
    <row r="1259" ht="22.5" customHeight="1">
      <c r="A1259" s="10">
        <v>46004.948056875</v>
      </c>
      <c r="B1259" s="11" t="s">
        <v>20</v>
      </c>
      <c r="C1259" s="11">
        <v>60.0</v>
      </c>
      <c r="D1259" s="11" t="s">
        <v>128</v>
      </c>
      <c r="H1259" s="11" t="s">
        <v>28</v>
      </c>
      <c r="I1259" s="11" t="s">
        <v>29</v>
      </c>
    </row>
    <row r="1260" ht="22.5" customHeight="1">
      <c r="A1260" s="10">
        <v>46004.94822564815</v>
      </c>
      <c r="B1260" s="11" t="s">
        <v>20</v>
      </c>
      <c r="C1260" s="11">
        <v>2000.0</v>
      </c>
      <c r="D1260" s="11" t="s">
        <v>128</v>
      </c>
      <c r="H1260" s="11" t="s">
        <v>24</v>
      </c>
      <c r="M1260" s="11" t="s">
        <v>45</v>
      </c>
    </row>
    <row r="1261" ht="22.5" customHeight="1">
      <c r="A1261" s="10">
        <v>46004.952116064815</v>
      </c>
      <c r="B1261" s="11" t="s">
        <v>20</v>
      </c>
      <c r="C1261" s="11">
        <v>86.0</v>
      </c>
      <c r="D1261" s="11" t="s">
        <v>128</v>
      </c>
      <c r="H1261" s="11" t="s">
        <v>21</v>
      </c>
      <c r="L1261" s="11" t="s">
        <v>31</v>
      </c>
    </row>
    <row r="1262" ht="22.5" customHeight="1">
      <c r="A1262" s="10">
        <v>46005.40384371528</v>
      </c>
      <c r="B1262" s="11" t="s">
        <v>20</v>
      </c>
      <c r="C1262" s="11">
        <v>6723.0</v>
      </c>
      <c r="D1262" s="11" t="s">
        <v>128</v>
      </c>
      <c r="H1262" s="11" t="s">
        <v>26</v>
      </c>
      <c r="J1262" s="11" t="s">
        <v>27</v>
      </c>
      <c r="S1262" s="11" t="s">
        <v>324</v>
      </c>
      <c r="T1262" s="11" t="s">
        <v>86</v>
      </c>
    </row>
    <row r="1263" ht="22.5" customHeight="1">
      <c r="A1263" s="10">
        <v>46005.495151967596</v>
      </c>
      <c r="B1263" s="11" t="s">
        <v>20</v>
      </c>
      <c r="C1263" s="11">
        <v>84.0</v>
      </c>
      <c r="D1263" s="11" t="s">
        <v>128</v>
      </c>
      <c r="H1263" s="11" t="s">
        <v>28</v>
      </c>
      <c r="I1263" s="11" t="s">
        <v>44</v>
      </c>
    </row>
    <row r="1264" ht="22.5" customHeight="1">
      <c r="A1264" s="10">
        <v>46006.30510828704</v>
      </c>
      <c r="B1264" s="11" t="s">
        <v>20</v>
      </c>
      <c r="C1264" s="11">
        <v>699.0</v>
      </c>
      <c r="D1264" s="11" t="s">
        <v>128</v>
      </c>
      <c r="H1264" s="11" t="s">
        <v>21</v>
      </c>
      <c r="L1264" s="11" t="s">
        <v>46</v>
      </c>
    </row>
    <row r="1265" ht="22.5" customHeight="1">
      <c r="A1265" s="10">
        <v>46006.30692607639</v>
      </c>
      <c r="B1265" s="11" t="s">
        <v>20</v>
      </c>
      <c r="C1265" s="11">
        <v>280.0</v>
      </c>
      <c r="D1265" s="11" t="s">
        <v>127</v>
      </c>
      <c r="H1265" s="11" t="s">
        <v>21</v>
      </c>
      <c r="L1265" s="11" t="s">
        <v>23</v>
      </c>
    </row>
    <row r="1266" ht="22.5" customHeight="1">
      <c r="A1266" s="10">
        <v>46006.30709530093</v>
      </c>
      <c r="B1266" s="11" t="s">
        <v>20</v>
      </c>
      <c r="C1266" s="11">
        <v>350.0</v>
      </c>
      <c r="D1266" s="11" t="s">
        <v>127</v>
      </c>
      <c r="H1266" s="11" t="s">
        <v>28</v>
      </c>
      <c r="I1266" s="11" t="s">
        <v>34</v>
      </c>
    </row>
    <row r="1267" ht="22.5" customHeight="1">
      <c r="A1267" s="10">
        <v>46006.30730670139</v>
      </c>
      <c r="B1267" s="11" t="s">
        <v>20</v>
      </c>
      <c r="C1267" s="11">
        <v>702.0</v>
      </c>
      <c r="D1267" s="11" t="s">
        <v>127</v>
      </c>
      <c r="H1267" s="11" t="s">
        <v>21</v>
      </c>
      <c r="L1267" s="11" t="s">
        <v>23</v>
      </c>
    </row>
    <row r="1268" ht="22.5" customHeight="1">
      <c r="A1268" s="10">
        <v>46006.30748510417</v>
      </c>
      <c r="B1268" s="11" t="s">
        <v>20</v>
      </c>
      <c r="C1268" s="11">
        <v>84.0</v>
      </c>
      <c r="D1268" s="11" t="s">
        <v>127</v>
      </c>
      <c r="H1268" s="11" t="s">
        <v>28</v>
      </c>
      <c r="I1268" s="11" t="s">
        <v>30</v>
      </c>
    </row>
    <row r="1269" ht="22.5" customHeight="1">
      <c r="A1269" s="10">
        <v>46009.889535821756</v>
      </c>
      <c r="B1269" s="11" t="s">
        <v>20</v>
      </c>
      <c r="C1269" s="11">
        <v>117.0</v>
      </c>
      <c r="D1269" s="11" t="s">
        <v>128</v>
      </c>
      <c r="H1269" s="11" t="s">
        <v>21</v>
      </c>
      <c r="L1269" s="11" t="s">
        <v>23</v>
      </c>
    </row>
    <row r="1270" ht="22.5" customHeight="1">
      <c r="A1270" s="10">
        <v>46010.8116577662</v>
      </c>
      <c r="B1270" s="11" t="s">
        <v>20</v>
      </c>
      <c r="C1270" s="11">
        <v>958.0</v>
      </c>
      <c r="D1270" s="11" t="s">
        <v>128</v>
      </c>
      <c r="H1270" s="11" t="s">
        <v>24</v>
      </c>
      <c r="M1270" s="11" t="s">
        <v>54</v>
      </c>
      <c r="S1270" s="11" t="s">
        <v>325</v>
      </c>
    </row>
    <row r="1271" ht="22.5" customHeight="1">
      <c r="A1271" s="10">
        <v>46013.73590932871</v>
      </c>
      <c r="B1271" s="11" t="s">
        <v>20</v>
      </c>
      <c r="C1271" s="11">
        <v>189.0</v>
      </c>
      <c r="D1271" s="11" t="s">
        <v>128</v>
      </c>
      <c r="H1271" s="11" t="s">
        <v>28</v>
      </c>
      <c r="I1271" s="11" t="s">
        <v>43</v>
      </c>
    </row>
    <row r="1272" ht="22.5" customHeight="1">
      <c r="A1272" s="10">
        <v>46013.73608070602</v>
      </c>
      <c r="B1272" s="11" t="s">
        <v>20</v>
      </c>
      <c r="C1272" s="11">
        <v>486.0</v>
      </c>
      <c r="D1272" s="11" t="s">
        <v>128</v>
      </c>
      <c r="H1272" s="11" t="s">
        <v>21</v>
      </c>
      <c r="L1272" s="11" t="s">
        <v>23</v>
      </c>
    </row>
    <row r="1273" ht="22.5" customHeight="1">
      <c r="A1273" s="10">
        <v>46013.73653028935</v>
      </c>
      <c r="B1273" s="11" t="s">
        <v>20</v>
      </c>
      <c r="C1273" s="11">
        <v>2000.0</v>
      </c>
      <c r="D1273" s="11" t="s">
        <v>127</v>
      </c>
      <c r="H1273" s="11" t="s">
        <v>24</v>
      </c>
      <c r="M1273" s="11" t="s">
        <v>96</v>
      </c>
      <c r="S1273" s="11" t="s">
        <v>326</v>
      </c>
      <c r="T1273" s="11" t="s">
        <v>86</v>
      </c>
    </row>
    <row r="1274" ht="22.5" customHeight="1">
      <c r="A1274" s="10">
        <v>46013.73670105324</v>
      </c>
      <c r="B1274" s="11" t="s">
        <v>20</v>
      </c>
      <c r="C1274" s="11">
        <v>200.0</v>
      </c>
      <c r="D1274" s="11" t="s">
        <v>127</v>
      </c>
      <c r="H1274" s="11" t="s">
        <v>24</v>
      </c>
      <c r="M1274" s="11" t="s">
        <v>49</v>
      </c>
    </row>
    <row r="1275" ht="22.5" customHeight="1">
      <c r="A1275" s="10">
        <v>46013.73706849537</v>
      </c>
      <c r="B1275" s="11" t="s">
        <v>20</v>
      </c>
      <c r="C1275" s="11">
        <v>4400.0</v>
      </c>
      <c r="D1275" s="11" t="s">
        <v>127</v>
      </c>
      <c r="H1275" s="11" t="s">
        <v>16</v>
      </c>
      <c r="Q1275" s="11" t="s">
        <v>47</v>
      </c>
      <c r="S1275" s="11" t="s">
        <v>327</v>
      </c>
      <c r="T1275" s="11" t="s">
        <v>42</v>
      </c>
    </row>
    <row r="1276" ht="22.5" customHeight="1">
      <c r="A1276" s="10">
        <v>46013.73731966435</v>
      </c>
      <c r="B1276" s="11" t="s">
        <v>20</v>
      </c>
      <c r="C1276" s="11">
        <v>1015.0</v>
      </c>
      <c r="D1276" s="11" t="s">
        <v>127</v>
      </c>
      <c r="H1276" s="11" t="s">
        <v>28</v>
      </c>
      <c r="I1276" s="11" t="s">
        <v>44</v>
      </c>
    </row>
    <row r="1277" ht="22.5" customHeight="1">
      <c r="A1277" s="10">
        <v>46013.921824907404</v>
      </c>
      <c r="B1277" s="11" t="s">
        <v>20</v>
      </c>
      <c r="C1277" s="11">
        <v>1932.0</v>
      </c>
      <c r="D1277" s="11" t="s">
        <v>128</v>
      </c>
      <c r="H1277" s="11" t="s">
        <v>28</v>
      </c>
      <c r="I1277" s="11" t="s">
        <v>30</v>
      </c>
    </row>
    <row r="1278" ht="22.5" customHeight="1">
      <c r="A1278" s="10">
        <v>46015.853098865744</v>
      </c>
      <c r="B1278" s="11" t="s">
        <v>20</v>
      </c>
      <c r="C1278" s="11">
        <v>87.0</v>
      </c>
      <c r="D1278" s="11" t="s">
        <v>128</v>
      </c>
      <c r="H1278" s="11" t="s">
        <v>28</v>
      </c>
      <c r="I1278" s="11" t="s">
        <v>44</v>
      </c>
    </row>
    <row r="1279" ht="22.5" customHeight="1">
      <c r="A1279" s="10">
        <v>46016.935537893514</v>
      </c>
      <c r="B1279" s="11" t="s">
        <v>20</v>
      </c>
      <c r="C1279" s="11">
        <v>802.0</v>
      </c>
      <c r="D1279" s="11" t="s">
        <v>128</v>
      </c>
      <c r="H1279" s="11" t="s">
        <v>21</v>
      </c>
      <c r="L1279" s="11" t="s">
        <v>23</v>
      </c>
    </row>
    <row r="1280" ht="22.5" customHeight="1">
      <c r="A1280" s="10">
        <v>46018.00293162037</v>
      </c>
      <c r="B1280" s="11" t="s">
        <v>20</v>
      </c>
      <c r="C1280" s="11">
        <v>732.0</v>
      </c>
      <c r="D1280" s="11" t="s">
        <v>127</v>
      </c>
      <c r="H1280" s="11" t="s">
        <v>28</v>
      </c>
      <c r="I1280" s="11" t="s">
        <v>30</v>
      </c>
    </row>
    <row r="1281" ht="22.5" customHeight="1">
      <c r="A1281" s="10">
        <v>46018.00422765047</v>
      </c>
      <c r="B1281" s="11" t="s">
        <v>20</v>
      </c>
      <c r="C1281" s="11">
        <v>2000.0</v>
      </c>
      <c r="D1281" s="11" t="s">
        <v>128</v>
      </c>
      <c r="H1281" s="11" t="s">
        <v>16</v>
      </c>
      <c r="Q1281" s="11" t="s">
        <v>47</v>
      </c>
      <c r="S1281" s="11" t="s">
        <v>328</v>
      </c>
    </row>
    <row r="1282" ht="22.5" customHeight="1">
      <c r="A1282" s="10">
        <v>46018.92364407408</v>
      </c>
      <c r="B1282" s="11" t="s">
        <v>20</v>
      </c>
      <c r="C1282" s="11">
        <v>500.0</v>
      </c>
      <c r="D1282" s="11" t="s">
        <v>128</v>
      </c>
      <c r="H1282" s="11" t="s">
        <v>28</v>
      </c>
      <c r="I1282" s="11" t="s">
        <v>34</v>
      </c>
    </row>
    <row r="1283" ht="22.5" customHeight="1">
      <c r="A1283" s="10">
        <v>46018.92380347222</v>
      </c>
      <c r="B1283" s="11" t="s">
        <v>20</v>
      </c>
      <c r="C1283" s="11">
        <v>108.0</v>
      </c>
      <c r="D1283" s="11" t="s">
        <v>128</v>
      </c>
      <c r="H1283" s="11" t="s">
        <v>28</v>
      </c>
      <c r="I1283" s="11" t="s">
        <v>43</v>
      </c>
    </row>
    <row r="1284" ht="22.5" customHeight="1">
      <c r="A1284" s="10">
        <v>46018.92405403935</v>
      </c>
      <c r="B1284" s="11" t="s">
        <v>20</v>
      </c>
      <c r="C1284" s="11">
        <v>180.0</v>
      </c>
      <c r="D1284" s="11" t="s">
        <v>128</v>
      </c>
      <c r="H1284" s="11" t="s">
        <v>21</v>
      </c>
      <c r="L1284" s="11" t="s">
        <v>31</v>
      </c>
    </row>
    <row r="1285" ht="22.5" customHeight="1">
      <c r="A1285" s="10">
        <v>46018.92421538194</v>
      </c>
      <c r="B1285" s="11" t="s">
        <v>20</v>
      </c>
      <c r="C1285" s="11">
        <v>230.0</v>
      </c>
      <c r="D1285" s="11" t="s">
        <v>128</v>
      </c>
      <c r="H1285" s="11" t="s">
        <v>28</v>
      </c>
      <c r="I1285" s="11" t="s">
        <v>30</v>
      </c>
    </row>
    <row r="1286" ht="22.5" customHeight="1">
      <c r="A1286" s="10">
        <v>46019.08378217593</v>
      </c>
      <c r="B1286" s="11" t="s">
        <v>20</v>
      </c>
      <c r="C1286" s="11">
        <v>66.0</v>
      </c>
      <c r="D1286" s="11" t="s">
        <v>128</v>
      </c>
      <c r="H1286" s="11" t="s">
        <v>28</v>
      </c>
      <c r="I1286" s="11" t="s">
        <v>35</v>
      </c>
    </row>
    <row r="1287" ht="22.5" customHeight="1">
      <c r="A1287" s="10">
        <v>46019.40011798611</v>
      </c>
      <c r="B1287" s="11" t="s">
        <v>20</v>
      </c>
      <c r="C1287" s="11">
        <v>772.0</v>
      </c>
      <c r="D1287" s="11" t="s">
        <v>128</v>
      </c>
      <c r="H1287" s="11" t="s">
        <v>26</v>
      </c>
      <c r="J1287" s="11" t="s">
        <v>27</v>
      </c>
    </row>
    <row r="1288" ht="22.5" customHeight="1">
      <c r="A1288" s="10">
        <v>46020.32061255787</v>
      </c>
      <c r="B1288" s="11" t="s">
        <v>20</v>
      </c>
      <c r="C1288" s="11">
        <v>407.0</v>
      </c>
      <c r="D1288" s="11" t="s">
        <v>127</v>
      </c>
      <c r="H1288" s="11" t="s">
        <v>28</v>
      </c>
      <c r="I1288" s="11" t="s">
        <v>44</v>
      </c>
    </row>
    <row r="1289" ht="22.5" customHeight="1">
      <c r="A1289" s="10">
        <v>46020.32087821759</v>
      </c>
      <c r="B1289" s="11" t="s">
        <v>20</v>
      </c>
      <c r="C1289" s="11">
        <v>4404.0</v>
      </c>
      <c r="D1289" s="11" t="s">
        <v>127</v>
      </c>
      <c r="H1289" s="11" t="s">
        <v>28</v>
      </c>
      <c r="I1289" s="11" t="s">
        <v>34</v>
      </c>
    </row>
    <row r="1290" ht="22.5" customHeight="1">
      <c r="A1290" s="10">
        <v>46022.80498219907</v>
      </c>
      <c r="B1290" s="11" t="s">
        <v>20</v>
      </c>
      <c r="C1290" s="11">
        <v>500.0</v>
      </c>
      <c r="D1290" s="11" t="s">
        <v>128</v>
      </c>
      <c r="H1290" s="11" t="s">
        <v>28</v>
      </c>
      <c r="I1290" s="11" t="s">
        <v>30</v>
      </c>
    </row>
    <row r="1291" ht="22.5" customHeight="1">
      <c r="A1291" s="10">
        <v>46023.95125237269</v>
      </c>
      <c r="B1291" s="11" t="s">
        <v>20</v>
      </c>
      <c r="C1291" s="11">
        <v>20000.0</v>
      </c>
      <c r="D1291" s="11" t="s">
        <v>128</v>
      </c>
      <c r="H1291" s="11" t="s">
        <v>51</v>
      </c>
      <c r="K1291" s="11" t="s">
        <v>98</v>
      </c>
    </row>
    <row r="1292" ht="22.5" customHeight="1">
      <c r="A1292" s="10">
        <v>46023.95140939815</v>
      </c>
      <c r="B1292" s="11" t="s">
        <v>20</v>
      </c>
      <c r="C1292" s="11">
        <v>6000.0</v>
      </c>
      <c r="D1292" s="11" t="s">
        <v>128</v>
      </c>
      <c r="H1292" s="11" t="s">
        <v>51</v>
      </c>
      <c r="K1292" s="11" t="s">
        <v>131</v>
      </c>
    </row>
    <row r="1293" ht="22.5" customHeight="1">
      <c r="A1293" s="10">
        <v>46023.951630682874</v>
      </c>
      <c r="B1293" s="11" t="s">
        <v>38</v>
      </c>
      <c r="C1293" s="11">
        <v>6000.0</v>
      </c>
      <c r="D1293" s="11" t="s">
        <v>128</v>
      </c>
      <c r="E1293" s="11" t="s">
        <v>39</v>
      </c>
      <c r="G1293" s="11" t="s">
        <v>139</v>
      </c>
    </row>
    <row r="1294" ht="22.5" customHeight="1">
      <c r="A1294" s="10">
        <v>46023.95205165509</v>
      </c>
      <c r="B1294" s="11" t="s">
        <v>20</v>
      </c>
      <c r="C1294" s="11">
        <v>3560.0</v>
      </c>
      <c r="D1294" s="11" t="s">
        <v>128</v>
      </c>
      <c r="H1294" s="11" t="s">
        <v>28</v>
      </c>
      <c r="I1294" s="11" t="s">
        <v>34</v>
      </c>
    </row>
    <row r="1295" ht="22.5" customHeight="1">
      <c r="A1295" s="10">
        <v>46025.50075527778</v>
      </c>
      <c r="B1295" s="11" t="s">
        <v>20</v>
      </c>
      <c r="C1295" s="11">
        <v>145.0</v>
      </c>
      <c r="D1295" s="11" t="s">
        <v>128</v>
      </c>
      <c r="H1295" s="11" t="s">
        <v>28</v>
      </c>
      <c r="I1295" s="11" t="s">
        <v>29</v>
      </c>
    </row>
    <row r="1296" ht="22.5" customHeight="1">
      <c r="A1296" s="10">
        <v>46025.50088568287</v>
      </c>
      <c r="B1296" s="11" t="s">
        <v>20</v>
      </c>
      <c r="C1296" s="11">
        <v>400.0</v>
      </c>
      <c r="D1296" s="11" t="s">
        <v>128</v>
      </c>
      <c r="H1296" s="11" t="s">
        <v>28</v>
      </c>
      <c r="I1296" s="11" t="s">
        <v>34</v>
      </c>
    </row>
    <row r="1297" ht="22.5" customHeight="1">
      <c r="A1297" s="10">
        <v>46025.68480766204</v>
      </c>
      <c r="B1297" s="11" t="s">
        <v>20</v>
      </c>
      <c r="C1297" s="11">
        <v>589.0</v>
      </c>
      <c r="D1297" s="11" t="s">
        <v>128</v>
      </c>
      <c r="H1297" s="11" t="s">
        <v>21</v>
      </c>
      <c r="L1297" s="11" t="s">
        <v>23</v>
      </c>
    </row>
    <row r="1298" ht="22.5" customHeight="1">
      <c r="A1298" s="10">
        <v>46025.782589317125</v>
      </c>
      <c r="B1298" s="11" t="s">
        <v>20</v>
      </c>
      <c r="C1298" s="11">
        <v>174.0</v>
      </c>
      <c r="D1298" s="11" t="s">
        <v>127</v>
      </c>
      <c r="H1298" s="11" t="s">
        <v>24</v>
      </c>
      <c r="M1298" s="11" t="s">
        <v>25</v>
      </c>
    </row>
    <row r="1299" ht="22.5" customHeight="1">
      <c r="A1299" s="10">
        <v>46025.782872407406</v>
      </c>
      <c r="B1299" s="11" t="s">
        <v>20</v>
      </c>
      <c r="C1299" s="11">
        <v>468.0</v>
      </c>
      <c r="D1299" s="11" t="s">
        <v>127</v>
      </c>
      <c r="H1299" s="11" t="s">
        <v>28</v>
      </c>
      <c r="I1299" s="11" t="s">
        <v>30</v>
      </c>
    </row>
    <row r="1300" ht="22.5" customHeight="1">
      <c r="A1300" s="10">
        <v>46025.78346532407</v>
      </c>
      <c r="B1300" s="11" t="s">
        <v>20</v>
      </c>
      <c r="C1300" s="11">
        <v>7802.0</v>
      </c>
      <c r="D1300" s="11" t="s">
        <v>128</v>
      </c>
      <c r="H1300" s="11" t="s">
        <v>51</v>
      </c>
      <c r="K1300" s="11" t="s">
        <v>111</v>
      </c>
    </row>
    <row r="1301" ht="22.5" customHeight="1">
      <c r="A1301" s="10">
        <v>46025.9954235301</v>
      </c>
      <c r="B1301" s="11" t="s">
        <v>20</v>
      </c>
      <c r="C1301" s="11">
        <v>248.0</v>
      </c>
      <c r="D1301" s="11" t="s">
        <v>128</v>
      </c>
      <c r="H1301" s="11" t="s">
        <v>28</v>
      </c>
      <c r="I1301" s="11" t="s">
        <v>30</v>
      </c>
    </row>
    <row r="1302" ht="22.5" customHeight="1">
      <c r="A1302" s="10">
        <v>46026.80504008102</v>
      </c>
      <c r="B1302" s="11" t="s">
        <v>20</v>
      </c>
      <c r="C1302" s="11">
        <v>26583.0</v>
      </c>
      <c r="D1302" s="11" t="s">
        <v>128</v>
      </c>
      <c r="H1302" s="11" t="s">
        <v>21</v>
      </c>
      <c r="L1302" s="11" t="s">
        <v>198</v>
      </c>
      <c r="S1302" s="11" t="s">
        <v>329</v>
      </c>
      <c r="T1302" s="11" t="s">
        <v>42</v>
      </c>
    </row>
    <row r="1303" ht="22.5" customHeight="1">
      <c r="A1303" s="10">
        <v>46030.803489224534</v>
      </c>
      <c r="B1303" s="11" t="s">
        <v>20</v>
      </c>
      <c r="C1303" s="11">
        <v>104.0</v>
      </c>
      <c r="D1303" s="11" t="s">
        <v>127</v>
      </c>
      <c r="H1303" s="11" t="s">
        <v>21</v>
      </c>
      <c r="L1303" s="11" t="s">
        <v>23</v>
      </c>
    </row>
    <row r="1304" ht="22.5" customHeight="1">
      <c r="A1304" s="10">
        <v>46030.80396318287</v>
      </c>
      <c r="B1304" s="11" t="s">
        <v>20</v>
      </c>
      <c r="C1304" s="11">
        <v>350.0</v>
      </c>
      <c r="D1304" s="11" t="s">
        <v>127</v>
      </c>
      <c r="H1304" s="11" t="s">
        <v>21</v>
      </c>
      <c r="L1304" s="11" t="s">
        <v>93</v>
      </c>
    </row>
    <row r="1305" ht="22.5" customHeight="1">
      <c r="A1305" s="10">
        <v>46032.43559355324</v>
      </c>
      <c r="B1305" s="11" t="s">
        <v>20</v>
      </c>
      <c r="C1305" s="11">
        <v>162.0</v>
      </c>
      <c r="D1305" s="11" t="s">
        <v>128</v>
      </c>
      <c r="H1305" s="11" t="s">
        <v>28</v>
      </c>
      <c r="I1305" s="11" t="s">
        <v>29</v>
      </c>
    </row>
    <row r="1306" ht="22.5" customHeight="1">
      <c r="A1306" s="10">
        <v>46032.435753645834</v>
      </c>
      <c r="B1306" s="11" t="s">
        <v>20</v>
      </c>
      <c r="C1306" s="11">
        <v>80.0</v>
      </c>
      <c r="D1306" s="11" t="s">
        <v>128</v>
      </c>
      <c r="H1306" s="11" t="s">
        <v>28</v>
      </c>
      <c r="I1306" s="11" t="s">
        <v>29</v>
      </c>
    </row>
    <row r="1307" ht="22.5" customHeight="1">
      <c r="A1307" s="10">
        <v>46032.93518659723</v>
      </c>
      <c r="B1307" s="11" t="s">
        <v>20</v>
      </c>
      <c r="C1307" s="11">
        <v>140.0</v>
      </c>
      <c r="D1307" s="11" t="s">
        <v>128</v>
      </c>
      <c r="H1307" s="11" t="s">
        <v>28</v>
      </c>
      <c r="I1307" s="11" t="s">
        <v>43</v>
      </c>
    </row>
    <row r="1308" ht="22.5" customHeight="1">
      <c r="A1308" s="10">
        <v>46032.935620081014</v>
      </c>
      <c r="B1308" s="11" t="s">
        <v>20</v>
      </c>
      <c r="C1308" s="11">
        <v>300.0</v>
      </c>
      <c r="D1308" s="11" t="s">
        <v>128</v>
      </c>
      <c r="H1308" s="11" t="s">
        <v>21</v>
      </c>
      <c r="L1308" s="11" t="s">
        <v>31</v>
      </c>
    </row>
    <row r="1309" ht="22.5" customHeight="1">
      <c r="A1309" s="10">
        <v>46032.935826076384</v>
      </c>
      <c r="B1309" s="11" t="s">
        <v>20</v>
      </c>
      <c r="C1309" s="11">
        <v>125.0</v>
      </c>
      <c r="D1309" s="11" t="s">
        <v>128</v>
      </c>
      <c r="H1309" s="11" t="s">
        <v>28</v>
      </c>
      <c r="I1309" s="11" t="s">
        <v>30</v>
      </c>
    </row>
    <row r="1310" ht="22.5" customHeight="1">
      <c r="A1310" s="10">
        <v>46032.93604331018</v>
      </c>
      <c r="B1310" s="11" t="s">
        <v>20</v>
      </c>
      <c r="C1310" s="11">
        <v>130.0</v>
      </c>
      <c r="D1310" s="11" t="s">
        <v>127</v>
      </c>
      <c r="H1310" s="11" t="s">
        <v>24</v>
      </c>
      <c r="M1310" s="11" t="s">
        <v>25</v>
      </c>
    </row>
    <row r="1311" ht="22.5" customHeight="1">
      <c r="A1311" s="10">
        <v>46033.81171327546</v>
      </c>
      <c r="B1311" s="11" t="s">
        <v>20</v>
      </c>
      <c r="C1311" s="11">
        <v>3256.0</v>
      </c>
      <c r="D1311" s="11" t="s">
        <v>128</v>
      </c>
      <c r="H1311" s="11" t="s">
        <v>28</v>
      </c>
      <c r="I1311" s="11" t="s">
        <v>44</v>
      </c>
    </row>
    <row r="1312" ht="22.5" customHeight="1">
      <c r="A1312" s="10">
        <v>46034.927690972225</v>
      </c>
      <c r="B1312" s="11" t="s">
        <v>20</v>
      </c>
      <c r="C1312" s="11">
        <v>490.0</v>
      </c>
      <c r="D1312" s="11" t="s">
        <v>128</v>
      </c>
      <c r="H1312" s="11" t="s">
        <v>28</v>
      </c>
      <c r="I1312" s="11" t="s">
        <v>30</v>
      </c>
    </row>
    <row r="1313" ht="22.5" customHeight="1">
      <c r="A1313" s="10">
        <v>46034.985678032404</v>
      </c>
      <c r="B1313" s="11" t="s">
        <v>20</v>
      </c>
      <c r="C1313" s="11">
        <v>223.0</v>
      </c>
      <c r="D1313" s="11" t="s">
        <v>149</v>
      </c>
      <c r="H1313" s="11" t="s">
        <v>21</v>
      </c>
      <c r="L1313" s="11" t="s">
        <v>22</v>
      </c>
    </row>
    <row r="1314" ht="22.5" customHeight="1">
      <c r="A1314" s="10">
        <v>46035.68294895833</v>
      </c>
      <c r="B1314" s="11" t="s">
        <v>38</v>
      </c>
      <c r="C1314" s="11">
        <v>107300.0</v>
      </c>
      <c r="D1314" s="11">
        <v>2.0260105E7</v>
      </c>
      <c r="E1314" s="11" t="s">
        <v>61</v>
      </c>
      <c r="F1314" s="11" t="s">
        <v>62</v>
      </c>
    </row>
    <row r="1315" ht="22.5" customHeight="1">
      <c r="A1315" s="10">
        <v>46035.683284108796</v>
      </c>
      <c r="B1315" s="11" t="s">
        <v>38</v>
      </c>
      <c r="C1315" s="11">
        <v>447.0</v>
      </c>
      <c r="D1315" s="11">
        <v>2.0250105E7</v>
      </c>
      <c r="E1315" s="11" t="s">
        <v>61</v>
      </c>
      <c r="F1315" s="11" t="s">
        <v>63</v>
      </c>
      <c r="S1315" s="11" t="s">
        <v>330</v>
      </c>
      <c r="T1315" s="11" t="s">
        <v>42</v>
      </c>
    </row>
    <row r="1316" ht="22.5" customHeight="1">
      <c r="A1316" s="10">
        <v>46035.6842518287</v>
      </c>
      <c r="B1316" s="11" t="s">
        <v>20</v>
      </c>
      <c r="C1316" s="11">
        <v>1510.0</v>
      </c>
      <c r="D1316" s="11">
        <v>2.0260105E7</v>
      </c>
      <c r="H1316" s="11" t="s">
        <v>28</v>
      </c>
      <c r="I1316" s="11" t="s">
        <v>33</v>
      </c>
    </row>
    <row r="1317" ht="22.5" customHeight="1">
      <c r="A1317" s="10">
        <v>46035.68474341436</v>
      </c>
      <c r="B1317" s="11" t="s">
        <v>20</v>
      </c>
      <c r="C1317" s="11">
        <v>4292.0</v>
      </c>
      <c r="D1317" s="11">
        <v>2.0260105E7</v>
      </c>
      <c r="H1317" s="11" t="s">
        <v>59</v>
      </c>
      <c r="R1317" s="11" t="s">
        <v>60</v>
      </c>
    </row>
    <row r="1318" ht="22.5" customHeight="1">
      <c r="A1318" s="10">
        <v>46035.685569305555</v>
      </c>
      <c r="B1318" s="11" t="s">
        <v>20</v>
      </c>
      <c r="C1318" s="11">
        <v>6156.0</v>
      </c>
      <c r="D1318" s="11">
        <v>2.0260105E7</v>
      </c>
      <c r="H1318" s="11" t="s">
        <v>57</v>
      </c>
      <c r="N1318" s="11" t="s">
        <v>58</v>
      </c>
    </row>
    <row r="1319" ht="22.5" customHeight="1">
      <c r="A1319" s="10">
        <v>46035.68588168982</v>
      </c>
      <c r="B1319" s="11" t="s">
        <v>20</v>
      </c>
      <c r="C1319" s="11">
        <v>537.0</v>
      </c>
      <c r="D1319" s="11">
        <v>2.0260105E7</v>
      </c>
      <c r="H1319" s="11" t="s">
        <v>24</v>
      </c>
      <c r="M1319" s="11" t="s">
        <v>32</v>
      </c>
    </row>
    <row r="1320" ht="22.5" customHeight="1">
      <c r="A1320" s="10">
        <v>46035.68632865741</v>
      </c>
      <c r="B1320" s="11" t="s">
        <v>20</v>
      </c>
      <c r="C1320" s="11">
        <v>3450.0</v>
      </c>
      <c r="D1320" s="11">
        <v>2.0260105E7</v>
      </c>
      <c r="H1320" s="11" t="s">
        <v>57</v>
      </c>
      <c r="N1320" s="11" t="s">
        <v>75</v>
      </c>
    </row>
    <row r="1321" ht="22.5" customHeight="1">
      <c r="A1321" s="10">
        <v>46035.68766486111</v>
      </c>
      <c r="B1321" s="11" t="s">
        <v>20</v>
      </c>
      <c r="C1321" s="11">
        <v>800.0</v>
      </c>
      <c r="D1321" s="11">
        <v>2.0251231E7</v>
      </c>
      <c r="H1321" s="11" t="s">
        <v>21</v>
      </c>
      <c r="L1321" s="11" t="s">
        <v>77</v>
      </c>
    </row>
    <row r="1322" ht="22.5" customHeight="1">
      <c r="A1322" s="10">
        <v>46035.68820045139</v>
      </c>
      <c r="B1322" s="11" t="s">
        <v>20</v>
      </c>
      <c r="C1322" s="11">
        <v>105.0</v>
      </c>
      <c r="D1322" s="11">
        <v>2.0251231E7</v>
      </c>
      <c r="H1322" s="11" t="s">
        <v>21</v>
      </c>
      <c r="L1322" s="11" t="s">
        <v>31</v>
      </c>
    </row>
    <row r="1323" ht="22.5" customHeight="1">
      <c r="A1323" s="10">
        <v>46035.68961460648</v>
      </c>
      <c r="B1323" s="11" t="s">
        <v>20</v>
      </c>
      <c r="C1323" s="11">
        <v>1102.0</v>
      </c>
      <c r="D1323" s="11">
        <v>2.0251231E7</v>
      </c>
      <c r="H1323" s="11" t="s">
        <v>51</v>
      </c>
      <c r="K1323" s="11" t="s">
        <v>52</v>
      </c>
    </row>
    <row r="1324" ht="22.5" customHeight="1">
      <c r="A1324" s="10">
        <v>46035.70353976852</v>
      </c>
      <c r="B1324" s="11" t="s">
        <v>20</v>
      </c>
      <c r="C1324" s="11">
        <v>221.0</v>
      </c>
      <c r="D1324" s="11" t="s">
        <v>128</v>
      </c>
      <c r="H1324" s="11" t="s">
        <v>28</v>
      </c>
      <c r="I1324" s="11" t="s">
        <v>44</v>
      </c>
    </row>
    <row r="1325" ht="22.5" customHeight="1">
      <c r="A1325" s="10">
        <v>46036.97684913194</v>
      </c>
      <c r="B1325" s="11" t="s">
        <v>20</v>
      </c>
      <c r="C1325" s="11">
        <v>658.0</v>
      </c>
      <c r="D1325" s="11" t="s">
        <v>128</v>
      </c>
      <c r="H1325" s="11" t="s">
        <v>21</v>
      </c>
      <c r="L1325" s="11" t="s">
        <v>23</v>
      </c>
    </row>
    <row r="1326" ht="22.5" customHeight="1">
      <c r="A1326" s="10">
        <v>46038.77539412037</v>
      </c>
      <c r="B1326" s="11" t="s">
        <v>20</v>
      </c>
      <c r="C1326" s="11">
        <v>1025.0</v>
      </c>
      <c r="D1326" s="11" t="s">
        <v>128</v>
      </c>
      <c r="H1326" s="11" t="s">
        <v>21</v>
      </c>
      <c r="L1326" s="11" t="s">
        <v>36</v>
      </c>
    </row>
    <row r="1327" ht="22.5" customHeight="1">
      <c r="A1327" s="10">
        <v>46040.99653049769</v>
      </c>
      <c r="B1327" s="11" t="s">
        <v>20</v>
      </c>
      <c r="C1327" s="11">
        <v>460.0</v>
      </c>
      <c r="D1327" s="11" t="s">
        <v>128</v>
      </c>
      <c r="H1327" s="11" t="s">
        <v>28</v>
      </c>
      <c r="I1327" s="11" t="s">
        <v>30</v>
      </c>
    </row>
    <row r="1328" ht="22.5" customHeight="1">
      <c r="A1328" s="10">
        <v>46040.996710046296</v>
      </c>
      <c r="B1328" s="11" t="s">
        <v>20</v>
      </c>
      <c r="C1328" s="11">
        <v>174.0</v>
      </c>
      <c r="D1328" s="11" t="s">
        <v>128</v>
      </c>
      <c r="H1328" s="11" t="s">
        <v>28</v>
      </c>
      <c r="I1328" s="11" t="s">
        <v>34</v>
      </c>
    </row>
    <row r="1329" ht="22.5" customHeight="1">
      <c r="A1329" s="10">
        <v>46040.99692160879</v>
      </c>
      <c r="B1329" s="11" t="s">
        <v>20</v>
      </c>
      <c r="C1329" s="11">
        <v>250.0</v>
      </c>
      <c r="D1329" s="11" t="s">
        <v>128</v>
      </c>
      <c r="H1329" s="11" t="s">
        <v>21</v>
      </c>
      <c r="L1329" s="11" t="s">
        <v>176</v>
      </c>
    </row>
    <row r="1330" ht="22.5" customHeight="1">
      <c r="A1330" s="10">
        <v>46040.997120416665</v>
      </c>
      <c r="B1330" s="11" t="s">
        <v>20</v>
      </c>
      <c r="C1330" s="11">
        <v>318.0</v>
      </c>
      <c r="D1330" s="11" t="s">
        <v>128</v>
      </c>
      <c r="H1330" s="11" t="s">
        <v>21</v>
      </c>
      <c r="L1330" s="11" t="s">
        <v>23</v>
      </c>
    </row>
    <row r="1331" ht="22.5" customHeight="1">
      <c r="A1331" s="10">
        <v>46040.99786300926</v>
      </c>
      <c r="B1331" s="11" t="s">
        <v>20</v>
      </c>
      <c r="C1331" s="11">
        <v>765.0</v>
      </c>
      <c r="D1331" s="11" t="s">
        <v>128</v>
      </c>
      <c r="H1331" s="11" t="s">
        <v>21</v>
      </c>
      <c r="L1331" s="11" t="s">
        <v>36</v>
      </c>
    </row>
    <row r="1332" ht="22.5" customHeight="1">
      <c r="A1332" s="10">
        <v>46041.3807674537</v>
      </c>
      <c r="B1332" s="11" t="s">
        <v>20</v>
      </c>
      <c r="C1332" s="11">
        <v>200.0</v>
      </c>
      <c r="D1332" s="11" t="s">
        <v>128</v>
      </c>
      <c r="H1332" s="11" t="s">
        <v>94</v>
      </c>
      <c r="O1332" s="11" t="s">
        <v>153</v>
      </c>
    </row>
    <row r="1333" ht="22.5" customHeight="1">
      <c r="A1333" s="10">
        <v>46041.3809174537</v>
      </c>
      <c r="B1333" s="11" t="s">
        <v>20</v>
      </c>
      <c r="C1333" s="11">
        <v>250.0</v>
      </c>
      <c r="D1333" s="11" t="s">
        <v>128</v>
      </c>
      <c r="H1333" s="11" t="s">
        <v>94</v>
      </c>
      <c r="O1333" s="11" t="s">
        <v>153</v>
      </c>
    </row>
    <row r="1334" ht="22.5" customHeight="1">
      <c r="A1334" s="10">
        <v>46041.38105847222</v>
      </c>
      <c r="B1334" s="11" t="s">
        <v>20</v>
      </c>
      <c r="C1334" s="11">
        <v>120.0</v>
      </c>
      <c r="D1334" s="11" t="s">
        <v>128</v>
      </c>
      <c r="H1334" s="11" t="s">
        <v>28</v>
      </c>
      <c r="I1334" s="11" t="s">
        <v>29</v>
      </c>
    </row>
    <row r="1335" ht="22.5" customHeight="1">
      <c r="A1335" s="10">
        <v>46045.93709162037</v>
      </c>
      <c r="B1335" s="11" t="s">
        <v>20</v>
      </c>
      <c r="C1335" s="11">
        <v>851.0</v>
      </c>
      <c r="D1335" s="11" t="s">
        <v>128</v>
      </c>
      <c r="H1335" s="11" t="s">
        <v>21</v>
      </c>
      <c r="L1335" s="11" t="s">
        <v>198</v>
      </c>
      <c r="S1335" s="11" t="s">
        <v>191</v>
      </c>
      <c r="T1335" s="11" t="s">
        <v>86</v>
      </c>
    </row>
    <row r="1336" ht="22.5" customHeight="1">
      <c r="A1336" s="10">
        <v>46047.06979497685</v>
      </c>
      <c r="B1336" s="11" t="s">
        <v>20</v>
      </c>
      <c r="C1336" s="11">
        <v>325.0</v>
      </c>
      <c r="D1336" s="11" t="s">
        <v>127</v>
      </c>
      <c r="H1336" s="11" t="s">
        <v>28</v>
      </c>
      <c r="I1336" s="11" t="s">
        <v>34</v>
      </c>
    </row>
    <row r="1337" ht="22.5" customHeight="1">
      <c r="A1337" s="10">
        <v>46047.67492380787</v>
      </c>
      <c r="B1337" s="11" t="s">
        <v>20</v>
      </c>
      <c r="C1337" s="11">
        <v>350.0</v>
      </c>
      <c r="D1337" s="11" t="s">
        <v>128</v>
      </c>
      <c r="H1337" s="11" t="s">
        <v>28</v>
      </c>
      <c r="I1337" s="11" t="s">
        <v>44</v>
      </c>
    </row>
    <row r="1338" ht="22.5" customHeight="1">
      <c r="A1338" s="10">
        <v>46047.788685277774</v>
      </c>
      <c r="B1338" s="11" t="s">
        <v>20</v>
      </c>
      <c r="C1338" s="11">
        <v>1207.0</v>
      </c>
      <c r="D1338" s="11" t="s">
        <v>128</v>
      </c>
      <c r="H1338" s="11" t="s">
        <v>28</v>
      </c>
      <c r="I1338" s="11" t="s">
        <v>34</v>
      </c>
    </row>
    <row r="1339" ht="22.5" customHeight="1">
      <c r="A1339" s="10">
        <v>46049.92726142361</v>
      </c>
      <c r="B1339" s="11" t="s">
        <v>20</v>
      </c>
      <c r="C1339" s="11">
        <v>123.0</v>
      </c>
      <c r="D1339" s="11" t="s">
        <v>128</v>
      </c>
      <c r="H1339" s="11" t="s">
        <v>21</v>
      </c>
      <c r="L1339" s="11" t="s">
        <v>23</v>
      </c>
    </row>
    <row r="1340" ht="22.5" customHeight="1">
      <c r="A1340" s="10">
        <v>46049.92873428241</v>
      </c>
      <c r="B1340" s="11" t="s">
        <v>20</v>
      </c>
      <c r="C1340" s="11">
        <v>52900.0</v>
      </c>
      <c r="D1340" s="11" t="s">
        <v>128</v>
      </c>
      <c r="H1340" s="11" t="s">
        <v>16</v>
      </c>
      <c r="Q1340" s="11" t="s">
        <v>331</v>
      </c>
      <c r="S1340" s="11" t="s">
        <v>332</v>
      </c>
      <c r="T1340" s="11" t="s">
        <v>42</v>
      </c>
    </row>
    <row r="1341" ht="22.5" customHeight="1">
      <c r="A1341" s="10">
        <v>46050.62525824074</v>
      </c>
      <c r="B1341" s="11" t="s">
        <v>20</v>
      </c>
      <c r="C1341" s="11">
        <v>788.0</v>
      </c>
      <c r="D1341" s="11" t="s">
        <v>128</v>
      </c>
      <c r="H1341" s="11" t="s">
        <v>26</v>
      </c>
      <c r="J1341" s="11" t="s">
        <v>50</v>
      </c>
    </row>
    <row r="1342" ht="22.5" customHeight="1">
      <c r="A1342" s="10">
        <v>46051.98995846065</v>
      </c>
      <c r="B1342" s="11" t="s">
        <v>38</v>
      </c>
      <c r="C1342" s="11">
        <v>934600.0</v>
      </c>
      <c r="D1342" s="11" t="s">
        <v>128</v>
      </c>
      <c r="E1342" s="11" t="s">
        <v>39</v>
      </c>
      <c r="G1342" s="11" t="s">
        <v>79</v>
      </c>
      <c r="S1342" s="11" t="s">
        <v>333</v>
      </c>
      <c r="T1342" s="11" t="s">
        <v>42</v>
      </c>
    </row>
    <row r="1343" ht="22.5" customHeight="1">
      <c r="A1343" s="10">
        <v>46052.59792002315</v>
      </c>
      <c r="B1343" s="11" t="s">
        <v>20</v>
      </c>
      <c r="C1343" s="11">
        <v>624.0</v>
      </c>
      <c r="D1343" s="11" t="s">
        <v>128</v>
      </c>
      <c r="H1343" s="11" t="s">
        <v>51</v>
      </c>
      <c r="K1343" s="11" t="s">
        <v>185</v>
      </c>
    </row>
    <row r="1344" ht="22.5" customHeight="1">
      <c r="A1344" s="10">
        <v>46052.74762730324</v>
      </c>
      <c r="B1344" s="11" t="s">
        <v>20</v>
      </c>
      <c r="C1344" s="11">
        <v>85.0</v>
      </c>
      <c r="D1344" s="11" t="s">
        <v>128</v>
      </c>
      <c r="H1344" s="11" t="s">
        <v>21</v>
      </c>
      <c r="L1344" s="11" t="s">
        <v>23</v>
      </c>
    </row>
    <row r="1345" ht="22.5" customHeight="1">
      <c r="A1345" s="10">
        <v>46052.747790671296</v>
      </c>
      <c r="B1345" s="11" t="s">
        <v>20</v>
      </c>
      <c r="C1345" s="11">
        <v>115.0</v>
      </c>
      <c r="D1345" s="11" t="s">
        <v>128</v>
      </c>
      <c r="H1345" s="11" t="s">
        <v>28</v>
      </c>
      <c r="I1345" s="11" t="s">
        <v>30</v>
      </c>
    </row>
    <row r="1346" ht="22.5" customHeight="1">
      <c r="A1346" s="10">
        <v>46053.444249409724</v>
      </c>
      <c r="B1346" s="11" t="s">
        <v>20</v>
      </c>
      <c r="C1346" s="11">
        <v>270.0</v>
      </c>
      <c r="D1346" s="11" t="s">
        <v>127</v>
      </c>
      <c r="H1346" s="11" t="s">
        <v>28</v>
      </c>
      <c r="I1346" s="11" t="s">
        <v>44</v>
      </c>
    </row>
    <row r="1347" ht="22.5" customHeight="1">
      <c r="A1347" s="10">
        <v>46053.444403877314</v>
      </c>
      <c r="B1347" s="11" t="s">
        <v>20</v>
      </c>
      <c r="C1347" s="11">
        <v>560.0</v>
      </c>
      <c r="D1347" s="11" t="s">
        <v>127</v>
      </c>
      <c r="H1347" s="11" t="s">
        <v>28</v>
      </c>
      <c r="I1347" s="11" t="s">
        <v>35</v>
      </c>
    </row>
    <row r="1348" ht="22.5" customHeight="1">
      <c r="A1348" s="10">
        <v>46053.86423461806</v>
      </c>
      <c r="B1348" s="11" t="s">
        <v>20</v>
      </c>
      <c r="C1348" s="11">
        <v>583.0</v>
      </c>
      <c r="D1348" s="11" t="s">
        <v>128</v>
      </c>
      <c r="H1348" s="11" t="s">
        <v>21</v>
      </c>
      <c r="L1348" s="11" t="s">
        <v>23</v>
      </c>
    </row>
    <row r="1349" ht="22.5" customHeight="1">
      <c r="A1349" s="10">
        <v>46054.312426122684</v>
      </c>
      <c r="B1349" s="11" t="s">
        <v>20</v>
      </c>
      <c r="C1349" s="11">
        <v>6000.0</v>
      </c>
      <c r="D1349" s="11" t="s">
        <v>128</v>
      </c>
      <c r="H1349" s="11" t="s">
        <v>51</v>
      </c>
      <c r="K1349" s="11" t="s">
        <v>131</v>
      </c>
    </row>
    <row r="1350" ht="22.5" customHeight="1">
      <c r="A1350" s="10">
        <v>46054.31264005787</v>
      </c>
      <c r="B1350" s="11" t="s">
        <v>20</v>
      </c>
      <c r="C1350" s="11">
        <v>20000.0</v>
      </c>
      <c r="D1350" s="11" t="s">
        <v>128</v>
      </c>
      <c r="H1350" s="11" t="s">
        <v>51</v>
      </c>
      <c r="K1350" s="11" t="s">
        <v>98</v>
      </c>
    </row>
    <row r="1351" ht="22.5" customHeight="1">
      <c r="A1351" s="10">
        <v>46055.31371091436</v>
      </c>
      <c r="B1351" s="11" t="s">
        <v>38</v>
      </c>
      <c r="C1351" s="11">
        <v>6000.0</v>
      </c>
      <c r="D1351" s="11" t="s">
        <v>128</v>
      </c>
      <c r="E1351" s="11" t="s">
        <v>39</v>
      </c>
      <c r="G1351" s="11" t="s">
        <v>139</v>
      </c>
    </row>
    <row r="1352" ht="22.5" customHeight="1">
      <c r="A1352" s="10">
        <v>46057.51838454861</v>
      </c>
      <c r="B1352" s="11" t="s">
        <v>20</v>
      </c>
      <c r="C1352" s="11">
        <v>4500.0</v>
      </c>
      <c r="D1352" s="11" t="s">
        <v>128</v>
      </c>
      <c r="H1352" s="11" t="s">
        <v>21</v>
      </c>
      <c r="L1352" s="11" t="s">
        <v>176</v>
      </c>
      <c r="S1352" s="11" t="s">
        <v>334</v>
      </c>
      <c r="T1352" s="11" t="s">
        <v>42</v>
      </c>
    </row>
    <row r="1353" ht="22.5" customHeight="1">
      <c r="A1353" s="10">
        <v>46057.51858188657</v>
      </c>
      <c r="B1353" s="11" t="s">
        <v>20</v>
      </c>
      <c r="C1353" s="11">
        <v>155.0</v>
      </c>
      <c r="D1353" s="11" t="s">
        <v>128</v>
      </c>
      <c r="H1353" s="11" t="s">
        <v>28</v>
      </c>
      <c r="I1353" s="11" t="s">
        <v>29</v>
      </c>
    </row>
    <row r="1354" ht="22.5" customHeight="1">
      <c r="A1354" s="10">
        <v>46059.03760206018</v>
      </c>
      <c r="B1354" s="11" t="s">
        <v>38</v>
      </c>
      <c r="C1354" s="11">
        <v>106853.0</v>
      </c>
      <c r="D1354" s="11" t="s">
        <v>127</v>
      </c>
      <c r="E1354" s="11" t="s">
        <v>61</v>
      </c>
      <c r="F1354" s="11" t="s">
        <v>62</v>
      </c>
      <c r="S1354" s="11" t="s">
        <v>335</v>
      </c>
      <c r="T1354" s="11" t="s">
        <v>42</v>
      </c>
    </row>
    <row r="1355" ht="22.5" customHeight="1">
      <c r="A1355" s="10">
        <v>46059.03792585648</v>
      </c>
      <c r="B1355" s="11" t="s">
        <v>20</v>
      </c>
      <c r="C1355" s="11">
        <v>1630.0</v>
      </c>
      <c r="D1355" s="11" t="s">
        <v>127</v>
      </c>
      <c r="H1355" s="11" t="s">
        <v>28</v>
      </c>
      <c r="I1355" s="11" t="s">
        <v>33</v>
      </c>
    </row>
    <row r="1356" ht="22.5" customHeight="1">
      <c r="A1356" s="10">
        <v>46059.038327581016</v>
      </c>
      <c r="B1356" s="11" t="s">
        <v>20</v>
      </c>
      <c r="C1356" s="11">
        <v>4292.0</v>
      </c>
      <c r="D1356" s="11" t="s">
        <v>127</v>
      </c>
      <c r="H1356" s="11" t="s">
        <v>59</v>
      </c>
      <c r="R1356" s="11" t="s">
        <v>60</v>
      </c>
    </row>
    <row r="1357" ht="22.5" customHeight="1">
      <c r="A1357" s="10">
        <v>46059.038867361116</v>
      </c>
      <c r="B1357" s="11" t="s">
        <v>20</v>
      </c>
      <c r="C1357" s="11">
        <v>6156.0</v>
      </c>
      <c r="D1357" s="11" t="s">
        <v>127</v>
      </c>
      <c r="H1357" s="11" t="s">
        <v>57</v>
      </c>
      <c r="N1357" s="11" t="s">
        <v>58</v>
      </c>
    </row>
    <row r="1358" ht="22.5" customHeight="1">
      <c r="A1358" s="10">
        <v>46059.0390696875</v>
      </c>
      <c r="B1358" s="11" t="s">
        <v>20</v>
      </c>
      <c r="C1358" s="11">
        <v>3390.0</v>
      </c>
      <c r="D1358" s="11" t="s">
        <v>127</v>
      </c>
      <c r="H1358" s="11" t="s">
        <v>57</v>
      </c>
      <c r="N1358" s="11" t="s">
        <v>75</v>
      </c>
    </row>
    <row r="1359" ht="22.5" customHeight="1">
      <c r="A1359" s="10">
        <v>46059.039275891206</v>
      </c>
      <c r="B1359" s="11" t="s">
        <v>20</v>
      </c>
      <c r="C1359" s="11">
        <v>537.0</v>
      </c>
      <c r="D1359" s="11" t="s">
        <v>127</v>
      </c>
      <c r="H1359" s="11" t="s">
        <v>24</v>
      </c>
      <c r="M1359" s="11" t="s">
        <v>32</v>
      </c>
    </row>
    <row r="1360" ht="22.5" customHeight="1">
      <c r="A1360" s="10">
        <v>46059.04054341435</v>
      </c>
      <c r="B1360" s="11" t="s">
        <v>38</v>
      </c>
      <c r="C1360" s="11">
        <v>496487.0</v>
      </c>
      <c r="D1360" s="11" t="s">
        <v>128</v>
      </c>
      <c r="E1360" s="11" t="s">
        <v>61</v>
      </c>
      <c r="F1360" s="11" t="s">
        <v>73</v>
      </c>
      <c r="S1360" s="11" t="s">
        <v>216</v>
      </c>
      <c r="T1360" s="11" t="s">
        <v>42</v>
      </c>
    </row>
    <row r="1361" ht="22.5" customHeight="1">
      <c r="A1361" s="10">
        <v>46059.0436496412</v>
      </c>
      <c r="B1361" s="11" t="s">
        <v>38</v>
      </c>
      <c r="C1361" s="11">
        <v>4470.0</v>
      </c>
      <c r="D1361" s="11">
        <v>2.0251212E7</v>
      </c>
      <c r="E1361" s="11" t="s">
        <v>39</v>
      </c>
      <c r="G1361" s="11" t="s">
        <v>40</v>
      </c>
      <c r="S1361" s="11" t="s">
        <v>311</v>
      </c>
      <c r="T1361" s="11" t="s">
        <v>42</v>
      </c>
    </row>
    <row r="1362" ht="22.5" customHeight="1">
      <c r="A1362" s="10">
        <v>46059.04412196759</v>
      </c>
      <c r="B1362" s="11" t="s">
        <v>38</v>
      </c>
      <c r="C1362" s="11">
        <v>2520.0</v>
      </c>
      <c r="D1362" s="11">
        <v>2.0251212E7</v>
      </c>
      <c r="E1362" s="11" t="s">
        <v>39</v>
      </c>
      <c r="G1362" s="11" t="s">
        <v>40</v>
      </c>
      <c r="S1362" s="11" t="s">
        <v>184</v>
      </c>
      <c r="T1362" s="11" t="s">
        <v>42</v>
      </c>
    </row>
    <row r="1363" ht="22.5" customHeight="1">
      <c r="A1363" s="10">
        <v>46059.04461769676</v>
      </c>
      <c r="B1363" s="11" t="s">
        <v>38</v>
      </c>
      <c r="C1363" s="11">
        <v>924.0</v>
      </c>
      <c r="D1363" s="11">
        <v>2.0260113E7</v>
      </c>
      <c r="E1363" s="11" t="s">
        <v>39</v>
      </c>
      <c r="G1363" s="11" t="s">
        <v>40</v>
      </c>
      <c r="S1363" s="11" t="s">
        <v>184</v>
      </c>
      <c r="T1363" s="11" t="s">
        <v>42</v>
      </c>
    </row>
    <row r="1364" ht="22.5" customHeight="1">
      <c r="A1364" s="10">
        <v>46059.05181700231</v>
      </c>
      <c r="B1364" s="11" t="s">
        <v>20</v>
      </c>
      <c r="C1364" s="11">
        <v>204.0</v>
      </c>
      <c r="D1364" s="11">
        <v>2.0260131E7</v>
      </c>
      <c r="H1364" s="11" t="s">
        <v>21</v>
      </c>
      <c r="L1364" s="11" t="s">
        <v>31</v>
      </c>
    </row>
    <row r="1365" ht="22.5" customHeight="1">
      <c r="A1365" s="10">
        <v>46059.05304850695</v>
      </c>
      <c r="B1365" s="11" t="s">
        <v>20</v>
      </c>
      <c r="C1365" s="11">
        <v>550.0</v>
      </c>
      <c r="D1365" s="11">
        <v>2.0260131E7</v>
      </c>
      <c r="H1365" s="11" t="s">
        <v>51</v>
      </c>
      <c r="K1365" s="11" t="s">
        <v>124</v>
      </c>
    </row>
    <row r="1366" ht="22.5" customHeight="1">
      <c r="A1366" s="10">
        <v>46059.05362362268</v>
      </c>
      <c r="B1366" s="11" t="s">
        <v>20</v>
      </c>
      <c r="C1366" s="11">
        <v>197.0</v>
      </c>
      <c r="D1366" s="11">
        <v>2.0260126E7</v>
      </c>
      <c r="H1366" s="11" t="s">
        <v>51</v>
      </c>
      <c r="K1366" s="11" t="s">
        <v>90</v>
      </c>
    </row>
    <row r="1367" ht="22.5" customHeight="1">
      <c r="A1367" s="10">
        <v>46060.713195648146</v>
      </c>
      <c r="B1367" s="11" t="s">
        <v>20</v>
      </c>
      <c r="C1367" s="11">
        <v>807.0</v>
      </c>
      <c r="D1367" s="11" t="s">
        <v>128</v>
      </c>
      <c r="H1367" s="11" t="s">
        <v>28</v>
      </c>
      <c r="I1367" s="11" t="s">
        <v>34</v>
      </c>
    </row>
    <row r="1368" ht="22.5" customHeight="1">
      <c r="A1368" s="10">
        <v>46060.71341354167</v>
      </c>
      <c r="B1368" s="11" t="s">
        <v>20</v>
      </c>
      <c r="C1368" s="11">
        <v>4520.0</v>
      </c>
      <c r="D1368" s="11" t="s">
        <v>128</v>
      </c>
      <c r="H1368" s="11" t="s">
        <v>28</v>
      </c>
      <c r="I1368" s="11" t="s">
        <v>34</v>
      </c>
    </row>
    <row r="1369" ht="22.5" customHeight="1">
      <c r="A1369" s="10">
        <v>46060.713777743054</v>
      </c>
      <c r="B1369" s="11" t="s">
        <v>20</v>
      </c>
      <c r="C1369" s="11">
        <v>1515.0</v>
      </c>
      <c r="D1369" s="11" t="s">
        <v>128</v>
      </c>
      <c r="H1369" s="11" t="s">
        <v>28</v>
      </c>
      <c r="I1369" s="11" t="s">
        <v>34</v>
      </c>
      <c r="S1369" s="11" t="s">
        <v>336</v>
      </c>
      <c r="T1369" s="11" t="s">
        <v>86</v>
      </c>
    </row>
    <row r="1370" ht="22.5" customHeight="1">
      <c r="A1370" s="10">
        <v>46061.843663900465</v>
      </c>
      <c r="B1370" s="11" t="s">
        <v>20</v>
      </c>
      <c r="C1370" s="11">
        <v>520.0</v>
      </c>
      <c r="D1370" s="11" t="s">
        <v>127</v>
      </c>
      <c r="H1370" s="11" t="s">
        <v>28</v>
      </c>
      <c r="I1370" s="11" t="s">
        <v>44</v>
      </c>
    </row>
    <row r="1371" ht="22.5" customHeight="1">
      <c r="A1371" s="10">
        <v>46061.84382550926</v>
      </c>
      <c r="B1371" s="11" t="s">
        <v>20</v>
      </c>
      <c r="C1371" s="11">
        <v>1367.0</v>
      </c>
      <c r="D1371" s="11" t="s">
        <v>127</v>
      </c>
      <c r="H1371" s="11" t="s">
        <v>28</v>
      </c>
      <c r="I1371" s="11" t="s">
        <v>30</v>
      </c>
    </row>
    <row r="1372" ht="22.5" customHeight="1">
      <c r="A1372" s="10">
        <v>46061.84459142361</v>
      </c>
      <c r="B1372" s="11" t="s">
        <v>20</v>
      </c>
      <c r="C1372" s="11">
        <v>2664.0</v>
      </c>
      <c r="D1372" s="11" t="s">
        <v>127</v>
      </c>
      <c r="H1372" s="11" t="s">
        <v>28</v>
      </c>
      <c r="I1372" s="11" t="s">
        <v>126</v>
      </c>
    </row>
    <row r="1373" ht="22.5" customHeight="1">
      <c r="A1373" s="10">
        <v>46064.72884336805</v>
      </c>
      <c r="B1373" s="11" t="s">
        <v>20</v>
      </c>
      <c r="C1373" s="11">
        <v>76.0</v>
      </c>
      <c r="D1373" s="11" t="s">
        <v>141</v>
      </c>
      <c r="H1373" s="11" t="s">
        <v>26</v>
      </c>
      <c r="J1373" s="11" t="s">
        <v>27</v>
      </c>
    </row>
    <row r="1374" ht="22.5" customHeight="1">
      <c r="A1374" s="10">
        <v>46064.827213993056</v>
      </c>
      <c r="B1374" s="11" t="s">
        <v>20</v>
      </c>
      <c r="C1374" s="11">
        <v>754.0</v>
      </c>
      <c r="D1374" s="11" t="s">
        <v>128</v>
      </c>
      <c r="H1374" s="11" t="s">
        <v>21</v>
      </c>
      <c r="L1374" s="11" t="s">
        <v>23</v>
      </c>
    </row>
    <row r="1375" ht="22.5" customHeight="1">
      <c r="A1375" s="10">
        <v>46065.93262662037</v>
      </c>
      <c r="B1375" s="11" t="s">
        <v>20</v>
      </c>
      <c r="C1375" s="11">
        <v>110.0</v>
      </c>
      <c r="D1375" s="11" t="s">
        <v>128</v>
      </c>
      <c r="H1375" s="11" t="s">
        <v>21</v>
      </c>
      <c r="L1375" s="11" t="s">
        <v>23</v>
      </c>
    </row>
    <row r="1376" ht="22.5" customHeight="1">
      <c r="A1376" s="10">
        <v>46066.770741597225</v>
      </c>
      <c r="B1376" s="11" t="s">
        <v>20</v>
      </c>
      <c r="C1376" s="11">
        <v>155.0</v>
      </c>
      <c r="D1376" s="11" t="s">
        <v>128</v>
      </c>
      <c r="H1376" s="11" t="s">
        <v>28</v>
      </c>
      <c r="I1376" s="11" t="s">
        <v>44</v>
      </c>
    </row>
    <row r="1377" ht="22.5" customHeight="1">
      <c r="A1377" s="10">
        <v>46067.65362835648</v>
      </c>
      <c r="B1377" s="11" t="s">
        <v>20</v>
      </c>
      <c r="C1377" s="11">
        <v>596.0</v>
      </c>
      <c r="D1377" s="11" t="s">
        <v>128</v>
      </c>
      <c r="H1377" s="11" t="s">
        <v>28</v>
      </c>
      <c r="I1377" s="11" t="s">
        <v>126</v>
      </c>
    </row>
    <row r="1378" ht="22.5" customHeight="1">
      <c r="A1378" s="10">
        <v>46067.65437012732</v>
      </c>
      <c r="B1378" s="11" t="s">
        <v>20</v>
      </c>
      <c r="C1378" s="11">
        <v>125.0</v>
      </c>
      <c r="D1378" s="11" t="s">
        <v>128</v>
      </c>
      <c r="H1378" s="11" t="s">
        <v>28</v>
      </c>
      <c r="I1378" s="11" t="s">
        <v>44</v>
      </c>
    </row>
    <row r="1379" ht="22.5" customHeight="1">
      <c r="A1379" s="10">
        <v>46067.654538055554</v>
      </c>
      <c r="B1379" s="11" t="s">
        <v>20</v>
      </c>
      <c r="C1379" s="11">
        <v>28.0</v>
      </c>
      <c r="D1379" s="11" t="s">
        <v>128</v>
      </c>
      <c r="H1379" s="11" t="s">
        <v>26</v>
      </c>
      <c r="J1379" s="11" t="s">
        <v>27</v>
      </c>
    </row>
    <row r="1380" ht="22.5" customHeight="1">
      <c r="A1380" s="10">
        <v>46067.682545625</v>
      </c>
      <c r="B1380" s="11" t="s">
        <v>20</v>
      </c>
      <c r="C1380" s="11">
        <v>40.0</v>
      </c>
      <c r="D1380" s="11" t="s">
        <v>128</v>
      </c>
      <c r="H1380" s="11" t="s">
        <v>21</v>
      </c>
      <c r="L1380" s="11" t="s">
        <v>46</v>
      </c>
    </row>
    <row r="1381" ht="22.5" customHeight="1">
      <c r="A1381" s="10">
        <v>46067.682823298615</v>
      </c>
      <c r="B1381" s="11" t="s">
        <v>20</v>
      </c>
      <c r="C1381" s="11">
        <v>765.0</v>
      </c>
      <c r="D1381" s="11" t="s">
        <v>128</v>
      </c>
      <c r="H1381" s="11" t="s">
        <v>21</v>
      </c>
      <c r="L1381" s="11" t="s">
        <v>36</v>
      </c>
    </row>
    <row r="1382" ht="22.5" customHeight="1">
      <c r="A1382" s="10">
        <v>46068.46100335648</v>
      </c>
      <c r="B1382" s="11" t="s">
        <v>20</v>
      </c>
      <c r="C1382" s="11">
        <v>170.0</v>
      </c>
      <c r="D1382" s="11" t="s">
        <v>127</v>
      </c>
      <c r="H1382" s="11" t="s">
        <v>28</v>
      </c>
      <c r="I1382" s="11" t="s">
        <v>35</v>
      </c>
    </row>
    <row r="1383" ht="22.5" customHeight="1">
      <c r="A1383" s="10">
        <v>46068.834793761576</v>
      </c>
      <c r="B1383" s="11" t="s">
        <v>20</v>
      </c>
      <c r="C1383" s="11">
        <v>1162.0</v>
      </c>
      <c r="D1383" s="11" t="s">
        <v>128</v>
      </c>
      <c r="H1383" s="11" t="s">
        <v>26</v>
      </c>
      <c r="J1383" s="11" t="s">
        <v>27</v>
      </c>
    </row>
    <row r="1384" ht="22.5" customHeight="1">
      <c r="A1384" s="10">
        <v>46068.84601234954</v>
      </c>
      <c r="B1384" s="11" t="s">
        <v>20</v>
      </c>
      <c r="C1384" s="11">
        <v>159.0</v>
      </c>
      <c r="D1384" s="11" t="s">
        <v>128</v>
      </c>
      <c r="H1384" s="11" t="s">
        <v>26</v>
      </c>
      <c r="J1384" s="11" t="s">
        <v>27</v>
      </c>
    </row>
    <row r="1385" ht="22.5" customHeight="1">
      <c r="A1385" s="10">
        <v>46071.84715082176</v>
      </c>
      <c r="B1385" s="11" t="s">
        <v>20</v>
      </c>
      <c r="C1385" s="11">
        <v>1600.0</v>
      </c>
      <c r="D1385" s="11">
        <v>2.0260201E7</v>
      </c>
      <c r="H1385" s="11" t="s">
        <v>16</v>
      </c>
      <c r="Q1385" s="11" t="s">
        <v>47</v>
      </c>
      <c r="S1385" s="11" t="s">
        <v>337</v>
      </c>
    </row>
    <row r="1386" ht="22.5" customHeight="1">
      <c r="A1386" s="10">
        <v>46072.98364527778</v>
      </c>
      <c r="B1386" s="11" t="s">
        <v>20</v>
      </c>
      <c r="C1386" s="11">
        <v>500.0</v>
      </c>
      <c r="D1386" s="11" t="s">
        <v>127</v>
      </c>
      <c r="H1386" s="11" t="s">
        <v>24</v>
      </c>
      <c r="M1386" s="11" t="s">
        <v>54</v>
      </c>
    </row>
    <row r="1387" ht="22.5" customHeight="1">
      <c r="A1387" s="10">
        <v>46072.985188425926</v>
      </c>
      <c r="B1387" s="11" t="s">
        <v>20</v>
      </c>
      <c r="C1387" s="11">
        <v>1930.0</v>
      </c>
      <c r="D1387" s="11" t="s">
        <v>128</v>
      </c>
      <c r="H1387" s="11" t="s">
        <v>28</v>
      </c>
      <c r="I1387" s="11" t="s">
        <v>44</v>
      </c>
      <c r="S1387" s="11" t="s">
        <v>338</v>
      </c>
    </row>
    <row r="1388" ht="22.5" customHeight="1">
      <c r="A1388" s="10">
        <v>46074.43386813658</v>
      </c>
      <c r="B1388" s="11" t="s">
        <v>20</v>
      </c>
      <c r="C1388" s="11">
        <v>765.0</v>
      </c>
      <c r="D1388" s="11" t="s">
        <v>128</v>
      </c>
      <c r="H1388" s="11" t="s">
        <v>21</v>
      </c>
      <c r="L1388" s="11" t="s">
        <v>36</v>
      </c>
    </row>
    <row r="1389" ht="22.5" customHeight="1">
      <c r="A1389" s="10">
        <v>46074.473988287034</v>
      </c>
      <c r="B1389" s="11" t="s">
        <v>20</v>
      </c>
      <c r="C1389" s="11">
        <v>310.0</v>
      </c>
      <c r="D1389" s="11" t="s">
        <v>128</v>
      </c>
      <c r="H1389" s="11" t="s">
        <v>28</v>
      </c>
      <c r="I1389" s="11" t="s">
        <v>34</v>
      </c>
    </row>
    <row r="1390" ht="22.5" customHeight="1">
      <c r="A1390" s="10">
        <v>46074.47415403935</v>
      </c>
      <c r="B1390" s="11" t="s">
        <v>20</v>
      </c>
      <c r="C1390" s="11">
        <v>699.0</v>
      </c>
      <c r="D1390" s="11" t="s">
        <v>128</v>
      </c>
      <c r="H1390" s="11" t="s">
        <v>21</v>
      </c>
      <c r="L1390" s="11" t="s">
        <v>46</v>
      </c>
    </row>
    <row r="1391" ht="22.5" customHeight="1">
      <c r="A1391" s="10">
        <v>46074.60823251157</v>
      </c>
      <c r="B1391" s="11" t="s">
        <v>20</v>
      </c>
      <c r="C1391" s="11">
        <v>125.0</v>
      </c>
      <c r="D1391" s="11" t="s">
        <v>128</v>
      </c>
      <c r="H1391" s="11" t="s">
        <v>28</v>
      </c>
      <c r="I1391" s="11" t="s">
        <v>44</v>
      </c>
    </row>
    <row r="1392" ht="22.5" customHeight="1">
      <c r="A1392" s="10">
        <v>46074.9647563426</v>
      </c>
      <c r="B1392" s="11" t="s">
        <v>20</v>
      </c>
      <c r="C1392" s="11">
        <v>50.0</v>
      </c>
      <c r="D1392" s="11" t="s">
        <v>128</v>
      </c>
      <c r="H1392" s="11" t="s">
        <v>28</v>
      </c>
      <c r="I1392" s="11" t="s">
        <v>30</v>
      </c>
    </row>
    <row r="1393" ht="22.5" customHeight="1">
      <c r="A1393" s="10">
        <v>46074.964929131944</v>
      </c>
      <c r="B1393" s="11" t="s">
        <v>20</v>
      </c>
      <c r="C1393" s="11">
        <v>700.0</v>
      </c>
      <c r="D1393" s="11" t="s">
        <v>128</v>
      </c>
      <c r="H1393" s="11" t="s">
        <v>28</v>
      </c>
      <c r="I1393" s="11" t="s">
        <v>30</v>
      </c>
    </row>
    <row r="1394" ht="22.5" customHeight="1">
      <c r="A1394" s="10">
        <v>46075.386263333334</v>
      </c>
      <c r="B1394" s="11" t="s">
        <v>20</v>
      </c>
      <c r="C1394" s="11">
        <v>2800.0</v>
      </c>
      <c r="D1394" s="11">
        <v>2.0260312E7</v>
      </c>
      <c r="H1394" s="11" t="s">
        <v>24</v>
      </c>
      <c r="M1394" s="11" t="s">
        <v>339</v>
      </c>
      <c r="S1394" s="11" t="s">
        <v>340</v>
      </c>
      <c r="T1394" s="11" t="s">
        <v>42</v>
      </c>
    </row>
    <row r="1395" ht="22.5" customHeight="1">
      <c r="A1395" s="10">
        <v>46075.38926008102</v>
      </c>
      <c r="B1395" s="11" t="s">
        <v>20</v>
      </c>
      <c r="C1395" s="11">
        <v>12200.0</v>
      </c>
      <c r="D1395" s="11" t="s">
        <v>128</v>
      </c>
      <c r="H1395" s="11" t="s">
        <v>16</v>
      </c>
      <c r="Q1395" s="11" t="s">
        <v>47</v>
      </c>
      <c r="S1395" s="11" t="s">
        <v>341</v>
      </c>
      <c r="T1395" s="11" t="s">
        <v>42</v>
      </c>
    </row>
    <row r="1396" ht="22.5" customHeight="1">
      <c r="A1396" s="10">
        <v>46076.34826940972</v>
      </c>
      <c r="B1396" s="11" t="s">
        <v>20</v>
      </c>
      <c r="C1396" s="11">
        <v>655.0</v>
      </c>
      <c r="D1396" s="11" t="s">
        <v>127</v>
      </c>
      <c r="H1396" s="11" t="s">
        <v>21</v>
      </c>
      <c r="L1396" s="11" t="s">
        <v>23</v>
      </c>
    </row>
    <row r="1397" ht="22.5" customHeight="1">
      <c r="A1397" s="10">
        <v>46076.979569097224</v>
      </c>
      <c r="B1397" s="11" t="s">
        <v>20</v>
      </c>
      <c r="C1397" s="11">
        <v>779.0</v>
      </c>
      <c r="D1397" s="11" t="s">
        <v>128</v>
      </c>
      <c r="H1397" s="11" t="s">
        <v>26</v>
      </c>
      <c r="J1397" s="11" t="s">
        <v>27</v>
      </c>
    </row>
    <row r="1398" ht="22.5" customHeight="1">
      <c r="A1398" s="10">
        <v>46077.893281770834</v>
      </c>
      <c r="B1398" s="11" t="s">
        <v>20</v>
      </c>
      <c r="C1398" s="11">
        <v>159.0</v>
      </c>
      <c r="D1398" s="11" t="s">
        <v>128</v>
      </c>
      <c r="H1398" s="11" t="s">
        <v>26</v>
      </c>
      <c r="J1398" s="11" t="s">
        <v>27</v>
      </c>
    </row>
    <row r="1399" ht="22.5" customHeight="1">
      <c r="A1399" s="10">
        <v>46078.00751888889</v>
      </c>
      <c r="B1399" s="11" t="s">
        <v>20</v>
      </c>
      <c r="C1399" s="11">
        <v>52.0</v>
      </c>
      <c r="D1399" s="11" t="s">
        <v>128</v>
      </c>
      <c r="H1399" s="11" t="s">
        <v>26</v>
      </c>
      <c r="J1399" s="11" t="s">
        <v>27</v>
      </c>
    </row>
    <row r="1400" ht="22.5" customHeight="1">
      <c r="A1400" s="10">
        <v>46078.00766344907</v>
      </c>
      <c r="B1400" s="11" t="s">
        <v>20</v>
      </c>
      <c r="C1400" s="11">
        <v>89.0</v>
      </c>
      <c r="D1400" s="11" t="s">
        <v>128</v>
      </c>
      <c r="H1400" s="11" t="s">
        <v>26</v>
      </c>
      <c r="J1400" s="11" t="s">
        <v>27</v>
      </c>
    </row>
    <row r="1401" ht="22.5" customHeight="1">
      <c r="A1401" s="10">
        <v>46080.620729421295</v>
      </c>
      <c r="B1401" s="11" t="s">
        <v>20</v>
      </c>
      <c r="C1401" s="11">
        <v>1025.0</v>
      </c>
      <c r="D1401" s="11" t="s">
        <v>127</v>
      </c>
      <c r="H1401" s="11" t="s">
        <v>21</v>
      </c>
      <c r="L1401" s="11" t="s">
        <v>36</v>
      </c>
    </row>
    <row r="1402" ht="22.5" customHeight="1">
      <c r="A1402" s="10">
        <v>46080.76414908565</v>
      </c>
      <c r="B1402" s="11" t="s">
        <v>20</v>
      </c>
      <c r="C1402" s="11">
        <v>230.0</v>
      </c>
      <c r="D1402" s="11" t="s">
        <v>128</v>
      </c>
      <c r="H1402" s="11" t="s">
        <v>94</v>
      </c>
      <c r="O1402" s="11" t="s">
        <v>153</v>
      </c>
    </row>
    <row r="1403" ht="22.5" customHeight="1">
      <c r="A1403" s="10">
        <v>46080.76451583333</v>
      </c>
      <c r="B1403" s="11" t="s">
        <v>20</v>
      </c>
      <c r="C1403" s="11">
        <v>288.0</v>
      </c>
      <c r="D1403" s="11" t="s">
        <v>128</v>
      </c>
      <c r="H1403" s="11" t="s">
        <v>26</v>
      </c>
      <c r="J1403" s="11" t="s">
        <v>27</v>
      </c>
    </row>
    <row r="1404" ht="22.5" customHeight="1">
      <c r="A1404" s="10">
        <v>46081.43420870371</v>
      </c>
      <c r="B1404" s="11" t="s">
        <v>20</v>
      </c>
      <c r="C1404" s="11">
        <v>982.0</v>
      </c>
      <c r="D1404" s="11">
        <v>2.0260327E7</v>
      </c>
      <c r="H1404" s="11" t="s">
        <v>21</v>
      </c>
      <c r="L1404" s="11" t="s">
        <v>22</v>
      </c>
    </row>
    <row r="1405" ht="22.5" customHeight="1">
      <c r="A1405" s="10">
        <v>46081.43484488426</v>
      </c>
      <c r="B1405" s="11" t="s">
        <v>20</v>
      </c>
      <c r="C1405" s="11">
        <v>1080.0</v>
      </c>
      <c r="D1405" s="11">
        <v>2.0260329E7</v>
      </c>
      <c r="H1405" s="11" t="s">
        <v>21</v>
      </c>
      <c r="L1405" s="11" t="s">
        <v>22</v>
      </c>
    </row>
    <row r="1406" ht="22.5" customHeight="1">
      <c r="A1406" s="10">
        <v>46081.69487230324</v>
      </c>
      <c r="B1406" s="11" t="s">
        <v>20</v>
      </c>
      <c r="C1406" s="11">
        <v>550.0</v>
      </c>
      <c r="D1406" s="11" t="s">
        <v>128</v>
      </c>
      <c r="H1406" s="11" t="s">
        <v>24</v>
      </c>
      <c r="M1406" s="11" t="s">
        <v>45</v>
      </c>
    </row>
    <row r="1407" ht="22.5" customHeight="1">
      <c r="A1407" s="10">
        <v>46081.69555325231</v>
      </c>
      <c r="B1407" s="11" t="s">
        <v>20</v>
      </c>
      <c r="C1407" s="11">
        <v>814.0</v>
      </c>
      <c r="D1407" s="11" t="s">
        <v>128</v>
      </c>
      <c r="H1407" s="11" t="s">
        <v>28</v>
      </c>
      <c r="I1407" s="11" t="s">
        <v>44</v>
      </c>
    </row>
    <row r="1408" ht="22.5" customHeight="1">
      <c r="A1408" s="10">
        <v>46081.696077939814</v>
      </c>
      <c r="B1408" s="11" t="s">
        <v>20</v>
      </c>
      <c r="C1408" s="11">
        <v>640.0</v>
      </c>
      <c r="D1408" s="11" t="s">
        <v>128</v>
      </c>
      <c r="H1408" s="11" t="s">
        <v>26</v>
      </c>
      <c r="J1408" s="11" t="s">
        <v>27</v>
      </c>
    </row>
    <row r="1409" ht="22.5" customHeight="1">
      <c r="A1409" s="10">
        <v>46081.69626482639</v>
      </c>
      <c r="B1409" s="11" t="s">
        <v>20</v>
      </c>
      <c r="C1409" s="11">
        <v>25.0</v>
      </c>
      <c r="D1409" s="11" t="s">
        <v>128</v>
      </c>
      <c r="H1409" s="11" t="s">
        <v>21</v>
      </c>
      <c r="L1409" s="11" t="s">
        <v>46</v>
      </c>
    </row>
    <row r="1410" ht="22.5" customHeight="1">
      <c r="A1410" s="10">
        <v>46081.8728761574</v>
      </c>
      <c r="B1410" s="11" t="s">
        <v>20</v>
      </c>
      <c r="C1410" s="11">
        <v>965.0</v>
      </c>
      <c r="D1410" s="11" t="s">
        <v>128</v>
      </c>
      <c r="H1410" s="11" t="s">
        <v>51</v>
      </c>
      <c r="K1410" s="11" t="s">
        <v>52</v>
      </c>
    </row>
    <row r="1411" ht="22.5" customHeight="1">
      <c r="A1411" s="10">
        <v>46082.679511724535</v>
      </c>
      <c r="B1411" s="11" t="s">
        <v>20</v>
      </c>
      <c r="C1411" s="11">
        <v>6000.0</v>
      </c>
      <c r="D1411" s="11" t="s">
        <v>128</v>
      </c>
      <c r="H1411" s="11" t="s">
        <v>51</v>
      </c>
      <c r="K1411" s="11" t="s">
        <v>131</v>
      </c>
    </row>
    <row r="1412" ht="22.5" customHeight="1">
      <c r="A1412" s="10">
        <v>46082.67967575231</v>
      </c>
      <c r="B1412" s="11" t="s">
        <v>20</v>
      </c>
      <c r="C1412" s="11">
        <v>20000.0</v>
      </c>
      <c r="D1412" s="11" t="s">
        <v>128</v>
      </c>
      <c r="H1412" s="11" t="s">
        <v>51</v>
      </c>
      <c r="K1412" s="11" t="s">
        <v>98</v>
      </c>
    </row>
    <row r="1413" ht="22.5" customHeight="1">
      <c r="A1413" s="10">
        <v>46084.51312511574</v>
      </c>
      <c r="B1413" s="11" t="s">
        <v>20</v>
      </c>
      <c r="C1413" s="11">
        <v>210.0</v>
      </c>
      <c r="D1413" s="11" t="s">
        <v>141</v>
      </c>
      <c r="H1413" s="11" t="s">
        <v>28</v>
      </c>
      <c r="I1413" s="11" t="s">
        <v>34</v>
      </c>
    </row>
    <row r="1414" ht="22.5" customHeight="1">
      <c r="A1414" s="10">
        <v>46084.51385047454</v>
      </c>
      <c r="B1414" s="11" t="s">
        <v>20</v>
      </c>
      <c r="C1414" s="11">
        <v>228.0</v>
      </c>
      <c r="D1414" s="11" t="s">
        <v>141</v>
      </c>
      <c r="H1414" s="11" t="s">
        <v>28</v>
      </c>
      <c r="I1414" s="11" t="s">
        <v>30</v>
      </c>
    </row>
    <row r="1415" ht="22.5" customHeight="1">
      <c r="A1415" s="10">
        <v>46084.51402766204</v>
      </c>
      <c r="B1415" s="11" t="s">
        <v>20</v>
      </c>
      <c r="C1415" s="11">
        <v>260.0</v>
      </c>
      <c r="D1415" s="11" t="s">
        <v>141</v>
      </c>
      <c r="H1415" s="11" t="s">
        <v>28</v>
      </c>
      <c r="I1415" s="11" t="s">
        <v>30</v>
      </c>
    </row>
    <row r="1416" ht="22.5" customHeight="1">
      <c r="A1416" s="10">
        <v>46084.51418342593</v>
      </c>
      <c r="B1416" s="11" t="s">
        <v>20</v>
      </c>
      <c r="C1416" s="11">
        <v>140.0</v>
      </c>
      <c r="D1416" s="11" t="s">
        <v>141</v>
      </c>
      <c r="H1416" s="11" t="s">
        <v>28</v>
      </c>
      <c r="I1416" s="11" t="s">
        <v>43</v>
      </c>
    </row>
    <row r="1417" ht="22.5" customHeight="1">
      <c r="A1417" s="10">
        <v>46084.51443856482</v>
      </c>
      <c r="B1417" s="11" t="s">
        <v>20</v>
      </c>
      <c r="C1417" s="11">
        <v>75.0</v>
      </c>
      <c r="D1417" s="11" t="s">
        <v>141</v>
      </c>
      <c r="H1417" s="11" t="s">
        <v>21</v>
      </c>
      <c r="L1417" s="11" t="s">
        <v>31</v>
      </c>
    </row>
    <row r="1418" ht="22.5" customHeight="1">
      <c r="A1418" s="10">
        <v>46084.51498715278</v>
      </c>
      <c r="B1418" s="11" t="s">
        <v>20</v>
      </c>
      <c r="C1418" s="11">
        <v>160.0</v>
      </c>
      <c r="D1418" s="11" t="s">
        <v>141</v>
      </c>
      <c r="H1418" s="11" t="s">
        <v>28</v>
      </c>
      <c r="I1418" s="11" t="s">
        <v>35</v>
      </c>
    </row>
    <row r="1419" ht="22.5" customHeight="1">
      <c r="A1419" s="10">
        <v>46084.51524396991</v>
      </c>
      <c r="B1419" s="11" t="s">
        <v>20</v>
      </c>
      <c r="C1419" s="11">
        <v>103.0</v>
      </c>
      <c r="D1419" s="11" t="s">
        <v>128</v>
      </c>
      <c r="H1419" s="11" t="s">
        <v>28</v>
      </c>
      <c r="I1419" s="11" t="s">
        <v>29</v>
      </c>
    </row>
    <row r="1420" ht="22.5" customHeight="1">
      <c r="A1420" s="10">
        <v>46084.93051438658</v>
      </c>
      <c r="B1420" s="11" t="s">
        <v>38</v>
      </c>
      <c r="C1420" s="11">
        <v>6000.0</v>
      </c>
      <c r="D1420" s="11" t="s">
        <v>128</v>
      </c>
      <c r="E1420" s="11" t="s">
        <v>39</v>
      </c>
      <c r="G1420" s="11" t="s">
        <v>139</v>
      </c>
    </row>
    <row r="1421" ht="22.5" customHeight="1">
      <c r="A1421" s="10">
        <v>46084.93195940972</v>
      </c>
      <c r="B1421" s="11" t="s">
        <v>38</v>
      </c>
      <c r="C1421" s="11">
        <v>2200.0</v>
      </c>
      <c r="D1421" s="11">
        <v>2.0260211E7</v>
      </c>
      <c r="E1421" s="11" t="s">
        <v>39</v>
      </c>
      <c r="G1421" s="11" t="s">
        <v>40</v>
      </c>
      <c r="S1421" s="11" t="s">
        <v>342</v>
      </c>
      <c r="T1421" s="11" t="s">
        <v>42</v>
      </c>
    </row>
    <row r="1422" ht="22.5" customHeight="1">
      <c r="A1422" s="10">
        <v>46085.93293127315</v>
      </c>
      <c r="B1422" s="11" t="s">
        <v>20</v>
      </c>
      <c r="C1422" s="11">
        <v>7802.0</v>
      </c>
      <c r="D1422" s="11" t="s">
        <v>128</v>
      </c>
      <c r="H1422" s="11" t="s">
        <v>51</v>
      </c>
      <c r="K1422" s="11" t="s">
        <v>111</v>
      </c>
    </row>
    <row r="1423" ht="22.5" customHeight="1">
      <c r="A1423" s="10">
        <v>46086.906317245375</v>
      </c>
      <c r="B1423" s="11" t="s">
        <v>38</v>
      </c>
      <c r="C1423" s="11">
        <v>107300.0</v>
      </c>
      <c r="D1423" s="11" t="s">
        <v>128</v>
      </c>
      <c r="E1423" s="11" t="s">
        <v>61</v>
      </c>
      <c r="F1423" s="11" t="s">
        <v>62</v>
      </c>
    </row>
    <row r="1424" ht="22.5" customHeight="1">
      <c r="A1424" s="10">
        <v>46086.90663810185</v>
      </c>
      <c r="B1424" s="11" t="s">
        <v>20</v>
      </c>
      <c r="C1424" s="11">
        <v>1284.0</v>
      </c>
      <c r="D1424" s="11" t="s">
        <v>128</v>
      </c>
      <c r="H1424" s="11" t="s">
        <v>28</v>
      </c>
      <c r="I1424" s="11" t="s">
        <v>33</v>
      </c>
    </row>
    <row r="1425" ht="22.5" customHeight="1">
      <c r="A1425" s="10">
        <v>46086.907089733795</v>
      </c>
      <c r="B1425" s="11" t="s">
        <v>20</v>
      </c>
      <c r="C1425" s="11">
        <v>4292.0</v>
      </c>
      <c r="D1425" s="11" t="s">
        <v>128</v>
      </c>
      <c r="H1425" s="11" t="s">
        <v>59</v>
      </c>
      <c r="R1425" s="11" t="s">
        <v>60</v>
      </c>
    </row>
    <row r="1426" ht="22.5" customHeight="1">
      <c r="A1426" s="10">
        <v>46086.90773039352</v>
      </c>
      <c r="B1426" s="11" t="s">
        <v>20</v>
      </c>
      <c r="C1426" s="11">
        <v>6201.0</v>
      </c>
      <c r="D1426" s="11" t="s">
        <v>128</v>
      </c>
      <c r="H1426" s="11" t="s">
        <v>57</v>
      </c>
      <c r="N1426" s="11" t="s">
        <v>58</v>
      </c>
    </row>
    <row r="1427" ht="22.5" customHeight="1">
      <c r="A1427" s="10">
        <v>46086.90793508102</v>
      </c>
      <c r="B1427" s="11" t="s">
        <v>20</v>
      </c>
      <c r="C1427" s="11">
        <v>3450.0</v>
      </c>
      <c r="D1427" s="11" t="s">
        <v>128</v>
      </c>
      <c r="H1427" s="11" t="s">
        <v>57</v>
      </c>
      <c r="N1427" s="11" t="s">
        <v>75</v>
      </c>
    </row>
    <row r="1428" ht="22.5" customHeight="1">
      <c r="A1428" s="10">
        <v>46086.90814609954</v>
      </c>
      <c r="B1428" s="11" t="s">
        <v>20</v>
      </c>
      <c r="C1428" s="11">
        <v>537.0</v>
      </c>
      <c r="D1428" s="11" t="s">
        <v>128</v>
      </c>
      <c r="H1428" s="11" t="s">
        <v>24</v>
      </c>
      <c r="M1428" s="11" t="s">
        <v>32</v>
      </c>
    </row>
    <row r="1429" ht="22.5" customHeight="1">
      <c r="A1429" s="10">
        <v>46086.90902155093</v>
      </c>
      <c r="B1429" s="11" t="s">
        <v>20</v>
      </c>
      <c r="C1429" s="11">
        <v>109.0</v>
      </c>
      <c r="D1429" s="11" t="s">
        <v>128</v>
      </c>
      <c r="H1429" s="11" t="s">
        <v>26</v>
      </c>
      <c r="J1429" s="11" t="s">
        <v>27</v>
      </c>
    </row>
    <row r="1430" ht="22.5" customHeight="1">
      <c r="A1430" s="10">
        <v>46086.91167570602</v>
      </c>
      <c r="B1430" s="11" t="s">
        <v>20</v>
      </c>
      <c r="C1430" s="11">
        <v>70.0</v>
      </c>
      <c r="D1430" s="11">
        <v>2.0260228E7</v>
      </c>
      <c r="H1430" s="11" t="s">
        <v>21</v>
      </c>
      <c r="L1430" s="11" t="s">
        <v>31</v>
      </c>
    </row>
    <row r="1431" ht="22.5" customHeight="1">
      <c r="A1431" s="10">
        <v>46088.501121747686</v>
      </c>
      <c r="B1431" s="11" t="s">
        <v>20</v>
      </c>
      <c r="C1431" s="11">
        <v>480.0</v>
      </c>
      <c r="D1431" s="11" t="s">
        <v>128</v>
      </c>
      <c r="H1431" s="11" t="s">
        <v>28</v>
      </c>
      <c r="I1431" s="11" t="s">
        <v>44</v>
      </c>
    </row>
    <row r="1432" ht="22.5" customHeight="1">
      <c r="A1432" s="10">
        <v>46088.54959230324</v>
      </c>
      <c r="B1432" s="11" t="s">
        <v>20</v>
      </c>
      <c r="C1432" s="11">
        <v>1580.0</v>
      </c>
      <c r="D1432" s="11" t="s">
        <v>128</v>
      </c>
      <c r="H1432" s="11" t="s">
        <v>16</v>
      </c>
      <c r="Q1432" s="11" t="s">
        <v>343</v>
      </c>
      <c r="S1432" s="11" t="s">
        <v>344</v>
      </c>
    </row>
    <row r="1433" ht="22.5" customHeight="1">
      <c r="A1433" s="10">
        <v>46088.550179872684</v>
      </c>
      <c r="B1433" s="11" t="s">
        <v>20</v>
      </c>
      <c r="C1433" s="11">
        <v>270.0</v>
      </c>
      <c r="D1433" s="11" t="s">
        <v>128</v>
      </c>
      <c r="H1433" s="11" t="s">
        <v>28</v>
      </c>
      <c r="I1433" s="11" t="s">
        <v>112</v>
      </c>
    </row>
    <row r="1434" ht="22.5" customHeight="1">
      <c r="A1434" s="10">
        <v>46088.55036277778</v>
      </c>
      <c r="B1434" s="11" t="s">
        <v>20</v>
      </c>
      <c r="C1434" s="11">
        <v>90.0</v>
      </c>
      <c r="D1434" s="11" t="s">
        <v>128</v>
      </c>
      <c r="H1434" s="11" t="s">
        <v>21</v>
      </c>
      <c r="L1434" s="11" t="s">
        <v>31</v>
      </c>
    </row>
    <row r="1435" ht="22.5" customHeight="1">
      <c r="A1435" s="10">
        <v>46088.96115120371</v>
      </c>
      <c r="B1435" s="11" t="s">
        <v>20</v>
      </c>
      <c r="C1435" s="11">
        <v>997.0</v>
      </c>
      <c r="D1435" s="11" t="s">
        <v>128</v>
      </c>
      <c r="H1435" s="11" t="s">
        <v>28</v>
      </c>
      <c r="I1435" s="11" t="s">
        <v>34</v>
      </c>
    </row>
    <row r="1436" ht="22.5" customHeight="1">
      <c r="A1436" s="10">
        <v>46088.96709839121</v>
      </c>
      <c r="B1436" s="11" t="s">
        <v>20</v>
      </c>
      <c r="C1436" s="11">
        <v>845.0</v>
      </c>
      <c r="D1436" s="11" t="s">
        <v>128</v>
      </c>
      <c r="H1436" s="11" t="s">
        <v>26</v>
      </c>
      <c r="J1436" s="11" t="s">
        <v>27</v>
      </c>
    </row>
    <row r="1437" ht="22.5" customHeight="1">
      <c r="A1437" s="10">
        <v>46088.99260890046</v>
      </c>
      <c r="B1437" s="11" t="s">
        <v>20</v>
      </c>
      <c r="C1437" s="11">
        <v>383.0</v>
      </c>
      <c r="D1437" s="11" t="s">
        <v>128</v>
      </c>
      <c r="H1437" s="11" t="s">
        <v>28</v>
      </c>
      <c r="I1437" s="11" t="s">
        <v>30</v>
      </c>
    </row>
    <row r="1438" ht="22.5" customHeight="1">
      <c r="A1438" s="10">
        <v>46088.99306956019</v>
      </c>
      <c r="B1438" s="11" t="s">
        <v>20</v>
      </c>
      <c r="C1438" s="11">
        <v>200.0</v>
      </c>
      <c r="D1438" s="11" t="s">
        <v>128</v>
      </c>
      <c r="H1438" s="11" t="s">
        <v>26</v>
      </c>
      <c r="J1438" s="11" t="s">
        <v>27</v>
      </c>
    </row>
    <row r="1439" ht="22.5" customHeight="1">
      <c r="A1439" s="10">
        <v>46088.993264930556</v>
      </c>
      <c r="B1439" s="11" t="s">
        <v>20</v>
      </c>
      <c r="C1439" s="11">
        <v>144.0</v>
      </c>
      <c r="D1439" s="11" t="s">
        <v>128</v>
      </c>
      <c r="H1439" s="11" t="s">
        <v>26</v>
      </c>
      <c r="J1439" s="11" t="s">
        <v>27</v>
      </c>
    </row>
    <row r="1440" ht="22.5" customHeight="1">
      <c r="A1440" s="10">
        <v>46089.320716539354</v>
      </c>
      <c r="B1440" s="11" t="s">
        <v>20</v>
      </c>
      <c r="C1440" s="11">
        <v>189.0</v>
      </c>
      <c r="D1440" s="11" t="s">
        <v>128</v>
      </c>
      <c r="H1440" s="11" t="s">
        <v>28</v>
      </c>
      <c r="I1440" s="11" t="s">
        <v>29</v>
      </c>
    </row>
    <row r="1441" ht="22.5" customHeight="1">
      <c r="A1441" s="10">
        <v>46089.921870833336</v>
      </c>
      <c r="B1441" s="11" t="s">
        <v>20</v>
      </c>
      <c r="C1441" s="11">
        <v>578.0</v>
      </c>
      <c r="D1441" s="11" t="s">
        <v>128</v>
      </c>
      <c r="H1441" s="11" t="s">
        <v>21</v>
      </c>
      <c r="L1441" s="11" t="s">
        <v>23</v>
      </c>
    </row>
    <row r="1442" ht="22.5" customHeight="1">
      <c r="A1442" s="10">
        <v>46089.92206414352</v>
      </c>
      <c r="B1442" s="11" t="s">
        <v>20</v>
      </c>
      <c r="C1442" s="11">
        <v>200.0</v>
      </c>
      <c r="D1442" s="11" t="s">
        <v>128</v>
      </c>
      <c r="H1442" s="11" t="s">
        <v>21</v>
      </c>
      <c r="L1442" s="11" t="s">
        <v>176</v>
      </c>
    </row>
    <row r="1443" ht="22.5" customHeight="1">
      <c r="A1443" s="10">
        <v>46089.963048923615</v>
      </c>
      <c r="B1443" s="11" t="s">
        <v>20</v>
      </c>
      <c r="C1443" s="11">
        <v>1386.0</v>
      </c>
      <c r="D1443" s="11" t="s">
        <v>128</v>
      </c>
      <c r="H1443" s="11" t="s">
        <v>26</v>
      </c>
      <c r="J1443" s="11" t="s">
        <v>27</v>
      </c>
    </row>
    <row r="1444" ht="22.5" customHeight="1">
      <c r="A1444" s="10">
        <v>46089.96415511574</v>
      </c>
      <c r="B1444" s="11" t="s">
        <v>20</v>
      </c>
      <c r="C1444" s="11">
        <v>749.0</v>
      </c>
      <c r="D1444" s="11" t="s">
        <v>128</v>
      </c>
      <c r="H1444" s="11" t="s">
        <v>26</v>
      </c>
      <c r="J1444" s="11" t="s">
        <v>27</v>
      </c>
    </row>
    <row r="1445" ht="22.5" customHeight="1">
      <c r="A1445" s="10">
        <v>46089.96435282407</v>
      </c>
      <c r="B1445" s="11" t="s">
        <v>20</v>
      </c>
      <c r="C1445" s="11">
        <v>150.0</v>
      </c>
      <c r="D1445" s="11" t="s">
        <v>128</v>
      </c>
      <c r="H1445" s="11" t="s">
        <v>28</v>
      </c>
      <c r="I1445" s="11" t="s">
        <v>30</v>
      </c>
    </row>
    <row r="1446" ht="22.5" customHeight="1">
      <c r="A1446" s="10">
        <v>46089.965111990736</v>
      </c>
      <c r="B1446" s="11" t="s">
        <v>20</v>
      </c>
      <c r="C1446" s="11">
        <v>80.0</v>
      </c>
      <c r="D1446" s="11" t="s">
        <v>128</v>
      </c>
      <c r="H1446" s="11" t="s">
        <v>26</v>
      </c>
      <c r="J1446" s="11" t="s">
        <v>83</v>
      </c>
    </row>
    <row r="1447" ht="22.5" customHeight="1">
      <c r="A1447" s="10">
        <v>46092.67579865741</v>
      </c>
      <c r="B1447" s="11" t="s">
        <v>20</v>
      </c>
      <c r="C1447" s="11">
        <v>119.0</v>
      </c>
      <c r="D1447" s="11" t="s">
        <v>128</v>
      </c>
      <c r="H1447" s="11" t="s">
        <v>26</v>
      </c>
      <c r="J1447" s="11" t="s">
        <v>27</v>
      </c>
    </row>
    <row r="1448" ht="22.5" customHeight="1">
      <c r="A1448" s="10">
        <v>46092.79433287037</v>
      </c>
      <c r="B1448" s="11" t="s">
        <v>20</v>
      </c>
      <c r="C1448" s="11">
        <v>315.0</v>
      </c>
      <c r="D1448" s="11" t="s">
        <v>128</v>
      </c>
      <c r="H1448" s="11" t="s">
        <v>28</v>
      </c>
      <c r="I1448" s="11" t="s">
        <v>30</v>
      </c>
    </row>
    <row r="1449" ht="22.5" customHeight="1">
      <c r="A1449" s="10">
        <v>46092.89805780092</v>
      </c>
      <c r="B1449" s="11" t="s">
        <v>20</v>
      </c>
      <c r="C1449" s="11">
        <v>317.0</v>
      </c>
      <c r="D1449" s="11" t="s">
        <v>128</v>
      </c>
      <c r="H1449" s="11" t="s">
        <v>26</v>
      </c>
      <c r="J1449" s="11" t="s">
        <v>27</v>
      </c>
    </row>
    <row r="1450" ht="22.5" customHeight="1">
      <c r="A1450" s="10">
        <v>46092.968282002315</v>
      </c>
      <c r="B1450" s="11" t="s">
        <v>20</v>
      </c>
      <c r="C1450" s="11">
        <v>2000.0</v>
      </c>
      <c r="D1450" s="11" t="s">
        <v>128</v>
      </c>
      <c r="H1450" s="11" t="s">
        <v>24</v>
      </c>
      <c r="M1450" s="11" t="s">
        <v>343</v>
      </c>
      <c r="S1450" s="11" t="s">
        <v>345</v>
      </c>
    </row>
    <row r="1451" ht="22.5" customHeight="1">
      <c r="A1451" s="10">
        <v>46093.37039780093</v>
      </c>
      <c r="B1451" s="11" t="s">
        <v>20</v>
      </c>
      <c r="C1451" s="11">
        <v>76.0</v>
      </c>
      <c r="D1451" s="11" t="s">
        <v>128</v>
      </c>
      <c r="H1451" s="11" t="s">
        <v>28</v>
      </c>
      <c r="I1451" s="11" t="s">
        <v>29</v>
      </c>
    </row>
    <row r="1452" ht="22.5" customHeight="1">
      <c r="A1452" s="10">
        <v>46093.96327317129</v>
      </c>
      <c r="B1452" s="11" t="s">
        <v>20</v>
      </c>
      <c r="C1452" s="11">
        <v>500.0</v>
      </c>
      <c r="D1452" s="11" t="s">
        <v>128</v>
      </c>
      <c r="H1452" s="11" t="s">
        <v>24</v>
      </c>
      <c r="M1452" s="11" t="s">
        <v>49</v>
      </c>
      <c r="S1452" s="11" t="s">
        <v>346</v>
      </c>
    </row>
    <row r="1453" ht="22.5" customHeight="1">
      <c r="A1453" s="10">
        <v>46094.29153181713</v>
      </c>
      <c r="B1453" s="11" t="s">
        <v>20</v>
      </c>
      <c r="C1453" s="11">
        <v>149.0</v>
      </c>
      <c r="D1453" s="11" t="s">
        <v>141</v>
      </c>
      <c r="H1453" s="11" t="s">
        <v>24</v>
      </c>
      <c r="M1453" s="11" t="s">
        <v>96</v>
      </c>
    </row>
    <row r="1454" ht="22.5" customHeight="1">
      <c r="A1454" s="10">
        <v>46095.40938116898</v>
      </c>
      <c r="B1454" s="11" t="s">
        <v>20</v>
      </c>
      <c r="C1454" s="11">
        <v>2477.0</v>
      </c>
      <c r="D1454" s="11" t="s">
        <v>127</v>
      </c>
      <c r="H1454" s="11" t="s">
        <v>28</v>
      </c>
      <c r="I1454" s="11" t="s">
        <v>30</v>
      </c>
      <c r="S1454" s="11" t="s">
        <v>234</v>
      </c>
    </row>
    <row r="1455" ht="22.5" customHeight="1">
      <c r="A1455" s="10">
        <v>46095.40964935185</v>
      </c>
      <c r="B1455" s="11" t="s">
        <v>20</v>
      </c>
      <c r="C1455" s="11">
        <v>150.0</v>
      </c>
      <c r="D1455" s="11" t="s">
        <v>127</v>
      </c>
      <c r="H1455" s="11" t="s">
        <v>21</v>
      </c>
      <c r="L1455" s="11" t="s">
        <v>31</v>
      </c>
    </row>
    <row r="1456" ht="22.5" customHeight="1">
      <c r="A1456" s="10">
        <v>46095.410422500005</v>
      </c>
      <c r="B1456" s="11" t="s">
        <v>20</v>
      </c>
      <c r="C1456" s="11">
        <v>30.0</v>
      </c>
      <c r="D1456" s="11" t="s">
        <v>128</v>
      </c>
      <c r="H1456" s="11" t="s">
        <v>28</v>
      </c>
      <c r="I1456" s="11" t="s">
        <v>29</v>
      </c>
    </row>
    <row r="1457" ht="22.5" customHeight="1">
      <c r="A1457" s="10">
        <v>46096.332374317135</v>
      </c>
      <c r="B1457" s="11" t="s">
        <v>20</v>
      </c>
      <c r="C1457" s="11">
        <v>157.0</v>
      </c>
      <c r="D1457" s="11" t="s">
        <v>128</v>
      </c>
      <c r="H1457" s="11" t="s">
        <v>28</v>
      </c>
      <c r="I1457" s="11" t="s">
        <v>29</v>
      </c>
    </row>
    <row r="1458" ht="22.5" customHeight="1">
      <c r="A1458" s="10">
        <v>46096.39281967592</v>
      </c>
      <c r="B1458" s="11" t="s">
        <v>20</v>
      </c>
      <c r="C1458" s="11">
        <v>556.0</v>
      </c>
      <c r="D1458" s="11" t="s">
        <v>128</v>
      </c>
      <c r="H1458" s="11" t="s">
        <v>21</v>
      </c>
      <c r="L1458" s="11" t="s">
        <v>23</v>
      </c>
    </row>
    <row r="1459" ht="22.5" customHeight="1">
      <c r="A1459" s="10">
        <v>46096.96792332176</v>
      </c>
      <c r="B1459" s="11" t="s">
        <v>20</v>
      </c>
      <c r="C1459" s="11">
        <v>54.0</v>
      </c>
      <c r="D1459" s="11" t="s">
        <v>128</v>
      </c>
      <c r="H1459" s="11" t="s">
        <v>28</v>
      </c>
      <c r="I1459" s="11" t="s">
        <v>34</v>
      </c>
    </row>
    <row r="1460" ht="22.5" customHeight="1">
      <c r="A1460" s="10">
        <v>46096.96810947917</v>
      </c>
      <c r="B1460" s="11" t="s">
        <v>20</v>
      </c>
      <c r="C1460" s="11">
        <v>100.0</v>
      </c>
      <c r="D1460" s="11" t="s">
        <v>128</v>
      </c>
      <c r="H1460" s="11" t="s">
        <v>21</v>
      </c>
      <c r="L1460" s="11" t="s">
        <v>31</v>
      </c>
    </row>
    <row r="1461" ht="22.5" customHeight="1">
      <c r="A1461" s="10">
        <v>46096.96865559027</v>
      </c>
      <c r="B1461" s="11" t="s">
        <v>20</v>
      </c>
      <c r="C1461" s="11">
        <v>957.0</v>
      </c>
      <c r="D1461" s="11" t="s">
        <v>128</v>
      </c>
      <c r="H1461" s="11" t="s">
        <v>26</v>
      </c>
      <c r="J1461" s="11" t="s">
        <v>27</v>
      </c>
    </row>
    <row r="1462" ht="22.5" customHeight="1">
      <c r="A1462" s="10">
        <v>46096.96879965278</v>
      </c>
      <c r="B1462" s="11" t="s">
        <v>20</v>
      </c>
      <c r="C1462" s="11">
        <v>548.0</v>
      </c>
      <c r="D1462" s="11" t="s">
        <v>128</v>
      </c>
      <c r="H1462" s="11" t="s">
        <v>26</v>
      </c>
      <c r="J1462" s="11" t="s">
        <v>27</v>
      </c>
    </row>
    <row r="1463" ht="22.5" customHeight="1">
      <c r="A1463" s="10">
        <v>46098.9134546412</v>
      </c>
      <c r="B1463" s="11" t="s">
        <v>20</v>
      </c>
      <c r="C1463" s="11">
        <v>128.0</v>
      </c>
      <c r="D1463" s="11" t="s">
        <v>128</v>
      </c>
      <c r="H1463" s="11" t="s">
        <v>21</v>
      </c>
      <c r="L1463" s="11" t="s">
        <v>23</v>
      </c>
    </row>
    <row r="1464" ht="22.5" customHeight="1">
      <c r="A1464" s="10">
        <v>46100.770723877315</v>
      </c>
      <c r="B1464" s="11" t="s">
        <v>20</v>
      </c>
      <c r="C1464" s="11">
        <v>303.0</v>
      </c>
      <c r="D1464" s="11" t="s">
        <v>127</v>
      </c>
      <c r="H1464" s="11" t="s">
        <v>28</v>
      </c>
      <c r="I1464" s="11" t="s">
        <v>30</v>
      </c>
    </row>
    <row r="1465" ht="22.5" customHeight="1">
      <c r="A1465" s="10">
        <v>46101.788807488425</v>
      </c>
      <c r="B1465" s="11" t="s">
        <v>20</v>
      </c>
      <c r="C1465" s="11">
        <v>5014.0</v>
      </c>
      <c r="D1465" s="11" t="s">
        <v>128</v>
      </c>
      <c r="H1465" s="11" t="s">
        <v>26</v>
      </c>
      <c r="J1465" s="11" t="s">
        <v>27</v>
      </c>
    </row>
    <row r="1466" ht="22.5" customHeight="1">
      <c r="A1466" s="10">
        <v>46102.40977974537</v>
      </c>
      <c r="B1466" s="11" t="s">
        <v>20</v>
      </c>
      <c r="C1466" s="11">
        <v>181.0</v>
      </c>
      <c r="D1466" s="11" t="s">
        <v>128</v>
      </c>
      <c r="H1466" s="11" t="s">
        <v>26</v>
      </c>
      <c r="J1466" s="11" t="s">
        <v>27</v>
      </c>
    </row>
    <row r="1467" ht="22.5" customHeight="1">
      <c r="A1467" s="10">
        <v>46102.93613569444</v>
      </c>
      <c r="B1467" s="11" t="s">
        <v>20</v>
      </c>
      <c r="C1467" s="11">
        <v>2830.0</v>
      </c>
      <c r="D1467" s="11" t="s">
        <v>128</v>
      </c>
      <c r="H1467" s="11" t="s">
        <v>28</v>
      </c>
      <c r="I1467" s="11" t="s">
        <v>30</v>
      </c>
    </row>
    <row r="1468" ht="22.5" customHeight="1">
      <c r="A1468" s="10">
        <v>46103.9157308912</v>
      </c>
      <c r="B1468" s="11" t="s">
        <v>20</v>
      </c>
      <c r="C1468" s="11">
        <v>100.0</v>
      </c>
      <c r="D1468" s="11" t="s">
        <v>128</v>
      </c>
      <c r="H1468" s="11" t="s">
        <v>24</v>
      </c>
      <c r="M1468" s="11" t="s">
        <v>25</v>
      </c>
    </row>
    <row r="1469" ht="22.5" customHeight="1">
      <c r="A1469" s="10">
        <v>46103.91597787037</v>
      </c>
      <c r="B1469" s="11" t="s">
        <v>20</v>
      </c>
      <c r="C1469" s="11">
        <v>585.0</v>
      </c>
      <c r="D1469" s="11" t="s">
        <v>128</v>
      </c>
      <c r="H1469" s="11" t="s">
        <v>21</v>
      </c>
      <c r="L1469" s="11" t="s">
        <v>23</v>
      </c>
    </row>
    <row r="1470" ht="22.5" customHeight="1">
      <c r="A1470" s="10">
        <v>46103.91657552084</v>
      </c>
      <c r="B1470" s="11" t="s">
        <v>20</v>
      </c>
      <c r="C1470" s="11">
        <v>1222.0</v>
      </c>
      <c r="D1470" s="11" t="s">
        <v>128</v>
      </c>
      <c r="H1470" s="11" t="s">
        <v>26</v>
      </c>
      <c r="J1470" s="11" t="s">
        <v>27</v>
      </c>
    </row>
    <row r="1471" ht="22.5" customHeight="1">
      <c r="A1471" s="10">
        <v>46106.87595006944</v>
      </c>
      <c r="B1471" s="11" t="s">
        <v>20</v>
      </c>
      <c r="C1471" s="11">
        <v>699.0</v>
      </c>
      <c r="D1471" s="11" t="s">
        <v>141</v>
      </c>
      <c r="H1471" s="11" t="s">
        <v>21</v>
      </c>
      <c r="L1471" s="11" t="s">
        <v>46</v>
      </c>
    </row>
    <row r="1472" ht="22.5" customHeight="1">
      <c r="A1472" s="10">
        <v>46108.6166584375</v>
      </c>
      <c r="B1472" s="11" t="s">
        <v>20</v>
      </c>
      <c r="C1472" s="11">
        <v>79.0</v>
      </c>
      <c r="D1472" s="11" t="s">
        <v>128</v>
      </c>
      <c r="H1472" s="11" t="s">
        <v>28</v>
      </c>
      <c r="I1472" s="11" t="s">
        <v>29</v>
      </c>
    </row>
    <row r="1473" ht="22.5" customHeight="1">
      <c r="A1473" s="10">
        <v>46108.61695913195</v>
      </c>
      <c r="B1473" s="11" t="s">
        <v>20</v>
      </c>
      <c r="C1473" s="11">
        <v>250.0</v>
      </c>
      <c r="D1473" s="11" t="s">
        <v>127</v>
      </c>
      <c r="H1473" s="11" t="s">
        <v>94</v>
      </c>
      <c r="O1473" s="11" t="s">
        <v>153</v>
      </c>
    </row>
    <row r="1474" ht="22.5" customHeight="1">
      <c r="A1474" s="10">
        <v>46108.61720778936</v>
      </c>
      <c r="B1474" s="11" t="s">
        <v>20</v>
      </c>
      <c r="C1474" s="11">
        <v>150.0</v>
      </c>
      <c r="D1474" s="11" t="s">
        <v>128</v>
      </c>
      <c r="H1474" s="11" t="s">
        <v>28</v>
      </c>
      <c r="I1474" s="11" t="s">
        <v>44</v>
      </c>
    </row>
    <row r="1475" ht="22.5" customHeight="1">
      <c r="A1475" s="10">
        <v>46110.43041303241</v>
      </c>
      <c r="B1475" s="11" t="s">
        <v>20</v>
      </c>
      <c r="C1475" s="11">
        <v>144.0</v>
      </c>
      <c r="D1475" s="11" t="s">
        <v>128</v>
      </c>
      <c r="H1475" s="11" t="s">
        <v>28</v>
      </c>
      <c r="I1475" s="11" t="s">
        <v>126</v>
      </c>
    </row>
    <row r="1476" ht="22.5" customHeight="1">
      <c r="A1476" s="10">
        <v>46110.43126640047</v>
      </c>
      <c r="B1476" s="11" t="s">
        <v>20</v>
      </c>
      <c r="C1476" s="11">
        <v>135.0</v>
      </c>
      <c r="D1476" s="11" t="s">
        <v>127</v>
      </c>
      <c r="H1476" s="11" t="s">
        <v>28</v>
      </c>
      <c r="I1476" s="11" t="s">
        <v>30</v>
      </c>
    </row>
    <row r="1477" ht="22.5" customHeight="1">
      <c r="A1477" s="10">
        <v>46110.43239565972</v>
      </c>
      <c r="B1477" s="11" t="s">
        <v>20</v>
      </c>
      <c r="C1477" s="11">
        <v>220.0</v>
      </c>
      <c r="D1477" s="11" t="s">
        <v>127</v>
      </c>
      <c r="H1477" s="11" t="s">
        <v>28</v>
      </c>
      <c r="I1477" s="11" t="s">
        <v>35</v>
      </c>
    </row>
    <row r="1478" ht="22.5" customHeight="1">
      <c r="A1478" s="10">
        <v>46110.43328585648</v>
      </c>
      <c r="B1478" s="11" t="s">
        <v>20</v>
      </c>
      <c r="C1478" s="11">
        <v>1536.0</v>
      </c>
      <c r="D1478" s="11" t="s">
        <v>141</v>
      </c>
      <c r="H1478" s="11" t="s">
        <v>24</v>
      </c>
      <c r="M1478" s="11" t="s">
        <v>49</v>
      </c>
    </row>
    <row r="1479" ht="22.5" customHeight="1">
      <c r="A1479" s="10">
        <v>46110.45000804398</v>
      </c>
      <c r="B1479" s="11" t="s">
        <v>20</v>
      </c>
      <c r="C1479" s="11">
        <v>452.0</v>
      </c>
      <c r="D1479" s="11" t="s">
        <v>128</v>
      </c>
      <c r="H1479" s="11" t="s">
        <v>51</v>
      </c>
      <c r="K1479" s="11" t="s">
        <v>185</v>
      </c>
    </row>
    <row r="1480" ht="22.5" customHeight="1">
      <c r="A1480" s="10">
        <v>46110.587255590275</v>
      </c>
      <c r="B1480" s="11" t="s">
        <v>20</v>
      </c>
      <c r="C1480" s="11">
        <v>5000.0</v>
      </c>
      <c r="D1480" s="11" t="s">
        <v>128</v>
      </c>
      <c r="H1480" s="11" t="s">
        <v>16</v>
      </c>
      <c r="Q1480" s="11" t="s">
        <v>186</v>
      </c>
      <c r="S1480" s="11" t="s">
        <v>347</v>
      </c>
      <c r="T1480" s="11" t="s">
        <v>42</v>
      </c>
    </row>
    <row r="1481" ht="22.5" customHeight="1">
      <c r="A1481" s="10">
        <v>46110.88495472222</v>
      </c>
      <c r="B1481" s="11" t="s">
        <v>20</v>
      </c>
      <c r="C1481" s="11">
        <v>585.0</v>
      </c>
      <c r="D1481" s="11" t="s">
        <v>128</v>
      </c>
      <c r="H1481" s="11" t="s">
        <v>28</v>
      </c>
      <c r="I1481" s="11" t="s">
        <v>30</v>
      </c>
    </row>
    <row r="1482" ht="22.5" customHeight="1">
      <c r="A1482" s="10">
        <v>46111.6403053588</v>
      </c>
      <c r="B1482" s="11" t="s">
        <v>20</v>
      </c>
      <c r="C1482" s="11">
        <v>638.0</v>
      </c>
      <c r="D1482" s="11" t="s">
        <v>128</v>
      </c>
      <c r="H1482" s="11" t="s">
        <v>26</v>
      </c>
      <c r="J1482" s="11" t="s">
        <v>50</v>
      </c>
    </row>
    <row r="1483" ht="22.5" customHeight="1">
      <c r="A1483" s="10">
        <v>46111.833761284724</v>
      </c>
      <c r="B1483" s="11" t="s">
        <v>20</v>
      </c>
      <c r="C1483" s="11">
        <v>125.0</v>
      </c>
      <c r="D1483" s="11" t="s">
        <v>128</v>
      </c>
      <c r="H1483" s="11" t="s">
        <v>28</v>
      </c>
      <c r="I1483" s="11" t="s">
        <v>30</v>
      </c>
    </row>
    <row r="1484" ht="22.5" customHeight="1">
      <c r="A1484" s="10">
        <v>46113.50833215278</v>
      </c>
      <c r="B1484" s="11" t="s">
        <v>20</v>
      </c>
      <c r="C1484" s="11">
        <v>6000.0</v>
      </c>
      <c r="D1484" s="11" t="s">
        <v>128</v>
      </c>
      <c r="H1484" s="11" t="s">
        <v>51</v>
      </c>
      <c r="K1484" s="11" t="s">
        <v>131</v>
      </c>
    </row>
    <row r="1485" ht="22.5" customHeight="1">
      <c r="A1485" s="10">
        <v>46113.508497800925</v>
      </c>
      <c r="B1485" s="11" t="s">
        <v>20</v>
      </c>
      <c r="C1485" s="11">
        <v>20000.0</v>
      </c>
      <c r="D1485" s="11" t="s">
        <v>128</v>
      </c>
      <c r="H1485" s="11" t="s">
        <v>51</v>
      </c>
      <c r="K1485" s="11" t="s">
        <v>98</v>
      </c>
    </row>
    <row r="1486" ht="22.5" customHeight="1">
      <c r="A1486" s="10">
        <v>46113.508709560185</v>
      </c>
      <c r="B1486" s="11" t="s">
        <v>38</v>
      </c>
      <c r="C1486" s="11">
        <v>6000.0</v>
      </c>
      <c r="D1486" s="11" t="s">
        <v>128</v>
      </c>
      <c r="E1486" s="11" t="s">
        <v>39</v>
      </c>
      <c r="G1486" s="11" t="s">
        <v>139</v>
      </c>
    </row>
    <row r="1487" ht="22.5" customHeight="1">
      <c r="A1487" s="10">
        <v>46115.959197511576</v>
      </c>
      <c r="B1487" s="11" t="s">
        <v>20</v>
      </c>
      <c r="C1487" s="11">
        <v>120.0</v>
      </c>
      <c r="D1487" s="11" t="s">
        <v>128</v>
      </c>
      <c r="H1487" s="11" t="s">
        <v>28</v>
      </c>
      <c r="I1487" s="11" t="s">
        <v>43</v>
      </c>
    </row>
    <row r="1488" ht="22.5" customHeight="1">
      <c r="A1488" s="10">
        <v>46115.959392060184</v>
      </c>
      <c r="B1488" s="11" t="s">
        <v>20</v>
      </c>
      <c r="C1488" s="11">
        <v>135.0</v>
      </c>
      <c r="D1488" s="11" t="s">
        <v>127</v>
      </c>
      <c r="H1488" s="11" t="s">
        <v>21</v>
      </c>
      <c r="L1488" s="11" t="s">
        <v>36</v>
      </c>
    </row>
    <row r="1489" ht="22.5" customHeight="1">
      <c r="A1489" s="10">
        <v>46116.80139108797</v>
      </c>
      <c r="B1489" s="11" t="s">
        <v>20</v>
      </c>
      <c r="C1489" s="11">
        <v>204.0</v>
      </c>
      <c r="D1489" s="11" t="s">
        <v>128</v>
      </c>
      <c r="H1489" s="11" t="s">
        <v>21</v>
      </c>
      <c r="L1489" s="11" t="s">
        <v>202</v>
      </c>
    </row>
    <row r="1490" ht="22.5" customHeight="1">
      <c r="A1490" s="10">
        <v>46116.84833729167</v>
      </c>
      <c r="B1490" s="11" t="s">
        <v>20</v>
      </c>
      <c r="C1490" s="11">
        <v>765.0</v>
      </c>
      <c r="D1490" s="11" t="s">
        <v>128</v>
      </c>
      <c r="H1490" s="11" t="s">
        <v>21</v>
      </c>
      <c r="L1490" s="11" t="s">
        <v>36</v>
      </c>
    </row>
    <row r="1491" ht="22.5" customHeight="1">
      <c r="A1491" s="10">
        <v>46116.86646989583</v>
      </c>
      <c r="B1491" s="11" t="s">
        <v>20</v>
      </c>
      <c r="C1491" s="11">
        <v>550.0</v>
      </c>
      <c r="D1491" s="11" t="s">
        <v>128</v>
      </c>
      <c r="H1491" s="11" t="s">
        <v>28</v>
      </c>
      <c r="I1491" s="11" t="s">
        <v>34</v>
      </c>
    </row>
    <row r="1492" ht="22.5" customHeight="1">
      <c r="A1492" s="10">
        <v>46116.87332953703</v>
      </c>
      <c r="B1492" s="11" t="s">
        <v>20</v>
      </c>
      <c r="C1492" s="11">
        <v>1480.0</v>
      </c>
      <c r="D1492" s="11" t="s">
        <v>128</v>
      </c>
      <c r="H1492" s="11" t="s">
        <v>16</v>
      </c>
      <c r="Q1492" s="11" t="s">
        <v>47</v>
      </c>
      <c r="S1492" s="11" t="s">
        <v>348</v>
      </c>
    </row>
    <row r="1493" ht="22.5" customHeight="1">
      <c r="A1493" s="10">
        <v>46117.41089619213</v>
      </c>
      <c r="B1493" s="11" t="s">
        <v>20</v>
      </c>
      <c r="C1493" s="11">
        <v>250.0</v>
      </c>
      <c r="D1493" s="11" t="s">
        <v>128</v>
      </c>
      <c r="H1493" s="11" t="s">
        <v>28</v>
      </c>
      <c r="I1493" s="11" t="s">
        <v>29</v>
      </c>
    </row>
    <row r="1494" ht="22.5" customHeight="1">
      <c r="A1494" s="10">
        <v>46118.665083217595</v>
      </c>
      <c r="B1494" s="11" t="s">
        <v>20</v>
      </c>
      <c r="C1494" s="11">
        <v>2409.0</v>
      </c>
      <c r="D1494" s="11" t="s">
        <v>128</v>
      </c>
      <c r="H1494" s="11" t="s">
        <v>28</v>
      </c>
      <c r="I1494" s="11" t="s">
        <v>34</v>
      </c>
    </row>
    <row r="1495" ht="22.5" customHeight="1">
      <c r="A1495" s="10">
        <v>46118.898301967594</v>
      </c>
      <c r="B1495" s="11" t="s">
        <v>38</v>
      </c>
      <c r="C1495" s="11">
        <v>107300.0</v>
      </c>
      <c r="D1495" s="11" t="s">
        <v>128</v>
      </c>
      <c r="E1495" s="11" t="s">
        <v>61</v>
      </c>
      <c r="F1495" s="11" t="s">
        <v>62</v>
      </c>
    </row>
    <row r="1496" ht="22.5" customHeight="1">
      <c r="A1496" s="10">
        <v>46118.8986733912</v>
      </c>
      <c r="B1496" s="11" t="s">
        <v>38</v>
      </c>
      <c r="C1496" s="11">
        <v>6927.0</v>
      </c>
      <c r="D1496" s="11" t="s">
        <v>128</v>
      </c>
      <c r="E1496" s="11" t="s">
        <v>61</v>
      </c>
      <c r="F1496" s="11" t="s">
        <v>63</v>
      </c>
    </row>
    <row r="1497" ht="22.5" customHeight="1">
      <c r="A1497" s="10">
        <v>46118.89926077546</v>
      </c>
      <c r="B1497" s="11" t="s">
        <v>38</v>
      </c>
      <c r="C1497" s="11">
        <v>5000.0</v>
      </c>
      <c r="D1497" s="11" t="s">
        <v>128</v>
      </c>
      <c r="E1497" s="11" t="s">
        <v>61</v>
      </c>
      <c r="F1497" s="11" t="s">
        <v>63</v>
      </c>
      <c r="S1497" s="11" t="s">
        <v>349</v>
      </c>
      <c r="T1497" s="11" t="s">
        <v>42</v>
      </c>
    </row>
    <row r="1498" ht="22.5" customHeight="1">
      <c r="A1498" s="10">
        <v>46118.899721712965</v>
      </c>
      <c r="B1498" s="11" t="s">
        <v>20</v>
      </c>
      <c r="C1498" s="11">
        <v>4292.0</v>
      </c>
      <c r="D1498" s="11" t="s">
        <v>128</v>
      </c>
      <c r="H1498" s="11" t="s">
        <v>59</v>
      </c>
      <c r="R1498" s="11" t="s">
        <v>60</v>
      </c>
    </row>
    <row r="1499" ht="22.5" customHeight="1">
      <c r="A1499" s="10">
        <v>46118.899975520835</v>
      </c>
      <c r="B1499" s="11" t="s">
        <v>20</v>
      </c>
      <c r="C1499" s="11">
        <v>1900.0</v>
      </c>
      <c r="D1499" s="11" t="s">
        <v>128</v>
      </c>
      <c r="H1499" s="11" t="s">
        <v>28</v>
      </c>
      <c r="I1499" s="11" t="s">
        <v>33</v>
      </c>
    </row>
    <row r="1500" ht="22.5" customHeight="1">
      <c r="A1500" s="10">
        <v>46118.90057737268</v>
      </c>
      <c r="B1500" s="11" t="s">
        <v>20</v>
      </c>
      <c r="C1500" s="11">
        <v>6307.0</v>
      </c>
      <c r="D1500" s="11" t="s">
        <v>128</v>
      </c>
      <c r="H1500" s="11" t="s">
        <v>57</v>
      </c>
      <c r="N1500" s="11" t="s">
        <v>58</v>
      </c>
    </row>
    <row r="1501" ht="22.5" customHeight="1">
      <c r="A1501" s="10">
        <v>46118.90078982639</v>
      </c>
      <c r="B1501" s="11" t="s">
        <v>20</v>
      </c>
      <c r="C1501" s="11">
        <v>4050.0</v>
      </c>
      <c r="D1501" s="11" t="s">
        <v>128</v>
      </c>
      <c r="H1501" s="11" t="s">
        <v>57</v>
      </c>
      <c r="N1501" s="11" t="s">
        <v>75</v>
      </c>
    </row>
    <row r="1502" ht="22.5" customHeight="1">
      <c r="A1502" s="10">
        <v>46118.90098569445</v>
      </c>
      <c r="B1502" s="11" t="s">
        <v>20</v>
      </c>
      <c r="C1502" s="11">
        <v>537.0</v>
      </c>
      <c r="D1502" s="11" t="s">
        <v>128</v>
      </c>
      <c r="H1502" s="11" t="s">
        <v>24</v>
      </c>
      <c r="M1502" s="11" t="s">
        <v>32</v>
      </c>
    </row>
    <row r="1503" ht="22.5" customHeight="1">
      <c r="A1503" s="10">
        <v>46118.90451662037</v>
      </c>
      <c r="B1503" s="11" t="s">
        <v>20</v>
      </c>
      <c r="C1503" s="11">
        <v>191.0</v>
      </c>
      <c r="D1503" s="11">
        <v>2.0260331E7</v>
      </c>
      <c r="H1503" s="11" t="s">
        <v>21</v>
      </c>
      <c r="L1503" s="11" t="s">
        <v>31</v>
      </c>
    </row>
    <row r="1504" ht="22.5" customHeight="1">
      <c r="A1504" s="10">
        <v>46118.90509768519</v>
      </c>
      <c r="B1504" s="11" t="s">
        <v>20</v>
      </c>
      <c r="C1504" s="11">
        <v>400.0</v>
      </c>
      <c r="D1504" s="11">
        <v>2.0260322E7</v>
      </c>
      <c r="H1504" s="11" t="s">
        <v>21</v>
      </c>
      <c r="L1504" s="11" t="s">
        <v>77</v>
      </c>
    </row>
    <row r="1505" ht="22.5" customHeight="1">
      <c r="A1505" s="10">
        <v>46118.9063377662</v>
      </c>
      <c r="B1505" s="11" t="s">
        <v>20</v>
      </c>
      <c r="C1505" s="11">
        <v>528.0</v>
      </c>
      <c r="D1505" s="11">
        <v>2.0260331E7</v>
      </c>
      <c r="H1505" s="11" t="s">
        <v>51</v>
      </c>
      <c r="K1505" s="11" t="s">
        <v>124</v>
      </c>
    </row>
    <row r="1506" ht="22.5" customHeight="1">
      <c r="A1506" s="10">
        <v>46118.906792800924</v>
      </c>
      <c r="B1506" s="11" t="s">
        <v>20</v>
      </c>
      <c r="C1506" s="11">
        <v>205.0</v>
      </c>
      <c r="D1506" s="11">
        <v>2.0260331E7</v>
      </c>
      <c r="H1506" s="11" t="s">
        <v>51</v>
      </c>
      <c r="K1506" s="11" t="s">
        <v>90</v>
      </c>
    </row>
    <row r="1507" ht="22.5" customHeight="1">
      <c r="A1507" s="10">
        <v>46119.77226439815</v>
      </c>
      <c r="B1507" s="11" t="s">
        <v>20</v>
      </c>
      <c r="C1507" s="11">
        <v>210.0</v>
      </c>
      <c r="D1507" s="11" t="s">
        <v>127</v>
      </c>
      <c r="H1507" s="11" t="s">
        <v>26</v>
      </c>
      <c r="J1507" s="11" t="s">
        <v>27</v>
      </c>
    </row>
    <row r="1508" ht="22.5" customHeight="1">
      <c r="A1508" s="10">
        <v>46119.77258372685</v>
      </c>
      <c r="B1508" s="11" t="s">
        <v>20</v>
      </c>
      <c r="C1508" s="11">
        <v>108.0</v>
      </c>
      <c r="D1508" s="11" t="s">
        <v>128</v>
      </c>
      <c r="H1508" s="11" t="s">
        <v>21</v>
      </c>
      <c r="L1508" s="11" t="s">
        <v>202</v>
      </c>
    </row>
    <row r="1509" ht="22.5" customHeight="1">
      <c r="A1509" s="10">
        <v>46120.83706954861</v>
      </c>
      <c r="B1509" s="11" t="s">
        <v>20</v>
      </c>
      <c r="C1509" s="11">
        <v>124.0</v>
      </c>
      <c r="D1509" s="11" t="s">
        <v>128</v>
      </c>
      <c r="H1509" s="11" t="s">
        <v>21</v>
      </c>
      <c r="L1509" s="11" t="s">
        <v>23</v>
      </c>
    </row>
    <row r="1510" ht="22.5" customHeight="1">
      <c r="A1510" s="10">
        <v>46121.8312353588</v>
      </c>
      <c r="B1510" s="11" t="s">
        <v>20</v>
      </c>
      <c r="C1510" s="11">
        <v>550.0</v>
      </c>
      <c r="D1510" s="11" t="s">
        <v>128</v>
      </c>
      <c r="H1510" s="11" t="s">
        <v>28</v>
      </c>
      <c r="I1510" s="11" t="s">
        <v>34</v>
      </c>
    </row>
    <row r="1511" ht="22.5" customHeight="1">
      <c r="A1511" s="10">
        <v>46121.917102164356</v>
      </c>
      <c r="B1511" s="11" t="s">
        <v>20</v>
      </c>
      <c r="C1511" s="11">
        <v>687.0</v>
      </c>
      <c r="D1511" s="11" t="s">
        <v>128</v>
      </c>
      <c r="H1511" s="11" t="s">
        <v>21</v>
      </c>
      <c r="L1511" s="11" t="s">
        <v>23</v>
      </c>
    </row>
    <row r="1512" ht="22.5" customHeight="1">
      <c r="A1512" s="10">
        <v>46122.32118175926</v>
      </c>
      <c r="B1512" s="11" t="s">
        <v>20</v>
      </c>
      <c r="C1512" s="11">
        <v>690.0</v>
      </c>
      <c r="D1512" s="11" t="s">
        <v>128</v>
      </c>
      <c r="H1512" s="11" t="s">
        <v>24</v>
      </c>
      <c r="M1512" s="11" t="s">
        <v>165</v>
      </c>
    </row>
    <row r="1513" ht="22.5" customHeight="1">
      <c r="A1513" s="10">
        <v>46123.41965224537</v>
      </c>
      <c r="B1513" s="11" t="s">
        <v>20</v>
      </c>
      <c r="C1513" s="11">
        <v>187.0</v>
      </c>
      <c r="D1513" s="11" t="s">
        <v>128</v>
      </c>
      <c r="H1513" s="11" t="s">
        <v>28</v>
      </c>
      <c r="I1513" s="11" t="s">
        <v>29</v>
      </c>
    </row>
    <row r="1514" ht="22.5" customHeight="1">
      <c r="A1514" s="10">
        <v>46125.513180925926</v>
      </c>
      <c r="B1514" s="11" t="s">
        <v>20</v>
      </c>
      <c r="C1514" s="11">
        <v>3956.0</v>
      </c>
      <c r="D1514" s="11" t="s">
        <v>127</v>
      </c>
      <c r="H1514" s="11" t="s">
        <v>24</v>
      </c>
      <c r="M1514" s="11" t="s">
        <v>96</v>
      </c>
      <c r="S1514" s="11" t="s">
        <v>350</v>
      </c>
      <c r="T1514" s="11" t="s">
        <v>42</v>
      </c>
    </row>
    <row r="1515" ht="22.5" customHeight="1">
      <c r="A1515" s="10">
        <v>46125.51351362269</v>
      </c>
      <c r="B1515" s="11" t="s">
        <v>20</v>
      </c>
      <c r="C1515" s="11">
        <v>2000.0</v>
      </c>
      <c r="D1515" s="11" t="s">
        <v>127</v>
      </c>
      <c r="H1515" s="11" t="s">
        <v>24</v>
      </c>
      <c r="M1515" s="11" t="s">
        <v>96</v>
      </c>
      <c r="S1515" s="11" t="s">
        <v>351</v>
      </c>
      <c r="T1515" s="11" t="s">
        <v>86</v>
      </c>
    </row>
    <row r="1516" ht="22.5" customHeight="1">
      <c r="A1516" s="10">
        <v>46125.514446875</v>
      </c>
      <c r="B1516" s="11" t="s">
        <v>20</v>
      </c>
      <c r="C1516" s="11">
        <v>93.0</v>
      </c>
      <c r="D1516" s="11" t="s">
        <v>127</v>
      </c>
      <c r="H1516" s="11" t="s">
        <v>21</v>
      </c>
      <c r="L1516" s="11" t="s">
        <v>202</v>
      </c>
    </row>
    <row r="1517" ht="22.5" customHeight="1">
      <c r="A1517" s="10">
        <v>46125.51464962963</v>
      </c>
      <c r="B1517" s="11" t="s">
        <v>20</v>
      </c>
      <c r="C1517" s="11">
        <v>40.0</v>
      </c>
      <c r="D1517" s="11" t="s">
        <v>127</v>
      </c>
      <c r="H1517" s="11" t="s">
        <v>21</v>
      </c>
      <c r="L1517" s="11" t="s">
        <v>31</v>
      </c>
    </row>
    <row r="1518" ht="22.5" customHeight="1">
      <c r="A1518" s="10">
        <v>46125.55821509259</v>
      </c>
      <c r="B1518" s="11" t="s">
        <v>20</v>
      </c>
      <c r="C1518" s="11">
        <v>2627.0</v>
      </c>
      <c r="D1518" s="11" t="s">
        <v>127</v>
      </c>
      <c r="H1518" s="11" t="s">
        <v>28</v>
      </c>
      <c r="I1518" s="11" t="s">
        <v>30</v>
      </c>
      <c r="S1518" s="11" t="s">
        <v>352</v>
      </c>
      <c r="T1518" s="11" t="s">
        <v>86</v>
      </c>
    </row>
    <row r="1519" ht="22.5" customHeight="1">
      <c r="A1519" s="10">
        <v>46125.55851481482</v>
      </c>
      <c r="B1519" s="11" t="s">
        <v>20</v>
      </c>
      <c r="C1519" s="11">
        <v>269.0</v>
      </c>
      <c r="D1519" s="11" t="s">
        <v>127</v>
      </c>
      <c r="H1519" s="11" t="s">
        <v>26</v>
      </c>
      <c r="J1519" s="11" t="s">
        <v>27</v>
      </c>
    </row>
    <row r="1520" ht="22.5" customHeight="1">
      <c r="A1520" s="10">
        <v>46125.55977087963</v>
      </c>
      <c r="B1520" s="11" t="s">
        <v>20</v>
      </c>
      <c r="C1520" s="11">
        <v>1951.0</v>
      </c>
      <c r="D1520" s="11" t="s">
        <v>141</v>
      </c>
      <c r="H1520" s="11" t="s">
        <v>24</v>
      </c>
      <c r="M1520" s="11" t="s">
        <v>96</v>
      </c>
      <c r="S1520" s="11" t="s">
        <v>353</v>
      </c>
    </row>
    <row r="1521" ht="22.5" customHeight="1">
      <c r="A1521" s="10">
        <v>46125.56043858796</v>
      </c>
      <c r="B1521" s="11" t="s">
        <v>20</v>
      </c>
      <c r="C1521" s="11">
        <v>300.0</v>
      </c>
      <c r="D1521" s="11" t="s">
        <v>141</v>
      </c>
      <c r="H1521" s="11" t="s">
        <v>28</v>
      </c>
      <c r="I1521" s="11" t="s">
        <v>44</v>
      </c>
    </row>
    <row r="1522" ht="22.5" customHeight="1">
      <c r="A1522" s="10">
        <v>46125.93794179398</v>
      </c>
      <c r="B1522" s="11" t="s">
        <v>20</v>
      </c>
      <c r="C1522" s="11">
        <v>7120.0</v>
      </c>
      <c r="D1522" s="11" t="s">
        <v>128</v>
      </c>
      <c r="H1522" s="11" t="s">
        <v>21</v>
      </c>
      <c r="L1522" s="11" t="s">
        <v>198</v>
      </c>
      <c r="S1522" s="11" t="s">
        <v>242</v>
      </c>
      <c r="T1522" s="11" t="s">
        <v>42</v>
      </c>
    </row>
    <row r="1523" ht="22.5" customHeight="1">
      <c r="A1523" s="10">
        <v>46126.38632527778</v>
      </c>
      <c r="B1523" s="11" t="s">
        <v>20</v>
      </c>
      <c r="C1523" s="11">
        <v>351.0</v>
      </c>
      <c r="D1523" s="11" t="s">
        <v>128</v>
      </c>
      <c r="H1523" s="11" t="s">
        <v>26</v>
      </c>
      <c r="J1523" s="11" t="s">
        <v>27</v>
      </c>
      <c r="T1523" s="11" t="s">
        <v>86</v>
      </c>
    </row>
    <row r="1524" ht="22.5" customHeight="1">
      <c r="A1524" s="10">
        <v>46126.868111840275</v>
      </c>
      <c r="B1524" s="11" t="s">
        <v>20</v>
      </c>
      <c r="C1524" s="11">
        <v>80.0</v>
      </c>
      <c r="D1524" s="11" t="s">
        <v>128</v>
      </c>
      <c r="H1524" s="11" t="s">
        <v>28</v>
      </c>
      <c r="I1524" s="11" t="s">
        <v>35</v>
      </c>
    </row>
    <row r="1525" ht="22.5" customHeight="1">
      <c r="A1525" s="10">
        <v>46127.87642457176</v>
      </c>
      <c r="B1525" s="11" t="s">
        <v>20</v>
      </c>
      <c r="C1525" s="11">
        <v>2030.0</v>
      </c>
      <c r="D1525" s="11">
        <v>2.0261025E7</v>
      </c>
      <c r="H1525" s="11" t="s">
        <v>24</v>
      </c>
      <c r="M1525" s="11" t="s">
        <v>49</v>
      </c>
      <c r="S1525" s="11" t="s">
        <v>354</v>
      </c>
    </row>
    <row r="1526" ht="22.5" customHeight="1">
      <c r="A1526" s="10">
        <v>46129.79846070602</v>
      </c>
      <c r="B1526" s="11" t="s">
        <v>20</v>
      </c>
      <c r="C1526" s="11">
        <v>150.0</v>
      </c>
      <c r="D1526" s="11" t="s">
        <v>127</v>
      </c>
      <c r="H1526" s="11" t="s">
        <v>24</v>
      </c>
      <c r="M1526" s="11" t="s">
        <v>25</v>
      </c>
    </row>
    <row r="1527" ht="22.5" customHeight="1">
      <c r="A1527" s="10">
        <v>46130.93916685185</v>
      </c>
      <c r="B1527" s="11" t="s">
        <v>20</v>
      </c>
      <c r="C1527" s="11">
        <v>139.0</v>
      </c>
      <c r="D1527" s="11" t="s">
        <v>128</v>
      </c>
      <c r="H1527" s="11" t="s">
        <v>26</v>
      </c>
      <c r="J1527" s="11" t="s">
        <v>27</v>
      </c>
    </row>
    <row r="1528" ht="22.5" customHeight="1">
      <c r="A1528" s="10">
        <v>46130.93965409722</v>
      </c>
      <c r="B1528" s="11" t="s">
        <v>20</v>
      </c>
      <c r="C1528" s="11">
        <v>592.0</v>
      </c>
      <c r="D1528" s="11" t="s">
        <v>128</v>
      </c>
      <c r="H1528" s="11" t="s">
        <v>21</v>
      </c>
      <c r="L1528" s="11" t="s">
        <v>23</v>
      </c>
    </row>
    <row r="1529" ht="22.5" customHeight="1">
      <c r="A1529" s="10">
        <v>46133.554006875</v>
      </c>
      <c r="B1529" s="11" t="s">
        <v>20</v>
      </c>
      <c r="C1529" s="11">
        <v>500.0</v>
      </c>
      <c r="D1529" s="11" t="s">
        <v>127</v>
      </c>
      <c r="H1529" s="11" t="s">
        <v>26</v>
      </c>
      <c r="J1529" s="11" t="s">
        <v>27</v>
      </c>
    </row>
    <row r="1530" ht="22.5" customHeight="1">
      <c r="A1530" s="10">
        <v>46135.55541449074</v>
      </c>
      <c r="B1530" s="11" t="s">
        <v>20</v>
      </c>
      <c r="C1530" s="11">
        <v>85.0</v>
      </c>
      <c r="D1530" s="11" t="s">
        <v>128</v>
      </c>
      <c r="H1530" s="11" t="s">
        <v>28</v>
      </c>
      <c r="I1530" s="11" t="s">
        <v>29</v>
      </c>
    </row>
    <row r="1531" ht="22.5" customHeight="1">
      <c r="A1531" s="10">
        <v>46138.44488178241</v>
      </c>
      <c r="B1531" s="11" t="s">
        <v>20</v>
      </c>
      <c r="C1531" s="11">
        <v>215.0</v>
      </c>
      <c r="D1531" s="11" t="s">
        <v>128</v>
      </c>
      <c r="H1531" s="11" t="s">
        <v>28</v>
      </c>
      <c r="I1531" s="11" t="s">
        <v>29</v>
      </c>
    </row>
    <row r="1532" ht="22.5" customHeight="1">
      <c r="A1532" s="10">
        <v>46138.44551053241</v>
      </c>
      <c r="B1532" s="11" t="s">
        <v>20</v>
      </c>
      <c r="C1532" s="11">
        <v>150.0</v>
      </c>
      <c r="D1532" s="11" t="s">
        <v>141</v>
      </c>
      <c r="H1532" s="11" t="s">
        <v>21</v>
      </c>
      <c r="L1532" s="11" t="s">
        <v>202</v>
      </c>
    </row>
    <row r="1533" ht="22.5" customHeight="1">
      <c r="A1533" s="10">
        <v>46139.82664135417</v>
      </c>
      <c r="B1533" s="11" t="s">
        <v>20</v>
      </c>
      <c r="C1533" s="11">
        <v>142.0</v>
      </c>
      <c r="D1533" s="11" t="s">
        <v>128</v>
      </c>
      <c r="H1533" s="11" t="s">
        <v>21</v>
      </c>
      <c r="L1533" s="11" t="s">
        <v>23</v>
      </c>
    </row>
    <row r="1534" ht="22.5" customHeight="1">
      <c r="A1534" s="10">
        <v>46139.84503596065</v>
      </c>
      <c r="B1534" s="11" t="s">
        <v>20</v>
      </c>
      <c r="C1534" s="11">
        <v>1459.0</v>
      </c>
      <c r="D1534" s="11" t="s">
        <v>127</v>
      </c>
      <c r="H1534" s="11" t="s">
        <v>26</v>
      </c>
      <c r="J1534" s="11" t="s">
        <v>27</v>
      </c>
    </row>
    <row r="1535" ht="22.5" customHeight="1">
      <c r="A1535" s="10">
        <v>46139.92198623843</v>
      </c>
      <c r="B1535" s="11" t="s">
        <v>20</v>
      </c>
      <c r="C1535" s="11">
        <v>1200.0</v>
      </c>
      <c r="D1535" s="11" t="s">
        <v>128</v>
      </c>
      <c r="H1535" s="11" t="s">
        <v>21</v>
      </c>
      <c r="L1535" s="11" t="s">
        <v>176</v>
      </c>
    </row>
    <row r="1536" ht="22.5" customHeight="1">
      <c r="A1536" s="10">
        <v>46139.92213065972</v>
      </c>
      <c r="B1536" s="11" t="s">
        <v>20</v>
      </c>
      <c r="C1536" s="11">
        <v>144.0</v>
      </c>
      <c r="D1536" s="11" t="s">
        <v>128</v>
      </c>
      <c r="H1536" s="11" t="s">
        <v>28</v>
      </c>
      <c r="I1536" s="11" t="s">
        <v>30</v>
      </c>
    </row>
    <row r="1537" ht="22.5" customHeight="1">
      <c r="A1537" s="10">
        <v>46140.919728865745</v>
      </c>
      <c r="B1537" s="11" t="s">
        <v>20</v>
      </c>
      <c r="C1537" s="11">
        <v>200.0</v>
      </c>
      <c r="D1537" s="11" t="s">
        <v>128</v>
      </c>
      <c r="H1537" s="11" t="s">
        <v>21</v>
      </c>
      <c r="L1537" s="11" t="s">
        <v>23</v>
      </c>
    </row>
    <row r="1538" ht="22.5" customHeight="1">
      <c r="A1538" s="10">
        <v>46142.03912318287</v>
      </c>
      <c r="B1538" s="11" t="s">
        <v>20</v>
      </c>
      <c r="C1538" s="11">
        <v>165.0</v>
      </c>
      <c r="D1538" s="11" t="s">
        <v>127</v>
      </c>
      <c r="H1538" s="11" t="s">
        <v>21</v>
      </c>
      <c r="L1538" s="11" t="s">
        <v>202</v>
      </c>
    </row>
    <row r="1539" ht="22.5" customHeight="1">
      <c r="A1539" s="10">
        <v>46142.03956350694</v>
      </c>
      <c r="B1539" s="11" t="s">
        <v>20</v>
      </c>
      <c r="C1539" s="11">
        <v>620.0</v>
      </c>
      <c r="D1539" s="11" t="s">
        <v>128</v>
      </c>
      <c r="H1539" s="11" t="s">
        <v>118</v>
      </c>
      <c r="P1539" s="11" t="s">
        <v>355</v>
      </c>
      <c r="S1539" s="11" t="s">
        <v>356</v>
      </c>
      <c r="T1539" s="11" t="s">
        <v>86</v>
      </c>
    </row>
    <row r="1540" ht="22.5" customHeight="1">
      <c r="A1540" s="10">
        <v>46142.04007449074</v>
      </c>
      <c r="B1540" s="11" t="s">
        <v>20</v>
      </c>
      <c r="C1540" s="11">
        <v>174.0</v>
      </c>
      <c r="D1540" s="11" t="s">
        <v>128</v>
      </c>
      <c r="H1540" s="11" t="s">
        <v>21</v>
      </c>
      <c r="L1540" s="11" t="s">
        <v>202</v>
      </c>
    </row>
    <row r="1541" ht="22.5" customHeight="1">
      <c r="A1541" s="10">
        <v>46143.45887966435</v>
      </c>
      <c r="B1541" s="11" t="s">
        <v>20</v>
      </c>
      <c r="C1541" s="11">
        <v>20000.0</v>
      </c>
      <c r="D1541" s="11" t="s">
        <v>128</v>
      </c>
      <c r="H1541" s="11" t="s">
        <v>51</v>
      </c>
      <c r="K1541" s="11" t="s">
        <v>98</v>
      </c>
    </row>
    <row r="1542" ht="22.5" customHeight="1">
      <c r="A1542" s="10">
        <v>46143.45903762731</v>
      </c>
      <c r="B1542" s="11" t="s">
        <v>20</v>
      </c>
      <c r="C1542" s="11">
        <v>6000.0</v>
      </c>
      <c r="D1542" s="11" t="s">
        <v>128</v>
      </c>
      <c r="H1542" s="11" t="s">
        <v>51</v>
      </c>
      <c r="K1542" s="11" t="s">
        <v>131</v>
      </c>
    </row>
    <row r="1543" ht="22.5" customHeight="1">
      <c r="A1543" s="10">
        <v>46143.45923091435</v>
      </c>
      <c r="B1543" s="11" t="s">
        <v>38</v>
      </c>
      <c r="C1543" s="11">
        <v>6000.0</v>
      </c>
      <c r="D1543" s="11" t="s">
        <v>128</v>
      </c>
      <c r="E1543" s="11" t="s">
        <v>39</v>
      </c>
      <c r="G1543" s="11" t="s">
        <v>139</v>
      </c>
    </row>
    <row r="1544" ht="22.5" customHeight="1">
      <c r="A1544" s="10">
        <v>46143.77587087963</v>
      </c>
      <c r="B1544" s="11" t="s">
        <v>20</v>
      </c>
      <c r="C1544" s="11">
        <v>570.0</v>
      </c>
      <c r="D1544" s="11" t="s">
        <v>128</v>
      </c>
      <c r="H1544" s="11" t="s">
        <v>28</v>
      </c>
      <c r="I1544" s="11" t="s">
        <v>44</v>
      </c>
    </row>
    <row r="1545" ht="22.5" customHeight="1">
      <c r="A1545" s="10">
        <v>46143.776018958335</v>
      </c>
      <c r="B1545" s="11" t="s">
        <v>20</v>
      </c>
      <c r="C1545" s="11">
        <v>919.0</v>
      </c>
      <c r="D1545" s="11" t="s">
        <v>128</v>
      </c>
      <c r="H1545" s="11" t="s">
        <v>21</v>
      </c>
      <c r="L1545" s="11" t="s">
        <v>23</v>
      </c>
    </row>
    <row r="1546" ht="22.5" customHeight="1">
      <c r="A1546" s="10">
        <v>46143.776182118054</v>
      </c>
      <c r="B1546" s="11" t="s">
        <v>20</v>
      </c>
      <c r="C1546" s="11">
        <v>30.0</v>
      </c>
      <c r="D1546" s="11" t="s">
        <v>128</v>
      </c>
      <c r="H1546" s="11" t="s">
        <v>21</v>
      </c>
      <c r="L1546" s="11" t="s">
        <v>176</v>
      </c>
    </row>
    <row r="1547" ht="22.5" customHeight="1">
      <c r="A1547" s="10">
        <v>46143.77668122685</v>
      </c>
      <c r="B1547" s="11" t="s">
        <v>20</v>
      </c>
      <c r="C1547" s="11">
        <v>240.0</v>
      </c>
      <c r="D1547" s="11" t="s">
        <v>128</v>
      </c>
      <c r="H1547" s="11" t="s">
        <v>28</v>
      </c>
      <c r="I1547" s="11" t="s">
        <v>34</v>
      </c>
    </row>
    <row r="1548" ht="22.5" customHeight="1">
      <c r="A1548" s="10">
        <v>46144.07704174769</v>
      </c>
      <c r="B1548" s="11" t="s">
        <v>20</v>
      </c>
      <c r="C1548" s="11">
        <v>78.0</v>
      </c>
      <c r="D1548" s="11" t="s">
        <v>127</v>
      </c>
      <c r="H1548" s="11" t="s">
        <v>28</v>
      </c>
      <c r="I1548" s="11" t="s">
        <v>35</v>
      </c>
    </row>
    <row r="1549" ht="22.5" customHeight="1">
      <c r="A1549" s="10">
        <v>46145.70203356481</v>
      </c>
      <c r="B1549" s="11" t="s">
        <v>20</v>
      </c>
      <c r="C1549" s="11">
        <v>2280.0</v>
      </c>
      <c r="D1549" s="11" t="s">
        <v>128</v>
      </c>
      <c r="H1549" s="11" t="s">
        <v>26</v>
      </c>
      <c r="J1549" s="11" t="s">
        <v>27</v>
      </c>
      <c r="S1549" s="11" t="s">
        <v>357</v>
      </c>
    </row>
    <row r="1550" ht="22.5" customHeight="1">
      <c r="A1550" s="10">
        <v>46145.702922129625</v>
      </c>
      <c r="B1550" s="11" t="s">
        <v>20</v>
      </c>
      <c r="C1550" s="11">
        <v>145.0</v>
      </c>
      <c r="D1550" s="11" t="s">
        <v>127</v>
      </c>
      <c r="H1550" s="11" t="s">
        <v>28</v>
      </c>
      <c r="I1550" s="11" t="s">
        <v>112</v>
      </c>
    </row>
    <row r="1551" ht="22.5" customHeight="1">
      <c r="A1551" s="10">
        <v>46145.70307993055</v>
      </c>
      <c r="B1551" s="11" t="s">
        <v>20</v>
      </c>
      <c r="C1551" s="11">
        <v>225.0</v>
      </c>
      <c r="D1551" s="11" t="s">
        <v>127</v>
      </c>
      <c r="H1551" s="11" t="s">
        <v>28</v>
      </c>
      <c r="I1551" s="11" t="s">
        <v>30</v>
      </c>
    </row>
    <row r="1552" ht="22.5" customHeight="1">
      <c r="A1552" s="10">
        <v>46145.7032196875</v>
      </c>
      <c r="B1552" s="11" t="s">
        <v>20</v>
      </c>
      <c r="C1552" s="11">
        <v>260.0</v>
      </c>
      <c r="D1552" s="11" t="s">
        <v>127</v>
      </c>
      <c r="H1552" s="11" t="s">
        <v>28</v>
      </c>
      <c r="I1552" s="11" t="s">
        <v>30</v>
      </c>
    </row>
    <row r="1553" ht="22.5" customHeight="1">
      <c r="A1553" s="10">
        <v>46145.8503391088</v>
      </c>
      <c r="B1553" s="11" t="s">
        <v>20</v>
      </c>
      <c r="C1553" s="11">
        <v>7802.0</v>
      </c>
      <c r="D1553" s="11" t="s">
        <v>128</v>
      </c>
      <c r="H1553" s="11" t="s">
        <v>51</v>
      </c>
      <c r="K1553" s="11" t="s">
        <v>111</v>
      </c>
    </row>
    <row r="1554" ht="22.5" customHeight="1">
      <c r="A1554" s="10">
        <v>46147.92743491898</v>
      </c>
      <c r="B1554" s="11" t="s">
        <v>38</v>
      </c>
      <c r="C1554" s="11">
        <v>105512.0</v>
      </c>
      <c r="D1554" s="11" t="s">
        <v>128</v>
      </c>
      <c r="E1554" s="11" t="s">
        <v>61</v>
      </c>
      <c r="F1554" s="11" t="s">
        <v>62</v>
      </c>
      <c r="S1554" s="11" t="s">
        <v>358</v>
      </c>
      <c r="T1554" s="11" t="s">
        <v>42</v>
      </c>
    </row>
    <row r="1555" ht="22.5" customHeight="1">
      <c r="A1555" s="10">
        <v>46147.92783572916</v>
      </c>
      <c r="B1555" s="11" t="s">
        <v>38</v>
      </c>
      <c r="C1555" s="11">
        <v>2691.0</v>
      </c>
      <c r="D1555" s="11" t="s">
        <v>128</v>
      </c>
      <c r="E1555" s="11" t="s">
        <v>61</v>
      </c>
      <c r="F1555" s="11" t="s">
        <v>63</v>
      </c>
    </row>
    <row r="1556" ht="22.5" customHeight="1">
      <c r="A1556" s="10">
        <v>46147.928299756946</v>
      </c>
      <c r="B1556" s="11" t="s">
        <v>38</v>
      </c>
      <c r="C1556" s="11">
        <v>107300.0</v>
      </c>
      <c r="D1556" s="11" t="s">
        <v>128</v>
      </c>
      <c r="E1556" s="11" t="s">
        <v>61</v>
      </c>
      <c r="F1556" s="11" t="s">
        <v>63</v>
      </c>
      <c r="S1556" s="11" t="s">
        <v>359</v>
      </c>
      <c r="T1556" s="11" t="s">
        <v>42</v>
      </c>
    </row>
    <row r="1557" ht="22.5" customHeight="1">
      <c r="A1557" s="10">
        <v>46147.93025929398</v>
      </c>
      <c r="B1557" s="11" t="s">
        <v>20</v>
      </c>
      <c r="C1557" s="11">
        <v>1319.0</v>
      </c>
      <c r="D1557" s="11" t="s">
        <v>128</v>
      </c>
      <c r="H1557" s="11" t="s">
        <v>28</v>
      </c>
      <c r="I1557" s="11" t="s">
        <v>33</v>
      </c>
    </row>
    <row r="1558" ht="22.5" customHeight="1">
      <c r="A1558" s="10">
        <v>46147.930565347226</v>
      </c>
      <c r="B1558" s="11" t="s">
        <v>20</v>
      </c>
      <c r="C1558" s="11">
        <v>4292.0</v>
      </c>
      <c r="D1558" s="11" t="s">
        <v>128</v>
      </c>
      <c r="H1558" s="11" t="s">
        <v>59</v>
      </c>
      <c r="R1558" s="11" t="s">
        <v>60</v>
      </c>
    </row>
    <row r="1559" ht="22.5" customHeight="1">
      <c r="A1559" s="10">
        <v>46147.93125554398</v>
      </c>
      <c r="B1559" s="11" t="s">
        <v>20</v>
      </c>
      <c r="C1559" s="11">
        <v>8465.0</v>
      </c>
      <c r="D1559" s="11" t="s">
        <v>128</v>
      </c>
      <c r="H1559" s="11" t="s">
        <v>57</v>
      </c>
      <c r="N1559" s="11" t="s">
        <v>58</v>
      </c>
    </row>
    <row r="1560" ht="22.5" customHeight="1">
      <c r="A1560" s="10">
        <v>46147.93145628472</v>
      </c>
      <c r="B1560" s="11" t="s">
        <v>20</v>
      </c>
      <c r="C1560" s="11">
        <v>537.0</v>
      </c>
      <c r="D1560" s="11" t="s">
        <v>128</v>
      </c>
      <c r="H1560" s="11" t="s">
        <v>24</v>
      </c>
      <c r="M1560" s="11" t="s">
        <v>32</v>
      </c>
    </row>
    <row r="1561" ht="22.5" customHeight="1">
      <c r="A1561" s="10">
        <v>46147.93165737268</v>
      </c>
      <c r="B1561" s="11" t="s">
        <v>20</v>
      </c>
      <c r="C1561" s="11">
        <v>8575.0</v>
      </c>
      <c r="D1561" s="11" t="s">
        <v>128</v>
      </c>
      <c r="H1561" s="11" t="s">
        <v>57</v>
      </c>
      <c r="N1561" s="11" t="s">
        <v>75</v>
      </c>
    </row>
    <row r="1562" ht="22.5" customHeight="1">
      <c r="A1562" s="10">
        <v>46147.93293634259</v>
      </c>
      <c r="B1562" s="11" t="s">
        <v>20</v>
      </c>
      <c r="C1562" s="11">
        <v>230.0</v>
      </c>
      <c r="D1562" s="11" t="s">
        <v>128</v>
      </c>
      <c r="H1562" s="11" t="s">
        <v>51</v>
      </c>
      <c r="K1562" s="11" t="s">
        <v>90</v>
      </c>
    </row>
    <row r="1563" ht="22.5" customHeight="1">
      <c r="A1563" s="10">
        <v>46147.93401116898</v>
      </c>
      <c r="B1563" s="11" t="s">
        <v>20</v>
      </c>
      <c r="C1563" s="11">
        <v>1050.0</v>
      </c>
      <c r="D1563" s="11">
        <v>2.026043E7</v>
      </c>
      <c r="H1563" s="11" t="s">
        <v>51</v>
      </c>
      <c r="K1563" s="11" t="s">
        <v>52</v>
      </c>
    </row>
    <row r="1564" ht="22.5" customHeight="1">
      <c r="A1564" s="10">
        <v>46147.934616053244</v>
      </c>
      <c r="B1564" s="11" t="s">
        <v>20</v>
      </c>
      <c r="C1564" s="11">
        <v>102.0</v>
      </c>
      <c r="D1564" s="11">
        <v>2.026043E7</v>
      </c>
      <c r="H1564" s="11" t="s">
        <v>21</v>
      </c>
      <c r="L1564" s="11" t="s">
        <v>31</v>
      </c>
    </row>
    <row r="1565" ht="22.5" customHeight="1">
      <c r="A1565" s="10">
        <v>46149.89084229167</v>
      </c>
      <c r="B1565" s="11" t="s">
        <v>20</v>
      </c>
      <c r="C1565" s="11">
        <v>256.0</v>
      </c>
      <c r="D1565" s="11" t="s">
        <v>128</v>
      </c>
      <c r="H1565" s="11" t="s">
        <v>28</v>
      </c>
      <c r="I1565" s="11" t="s">
        <v>44</v>
      </c>
    </row>
    <row r="1566" ht="22.5" customHeight="1">
      <c r="A1566" s="10">
        <v>46149.89106238426</v>
      </c>
      <c r="B1566" s="11" t="s">
        <v>20</v>
      </c>
      <c r="C1566" s="11">
        <v>376.0</v>
      </c>
      <c r="D1566" s="11" t="s">
        <v>128</v>
      </c>
      <c r="H1566" s="11" t="s">
        <v>26</v>
      </c>
      <c r="J1566" s="11" t="s">
        <v>27</v>
      </c>
    </row>
    <row r="1567" ht="22.5" customHeight="1">
      <c r="A1567" s="10">
        <v>46149.89247024305</v>
      </c>
      <c r="B1567" s="11" t="s">
        <v>20</v>
      </c>
      <c r="C1567" s="11">
        <v>660.0</v>
      </c>
      <c r="D1567" s="11" t="s">
        <v>149</v>
      </c>
      <c r="H1567" s="11" t="s">
        <v>21</v>
      </c>
      <c r="L1567" s="11" t="s">
        <v>36</v>
      </c>
    </row>
    <row r="1568" ht="22.5" customHeight="1">
      <c r="A1568" s="10">
        <v>46151.56842256944</v>
      </c>
      <c r="B1568" s="11" t="s">
        <v>20</v>
      </c>
      <c r="C1568" s="11">
        <v>1000.0</v>
      </c>
      <c r="D1568" s="11" t="s">
        <v>128</v>
      </c>
      <c r="H1568" s="11" t="s">
        <v>16</v>
      </c>
      <c r="Q1568" s="11" t="s">
        <v>218</v>
      </c>
      <c r="S1568" s="11" t="s">
        <v>360</v>
      </c>
    </row>
    <row r="1569" ht="22.5" customHeight="1">
      <c r="A1569" s="10">
        <v>46152.73494314815</v>
      </c>
      <c r="B1569" s="11" t="s">
        <v>20</v>
      </c>
      <c r="C1569" s="11">
        <v>765.0</v>
      </c>
      <c r="D1569" s="11" t="s">
        <v>128</v>
      </c>
      <c r="H1569" s="11" t="s">
        <v>21</v>
      </c>
      <c r="L1569" s="11" t="s">
        <v>36</v>
      </c>
    </row>
    <row r="1570" ht="22.5" customHeight="1">
      <c r="A1570" s="10">
        <v>46152.73523597222</v>
      </c>
      <c r="B1570" s="11" t="s">
        <v>20</v>
      </c>
      <c r="C1570" s="11">
        <v>159.0</v>
      </c>
      <c r="D1570" s="11" t="s">
        <v>128</v>
      </c>
      <c r="H1570" s="11" t="s">
        <v>28</v>
      </c>
      <c r="I1570" s="11" t="s">
        <v>44</v>
      </c>
    </row>
    <row r="1571" ht="22.5" customHeight="1">
      <c r="A1571" s="10">
        <v>46154.77775259259</v>
      </c>
      <c r="B1571" s="11" t="s">
        <v>20</v>
      </c>
      <c r="C1571" s="11">
        <v>690.0</v>
      </c>
      <c r="D1571" s="11" t="s">
        <v>127</v>
      </c>
      <c r="H1571" s="11" t="s">
        <v>118</v>
      </c>
      <c r="P1571" s="11" t="s">
        <v>119</v>
      </c>
      <c r="S1571" s="11" t="s">
        <v>361</v>
      </c>
      <c r="T1571" s="11" t="s">
        <v>86</v>
      </c>
    </row>
    <row r="1572" ht="22.5" customHeight="1">
      <c r="A1572" s="10">
        <v>46154.78119217593</v>
      </c>
      <c r="B1572" s="11" t="s">
        <v>20</v>
      </c>
      <c r="C1572" s="11">
        <v>159.0</v>
      </c>
      <c r="D1572" s="11" t="s">
        <v>128</v>
      </c>
      <c r="H1572" s="11" t="s">
        <v>28</v>
      </c>
      <c r="I1572" s="11" t="s">
        <v>30</v>
      </c>
    </row>
    <row r="1573" ht="22.5" customHeight="1">
      <c r="A1573" s="10">
        <v>46157.80944060185</v>
      </c>
      <c r="B1573" s="11" t="s">
        <v>20</v>
      </c>
      <c r="C1573" s="11">
        <v>105.0</v>
      </c>
      <c r="D1573" s="11" t="s">
        <v>128</v>
      </c>
      <c r="H1573" s="11" t="s">
        <v>28</v>
      </c>
      <c r="I1573" s="11" t="s">
        <v>30</v>
      </c>
    </row>
    <row r="1574" ht="22.5" customHeight="1">
      <c r="A1574" s="10">
        <v>46158.6190880787</v>
      </c>
      <c r="B1574" s="11" t="s">
        <v>20</v>
      </c>
      <c r="C1574" s="11">
        <v>140.0</v>
      </c>
      <c r="D1574" s="11" t="s">
        <v>128</v>
      </c>
      <c r="H1574" s="11" t="s">
        <v>28</v>
      </c>
      <c r="I1574" s="11" t="s">
        <v>44</v>
      </c>
    </row>
    <row r="1575" ht="22.5" customHeight="1">
      <c r="A1575" s="10">
        <v>46158.619227048606</v>
      </c>
      <c r="B1575" s="11" t="s">
        <v>20</v>
      </c>
      <c r="C1575" s="11">
        <v>66.0</v>
      </c>
      <c r="D1575" s="11" t="s">
        <v>128</v>
      </c>
      <c r="H1575" s="11" t="s">
        <v>28</v>
      </c>
      <c r="I1575" s="11" t="s">
        <v>29</v>
      </c>
    </row>
    <row r="1576" ht="22.5" customHeight="1">
      <c r="A1576" s="10">
        <v>46158.62048578703</v>
      </c>
      <c r="B1576" s="11" t="s">
        <v>20</v>
      </c>
      <c r="C1576" s="11">
        <v>10670.0</v>
      </c>
      <c r="D1576" s="11" t="s">
        <v>128</v>
      </c>
      <c r="H1576" s="11" t="s">
        <v>21</v>
      </c>
      <c r="L1576" s="11" t="s">
        <v>235</v>
      </c>
    </row>
    <row r="1577" ht="22.5" customHeight="1">
      <c r="A1577" s="10">
        <v>46159.011513634265</v>
      </c>
      <c r="B1577" s="11" t="s">
        <v>20</v>
      </c>
      <c r="C1577" s="11">
        <v>500.0</v>
      </c>
      <c r="D1577" s="11" t="s">
        <v>127</v>
      </c>
      <c r="H1577" s="11" t="s">
        <v>21</v>
      </c>
      <c r="L1577" s="11" t="s">
        <v>23</v>
      </c>
    </row>
    <row r="1578" ht="22.5" customHeight="1">
      <c r="A1578" s="10">
        <v>46159.41415265047</v>
      </c>
      <c r="B1578" s="11" t="s">
        <v>20</v>
      </c>
      <c r="C1578" s="11">
        <v>768.0</v>
      </c>
      <c r="D1578" s="11" t="s">
        <v>128</v>
      </c>
      <c r="H1578" s="11" t="s">
        <v>26</v>
      </c>
      <c r="J1578" s="11" t="s">
        <v>50</v>
      </c>
    </row>
    <row r="1579" ht="22.5" customHeight="1">
      <c r="A1579" s="10">
        <v>46159.41498686343</v>
      </c>
      <c r="B1579" s="11" t="s">
        <v>20</v>
      </c>
      <c r="C1579" s="11">
        <v>249.0</v>
      </c>
      <c r="D1579" s="11" t="s">
        <v>127</v>
      </c>
      <c r="H1579" s="11" t="s">
        <v>28</v>
      </c>
      <c r="I1579" s="11" t="s">
        <v>35</v>
      </c>
    </row>
    <row r="1580" ht="22.5" customHeight="1">
      <c r="A1580" s="10">
        <v>46159.41517209491</v>
      </c>
      <c r="B1580" s="11" t="s">
        <v>20</v>
      </c>
      <c r="C1580" s="11">
        <v>85.0</v>
      </c>
      <c r="D1580" s="11" t="s">
        <v>127</v>
      </c>
      <c r="H1580" s="11" t="s">
        <v>28</v>
      </c>
      <c r="I1580" s="11" t="s">
        <v>30</v>
      </c>
    </row>
    <row r="1581" ht="22.5" customHeight="1">
      <c r="A1581" s="10">
        <v>46159.762933715276</v>
      </c>
      <c r="B1581" s="11" t="s">
        <v>20</v>
      </c>
      <c r="C1581" s="11">
        <v>159.0</v>
      </c>
      <c r="D1581" s="11" t="s">
        <v>128</v>
      </c>
      <c r="H1581" s="11" t="s">
        <v>28</v>
      </c>
      <c r="I1581" s="11" t="s">
        <v>30</v>
      </c>
    </row>
    <row r="1582" ht="22.5" customHeight="1">
      <c r="A1582" s="10">
        <v>46159.763658449076</v>
      </c>
      <c r="B1582" s="11" t="s">
        <v>20</v>
      </c>
      <c r="C1582" s="11">
        <v>45.0</v>
      </c>
      <c r="D1582" s="11" t="s">
        <v>128</v>
      </c>
      <c r="H1582" s="11" t="s">
        <v>28</v>
      </c>
      <c r="I1582" s="11" t="s">
        <v>29</v>
      </c>
    </row>
    <row r="1583" ht="22.5" customHeight="1">
      <c r="A1583" s="10">
        <v>46159.76391350695</v>
      </c>
      <c r="B1583" s="11" t="s">
        <v>20</v>
      </c>
      <c r="C1583" s="11">
        <v>60.0</v>
      </c>
      <c r="D1583" s="11" t="s">
        <v>128</v>
      </c>
      <c r="H1583" s="11" t="s">
        <v>21</v>
      </c>
      <c r="L1583" s="11" t="s">
        <v>31</v>
      </c>
    </row>
    <row r="1584" ht="22.5" customHeight="1">
      <c r="A1584" s="10">
        <v>46159.76425173611</v>
      </c>
      <c r="B1584" s="11" t="s">
        <v>20</v>
      </c>
      <c r="C1584" s="11">
        <v>129.0</v>
      </c>
      <c r="D1584" s="11" t="s">
        <v>128</v>
      </c>
      <c r="H1584" s="11" t="s">
        <v>28</v>
      </c>
      <c r="I1584" s="11" t="s">
        <v>112</v>
      </c>
    </row>
    <row r="1585" ht="22.5" customHeight="1">
      <c r="A1585" s="10">
        <v>46160.316813206024</v>
      </c>
      <c r="B1585" s="11" t="s">
        <v>20</v>
      </c>
      <c r="C1585" s="11">
        <v>1026.0</v>
      </c>
      <c r="D1585" s="11" t="s">
        <v>127</v>
      </c>
      <c r="H1585" s="11" t="s">
        <v>21</v>
      </c>
      <c r="L1585" s="11" t="s">
        <v>23</v>
      </c>
    </row>
    <row r="1586" ht="22.5" customHeight="1">
      <c r="A1586" s="10">
        <v>46160.31699010417</v>
      </c>
      <c r="B1586" s="11" t="s">
        <v>20</v>
      </c>
      <c r="C1586" s="11">
        <v>2749.0</v>
      </c>
      <c r="D1586" s="11" t="s">
        <v>127</v>
      </c>
      <c r="H1586" s="11" t="s">
        <v>28</v>
      </c>
      <c r="I1586" s="11" t="s">
        <v>34</v>
      </c>
    </row>
    <row r="1587" ht="22.5" customHeight="1">
      <c r="A1587" s="10">
        <v>46160.92009832176</v>
      </c>
      <c r="B1587" s="11" t="s">
        <v>20</v>
      </c>
      <c r="C1587" s="11">
        <v>135.0</v>
      </c>
      <c r="D1587" s="11" t="s">
        <v>128</v>
      </c>
      <c r="H1587" s="11" t="s">
        <v>21</v>
      </c>
      <c r="L1587" s="11" t="s">
        <v>23</v>
      </c>
    </row>
    <row r="1588" ht="22.5" customHeight="1">
      <c r="A1588" s="10">
        <v>46160.920627037034</v>
      </c>
      <c r="B1588" s="11" t="s">
        <v>20</v>
      </c>
      <c r="C1588" s="11">
        <v>2331.0</v>
      </c>
      <c r="D1588" s="11" t="s">
        <v>141</v>
      </c>
      <c r="H1588" s="11" t="s">
        <v>24</v>
      </c>
      <c r="M1588" s="11" t="s">
        <v>49</v>
      </c>
      <c r="S1588" s="11" t="s">
        <v>362</v>
      </c>
    </row>
    <row r="1589" ht="22.5" customHeight="1">
      <c r="A1589" s="10">
        <v>46163.84770261574</v>
      </c>
      <c r="B1589" s="11" t="s">
        <v>20</v>
      </c>
      <c r="C1589" s="11">
        <v>150.0</v>
      </c>
      <c r="D1589" s="11" t="s">
        <v>127</v>
      </c>
      <c r="H1589" s="11" t="s">
        <v>24</v>
      </c>
      <c r="M1589" s="11" t="s">
        <v>25</v>
      </c>
    </row>
    <row r="1590" ht="22.5" customHeight="1">
      <c r="A1590" s="10">
        <v>46163.84784637731</v>
      </c>
      <c r="B1590" s="11" t="s">
        <v>20</v>
      </c>
      <c r="C1590" s="11">
        <v>250.0</v>
      </c>
      <c r="D1590" s="11" t="s">
        <v>128</v>
      </c>
      <c r="H1590" s="11" t="s">
        <v>94</v>
      </c>
      <c r="O1590" s="11" t="s">
        <v>153</v>
      </c>
    </row>
    <row r="1591" ht="22.5" customHeight="1">
      <c r="A1591" s="10">
        <v>46165.012280173614</v>
      </c>
      <c r="B1591" s="11" t="s">
        <v>20</v>
      </c>
      <c r="C1591" s="11">
        <v>180.0</v>
      </c>
      <c r="D1591" s="11" t="s">
        <v>127</v>
      </c>
      <c r="H1591" s="11" t="s">
        <v>24</v>
      </c>
      <c r="M1591" s="11" t="s">
        <v>25</v>
      </c>
    </row>
    <row r="1592" ht="22.5" customHeight="1">
      <c r="A1592" s="10">
        <v>46166.06972107639</v>
      </c>
      <c r="B1592" s="11" t="s">
        <v>20</v>
      </c>
      <c r="C1592" s="11">
        <v>1885.0</v>
      </c>
      <c r="D1592" s="11" t="s">
        <v>127</v>
      </c>
      <c r="H1592" s="11" t="s">
        <v>28</v>
      </c>
      <c r="I1592" s="11" t="s">
        <v>44</v>
      </c>
      <c r="S1592" s="11" t="s">
        <v>234</v>
      </c>
      <c r="T1592" s="11" t="s">
        <v>86</v>
      </c>
    </row>
    <row r="1593" ht="22.5" customHeight="1">
      <c r="A1593" s="10">
        <v>46166.07056824074</v>
      </c>
      <c r="B1593" s="11" t="s">
        <v>20</v>
      </c>
      <c r="C1593" s="11">
        <v>1014.0</v>
      </c>
      <c r="D1593" s="11" t="s">
        <v>127</v>
      </c>
      <c r="H1593" s="11" t="s">
        <v>26</v>
      </c>
      <c r="J1593" s="11" t="s">
        <v>27</v>
      </c>
    </row>
    <row r="1594" ht="22.5" customHeight="1">
      <c r="A1594" s="10">
        <v>46166.07081635417</v>
      </c>
      <c r="B1594" s="11" t="s">
        <v>20</v>
      </c>
      <c r="C1594" s="11">
        <v>2427.0</v>
      </c>
      <c r="D1594" s="11" t="s">
        <v>127</v>
      </c>
      <c r="H1594" s="11" t="s">
        <v>28</v>
      </c>
      <c r="I1594" s="11" t="s">
        <v>34</v>
      </c>
    </row>
    <row r="1595" ht="22.5" customHeight="1">
      <c r="A1595" s="10">
        <v>46166.07097165509</v>
      </c>
      <c r="B1595" s="11" t="s">
        <v>20</v>
      </c>
      <c r="C1595" s="11">
        <v>168.0</v>
      </c>
      <c r="D1595" s="11" t="s">
        <v>127</v>
      </c>
      <c r="H1595" s="11" t="s">
        <v>28</v>
      </c>
      <c r="I1595" s="11" t="s">
        <v>34</v>
      </c>
    </row>
    <row r="1596" ht="22.5" customHeight="1">
      <c r="A1596" s="10">
        <v>46166.07119137731</v>
      </c>
      <c r="B1596" s="11" t="s">
        <v>20</v>
      </c>
      <c r="C1596" s="11">
        <v>20.0</v>
      </c>
      <c r="D1596" s="11" t="s">
        <v>127</v>
      </c>
      <c r="H1596" s="11" t="s">
        <v>21</v>
      </c>
      <c r="L1596" s="11" t="s">
        <v>176</v>
      </c>
    </row>
    <row r="1597" ht="22.5" customHeight="1">
      <c r="A1597" s="10">
        <v>46166.88398697917</v>
      </c>
      <c r="B1597" s="11" t="s">
        <v>20</v>
      </c>
      <c r="C1597" s="11">
        <v>252.0</v>
      </c>
      <c r="D1597" s="11" t="s">
        <v>128</v>
      </c>
      <c r="H1597" s="11" t="s">
        <v>28</v>
      </c>
      <c r="I1597" s="11" t="s">
        <v>34</v>
      </c>
    </row>
    <row r="1598" ht="22.5" customHeight="1">
      <c r="A1598" s="10">
        <v>46170.62451443287</v>
      </c>
      <c r="B1598" s="11" t="s">
        <v>20</v>
      </c>
      <c r="C1598" s="11">
        <v>738.0</v>
      </c>
      <c r="D1598" s="11" t="s">
        <v>128</v>
      </c>
      <c r="H1598" s="11" t="s">
        <v>26</v>
      </c>
      <c r="J1598" s="11" t="s">
        <v>50</v>
      </c>
    </row>
    <row r="1599" ht="22.5" customHeight="1">
      <c r="A1599" s="10">
        <v>46170.62481212963</v>
      </c>
      <c r="B1599" s="11" t="s">
        <v>20</v>
      </c>
      <c r="C1599" s="11">
        <v>272.0</v>
      </c>
      <c r="D1599" s="11" t="s">
        <v>127</v>
      </c>
      <c r="H1599" s="11" t="s">
        <v>28</v>
      </c>
      <c r="I1599" s="11" t="s">
        <v>30</v>
      </c>
    </row>
    <row r="1600" ht="22.5" customHeight="1">
      <c r="A1600" s="10">
        <v>46171.440358912034</v>
      </c>
      <c r="B1600" s="11" t="s">
        <v>20</v>
      </c>
      <c r="C1600" s="11">
        <v>566.0</v>
      </c>
      <c r="D1600" s="11" t="s">
        <v>128</v>
      </c>
      <c r="H1600" s="11" t="s">
        <v>21</v>
      </c>
      <c r="L1600" s="11" t="s">
        <v>202</v>
      </c>
    </row>
    <row r="1601" ht="22.5" customHeight="1">
      <c r="A1601" s="10">
        <v>46171.44063146991</v>
      </c>
      <c r="B1601" s="11" t="s">
        <v>20</v>
      </c>
      <c r="C1601" s="11">
        <v>1100.0</v>
      </c>
      <c r="D1601" s="11" t="s">
        <v>128</v>
      </c>
      <c r="H1601" s="11" t="s">
        <v>28</v>
      </c>
      <c r="I1601" s="11" t="s">
        <v>34</v>
      </c>
      <c r="S1601" s="11" t="s">
        <v>207</v>
      </c>
      <c r="T1601" s="11" t="s">
        <v>86</v>
      </c>
    </row>
    <row r="1602" ht="22.5" customHeight="1">
      <c r="A1602" s="10">
        <v>46175.805553784725</v>
      </c>
      <c r="B1602" s="11" t="s">
        <v>20</v>
      </c>
      <c r="C1602" s="11">
        <v>145.0</v>
      </c>
      <c r="D1602" s="11" t="s">
        <v>128</v>
      </c>
      <c r="H1602" s="11" t="s">
        <v>28</v>
      </c>
      <c r="I1602" s="11" t="s">
        <v>30</v>
      </c>
    </row>
    <row r="1603" ht="22.5" customHeight="1">
      <c r="A1603" s="10">
        <v>46175.80567452546</v>
      </c>
      <c r="B1603" s="11" t="s">
        <v>20</v>
      </c>
      <c r="C1603" s="11">
        <v>99.0</v>
      </c>
      <c r="D1603" s="11" t="s">
        <v>128</v>
      </c>
      <c r="H1603" s="11" t="s">
        <v>28</v>
      </c>
      <c r="I1603" s="11" t="s">
        <v>30</v>
      </c>
    </row>
    <row r="1604" ht="22.5" customHeight="1">
      <c r="A1604" s="10">
        <v>46178.83898892361</v>
      </c>
      <c r="B1604" s="11" t="s">
        <v>20</v>
      </c>
      <c r="C1604" s="11">
        <v>159.0</v>
      </c>
      <c r="D1604" s="11" t="s">
        <v>127</v>
      </c>
      <c r="H1604" s="11" t="s">
        <v>28</v>
      </c>
      <c r="I1604" s="11" t="s">
        <v>30</v>
      </c>
    </row>
    <row r="1605" ht="22.5" customHeight="1">
      <c r="A1605" s="10">
        <v>46178.841441261575</v>
      </c>
      <c r="B1605" s="11" t="s">
        <v>20</v>
      </c>
      <c r="C1605" s="11">
        <v>68521.0</v>
      </c>
      <c r="D1605" s="11">
        <v>2.0260602E7</v>
      </c>
      <c r="H1605" s="11" t="s">
        <v>24</v>
      </c>
      <c r="M1605" s="11" t="s">
        <v>54</v>
      </c>
      <c r="S1605" s="11" t="s">
        <v>363</v>
      </c>
      <c r="T1605" s="11" t="s">
        <v>42</v>
      </c>
    </row>
    <row r="1606" ht="22.5" customHeight="1">
      <c r="A1606" s="10">
        <v>46178.84170333333</v>
      </c>
      <c r="B1606" s="11" t="s">
        <v>20</v>
      </c>
      <c r="C1606" s="11">
        <v>20000.0</v>
      </c>
      <c r="D1606" s="11" t="s">
        <v>128</v>
      </c>
      <c r="H1606" s="11" t="s">
        <v>51</v>
      </c>
      <c r="K1606" s="11" t="s">
        <v>98</v>
      </c>
    </row>
    <row r="1607" ht="22.5" customHeight="1">
      <c r="A1607" s="10">
        <v>46178.84185383102</v>
      </c>
      <c r="B1607" s="11" t="s">
        <v>20</v>
      </c>
      <c r="C1607" s="11">
        <v>6000.0</v>
      </c>
      <c r="D1607" s="11" t="s">
        <v>128</v>
      </c>
      <c r="H1607" s="11" t="s">
        <v>51</v>
      </c>
      <c r="K1607" s="11" t="s">
        <v>131</v>
      </c>
    </row>
    <row r="1608" ht="22.5" customHeight="1">
      <c r="A1608" s="10">
        <v>46178.84200495371</v>
      </c>
      <c r="B1608" s="11" t="s">
        <v>38</v>
      </c>
      <c r="C1608" s="11">
        <v>6000.0</v>
      </c>
      <c r="D1608" s="11" t="s">
        <v>128</v>
      </c>
      <c r="E1608" s="11" t="s">
        <v>39</v>
      </c>
      <c r="G1608" s="11" t="s">
        <v>139</v>
      </c>
    </row>
    <row r="1609" ht="22.5" customHeight="1">
      <c r="A1609" s="10">
        <v>46180.10260489583</v>
      </c>
      <c r="B1609" s="11" t="s">
        <v>20</v>
      </c>
      <c r="C1609" s="11">
        <v>359.0</v>
      </c>
      <c r="D1609" s="11" t="s">
        <v>127</v>
      </c>
      <c r="H1609" s="11" t="s">
        <v>28</v>
      </c>
      <c r="I1609" s="11" t="s">
        <v>34</v>
      </c>
    </row>
    <row r="1610" ht="22.5" customHeight="1">
      <c r="A1610" s="10">
        <v>46180.10287785879</v>
      </c>
      <c r="B1610" s="11" t="s">
        <v>20</v>
      </c>
      <c r="C1610" s="11">
        <v>630.0</v>
      </c>
      <c r="D1610" s="11" t="s">
        <v>127</v>
      </c>
      <c r="H1610" s="11" t="s">
        <v>28</v>
      </c>
      <c r="I1610" s="11" t="s">
        <v>44</v>
      </c>
    </row>
    <row r="1611" ht="22.5" customHeight="1">
      <c r="A1611" s="12">
        <v>46180.38429398148</v>
      </c>
      <c r="B1611" s="11" t="s">
        <v>38</v>
      </c>
      <c r="C1611" s="11">
        <v>110300.0</v>
      </c>
      <c r="D1611" s="11" t="s">
        <v>128</v>
      </c>
      <c r="E1611" s="11" t="s">
        <v>61</v>
      </c>
      <c r="F1611" s="11" t="s">
        <v>62</v>
      </c>
      <c r="H1611" s="11"/>
      <c r="I1611" s="11"/>
      <c r="T1611" s="11"/>
    </row>
    <row r="1612" ht="22.5" customHeight="1">
      <c r="A1612" s="12">
        <v>46180.38429398148</v>
      </c>
      <c r="B1612" s="11" t="s">
        <v>20</v>
      </c>
      <c r="C1612" s="11">
        <v>1553.0</v>
      </c>
      <c r="D1612" s="11" t="s">
        <v>128</v>
      </c>
      <c r="H1612" s="11" t="s">
        <v>28</v>
      </c>
      <c r="I1612" s="11" t="s">
        <v>33</v>
      </c>
      <c r="T1612" s="11"/>
    </row>
    <row r="1613" ht="22.5" customHeight="1">
      <c r="A1613" s="12">
        <v>46180.38429398148</v>
      </c>
      <c r="B1613" s="11" t="s">
        <v>20</v>
      </c>
      <c r="C1613" s="11">
        <v>4412.0</v>
      </c>
      <c r="D1613" s="11" t="s">
        <v>128</v>
      </c>
      <c r="H1613" s="11" t="s">
        <v>59</v>
      </c>
      <c r="I1613" s="11"/>
      <c r="R1613" s="11" t="s">
        <v>60</v>
      </c>
      <c r="T1613" s="11"/>
    </row>
    <row r="1614" ht="22.5" customHeight="1">
      <c r="A1614" s="12">
        <v>46180.38429398148</v>
      </c>
      <c r="B1614" s="11" t="s">
        <v>20</v>
      </c>
      <c r="C1614" s="11">
        <v>6203.0</v>
      </c>
      <c r="D1614" s="11" t="s">
        <v>128</v>
      </c>
      <c r="H1614" s="11" t="s">
        <v>57</v>
      </c>
      <c r="I1614" s="11"/>
      <c r="N1614" s="11" t="s">
        <v>58</v>
      </c>
      <c r="T1614" s="11"/>
    </row>
    <row r="1615" ht="22.5" customHeight="1">
      <c r="A1615" s="12">
        <v>46180.38429398148</v>
      </c>
      <c r="B1615" s="11" t="s">
        <v>20</v>
      </c>
      <c r="C1615" s="11">
        <v>552.0</v>
      </c>
      <c r="D1615" s="11" t="s">
        <v>128</v>
      </c>
      <c r="H1615" s="11" t="s">
        <v>24</v>
      </c>
      <c r="I1615" s="11"/>
      <c r="M1615" s="11" t="s">
        <v>32</v>
      </c>
      <c r="T1615" s="11"/>
    </row>
    <row r="1616" ht="22.5" customHeight="1">
      <c r="A1616" s="12">
        <v>46180.38429398148</v>
      </c>
      <c r="B1616" s="11" t="s">
        <v>20</v>
      </c>
      <c r="C1616" s="11">
        <v>3810.0</v>
      </c>
      <c r="D1616" s="11" t="s">
        <v>128</v>
      </c>
      <c r="H1616" s="11" t="s">
        <v>57</v>
      </c>
      <c r="I1616" s="11"/>
      <c r="N1616" s="11" t="s">
        <v>75</v>
      </c>
      <c r="T1616" s="11"/>
    </row>
    <row r="1617" ht="22.5" customHeight="1">
      <c r="A1617" s="10">
        <v>46180.38700207176</v>
      </c>
      <c r="B1617" s="11" t="s">
        <v>20</v>
      </c>
      <c r="C1617" s="11">
        <v>20.0</v>
      </c>
      <c r="D1617" s="11">
        <v>2.026053E7</v>
      </c>
      <c r="H1617" s="11" t="s">
        <v>21</v>
      </c>
      <c r="L1617" s="11" t="s">
        <v>31</v>
      </c>
    </row>
    <row r="1618" ht="22.5" customHeight="1">
      <c r="A1618" s="10">
        <v>46180.38737778935</v>
      </c>
      <c r="B1618" s="11" t="s">
        <v>20</v>
      </c>
      <c r="C1618" s="11">
        <v>400.0</v>
      </c>
      <c r="D1618" s="11">
        <v>2.026053E7</v>
      </c>
      <c r="H1618" s="11" t="s">
        <v>21</v>
      </c>
      <c r="L1618" s="11" t="s">
        <v>77</v>
      </c>
    </row>
    <row r="1619" ht="22.5" customHeight="1">
      <c r="A1619" s="10">
        <v>46180.388417476854</v>
      </c>
      <c r="B1619" s="11" t="s">
        <v>20</v>
      </c>
      <c r="C1619" s="11">
        <v>95804.0</v>
      </c>
      <c r="D1619" s="11">
        <v>2.026053E7</v>
      </c>
      <c r="H1619" s="11" t="s">
        <v>57</v>
      </c>
      <c r="N1619" s="11" t="s">
        <v>75</v>
      </c>
      <c r="S1619" s="11" t="s">
        <v>364</v>
      </c>
      <c r="T1619" s="11" t="s">
        <v>42</v>
      </c>
    </row>
    <row r="1620" ht="22.5" customHeight="1">
      <c r="A1620" s="10">
        <v>46180.408768043984</v>
      </c>
      <c r="B1620" s="11" t="s">
        <v>20</v>
      </c>
      <c r="C1620" s="11">
        <v>558.0</v>
      </c>
      <c r="D1620" s="11">
        <v>2.026053E7</v>
      </c>
      <c r="H1620" s="11" t="s">
        <v>51</v>
      </c>
      <c r="K1620" s="11" t="s">
        <v>124</v>
      </c>
    </row>
    <row r="1621" ht="22.5" customHeight="1">
      <c r="A1621" s="10">
        <v>46180.58609402778</v>
      </c>
      <c r="B1621" s="11" t="s">
        <v>20</v>
      </c>
      <c r="C1621" s="11">
        <v>279.0</v>
      </c>
      <c r="D1621" s="11" t="s">
        <v>128</v>
      </c>
      <c r="H1621" s="11" t="s">
        <v>26</v>
      </c>
      <c r="J1621" s="11" t="s">
        <v>27</v>
      </c>
    </row>
    <row r="1622" ht="22.5" customHeight="1">
      <c r="A1622" s="10">
        <v>46180.947727719904</v>
      </c>
      <c r="B1622" s="11" t="s">
        <v>20</v>
      </c>
      <c r="C1622" s="11">
        <v>877.0</v>
      </c>
      <c r="D1622" s="11" t="s">
        <v>128</v>
      </c>
      <c r="H1622" s="11" t="s">
        <v>21</v>
      </c>
      <c r="L1622" s="11" t="s">
        <v>23</v>
      </c>
    </row>
    <row r="1623" ht="22.5" customHeight="1">
      <c r="A1623" s="10">
        <v>46188.04381206019</v>
      </c>
      <c r="B1623" s="11" t="s">
        <v>20</v>
      </c>
      <c r="C1623" s="11">
        <v>690.0</v>
      </c>
      <c r="D1623" s="11" t="s">
        <v>128</v>
      </c>
      <c r="H1623" s="11" t="s">
        <v>118</v>
      </c>
      <c r="P1623" s="11" t="s">
        <v>119</v>
      </c>
    </row>
    <row r="1624" ht="22.5" customHeight="1">
      <c r="A1624" s="10">
        <v>46188.047423842596</v>
      </c>
      <c r="B1624" s="11" t="s">
        <v>20</v>
      </c>
      <c r="C1624" s="11">
        <v>1077.0</v>
      </c>
      <c r="D1624" s="11" t="s">
        <v>127</v>
      </c>
      <c r="H1624" s="11" t="s">
        <v>21</v>
      </c>
      <c r="L1624" s="11" t="s">
        <v>23</v>
      </c>
    </row>
    <row r="1625" ht="22.5" customHeight="1">
      <c r="A1625" s="10">
        <v>46188.04760738426</v>
      </c>
      <c r="B1625" s="11" t="s">
        <v>20</v>
      </c>
      <c r="C1625" s="11">
        <v>843.0</v>
      </c>
      <c r="D1625" s="11" t="s">
        <v>127</v>
      </c>
      <c r="H1625" s="11" t="s">
        <v>28</v>
      </c>
      <c r="I1625" s="11" t="s">
        <v>34</v>
      </c>
    </row>
    <row r="1626" ht="22.5" customHeight="1">
      <c r="A1626" s="10">
        <v>46188.0479302662</v>
      </c>
      <c r="B1626" s="11" t="s">
        <v>20</v>
      </c>
      <c r="C1626" s="11">
        <v>1798.0</v>
      </c>
      <c r="D1626" s="11" t="s">
        <v>127</v>
      </c>
      <c r="H1626" s="11" t="s">
        <v>28</v>
      </c>
      <c r="I1626" s="11" t="s">
        <v>34</v>
      </c>
    </row>
    <row r="1627" ht="22.5" customHeight="1">
      <c r="A1627" s="10">
        <v>46189.34452377315</v>
      </c>
      <c r="B1627" s="11" t="s">
        <v>20</v>
      </c>
      <c r="C1627" s="11">
        <v>60.0</v>
      </c>
      <c r="D1627" s="11" t="s">
        <v>127</v>
      </c>
      <c r="H1627" s="11" t="s">
        <v>26</v>
      </c>
      <c r="J1627" s="11" t="s">
        <v>27</v>
      </c>
    </row>
    <row r="1628" ht="22.5" customHeight="1">
      <c r="A1628" s="10">
        <v>46192.846481458335</v>
      </c>
      <c r="B1628" s="11" t="s">
        <v>20</v>
      </c>
      <c r="C1628" s="11">
        <v>182.0</v>
      </c>
      <c r="D1628" s="11" t="s">
        <v>128</v>
      </c>
      <c r="H1628" s="11" t="s">
        <v>21</v>
      </c>
      <c r="L1628" s="11" t="s">
        <v>23</v>
      </c>
    </row>
    <row r="1629" ht="22.5" customHeight="1">
      <c r="A1629" s="10">
        <v>46192.84661771991</v>
      </c>
      <c r="B1629" s="11" t="s">
        <v>20</v>
      </c>
      <c r="C1629" s="11">
        <v>115.0</v>
      </c>
      <c r="D1629" s="11" t="s">
        <v>127</v>
      </c>
      <c r="H1629" s="11" t="s">
        <v>28</v>
      </c>
      <c r="I1629" s="11" t="s">
        <v>30</v>
      </c>
    </row>
    <row r="1630" ht="22.5" customHeight="1">
      <c r="A1630" s="10">
        <v>46194.15050582176</v>
      </c>
      <c r="B1630" s="11" t="s">
        <v>20</v>
      </c>
      <c r="C1630" s="11">
        <v>650.0</v>
      </c>
      <c r="D1630" s="11" t="s">
        <v>128</v>
      </c>
      <c r="H1630" s="11" t="s">
        <v>28</v>
      </c>
      <c r="I1630" s="11" t="s">
        <v>43</v>
      </c>
    </row>
    <row r="1631" ht="22.5" customHeight="1">
      <c r="A1631" s="10">
        <v>46194.91983644676</v>
      </c>
      <c r="B1631" s="11" t="s">
        <v>20</v>
      </c>
      <c r="C1631" s="11">
        <v>150.0</v>
      </c>
      <c r="D1631" s="11" t="s">
        <v>128</v>
      </c>
      <c r="H1631" s="11" t="s">
        <v>28</v>
      </c>
      <c r="I1631" s="11" t="s">
        <v>35</v>
      </c>
    </row>
    <row r="1632" ht="22.5" customHeight="1">
      <c r="A1632" s="10">
        <v>46195.98088754629</v>
      </c>
      <c r="B1632" s="11" t="s">
        <v>20</v>
      </c>
      <c r="C1632" s="11">
        <v>3106.0</v>
      </c>
      <c r="D1632" s="11" t="s">
        <v>128</v>
      </c>
      <c r="H1632" s="11" t="s">
        <v>28</v>
      </c>
      <c r="I1632" s="11" t="s">
        <v>30</v>
      </c>
    </row>
    <row r="1633" ht="22.5" customHeight="1">
      <c r="A1633" s="10">
        <v>46195.98128912037</v>
      </c>
      <c r="B1633" s="11" t="s">
        <v>20</v>
      </c>
      <c r="C1633" s="11">
        <v>1299.0</v>
      </c>
      <c r="D1633" s="11" t="s">
        <v>128</v>
      </c>
      <c r="H1633" s="11" t="s">
        <v>16</v>
      </c>
      <c r="Q1633" s="11" t="s">
        <v>47</v>
      </c>
      <c r="S1633" s="11" t="s">
        <v>365</v>
      </c>
    </row>
    <row r="1634" ht="22.5" customHeight="1">
      <c r="A1634" s="10">
        <v>46196.85733604166</v>
      </c>
      <c r="B1634" s="11" t="s">
        <v>20</v>
      </c>
      <c r="C1634" s="11">
        <v>150.0</v>
      </c>
      <c r="D1634" s="11">
        <v>2.026062E7</v>
      </c>
      <c r="H1634" s="11" t="s">
        <v>21</v>
      </c>
      <c r="L1634" s="11" t="s">
        <v>202</v>
      </c>
    </row>
    <row r="1635" ht="22.5" customHeight="1">
      <c r="A1635" s="10">
        <v>46197.01810623842</v>
      </c>
      <c r="B1635" s="11" t="s">
        <v>20</v>
      </c>
      <c r="C1635" s="11">
        <v>300.0</v>
      </c>
      <c r="D1635" s="11" t="s">
        <v>127</v>
      </c>
      <c r="H1635" s="11" t="s">
        <v>28</v>
      </c>
      <c r="I1635" s="11" t="s">
        <v>44</v>
      </c>
    </row>
    <row r="1636" ht="22.5" customHeight="1">
      <c r="A1636" s="10">
        <v>46200.27156340278</v>
      </c>
      <c r="B1636" s="11" t="s">
        <v>20</v>
      </c>
      <c r="C1636" s="11">
        <v>180.0</v>
      </c>
      <c r="D1636" s="11" t="s">
        <v>127</v>
      </c>
      <c r="H1636" s="11" t="s">
        <v>24</v>
      </c>
      <c r="M1636" s="11" t="s">
        <v>25</v>
      </c>
    </row>
    <row r="1637" ht="22.5" customHeight="1">
      <c r="A1637" s="10">
        <v>46200.27175716435</v>
      </c>
      <c r="B1637" s="11" t="s">
        <v>20</v>
      </c>
      <c r="C1637" s="11">
        <v>153.0</v>
      </c>
      <c r="D1637" s="11" t="s">
        <v>127</v>
      </c>
      <c r="H1637" s="11" t="s">
        <v>21</v>
      </c>
      <c r="L1637" s="11" t="s">
        <v>22</v>
      </c>
    </row>
    <row r="1638" ht="22.5" customHeight="1">
      <c r="A1638" s="10">
        <v>46201.37828862268</v>
      </c>
      <c r="B1638" s="11" t="s">
        <v>20</v>
      </c>
      <c r="C1638" s="11">
        <v>944.0</v>
      </c>
      <c r="D1638" s="11" t="s">
        <v>127</v>
      </c>
      <c r="H1638" s="11" t="s">
        <v>21</v>
      </c>
      <c r="L1638" s="11" t="s">
        <v>23</v>
      </c>
    </row>
    <row r="1639" ht="22.5" customHeight="1">
      <c r="A1639" s="10">
        <v>46201.378446400464</v>
      </c>
      <c r="B1639" s="11" t="s">
        <v>20</v>
      </c>
      <c r="C1639" s="11">
        <v>3171.0</v>
      </c>
      <c r="D1639" s="11" t="s">
        <v>127</v>
      </c>
      <c r="H1639" s="11" t="s">
        <v>28</v>
      </c>
      <c r="I1639" s="11" t="s">
        <v>34</v>
      </c>
    </row>
    <row r="1640" ht="22.5" customHeight="1">
      <c r="A1640" s="10">
        <v>46205.29167520833</v>
      </c>
      <c r="B1640" s="11" t="s">
        <v>20</v>
      </c>
      <c r="C1640" s="11">
        <v>699.0</v>
      </c>
      <c r="D1640" s="11" t="s">
        <v>128</v>
      </c>
      <c r="H1640" s="11" t="s">
        <v>21</v>
      </c>
      <c r="L1640" s="11" t="s">
        <v>46</v>
      </c>
    </row>
    <row r="1641" ht="22.5" customHeight="1">
      <c r="A1641" s="10">
        <v>46205.80296770833</v>
      </c>
      <c r="B1641" s="11" t="s">
        <v>20</v>
      </c>
      <c r="C1641" s="11">
        <v>132.0</v>
      </c>
      <c r="D1641" s="11" t="s">
        <v>128</v>
      </c>
      <c r="H1641" s="11" t="s">
        <v>21</v>
      </c>
      <c r="L1641" s="11" t="s">
        <v>23</v>
      </c>
    </row>
    <row r="1642" ht="22.5" customHeight="1">
      <c r="A1642" s="10">
        <v>46205.803113229165</v>
      </c>
      <c r="B1642" s="11" t="s">
        <v>20</v>
      </c>
      <c r="C1642" s="11">
        <v>145.0</v>
      </c>
      <c r="D1642" s="11" t="s">
        <v>128</v>
      </c>
      <c r="H1642" s="11" t="s">
        <v>28</v>
      </c>
      <c r="I1642" s="11" t="s">
        <v>30</v>
      </c>
    </row>
    <row r="1643" ht="22.5" customHeight="1">
      <c r="A1643" s="10">
        <v>46207.27088570602</v>
      </c>
      <c r="B1643" s="11" t="s">
        <v>20</v>
      </c>
      <c r="C1643" s="11">
        <v>1025.0</v>
      </c>
      <c r="D1643" s="11" t="s">
        <v>127</v>
      </c>
      <c r="H1643" s="11" t="s">
        <v>21</v>
      </c>
      <c r="L1643" s="11" t="s">
        <v>36</v>
      </c>
    </row>
    <row r="1644" ht="22.5" customHeight="1">
      <c r="A1644" s="10">
        <v>46208.59301498842</v>
      </c>
      <c r="B1644" s="11" t="s">
        <v>20</v>
      </c>
      <c r="C1644" s="11">
        <v>35.0</v>
      </c>
      <c r="D1644" s="11" t="s">
        <v>128</v>
      </c>
      <c r="H1644" s="11" t="s">
        <v>21</v>
      </c>
      <c r="L1644" s="11" t="s">
        <v>46</v>
      </c>
    </row>
    <row r="1645" ht="22.5" customHeight="1">
      <c r="A1645" s="10">
        <v>46208.593180497686</v>
      </c>
      <c r="B1645" s="11" t="s">
        <v>20</v>
      </c>
      <c r="C1645" s="11">
        <v>765.0</v>
      </c>
      <c r="D1645" s="11" t="s">
        <v>128</v>
      </c>
      <c r="H1645" s="11" t="s">
        <v>21</v>
      </c>
      <c r="L1645" s="11" t="s">
        <v>36</v>
      </c>
    </row>
    <row r="1646" ht="22.5" customHeight="1">
      <c r="A1646" s="10">
        <v>46208.80151100694</v>
      </c>
      <c r="B1646" s="11" t="s">
        <v>20</v>
      </c>
      <c r="C1646" s="11">
        <v>7802.0</v>
      </c>
      <c r="D1646" s="11" t="s">
        <v>128</v>
      </c>
      <c r="H1646" s="11" t="s">
        <v>51</v>
      </c>
      <c r="K1646" s="11" t="s">
        <v>111</v>
      </c>
    </row>
    <row r="1647" ht="22.5" customHeight="1">
      <c r="A1647" s="10">
        <v>46208.80180223379</v>
      </c>
      <c r="B1647" s="11" t="s">
        <v>20</v>
      </c>
      <c r="C1647" s="11">
        <v>1051.0</v>
      </c>
      <c r="D1647" s="11" t="s">
        <v>128</v>
      </c>
      <c r="H1647" s="11" t="s">
        <v>28</v>
      </c>
      <c r="I1647" s="11" t="s">
        <v>34</v>
      </c>
    </row>
    <row r="1648" ht="22.5" customHeight="1">
      <c r="A1648" s="10">
        <v>46208.80194704861</v>
      </c>
      <c r="B1648" s="11" t="s">
        <v>20</v>
      </c>
      <c r="C1648" s="11">
        <v>198.0</v>
      </c>
      <c r="D1648" s="11" t="s">
        <v>128</v>
      </c>
      <c r="H1648" s="11" t="s">
        <v>28</v>
      </c>
      <c r="I1648" s="11" t="s">
        <v>30</v>
      </c>
    </row>
    <row r="1649" ht="22.5" customHeight="1">
      <c r="A1649" s="10">
        <v>46211.43974944444</v>
      </c>
      <c r="B1649" s="11" t="s">
        <v>20</v>
      </c>
      <c r="C1649" s="11">
        <v>528.0</v>
      </c>
      <c r="D1649" s="11">
        <v>2.0260602E7</v>
      </c>
      <c r="H1649" s="11" t="s">
        <v>51</v>
      </c>
      <c r="K1649" s="11" t="s">
        <v>185</v>
      </c>
    </row>
    <row r="1650" ht="22.5" customHeight="1">
      <c r="A1650" s="10">
        <v>46212.80902172453</v>
      </c>
      <c r="B1650" s="11" t="s">
        <v>20</v>
      </c>
      <c r="C1650" s="11">
        <v>159.0</v>
      </c>
      <c r="D1650" s="11" t="s">
        <v>128</v>
      </c>
      <c r="H1650" s="11" t="s">
        <v>28</v>
      </c>
      <c r="I1650" s="11" t="s">
        <v>30</v>
      </c>
    </row>
    <row r="1651" ht="22.5" customHeight="1">
      <c r="A1651" s="10">
        <v>46213.40402136574</v>
      </c>
      <c r="B1651" s="11" t="s">
        <v>20</v>
      </c>
      <c r="C1651" s="11">
        <v>474.0</v>
      </c>
      <c r="D1651" s="11" t="s">
        <v>128</v>
      </c>
      <c r="H1651" s="11" t="s">
        <v>28</v>
      </c>
      <c r="I1651" s="11" t="s">
        <v>34</v>
      </c>
    </row>
    <row r="1652" ht="22.5" customHeight="1">
      <c r="A1652" s="10">
        <v>46213.69216040509</v>
      </c>
      <c r="B1652" s="11" t="s">
        <v>20</v>
      </c>
      <c r="C1652" s="11">
        <v>789.0</v>
      </c>
      <c r="D1652" s="11" t="s">
        <v>128</v>
      </c>
      <c r="H1652" s="11" t="s">
        <v>21</v>
      </c>
      <c r="L1652" s="11" t="s">
        <v>23</v>
      </c>
    </row>
    <row r="1653" ht="22.5" customHeight="1">
      <c r="A1653" s="10">
        <v>46213.98450550926</v>
      </c>
      <c r="B1653" s="11" t="s">
        <v>38</v>
      </c>
      <c r="C1653" s="11">
        <v>110300.0</v>
      </c>
      <c r="D1653" s="11" t="s">
        <v>128</v>
      </c>
      <c r="E1653" s="11" t="s">
        <v>61</v>
      </c>
      <c r="F1653" s="11" t="s">
        <v>62</v>
      </c>
      <c r="S1653" s="11" t="s">
        <v>366</v>
      </c>
      <c r="T1653" s="11" t="s">
        <v>86</v>
      </c>
    </row>
    <row r="1654" ht="22.5" customHeight="1">
      <c r="A1654" s="10">
        <v>46213.98451365741</v>
      </c>
      <c r="B1654" s="11" t="s">
        <v>20</v>
      </c>
      <c r="C1654" s="11">
        <v>1379.0</v>
      </c>
      <c r="D1654" s="11" t="s">
        <v>128</v>
      </c>
      <c r="H1654" s="11" t="s">
        <v>28</v>
      </c>
      <c r="I1654" s="11" t="s">
        <v>33</v>
      </c>
      <c r="S1654" s="11" t="s">
        <v>367</v>
      </c>
      <c r="T1654" s="11" t="s">
        <v>86</v>
      </c>
    </row>
    <row r="1655" ht="22.5" customHeight="1">
      <c r="A1655" s="10">
        <v>46213.984522569444</v>
      </c>
      <c r="B1655" s="11" t="s">
        <v>20</v>
      </c>
      <c r="C1655" s="11">
        <v>6203.0</v>
      </c>
      <c r="D1655" s="11" t="s">
        <v>128</v>
      </c>
      <c r="H1655" s="11" t="s">
        <v>57</v>
      </c>
      <c r="N1655" s="11" t="s">
        <v>58</v>
      </c>
      <c r="S1655" s="11" t="s">
        <v>368</v>
      </c>
      <c r="T1655" s="11" t="s">
        <v>86</v>
      </c>
    </row>
    <row r="1656" ht="22.5" customHeight="1">
      <c r="A1656" s="10">
        <v>46213.98452951389</v>
      </c>
      <c r="B1656" s="11" t="s">
        <v>20</v>
      </c>
      <c r="C1656" s="11">
        <v>552.0</v>
      </c>
      <c r="D1656" s="11" t="s">
        <v>128</v>
      </c>
      <c r="H1656" s="11" t="s">
        <v>24</v>
      </c>
      <c r="M1656" s="11" t="s">
        <v>32</v>
      </c>
      <c r="S1656" s="11" t="s">
        <v>369</v>
      </c>
      <c r="T1656" s="11" t="s">
        <v>86</v>
      </c>
    </row>
    <row r="1657" ht="22.5" customHeight="1">
      <c r="A1657" s="10">
        <v>46213.98453677083</v>
      </c>
      <c r="B1657" s="11" t="s">
        <v>20</v>
      </c>
      <c r="C1657" s="11">
        <v>3810.0</v>
      </c>
      <c r="D1657" s="11" t="s">
        <v>128</v>
      </c>
      <c r="H1657" s="11" t="s">
        <v>57</v>
      </c>
      <c r="N1657" s="11" t="s">
        <v>75</v>
      </c>
      <c r="S1657" s="11" t="s">
        <v>370</v>
      </c>
      <c r="T1657" s="11" t="s">
        <v>86</v>
      </c>
    </row>
    <row r="1658" ht="22.5" customHeight="1">
      <c r="A1658" s="10">
        <v>46214.01004422454</v>
      </c>
      <c r="B1658" s="11" t="s">
        <v>38</v>
      </c>
      <c r="C1658" s="11">
        <v>6000.0</v>
      </c>
      <c r="D1658" s="11" t="s">
        <v>128</v>
      </c>
      <c r="E1658" s="11" t="s">
        <v>39</v>
      </c>
      <c r="G1658" s="11" t="s">
        <v>139</v>
      </c>
    </row>
    <row r="1659" ht="22.5" customHeight="1">
      <c r="A1659" s="10">
        <v>46214.011466076394</v>
      </c>
      <c r="B1659" s="11" t="s">
        <v>38</v>
      </c>
      <c r="C1659" s="11">
        <v>2800.0</v>
      </c>
      <c r="D1659" s="11">
        <v>2.0260626E7</v>
      </c>
      <c r="E1659" s="11" t="s">
        <v>39</v>
      </c>
      <c r="G1659" s="11" t="s">
        <v>40</v>
      </c>
      <c r="S1659" s="11" t="s">
        <v>371</v>
      </c>
      <c r="T1659" s="11" t="s">
        <v>42</v>
      </c>
    </row>
    <row r="1660" ht="22.5" customHeight="1">
      <c r="A1660" s="10">
        <v>46214.01311240741</v>
      </c>
      <c r="B1660" s="11" t="s">
        <v>20</v>
      </c>
      <c r="C1660" s="11">
        <v>4412.0</v>
      </c>
      <c r="D1660" s="11" t="s">
        <v>128</v>
      </c>
      <c r="H1660" s="11" t="s">
        <v>59</v>
      </c>
      <c r="R1660" s="11" t="s">
        <v>60</v>
      </c>
    </row>
    <row r="1661" ht="22.5" customHeight="1">
      <c r="A1661" s="10">
        <v>46214.01482153936</v>
      </c>
      <c r="B1661" s="11" t="s">
        <v>20</v>
      </c>
      <c r="C1661" s="11">
        <v>356.0</v>
      </c>
      <c r="D1661" s="11">
        <v>2.026063E7</v>
      </c>
      <c r="H1661" s="11" t="s">
        <v>21</v>
      </c>
      <c r="L1661" s="11" t="s">
        <v>31</v>
      </c>
    </row>
    <row r="1662" ht="22.5" customHeight="1">
      <c r="A1662" s="10">
        <v>46214.01523398148</v>
      </c>
      <c r="B1662" s="11" t="s">
        <v>20</v>
      </c>
      <c r="C1662" s="11">
        <v>800.0</v>
      </c>
      <c r="D1662" s="11">
        <v>2.026063E7</v>
      </c>
      <c r="H1662" s="11" t="s">
        <v>21</v>
      </c>
      <c r="L1662" s="11" t="s">
        <v>77</v>
      </c>
    </row>
    <row r="1663" ht="22.5" customHeight="1">
      <c r="A1663" s="10">
        <v>46214.01645114583</v>
      </c>
      <c r="B1663" s="11" t="s">
        <v>20</v>
      </c>
      <c r="C1663" s="11">
        <v>1268.0</v>
      </c>
      <c r="D1663" s="11">
        <v>2.026063E7</v>
      </c>
      <c r="H1663" s="11" t="s">
        <v>51</v>
      </c>
      <c r="K1663" s="11" t="s">
        <v>52</v>
      </c>
    </row>
    <row r="1664" ht="22.5" customHeight="1">
      <c r="A1664" s="10">
        <v>46215.75523445602</v>
      </c>
      <c r="B1664" s="11" t="s">
        <v>20</v>
      </c>
      <c r="C1664" s="11">
        <v>327.0</v>
      </c>
      <c r="D1664" s="11" t="s">
        <v>128</v>
      </c>
      <c r="H1664" s="11" t="s">
        <v>28</v>
      </c>
      <c r="I1664" s="11" t="s">
        <v>34</v>
      </c>
    </row>
    <row r="1665" ht="22.5" customHeight="1">
      <c r="A1665" s="10">
        <v>46215.755395555556</v>
      </c>
      <c r="B1665" s="11" t="s">
        <v>20</v>
      </c>
      <c r="C1665" s="11">
        <v>598.0</v>
      </c>
      <c r="D1665" s="11" t="s">
        <v>128</v>
      </c>
      <c r="H1665" s="11" t="s">
        <v>26</v>
      </c>
      <c r="J1665" s="11" t="s">
        <v>27</v>
      </c>
    </row>
    <row r="1666" ht="22.5" customHeight="1">
      <c r="A1666" s="10">
        <v>46215.75571261574</v>
      </c>
      <c r="B1666" s="11" t="s">
        <v>20</v>
      </c>
      <c r="C1666" s="11">
        <v>82.0</v>
      </c>
      <c r="D1666" s="11" t="s">
        <v>141</v>
      </c>
      <c r="H1666" s="11" t="s">
        <v>26</v>
      </c>
      <c r="J1666" s="11" t="s">
        <v>27</v>
      </c>
    </row>
    <row r="1667" ht="22.5" customHeight="1">
      <c r="A1667" s="10">
        <v>46215.7564109375</v>
      </c>
      <c r="B1667" s="11" t="s">
        <v>20</v>
      </c>
      <c r="C1667" s="11">
        <v>1250.0</v>
      </c>
      <c r="D1667" s="11" t="s">
        <v>141</v>
      </c>
      <c r="H1667" s="11" t="s">
        <v>28</v>
      </c>
      <c r="I1667" s="11" t="s">
        <v>44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16.0"/>
    <col customWidth="1" min="5" max="27" width="18.88"/>
  </cols>
  <sheetData>
    <row r="1">
      <c r="A1" s="13"/>
      <c r="B1" s="14" t="s">
        <v>61</v>
      </c>
      <c r="C1" s="15"/>
      <c r="D1" s="15"/>
      <c r="E1" s="16"/>
      <c r="F1" s="14" t="s">
        <v>39</v>
      </c>
      <c r="G1" s="15"/>
      <c r="H1" s="15"/>
      <c r="I1" s="15"/>
      <c r="J1" s="15"/>
      <c r="K1" s="15"/>
      <c r="L1" s="16"/>
      <c r="M1" s="13"/>
      <c r="N1" s="13"/>
      <c r="O1" s="13"/>
      <c r="P1" s="13"/>
      <c r="Q1" s="13"/>
      <c r="R1" s="13"/>
      <c r="S1" s="13"/>
      <c r="T1" s="13"/>
      <c r="U1" s="17"/>
      <c r="W1" s="13"/>
      <c r="X1" s="13"/>
      <c r="Y1" s="13"/>
      <c r="Z1" s="13"/>
      <c r="AA1" s="13"/>
    </row>
    <row r="2">
      <c r="A2" s="18" t="s">
        <v>38</v>
      </c>
      <c r="B2" s="19" t="s">
        <v>372</v>
      </c>
      <c r="C2" s="19" t="s">
        <v>373</v>
      </c>
      <c r="D2" s="19" t="s">
        <v>374</v>
      </c>
      <c r="E2" s="19" t="s">
        <v>18</v>
      </c>
      <c r="F2" s="19" t="s">
        <v>40</v>
      </c>
      <c r="G2" s="19" t="s">
        <v>100</v>
      </c>
      <c r="H2" s="19" t="s">
        <v>375</v>
      </c>
      <c r="I2" s="19" t="s">
        <v>376</v>
      </c>
      <c r="J2" s="20" t="s">
        <v>139</v>
      </c>
      <c r="K2" s="19" t="s">
        <v>79</v>
      </c>
      <c r="L2" s="19" t="s">
        <v>18</v>
      </c>
      <c r="M2" s="13"/>
      <c r="N2" s="13"/>
      <c r="O2" s="13"/>
      <c r="P2" s="13"/>
      <c r="Q2" s="13"/>
      <c r="R2" s="13"/>
      <c r="S2" s="13"/>
      <c r="T2" s="13"/>
      <c r="U2" s="17"/>
      <c r="W2" s="13"/>
      <c r="X2" s="13"/>
      <c r="Y2" s="13"/>
      <c r="Z2" s="13"/>
      <c r="AA2" s="13"/>
    </row>
    <row r="3">
      <c r="A3" s="21">
        <v>45474.0</v>
      </c>
      <c r="B3" s="22">
        <f t="shared" ref="B3:D3" si="1">SUMIFS(INDIRECT("C"&amp;$C$70&amp;":C"), INDIRECT("B"&amp;$C$70&amp;":B"), "&gt;="&amp;$A3, INDIRECT("B"&amp;$C$70&amp;":B"), "&lt;"&amp;$A4, INDIRECT("F"&amp;$C$70&amp;":F"), B$2)</f>
        <v>102900</v>
      </c>
      <c r="C3" s="22">
        <f t="shared" si="1"/>
        <v>22150</v>
      </c>
      <c r="D3" s="22">
        <f t="shared" si="1"/>
        <v>100000</v>
      </c>
      <c r="E3" s="23" t="str">
        <f>IFERROR(__xludf.DUMMYFUNCTION("TEXTJOIN("", "", TRUE, FILTER(INDIRECT(""U""&amp;$C$70&amp;"":U""), INDIRECT(""E""&amp;$C$70&amp;"":E"") = $B$1, INDIRECT(""B""&amp;$C$70&amp;"":B"") &gt;= $A3, INDIRECT(""B""&amp;$C$70&amp;"":B"") &lt;$A4))"),"$17150特休折現, $5000體檢補助, $100000七月獎金")</f>
        <v>$17150特休折現, $5000體檢補助, $100000七月獎金</v>
      </c>
      <c r="F3" s="22">
        <f t="shared" ref="F3:K3" si="2">SUMIFS(INDIRECT("C"&amp;$C$70&amp;":C"), INDIRECT("B"&amp;$C$70&amp;":B"), "&gt;="&amp;$A3, INDIRECT("B"&amp;$C$70&amp;":B"), "&lt;"&amp;$A4, INDIRECT("G"&amp;$C$70&amp;":G"), F$2)</f>
        <v>9466</v>
      </c>
      <c r="G3" s="22">
        <f t="shared" si="2"/>
        <v>0</v>
      </c>
      <c r="H3" s="22">
        <f t="shared" si="2"/>
        <v>0</v>
      </c>
      <c r="I3" s="22">
        <f t="shared" si="2"/>
        <v>0</v>
      </c>
      <c r="J3" s="22">
        <f t="shared" si="2"/>
        <v>0</v>
      </c>
      <c r="K3" s="22">
        <f t="shared" si="2"/>
        <v>0</v>
      </c>
      <c r="L3" s="24" t="str">
        <f>IFERROR(__xludf.DUMMYFUNCTION("TEXTJOIN("", "", TRUE, FILTER(INDIRECT(""U""&amp;$C$70&amp;"":U""), INDIRECT(""E""&amp;$C$70&amp;"":E"") = $F$1, INDIRECT(""B""&amp;$C$70&amp;"":B"") &gt;= $A3, INDIRECT(""B""&amp;$C$70&amp;"":B"") &lt;$A4))"),"$930 00751B, $1185元大金, $1990國泰金, $990台泥, $1491開發金, $1490正隆, $1390中再保")</f>
        <v>$930 00751B, $1185元大金, $1990國泰金, $990台泥, $1491開發金, $1490正隆, $1390中再保</v>
      </c>
      <c r="M3" s="13"/>
      <c r="N3" s="13"/>
      <c r="O3" s="13"/>
      <c r="P3" s="13"/>
      <c r="Q3" s="13"/>
      <c r="R3" s="13"/>
      <c r="S3" s="13"/>
      <c r="T3" s="13"/>
      <c r="U3" s="17"/>
      <c r="W3" s="13"/>
      <c r="X3" s="13"/>
      <c r="Y3" s="13"/>
      <c r="Z3" s="13"/>
      <c r="AA3" s="13"/>
    </row>
    <row r="4">
      <c r="A4" s="21">
        <v>45505.0</v>
      </c>
      <c r="B4" s="22">
        <f t="shared" ref="B4:D4" si="3">SUMIFS(INDIRECT("C"&amp;$C$70&amp;":C"), INDIRECT("B"&amp;$C$70&amp;":B"), "&gt;="&amp;$A4, INDIRECT("B"&amp;$C$70&amp;":B"), "&lt;"&amp;$A5, INDIRECT("F"&amp;$C$70&amp;":F"), B$2)</f>
        <v>102900</v>
      </c>
      <c r="C4" s="22">
        <f t="shared" si="3"/>
        <v>1000</v>
      </c>
      <c r="D4" s="22">
        <f t="shared" si="3"/>
        <v>0</v>
      </c>
      <c r="E4" s="23" t="str">
        <f>IFERROR(__xludf.DUMMYFUNCTION("TEXTJOIN("", "", TRUE, FILTER(INDIRECT(""U""&amp;$C$70&amp;"":U""), INDIRECT(""E""&amp;$C$70&amp;"":E"") = $B$1, INDIRECT(""B""&amp;$C$70&amp;"":B"") &gt;= $A4, INDIRECT(""B""&amp;$C$70&amp;"":B"") &lt;$A5))"),"$1000生日禮金")</f>
        <v>$1000生日禮金</v>
      </c>
      <c r="F4" s="22">
        <f t="shared" ref="F4:K4" si="4">SUMIFS(INDIRECT("C"&amp;$C$70&amp;":C"), INDIRECT("B"&amp;$C$70&amp;":B"), "&gt;="&amp;$A4, INDIRECT("B"&amp;$C$70&amp;":B"), "&lt;"&amp;$A5, INDIRECT("G"&amp;$C$70&amp;":G"), F$2)</f>
        <v>13981</v>
      </c>
      <c r="G4" s="22">
        <f t="shared" si="4"/>
        <v>200</v>
      </c>
      <c r="H4" s="22">
        <f t="shared" si="4"/>
        <v>0</v>
      </c>
      <c r="I4" s="22">
        <f t="shared" si="4"/>
        <v>0</v>
      </c>
      <c r="J4" s="22">
        <f t="shared" si="4"/>
        <v>0</v>
      </c>
      <c r="K4" s="22">
        <f t="shared" si="4"/>
        <v>172</v>
      </c>
      <c r="L4" s="24" t="str">
        <f>IFERROR(__xludf.DUMMYFUNCTION("TEXTJOIN("", "", TRUE, FILTER(INDIRECT(""U""&amp;$C$70&amp;"":U""), INDIRECT(""E""&amp;$C$70&amp;"":E"") = $F$1, INDIRECT(""B""&amp;$C$70&amp;"":B"") &gt;= $A4, INDIRECT(""B""&amp;$C$70&amp;"":B"") &lt;$A5))"),"$172禾聯碩出借, $1190皇鼎, $200發票, $850山隆, $2090亞泥, $390聯邦銀, $693中鋼, $973台中銀行, $1846第一金, $1642玉山金, $1845台新金, $2462華南金")</f>
        <v>$172禾聯碩出借, $1190皇鼎, $200發票, $850山隆, $2090亞泥, $390聯邦銀, $693中鋼, $973台中銀行, $1846第一金, $1642玉山金, $1845台新金, $2462華南金</v>
      </c>
      <c r="M4" s="13"/>
      <c r="N4" s="13"/>
      <c r="O4" s="13"/>
      <c r="P4" s="13"/>
      <c r="Q4" s="13"/>
      <c r="R4" s="13"/>
      <c r="S4" s="13"/>
      <c r="T4" s="13"/>
      <c r="U4" s="17"/>
      <c r="W4" s="13"/>
      <c r="X4" s="13"/>
      <c r="Y4" s="13"/>
      <c r="Z4" s="13"/>
      <c r="AA4" s="13"/>
    </row>
    <row r="5">
      <c r="A5" s="21">
        <v>45536.0</v>
      </c>
      <c r="B5" s="22">
        <f t="shared" ref="B5:D5" si="5">SUMIFS(INDIRECT("C"&amp;$C$70&amp;":C"), INDIRECT("B"&amp;$C$70&amp;":B"), "&gt;="&amp;$A5, INDIRECT("B"&amp;$C$70&amp;":B"), "&lt;"&amp;$A6, INDIRECT("F"&amp;$C$70&amp;":F"), B$2)</f>
        <v>102900</v>
      </c>
      <c r="C5" s="22">
        <f t="shared" si="5"/>
        <v>1000</v>
      </c>
      <c r="D5" s="22">
        <f t="shared" si="5"/>
        <v>0</v>
      </c>
      <c r="E5" s="23" t="str">
        <f>IFERROR(__xludf.DUMMYFUNCTION("TEXTJOIN("", "", TRUE, FILTER(INDIRECT(""U""&amp;$C$70&amp;"":U""), INDIRECT(""E""&amp;$C$70&amp;"":E"") = $B$1, INDIRECT(""B""&amp;$C$70&amp;"":B"") &gt;= $A5, INDIRECT(""B""&amp;$C$70&amp;"":B"") &lt;$A6))"),"$1000中秋獎金")</f>
        <v>$1000中秋獎金</v>
      </c>
      <c r="F5" s="22">
        <f t="shared" ref="F5:K5" si="6">SUMIFS(INDIRECT("C"&amp;$C$70&amp;":C"), INDIRECT("B"&amp;$C$70&amp;":B"), "&gt;="&amp;$A5, INDIRECT("B"&amp;$C$70&amp;":B"), "&lt;"&amp;$A6, INDIRECT("G"&amp;$C$70&amp;":G"), F$2)</f>
        <v>16544</v>
      </c>
      <c r="G5" s="22">
        <f t="shared" si="6"/>
        <v>0</v>
      </c>
      <c r="H5" s="22">
        <f t="shared" si="6"/>
        <v>0</v>
      </c>
      <c r="I5" s="22">
        <f t="shared" si="6"/>
        <v>0</v>
      </c>
      <c r="J5" s="22">
        <f t="shared" si="6"/>
        <v>0</v>
      </c>
      <c r="K5" s="22">
        <f t="shared" si="6"/>
        <v>0</v>
      </c>
      <c r="L5" s="24" t="str">
        <f>IFERROR(__xludf.DUMMYFUNCTION("TEXTJOIN("", "", TRUE, FILTER(INDIRECT(""U""&amp;$C$70&amp;"":U""), INDIRECT(""E""&amp;$C$70&amp;"":E"") = $F$1, INDIRECT(""B""&amp;$C$70&amp;"":B"") &gt;= $A5, INDIRECT(""B""&amp;$C$70&amp;"":B"") &lt;$A6))"),"$3440元大美債, $2291台企銀, $1653兆豐金, $2590合庫金, $890高雄銀, $1690彰銀, $3990禾聯碩")</f>
        <v>$3440元大美債, $2291台企銀, $1653兆豐金, $2590合庫金, $890高雄銀, $1690彰銀, $3990禾聯碩</v>
      </c>
      <c r="M5" s="13"/>
      <c r="N5" s="13"/>
      <c r="O5" s="13"/>
      <c r="P5" s="13"/>
      <c r="Q5" s="13"/>
      <c r="R5" s="13"/>
      <c r="S5" s="13"/>
      <c r="T5" s="13"/>
      <c r="U5" s="17"/>
      <c r="W5" s="13"/>
      <c r="X5" s="13"/>
      <c r="Y5" s="13"/>
      <c r="Z5" s="13"/>
      <c r="AA5" s="13"/>
    </row>
    <row r="6">
      <c r="A6" s="21">
        <v>45566.0</v>
      </c>
      <c r="B6" s="22">
        <f t="shared" ref="B6:D6" si="7">SUMIFS(INDIRECT("C"&amp;$C$70&amp;":C"), INDIRECT("B"&amp;$C$70&amp;":B"), "&gt;="&amp;$A6, INDIRECT("B"&amp;$C$70&amp;":B"), "&lt;"&amp;$A7, INDIRECT("F"&amp;$C$70&amp;":F"), B$2)</f>
        <v>0</v>
      </c>
      <c r="C6" s="22">
        <f t="shared" si="7"/>
        <v>0</v>
      </c>
      <c r="D6" s="22">
        <f t="shared" si="7"/>
        <v>75500</v>
      </c>
      <c r="E6" s="23" t="str">
        <f>IFERROR(__xludf.DUMMYFUNCTION("TEXTJOIN("", "", TRUE, FILTER(INDIRECT(""U""&amp;$C$70&amp;"":U""), INDIRECT(""E""&amp;$C$70&amp;"":E"") = $B$1, INDIRECT(""B""&amp;$C$70&amp;"":B"") &gt;= $A6, INDIRECT(""B""&amp;$C$70&amp;"":B"") &lt;$A7))"),"")</f>
        <v/>
      </c>
      <c r="F6" s="22">
        <f t="shared" ref="F6:K6" si="8">SUMIFS(INDIRECT("C"&amp;$C$70&amp;":C"), INDIRECT("B"&amp;$C$70&amp;":B"), "&gt;="&amp;$A6, INDIRECT("B"&amp;$C$70&amp;":B"), "&lt;"&amp;$A7, INDIRECT("G"&amp;$C$70&amp;":G"), F$2)</f>
        <v>6970</v>
      </c>
      <c r="G6" s="22">
        <f t="shared" si="8"/>
        <v>0</v>
      </c>
      <c r="H6" s="22">
        <f t="shared" si="8"/>
        <v>0</v>
      </c>
      <c r="I6" s="22">
        <f t="shared" si="8"/>
        <v>0</v>
      </c>
      <c r="J6" s="22">
        <f t="shared" si="8"/>
        <v>5000</v>
      </c>
      <c r="K6" s="22">
        <f t="shared" si="8"/>
        <v>0</v>
      </c>
      <c r="L6" s="24" t="str">
        <f>IFERROR(__xludf.DUMMYFUNCTION("TEXTJOIN("", "", TRUE, FILTER(INDIRECT(""U""&amp;$C$70&amp;"":U""), INDIRECT(""E""&amp;$C$70&amp;"":E"") = $F$1, INDIRECT(""B""&amp;$C$70&amp;"":B"") &gt;= $A6, INDIRECT(""B""&amp;$C$70&amp;"":B"") &lt;$A7))"),"$5000文心1, $2290元大A級, $4190國泰美債, $490興富發")</f>
        <v>$5000文心1, $2290元大A級, $4190國泰美債, $490興富發</v>
      </c>
      <c r="M6" s="13"/>
      <c r="N6" s="13"/>
      <c r="O6" s="13"/>
      <c r="P6" s="13"/>
      <c r="Q6" s="13"/>
      <c r="R6" s="13"/>
      <c r="S6" s="13"/>
      <c r="T6" s="13"/>
      <c r="U6" s="17"/>
      <c r="W6" s="13"/>
      <c r="X6" s="13"/>
      <c r="Y6" s="13"/>
      <c r="Z6" s="13"/>
      <c r="AA6" s="13"/>
    </row>
    <row r="7">
      <c r="A7" s="21">
        <v>45597.0</v>
      </c>
      <c r="B7" s="22">
        <f t="shared" ref="B7:D7" si="9">SUMIFS(INDIRECT("C"&amp;$C$70&amp;":C"), INDIRECT("B"&amp;$C$70&amp;":B"), "&gt;="&amp;$A7, INDIRECT("B"&amp;$C$70&amp;":B"), "&lt;"&amp;$A8, INDIRECT("F"&amp;$C$70&amp;":F"), B$2)</f>
        <v>102900</v>
      </c>
      <c r="C7" s="22">
        <f t="shared" si="9"/>
        <v>20000</v>
      </c>
      <c r="D7" s="22">
        <f t="shared" si="9"/>
        <v>0</v>
      </c>
      <c r="E7" s="23" t="str">
        <f>IFERROR(__xludf.DUMMYFUNCTION("TEXTJOIN("", "", TRUE, FILTER(INDIRECT(""U""&amp;$C$70&amp;"":U""), INDIRECT(""E""&amp;$C$70&amp;"":E"") = $B$1, INDIRECT(""B""&amp;$C$70&amp;"":B"") &gt;= $A7, INDIRECT(""B""&amp;$C$70&amp;"":B"") &lt;$A8))"),"$20000旅遊補助")</f>
        <v>$20000旅遊補助</v>
      </c>
      <c r="F7" s="22">
        <f t="shared" ref="F7:K7" si="10">SUMIFS(INDIRECT("C"&amp;$C$70&amp;":C"), INDIRECT("B"&amp;$C$70&amp;":B"), "&gt;="&amp;$A7, INDIRECT("B"&amp;$C$70&amp;":B"), "&lt;"&amp;$A8, INDIRECT("G"&amp;$C$70&amp;":G"), F$2)</f>
        <v>4748</v>
      </c>
      <c r="G7" s="22">
        <f t="shared" si="10"/>
        <v>0</v>
      </c>
      <c r="H7" s="22">
        <f t="shared" si="10"/>
        <v>0</v>
      </c>
      <c r="I7" s="22">
        <f t="shared" si="10"/>
        <v>0</v>
      </c>
      <c r="J7" s="22">
        <f t="shared" si="10"/>
        <v>5000</v>
      </c>
      <c r="K7" s="22">
        <f t="shared" si="10"/>
        <v>0</v>
      </c>
      <c r="L7" s="24" t="str">
        <f>IFERROR(__xludf.DUMMYFUNCTION("TEXTJOIN("", "", TRUE, FILTER(INDIRECT(""U""&amp;$C$70&amp;"":U""), INDIRECT(""E""&amp;$C$70&amp;"":E"") = $F$1, INDIRECT(""B""&amp;$C$70&amp;"":B"") &gt;= $A7, INDIRECT(""B""&amp;$C$70&amp;"":B"") &lt;$A8))"),"$5000文心1, $3953台灣中小, $795中信優息")</f>
        <v>$5000文心1, $3953台灣中小, $795中信優息</v>
      </c>
      <c r="M7" s="13"/>
      <c r="N7" s="13"/>
      <c r="O7" s="13"/>
      <c r="P7" s="13"/>
      <c r="Q7" s="13"/>
      <c r="R7" s="13"/>
      <c r="S7" s="13"/>
      <c r="T7" s="13"/>
      <c r="U7" s="17"/>
      <c r="W7" s="13"/>
      <c r="X7" s="13"/>
      <c r="Y7" s="13"/>
      <c r="Z7" s="13"/>
      <c r="AA7" s="13"/>
    </row>
    <row r="8">
      <c r="A8" s="21">
        <v>45627.0</v>
      </c>
      <c r="B8" s="22">
        <f t="shared" ref="B8:D8" si="11">SUMIFS(INDIRECT("C"&amp;$C$70&amp;":C"), INDIRECT("B"&amp;$C$70&amp;":B"), "&gt;="&amp;$A8, INDIRECT("B"&amp;$C$70&amp;":B"), "&lt;"&amp;$A9, INDIRECT("F"&amp;$C$70&amp;":F"), B$2)</f>
        <v>102900</v>
      </c>
      <c r="C8" s="22">
        <f t="shared" si="11"/>
        <v>0</v>
      </c>
      <c r="D8" s="22">
        <f t="shared" si="11"/>
        <v>0</v>
      </c>
      <c r="E8" s="23" t="str">
        <f>IFERROR(__xludf.DUMMYFUNCTION("TEXTJOIN("", "", TRUE, FILTER(INDIRECT(""U""&amp;$C$70&amp;"":U""), INDIRECT(""E""&amp;$C$70&amp;"":E"") = $B$1, INDIRECT(""B""&amp;$C$70&amp;"":B"") &gt;= $A8, INDIRECT(""B""&amp;$C$70&amp;"":B"") &lt;$A9))"),"")</f>
        <v/>
      </c>
      <c r="F8" s="22">
        <f t="shared" ref="F8:K8" si="12">SUMIFS(INDIRECT("C"&amp;$C$70&amp;":C"), INDIRECT("B"&amp;$C$70&amp;":B"), "&gt;="&amp;$A8, INDIRECT("B"&amp;$C$70&amp;":B"), "&lt;"&amp;$A9, INDIRECT("G"&amp;$C$70&amp;":G"), F$2)</f>
        <v>7350</v>
      </c>
      <c r="G8" s="22">
        <f t="shared" si="12"/>
        <v>4000</v>
      </c>
      <c r="H8" s="22">
        <f t="shared" si="12"/>
        <v>0</v>
      </c>
      <c r="I8" s="22">
        <f t="shared" si="12"/>
        <v>0</v>
      </c>
      <c r="J8" s="22">
        <f t="shared" si="12"/>
        <v>5000</v>
      </c>
      <c r="K8" s="22">
        <f t="shared" si="12"/>
        <v>0</v>
      </c>
      <c r="L8" s="24" t="str">
        <f>IFERROR(__xludf.DUMMYFUNCTION("TEXTJOIN("", "", TRUE, FILTER(INDIRECT(""U""&amp;$C$70&amp;"":U""), INDIRECT(""E""&amp;$C$70&amp;"":E"") = $F$1, INDIRECT(""B""&amp;$C$70&amp;"":B"") &gt;= $A8, INDIRECT(""B""&amp;$C$70&amp;"":B"") &lt;$A9))"),"$4000發票中獎, $440富邦台50, $5090美債20, $1820中信優息")</f>
        <v>$4000發票中獎, $440富邦台50, $5090美債20, $1820中信優息</v>
      </c>
      <c r="M8" s="13"/>
      <c r="N8" s="13"/>
      <c r="O8" s="13"/>
      <c r="P8" s="13"/>
      <c r="Q8" s="13"/>
      <c r="R8" s="13"/>
      <c r="S8" s="13"/>
      <c r="T8" s="13"/>
      <c r="U8" s="17"/>
      <c r="W8" s="13"/>
      <c r="X8" s="13"/>
      <c r="Y8" s="13"/>
      <c r="Z8" s="13"/>
      <c r="AA8" s="13"/>
    </row>
    <row r="9">
      <c r="A9" s="25">
        <v>45658.0</v>
      </c>
      <c r="B9" s="22">
        <f t="shared" ref="B9:D9" si="13">SUMIFS(INDIRECT("C"&amp;$C$70&amp;":C"), INDIRECT("B"&amp;$C$70&amp;":B"), "&gt;="&amp;$A9, INDIRECT("B"&amp;$C$70&amp;":B"), "&lt;"&amp;$A10, INDIRECT("F"&amp;$C$70&amp;":F"), B$2)</f>
        <v>102900</v>
      </c>
      <c r="C9" s="22">
        <f t="shared" si="13"/>
        <v>447</v>
      </c>
      <c r="D9" s="22">
        <f t="shared" si="13"/>
        <v>536987</v>
      </c>
      <c r="E9" s="23" t="str">
        <f>IFERROR(__xludf.DUMMYFUNCTION("TEXTJOIN("", "", TRUE, FILTER(INDIRECT(""U""&amp;$C$70&amp;"":U""), INDIRECT(""E""&amp;$C$70&amp;"":E"") = $B$1, INDIRECT(""B""&amp;$C$70&amp;"":B"") &gt;= $A9, INDIRECT(""B""&amp;$C$70&amp;"":B"") &lt;$A10))"),"$536987註1, $447調休")</f>
        <v>$536987註1, $447調休</v>
      </c>
      <c r="F9" s="22">
        <f t="shared" ref="F9:K9" si="14">SUMIFS(INDIRECT("C"&amp;$C$70&amp;":C"), INDIRECT("B"&amp;$C$70&amp;":B"), "&gt;="&amp;$A9, INDIRECT("B"&amp;$C$70&amp;":B"), "&lt;"&amp;$A10, INDIRECT("G"&amp;$C$70&amp;":G"), F$2)</f>
        <v>8710</v>
      </c>
      <c r="G9" s="22">
        <f t="shared" si="14"/>
        <v>3659</v>
      </c>
      <c r="H9" s="22">
        <f t="shared" si="14"/>
        <v>0</v>
      </c>
      <c r="I9" s="22">
        <f t="shared" si="14"/>
        <v>0</v>
      </c>
      <c r="J9" s="22">
        <f t="shared" si="14"/>
        <v>5000</v>
      </c>
      <c r="K9" s="22">
        <f t="shared" si="14"/>
        <v>0</v>
      </c>
      <c r="L9" s="24" t="str">
        <f>IFERROR(__xludf.DUMMYFUNCTION("TEXTJOIN("", "", TRUE, FILTER(INDIRECT(""U""&amp;$C$70&amp;"":U""), INDIRECT(""E""&amp;$C$70&amp;"":E"") = $F$1, INDIRECT(""B""&amp;$C$70&amp;"":B"") &gt;= $A9, INDIRECT(""B""&amp;$C$70&amp;"":B"") &lt;$A10))"),"$3659紅包自己抽寶, $6890元大A級, $1820中信優息")</f>
        <v>$3659紅包自己抽寶, $6890元大A級, $1820中信優息</v>
      </c>
      <c r="M9" s="13"/>
      <c r="N9" s="13"/>
      <c r="O9" s="13"/>
      <c r="P9" s="13"/>
      <c r="Q9" s="26"/>
      <c r="R9" s="26"/>
      <c r="S9" s="13"/>
      <c r="T9" s="13"/>
      <c r="U9" s="17"/>
      <c r="W9" s="13"/>
      <c r="X9" s="13"/>
      <c r="Y9" s="13"/>
      <c r="Z9" s="13"/>
      <c r="AA9" s="13"/>
    </row>
    <row r="10">
      <c r="A10" s="25">
        <v>45689.0</v>
      </c>
      <c r="B10" s="22">
        <f t="shared" ref="B10:D10" si="15">SUMIFS(INDIRECT("C"&amp;$C$70&amp;":C"), INDIRECT("B"&amp;$C$70&amp;":B"), "&gt;="&amp;$A10, INDIRECT("B"&amp;$C$70&amp;":B"), "&lt;"&amp;$A11, INDIRECT("F"&amp;$C$70&amp;":F"), B$2)</f>
        <v>101185</v>
      </c>
      <c r="C10" s="22">
        <f t="shared" si="15"/>
        <v>0</v>
      </c>
      <c r="D10" s="22">
        <f t="shared" si="15"/>
        <v>0</v>
      </c>
      <c r="E10" s="23" t="str">
        <f>IFERROR(__xludf.DUMMYFUNCTION("TEXTJOIN("", "", TRUE, FILTER(INDIRECT(""U""&amp;$C$70&amp;"":U""), INDIRECT(""E""&amp;$C$70&amp;"":E"") = $B$1, INDIRECT(""B""&amp;$C$70&amp;"":B"") &gt;= $A10, INDIRECT(""B""&amp;$C$70&amp;"":B"") &lt;$A11))"),"$101185含請假扣款")</f>
        <v>$101185含請假扣款</v>
      </c>
      <c r="F10" s="22">
        <f t="shared" ref="F10:K10" si="16">SUMIFS(INDIRECT("C"&amp;$C$70&amp;":C"), INDIRECT("B"&amp;$C$70&amp;":B"), "&gt;="&amp;$A10, INDIRECT("B"&amp;$C$70&amp;":B"), "&lt;"&amp;$A11, INDIRECT("G"&amp;$C$70&amp;":G"), F$2)</f>
        <v>1680</v>
      </c>
      <c r="G10" s="22">
        <f t="shared" si="16"/>
        <v>0</v>
      </c>
      <c r="H10" s="22">
        <f t="shared" si="16"/>
        <v>0</v>
      </c>
      <c r="I10" s="22">
        <f t="shared" si="16"/>
        <v>0</v>
      </c>
      <c r="J10" s="22">
        <f t="shared" si="16"/>
        <v>5000</v>
      </c>
      <c r="K10" s="22">
        <f t="shared" si="16"/>
        <v>500</v>
      </c>
      <c r="L10" s="24" t="str">
        <f>IFERROR(__xludf.DUMMYFUNCTION("TEXTJOIN("", "", TRUE, FILTER(INDIRECT(""U""&amp;$C$70&amp;"":U""), INDIRECT(""E""&amp;$C$70&amp;"":E"") = $F$1, INDIRECT(""B""&amp;$C$70&amp;"":B"") &gt;= $A10, INDIRECT(""B""&amp;$C$70&amp;"":B"") &lt;$A11))"),"$500除濕機退稅, $1680中信優息")</f>
        <v>$500除濕機退稅, $1680中信優息</v>
      </c>
      <c r="M10" s="13"/>
      <c r="N10" s="13"/>
      <c r="O10" s="13"/>
      <c r="P10" s="13"/>
      <c r="Q10" s="26"/>
      <c r="R10" s="26"/>
      <c r="S10" s="13"/>
      <c r="T10" s="13"/>
      <c r="U10" s="17"/>
      <c r="W10" s="13"/>
      <c r="X10" s="13"/>
      <c r="Y10" s="13"/>
      <c r="Z10" s="13"/>
      <c r="AA10" s="13"/>
    </row>
    <row r="11">
      <c r="A11" s="25">
        <v>45717.0</v>
      </c>
      <c r="B11" s="22">
        <f t="shared" ref="B11:D11" si="17">SUMIFS(INDIRECT("C"&amp;$C$70&amp;":C"), INDIRECT("B"&amp;$C$70&amp;":B"), "&gt;="&amp;$A11, INDIRECT("B"&amp;$C$70&amp;":B"), "&lt;"&amp;$A12, INDIRECT("F"&amp;$C$70&amp;":F"), B$2)</f>
        <v>101078</v>
      </c>
      <c r="C11" s="22">
        <f t="shared" si="17"/>
        <v>7563</v>
      </c>
      <c r="D11" s="22">
        <f t="shared" si="17"/>
        <v>0</v>
      </c>
      <c r="E11" s="23" t="str">
        <f>IFERROR(__xludf.DUMMYFUNCTION("TEXTJOIN("", "", TRUE, FILTER(INDIRECT(""U""&amp;$C$70&amp;"":U""), INDIRECT(""E""&amp;$C$70&amp;"":E"") = $B$1, INDIRECT(""B""&amp;$C$70&amp;"":B"") &gt;= $A11, INDIRECT(""B""&amp;$C$70&amp;"":B"") &lt;$A12))"),"$101078 $1822請假扣款, $7443加班, $120加班誤餐費")</f>
        <v>$101078 $1822請假扣款, $7443加班, $120加班誤餐費</v>
      </c>
      <c r="F11" s="22">
        <f t="shared" ref="F11:K11" si="18">SUMIFS(INDIRECT("C"&amp;$C$70&amp;":C"), INDIRECT("B"&amp;$C$70&amp;":B"), "&gt;="&amp;$A11, INDIRECT("B"&amp;$C$70&amp;":B"), "&lt;"&amp;$A12, INDIRECT("G"&amp;$C$70&amp;":G"), F$2)</f>
        <v>6930</v>
      </c>
      <c r="G11" s="22">
        <f t="shared" si="18"/>
        <v>0</v>
      </c>
      <c r="H11" s="22">
        <f t="shared" si="18"/>
        <v>0</v>
      </c>
      <c r="I11" s="22">
        <f t="shared" si="18"/>
        <v>0</v>
      </c>
      <c r="J11" s="22">
        <f t="shared" si="18"/>
        <v>5000</v>
      </c>
      <c r="K11" s="22">
        <f t="shared" si="18"/>
        <v>0</v>
      </c>
      <c r="L11" s="24" t="str">
        <f>IFERROR(__xludf.DUMMYFUNCTION("TEXTJOIN("", "", TRUE, FILTER(INDIRECT(""U""&amp;$C$70&amp;"":U""), INDIRECT(""E""&amp;$C$70&amp;"":E"") = $F$1, INDIRECT(""B""&amp;$C$70&amp;"":B"") &gt;= $A11, INDIRECT(""B""&amp;$C$70&amp;"":B"") &lt;$A12))"),"$2430中信優息, $4500元大美債")</f>
        <v>$2430中信優息, $4500元大美債</v>
      </c>
      <c r="M11" s="13"/>
      <c r="N11" s="13"/>
      <c r="O11" s="13"/>
      <c r="P11" s="13"/>
      <c r="Q11" s="26"/>
      <c r="R11" s="26"/>
      <c r="S11" s="13"/>
      <c r="T11" s="13"/>
      <c r="U11" s="17"/>
      <c r="W11" s="13"/>
      <c r="X11" s="13"/>
      <c r="Y11" s="13"/>
      <c r="Z11" s="13"/>
      <c r="AA11" s="13"/>
    </row>
    <row r="12">
      <c r="A12" s="25">
        <v>45748.0</v>
      </c>
      <c r="B12" s="22">
        <f t="shared" ref="B12:D12" si="19">SUMIFS(INDIRECT("C"&amp;$C$70&amp;":C"), INDIRECT("B"&amp;$C$70&amp;":B"), "&gt;="&amp;$A12, INDIRECT("B"&amp;$C$70&amp;":B"), "&lt;"&amp;$A13, INDIRECT("F"&amp;$C$70&amp;":F"), B$2)</f>
        <v>102364</v>
      </c>
      <c r="C12" s="22">
        <f t="shared" si="19"/>
        <v>1000</v>
      </c>
      <c r="D12" s="22">
        <f t="shared" si="19"/>
        <v>75500</v>
      </c>
      <c r="E12" s="23" t="str">
        <f>IFERROR(__xludf.DUMMYFUNCTION("TEXTJOIN("", "", TRUE, FILTER(INDIRECT(""U""&amp;$C$70&amp;"":U""), INDIRECT(""E""&amp;$C$70&amp;"":E"") = $B$1, INDIRECT(""B""&amp;$C$70&amp;"":B"") &gt;= $A12, INDIRECT(""B""&amp;$C$70&amp;"":B"") &lt;$A13))"),"$102364 $536請假扣款, $1000勞動節, $75500績效")</f>
        <v>$102364 $536請假扣款, $1000勞動節, $75500績效</v>
      </c>
      <c r="F12" s="22">
        <f t="shared" ref="F12:K12" si="20">SUMIFS(INDIRECT("C"&amp;$C$70&amp;":C"), INDIRECT("B"&amp;$C$70&amp;":B"), "&gt;="&amp;$A12, INDIRECT("B"&amp;$C$70&amp;":B"), "&lt;"&amp;$A13, INDIRECT("G"&amp;$C$70&amp;":G"), F$2)</f>
        <v>9782</v>
      </c>
      <c r="G12" s="22">
        <f t="shared" si="20"/>
        <v>0</v>
      </c>
      <c r="H12" s="22">
        <f t="shared" si="20"/>
        <v>0</v>
      </c>
      <c r="I12" s="22">
        <f t="shared" si="20"/>
        <v>0</v>
      </c>
      <c r="J12" s="22">
        <f t="shared" si="20"/>
        <v>6000</v>
      </c>
      <c r="K12" s="22">
        <f t="shared" si="20"/>
        <v>0</v>
      </c>
      <c r="L12" s="24" t="str">
        <f>IFERROR(__xludf.DUMMYFUNCTION("TEXTJOIN("", "", TRUE, FILTER(INDIRECT(""U""&amp;$C$70&amp;"":U""), INDIRECT(""E""&amp;$C$70&amp;"":E"") = $F$1, INDIRECT(""B""&amp;$C$70&amp;"":B"") &gt;= $A12, INDIRECT(""B""&amp;$C$70&amp;"":B"") &lt;$A13))"),"$2592中信優息, $7190元大A級")</f>
        <v>$2592中信優息, $7190元大A級</v>
      </c>
      <c r="M12" s="13"/>
      <c r="N12" s="13"/>
      <c r="O12" s="13"/>
      <c r="P12" s="13"/>
      <c r="Q12" s="26"/>
      <c r="R12" s="26"/>
      <c r="S12" s="13"/>
      <c r="T12" s="13"/>
      <c r="U12" s="17"/>
      <c r="W12" s="13"/>
      <c r="X12" s="13"/>
      <c r="Y12" s="13"/>
      <c r="Z12" s="13"/>
      <c r="AA12" s="13"/>
    </row>
    <row r="13">
      <c r="A13" s="25">
        <v>45778.0</v>
      </c>
      <c r="B13" s="22">
        <f t="shared" ref="B13:D13" si="21">SUMIFS(INDIRECT("C"&amp;$C$70&amp;":C"), INDIRECT("B"&amp;$C$70&amp;":B"), "&gt;="&amp;$A13, INDIRECT("B"&amp;$C$70&amp;":B"), "&lt;"&amp;$A14, INDIRECT("F"&amp;$C$70&amp;":F"), B$2)</f>
        <v>100649</v>
      </c>
      <c r="C13" s="22">
        <f t="shared" si="21"/>
        <v>1000</v>
      </c>
      <c r="D13" s="22">
        <f t="shared" si="21"/>
        <v>0</v>
      </c>
      <c r="E13" s="23" t="str">
        <f>IFERROR(__xludf.DUMMYFUNCTION("TEXTJOIN("", "", TRUE, FILTER(INDIRECT(""U""&amp;$C$70&amp;"":U""), INDIRECT(""E""&amp;$C$70&amp;"":E"") = $B$1, INDIRECT(""B""&amp;$C$70&amp;"":B"") &gt;= $A13, INDIRECT(""B""&amp;$C$70&amp;"":B"") &lt;$A14))"),"$100649 $2251請假扣款, $1000端午節")</f>
        <v>$100649 $2251請假扣款, $1000端午節</v>
      </c>
      <c r="F13" s="22">
        <f t="shared" ref="F13:K13" si="22">SUMIFS(INDIRECT("C"&amp;$C$70&amp;":C"), INDIRECT("B"&amp;$C$70&amp;":B"), "&gt;="&amp;$A13, INDIRECT("B"&amp;$C$70&amp;":B"), "&lt;"&amp;$A14, INDIRECT("G"&amp;$C$70&amp;":G"), F$2)</f>
        <v>2874</v>
      </c>
      <c r="G13" s="22">
        <f t="shared" si="22"/>
        <v>0</v>
      </c>
      <c r="H13" s="22">
        <f t="shared" si="22"/>
        <v>0</v>
      </c>
      <c r="I13" s="22">
        <f t="shared" si="22"/>
        <v>0</v>
      </c>
      <c r="J13" s="22">
        <f t="shared" si="22"/>
        <v>6000</v>
      </c>
      <c r="K13" s="22">
        <f t="shared" si="22"/>
        <v>0</v>
      </c>
      <c r="L13" s="24" t="str">
        <f>IFERROR(__xludf.DUMMYFUNCTION("TEXTJOIN("", "", TRUE, FILTER(INDIRECT(""U""&amp;$C$70&amp;"":U""), INDIRECT(""E""&amp;$C$70&amp;"":E"") = $F$1, INDIRECT(""B""&amp;$C$70&amp;"":B"") &gt;= $A13, INDIRECT(""B""&amp;$C$70&amp;"":B"") &lt;$A14))"),"$282台灣中小, $2592中信優息")</f>
        <v>$282台灣中小, $2592中信優息</v>
      </c>
      <c r="M13" s="13"/>
      <c r="N13" s="13"/>
      <c r="O13" s="13"/>
      <c r="P13" s="13"/>
      <c r="Q13" s="26"/>
      <c r="R13" s="26"/>
      <c r="S13" s="13"/>
      <c r="T13" s="13"/>
      <c r="U13" s="17"/>
      <c r="W13" s="13"/>
      <c r="X13" s="13"/>
      <c r="Y13" s="13"/>
      <c r="Z13" s="13"/>
      <c r="AA13" s="13"/>
    </row>
    <row r="14">
      <c r="A14" s="25">
        <v>45809.0</v>
      </c>
      <c r="B14" s="22">
        <f t="shared" ref="B14:D14" si="23">SUMIFS(INDIRECT("C"&amp;$C$70&amp;":C"), INDIRECT("B"&amp;$C$70&amp;":B"), "&gt;="&amp;$A14, INDIRECT("B"&amp;$C$70&amp;":B"), "&lt;"&amp;$A15, INDIRECT("F"&amp;$C$70&amp;":F"), B$2)</f>
        <v>107300</v>
      </c>
      <c r="C14" s="22">
        <f t="shared" si="23"/>
        <v>0</v>
      </c>
      <c r="D14" s="22">
        <f t="shared" si="23"/>
        <v>0</v>
      </c>
      <c r="E14" s="23" t="str">
        <f>IFERROR(__xludf.DUMMYFUNCTION("TEXTJOIN("", "", TRUE, FILTER(INDIRECT(""U""&amp;$C$70&amp;"":U""), INDIRECT(""E""&amp;$C$70&amp;"":E"") = $B$1, INDIRECT(""B""&amp;$C$70&amp;"":B"") &gt;= $A14, INDIRECT(""B""&amp;$C$70&amp;"":B"") &lt;$A15))"),"")</f>
        <v/>
      </c>
      <c r="F14" s="22">
        <f t="shared" ref="F14:K14" si="24">SUMIFS(INDIRECT("C"&amp;$C$70&amp;":C"), INDIRECT("B"&amp;$C$70&amp;":B"), "&gt;="&amp;$A14, INDIRECT("B"&amp;$C$70&amp;":B"), "&lt;"&amp;$A15, INDIRECT("G"&amp;$C$70&amp;":G"), F$2)</f>
        <v>7856</v>
      </c>
      <c r="G14" s="22">
        <f t="shared" si="24"/>
        <v>0</v>
      </c>
      <c r="H14" s="22">
        <f t="shared" si="24"/>
        <v>0</v>
      </c>
      <c r="I14" s="22">
        <f t="shared" si="24"/>
        <v>0</v>
      </c>
      <c r="J14" s="22">
        <f t="shared" si="24"/>
        <v>6000</v>
      </c>
      <c r="K14" s="22">
        <f t="shared" si="24"/>
        <v>0</v>
      </c>
      <c r="L14" s="24" t="str">
        <f>IFERROR(__xludf.DUMMYFUNCTION("TEXTJOIN("", "", TRUE, FILTER(INDIRECT(""U""&amp;$C$70&amp;"":U""), INDIRECT(""E""&amp;$C$70&amp;"":E"") = $F$1, INDIRECT(""B""&amp;$C$70&amp;"":B"") &gt;= $A14, INDIRECT(""B""&amp;$C$70&amp;"":B"") &lt;$A15))"),"$2736中信優息, $5120元大美債")</f>
        <v>$2736中信優息, $5120元大美債</v>
      </c>
      <c r="M14" s="13"/>
      <c r="N14" s="13"/>
      <c r="O14" s="13"/>
      <c r="P14" s="13"/>
      <c r="Q14" s="26"/>
      <c r="R14" s="26"/>
      <c r="S14" s="13"/>
      <c r="T14" s="13"/>
      <c r="U14" s="17"/>
      <c r="W14" s="13"/>
      <c r="X14" s="13"/>
      <c r="Y14" s="13"/>
      <c r="Z14" s="13"/>
      <c r="AA14" s="13"/>
    </row>
    <row r="15">
      <c r="A15" s="25">
        <v>45839.0</v>
      </c>
      <c r="B15" s="22">
        <f t="shared" ref="B15:D15" si="25">SUMIFS(INDIRECT("C"&amp;$C$70&amp;":C"), INDIRECT("B"&amp;$C$70&amp;":B"), "&gt;="&amp;$A15, INDIRECT("B"&amp;$C$70&amp;":B"), "&lt;"&amp;$A16, INDIRECT("F"&amp;$C$70&amp;":F"), B$2)</f>
        <v>107300</v>
      </c>
      <c r="C15" s="22">
        <f t="shared" si="25"/>
        <v>0</v>
      </c>
      <c r="D15" s="22">
        <f t="shared" si="25"/>
        <v>101000</v>
      </c>
      <c r="E15" s="23" t="str">
        <f>IFERROR(__xludf.DUMMYFUNCTION("TEXTJOIN("", "", TRUE, FILTER(INDIRECT(""U""&amp;$C$70&amp;"":U""), INDIRECT(""E""&amp;$C$70&amp;"":E"") = $B$1, INDIRECT(""B""&amp;$C$70&amp;"":B"") &gt;= $A15, INDIRECT(""B""&amp;$C$70&amp;"":B"") &lt;$A16))"),"")</f>
        <v/>
      </c>
      <c r="F15" s="22">
        <f t="shared" ref="F15:K15" si="26">SUMIFS(INDIRECT("C"&amp;$C$70&amp;":C"), INDIRECT("B"&amp;$C$70&amp;":B"), "&gt;="&amp;$A15, INDIRECT("B"&amp;$C$70&amp;":B"), "&lt;"&amp;$A16, INDIRECT("G"&amp;$C$70&amp;":G"), F$2)</f>
        <v>21532</v>
      </c>
      <c r="G15" s="22">
        <f t="shared" si="26"/>
        <v>0</v>
      </c>
      <c r="H15" s="22">
        <f t="shared" si="26"/>
        <v>0</v>
      </c>
      <c r="I15" s="22">
        <f t="shared" si="26"/>
        <v>0</v>
      </c>
      <c r="J15" s="22">
        <f t="shared" si="26"/>
        <v>6000</v>
      </c>
      <c r="K15" s="22">
        <f t="shared" si="26"/>
        <v>0</v>
      </c>
      <c r="L15" s="24" t="str">
        <f>IFERROR(__xludf.DUMMYFUNCTION("TEXTJOIN("", "", TRUE, FILTER(INDIRECT(""U""&amp;$C$70&amp;"":U""), INDIRECT(""E""&amp;$C$70&amp;"":E"") = $F$1, INDIRECT(""B""&amp;$C$70&amp;"":B"") &gt;= $A15, INDIRECT(""B""&amp;$C$70&amp;"":B"") &lt;$A16))"),"$6960元大A級, $2622中信優息, $3790中再保, $1540元大金, $4040遠百, $890正隆, $1690凱基金")</f>
        <v>$6960元大A級, $2622中信優息, $3790中再保, $1540元大金, $4040遠百, $890正隆, $1690凱基金</v>
      </c>
      <c r="M15" s="13"/>
      <c r="N15" s="13"/>
      <c r="O15" s="13"/>
      <c r="P15" s="13"/>
      <c r="Q15" s="26"/>
      <c r="R15" s="26"/>
      <c r="S15" s="13"/>
      <c r="T15" s="13"/>
      <c r="U15" s="17"/>
      <c r="W15" s="13"/>
      <c r="X15" s="13"/>
      <c r="Y15" s="13"/>
      <c r="Z15" s="13"/>
      <c r="AA15" s="13"/>
    </row>
    <row r="16">
      <c r="A16" s="25">
        <v>45870.0</v>
      </c>
      <c r="B16" s="22">
        <f t="shared" ref="B16:D16" si="27">SUMIFS(INDIRECT("C"&amp;$C$70&amp;":C"), INDIRECT("B"&amp;$C$70&amp;":B"), "&gt;="&amp;$A16, INDIRECT("B"&amp;$C$70&amp;":B"), "&lt;"&amp;$A17, INDIRECT("F"&amp;$C$70&amp;":F"), B$2)</f>
        <v>106741</v>
      </c>
      <c r="C16" s="22">
        <f t="shared" si="27"/>
        <v>28459</v>
      </c>
      <c r="D16" s="22">
        <f t="shared" si="27"/>
        <v>0</v>
      </c>
      <c r="E16" s="23" t="str">
        <f>IFERROR(__xludf.DUMMYFUNCTION("TEXTJOIN("", "", TRUE, FILTER(INDIRECT(""U""&amp;$C$70&amp;"":U""), INDIRECT(""E""&amp;$C$70&amp;"":E"") = $B$1, INDIRECT(""B""&amp;$C$70&amp;"":B"") &gt;= $A16, INDIRECT(""B""&amp;$C$70&amp;"":B"") &lt;$A17))"),"$106741 559病假, $2459特休, $5000體檢費, $1000生日禮金, $20000旅遊補助")</f>
        <v>$106741 559病假, $2459特休, $5000體檢費, $1000生日禮金, $20000旅遊補助</v>
      </c>
      <c r="F16" s="22">
        <f t="shared" ref="F16:K16" si="28">SUMIFS(INDIRECT("C"&amp;$C$70&amp;":C"), INDIRECT("B"&amp;$C$70&amp;":B"), "&gt;="&amp;$A16, INDIRECT("B"&amp;$C$70&amp;":B"), "&lt;"&amp;$A17, INDIRECT("G"&amp;$C$70&amp;":G"), F$2)</f>
        <v>17441</v>
      </c>
      <c r="G16" s="22">
        <f t="shared" si="28"/>
        <v>0</v>
      </c>
      <c r="H16" s="22">
        <f t="shared" si="28"/>
        <v>0</v>
      </c>
      <c r="I16" s="22">
        <f t="shared" si="28"/>
        <v>0</v>
      </c>
      <c r="J16" s="22">
        <f t="shared" si="28"/>
        <v>6000</v>
      </c>
      <c r="K16" s="22">
        <f t="shared" si="28"/>
        <v>0</v>
      </c>
      <c r="L16" s="24" t="str">
        <f>IFERROR(__xludf.DUMMYFUNCTION("TEXTJOIN("", "", TRUE, FILTER(INDIRECT(""U""&amp;$C$70&amp;"":U""), INDIRECT(""E""&amp;$C$70&amp;"":E"") = $F$1, INDIRECT(""B""&amp;$C$70&amp;"":B"") &gt;= $A16, INDIRECT(""B""&amp;$C$70&amp;"":B"") &lt;$A17))"),"$1674玉山金, $2508中信優息, $890山隆, $2290中信金, $8990海悅, $1089聯邦銀")</f>
        <v>$1674玉山金, $2508中信優息, $890山隆, $2290中信金, $8990海悅, $1089聯邦銀</v>
      </c>
      <c r="M16" s="13"/>
      <c r="N16" s="13"/>
      <c r="O16" s="13"/>
      <c r="P16" s="13"/>
      <c r="Q16" s="26"/>
      <c r="R16" s="26"/>
      <c r="S16" s="13"/>
      <c r="T16" s="13"/>
      <c r="U16" s="17"/>
      <c r="W16" s="13"/>
      <c r="X16" s="13"/>
      <c r="Y16" s="13"/>
      <c r="Z16" s="13"/>
      <c r="AA16" s="13"/>
    </row>
    <row r="17">
      <c r="A17" s="25">
        <v>45901.0</v>
      </c>
      <c r="B17" s="22">
        <f t="shared" ref="B17:D17" si="29">SUMIFS(INDIRECT("C"&amp;$C$70&amp;":C"), INDIRECT("B"&amp;$C$70&amp;":B"), "&gt;="&amp;$A17, INDIRECT("B"&amp;$C$70&amp;":B"), "&lt;"&amp;$A18, INDIRECT("F"&amp;$C$70&amp;":F"), B$2)</f>
        <v>107076</v>
      </c>
      <c r="C17" s="22">
        <f t="shared" si="29"/>
        <v>0</v>
      </c>
      <c r="D17" s="22">
        <f t="shared" si="29"/>
        <v>0</v>
      </c>
      <c r="E17" s="23" t="str">
        <f>IFERROR(__xludf.DUMMYFUNCTION("TEXTJOIN("", "", TRUE, FILTER(INDIRECT(""U""&amp;$C$70&amp;"":U""), INDIRECT(""E""&amp;$C$70&amp;"":E"") = $B$1, INDIRECT(""B""&amp;$C$70&amp;"":B"") &gt;= $A17, INDIRECT(""B""&amp;$C$70&amp;"":B"") &lt;$A18))"),"$107076 $224病假")</f>
        <v>$107076 $224病假</v>
      </c>
      <c r="F17" s="22">
        <f t="shared" ref="F17:K17" si="30">SUMIFS(INDIRECT("C"&amp;$C$70&amp;":C"), INDIRECT("B"&amp;$C$70&amp;":B"), "&gt;="&amp;$A17, INDIRECT("B"&amp;$C$70&amp;":B"), "&lt;"&amp;$A18, INDIRECT("G"&amp;$C$70&amp;":G"), F$2)</f>
        <v>20460</v>
      </c>
      <c r="G17" s="22">
        <f t="shared" si="30"/>
        <v>0</v>
      </c>
      <c r="H17" s="22">
        <f t="shared" si="30"/>
        <v>0</v>
      </c>
      <c r="I17" s="22">
        <f t="shared" si="30"/>
        <v>0</v>
      </c>
      <c r="J17" s="22">
        <f t="shared" si="30"/>
        <v>6000</v>
      </c>
      <c r="K17" s="22">
        <f t="shared" si="30"/>
        <v>0</v>
      </c>
      <c r="L17" s="24" t="str">
        <f>IFERROR(__xludf.DUMMYFUNCTION("TEXTJOIN("", "", TRUE, FILTER(INDIRECT(""U""&amp;$C$70&amp;"":U""), INDIRECT(""E""&amp;$C$70&amp;"":E"") = $F$1, INDIRECT(""B""&amp;$C$70&amp;"":B"") &gt;= $A17, INDIRECT(""B""&amp;$C$70&amp;"":B"") &lt;$A18))"),"$990彰銀, $4470美債20年, $1590兆豐金, $3590台新新光, $2160中信優息, $770台中銀, $900永豐金, $5990遠東銀")</f>
        <v>$990彰銀, $4470美債20年, $1590兆豐金, $3590台新新光, $2160中信優息, $770台中銀, $900永豐金, $5990遠東銀</v>
      </c>
      <c r="M17" s="13"/>
      <c r="N17" s="13"/>
      <c r="O17" s="13"/>
      <c r="P17" s="13"/>
      <c r="Q17" s="26"/>
      <c r="R17" s="26"/>
      <c r="S17" s="13"/>
      <c r="T17" s="13"/>
      <c r="U17" s="17"/>
      <c r="W17" s="13"/>
      <c r="X17" s="13"/>
      <c r="Y17" s="13"/>
      <c r="Z17" s="13"/>
      <c r="AA17" s="13"/>
    </row>
    <row r="18">
      <c r="A18" s="25">
        <v>45931.0</v>
      </c>
      <c r="B18" s="22">
        <f t="shared" ref="B18:D18" si="31">SUMIFS(INDIRECT("C"&amp;$C$70&amp;":C"), INDIRECT("B"&amp;$C$70&amp;":B"), "&gt;="&amp;$A18, INDIRECT("B"&amp;$C$70&amp;":B"), "&lt;"&amp;$A19, INDIRECT("F"&amp;$C$70&amp;":F"), B$2)</f>
        <v>105065</v>
      </c>
      <c r="C18" s="22">
        <f t="shared" si="31"/>
        <v>1000</v>
      </c>
      <c r="D18" s="22">
        <f t="shared" si="31"/>
        <v>76000</v>
      </c>
      <c r="E18" s="23" t="str">
        <f>IFERROR(__xludf.DUMMYFUNCTION("TEXTJOIN("", "", TRUE, FILTER(INDIRECT(""U""&amp;$C$70&amp;"":U""), INDIRECT(""E""&amp;$C$70&amp;"":E"") = $B$1, INDIRECT(""B""&amp;$C$70&amp;"":B"") &gt;= $A18, INDIRECT(""B""&amp;$C$70&amp;"":B"") &lt;$A19))"),"$105065 $2235病假, $1000中秋節, $76000績效")</f>
        <v>$105065 $2235病假, $1000中秋節, $76000績效</v>
      </c>
      <c r="F18" s="22">
        <f t="shared" ref="F18:K18" si="32">SUMIFS(INDIRECT("C"&amp;$C$70&amp;":C"), INDIRECT("B"&amp;$C$70&amp;":B"), "&gt;="&amp;$A18, INDIRECT("B"&amp;$C$70&amp;":B"), "&lt;"&amp;$A19, INDIRECT("G"&amp;$C$70&amp;":G"), F$2)</f>
        <v>11670</v>
      </c>
      <c r="G18" s="22">
        <f t="shared" si="32"/>
        <v>0</v>
      </c>
      <c r="H18" s="22">
        <f t="shared" si="32"/>
        <v>0</v>
      </c>
      <c r="I18" s="22">
        <f t="shared" si="32"/>
        <v>0</v>
      </c>
      <c r="J18" s="22">
        <f t="shared" si="32"/>
        <v>6000</v>
      </c>
      <c r="K18" s="22">
        <f t="shared" si="32"/>
        <v>0</v>
      </c>
      <c r="L18" s="24" t="str">
        <f>IFERROR(__xludf.DUMMYFUNCTION("TEXTJOIN("", "", TRUE, FILTER(INDIRECT(""U""&amp;$C$70&amp;"":U""), INDIRECT(""E""&amp;$C$70&amp;"":E"") = $F$1, INDIRECT(""B""&amp;$C$70&amp;"":B"") &gt;= $A18, INDIRECT(""B""&amp;$C$70&amp;"":B"") &lt;$A19))"),"$6960元大A級, $2520中信優息, $2190興富發")</f>
        <v>$6960元大A級, $2520中信優息, $2190興富發</v>
      </c>
      <c r="M18" s="13"/>
      <c r="N18" s="13"/>
      <c r="O18" s="13"/>
      <c r="P18" s="13"/>
      <c r="Q18" s="26"/>
      <c r="R18" s="26"/>
      <c r="S18" s="13"/>
      <c r="T18" s="13"/>
      <c r="U18" s="17"/>
      <c r="W18" s="13"/>
      <c r="X18" s="13"/>
      <c r="Y18" s="13"/>
      <c r="Z18" s="13"/>
      <c r="AA18" s="13"/>
    </row>
    <row r="19">
      <c r="A19" s="25">
        <v>45962.0</v>
      </c>
      <c r="B19" s="22">
        <f t="shared" ref="B19:D19" si="33">SUMIFS(INDIRECT("C"&amp;$C$70&amp;":C"), INDIRECT("B"&amp;$C$70&amp;":B"), "&gt;="&amp;$A19, INDIRECT("B"&amp;$C$70&amp;":B"), "&lt;"&amp;$A20, INDIRECT("F"&amp;$C$70&amp;":F"), B$2)</f>
        <v>107300</v>
      </c>
      <c r="C19" s="22">
        <f t="shared" si="33"/>
        <v>0</v>
      </c>
      <c r="D19" s="22">
        <f t="shared" si="33"/>
        <v>0</v>
      </c>
      <c r="E19" s="23" t="str">
        <f>IFERROR(__xludf.DUMMYFUNCTION("TEXTJOIN("", "", TRUE, FILTER(INDIRECT(""U""&amp;$C$70&amp;"":U""), INDIRECT(""E""&amp;$C$70&amp;"":E"") = $B$1, INDIRECT(""B""&amp;$C$70&amp;"":B"") &gt;= $A19, INDIRECT(""B""&amp;$C$70&amp;"":B"") &lt;$A20))"),"")</f>
        <v/>
      </c>
      <c r="F19" s="22">
        <f t="shared" ref="F19:K19" si="34">SUMIFS(INDIRECT("C"&amp;$C$70&amp;":C"), INDIRECT("B"&amp;$C$70&amp;":B"), "&gt;="&amp;$A19, INDIRECT("B"&amp;$C$70&amp;":B"), "&lt;"&amp;$A20, INDIRECT("G"&amp;$C$70&amp;":G"), F$2)</f>
        <v>2520</v>
      </c>
      <c r="G19" s="22">
        <f t="shared" si="34"/>
        <v>0</v>
      </c>
      <c r="H19" s="22">
        <f t="shared" si="34"/>
        <v>0</v>
      </c>
      <c r="I19" s="22">
        <f t="shared" si="34"/>
        <v>0</v>
      </c>
      <c r="J19" s="22">
        <f t="shared" si="34"/>
        <v>6000</v>
      </c>
      <c r="K19" s="22">
        <f t="shared" si="34"/>
        <v>0</v>
      </c>
      <c r="L19" s="24" t="str">
        <f>IFERROR(__xludf.DUMMYFUNCTION("TEXTJOIN("", "", TRUE, FILTER(INDIRECT(""U""&amp;$C$70&amp;"":U""), INDIRECT(""E""&amp;$C$70&amp;"":E"") = $F$1, INDIRECT(""B""&amp;$C$70&amp;"":B"") &gt;= $A19, INDIRECT(""B""&amp;$C$70&amp;"":B"") &lt;$A20))"),"$2520中信優息")</f>
        <v>$2520中信優息</v>
      </c>
      <c r="M19" s="13"/>
      <c r="N19" s="13"/>
      <c r="O19" s="13"/>
      <c r="P19" s="13"/>
      <c r="Q19" s="26"/>
      <c r="R19" s="26"/>
      <c r="S19" s="13"/>
      <c r="T19" s="13"/>
      <c r="U19" s="17"/>
      <c r="W19" s="13"/>
      <c r="X19" s="13"/>
      <c r="Y19" s="13"/>
      <c r="Z19" s="13"/>
      <c r="AA19" s="13"/>
    </row>
    <row r="20">
      <c r="A20" s="25">
        <v>45992.0</v>
      </c>
      <c r="B20" s="22">
        <f t="shared" ref="B20:D20" si="35">SUMIFS(INDIRECT("C"&amp;$C$70&amp;":C"), INDIRECT("B"&amp;$C$70&amp;":B"), "&gt;="&amp;$A20, INDIRECT("B"&amp;$C$70&amp;":B"), "&lt;"&amp;$A21, INDIRECT("F"&amp;$C$70&amp;":F"), B$2)</f>
        <v>107300</v>
      </c>
      <c r="C20" s="22">
        <f t="shared" si="35"/>
        <v>25000</v>
      </c>
      <c r="D20" s="22">
        <f t="shared" si="35"/>
        <v>0</v>
      </c>
      <c r="E20" s="23" t="str">
        <f>IFERROR(__xludf.DUMMYFUNCTION("TEXTJOIN("", "", TRUE, FILTER(INDIRECT(""U""&amp;$C$70&amp;"":U""), INDIRECT(""E""&amp;$C$70&amp;"":E"") = $B$1, INDIRECT(""B""&amp;$C$70&amp;"":B"") &gt;= $A20, INDIRECT(""B""&amp;$C$70&amp;"":B"") &lt;$A21))"),"$25000家庭日")</f>
        <v>$25000家庭日</v>
      </c>
      <c r="F20" s="22">
        <f t="shared" ref="F20:K20" si="36">SUMIFS(INDIRECT("C"&amp;$C$70&amp;":C"), INDIRECT("B"&amp;$C$70&amp;":B"), "&gt;="&amp;$A20, INDIRECT("B"&amp;$C$70&amp;":B"), "&lt;"&amp;$A21, INDIRECT("G"&amp;$C$70&amp;":G"), F$2)</f>
        <v>6990</v>
      </c>
      <c r="G20" s="22">
        <f t="shared" si="36"/>
        <v>0</v>
      </c>
      <c r="H20" s="22">
        <f t="shared" si="36"/>
        <v>0</v>
      </c>
      <c r="I20" s="22">
        <f t="shared" si="36"/>
        <v>0</v>
      </c>
      <c r="J20" s="22">
        <f t="shared" si="36"/>
        <v>6000</v>
      </c>
      <c r="K20" s="22">
        <f t="shared" si="36"/>
        <v>0</v>
      </c>
      <c r="L20" s="24" t="str">
        <f>IFERROR(__xludf.DUMMYFUNCTION("TEXTJOIN("", "", TRUE, FILTER(INDIRECT(""U""&amp;$C$70&amp;"":U""), INDIRECT(""E""&amp;$C$70&amp;"":E"") = $F$1, INDIRECT(""B""&amp;$C$70&amp;"":B"") &gt;= $A20, INDIRECT(""B""&amp;$C$70&amp;"":B"") &lt;$A21))"),"$4470美債20年, $2520中信優息")</f>
        <v>$4470美債20年, $2520中信優息</v>
      </c>
      <c r="M20" s="13"/>
      <c r="N20" s="13"/>
      <c r="O20" s="13"/>
      <c r="P20" s="13"/>
      <c r="Q20" s="26"/>
      <c r="R20" s="26"/>
      <c r="S20" s="13"/>
      <c r="T20" s="13"/>
      <c r="U20" s="17"/>
      <c r="W20" s="13"/>
      <c r="X20" s="13"/>
      <c r="Y20" s="13"/>
      <c r="Z20" s="13"/>
      <c r="AA20" s="13"/>
    </row>
    <row r="21">
      <c r="A21" s="25">
        <v>46023.0</v>
      </c>
      <c r="B21" s="22">
        <f t="shared" ref="B21:D21" si="37">SUMIFS(INDIRECT("C"&amp;$C$70&amp;":C"), INDIRECT("B"&amp;$C$70&amp;":B"), "&gt;="&amp;$A21, INDIRECT("B"&amp;$C$70&amp;":B"), "&lt;"&amp;$A22, INDIRECT("F"&amp;$C$70&amp;":F"), B$2)</f>
        <v>107300</v>
      </c>
      <c r="C21" s="22">
        <f t="shared" si="37"/>
        <v>0</v>
      </c>
      <c r="D21" s="22">
        <f t="shared" si="37"/>
        <v>0</v>
      </c>
      <c r="E21" s="23" t="str">
        <f>IFERROR(__xludf.DUMMYFUNCTION("TEXTJOIN("", "", TRUE, FILTER(INDIRECT(""U""&amp;$C$70&amp;"":U""), INDIRECT(""E""&amp;$C$70&amp;"":E"") = $B$1, INDIRECT(""B""&amp;$C$70&amp;"":B"") &gt;= $A21, INDIRECT(""B""&amp;$C$70&amp;"":B"") &lt;$A22))"),"")</f>
        <v/>
      </c>
      <c r="F21" s="22">
        <f t="shared" ref="F21:K21" si="38">SUMIFS(INDIRECT("C"&amp;$C$70&amp;":C"), INDIRECT("B"&amp;$C$70&amp;":B"), "&gt;="&amp;$A21, INDIRECT("B"&amp;$C$70&amp;":B"), "&lt;"&amp;$A22, INDIRECT("G"&amp;$C$70&amp;":G"), F$2)</f>
        <v>924</v>
      </c>
      <c r="G21" s="22">
        <f t="shared" si="38"/>
        <v>0</v>
      </c>
      <c r="H21" s="22">
        <f t="shared" si="38"/>
        <v>0</v>
      </c>
      <c r="I21" s="22">
        <f t="shared" si="38"/>
        <v>0</v>
      </c>
      <c r="J21" s="22">
        <f t="shared" si="38"/>
        <v>6000</v>
      </c>
      <c r="K21" s="22">
        <f t="shared" si="38"/>
        <v>934600</v>
      </c>
      <c r="L21" s="24" t="str">
        <f>IFERROR(__xludf.DUMMYFUNCTION("TEXTJOIN("", "", TRUE, FILTER(INDIRECT(""U""&amp;$C$70&amp;"":U""), INDIRECT(""E""&amp;$C$70&amp;"":E"") = $F$1, INDIRECT(""B""&amp;$C$70&amp;"":B"") &gt;= $A21, INDIRECT(""B""&amp;$C$70&amp;"":B"") &lt;$A22))"),"$934600台銀人壽解約, $924中信優息")</f>
        <v>$934600台銀人壽解約, $924中信優息</v>
      </c>
      <c r="M21" s="13"/>
      <c r="N21" s="13"/>
      <c r="O21" s="13"/>
      <c r="P21" s="13"/>
      <c r="Q21" s="26"/>
      <c r="R21" s="26"/>
      <c r="S21" s="13"/>
      <c r="T21" s="13"/>
      <c r="U21" s="17"/>
      <c r="W21" s="13"/>
      <c r="X21" s="13"/>
      <c r="Y21" s="13"/>
      <c r="Z21" s="13"/>
      <c r="AA21" s="13"/>
    </row>
    <row r="22">
      <c r="A22" s="25">
        <v>46054.0</v>
      </c>
      <c r="B22" s="22">
        <f t="shared" ref="B22:D22" si="39">SUMIFS(INDIRECT("C"&amp;$C$70&amp;":C"), INDIRECT("B"&amp;$C$70&amp;":B"), "&gt;="&amp;$A22, INDIRECT("B"&amp;$C$70&amp;":B"), "&lt;"&amp;$A23, INDIRECT("F"&amp;$C$70&amp;":F"), B$2)</f>
        <v>106853</v>
      </c>
      <c r="C22" s="22">
        <f t="shared" si="39"/>
        <v>0</v>
      </c>
      <c r="D22" s="22">
        <f t="shared" si="39"/>
        <v>496487</v>
      </c>
      <c r="E22" s="23" t="str">
        <f>IFERROR(__xludf.DUMMYFUNCTION("TEXTJOIN("", "", TRUE, FILTER(INDIRECT(""U""&amp;$C$70&amp;"":U""), INDIRECT(""E""&amp;$C$70&amp;"":E"") = $B$1, INDIRECT(""B""&amp;$C$70&amp;"":B"") &gt;= $A22, INDIRECT(""B""&amp;$C$70&amp;"":B"") &lt;$A23))"),"$106853$447病假, $496487註1")</f>
        <v>$106853$447病假, $496487註1</v>
      </c>
      <c r="F22" s="22">
        <f t="shared" ref="F22:K22" si="40">SUMIFS(INDIRECT("C"&amp;$C$70&amp;":C"), INDIRECT("B"&amp;$C$70&amp;":B"), "&gt;="&amp;$A22, INDIRECT("B"&amp;$C$70&amp;":B"), "&lt;"&amp;$A23, INDIRECT("G"&amp;$C$70&amp;":G"), F$2)</f>
        <v>2200</v>
      </c>
      <c r="G22" s="22">
        <f t="shared" si="40"/>
        <v>0</v>
      </c>
      <c r="H22" s="22">
        <f t="shared" si="40"/>
        <v>0</v>
      </c>
      <c r="I22" s="22">
        <f t="shared" si="40"/>
        <v>0</v>
      </c>
      <c r="J22" s="22">
        <f t="shared" si="40"/>
        <v>6000</v>
      </c>
      <c r="K22" s="22">
        <f t="shared" si="40"/>
        <v>0</v>
      </c>
      <c r="L22" s="24" t="str">
        <f>IFERROR(__xludf.DUMMYFUNCTION("TEXTJOIN("", "", TRUE, FILTER(INDIRECT(""U""&amp;$C$70&amp;"":U""), INDIRECT(""E""&amp;$C$70&amp;"":E"") = $F$1, INDIRECT(""B""&amp;$C$70&amp;"":B"") &gt;= $A22, INDIRECT(""B""&amp;$C$70&amp;"":B"") &lt;$A23))"),"$2200元大50")</f>
        <v>$2200元大50</v>
      </c>
      <c r="M22" s="13"/>
      <c r="N22" s="13"/>
      <c r="O22" s="13"/>
      <c r="P22" s="13"/>
      <c r="Q22" s="26"/>
      <c r="R22" s="26"/>
      <c r="S22" s="13"/>
      <c r="T22" s="13"/>
      <c r="U22" s="17"/>
      <c r="W22" s="13"/>
      <c r="X22" s="13"/>
      <c r="Y22" s="13"/>
      <c r="Z22" s="13"/>
      <c r="AA22" s="13"/>
    </row>
    <row r="23">
      <c r="A23" s="25">
        <v>46082.0</v>
      </c>
      <c r="B23" s="22">
        <f t="shared" ref="B23:D23" si="41">SUMIFS(INDIRECT("C"&amp;$C$70&amp;":C"), INDIRECT("B"&amp;$C$70&amp;":B"), "&gt;="&amp;$A23, INDIRECT("B"&amp;$C$70&amp;":B"), "&lt;"&amp;$A24, INDIRECT("F"&amp;$C$70&amp;":F"), B$2)</f>
        <v>107300</v>
      </c>
      <c r="C23" s="22">
        <f t="shared" si="41"/>
        <v>0</v>
      </c>
      <c r="D23" s="22">
        <f t="shared" si="41"/>
        <v>0</v>
      </c>
      <c r="E23" s="23" t="str">
        <f>IFERROR(__xludf.DUMMYFUNCTION("TEXTJOIN("", "", TRUE, FILTER(INDIRECT(""U""&amp;$C$70&amp;"":U""), INDIRECT(""E""&amp;$C$70&amp;"":E"") = $B$1, INDIRECT(""B""&amp;$C$70&amp;"":B"") &gt;= $A23, INDIRECT(""B""&amp;$C$70&amp;"":B"") &lt;$A24))"),"")</f>
        <v/>
      </c>
      <c r="F23" s="22">
        <f t="shared" ref="F23:K23" si="42">SUMIFS(INDIRECT("C"&amp;$C$70&amp;":C"), INDIRECT("B"&amp;$C$70&amp;":B"), "&gt;="&amp;$A23, INDIRECT("B"&amp;$C$70&amp;":B"), "&lt;"&amp;$A24, INDIRECT("G"&amp;$C$70&amp;":G"), F$2)</f>
        <v>0</v>
      </c>
      <c r="G23" s="22">
        <f t="shared" si="42"/>
        <v>0</v>
      </c>
      <c r="H23" s="22">
        <f t="shared" si="42"/>
        <v>0</v>
      </c>
      <c r="I23" s="22">
        <f t="shared" si="42"/>
        <v>0</v>
      </c>
      <c r="J23" s="22">
        <f t="shared" si="42"/>
        <v>6000</v>
      </c>
      <c r="K23" s="22">
        <f t="shared" si="42"/>
        <v>0</v>
      </c>
      <c r="L23" s="24" t="str">
        <f>IFERROR(__xludf.DUMMYFUNCTION("TEXTJOIN("", "", TRUE, FILTER(INDIRECT(""U""&amp;$C$70&amp;"":U""), INDIRECT(""E""&amp;$C$70&amp;"":E"") = $F$1, INDIRECT(""B""&amp;$C$70&amp;"":B"") &gt;= $A23, INDIRECT(""B""&amp;$C$70&amp;"":B"") &lt;$A24))"),"")</f>
        <v/>
      </c>
      <c r="M23" s="13"/>
      <c r="N23" s="13"/>
      <c r="O23" s="13"/>
      <c r="P23" s="13"/>
      <c r="Q23" s="26"/>
      <c r="R23" s="26"/>
      <c r="S23" s="13"/>
      <c r="T23" s="13"/>
      <c r="U23" s="17"/>
      <c r="W23" s="13"/>
      <c r="X23" s="13"/>
      <c r="Y23" s="13"/>
      <c r="Z23" s="13"/>
      <c r="AA23" s="13"/>
    </row>
    <row r="24">
      <c r="A24" s="25">
        <v>46113.0</v>
      </c>
      <c r="B24" s="22">
        <f t="shared" ref="B24:D24" si="43">SUMIFS(INDIRECT("C"&amp;$C$70&amp;":C"), INDIRECT("B"&amp;$C$70&amp;":B"), "&gt;="&amp;$A24, INDIRECT("B"&amp;$C$70&amp;":B"), "&lt;"&amp;$A25, INDIRECT("F"&amp;$C$70&amp;":F"), B$2)</f>
        <v>107300</v>
      </c>
      <c r="C24" s="22">
        <f t="shared" si="43"/>
        <v>11927</v>
      </c>
      <c r="D24" s="22">
        <f t="shared" si="43"/>
        <v>0</v>
      </c>
      <c r="E24" s="23" t="str">
        <f>IFERROR(__xludf.DUMMYFUNCTION("TEXTJOIN("", "", TRUE, FILTER(INDIRECT(""U""&amp;$C$70&amp;"":U""), INDIRECT(""E""&amp;$C$70&amp;"":E"") = $B$1, INDIRECT(""B""&amp;$C$70&amp;"":B"") &gt;= $A24, INDIRECT(""B""&amp;$C$70&amp;"":B"") &lt;$A25))"),"$5000其他加項(?)")</f>
        <v>$5000其他加項(?)</v>
      </c>
      <c r="F24" s="22">
        <f t="shared" ref="F24:K24" si="44">SUMIFS(INDIRECT("C"&amp;$C$70&amp;":C"), INDIRECT("B"&amp;$C$70&amp;":B"), "&gt;="&amp;$A24, INDIRECT("B"&amp;$C$70&amp;":B"), "&lt;"&amp;$A25, INDIRECT("G"&amp;$C$70&amp;":G"), F$2)</f>
        <v>0</v>
      </c>
      <c r="G24" s="22">
        <f t="shared" si="44"/>
        <v>0</v>
      </c>
      <c r="H24" s="22">
        <f t="shared" si="44"/>
        <v>0</v>
      </c>
      <c r="I24" s="22">
        <f t="shared" si="44"/>
        <v>0</v>
      </c>
      <c r="J24" s="22">
        <f t="shared" si="44"/>
        <v>6000</v>
      </c>
      <c r="K24" s="22">
        <f t="shared" si="44"/>
        <v>0</v>
      </c>
      <c r="L24" s="24" t="str">
        <f>IFERROR(__xludf.DUMMYFUNCTION("TEXTJOIN("", "", TRUE, FILTER(INDIRECT(""U""&amp;$C$70&amp;"":U""), INDIRECT(""E""&amp;$C$70&amp;"":E"") = $F$1, INDIRECT(""B""&amp;$C$70&amp;"":B"") &gt;= $A24, INDIRECT(""B""&amp;$C$70&amp;"":B"") &lt;$A25))"),"")</f>
        <v/>
      </c>
      <c r="M24" s="13"/>
      <c r="N24" s="13"/>
      <c r="O24" s="13"/>
      <c r="P24" s="13"/>
      <c r="Q24" s="26"/>
      <c r="R24" s="26"/>
      <c r="S24" s="13"/>
      <c r="T24" s="13"/>
      <c r="U24" s="17"/>
      <c r="W24" s="13"/>
      <c r="X24" s="13"/>
      <c r="Y24" s="13"/>
      <c r="Z24" s="13"/>
      <c r="AA24" s="13"/>
    </row>
    <row r="25">
      <c r="A25" s="25">
        <v>46143.0</v>
      </c>
      <c r="B25" s="22">
        <f t="shared" ref="B25:D25" si="45">SUMIFS(INDIRECT("C"&amp;$C$70&amp;":C"), INDIRECT("B"&amp;$C$70&amp;":B"), "&gt;="&amp;$A25, INDIRECT("B"&amp;$C$70&amp;":B"), "&lt;"&amp;$A26, INDIRECT("F"&amp;$C$70&amp;":F"), B$2)</f>
        <v>105512</v>
      </c>
      <c r="C25" s="22">
        <f t="shared" si="45"/>
        <v>109991</v>
      </c>
      <c r="D25" s="22">
        <f t="shared" si="45"/>
        <v>0</v>
      </c>
      <c r="E25" s="23" t="str">
        <f>IFERROR(__xludf.DUMMYFUNCTION("TEXTJOIN("", "", TRUE, FILTER(INDIRECT(""U""&amp;$C$70&amp;"":U""), INDIRECT(""E""&amp;$C$70&amp;"":E"") = $B$1, INDIRECT(""B""&amp;$C$70&amp;"":B"") &gt;= $A25, INDIRECT(""B""&amp;$C$70&amp;"":B"") &lt;$A26))"),"$105512 $1788請假, $107300家庭日獎金")</f>
        <v>$105512 $1788請假, $107300家庭日獎金</v>
      </c>
      <c r="F25" s="22">
        <f t="shared" ref="F25:K25" si="46">SUMIFS(INDIRECT("C"&amp;$C$70&amp;":C"), INDIRECT("B"&amp;$C$70&amp;":B"), "&gt;="&amp;$A25, INDIRECT("B"&amp;$C$70&amp;":B"), "&lt;"&amp;$A26, INDIRECT("G"&amp;$C$70&amp;":G"), F$2)</f>
        <v>0</v>
      </c>
      <c r="G25" s="22">
        <f t="shared" si="46"/>
        <v>0</v>
      </c>
      <c r="H25" s="22">
        <f t="shared" si="46"/>
        <v>0</v>
      </c>
      <c r="I25" s="22">
        <f t="shared" si="46"/>
        <v>0</v>
      </c>
      <c r="J25" s="22">
        <f t="shared" si="46"/>
        <v>6000</v>
      </c>
      <c r="K25" s="22">
        <f t="shared" si="46"/>
        <v>0</v>
      </c>
      <c r="L25" s="24" t="str">
        <f>IFERROR(__xludf.DUMMYFUNCTION("TEXTJOIN("", "", TRUE, FILTER(INDIRECT(""U""&amp;$C$70&amp;"":U""), INDIRECT(""E""&amp;$C$70&amp;"":E"") = $F$1, INDIRECT(""B""&amp;$C$70&amp;"":B"") &gt;= $A25, INDIRECT(""B""&amp;$C$70&amp;"":B"") &lt;$A26))"),"")</f>
        <v/>
      </c>
      <c r="M25" s="13"/>
      <c r="N25" s="13"/>
      <c r="O25" s="13"/>
      <c r="P25" s="13"/>
      <c r="Q25" s="26"/>
      <c r="R25" s="26"/>
      <c r="S25" s="13"/>
      <c r="T25" s="13"/>
      <c r="U25" s="17"/>
      <c r="W25" s="13"/>
      <c r="X25" s="13"/>
      <c r="Y25" s="13"/>
      <c r="Z25" s="13"/>
      <c r="AA25" s="13"/>
    </row>
    <row r="26">
      <c r="A26" s="25">
        <v>46174.0</v>
      </c>
      <c r="B26" s="22">
        <f t="shared" ref="B26:D26" si="47">SUMIFS(INDIRECT("C"&amp;$C$70&amp;":C"), INDIRECT("B"&amp;$C$70&amp;":B"), "&gt;="&amp;$A26, INDIRECT("B"&amp;$C$70&amp;":B"), "&lt;"&amp;$A27, INDIRECT("F"&amp;$C$70&amp;":F"), B$2)</f>
        <v>110300</v>
      </c>
      <c r="C26" s="22">
        <f t="shared" si="47"/>
        <v>0</v>
      </c>
      <c r="D26" s="22">
        <f t="shared" si="47"/>
        <v>0</v>
      </c>
      <c r="E26" s="23" t="str">
        <f>IFERROR(__xludf.DUMMYFUNCTION("TEXTJOIN("", "", TRUE, FILTER(INDIRECT(""U""&amp;$C$70&amp;"":U""), INDIRECT(""E""&amp;$C$70&amp;"":E"") = $B$1, INDIRECT(""B""&amp;$C$70&amp;"":B"") &gt;= $A26, INDIRECT(""B""&amp;$C$70&amp;"":B"") &lt;$A27))"),"")</f>
        <v/>
      </c>
      <c r="F26" s="22">
        <f t="shared" ref="F26:K26" si="48">SUMIFS(INDIRECT("C"&amp;$C$70&amp;":C"), INDIRECT("B"&amp;$C$70&amp;":B"), "&gt;="&amp;$A26, INDIRECT("B"&amp;$C$70&amp;":B"), "&lt;"&amp;$A27, INDIRECT("G"&amp;$C$70&amp;":G"), F$2)</f>
        <v>2800</v>
      </c>
      <c r="G26" s="22">
        <f t="shared" si="48"/>
        <v>0</v>
      </c>
      <c r="H26" s="22">
        <f t="shared" si="48"/>
        <v>0</v>
      </c>
      <c r="I26" s="22">
        <f t="shared" si="48"/>
        <v>0</v>
      </c>
      <c r="J26" s="22">
        <f t="shared" si="48"/>
        <v>6000</v>
      </c>
      <c r="K26" s="22">
        <f t="shared" si="48"/>
        <v>0</v>
      </c>
      <c r="L26" s="24" t="str">
        <f>IFERROR(__xludf.DUMMYFUNCTION("TEXTJOIN("", "", TRUE, FILTER(INDIRECT(""U""&amp;$C$70&amp;"":U""), INDIRECT(""E""&amp;$C$70&amp;"":E"") = $F$1, INDIRECT(""B""&amp;$C$70&amp;"":B"") &gt;= $A26, INDIRECT(""B""&amp;$C$70&amp;"":B"") &lt;$A27))"),"$2800華通")</f>
        <v>$2800華通</v>
      </c>
      <c r="M26" s="13"/>
      <c r="N26" s="13"/>
      <c r="O26" s="13"/>
      <c r="P26" s="13"/>
      <c r="Q26" s="26"/>
      <c r="R26" s="26"/>
      <c r="S26" s="13"/>
      <c r="T26" s="13"/>
      <c r="U26" s="17"/>
      <c r="W26" s="13"/>
      <c r="X26" s="13"/>
      <c r="Y26" s="13"/>
      <c r="Z26" s="13"/>
      <c r="AA26" s="13"/>
    </row>
    <row r="27">
      <c r="A27" s="25">
        <v>46204.0</v>
      </c>
      <c r="B27" s="22">
        <f t="shared" ref="B27:D27" si="49">SUMIFS(INDIRECT("C"&amp;$C$70&amp;":C"), INDIRECT("B"&amp;$C$70&amp;":B"), "&gt;="&amp;$A27, INDIRECT("B"&amp;$C$70&amp;":B"), "&lt;"&amp;$A28, INDIRECT("F"&amp;$C$70&amp;":F"), B$2)</f>
        <v>110300</v>
      </c>
      <c r="C27" s="22">
        <f t="shared" si="49"/>
        <v>0</v>
      </c>
      <c r="D27" s="22">
        <f t="shared" si="49"/>
        <v>0</v>
      </c>
      <c r="E27" s="23" t="str">
        <f>IFERROR(__xludf.DUMMYFUNCTION("TEXTJOIN("", "", TRUE, FILTER(INDIRECT(""U""&amp;$C$70&amp;"":U""), INDIRECT(""E""&amp;$C$70&amp;"":E"") = $B$1, INDIRECT(""B""&amp;$C$70&amp;"":B"") &gt;= $A27, INDIRECT(""B""&amp;$C$70&amp;"":B"") &lt;$A28))"),"")</f>
        <v/>
      </c>
      <c r="F27" s="22">
        <f t="shared" ref="F27:K27" si="50">SUMIFS(INDIRECT("C"&amp;$C$70&amp;":C"), INDIRECT("B"&amp;$C$70&amp;":B"), "&gt;="&amp;$A27, INDIRECT("B"&amp;$C$70&amp;":B"), "&lt;"&amp;$A28, INDIRECT("G"&amp;$C$70&amp;":G"), F$2)</f>
        <v>0</v>
      </c>
      <c r="G27" s="22">
        <f t="shared" si="50"/>
        <v>0</v>
      </c>
      <c r="H27" s="22">
        <f t="shared" si="50"/>
        <v>0</v>
      </c>
      <c r="I27" s="22">
        <f t="shared" si="50"/>
        <v>0</v>
      </c>
      <c r="J27" s="22">
        <f t="shared" si="50"/>
        <v>6000</v>
      </c>
      <c r="K27" s="22">
        <f t="shared" si="50"/>
        <v>0</v>
      </c>
      <c r="L27" s="24" t="str">
        <f>IFERROR(__xludf.DUMMYFUNCTION("TEXTJOIN("", "", TRUE, FILTER(INDIRECT(""U""&amp;$C$70&amp;"":U""), INDIRECT(""E""&amp;$C$70&amp;"":E"") = $F$1, INDIRECT(""B""&amp;$C$70&amp;"":B"") &gt;= $A27, INDIRECT(""B""&amp;$C$70&amp;"":B"") &lt;$A28))"),"")</f>
        <v/>
      </c>
      <c r="M27" s="13"/>
      <c r="N27" s="13"/>
      <c r="O27" s="13"/>
      <c r="P27" s="13"/>
      <c r="Q27" s="26"/>
      <c r="R27" s="26"/>
      <c r="S27" s="13"/>
      <c r="T27" s="13"/>
      <c r="U27" s="17"/>
      <c r="W27" s="13"/>
      <c r="X27" s="13"/>
      <c r="Y27" s="13"/>
      <c r="Z27" s="13"/>
      <c r="AA27" s="13"/>
    </row>
    <row r="28">
      <c r="A28" s="25">
        <v>46235.0</v>
      </c>
      <c r="B28" s="22">
        <f t="shared" ref="B28:D28" si="51">SUMIFS(INDIRECT("C"&amp;$C$70&amp;":C"), INDIRECT("B"&amp;$C$70&amp;":B"), "&gt;="&amp;$A28, INDIRECT("B"&amp;$C$70&amp;":B"), "&lt;"&amp;$A29, INDIRECT("F"&amp;$C$70&amp;":F"), B$2)</f>
        <v>0</v>
      </c>
      <c r="C28" s="22">
        <f t="shared" si="51"/>
        <v>0</v>
      </c>
      <c r="D28" s="22">
        <f t="shared" si="51"/>
        <v>0</v>
      </c>
      <c r="E28" s="23" t="str">
        <f>IFERROR(__xludf.DUMMYFUNCTION("TEXTJOIN("", "", TRUE, FILTER(INDIRECT(""U""&amp;$C$70&amp;"":U""), INDIRECT(""E""&amp;$C$70&amp;"":E"") = $B$1, INDIRECT(""B""&amp;$C$70&amp;"":B"") &gt;= $A28, INDIRECT(""B""&amp;$C$70&amp;"":B"") &lt;$A29))"),"#N/A")</f>
        <v>#N/A</v>
      </c>
      <c r="F28" s="22">
        <f t="shared" ref="F28:K28" si="52">SUMIFS(INDIRECT("C"&amp;$C$70&amp;":C"), INDIRECT("B"&amp;$C$70&amp;":B"), "&gt;="&amp;$A28, INDIRECT("B"&amp;$C$70&amp;":B"), "&lt;"&amp;$A29, INDIRECT("G"&amp;$C$70&amp;":G"), F$2)</f>
        <v>0</v>
      </c>
      <c r="G28" s="22">
        <f t="shared" si="52"/>
        <v>0</v>
      </c>
      <c r="H28" s="22">
        <f t="shared" si="52"/>
        <v>0</v>
      </c>
      <c r="I28" s="22">
        <f t="shared" si="52"/>
        <v>0</v>
      </c>
      <c r="J28" s="22">
        <f t="shared" si="52"/>
        <v>0</v>
      </c>
      <c r="K28" s="22">
        <f t="shared" si="52"/>
        <v>0</v>
      </c>
      <c r="L28" s="24" t="str">
        <f>IFERROR(__xludf.DUMMYFUNCTION("TEXTJOIN("", "", TRUE, FILTER(INDIRECT(""U""&amp;$C$70&amp;"":U""), INDIRECT(""E""&amp;$C$70&amp;"":E"") = $F$1, INDIRECT(""B""&amp;$C$70&amp;"":B"") &gt;= $A28, INDIRECT(""B""&amp;$C$70&amp;"":B"") &lt;$A29))"),"#N/A")</f>
        <v>#N/A</v>
      </c>
      <c r="M28" s="13"/>
      <c r="N28" s="13"/>
      <c r="O28" s="13"/>
      <c r="P28" s="13"/>
      <c r="Q28" s="26"/>
      <c r="R28" s="26"/>
      <c r="S28" s="13"/>
      <c r="T28" s="13"/>
      <c r="U28" s="17"/>
      <c r="W28" s="13"/>
      <c r="X28" s="13"/>
      <c r="Y28" s="13"/>
      <c r="Z28" s="13"/>
      <c r="AA28" s="13"/>
    </row>
    <row r="29">
      <c r="A29" s="25">
        <v>46266.0</v>
      </c>
      <c r="B29" s="22">
        <f t="shared" ref="B29:D29" si="53">SUMIFS(INDIRECT("C"&amp;$C$70&amp;":C"), INDIRECT("B"&amp;$C$70&amp;":B"), "&gt;="&amp;$A29, INDIRECT("B"&amp;$C$70&amp;":B"), "&lt;"&amp;$A30, INDIRECT("F"&amp;$C$70&amp;":F"), B$2)</f>
        <v>0</v>
      </c>
      <c r="C29" s="22">
        <f t="shared" si="53"/>
        <v>0</v>
      </c>
      <c r="D29" s="22">
        <f t="shared" si="53"/>
        <v>0</v>
      </c>
      <c r="E29" s="23" t="str">
        <f>IFERROR(__xludf.DUMMYFUNCTION("TEXTJOIN("", "", TRUE, FILTER(INDIRECT(""U""&amp;$C$70&amp;"":U""), INDIRECT(""E""&amp;$C$70&amp;"":E"") = $B$1, INDIRECT(""B""&amp;$C$70&amp;"":B"") &gt;= $A29, INDIRECT(""B""&amp;$C$70&amp;"":B"") &lt;$A30))"),"#N/A")</f>
        <v>#N/A</v>
      </c>
      <c r="F29" s="22">
        <f t="shared" ref="F29:K29" si="54">SUMIFS(INDIRECT("C"&amp;$C$70&amp;":C"), INDIRECT("B"&amp;$C$70&amp;":B"), "&gt;="&amp;$A29, INDIRECT("B"&amp;$C$70&amp;":B"), "&lt;"&amp;$A30, INDIRECT("G"&amp;$C$70&amp;":G"), F$2)</f>
        <v>0</v>
      </c>
      <c r="G29" s="22">
        <f t="shared" si="54"/>
        <v>0</v>
      </c>
      <c r="H29" s="22">
        <f t="shared" si="54"/>
        <v>0</v>
      </c>
      <c r="I29" s="22">
        <f t="shared" si="54"/>
        <v>0</v>
      </c>
      <c r="J29" s="22">
        <f t="shared" si="54"/>
        <v>0</v>
      </c>
      <c r="K29" s="22">
        <f t="shared" si="54"/>
        <v>0</v>
      </c>
      <c r="L29" s="24" t="str">
        <f>IFERROR(__xludf.DUMMYFUNCTION("TEXTJOIN("", "", TRUE, FILTER(INDIRECT(""U""&amp;$C$70&amp;"":U""), INDIRECT(""E""&amp;$C$70&amp;"":E"") = $F$1, INDIRECT(""B""&amp;$C$70&amp;"":B"") &gt;= $A29, INDIRECT(""B""&amp;$C$70&amp;"":B"") &lt;$A30))"),"#N/A")</f>
        <v>#N/A</v>
      </c>
      <c r="M29" s="13"/>
      <c r="N29" s="13"/>
      <c r="O29" s="13"/>
      <c r="P29" s="13"/>
      <c r="Q29" s="26"/>
      <c r="R29" s="26"/>
      <c r="S29" s="13"/>
      <c r="T29" s="13"/>
      <c r="U29" s="17"/>
      <c r="W29" s="13"/>
      <c r="X29" s="13"/>
      <c r="Y29" s="13"/>
      <c r="Z29" s="13"/>
      <c r="AA29" s="13"/>
    </row>
    <row r="30">
      <c r="A30" s="25">
        <v>46296.0</v>
      </c>
      <c r="B30" s="22">
        <f t="shared" ref="B30:D30" si="55">SUMIFS(INDIRECT("C"&amp;$C$70&amp;":C"), INDIRECT("B"&amp;$C$70&amp;":B"), "&gt;="&amp;$A30, INDIRECT("B"&amp;$C$70&amp;":B"), "&lt;"&amp;$A31, INDIRECT("F"&amp;$C$70&amp;":F"), B$2)</f>
        <v>0</v>
      </c>
      <c r="C30" s="22">
        <f t="shared" si="55"/>
        <v>0</v>
      </c>
      <c r="D30" s="22">
        <f t="shared" si="55"/>
        <v>0</v>
      </c>
      <c r="E30" s="23" t="str">
        <f>IFERROR(__xludf.DUMMYFUNCTION("TEXTJOIN("", "", TRUE, FILTER(INDIRECT(""U""&amp;$C$70&amp;"":U""), INDIRECT(""E""&amp;$C$70&amp;"":E"") = $B$1, INDIRECT(""B""&amp;$C$70&amp;"":B"") &gt;= $A30, INDIRECT(""B""&amp;$C$70&amp;"":B"") &lt;$A31))"),"#N/A")</f>
        <v>#N/A</v>
      </c>
      <c r="F30" s="22">
        <f t="shared" ref="F30:K30" si="56">SUMIFS(INDIRECT("C"&amp;$C$70&amp;":C"), INDIRECT("B"&amp;$C$70&amp;":B"), "&gt;="&amp;$A30, INDIRECT("B"&amp;$C$70&amp;":B"), "&lt;"&amp;$A31, INDIRECT("G"&amp;$C$70&amp;":G"), F$2)</f>
        <v>0</v>
      </c>
      <c r="G30" s="22">
        <f t="shared" si="56"/>
        <v>0</v>
      </c>
      <c r="H30" s="22">
        <f t="shared" si="56"/>
        <v>0</v>
      </c>
      <c r="I30" s="22">
        <f t="shared" si="56"/>
        <v>0</v>
      </c>
      <c r="J30" s="22">
        <f t="shared" si="56"/>
        <v>0</v>
      </c>
      <c r="K30" s="22">
        <f t="shared" si="56"/>
        <v>0</v>
      </c>
      <c r="L30" s="24" t="str">
        <f>IFERROR(__xludf.DUMMYFUNCTION("TEXTJOIN("", "", TRUE, FILTER(INDIRECT(""U""&amp;$C$70&amp;"":U""), INDIRECT(""E""&amp;$C$70&amp;"":E"") = $F$1, INDIRECT(""B""&amp;$C$70&amp;"":B"") &gt;= $A30, INDIRECT(""B""&amp;$C$70&amp;"":B"") &lt;$A31))"),"#N/A")</f>
        <v>#N/A</v>
      </c>
      <c r="M30" s="13"/>
      <c r="N30" s="13"/>
      <c r="O30" s="13"/>
      <c r="P30" s="13"/>
      <c r="Q30" s="26"/>
      <c r="R30" s="26"/>
      <c r="S30" s="13"/>
      <c r="T30" s="13"/>
      <c r="U30" s="17"/>
      <c r="W30" s="13"/>
      <c r="X30" s="13"/>
      <c r="Y30" s="13"/>
      <c r="Z30" s="13"/>
      <c r="AA30" s="13"/>
    </row>
    <row r="31">
      <c r="A31" s="25">
        <v>46327.0</v>
      </c>
      <c r="B31" s="22">
        <f t="shared" ref="B31:D31" si="57">SUMIFS(INDIRECT("C"&amp;$C$70&amp;":C"), INDIRECT("B"&amp;$C$70&amp;":B"), "&gt;="&amp;$A31, INDIRECT("B"&amp;$C$70&amp;":B"), "&lt;"&amp;$A32, INDIRECT("F"&amp;$C$70&amp;":F"), B$2)</f>
        <v>0</v>
      </c>
      <c r="C31" s="22">
        <f t="shared" si="57"/>
        <v>0</v>
      </c>
      <c r="D31" s="22">
        <f t="shared" si="57"/>
        <v>0</v>
      </c>
      <c r="E31" s="23" t="str">
        <f>IFERROR(__xludf.DUMMYFUNCTION("TEXTJOIN("", "", TRUE, FILTER(INDIRECT(""U""&amp;$C$70&amp;"":U""), INDIRECT(""E""&amp;$C$70&amp;"":E"") = $B$1, INDIRECT(""B""&amp;$C$70&amp;"":B"") &gt;= $A31, INDIRECT(""B""&amp;$C$70&amp;"":B"") &lt;$A32))"),"#N/A")</f>
        <v>#N/A</v>
      </c>
      <c r="F31" s="22">
        <f t="shared" ref="F31:K31" si="58">SUMIFS(INDIRECT("C"&amp;$C$70&amp;":C"), INDIRECT("B"&amp;$C$70&amp;":B"), "&gt;="&amp;$A31, INDIRECT("B"&amp;$C$70&amp;":B"), "&lt;"&amp;$A32, INDIRECT("G"&amp;$C$70&amp;":G"), F$2)</f>
        <v>0</v>
      </c>
      <c r="G31" s="22">
        <f t="shared" si="58"/>
        <v>0</v>
      </c>
      <c r="H31" s="22">
        <f t="shared" si="58"/>
        <v>0</v>
      </c>
      <c r="I31" s="22">
        <f t="shared" si="58"/>
        <v>0</v>
      </c>
      <c r="J31" s="22">
        <f t="shared" si="58"/>
        <v>0</v>
      </c>
      <c r="K31" s="22">
        <f t="shared" si="58"/>
        <v>0</v>
      </c>
      <c r="L31" s="24" t="str">
        <f>IFERROR(__xludf.DUMMYFUNCTION("TEXTJOIN("", "", TRUE, FILTER(INDIRECT(""U""&amp;$C$70&amp;"":U""), INDIRECT(""E""&amp;$C$70&amp;"":E"") = $F$1, INDIRECT(""B""&amp;$C$70&amp;"":B"") &gt;= $A31, INDIRECT(""B""&amp;$C$70&amp;"":B"") &lt;$A32))"),"#N/A")</f>
        <v>#N/A</v>
      </c>
      <c r="M31" s="13"/>
      <c r="N31" s="13"/>
      <c r="O31" s="13"/>
      <c r="P31" s="13"/>
      <c r="Q31" s="26"/>
      <c r="R31" s="26"/>
      <c r="S31" s="13"/>
      <c r="T31" s="13"/>
      <c r="U31" s="17"/>
      <c r="W31" s="13"/>
      <c r="X31" s="13"/>
      <c r="Y31" s="13"/>
      <c r="Z31" s="13"/>
      <c r="AA31" s="13"/>
    </row>
    <row r="32">
      <c r="A32" s="25">
        <v>46357.0</v>
      </c>
      <c r="B32" s="22">
        <f t="shared" ref="B32:D32" si="59">SUMIFS(INDIRECT("C"&amp;$C$70&amp;":C"), INDIRECT("B"&amp;$C$70&amp;":B"), "&gt;="&amp;$A32, INDIRECT("B"&amp;$C$70&amp;":B"), "&lt;"&amp;$A33, INDIRECT("F"&amp;$C$70&amp;":F"), B$2)</f>
        <v>0</v>
      </c>
      <c r="C32" s="22">
        <f t="shared" si="59"/>
        <v>0</v>
      </c>
      <c r="D32" s="22">
        <f t="shared" si="59"/>
        <v>0</v>
      </c>
      <c r="E32" s="23" t="str">
        <f>IFERROR(__xludf.DUMMYFUNCTION("TEXTJOIN("", "", TRUE, FILTER(INDIRECT(""U""&amp;$C$70&amp;"":U""), INDIRECT(""E""&amp;$C$70&amp;"":E"") = $B$1, INDIRECT(""B""&amp;$C$70&amp;"":B"") &gt;= $A32, INDIRECT(""B""&amp;$C$70&amp;"":B"") &lt;$A33))"),"#N/A")</f>
        <v>#N/A</v>
      </c>
      <c r="F32" s="22">
        <f t="shared" ref="F32:K32" si="60">SUMIFS(INDIRECT("C"&amp;$C$70&amp;":C"), INDIRECT("B"&amp;$C$70&amp;":B"), "&gt;="&amp;$A32, INDIRECT("B"&amp;$C$70&amp;":B"), "&lt;"&amp;$A33, INDIRECT("G"&amp;$C$70&amp;":G"), F$2)</f>
        <v>0</v>
      </c>
      <c r="G32" s="22">
        <f t="shared" si="60"/>
        <v>0</v>
      </c>
      <c r="H32" s="22">
        <f t="shared" si="60"/>
        <v>0</v>
      </c>
      <c r="I32" s="22">
        <f t="shared" si="60"/>
        <v>0</v>
      </c>
      <c r="J32" s="22">
        <f t="shared" si="60"/>
        <v>0</v>
      </c>
      <c r="K32" s="22">
        <f t="shared" si="60"/>
        <v>0</v>
      </c>
      <c r="L32" s="24" t="str">
        <f>IFERROR(__xludf.DUMMYFUNCTION("TEXTJOIN("", "", TRUE, FILTER(INDIRECT(""U""&amp;$C$70&amp;"":U""), INDIRECT(""E""&amp;$C$70&amp;"":E"") = $F$1, INDIRECT(""B""&amp;$C$70&amp;"":B"") &gt;= $A32, INDIRECT(""B""&amp;$C$70&amp;"":B"") &lt;$A33))"),"#N/A")</f>
        <v>#N/A</v>
      </c>
      <c r="M32" s="13"/>
      <c r="N32" s="13"/>
      <c r="O32" s="13"/>
      <c r="P32" s="13"/>
      <c r="Q32" s="26"/>
      <c r="R32" s="26"/>
      <c r="S32" s="13"/>
      <c r="T32" s="13"/>
      <c r="U32" s="17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6"/>
      <c r="R33" s="26"/>
      <c r="S33" s="13"/>
      <c r="T33" s="13"/>
      <c r="U33" s="17"/>
      <c r="W33" s="13"/>
      <c r="X33" s="13"/>
      <c r="Y33" s="13"/>
      <c r="Z33" s="13"/>
      <c r="AA33" s="13"/>
    </row>
    <row r="34">
      <c r="A34" s="13"/>
      <c r="B34" s="14" t="s">
        <v>377</v>
      </c>
      <c r="C34" s="16"/>
      <c r="D34" s="14" t="s">
        <v>378</v>
      </c>
      <c r="E34" s="15"/>
      <c r="F34" s="14" t="s">
        <v>379</v>
      </c>
      <c r="G34" s="15"/>
      <c r="H34" s="15"/>
      <c r="I34" s="15"/>
      <c r="J34" s="16"/>
      <c r="K34" s="27" t="s">
        <v>380</v>
      </c>
      <c r="L34" s="28"/>
      <c r="M34" s="28"/>
      <c r="N34" s="28"/>
      <c r="O34" s="28"/>
      <c r="P34" s="29"/>
      <c r="Q34" s="30" t="s">
        <v>79</v>
      </c>
      <c r="R34" s="29"/>
      <c r="S34" s="31" t="s">
        <v>18</v>
      </c>
      <c r="T34" s="13"/>
      <c r="U34" s="17"/>
      <c r="W34" s="26"/>
      <c r="X34" s="13"/>
      <c r="Y34" s="13"/>
      <c r="Z34" s="13"/>
      <c r="AA34" s="13"/>
    </row>
    <row r="35">
      <c r="A35" s="18" t="s">
        <v>381</v>
      </c>
      <c r="B35" s="32" t="s">
        <v>382</v>
      </c>
      <c r="C35" s="33" t="s">
        <v>50</v>
      </c>
      <c r="D35" s="32" t="s">
        <v>58</v>
      </c>
      <c r="E35" s="33" t="s">
        <v>75</v>
      </c>
      <c r="F35" s="32" t="s">
        <v>383</v>
      </c>
      <c r="G35" s="34" t="s">
        <v>111</v>
      </c>
      <c r="H35" s="34" t="s">
        <v>90</v>
      </c>
      <c r="I35" s="34" t="s">
        <v>52</v>
      </c>
      <c r="J35" s="35" t="s">
        <v>124</v>
      </c>
      <c r="K35" s="34" t="s">
        <v>198</v>
      </c>
      <c r="L35" s="34" t="s">
        <v>235</v>
      </c>
      <c r="M35" s="34" t="s">
        <v>23</v>
      </c>
      <c r="N35" s="34" t="s">
        <v>77</v>
      </c>
      <c r="O35" s="34" t="s">
        <v>31</v>
      </c>
      <c r="P35" s="36" t="s">
        <v>176</v>
      </c>
      <c r="Q35" s="32" t="s">
        <v>60</v>
      </c>
      <c r="R35" s="34" t="s">
        <v>79</v>
      </c>
      <c r="S35" s="31" t="s">
        <v>18</v>
      </c>
      <c r="T35" s="13"/>
      <c r="U35" s="17"/>
      <c r="W35" s="13"/>
      <c r="X35" s="13"/>
      <c r="Y35" s="13"/>
      <c r="Z35" s="13"/>
      <c r="AA35" s="13"/>
    </row>
    <row r="36">
      <c r="A36" s="37">
        <v>45474.0</v>
      </c>
      <c r="B36" s="22">
        <f t="shared" ref="B36:B65" si="64">SUMIFS(INDIRECT("C"&amp;$C$70&amp;":C"), INDIRECT("B"&amp;$C$70&amp;":B"), "&gt;="&amp;$A36, INDIRECT("B"&amp;$C$70&amp;":B"), "&lt;"&amp;$A37, INDIRECT("H"&amp;$C$70&amp;":H"), "&lt;&gt;") - SUM($C36:$R36)</f>
        <v>20888</v>
      </c>
      <c r="C36" s="22">
        <f t="shared" ref="C36:C65" si="65">SUMIFS(INDIRECT("C"&amp;$C$70&amp;":C"), INDIRECT("B"&amp;$C$70&amp;":B"), "&gt;="&amp;$A36, INDIRECT("B"&amp;$C$70&amp;":B"), "&lt;"&amp;$A37, INDIRECT("J"&amp;$C$70&amp;":J"), C$35)</f>
        <v>728</v>
      </c>
      <c r="D36" s="22">
        <f t="shared" ref="D36:E36" si="61">SUMIFS(INDIRECT("C"&amp;$C$70&amp;":C"), INDIRECT("B"&amp;$C$70&amp;":B"), "&gt;="&amp;$A36, INDIRECT("B"&amp;$C$70&amp;":B"), "&lt;"&amp;$A37, INDIRECT("N"&amp;$C$70&amp;":N"), D$35)</f>
        <v>2701</v>
      </c>
      <c r="E36" s="22">
        <f t="shared" si="61"/>
        <v>7110</v>
      </c>
      <c r="F36" s="22">
        <f t="shared" ref="F36:F65" si="67">SUMIFS(INDIRECT("C"&amp;$C$70&amp;":C"), INDIRECT("B"&amp;$C$70&amp;":B"), "&gt;="&amp;$A36, INDIRECT("B"&amp;$C$70&amp;":B"), "&lt;"&amp;$A37, INDIRECT("K"&amp;$C$70&amp;":K"), "文心1房貸代繳") + SUMIFS(INDIRECT("C"&amp;$C$70&amp;":C"), INDIRECT("B"&amp;$C$70&amp;":B"), "&gt;="&amp;$A36, INDIRECT("B"&amp;$C$70&amp;":B"), "&lt;"&amp;$A37, INDIRECT("K"&amp;$C$70&amp;":K"), "租屋")</f>
        <v>0</v>
      </c>
      <c r="G36" s="22">
        <f t="shared" ref="G36:J36" si="62">SUMIFS(INDIRECT("C"&amp;$C$70&amp;":C"), INDIRECT("B"&amp;$C$70&amp;":B"), "&gt;="&amp;$A36, INDIRECT("B"&amp;$C$70&amp;":B"), "&lt;"&amp;$A37, INDIRECT("K"&amp;$C$70&amp;":K"), G$35)</f>
        <v>0</v>
      </c>
      <c r="H36" s="22">
        <f t="shared" si="62"/>
        <v>0</v>
      </c>
      <c r="I36" s="22">
        <f t="shared" si="62"/>
        <v>384</v>
      </c>
      <c r="J36" s="22">
        <f t="shared" si="62"/>
        <v>0</v>
      </c>
      <c r="K36" s="22">
        <f t="shared" ref="K36:P36" si="63">SUMIFS(INDIRECT("C"&amp;$C$70&amp;":C"), INDIRECT("B"&amp;$C$70&amp;":B"), "&gt;="&amp;$A36, INDIRECT("B"&amp;$C$70&amp;":B"), "&lt;"&amp;$A37, INDIRECT("L"&amp;$C$70&amp;":L"), K$35)</f>
        <v>0</v>
      </c>
      <c r="L36" s="22">
        <f t="shared" si="63"/>
        <v>0</v>
      </c>
      <c r="M36" s="22">
        <f t="shared" si="63"/>
        <v>1421</v>
      </c>
      <c r="N36" s="22">
        <f t="shared" si="63"/>
        <v>800</v>
      </c>
      <c r="O36" s="22">
        <f t="shared" si="63"/>
        <v>115</v>
      </c>
      <c r="P36" s="22">
        <f t="shared" si="63"/>
        <v>0</v>
      </c>
      <c r="Q36" s="22">
        <f t="shared" ref="Q36:Q65" si="70">SUMIFS(INDIRECT("C"&amp;$C$70&amp;":C"), INDIRECT("B"&amp;$C$70&amp;":B"), "&gt;="&amp;$A36, INDIRECT("B"&amp;$C$70&amp;":B"), "&lt;"&amp;$A37, INDIRECT("R"&amp;$C$70&amp;":R"), Q$35)</f>
        <v>3087</v>
      </c>
      <c r="R36" s="22">
        <f t="shared" ref="R36:R65" si="71">SUMIFS(INDIRECT("C"&amp;$C$70&amp;":C"), INDIRECT("A"&amp;$C$70&amp;":A"), "&gt;="&amp;$A36, INDIRECT("A"&amp;$C$70&amp;":A"), "&lt;"&amp;$A37, INDIRECT("R"&amp;$C$70&amp;":R"), "&lt;&gt;公司認股", INDIRECT("R"&amp;$C$70&amp;":R"), "&lt;&gt;")</f>
        <v>0</v>
      </c>
      <c r="S36" s="38" t="str">
        <f>IFERROR(__xludf.DUMMYFUNCTION("TEXTJOIN("", "", TRUE, FILTER(INDIRECT(""U""&amp;$C$70&amp;"":U""), INDIRECT(""H""&amp;$C$70&amp;"":H"") &lt;&gt;"""", INDIRECT(""B""&amp;$C$70&amp;"":B"") &gt;= $A3, INDIRECT(""B""&amp;$C$70&amp;"":B"") &lt;$A4))"),"$6600中瑋萬豪婚禮2人, $384竹南電費, $7110獎金稅")</f>
        <v>$6600中瑋萬豪婚禮2人, $384竹南電費, $7110獎金稅</v>
      </c>
      <c r="T36" s="39"/>
      <c r="U36" s="40"/>
      <c r="W36" s="13"/>
      <c r="X36" s="13"/>
      <c r="Y36" s="13"/>
      <c r="Z36" s="13"/>
      <c r="AA36" s="13"/>
    </row>
    <row r="37">
      <c r="A37" s="37">
        <v>45505.0</v>
      </c>
      <c r="B37" s="22">
        <f t="shared" si="64"/>
        <v>52528</v>
      </c>
      <c r="C37" s="22">
        <f t="shared" si="65"/>
        <v>0</v>
      </c>
      <c r="D37" s="22">
        <f t="shared" ref="D37:E37" si="66">SUMIFS(INDIRECT("C"&amp;$C$70&amp;":C"), INDIRECT("B"&amp;$C$70&amp;":B"), "&gt;="&amp;$A37, INDIRECT("B"&amp;$C$70&amp;":B"), "&lt;"&amp;$A38, INDIRECT("N"&amp;$C$70&amp;":N"), D$35)</f>
        <v>2701</v>
      </c>
      <c r="E37" s="22">
        <f t="shared" si="66"/>
        <v>3260</v>
      </c>
      <c r="F37" s="22">
        <f t="shared" si="67"/>
        <v>26000</v>
      </c>
      <c r="G37" s="22">
        <f t="shared" ref="G37:J37" si="68">SUMIFS(INDIRECT("C"&amp;$C$70&amp;":C"), INDIRECT("B"&amp;$C$70&amp;":B"), "&gt;="&amp;$A37, INDIRECT("B"&amp;$C$70&amp;":B"), "&lt;"&amp;$A38, INDIRECT("K"&amp;$C$70&amp;":K"), G$35)</f>
        <v>0</v>
      </c>
      <c r="H37" s="22">
        <f t="shared" si="68"/>
        <v>0</v>
      </c>
      <c r="I37" s="22">
        <f t="shared" si="68"/>
        <v>1679</v>
      </c>
      <c r="J37" s="22">
        <f t="shared" si="68"/>
        <v>0</v>
      </c>
      <c r="K37" s="22">
        <f t="shared" ref="K37:P37" si="69">SUMIFS(INDIRECT("C"&amp;$C$70&amp;":C"), INDIRECT("B"&amp;$C$70&amp;":B"), "&gt;="&amp;$A37, INDIRECT("B"&amp;$C$70&amp;":B"), "&lt;"&amp;$A38, INDIRECT("L"&amp;$C$70&amp;":L"), K$35)</f>
        <v>0</v>
      </c>
      <c r="L37" s="22">
        <f t="shared" si="69"/>
        <v>0</v>
      </c>
      <c r="M37" s="22">
        <f t="shared" si="69"/>
        <v>1706</v>
      </c>
      <c r="N37" s="22">
        <f t="shared" si="69"/>
        <v>0</v>
      </c>
      <c r="O37" s="22">
        <f t="shared" si="69"/>
        <v>0</v>
      </c>
      <c r="P37" s="22">
        <f t="shared" si="69"/>
        <v>0</v>
      </c>
      <c r="Q37" s="22">
        <f t="shared" si="70"/>
        <v>3087</v>
      </c>
      <c r="R37" s="22">
        <f t="shared" si="71"/>
        <v>0</v>
      </c>
      <c r="S37" s="38" t="str">
        <f>IFERROR(__xludf.DUMMYFUNCTION("TEXTJOIN("", "", TRUE, FILTER(INDIRECT(""U""&amp;$C$70&amp;"":U""), INDIRECT(""H""&amp;$C$70&amp;"":H"") &lt;&gt;"""", INDIRECT(""B""&amp;$C$70&amp;"":B"") &gt;= $A4, INDIRECT(""B""&amp;$C$70&amp;"":B"") &lt;$A5))"),"$1888麟洋紀念酒, $40000韓國旅遊兩人(大概值)")</f>
        <v>$1888麟洋紀念酒, $40000韓國旅遊兩人(大概值)</v>
      </c>
      <c r="T37" s="39"/>
      <c r="U37" s="40"/>
      <c r="W37" s="13"/>
      <c r="X37" s="13"/>
      <c r="Y37" s="13"/>
      <c r="Z37" s="13"/>
      <c r="AA37" s="13"/>
    </row>
    <row r="38">
      <c r="A38" s="37">
        <v>45536.0</v>
      </c>
      <c r="B38" s="22">
        <f t="shared" si="64"/>
        <v>28800</v>
      </c>
      <c r="C38" s="22">
        <f t="shared" si="65"/>
        <v>798</v>
      </c>
      <c r="D38" s="22">
        <f t="shared" ref="D38:E38" si="72">SUMIFS(INDIRECT("C"&amp;$C$70&amp;":C"), INDIRECT("B"&amp;$C$70&amp;":B"), "&gt;="&amp;$A38, INDIRECT("B"&amp;$C$70&amp;":B"), "&lt;"&amp;$A39, INDIRECT("N"&amp;$C$70&amp;":N"), D$35)</f>
        <v>2771</v>
      </c>
      <c r="E38" s="22">
        <f t="shared" si="72"/>
        <v>3260</v>
      </c>
      <c r="F38" s="22">
        <f t="shared" si="67"/>
        <v>26000</v>
      </c>
      <c r="G38" s="22">
        <f t="shared" ref="G38:J38" si="73">SUMIFS(INDIRECT("C"&amp;$C$70&amp;":C"), INDIRECT("B"&amp;$C$70&amp;":B"), "&gt;="&amp;$A38, INDIRECT("B"&amp;$C$70&amp;":B"), "&lt;"&amp;$A39, INDIRECT("K"&amp;$C$70&amp;":K"), G$35)</f>
        <v>6602</v>
      </c>
      <c r="H38" s="22">
        <f t="shared" si="73"/>
        <v>205</v>
      </c>
      <c r="I38" s="22">
        <f t="shared" si="73"/>
        <v>0</v>
      </c>
      <c r="J38" s="22">
        <f t="shared" si="73"/>
        <v>305</v>
      </c>
      <c r="K38" s="22">
        <f t="shared" ref="K38:P38" si="74">SUMIFS(INDIRECT("C"&amp;$C$70&amp;":C"), INDIRECT("B"&amp;$C$70&amp;":B"), "&gt;="&amp;$A38, INDIRECT("B"&amp;$C$70&amp;":B"), "&lt;"&amp;$A39, INDIRECT("L"&amp;$C$70&amp;":L"), K$35)</f>
        <v>0</v>
      </c>
      <c r="L38" s="22">
        <f t="shared" si="74"/>
        <v>0</v>
      </c>
      <c r="M38" s="22">
        <f t="shared" si="74"/>
        <v>2185</v>
      </c>
      <c r="N38" s="22">
        <f t="shared" si="74"/>
        <v>0</v>
      </c>
      <c r="O38" s="22">
        <f t="shared" si="74"/>
        <v>220</v>
      </c>
      <c r="P38" s="22">
        <f t="shared" si="74"/>
        <v>0</v>
      </c>
      <c r="Q38" s="22">
        <f t="shared" si="70"/>
        <v>3087</v>
      </c>
      <c r="R38" s="22">
        <f t="shared" si="71"/>
        <v>0</v>
      </c>
      <c r="S38" s="38" t="str">
        <f>IFERROR(__xludf.DUMMYFUNCTION("TEXTJOIN("", "", TRUE, FILTER(INDIRECT(""U""&amp;$C$70&amp;"":U""), INDIRECT(""H""&amp;$C$70&amp;"":H"") &lt;&gt;"""", INDIRECT(""B""&amp;$C$70&amp;"":B"") &gt;= $A5, INDIRECT(""B""&amp;$C$70&amp;"":B"") &lt;$A6))"),"$5000培揚婚禮兩人, $3010高雄寒軒")</f>
        <v>$5000培揚婚禮兩人, $3010高雄寒軒</v>
      </c>
      <c r="T38" s="39"/>
      <c r="U38" s="40"/>
      <c r="W38" s="13"/>
      <c r="X38" s="13"/>
      <c r="Y38" s="13"/>
      <c r="Z38" s="13"/>
      <c r="AA38" s="13"/>
    </row>
    <row r="39">
      <c r="A39" s="37">
        <v>45566.0</v>
      </c>
      <c r="B39" s="22">
        <f t="shared" si="64"/>
        <v>104344</v>
      </c>
      <c r="C39" s="22">
        <f t="shared" si="65"/>
        <v>0</v>
      </c>
      <c r="D39" s="22">
        <f t="shared" ref="D39:E39" si="75">SUMIFS(INDIRECT("C"&amp;$C$70&amp;":C"), INDIRECT("B"&amp;$C$70&amp;":B"), "&gt;="&amp;$A39, INDIRECT("B"&amp;$C$70&amp;":B"), "&lt;"&amp;$A40, INDIRECT("N"&amp;$C$70&amp;":N"), D$35)</f>
        <v>0</v>
      </c>
      <c r="E39" s="22">
        <f t="shared" si="75"/>
        <v>1593</v>
      </c>
      <c r="F39" s="22">
        <f t="shared" si="67"/>
        <v>26000</v>
      </c>
      <c r="G39" s="22">
        <f t="shared" ref="G39:J39" si="76">SUMIFS(INDIRECT("C"&amp;$C$70&amp;":C"), INDIRECT("B"&amp;$C$70&amp;":B"), "&gt;="&amp;$A39, INDIRECT("B"&amp;$C$70&amp;":B"), "&lt;"&amp;$A40, INDIRECT("K"&amp;$C$70&amp;":K"), G$35)</f>
        <v>0</v>
      </c>
      <c r="H39" s="22">
        <f t="shared" si="76"/>
        <v>0</v>
      </c>
      <c r="I39" s="22">
        <f t="shared" si="76"/>
        <v>1444</v>
      </c>
      <c r="J39" s="22">
        <f t="shared" si="76"/>
        <v>0</v>
      </c>
      <c r="K39" s="22">
        <f t="shared" ref="K39:P39" si="77">SUMIFS(INDIRECT("C"&amp;$C$70&amp;":C"), INDIRECT("B"&amp;$C$70&amp;":B"), "&gt;="&amp;$A39, INDIRECT("B"&amp;$C$70&amp;":B"), "&lt;"&amp;$A40, INDIRECT("L"&amp;$C$70&amp;":L"), K$35)</f>
        <v>0</v>
      </c>
      <c r="L39" s="22">
        <f t="shared" si="77"/>
        <v>0</v>
      </c>
      <c r="M39" s="22">
        <f t="shared" si="77"/>
        <v>2961</v>
      </c>
      <c r="N39" s="22">
        <f t="shared" si="77"/>
        <v>400</v>
      </c>
      <c r="O39" s="22">
        <f t="shared" si="77"/>
        <v>400</v>
      </c>
      <c r="P39" s="22">
        <f t="shared" si="77"/>
        <v>0</v>
      </c>
      <c r="Q39" s="22">
        <f t="shared" si="70"/>
        <v>0</v>
      </c>
      <c r="R39" s="22">
        <f t="shared" si="71"/>
        <v>0</v>
      </c>
      <c r="S39" s="38" t="str">
        <f>IFERROR(__xludf.DUMMYFUNCTION("TEXTJOIN("", "", TRUE, FILTER(INDIRECT(""U""&amp;$C$70&amp;"":U""), INDIRECT(""H""&amp;$C$70&amp;"":H"") &lt;&gt;"""", INDIRECT(""B""&amp;$C$70&amp;"":B"") &gt;= $A6, INDIRECT(""B""&amp;$C$70&amp;"":B"") &lt;$A7))"),"$5700溪頭米堤飯店訂金, $13167米堤飯店*3間（$6289*3-$5700訂金）, $13180燦坤AirPods pro2 $6590*2, $38910燦坤Panasonic 15公斤熱泵除濕式滾筒衣機&lt;NA-V150RPH-K（夜幕黑）$53910-$15000寶補助, $3494寶鞋*2, $3578我鞋*2, $7999IKEA-MILSBO-玻璃門櫃, $1593獎金補充保費")</f>
        <v>$5700溪頭米堤飯店訂金, $13167米堤飯店*3間（$6289*3-$5700訂金）, $13180燦坤AirPods pro2 $6590*2, $38910燦坤Panasonic 15公斤熱泵除濕式滾筒衣機&lt;NA-V150RPH-K（夜幕黑）$53910-$15000寶補助, $3494寶鞋*2, $3578我鞋*2, $7999IKEA-MILSBO-玻璃門櫃, $1593獎金補充保費</v>
      </c>
      <c r="T39" s="39"/>
      <c r="U39" s="40"/>
      <c r="W39" s="13"/>
      <c r="X39" s="13"/>
      <c r="Y39" s="13"/>
      <c r="Z39" s="13"/>
      <c r="AA39" s="13"/>
    </row>
    <row r="40">
      <c r="A40" s="37">
        <v>45597.0</v>
      </c>
      <c r="B40" s="22">
        <f t="shared" si="64"/>
        <v>18420</v>
      </c>
      <c r="C40" s="22">
        <f t="shared" si="65"/>
        <v>788</v>
      </c>
      <c r="D40" s="22">
        <f t="shared" ref="D40:E40" si="78">SUMIFS(INDIRECT("C"&amp;$C$70&amp;":C"), INDIRECT("B"&amp;$C$70&amp;":B"), "&gt;="&amp;$A40, INDIRECT("B"&amp;$C$70&amp;":B"), "&lt;"&amp;$A41, INDIRECT("N"&amp;$C$70&amp;":N"), D$35)</f>
        <v>2771</v>
      </c>
      <c r="E40" s="22">
        <f t="shared" si="78"/>
        <v>3260</v>
      </c>
      <c r="F40" s="22">
        <f t="shared" si="67"/>
        <v>26000</v>
      </c>
      <c r="G40" s="22">
        <f t="shared" ref="G40:J40" si="79">SUMIFS(INDIRECT("C"&amp;$C$70&amp;":C"), INDIRECT("B"&amp;$C$70&amp;":B"), "&gt;="&amp;$A40, INDIRECT("B"&amp;$C$70&amp;":B"), "&lt;"&amp;$A41, INDIRECT("K"&amp;$C$70&amp;":K"), G$35)</f>
        <v>6102</v>
      </c>
      <c r="H40" s="22">
        <f t="shared" si="79"/>
        <v>151</v>
      </c>
      <c r="I40" s="22">
        <f t="shared" si="79"/>
        <v>0</v>
      </c>
      <c r="J40" s="22">
        <f t="shared" si="79"/>
        <v>387</v>
      </c>
      <c r="K40" s="22">
        <f t="shared" ref="K40:P40" si="80">SUMIFS(INDIRECT("C"&amp;$C$70&amp;":C"), INDIRECT("B"&amp;$C$70&amp;":B"), "&gt;="&amp;$A40, INDIRECT("B"&amp;$C$70&amp;":B"), "&lt;"&amp;$A41, INDIRECT("L"&amp;$C$70&amp;":L"), K$35)</f>
        <v>0</v>
      </c>
      <c r="L40" s="22">
        <f t="shared" si="80"/>
        <v>0</v>
      </c>
      <c r="M40" s="22">
        <f t="shared" si="80"/>
        <v>2661</v>
      </c>
      <c r="N40" s="22">
        <f t="shared" si="80"/>
        <v>0</v>
      </c>
      <c r="O40" s="22">
        <f t="shared" si="80"/>
        <v>20</v>
      </c>
      <c r="P40" s="22">
        <f t="shared" si="80"/>
        <v>300</v>
      </c>
      <c r="Q40" s="22">
        <f t="shared" si="70"/>
        <v>3087</v>
      </c>
      <c r="R40" s="22">
        <f t="shared" si="71"/>
        <v>0</v>
      </c>
      <c r="S40" s="38" t="str">
        <f>IFERROR(__xludf.DUMMYFUNCTION("TEXTJOIN("", "", TRUE, FILTER(INDIRECT(""U""&amp;$C$70&amp;"":U""), INDIRECT(""H""&amp;$C$70&amp;"":H"") &lt;&gt;"""", INDIRECT(""B""&amp;$C$70&amp;"":B"") &gt;= $A7, INDIRECT(""B""&amp;$C$70&amp;"":B"") &lt;$A8))"),"$0此月開始,前月薪資扣款項目計入當月項目, $700請蓋幫買寶禮物, $233好市多續約，可參考照片-$2000寶補助隔週各項費用但記於此")</f>
        <v>$0此月開始,前月薪資扣款項目計入當月項目, $700請蓋幫買寶禮物, $233好市多續約，可參考照片-$2000寶補助隔週各項費用但記於此</v>
      </c>
      <c r="T40" s="39"/>
      <c r="U40" s="40"/>
      <c r="W40" s="13"/>
      <c r="X40" s="13"/>
      <c r="Y40" s="13"/>
      <c r="Z40" s="13"/>
      <c r="AA40" s="13"/>
    </row>
    <row r="41">
      <c r="A41" s="37">
        <v>45627.0</v>
      </c>
      <c r="B41" s="22">
        <f t="shared" si="64"/>
        <v>28834</v>
      </c>
      <c r="C41" s="22">
        <f t="shared" si="65"/>
        <v>0</v>
      </c>
      <c r="D41" s="22">
        <f t="shared" ref="D41:E41" si="81">SUMIFS(INDIRECT("C"&amp;$C$70&amp;":C"), INDIRECT("B"&amp;$C$70&amp;":B"), "&gt;="&amp;$A41, INDIRECT("B"&amp;$C$70&amp;":B"), "&lt;"&amp;$A42, INDIRECT("N"&amp;$C$70&amp;":N"), D$35)</f>
        <v>2771</v>
      </c>
      <c r="E41" s="22">
        <f t="shared" si="81"/>
        <v>3260</v>
      </c>
      <c r="F41" s="22">
        <f t="shared" si="67"/>
        <v>26000</v>
      </c>
      <c r="G41" s="22">
        <f t="shared" ref="G41:J41" si="82">SUMIFS(INDIRECT("C"&amp;$C$70&amp;":C"), INDIRECT("B"&amp;$C$70&amp;":B"), "&gt;="&amp;$A41, INDIRECT("B"&amp;$C$70&amp;":B"), "&lt;"&amp;$A42, INDIRECT("K"&amp;$C$70&amp;":K"), G$35)</f>
        <v>0</v>
      </c>
      <c r="H41" s="22">
        <f t="shared" si="82"/>
        <v>0</v>
      </c>
      <c r="I41" s="22">
        <f t="shared" si="82"/>
        <v>1196</v>
      </c>
      <c r="J41" s="22">
        <f t="shared" si="82"/>
        <v>0</v>
      </c>
      <c r="K41" s="22">
        <f t="shared" ref="K41:P41" si="83">SUMIFS(INDIRECT("C"&amp;$C$70&amp;":C"), INDIRECT("B"&amp;$C$70&amp;":B"), "&gt;="&amp;$A41, INDIRECT("B"&amp;$C$70&amp;":B"), "&lt;"&amp;$A42, INDIRECT("L"&amp;$C$70&amp;":L"), K$35)</f>
        <v>0</v>
      </c>
      <c r="L41" s="22">
        <f t="shared" si="83"/>
        <v>0</v>
      </c>
      <c r="M41" s="22">
        <f t="shared" si="83"/>
        <v>704</v>
      </c>
      <c r="N41" s="22">
        <f t="shared" si="83"/>
        <v>400</v>
      </c>
      <c r="O41" s="22">
        <f t="shared" si="83"/>
        <v>40</v>
      </c>
      <c r="P41" s="22">
        <f t="shared" si="83"/>
        <v>0</v>
      </c>
      <c r="Q41" s="22">
        <f t="shared" si="70"/>
        <v>3087</v>
      </c>
      <c r="R41" s="22">
        <f t="shared" si="71"/>
        <v>0</v>
      </c>
      <c r="S41" s="38" t="str">
        <f>IFERROR(__xludf.DUMMYFUNCTION("TEXTJOIN("", "", TRUE, FILTER(INDIRECT(""U""&amp;$C$70&amp;"":U""), INDIRECT(""H""&amp;$C$70&amp;"":H"") &lt;&gt;"""", INDIRECT(""B""&amp;$C$70&amp;"":B"") &gt;= $A8, INDIRECT(""B""&amp;$C$70&amp;"":B"") &lt;$A9))"),"$4358台南大員皇冠酒店, $3688除濕機hdh-12dy030B, $1171機車保險")</f>
        <v>$4358台南大員皇冠酒店, $3688除濕機hdh-12dy030B, $1171機車保險</v>
      </c>
      <c r="T41" s="39"/>
      <c r="U41" s="40"/>
      <c r="W41" s="13"/>
      <c r="X41" s="13"/>
      <c r="Y41" s="13"/>
      <c r="Z41" s="13"/>
      <c r="AA41" s="13"/>
    </row>
    <row r="42">
      <c r="A42" s="25">
        <v>45658.0</v>
      </c>
      <c r="B42" s="22">
        <f t="shared" si="64"/>
        <v>73622</v>
      </c>
      <c r="C42" s="22">
        <f t="shared" si="65"/>
        <v>698</v>
      </c>
      <c r="D42" s="22">
        <f t="shared" ref="D42:E42" si="84">SUMIFS(INDIRECT("C"&amp;$C$70&amp;":C"), INDIRECT("B"&amp;$C$70&amp;":B"), "&gt;="&amp;$A42, INDIRECT("B"&amp;$C$70&amp;":B"), "&lt;"&amp;$A43, INDIRECT("N"&amp;$C$70&amp;":N"), D$35)</f>
        <v>2738</v>
      </c>
      <c r="E42" s="22">
        <f t="shared" si="84"/>
        <v>34163</v>
      </c>
      <c r="F42" s="22">
        <f t="shared" si="67"/>
        <v>26000</v>
      </c>
      <c r="G42" s="22">
        <f t="shared" ref="G42:J42" si="85">SUMIFS(INDIRECT("C"&amp;$C$70&amp;":C"), INDIRECT("B"&amp;$C$70&amp;":B"), "&gt;="&amp;$A42, INDIRECT("B"&amp;$C$70&amp;":B"), "&lt;"&amp;$A43, INDIRECT("K"&amp;$C$70&amp;":K"), G$35)</f>
        <v>7802</v>
      </c>
      <c r="H42" s="22">
        <f t="shared" si="85"/>
        <v>197</v>
      </c>
      <c r="I42" s="22">
        <f t="shared" si="85"/>
        <v>0</v>
      </c>
      <c r="J42" s="22">
        <f t="shared" si="85"/>
        <v>445</v>
      </c>
      <c r="K42" s="22">
        <f t="shared" ref="K42:P42" si="86">SUMIFS(INDIRECT("C"&amp;$C$70&amp;":C"), INDIRECT("B"&amp;$C$70&amp;":B"), "&gt;="&amp;$A42, INDIRECT("B"&amp;$C$70&amp;":B"), "&lt;"&amp;$A43, INDIRECT("L"&amp;$C$70&amp;":L"), K$35)</f>
        <v>28854</v>
      </c>
      <c r="L42" s="22">
        <f t="shared" si="86"/>
        <v>0</v>
      </c>
      <c r="M42" s="22">
        <f t="shared" si="86"/>
        <v>819</v>
      </c>
      <c r="N42" s="22">
        <f t="shared" si="86"/>
        <v>0</v>
      </c>
      <c r="O42" s="22">
        <f t="shared" si="86"/>
        <v>12</v>
      </c>
      <c r="P42" s="22">
        <f t="shared" si="86"/>
        <v>0</v>
      </c>
      <c r="Q42" s="22">
        <f t="shared" si="70"/>
        <v>3087</v>
      </c>
      <c r="R42" s="22">
        <f t="shared" si="71"/>
        <v>0</v>
      </c>
      <c r="S42" s="38" t="str">
        <f>IFERROR(__xludf.DUMMYFUNCTION("TEXTJOIN("", "", TRUE, FILTER(INDIRECT(""U""&amp;$C$70&amp;"":U""), INDIRECT(""H""&amp;$C$70&amp;"":H"") &lt;&gt;"""", INDIRECT(""B""&amp;$C$70&amp;"":B"") &gt;= $A9, INDIRECT(""B""&amp;$C$70&amp;"":B"") &lt;$A10))"),"$5373澳門機票trip.com, $4000道格婚禮, $12000珠海行轉給蓋, $2999華齊堂燕窩禮盒, $13152寶紅包自己抽, $1599虎航台北-澳門機票（未搭乘，含之後退的機場稅費$500）, $6000給爸紅包")</f>
        <v>$5373澳門機票trip.com, $4000道格婚禮, $12000珠海行轉給蓋, $2999華齊堂燕窩禮盒, $13152寶紅包自己抽, $1599虎航台北-澳門機票（未搭乘，含之後退的機場稅費$500）, $6000給爸紅包</v>
      </c>
      <c r="T42" s="39"/>
      <c r="U42" s="40"/>
      <c r="V42" s="13"/>
      <c r="W42" s="13"/>
      <c r="X42" s="13"/>
      <c r="Y42" s="13"/>
      <c r="Z42" s="13"/>
      <c r="AA42" s="13"/>
    </row>
    <row r="43">
      <c r="A43" s="25">
        <v>45689.0</v>
      </c>
      <c r="B43" s="22">
        <f t="shared" si="64"/>
        <v>22026</v>
      </c>
      <c r="C43" s="22">
        <f t="shared" si="65"/>
        <v>0</v>
      </c>
      <c r="D43" s="22">
        <f t="shared" ref="D43:E43" si="87">SUMIFS(INDIRECT("C"&amp;$C$70&amp;":C"), INDIRECT("B"&amp;$C$70&amp;":B"), "&gt;="&amp;$A43, INDIRECT("B"&amp;$C$70&amp;":B"), "&lt;"&amp;$A44, INDIRECT("N"&amp;$C$70&amp;":N"), D$35)</f>
        <v>2816</v>
      </c>
      <c r="E43" s="22">
        <f t="shared" si="87"/>
        <v>3080</v>
      </c>
      <c r="F43" s="22">
        <f t="shared" si="67"/>
        <v>26000</v>
      </c>
      <c r="G43" s="22">
        <f t="shared" ref="G43:J43" si="88">SUMIFS(INDIRECT("C"&amp;$C$70&amp;":C"), INDIRECT("B"&amp;$C$70&amp;":B"), "&gt;="&amp;$A43, INDIRECT("B"&amp;$C$70&amp;":B"), "&lt;"&amp;$A44, INDIRECT("K"&amp;$C$70&amp;":K"), G$35)</f>
        <v>0</v>
      </c>
      <c r="H43" s="22">
        <f t="shared" si="88"/>
        <v>0</v>
      </c>
      <c r="I43" s="22">
        <f t="shared" si="88"/>
        <v>1154</v>
      </c>
      <c r="J43" s="22">
        <f t="shared" si="88"/>
        <v>0</v>
      </c>
      <c r="K43" s="22">
        <f t="shared" ref="K43:P43" si="89">SUMIFS(INDIRECT("C"&amp;$C$70&amp;":C"), INDIRECT("B"&amp;$C$70&amp;":B"), "&gt;="&amp;$A43, INDIRECT("B"&amp;$C$70&amp;":B"), "&lt;"&amp;$A44, INDIRECT("L"&amp;$C$70&amp;":L"), K$35)</f>
        <v>0</v>
      </c>
      <c r="L43" s="22">
        <f t="shared" si="89"/>
        <v>0</v>
      </c>
      <c r="M43" s="22">
        <f t="shared" si="89"/>
        <v>2755</v>
      </c>
      <c r="N43" s="22">
        <f t="shared" si="89"/>
        <v>400</v>
      </c>
      <c r="O43" s="22">
        <f t="shared" si="89"/>
        <v>285</v>
      </c>
      <c r="P43" s="22">
        <f t="shared" si="89"/>
        <v>0</v>
      </c>
      <c r="Q43" s="22">
        <f t="shared" si="70"/>
        <v>3087</v>
      </c>
      <c r="R43" s="22">
        <f t="shared" si="71"/>
        <v>0</v>
      </c>
      <c r="S43" s="38" t="str">
        <f>IFERROR(__xludf.DUMMYFUNCTION("TEXTJOIN("", "", TRUE, FILTER(INDIRECT(""U""&amp;$C$70&amp;"":U""), INDIRECT(""H""&amp;$C$70&amp;"":H"") &lt;&gt;"""", INDIRECT(""B""&amp;$C$70&amp;"":B"") &gt;= $A10, INDIRECT(""B""&amp;$C$70&amp;"":B"") &lt;$A11))"),"")</f>
        <v/>
      </c>
      <c r="T43" s="39"/>
      <c r="U43" s="40"/>
      <c r="V43" s="13"/>
      <c r="W43" s="13"/>
      <c r="X43" s="13"/>
      <c r="Y43" s="13"/>
      <c r="Z43" s="13"/>
      <c r="AA43" s="13"/>
    </row>
    <row r="44">
      <c r="A44" s="25">
        <v>45717.0</v>
      </c>
      <c r="B44" s="22">
        <f t="shared" si="64"/>
        <v>66528</v>
      </c>
      <c r="C44" s="22">
        <f t="shared" si="65"/>
        <v>722</v>
      </c>
      <c r="D44" s="22">
        <f t="shared" ref="D44:E44" si="90">SUMIFS(INDIRECT("C"&amp;$C$70&amp;":C"), INDIRECT("B"&amp;$C$70&amp;":B"), "&gt;="&amp;$A44, INDIRECT("B"&amp;$C$70&amp;":B"), "&lt;"&amp;$A45, INDIRECT("N"&amp;$C$70&amp;":N"), D$35)</f>
        <v>2816</v>
      </c>
      <c r="E44" s="22">
        <f t="shared" si="90"/>
        <v>3080</v>
      </c>
      <c r="F44" s="22">
        <f t="shared" si="67"/>
        <v>26000</v>
      </c>
      <c r="G44" s="22">
        <f t="shared" ref="G44:J44" si="91">SUMIFS(INDIRECT("C"&amp;$C$70&amp;":C"), INDIRECT("B"&amp;$C$70&amp;":B"), "&gt;="&amp;$A44, INDIRECT("B"&amp;$C$70&amp;":B"), "&lt;"&amp;$A45, INDIRECT("K"&amp;$C$70&amp;":K"), G$35)</f>
        <v>7802</v>
      </c>
      <c r="H44" s="22">
        <f t="shared" si="91"/>
        <v>197</v>
      </c>
      <c r="I44" s="22">
        <f t="shared" si="91"/>
        <v>0</v>
      </c>
      <c r="J44" s="22">
        <f t="shared" si="91"/>
        <v>608</v>
      </c>
      <c r="K44" s="22">
        <f t="shared" ref="K44:P44" si="92">SUMIFS(INDIRECT("C"&amp;$C$70&amp;":C"), INDIRECT("B"&amp;$C$70&amp;":B"), "&gt;="&amp;$A44, INDIRECT("B"&amp;$C$70&amp;":B"), "&lt;"&amp;$A45, INDIRECT("L"&amp;$C$70&amp;":L"), K$35)</f>
        <v>0</v>
      </c>
      <c r="L44" s="22">
        <f t="shared" si="92"/>
        <v>4162</v>
      </c>
      <c r="M44" s="22">
        <f t="shared" si="92"/>
        <v>985</v>
      </c>
      <c r="N44" s="22">
        <f t="shared" si="92"/>
        <v>0</v>
      </c>
      <c r="O44" s="22">
        <f t="shared" si="92"/>
        <v>281</v>
      </c>
      <c r="P44" s="22">
        <f t="shared" si="92"/>
        <v>100</v>
      </c>
      <c r="Q44" s="22">
        <f t="shared" si="70"/>
        <v>3087</v>
      </c>
      <c r="R44" s="22">
        <f t="shared" si="71"/>
        <v>0</v>
      </c>
      <c r="S44" s="38" t="str">
        <f>IFERROR(__xludf.DUMMYFUNCTION("TEXTJOIN("", "", TRUE, FILTER(INDIRECT(""U""&amp;$C$70&amp;"":U""), INDIRECT(""H""&amp;$C$70&amp;"":H"") &lt;&gt;"""", INDIRECT(""B""&amp;$C$70&amp;"":B"") &gt;= $A11, INDIRECT(""B""&amp;$C$70&amp;"":B"") &lt;$A12))"),"$49000哥洗衣機")</f>
        <v>$49000哥洗衣機</v>
      </c>
      <c r="T44" s="39"/>
      <c r="U44" s="40"/>
      <c r="V44" s="13"/>
      <c r="W44" s="13"/>
      <c r="X44" s="13"/>
      <c r="Y44" s="13"/>
      <c r="Z44" s="13"/>
      <c r="AA44" s="13"/>
    </row>
    <row r="45">
      <c r="A45" s="25">
        <v>45748.0</v>
      </c>
      <c r="B45" s="22">
        <f t="shared" si="64"/>
        <v>32937</v>
      </c>
      <c r="C45" s="22">
        <f t="shared" si="65"/>
        <v>0</v>
      </c>
      <c r="D45" s="22">
        <f t="shared" ref="D45:E45" si="93">SUMIFS(INDIRECT("C"&amp;$C$70&amp;":C"), INDIRECT("B"&amp;$C$70&amp;":B"), "&gt;="&amp;$A45, INDIRECT("B"&amp;$C$70&amp;":B"), "&lt;"&amp;$A46, INDIRECT("N"&amp;$C$70&amp;":N"), D$35)</f>
        <v>2816</v>
      </c>
      <c r="E45" s="22">
        <f t="shared" si="93"/>
        <v>4793</v>
      </c>
      <c r="F45" s="22">
        <f t="shared" si="67"/>
        <v>26000</v>
      </c>
      <c r="G45" s="22">
        <f t="shared" ref="G45:J45" si="94">SUMIFS(INDIRECT("C"&amp;$C$70&amp;":C"), INDIRECT("B"&amp;$C$70&amp;":B"), "&gt;="&amp;$A45, INDIRECT("B"&amp;$C$70&amp;":B"), "&lt;"&amp;$A46, INDIRECT("K"&amp;$C$70&amp;":K"), G$35)</f>
        <v>0</v>
      </c>
      <c r="H45" s="22">
        <f t="shared" si="94"/>
        <v>0</v>
      </c>
      <c r="I45" s="22">
        <f t="shared" si="94"/>
        <v>1068</v>
      </c>
      <c r="J45" s="22">
        <f t="shared" si="94"/>
        <v>0</v>
      </c>
      <c r="K45" s="22">
        <f t="shared" ref="K45:P45" si="95">SUMIFS(INDIRECT("C"&amp;$C$70&amp;":C"), INDIRECT("B"&amp;$C$70&amp;":B"), "&gt;="&amp;$A45, INDIRECT("B"&amp;$C$70&amp;":B"), "&lt;"&amp;$A46, INDIRECT("L"&amp;$C$70&amp;":L"), K$35)</f>
        <v>7120</v>
      </c>
      <c r="L45" s="22">
        <f t="shared" si="95"/>
        <v>0</v>
      </c>
      <c r="M45" s="22">
        <f t="shared" si="95"/>
        <v>1312</v>
      </c>
      <c r="N45" s="22">
        <f t="shared" si="95"/>
        <v>0</v>
      </c>
      <c r="O45" s="22">
        <f t="shared" si="95"/>
        <v>420</v>
      </c>
      <c r="P45" s="22">
        <f t="shared" si="95"/>
        <v>0</v>
      </c>
      <c r="Q45" s="22">
        <f t="shared" si="70"/>
        <v>3087</v>
      </c>
      <c r="R45" s="22">
        <f t="shared" si="71"/>
        <v>0</v>
      </c>
      <c r="S45" s="38" t="str">
        <f>IFERROR(__xludf.DUMMYFUNCTION("TEXTJOIN("", "", TRUE, FILTER(INDIRECT(""U""&amp;$C$70&amp;"":U""), INDIRECT(""H""&amp;$C$70&amp;"":H"") &lt;&gt;"""", INDIRECT(""B""&amp;$C$70&amp;"":B"") &gt;= $A12, INDIRECT(""B""&amp;$C$70&amp;"":B"") &lt;$A13))"),"$4000牙齒膠原蛋白, $6626三鐵226k接力, $7120牌照稅, $5694泓品牛排, $2744海底撈")</f>
        <v>$4000牙齒膠原蛋白, $6626三鐵226k接力, $7120牌照稅, $5694泓品牛排, $2744海底撈</v>
      </c>
      <c r="T45" s="39"/>
      <c r="U45" s="40"/>
      <c r="V45" s="13"/>
      <c r="W45" s="13"/>
      <c r="X45" s="13"/>
      <c r="Y45" s="13"/>
      <c r="Z45" s="13"/>
      <c r="AA45" s="13"/>
    </row>
    <row r="46">
      <c r="A46" s="25">
        <v>45778.0</v>
      </c>
      <c r="B46" s="22">
        <f t="shared" si="64"/>
        <v>37321</v>
      </c>
      <c r="C46" s="22">
        <f t="shared" si="65"/>
        <v>788</v>
      </c>
      <c r="D46" s="22">
        <f t="shared" ref="D46:E46" si="96">SUMIFS(INDIRECT("C"&amp;$C$70&amp;":C"), INDIRECT("B"&amp;$C$70&amp;":B"), "&gt;="&amp;$A46, INDIRECT("B"&amp;$C$70&amp;":B"), "&lt;"&amp;$A47, INDIRECT("N"&amp;$C$70&amp;":N"), D$35)</f>
        <v>2826</v>
      </c>
      <c r="E46" s="22">
        <f t="shared" si="96"/>
        <v>3080</v>
      </c>
      <c r="F46" s="22">
        <f t="shared" si="67"/>
        <v>26000</v>
      </c>
      <c r="G46" s="22">
        <f t="shared" ref="G46:J46" si="97">SUMIFS(INDIRECT("C"&amp;$C$70&amp;":C"), INDIRECT("B"&amp;$C$70&amp;":B"), "&gt;="&amp;$A46, INDIRECT("B"&amp;$C$70&amp;":B"), "&lt;"&amp;$A47, INDIRECT("K"&amp;$C$70&amp;":K"), G$35)</f>
        <v>7802</v>
      </c>
      <c r="H46" s="22">
        <f t="shared" si="97"/>
        <v>220</v>
      </c>
      <c r="I46" s="22">
        <f t="shared" si="97"/>
        <v>0</v>
      </c>
      <c r="J46" s="22">
        <f t="shared" si="97"/>
        <v>585</v>
      </c>
      <c r="K46" s="22">
        <f t="shared" ref="K46:P46" si="98">SUMIFS(INDIRECT("C"&amp;$C$70&amp;":C"), INDIRECT("B"&amp;$C$70&amp;":B"), "&gt;="&amp;$A46, INDIRECT("B"&amp;$C$70&amp;":B"), "&lt;"&amp;$A47, INDIRECT("L"&amp;$C$70&amp;":L"), K$35)</f>
        <v>0</v>
      </c>
      <c r="L46" s="22">
        <f t="shared" si="98"/>
        <v>0</v>
      </c>
      <c r="M46" s="22">
        <f t="shared" si="98"/>
        <v>976</v>
      </c>
      <c r="N46" s="22">
        <f t="shared" si="98"/>
        <v>0</v>
      </c>
      <c r="O46" s="22">
        <f t="shared" si="98"/>
        <v>264</v>
      </c>
      <c r="P46" s="22">
        <f t="shared" si="98"/>
        <v>0</v>
      </c>
      <c r="Q46" s="22">
        <f t="shared" si="70"/>
        <v>4116</v>
      </c>
      <c r="R46" s="22">
        <f t="shared" si="71"/>
        <v>0</v>
      </c>
      <c r="S46" s="38" t="str">
        <f>IFERROR(__xludf.DUMMYFUNCTION("TEXTJOIN("", "", TRUE, FILTER(INDIRECT(""U""&amp;$C$70&amp;"":U""), INDIRECT(""H""&amp;$C$70&amp;"":H"") &lt;&gt;"""", INDIRECT(""B""&amp;$C$70&amp;"":B"") &gt;= $A13, INDIRECT(""B""&amp;$C$70&amp;"":B"") &lt;$A14))"),"$30, $5800, $4328IKEA水龍頭")</f>
        <v>$30, $5800, $4328IKEA水龍頭</v>
      </c>
      <c r="T46" s="39"/>
      <c r="U46" s="40"/>
      <c r="V46" s="13"/>
      <c r="W46" s="13"/>
      <c r="X46" s="13"/>
      <c r="Y46" s="13"/>
      <c r="Z46" s="13"/>
      <c r="AA46" s="13"/>
    </row>
    <row r="47">
      <c r="A47" s="25">
        <v>45809.0</v>
      </c>
      <c r="B47" s="22">
        <f t="shared" si="64"/>
        <v>76482</v>
      </c>
      <c r="C47" s="22">
        <f t="shared" si="65"/>
        <v>0</v>
      </c>
      <c r="D47" s="22">
        <f t="shared" ref="D47:E47" si="99">SUMIFS(INDIRECT("C"&amp;$C$70&amp;":C"), INDIRECT("B"&amp;$C$70&amp;":B"), "&gt;="&amp;$A47, INDIRECT("B"&amp;$C$70&amp;":B"), "&lt;"&amp;$A48, INDIRECT("N"&amp;$C$70&amp;":N"), D$35)</f>
        <v>2828</v>
      </c>
      <c r="E47" s="22">
        <f t="shared" si="99"/>
        <v>3860</v>
      </c>
      <c r="F47" s="22">
        <f t="shared" si="67"/>
        <v>26000</v>
      </c>
      <c r="G47" s="22">
        <f t="shared" ref="G47:J47" si="100">SUMIFS(INDIRECT("C"&amp;$C$70&amp;":C"), INDIRECT("B"&amp;$C$70&amp;":B"), "&gt;="&amp;$A47, INDIRECT("B"&amp;$C$70&amp;":B"), "&lt;"&amp;$A48, INDIRECT("K"&amp;$C$70&amp;":K"), G$35)</f>
        <v>0</v>
      </c>
      <c r="H47" s="22">
        <f t="shared" si="100"/>
        <v>0</v>
      </c>
      <c r="I47" s="22">
        <f t="shared" si="100"/>
        <v>1303</v>
      </c>
      <c r="J47" s="22">
        <f t="shared" si="100"/>
        <v>0</v>
      </c>
      <c r="K47" s="22">
        <f t="shared" ref="K47:P47" si="101">SUMIFS(INDIRECT("C"&amp;$C$70&amp;":C"), INDIRECT("B"&amp;$C$70&amp;":B"), "&gt;="&amp;$A47, INDIRECT("B"&amp;$C$70&amp;":B"), "&lt;"&amp;$A48, INDIRECT("L"&amp;$C$70&amp;":L"), K$35)</f>
        <v>0</v>
      </c>
      <c r="L47" s="22">
        <f t="shared" si="101"/>
        <v>0</v>
      </c>
      <c r="M47" s="22">
        <f t="shared" si="101"/>
        <v>2100</v>
      </c>
      <c r="N47" s="22">
        <f t="shared" si="101"/>
        <v>400</v>
      </c>
      <c r="O47" s="22">
        <f t="shared" si="101"/>
        <v>340</v>
      </c>
      <c r="P47" s="22">
        <f t="shared" si="101"/>
        <v>0</v>
      </c>
      <c r="Q47" s="22">
        <f t="shared" si="70"/>
        <v>4292</v>
      </c>
      <c r="R47" s="22">
        <f t="shared" si="71"/>
        <v>0</v>
      </c>
      <c r="S47" s="38" t="str">
        <f>IFERROR(__xludf.DUMMYFUNCTION("TEXTJOIN("", "", TRUE, FILTER(INDIRECT(""U""&amp;$C$70&amp;"":U""), INDIRECT(""H""&amp;$C$70&amp;"":H"") &lt;&gt;"""", INDIRECT(""B""&amp;$C$70&amp;"":B"") &gt;= $A14, INDIRECT(""B""&amp;$C$70&amp;"":B"") &lt;$A15))"),"$20000哥生小孩紅包, $5000根管治療, $1500機車清油管, $15000長庚體檢, $6900H2O豪華景觀客房, $8052豪享自助餐*6人")</f>
        <v>$20000哥生小孩紅包, $5000根管治療, $1500機車清油管, $15000長庚體檢, $6900H2O豪華景觀客房, $8052豪享自助餐*6人</v>
      </c>
      <c r="T47" s="39"/>
      <c r="U47" s="40"/>
      <c r="V47" s="13"/>
      <c r="W47" s="13"/>
      <c r="X47" s="13"/>
      <c r="Y47" s="13"/>
      <c r="Z47" s="13"/>
      <c r="AA47" s="13"/>
    </row>
    <row r="48">
      <c r="A48" s="25">
        <v>45839.0</v>
      </c>
      <c r="B48" s="22">
        <f t="shared" si="64"/>
        <v>137494</v>
      </c>
      <c r="C48" s="22">
        <f t="shared" si="65"/>
        <v>728</v>
      </c>
      <c r="D48" s="22">
        <f t="shared" ref="D48:E48" si="102">SUMIFS(INDIRECT("C"&amp;$C$70&amp;":C"), INDIRECT("B"&amp;$C$70&amp;":B"), "&gt;="&amp;$A48, INDIRECT("B"&amp;$C$70&amp;":B"), "&lt;"&amp;$A49, INDIRECT("N"&amp;$C$70&amp;":N"), D$35)</f>
        <v>2828</v>
      </c>
      <c r="E48" s="22">
        <f t="shared" si="102"/>
        <v>11041</v>
      </c>
      <c r="F48" s="22">
        <f t="shared" si="67"/>
        <v>26000</v>
      </c>
      <c r="G48" s="22">
        <f t="shared" ref="G48:J48" si="103">SUMIFS(INDIRECT("C"&amp;$C$70&amp;":C"), INDIRECT("B"&amp;$C$70&amp;":B"), "&gt;="&amp;$A48, INDIRECT("B"&amp;$C$70&amp;":B"), "&lt;"&amp;$A49, INDIRECT("K"&amp;$C$70&amp;":K"), G$35)</f>
        <v>7802</v>
      </c>
      <c r="H48" s="22">
        <f t="shared" si="103"/>
        <v>197</v>
      </c>
      <c r="I48" s="22">
        <f t="shared" si="103"/>
        <v>0</v>
      </c>
      <c r="J48" s="22">
        <f t="shared" si="103"/>
        <v>422</v>
      </c>
      <c r="K48" s="22">
        <f t="shared" ref="K48:P48" si="104">SUMIFS(INDIRECT("C"&amp;$C$70&amp;":C"), INDIRECT("B"&amp;$C$70&amp;":B"), "&gt;="&amp;$A48, INDIRECT("B"&amp;$C$70&amp;":B"), "&lt;"&amp;$A49, INDIRECT("L"&amp;$C$70&amp;":L"), K$35)</f>
        <v>5250</v>
      </c>
      <c r="L48" s="22">
        <f t="shared" si="104"/>
        <v>0</v>
      </c>
      <c r="M48" s="22">
        <f t="shared" si="104"/>
        <v>1055</v>
      </c>
      <c r="N48" s="22">
        <f t="shared" si="104"/>
        <v>0</v>
      </c>
      <c r="O48" s="22">
        <f t="shared" si="104"/>
        <v>594</v>
      </c>
      <c r="P48" s="22">
        <f t="shared" si="104"/>
        <v>0</v>
      </c>
      <c r="Q48" s="22">
        <f t="shared" si="70"/>
        <v>4292</v>
      </c>
      <c r="R48" s="22">
        <f t="shared" si="71"/>
        <v>0</v>
      </c>
      <c r="S48" s="38" t="str">
        <f>IFERROR(__xludf.DUMMYFUNCTION("TEXTJOIN("", "", TRUE, FILTER(INDIRECT(""U""&amp;$C$70&amp;"":U""), INDIRECT(""H""&amp;$C$70&amp;"":H"") &lt;&gt;"""", INDIRECT(""B""&amp;$C$70&amp;"":B"") &gt;= $A15, INDIRECT(""B""&amp;$C$70&amp;"":B"") &lt;$A16))"),"$5000根管治療, $5000根管治療, $4800汽車燃料費, $2163拼多多廚房櫃, $103622婚戒")</f>
        <v>$5000根管治療, $5000根管治療, $4800汽車燃料費, $2163拼多多廚房櫃, $103622婚戒</v>
      </c>
      <c r="T48" s="39"/>
      <c r="U48" s="40"/>
      <c r="V48" s="13"/>
      <c r="W48" s="13"/>
      <c r="X48" s="13"/>
      <c r="Y48" s="13"/>
      <c r="Z48" s="13"/>
      <c r="AA48" s="13"/>
    </row>
    <row r="49">
      <c r="A49" s="25">
        <v>45870.0</v>
      </c>
      <c r="B49" s="22">
        <f t="shared" si="64"/>
        <v>21493</v>
      </c>
      <c r="C49" s="22">
        <f t="shared" si="65"/>
        <v>0</v>
      </c>
      <c r="D49" s="22">
        <f t="shared" ref="D49:E49" si="105">SUMIFS(INDIRECT("C"&amp;$C$70&amp;":C"), INDIRECT("B"&amp;$C$70&amp;":B"), "&gt;="&amp;$A49, INDIRECT("B"&amp;$C$70&amp;":B"), "&lt;"&amp;$A50, INDIRECT("N"&amp;$C$70&amp;":N"), D$35)</f>
        <v>2828</v>
      </c>
      <c r="E49" s="22">
        <f t="shared" si="105"/>
        <v>4400</v>
      </c>
      <c r="F49" s="22">
        <f t="shared" si="67"/>
        <v>26000</v>
      </c>
      <c r="G49" s="22">
        <f t="shared" ref="G49:J49" si="106">SUMIFS(INDIRECT("C"&amp;$C$70&amp;":C"), INDIRECT("B"&amp;$C$70&amp;":B"), "&gt;="&amp;$A49, INDIRECT("B"&amp;$C$70&amp;":B"), "&lt;"&amp;$A50, INDIRECT("K"&amp;$C$70&amp;":K"), G$35)</f>
        <v>0</v>
      </c>
      <c r="H49" s="22">
        <f t="shared" si="106"/>
        <v>0</v>
      </c>
      <c r="I49" s="22">
        <f t="shared" si="106"/>
        <v>1701</v>
      </c>
      <c r="J49" s="22">
        <f t="shared" si="106"/>
        <v>0</v>
      </c>
      <c r="K49" s="22">
        <f t="shared" ref="K49:P49" si="107">SUMIFS(INDIRECT("C"&amp;$C$70&amp;":C"), INDIRECT("B"&amp;$C$70&amp;":B"), "&gt;="&amp;$A49, INDIRECT("B"&amp;$C$70&amp;":B"), "&lt;"&amp;$A50, INDIRECT("L"&amp;$C$70&amp;":L"), K$35)</f>
        <v>0</v>
      </c>
      <c r="L49" s="22">
        <f t="shared" si="107"/>
        <v>0</v>
      </c>
      <c r="M49" s="22">
        <f t="shared" si="107"/>
        <v>2613</v>
      </c>
      <c r="N49" s="22">
        <f t="shared" si="107"/>
        <v>400</v>
      </c>
      <c r="O49" s="22">
        <f t="shared" si="107"/>
        <v>376</v>
      </c>
      <c r="P49" s="22">
        <f t="shared" si="107"/>
        <v>600</v>
      </c>
      <c r="Q49" s="22">
        <f t="shared" si="70"/>
        <v>4292</v>
      </c>
      <c r="R49" s="22">
        <f t="shared" si="71"/>
        <v>0</v>
      </c>
      <c r="S49" s="38" t="str">
        <f>IFERROR(__xludf.DUMMYFUNCTION("TEXTJOIN("", "", TRUE, FILTER(INDIRECT(""U""&amp;$C$70&amp;"":U""), INDIRECT(""H""&amp;$C$70&amp;"":H"") &lt;&gt;"""", INDIRECT(""B""&amp;$C$70&amp;"":B"") &gt;= $A16, INDIRECT(""B""&amp;$C$70&amp;"":B"") &lt;$A17))"),"$5000根管治療")</f>
        <v>$5000根管治療</v>
      </c>
      <c r="T49" s="39"/>
      <c r="U49" s="40"/>
      <c r="V49" s="13"/>
      <c r="W49" s="13"/>
      <c r="X49" s="13"/>
      <c r="Y49" s="13"/>
      <c r="Z49" s="13"/>
      <c r="AA49" s="13"/>
    </row>
    <row r="50">
      <c r="A50" s="25">
        <v>45901.0</v>
      </c>
      <c r="B50" s="22">
        <f t="shared" si="64"/>
        <v>27123</v>
      </c>
      <c r="C50" s="22">
        <f t="shared" si="65"/>
        <v>698</v>
      </c>
      <c r="D50" s="22">
        <f t="shared" ref="D50:E50" si="108">SUMIFS(INDIRECT("C"&amp;$C$70&amp;":C"), INDIRECT("B"&amp;$C$70&amp;":B"), "&gt;="&amp;$A50, INDIRECT("B"&amp;$C$70&amp;":B"), "&lt;"&amp;$A51, INDIRECT("N"&amp;$C$70&amp;":N"), D$35)</f>
        <v>2828</v>
      </c>
      <c r="E50" s="22">
        <f t="shared" si="108"/>
        <v>3860</v>
      </c>
      <c r="F50" s="22">
        <f t="shared" si="67"/>
        <v>26000</v>
      </c>
      <c r="G50" s="22">
        <f t="shared" ref="G50:J50" si="109">SUMIFS(INDIRECT("C"&amp;$C$70&amp;":C"), INDIRECT("B"&amp;$C$70&amp;":B"), "&gt;="&amp;$A50, INDIRECT("B"&amp;$C$70&amp;":B"), "&lt;"&amp;$A51, INDIRECT("K"&amp;$C$70&amp;":K"), G$35)</f>
        <v>7802</v>
      </c>
      <c r="H50" s="22">
        <f t="shared" si="109"/>
        <v>205</v>
      </c>
      <c r="I50" s="22">
        <f t="shared" si="109"/>
        <v>0</v>
      </c>
      <c r="J50" s="22">
        <f t="shared" si="109"/>
        <v>433</v>
      </c>
      <c r="K50" s="22">
        <f t="shared" ref="K50:P50" si="110">SUMIFS(INDIRECT("C"&amp;$C$70&amp;":C"), INDIRECT("B"&amp;$C$70&amp;":B"), "&gt;="&amp;$A50, INDIRECT("B"&amp;$C$70&amp;":B"), "&lt;"&amp;$A51, INDIRECT("L"&amp;$C$70&amp;":L"), K$35)</f>
        <v>0</v>
      </c>
      <c r="L50" s="22">
        <f t="shared" si="110"/>
        <v>0</v>
      </c>
      <c r="M50" s="22">
        <f t="shared" si="110"/>
        <v>2268</v>
      </c>
      <c r="N50" s="22">
        <f t="shared" si="110"/>
        <v>400</v>
      </c>
      <c r="O50" s="22">
        <f t="shared" si="110"/>
        <v>299</v>
      </c>
      <c r="P50" s="22">
        <f t="shared" si="110"/>
        <v>0</v>
      </c>
      <c r="Q50" s="22">
        <f t="shared" si="70"/>
        <v>4292</v>
      </c>
      <c r="R50" s="22">
        <f t="shared" si="71"/>
        <v>0</v>
      </c>
      <c r="S50" s="38" t="str">
        <f>IFERROR(__xludf.DUMMYFUNCTION("TEXTJOIN("", "", TRUE, FILTER(INDIRECT(""U""&amp;$C$70&amp;"":U""), INDIRECT(""H""&amp;$C$70&amp;"":H"") &lt;&gt;"""", INDIRECT(""B""&amp;$C$70&amp;"":B"") &gt;= $A17, INDIRECT(""B""&amp;$C$70&amp;"":B"") &lt;$A18))"),"$1800點痣")</f>
        <v>$1800點痣</v>
      </c>
      <c r="T50" s="39"/>
      <c r="U50" s="40"/>
      <c r="V50" s="13"/>
      <c r="W50" s="13"/>
      <c r="X50" s="13"/>
      <c r="Y50" s="13"/>
      <c r="Z50" s="13"/>
      <c r="AA50" s="13"/>
    </row>
    <row r="51">
      <c r="A51" s="25">
        <v>45931.0</v>
      </c>
      <c r="B51" s="22">
        <f t="shared" si="64"/>
        <v>78516</v>
      </c>
      <c r="C51" s="22">
        <f t="shared" si="65"/>
        <v>0</v>
      </c>
      <c r="D51" s="22">
        <f t="shared" ref="D51:E51" si="111">SUMIFS(INDIRECT("C"&amp;$C$70&amp;":C"), INDIRECT("B"&amp;$C$70&amp;":B"), "&gt;="&amp;$A51, INDIRECT("B"&amp;$C$70&amp;":B"), "&lt;"&amp;$A52, INDIRECT("N"&amp;$C$70&amp;":N"), D$35)</f>
        <v>2898</v>
      </c>
      <c r="E51" s="22">
        <f t="shared" si="111"/>
        <v>3620</v>
      </c>
      <c r="F51" s="22">
        <f t="shared" si="67"/>
        <v>26000</v>
      </c>
      <c r="G51" s="22">
        <f t="shared" ref="G51:J51" si="112">SUMIFS(INDIRECT("C"&amp;$C$70&amp;":C"), INDIRECT("B"&amp;$C$70&amp;":B"), "&gt;="&amp;$A51, INDIRECT("B"&amp;$C$70&amp;":B"), "&lt;"&amp;$A52, INDIRECT("K"&amp;$C$70&amp;":K"), G$35)</f>
        <v>0</v>
      </c>
      <c r="H51" s="22">
        <f t="shared" si="112"/>
        <v>0</v>
      </c>
      <c r="I51" s="22">
        <f t="shared" si="112"/>
        <v>1746</v>
      </c>
      <c r="J51" s="22">
        <f t="shared" si="112"/>
        <v>0</v>
      </c>
      <c r="K51" s="22">
        <f t="shared" ref="K51:P51" si="113">SUMIFS(INDIRECT("C"&amp;$C$70&amp;":C"), INDIRECT("B"&amp;$C$70&amp;":B"), "&gt;="&amp;$A51, INDIRECT("B"&amp;$C$70&amp;":B"), "&lt;"&amp;$A52, INDIRECT("L"&amp;$C$70&amp;":L"), K$35)</f>
        <v>0</v>
      </c>
      <c r="L51" s="22">
        <f t="shared" si="113"/>
        <v>0</v>
      </c>
      <c r="M51" s="22">
        <f t="shared" si="113"/>
        <v>219</v>
      </c>
      <c r="N51" s="22">
        <f t="shared" si="113"/>
        <v>0</v>
      </c>
      <c r="O51" s="22">
        <f t="shared" si="113"/>
        <v>95</v>
      </c>
      <c r="P51" s="22">
        <f t="shared" si="113"/>
        <v>0</v>
      </c>
      <c r="Q51" s="22">
        <f t="shared" si="70"/>
        <v>4292</v>
      </c>
      <c r="R51" s="22">
        <f t="shared" si="71"/>
        <v>0</v>
      </c>
      <c r="S51" s="38" t="str">
        <f>IFERROR(__xludf.DUMMYFUNCTION("TEXTJOIN("", "", TRUE, FILTER(INDIRECT(""U""&amp;$C$70&amp;"":U""), INDIRECT(""H""&amp;$C$70&amp;"":H"") &lt;&gt;"""", INDIRECT(""B""&amp;$C$70&amp;"":B"") &gt;= $A18, INDIRECT(""B""&amp;$C$70&amp;"":B"") &lt;$A19))"),"$6000贊助寶學畫畫, $48900冰箱")</f>
        <v>$6000贊助寶學畫畫, $48900冰箱</v>
      </c>
      <c r="T51" s="39"/>
      <c r="U51" s="40"/>
      <c r="V51" s="13"/>
      <c r="W51" s="13"/>
      <c r="X51" s="13"/>
      <c r="Y51" s="13"/>
      <c r="Z51" s="13"/>
      <c r="AA51" s="13"/>
    </row>
    <row r="52">
      <c r="A52" s="25">
        <v>45962.0</v>
      </c>
      <c r="B52" s="22">
        <f t="shared" si="64"/>
        <v>101959</v>
      </c>
      <c r="C52" s="22">
        <f t="shared" si="65"/>
        <v>794</v>
      </c>
      <c r="D52" s="22">
        <f t="shared" ref="D52:E52" si="114">SUMIFS(INDIRECT("C"&amp;$C$70&amp;":C"), INDIRECT("B"&amp;$C$70&amp;":B"), "&gt;="&amp;$A52, INDIRECT("B"&amp;$C$70&amp;":B"), "&lt;"&amp;$A53, INDIRECT("N"&amp;$C$70&amp;":N"), D$35)</f>
        <v>6201</v>
      </c>
      <c r="E52" s="22">
        <f t="shared" si="114"/>
        <v>3500</v>
      </c>
      <c r="F52" s="22">
        <f t="shared" si="67"/>
        <v>26000</v>
      </c>
      <c r="G52" s="22">
        <f t="shared" ref="G52:J52" si="115">SUMIFS(INDIRECT("C"&amp;$C$70&amp;":C"), INDIRECT("B"&amp;$C$70&amp;":B"), "&gt;="&amp;$A52, INDIRECT("B"&amp;$C$70&amp;":B"), "&lt;"&amp;$A53, INDIRECT("K"&amp;$C$70&amp;":K"), G$35)</f>
        <v>7302</v>
      </c>
      <c r="H52" s="22">
        <f t="shared" si="115"/>
        <v>213</v>
      </c>
      <c r="I52" s="22">
        <f t="shared" si="115"/>
        <v>0</v>
      </c>
      <c r="J52" s="22">
        <f t="shared" si="115"/>
        <v>433</v>
      </c>
      <c r="K52" s="22">
        <f t="shared" ref="K52:P52" si="116">SUMIFS(INDIRECT("C"&amp;$C$70&amp;":C"), INDIRECT("B"&amp;$C$70&amp;":B"), "&gt;="&amp;$A52, INDIRECT("B"&amp;$C$70&amp;":B"), "&lt;"&amp;$A53, INDIRECT("L"&amp;$C$70&amp;":L"), K$35)</f>
        <v>0</v>
      </c>
      <c r="L52" s="22">
        <f t="shared" si="116"/>
        <v>0</v>
      </c>
      <c r="M52" s="22">
        <f t="shared" si="116"/>
        <v>1714</v>
      </c>
      <c r="N52" s="22">
        <f t="shared" si="116"/>
        <v>0</v>
      </c>
      <c r="O52" s="22">
        <f t="shared" si="116"/>
        <v>95</v>
      </c>
      <c r="P52" s="22">
        <f t="shared" si="116"/>
        <v>180</v>
      </c>
      <c r="Q52" s="22">
        <f t="shared" si="70"/>
        <v>4292</v>
      </c>
      <c r="R52" s="22">
        <f t="shared" si="71"/>
        <v>0</v>
      </c>
      <c r="S52" s="38" t="str">
        <f>IFERROR(__xludf.DUMMYFUNCTION("TEXTJOIN("", "", TRUE, FILTER(INDIRECT(""U""&amp;$C$70&amp;"":U""), INDIRECT(""H""&amp;$C$70&amp;"":H"") &lt;&gt;"""", INDIRECT(""B""&amp;$C$70&amp;"":B"") &gt;= $A19, INDIRECT(""B""&amp;$C$70&amp;"":B"") &lt;$A20))"),"$58492日本大阪行, $5900濾芯, $8400速達通網路, $14900除濕機")</f>
        <v>$58492日本大阪行, $5900濾芯, $8400速達通網路, $14900除濕機</v>
      </c>
      <c r="T52" s="39"/>
      <c r="U52" s="40"/>
      <c r="V52" s="13"/>
      <c r="W52" s="13"/>
      <c r="X52" s="13"/>
      <c r="Y52" s="13"/>
      <c r="Z52" s="13"/>
      <c r="AA52" s="13"/>
    </row>
    <row r="53">
      <c r="A53" s="25">
        <v>45992.0</v>
      </c>
      <c r="B53" s="22">
        <f t="shared" si="64"/>
        <v>35895</v>
      </c>
      <c r="C53" s="22">
        <f t="shared" si="65"/>
        <v>0</v>
      </c>
      <c r="D53" s="22">
        <f t="shared" ref="D53:E53" si="117">SUMIFS(INDIRECT("C"&amp;$C$70&amp;":C"), INDIRECT("B"&amp;$C$70&amp;":B"), "&gt;="&amp;$A53, INDIRECT("B"&amp;$C$70&amp;":B"), "&lt;"&amp;$A54, INDIRECT("N"&amp;$C$70&amp;":N"), D$35)</f>
        <v>6729</v>
      </c>
      <c r="E53" s="22">
        <f t="shared" si="117"/>
        <v>3500</v>
      </c>
      <c r="F53" s="22">
        <f t="shared" si="67"/>
        <v>26000</v>
      </c>
      <c r="G53" s="22">
        <f t="shared" ref="G53:J53" si="118">SUMIFS(INDIRECT("C"&amp;$C$70&amp;":C"), INDIRECT("B"&amp;$C$70&amp;":B"), "&gt;="&amp;$A53, INDIRECT("B"&amp;$C$70&amp;":B"), "&lt;"&amp;$A54, INDIRECT("K"&amp;$C$70&amp;":K"), G$35)</f>
        <v>0</v>
      </c>
      <c r="H53" s="22">
        <f t="shared" si="118"/>
        <v>0</v>
      </c>
      <c r="I53" s="22">
        <f t="shared" si="118"/>
        <v>1102</v>
      </c>
      <c r="J53" s="22">
        <f t="shared" si="118"/>
        <v>0</v>
      </c>
      <c r="K53" s="22">
        <f t="shared" ref="K53:P53" si="119">SUMIFS(INDIRECT("C"&amp;$C$70&amp;":C"), INDIRECT("B"&amp;$C$70&amp;":B"), "&gt;="&amp;$A53, INDIRECT("B"&amp;$C$70&amp;":B"), "&lt;"&amp;$A54, INDIRECT("L"&amp;$C$70&amp;":L"), K$35)</f>
        <v>0</v>
      </c>
      <c r="L53" s="22">
        <f t="shared" si="119"/>
        <v>0</v>
      </c>
      <c r="M53" s="22">
        <f t="shared" si="119"/>
        <v>3090</v>
      </c>
      <c r="N53" s="22">
        <f t="shared" si="119"/>
        <v>800</v>
      </c>
      <c r="O53" s="22">
        <f t="shared" si="119"/>
        <v>521</v>
      </c>
      <c r="P53" s="22">
        <f t="shared" si="119"/>
        <v>0</v>
      </c>
      <c r="Q53" s="22">
        <f t="shared" si="70"/>
        <v>4292</v>
      </c>
      <c r="R53" s="22">
        <f t="shared" si="71"/>
        <v>0</v>
      </c>
      <c r="S53" s="38" t="str">
        <f>IFERROR(__xludf.DUMMYFUNCTION("TEXTJOIN("", "", TRUE, FILTER(INDIRECT(""U""&amp;$C$70&amp;"":U""), INDIRECT(""H""&amp;$C$70&amp;"":H"") &lt;&gt;"""", INDIRECT(""B""&amp;$C$70&amp;"":B"") &gt;= $A20, INDIRECT(""B""&amp;$C$70&amp;"":B"") &lt;$A21))"),"$4400冠州新公司")</f>
        <v>$4400冠州新公司</v>
      </c>
      <c r="T53" s="39"/>
      <c r="U53" s="40"/>
      <c r="V53" s="13"/>
      <c r="W53" s="13"/>
      <c r="X53" s="13"/>
      <c r="Y53" s="13"/>
      <c r="Z53" s="13"/>
      <c r="AA53" s="13"/>
    </row>
    <row r="54">
      <c r="A54" s="25">
        <v>46023.0</v>
      </c>
      <c r="B54" s="22">
        <f t="shared" si="64"/>
        <v>71564</v>
      </c>
      <c r="C54" s="22">
        <f t="shared" si="65"/>
        <v>788</v>
      </c>
      <c r="D54" s="22">
        <f t="shared" ref="D54:E54" si="120">SUMIFS(INDIRECT("C"&amp;$C$70&amp;":C"), INDIRECT("B"&amp;$C$70&amp;":B"), "&gt;="&amp;$A54, INDIRECT("B"&amp;$C$70&amp;":B"), "&lt;"&amp;$A55, INDIRECT("N"&amp;$C$70&amp;":N"), D$35)</f>
        <v>6156</v>
      </c>
      <c r="E54" s="22">
        <f t="shared" si="120"/>
        <v>3450</v>
      </c>
      <c r="F54" s="22">
        <f t="shared" si="67"/>
        <v>26000</v>
      </c>
      <c r="G54" s="22">
        <f t="shared" ref="G54:J54" si="121">SUMIFS(INDIRECT("C"&amp;$C$70&amp;":C"), INDIRECT("B"&amp;$C$70&amp;":B"), "&gt;="&amp;$A54, INDIRECT("B"&amp;$C$70&amp;":B"), "&lt;"&amp;$A55, INDIRECT("K"&amp;$C$70&amp;":K"), G$35)</f>
        <v>7802</v>
      </c>
      <c r="H54" s="22">
        <f t="shared" si="121"/>
        <v>197</v>
      </c>
      <c r="I54" s="22">
        <f t="shared" si="121"/>
        <v>0</v>
      </c>
      <c r="J54" s="22">
        <f t="shared" si="121"/>
        <v>550</v>
      </c>
      <c r="K54" s="22">
        <f t="shared" ref="K54:P54" si="122">SUMIFS(INDIRECT("C"&amp;$C$70&amp;":C"), INDIRECT("B"&amp;$C$70&amp;":B"), "&gt;="&amp;$A54, INDIRECT("B"&amp;$C$70&amp;":B"), "&lt;"&amp;$A55, INDIRECT("L"&amp;$C$70&amp;":L"), K$35)</f>
        <v>27434</v>
      </c>
      <c r="L54" s="22">
        <f t="shared" si="122"/>
        <v>0</v>
      </c>
      <c r="M54" s="22">
        <f t="shared" si="122"/>
        <v>2460</v>
      </c>
      <c r="N54" s="22">
        <f t="shared" si="122"/>
        <v>0</v>
      </c>
      <c r="O54" s="22">
        <f t="shared" si="122"/>
        <v>504</v>
      </c>
      <c r="P54" s="22">
        <f t="shared" si="122"/>
        <v>250</v>
      </c>
      <c r="Q54" s="22">
        <f t="shared" si="70"/>
        <v>4292</v>
      </c>
      <c r="R54" s="22">
        <f t="shared" si="71"/>
        <v>0</v>
      </c>
      <c r="S54" s="38" t="str">
        <f>IFERROR(__xludf.DUMMYFUNCTION("TEXTJOIN("", "", TRUE, FILTER(INDIRECT(""U""&amp;$C$70&amp;"":U""), INDIRECT(""H""&amp;$C$70&amp;"":H"") &lt;&gt;"""", INDIRECT(""B""&amp;$C$70&amp;"":B"") &gt;= $A21, INDIRECT(""B""&amp;$C$70&amp;"":B"") &lt;$A22))"),"$26583汽車乙式保險, $52900婚紗")</f>
        <v>$26583汽車乙式保險, $52900婚紗</v>
      </c>
      <c r="T54" s="13"/>
      <c r="U54" s="17"/>
      <c r="V54" s="13"/>
      <c r="W54" s="13"/>
      <c r="X54" s="13"/>
      <c r="Y54" s="13"/>
      <c r="Z54" s="13"/>
      <c r="AA54" s="13"/>
    </row>
    <row r="55">
      <c r="A55" s="25">
        <v>46054.0</v>
      </c>
      <c r="B55" s="22">
        <f t="shared" si="64"/>
        <v>40521</v>
      </c>
      <c r="C55" s="22">
        <f t="shared" si="65"/>
        <v>0</v>
      </c>
      <c r="D55" s="22">
        <f t="shared" ref="D55:E55" si="123">SUMIFS(INDIRECT("C"&amp;$C$70&amp;":C"), INDIRECT("B"&amp;$C$70&amp;":B"), "&gt;="&amp;$A55, INDIRECT("B"&amp;$C$70&amp;":B"), "&lt;"&amp;$A56, INDIRECT("N"&amp;$C$70&amp;":N"), D$35)</f>
        <v>6156</v>
      </c>
      <c r="E55" s="22">
        <f t="shared" si="123"/>
        <v>3390</v>
      </c>
      <c r="F55" s="22">
        <f t="shared" si="67"/>
        <v>26000</v>
      </c>
      <c r="G55" s="22">
        <f t="shared" ref="G55:J55" si="124">SUMIFS(INDIRECT("C"&amp;$C$70&amp;":C"), INDIRECT("B"&amp;$C$70&amp;":B"), "&gt;="&amp;$A55, INDIRECT("B"&amp;$C$70&amp;":B"), "&lt;"&amp;$A56, INDIRECT("K"&amp;$C$70&amp;":K"), G$35)</f>
        <v>0</v>
      </c>
      <c r="H55" s="22">
        <f t="shared" si="124"/>
        <v>0</v>
      </c>
      <c r="I55" s="22">
        <f t="shared" si="124"/>
        <v>965</v>
      </c>
      <c r="J55" s="22">
        <f t="shared" si="124"/>
        <v>0</v>
      </c>
      <c r="K55" s="22">
        <f t="shared" ref="K55:P55" si="125">SUMIFS(INDIRECT("C"&amp;$C$70&amp;":C"), INDIRECT("B"&amp;$C$70&amp;":B"), "&gt;="&amp;$A55, INDIRECT("B"&amp;$C$70&amp;":B"), "&lt;"&amp;$A56, INDIRECT("L"&amp;$C$70&amp;":L"), K$35)</f>
        <v>0</v>
      </c>
      <c r="L55" s="22">
        <f t="shared" si="125"/>
        <v>0</v>
      </c>
      <c r="M55" s="22">
        <f t="shared" si="125"/>
        <v>1519</v>
      </c>
      <c r="N55" s="22">
        <f t="shared" si="125"/>
        <v>0</v>
      </c>
      <c r="O55" s="22">
        <f t="shared" si="125"/>
        <v>70</v>
      </c>
      <c r="P55" s="22">
        <f t="shared" si="125"/>
        <v>4500</v>
      </c>
      <c r="Q55" s="22">
        <f t="shared" si="70"/>
        <v>4292</v>
      </c>
      <c r="R55" s="22">
        <f t="shared" si="71"/>
        <v>0</v>
      </c>
      <c r="S55" s="38" t="str">
        <f>IFERROR(__xludf.DUMMYFUNCTION("TEXTJOIN("", "", TRUE, FILTER(INDIRECT(""U""&amp;$C$70&amp;"":U""), INDIRECT(""H""&amp;$C$70&amp;"":H"") &lt;&gt;"""", INDIRECT(""B""&amp;$C$70&amp;"":B"") &gt;= $A22, INDIRECT(""B""&amp;$C$70&amp;"":B"") &lt;$A23))"),"$4500換輪胎, $12200紅包奶$2000，姪子$2000，寶$8200")</f>
        <v>$4500換輪胎, $12200紅包奶$2000，姪子$2000，寶$8200</v>
      </c>
      <c r="T55" s="13"/>
      <c r="U55" s="17"/>
      <c r="V55" s="13"/>
      <c r="W55" s="13"/>
      <c r="X55" s="13"/>
      <c r="Y55" s="13"/>
      <c r="Z55" s="13"/>
      <c r="AA55" s="13"/>
    </row>
    <row r="56">
      <c r="A56" s="25">
        <v>46082.0</v>
      </c>
      <c r="B56" s="22">
        <f t="shared" si="64"/>
        <v>42070</v>
      </c>
      <c r="C56" s="22">
        <f t="shared" si="65"/>
        <v>638</v>
      </c>
      <c r="D56" s="22">
        <f t="shared" ref="D56:E56" si="126">SUMIFS(INDIRECT("C"&amp;$C$70&amp;":C"), INDIRECT("B"&amp;$C$70&amp;":B"), "&gt;="&amp;$A56, INDIRECT("B"&amp;$C$70&amp;":B"), "&lt;"&amp;$A57, INDIRECT("N"&amp;$C$70&amp;":N"), D$35)</f>
        <v>6201</v>
      </c>
      <c r="E56" s="22">
        <f t="shared" si="126"/>
        <v>3450</v>
      </c>
      <c r="F56" s="22">
        <f t="shared" si="67"/>
        <v>26000</v>
      </c>
      <c r="G56" s="22">
        <f t="shared" ref="G56:J56" si="127">SUMIFS(INDIRECT("C"&amp;$C$70&amp;":C"), INDIRECT("B"&amp;$C$70&amp;":B"), "&gt;="&amp;$A56, INDIRECT("B"&amp;$C$70&amp;":B"), "&lt;"&amp;$A57, INDIRECT("K"&amp;$C$70&amp;":K"), G$35)</f>
        <v>7802</v>
      </c>
      <c r="H56" s="22">
        <f t="shared" si="127"/>
        <v>205</v>
      </c>
      <c r="I56" s="22">
        <f t="shared" si="127"/>
        <v>0</v>
      </c>
      <c r="J56" s="22">
        <f t="shared" si="127"/>
        <v>528</v>
      </c>
      <c r="K56" s="22">
        <f t="shared" ref="K56:P56" si="128">SUMIFS(INDIRECT("C"&amp;$C$70&amp;":C"), INDIRECT("B"&amp;$C$70&amp;":B"), "&gt;="&amp;$A56, INDIRECT("B"&amp;$C$70&amp;":B"), "&lt;"&amp;$A57, INDIRECT("L"&amp;$C$70&amp;":L"), K$35)</f>
        <v>0</v>
      </c>
      <c r="L56" s="22">
        <f t="shared" si="128"/>
        <v>0</v>
      </c>
      <c r="M56" s="22">
        <f t="shared" si="128"/>
        <v>1847</v>
      </c>
      <c r="N56" s="22">
        <f t="shared" si="128"/>
        <v>400</v>
      </c>
      <c r="O56" s="22">
        <f t="shared" si="128"/>
        <v>606</v>
      </c>
      <c r="P56" s="22">
        <f t="shared" si="128"/>
        <v>200</v>
      </c>
      <c r="Q56" s="22">
        <f t="shared" si="70"/>
        <v>4292</v>
      </c>
      <c r="R56" s="22">
        <f t="shared" si="71"/>
        <v>0</v>
      </c>
      <c r="S56" s="38" t="str">
        <f>IFERROR(__xludf.DUMMYFUNCTION("TEXTJOIN("", "", TRUE, FILTER(INDIRECT(""U""&amp;$C$70&amp;"":U""), INDIRECT(""H""&amp;$C$70&amp;"":H"") &lt;&gt;"""", INDIRECT(""B""&amp;$C$70&amp;"":B"") &gt;= $A23, INDIRECT(""B""&amp;$C$70&amp;"":B"") &lt;$A24))"),"$2800金太太婚紗場地, $5000捐款")</f>
        <v>$2800金太太婚紗場地, $5000捐款</v>
      </c>
      <c r="T56" s="13"/>
      <c r="U56" s="17"/>
      <c r="V56" s="13"/>
      <c r="W56" s="13"/>
      <c r="X56" s="13"/>
      <c r="Y56" s="13"/>
      <c r="Z56" s="13"/>
      <c r="AA56" s="13"/>
    </row>
    <row r="57">
      <c r="A57" s="25">
        <v>46113.0</v>
      </c>
      <c r="B57" s="22">
        <f t="shared" si="64"/>
        <v>25523</v>
      </c>
      <c r="C57" s="22">
        <f t="shared" si="65"/>
        <v>0</v>
      </c>
      <c r="D57" s="22">
        <f t="shared" ref="D57:E57" si="129">SUMIFS(INDIRECT("C"&amp;$C$70&amp;":C"), INDIRECT("B"&amp;$C$70&amp;":B"), "&gt;="&amp;$A57, INDIRECT("B"&amp;$C$70&amp;":B"), "&lt;"&amp;$A58, INDIRECT("N"&amp;$C$70&amp;":N"), D$35)</f>
        <v>6307</v>
      </c>
      <c r="E57" s="22">
        <f t="shared" si="129"/>
        <v>4050</v>
      </c>
      <c r="F57" s="22">
        <f t="shared" si="67"/>
        <v>26000</v>
      </c>
      <c r="G57" s="22">
        <f t="shared" ref="G57:J57" si="130">SUMIFS(INDIRECT("C"&amp;$C$70&amp;":C"), INDIRECT("B"&amp;$C$70&amp;":B"), "&gt;="&amp;$A57, INDIRECT("B"&amp;$C$70&amp;":B"), "&lt;"&amp;$A58, INDIRECT("K"&amp;$C$70&amp;":K"), G$35)</f>
        <v>0</v>
      </c>
      <c r="H57" s="22">
        <f t="shared" si="130"/>
        <v>0</v>
      </c>
      <c r="I57" s="22">
        <f t="shared" si="130"/>
        <v>1050</v>
      </c>
      <c r="J57" s="22">
        <f t="shared" si="130"/>
        <v>0</v>
      </c>
      <c r="K57" s="22">
        <f t="shared" ref="K57:P57" si="131">SUMIFS(INDIRECT("C"&amp;$C$70&amp;":C"), INDIRECT("B"&amp;$C$70&amp;":B"), "&gt;="&amp;$A57, INDIRECT("B"&amp;$C$70&amp;":B"), "&lt;"&amp;$A58, INDIRECT("L"&amp;$C$70&amp;":L"), K$35)</f>
        <v>7120</v>
      </c>
      <c r="L57" s="22">
        <f t="shared" si="131"/>
        <v>0</v>
      </c>
      <c r="M57" s="22">
        <f t="shared" si="131"/>
        <v>1745</v>
      </c>
      <c r="N57" s="22">
        <f t="shared" si="131"/>
        <v>0</v>
      </c>
      <c r="O57" s="22">
        <f t="shared" si="131"/>
        <v>142</v>
      </c>
      <c r="P57" s="22">
        <f t="shared" si="131"/>
        <v>1200</v>
      </c>
      <c r="Q57" s="22">
        <f t="shared" si="70"/>
        <v>4292</v>
      </c>
      <c r="R57" s="22">
        <f t="shared" si="71"/>
        <v>0</v>
      </c>
      <c r="S57" s="38" t="str">
        <f>IFERROR(__xludf.DUMMYFUNCTION("TEXTJOIN("", "", TRUE, FILTER(INDIRECT(""U""&amp;$C$70&amp;"":U""), INDIRECT(""H""&amp;$C$70&amp;"":H"") &lt;&gt;"""", INDIRECT(""B""&amp;$C$70&amp;"":B"") &gt;= $A24, INDIRECT(""B""&amp;$C$70&amp;"":B"") &lt;$A25))"),"$3956寶puma鞋+運動內衣, $7120牌照稅")</f>
        <v>$3956寶puma鞋+運動內衣, $7120牌照稅</v>
      </c>
      <c r="T57" s="13"/>
      <c r="U57" s="17"/>
      <c r="V57" s="13"/>
      <c r="W57" s="13"/>
      <c r="X57" s="13"/>
      <c r="Y57" s="13"/>
      <c r="Z57" s="13"/>
      <c r="AA57" s="13"/>
    </row>
    <row r="58">
      <c r="A58" s="25">
        <v>46143.0</v>
      </c>
      <c r="B58" s="22">
        <f t="shared" si="64"/>
        <v>24041</v>
      </c>
      <c r="C58" s="22">
        <f t="shared" si="65"/>
        <v>1506</v>
      </c>
      <c r="D58" s="22">
        <f t="shared" ref="D58:E58" si="132">SUMIFS(INDIRECT("C"&amp;$C$70&amp;":C"), INDIRECT("B"&amp;$C$70&amp;":B"), "&gt;="&amp;$A58, INDIRECT("B"&amp;$C$70&amp;":B"), "&lt;"&amp;$A59, INDIRECT("N"&amp;$C$70&amp;":N"), D$35)</f>
        <v>8465</v>
      </c>
      <c r="E58" s="22">
        <f t="shared" si="132"/>
        <v>104379</v>
      </c>
      <c r="F58" s="22">
        <f t="shared" si="67"/>
        <v>26000</v>
      </c>
      <c r="G58" s="22">
        <f t="shared" ref="G58:J58" si="133">SUMIFS(INDIRECT("C"&amp;$C$70&amp;":C"), INDIRECT("B"&amp;$C$70&amp;":B"), "&gt;="&amp;$A58, INDIRECT("B"&amp;$C$70&amp;":B"), "&lt;"&amp;$A59, INDIRECT("K"&amp;$C$70&amp;":K"), G$35)</f>
        <v>7802</v>
      </c>
      <c r="H58" s="22">
        <f t="shared" si="133"/>
        <v>230</v>
      </c>
      <c r="I58" s="22">
        <f t="shared" si="133"/>
        <v>0</v>
      </c>
      <c r="J58" s="22">
        <f t="shared" si="133"/>
        <v>558</v>
      </c>
      <c r="K58" s="22">
        <f t="shared" ref="K58:P58" si="134">SUMIFS(INDIRECT("C"&amp;$C$70&amp;":C"), INDIRECT("B"&amp;$C$70&amp;":B"), "&gt;="&amp;$A58, INDIRECT("B"&amp;$C$70&amp;":B"), "&lt;"&amp;$A59, INDIRECT("L"&amp;$C$70&amp;":L"), K$35)</f>
        <v>0</v>
      </c>
      <c r="L58" s="22">
        <f t="shared" si="134"/>
        <v>10670</v>
      </c>
      <c r="M58" s="22">
        <f t="shared" si="134"/>
        <v>2580</v>
      </c>
      <c r="N58" s="22">
        <f t="shared" si="134"/>
        <v>400</v>
      </c>
      <c r="O58" s="22">
        <f t="shared" si="134"/>
        <v>80</v>
      </c>
      <c r="P58" s="22">
        <f t="shared" si="134"/>
        <v>50</v>
      </c>
      <c r="Q58" s="22">
        <f t="shared" si="70"/>
        <v>4292</v>
      </c>
      <c r="R58" s="22">
        <f t="shared" si="71"/>
        <v>0</v>
      </c>
      <c r="S58" s="38" t="str">
        <f>IFERROR(__xludf.DUMMYFUNCTION("TEXTJOIN("", "", TRUE, FILTER(INDIRECT(""U""&amp;$C$70&amp;"":U""), INDIRECT(""H""&amp;$C$70&amp;"":H"") &lt;&gt;"""", INDIRECT(""B""&amp;$C$70&amp;"":B"") &gt;= $A25, INDIRECT(""B""&amp;$C$70&amp;"":B"") &lt;$A26))"),"$95804所得稅")</f>
        <v>$95804所得稅</v>
      </c>
      <c r="T58" s="13"/>
      <c r="U58" s="17"/>
      <c r="V58" s="13"/>
      <c r="W58" s="13"/>
      <c r="X58" s="13"/>
      <c r="Y58" s="13"/>
      <c r="Z58" s="13"/>
      <c r="AA58" s="13"/>
    </row>
    <row r="59">
      <c r="A59" s="25">
        <v>46174.0</v>
      </c>
      <c r="B59" s="22">
        <f t="shared" si="64"/>
        <v>85490</v>
      </c>
      <c r="C59" s="22">
        <f t="shared" si="65"/>
        <v>0</v>
      </c>
      <c r="D59" s="22">
        <f t="shared" ref="D59:E59" si="135">SUMIFS(INDIRECT("C"&amp;$C$70&amp;":C"), INDIRECT("B"&amp;$C$70&amp;":B"), "&gt;="&amp;$A59, INDIRECT("B"&amp;$C$70&amp;":B"), "&lt;"&amp;$A60, INDIRECT("N"&amp;$C$70&amp;":N"), D$35)</f>
        <v>6203</v>
      </c>
      <c r="E59" s="22">
        <f t="shared" si="135"/>
        <v>3810</v>
      </c>
      <c r="F59" s="22">
        <f t="shared" si="67"/>
        <v>26000</v>
      </c>
      <c r="G59" s="22">
        <f t="shared" ref="G59:J59" si="136">SUMIFS(INDIRECT("C"&amp;$C$70&amp;":C"), INDIRECT("B"&amp;$C$70&amp;":B"), "&gt;="&amp;$A59, INDIRECT("B"&amp;$C$70&amp;":B"), "&lt;"&amp;$A60, INDIRECT("K"&amp;$C$70&amp;":K"), G$35)</f>
        <v>0</v>
      </c>
      <c r="H59" s="22">
        <f t="shared" si="136"/>
        <v>0</v>
      </c>
      <c r="I59" s="22">
        <f t="shared" si="136"/>
        <v>1268</v>
      </c>
      <c r="J59" s="22">
        <f t="shared" si="136"/>
        <v>0</v>
      </c>
      <c r="K59" s="22">
        <f t="shared" ref="K59:P59" si="137">SUMIFS(INDIRECT("C"&amp;$C$70&amp;":C"), INDIRECT("B"&amp;$C$70&amp;":B"), "&gt;="&amp;$A59, INDIRECT("B"&amp;$C$70&amp;":B"), "&lt;"&amp;$A60, INDIRECT("L"&amp;$C$70&amp;":L"), K$35)</f>
        <v>0</v>
      </c>
      <c r="L59" s="22">
        <f t="shared" si="137"/>
        <v>0</v>
      </c>
      <c r="M59" s="22">
        <f t="shared" si="137"/>
        <v>3080</v>
      </c>
      <c r="N59" s="22">
        <f t="shared" si="137"/>
        <v>800</v>
      </c>
      <c r="O59" s="22">
        <f t="shared" si="137"/>
        <v>356</v>
      </c>
      <c r="P59" s="22">
        <f t="shared" si="137"/>
        <v>0</v>
      </c>
      <c r="Q59" s="22">
        <f t="shared" si="70"/>
        <v>4412</v>
      </c>
      <c r="R59" s="22">
        <f t="shared" si="71"/>
        <v>0</v>
      </c>
      <c r="S59" s="38" t="str">
        <f>IFERROR(__xludf.DUMMYFUNCTION("TEXTJOIN("", "", TRUE, FILTER(INDIRECT(""U""&amp;$C$70&amp;"":U""), INDIRECT(""H""&amp;$C$70&amp;"":H"") &lt;&gt;"""", INDIRECT(""B""&amp;$C$70&amp;"":B"") &gt;= $A26, INDIRECT(""B""&amp;$C$70&amp;"":B"") &lt;$A27))"),"$68521韓國旅遊")</f>
        <v>$68521韓國旅遊</v>
      </c>
      <c r="T59" s="13"/>
      <c r="U59" s="17"/>
      <c r="V59" s="13"/>
      <c r="W59" s="13"/>
      <c r="X59" s="13"/>
      <c r="Y59" s="13"/>
      <c r="Z59" s="13"/>
      <c r="AA59" s="13"/>
    </row>
    <row r="60">
      <c r="A60" s="25">
        <v>46204.0</v>
      </c>
      <c r="B60" s="22">
        <f t="shared" si="64"/>
        <v>8739</v>
      </c>
      <c r="C60" s="22">
        <f t="shared" si="65"/>
        <v>0</v>
      </c>
      <c r="D60" s="22">
        <f t="shared" ref="D60:E60" si="138">SUMIFS(INDIRECT("C"&amp;$C$70&amp;":C"), INDIRECT("B"&amp;$C$70&amp;":B"), "&gt;="&amp;$A60, INDIRECT("B"&amp;$C$70&amp;":B"), "&lt;"&amp;$A61, INDIRECT("N"&amp;$C$70&amp;":N"), D$35)</f>
        <v>6203</v>
      </c>
      <c r="E60" s="22">
        <f t="shared" si="138"/>
        <v>3810</v>
      </c>
      <c r="F60" s="22">
        <f t="shared" si="67"/>
        <v>0</v>
      </c>
      <c r="G60" s="22">
        <f t="shared" ref="G60:J60" si="139">SUMIFS(INDIRECT("C"&amp;$C$70&amp;":C"), INDIRECT("B"&amp;$C$70&amp;":B"), "&gt;="&amp;$A60, INDIRECT("B"&amp;$C$70&amp;":B"), "&lt;"&amp;$A61, INDIRECT("K"&amp;$C$70&amp;":K"), G$35)</f>
        <v>7802</v>
      </c>
      <c r="H60" s="22">
        <f t="shared" si="139"/>
        <v>0</v>
      </c>
      <c r="I60" s="22">
        <f t="shared" si="139"/>
        <v>0</v>
      </c>
      <c r="J60" s="22">
        <f t="shared" si="139"/>
        <v>0</v>
      </c>
      <c r="K60" s="22">
        <f t="shared" ref="K60:P60" si="140">SUMIFS(INDIRECT("C"&amp;$C$70&amp;":C"), INDIRECT("B"&amp;$C$70&amp;":B"), "&gt;="&amp;$A60, INDIRECT("B"&amp;$C$70&amp;":B"), "&lt;"&amp;$A61, INDIRECT("L"&amp;$C$70&amp;":L"), K$35)</f>
        <v>0</v>
      </c>
      <c r="L60" s="22">
        <f t="shared" si="140"/>
        <v>0</v>
      </c>
      <c r="M60" s="22">
        <f t="shared" si="140"/>
        <v>921</v>
      </c>
      <c r="N60" s="22">
        <f t="shared" si="140"/>
        <v>0</v>
      </c>
      <c r="O60" s="22">
        <f t="shared" si="140"/>
        <v>0</v>
      </c>
      <c r="P60" s="22">
        <f t="shared" si="140"/>
        <v>0</v>
      </c>
      <c r="Q60" s="22">
        <f t="shared" si="70"/>
        <v>4412</v>
      </c>
      <c r="R60" s="22">
        <f t="shared" si="71"/>
        <v>0</v>
      </c>
      <c r="S60" s="38" t="str">
        <f>IFERROR(__xludf.DUMMYFUNCTION("TEXTJOIN("", "", TRUE, FILTER(INDIRECT(""U""&amp;$C$70&amp;"":U""), INDIRECT(""H""&amp;$C$70&amp;"":H"") &lt;&gt;"""", INDIRECT(""B""&amp;$C$70&amp;"":B"") &gt;= $A27, INDIRECT(""B""&amp;$C$70&amp;"":B"") &lt;$A28))"),"")</f>
        <v/>
      </c>
      <c r="T60" s="13"/>
      <c r="U60" s="17"/>
      <c r="V60" s="13"/>
      <c r="W60" s="13"/>
      <c r="X60" s="13"/>
      <c r="Y60" s="13"/>
      <c r="Z60" s="13"/>
      <c r="AA60" s="13"/>
    </row>
    <row r="61">
      <c r="A61" s="25">
        <v>46235.0</v>
      </c>
      <c r="B61" s="22">
        <f t="shared" si="64"/>
        <v>0</v>
      </c>
      <c r="C61" s="22">
        <f t="shared" si="65"/>
        <v>0</v>
      </c>
      <c r="D61" s="22">
        <f t="shared" ref="D61:E61" si="141">SUMIFS(INDIRECT("C"&amp;$C$70&amp;":C"), INDIRECT("B"&amp;$C$70&amp;":B"), "&gt;="&amp;$A61, INDIRECT("B"&amp;$C$70&amp;":B"), "&lt;"&amp;$A62, INDIRECT("N"&amp;$C$70&amp;":N"), D$35)</f>
        <v>0</v>
      </c>
      <c r="E61" s="22">
        <f t="shared" si="141"/>
        <v>0</v>
      </c>
      <c r="F61" s="22">
        <f t="shared" si="67"/>
        <v>0</v>
      </c>
      <c r="G61" s="22">
        <f t="shared" ref="G61:J61" si="142">SUMIFS(INDIRECT("C"&amp;$C$70&amp;":C"), INDIRECT("B"&amp;$C$70&amp;":B"), "&gt;="&amp;$A61, INDIRECT("B"&amp;$C$70&amp;":B"), "&lt;"&amp;$A62, INDIRECT("K"&amp;$C$70&amp;":K"), G$35)</f>
        <v>0</v>
      </c>
      <c r="H61" s="22">
        <f t="shared" si="142"/>
        <v>0</v>
      </c>
      <c r="I61" s="22">
        <f t="shared" si="142"/>
        <v>0</v>
      </c>
      <c r="J61" s="22">
        <f t="shared" si="142"/>
        <v>0</v>
      </c>
      <c r="K61" s="22">
        <f t="shared" ref="K61:P61" si="143">SUMIFS(INDIRECT("C"&amp;$C$70&amp;":C"), INDIRECT("B"&amp;$C$70&amp;":B"), "&gt;="&amp;$A61, INDIRECT("B"&amp;$C$70&amp;":B"), "&lt;"&amp;$A62, INDIRECT("L"&amp;$C$70&amp;":L"), K$35)</f>
        <v>0</v>
      </c>
      <c r="L61" s="22">
        <f t="shared" si="143"/>
        <v>0</v>
      </c>
      <c r="M61" s="22">
        <f t="shared" si="143"/>
        <v>0</v>
      </c>
      <c r="N61" s="22">
        <f t="shared" si="143"/>
        <v>0</v>
      </c>
      <c r="O61" s="22">
        <f t="shared" si="143"/>
        <v>0</v>
      </c>
      <c r="P61" s="22">
        <f t="shared" si="143"/>
        <v>0</v>
      </c>
      <c r="Q61" s="22">
        <f t="shared" si="70"/>
        <v>0</v>
      </c>
      <c r="R61" s="22">
        <f t="shared" si="71"/>
        <v>0</v>
      </c>
      <c r="S61" s="38" t="str">
        <f>IFERROR(__xludf.DUMMYFUNCTION("TEXTJOIN("", "", TRUE, FILTER(INDIRECT(""U""&amp;$C$70&amp;"":U""), INDIRECT(""H""&amp;$C$70&amp;"":H"") &lt;&gt;"""", INDIRECT(""B""&amp;$C$70&amp;"":B"") &gt;= $A28, INDIRECT(""B""&amp;$C$70&amp;"":B"") &lt;$A29))"),"#N/A")</f>
        <v>#N/A</v>
      </c>
      <c r="T61" s="13"/>
      <c r="U61" s="17"/>
      <c r="V61" s="13"/>
      <c r="W61" s="13"/>
      <c r="X61" s="13"/>
      <c r="Y61" s="13"/>
      <c r="Z61" s="13"/>
      <c r="AA61" s="13"/>
    </row>
    <row r="62">
      <c r="A62" s="25">
        <v>46266.0</v>
      </c>
      <c r="B62" s="22">
        <f t="shared" si="64"/>
        <v>0</v>
      </c>
      <c r="C62" s="22">
        <f t="shared" si="65"/>
        <v>0</v>
      </c>
      <c r="D62" s="22">
        <f t="shared" ref="D62:E62" si="144">SUMIFS(INDIRECT("C"&amp;$C$70&amp;":C"), INDIRECT("B"&amp;$C$70&amp;":B"), "&gt;="&amp;$A62, INDIRECT("B"&amp;$C$70&amp;":B"), "&lt;"&amp;$A63, INDIRECT("N"&amp;$C$70&amp;":N"), D$35)</f>
        <v>0</v>
      </c>
      <c r="E62" s="22">
        <f t="shared" si="144"/>
        <v>0</v>
      </c>
      <c r="F62" s="22">
        <f t="shared" si="67"/>
        <v>0</v>
      </c>
      <c r="G62" s="22">
        <f t="shared" ref="G62:J62" si="145">SUMIFS(INDIRECT("C"&amp;$C$70&amp;":C"), INDIRECT("B"&amp;$C$70&amp;":B"), "&gt;="&amp;$A62, INDIRECT("B"&amp;$C$70&amp;":B"), "&lt;"&amp;$A63, INDIRECT("K"&amp;$C$70&amp;":K"), G$35)</f>
        <v>0</v>
      </c>
      <c r="H62" s="22">
        <f t="shared" si="145"/>
        <v>0</v>
      </c>
      <c r="I62" s="22">
        <f t="shared" si="145"/>
        <v>0</v>
      </c>
      <c r="J62" s="22">
        <f t="shared" si="145"/>
        <v>0</v>
      </c>
      <c r="K62" s="22">
        <f t="shared" ref="K62:P62" si="146">SUMIFS(INDIRECT("C"&amp;$C$70&amp;":C"), INDIRECT("B"&amp;$C$70&amp;":B"), "&gt;="&amp;$A62, INDIRECT("B"&amp;$C$70&amp;":B"), "&lt;"&amp;$A63, INDIRECT("L"&amp;$C$70&amp;":L"), K$35)</f>
        <v>0</v>
      </c>
      <c r="L62" s="22">
        <f t="shared" si="146"/>
        <v>0</v>
      </c>
      <c r="M62" s="22">
        <f t="shared" si="146"/>
        <v>0</v>
      </c>
      <c r="N62" s="22">
        <f t="shared" si="146"/>
        <v>0</v>
      </c>
      <c r="O62" s="22">
        <f t="shared" si="146"/>
        <v>0</v>
      </c>
      <c r="P62" s="22">
        <f t="shared" si="146"/>
        <v>0</v>
      </c>
      <c r="Q62" s="22">
        <f t="shared" si="70"/>
        <v>0</v>
      </c>
      <c r="R62" s="22">
        <f t="shared" si="71"/>
        <v>0</v>
      </c>
      <c r="S62" s="38" t="str">
        <f>IFERROR(__xludf.DUMMYFUNCTION("TEXTJOIN("", "", TRUE, FILTER(INDIRECT(""U""&amp;$C$70&amp;"":U""), INDIRECT(""H""&amp;$C$70&amp;"":H"") &lt;&gt;"""", INDIRECT(""B""&amp;$C$70&amp;"":B"") &gt;= $A29, INDIRECT(""B""&amp;$C$70&amp;"":B"") &lt;$A30))"),"#N/A")</f>
        <v>#N/A</v>
      </c>
      <c r="T62" s="13"/>
      <c r="U62" s="17"/>
      <c r="V62" s="13"/>
      <c r="W62" s="13"/>
      <c r="X62" s="13"/>
      <c r="Y62" s="13"/>
      <c r="Z62" s="13"/>
      <c r="AA62" s="13"/>
    </row>
    <row r="63">
      <c r="A63" s="25">
        <v>46296.0</v>
      </c>
      <c r="B63" s="22">
        <f t="shared" si="64"/>
        <v>2030</v>
      </c>
      <c r="C63" s="22">
        <f t="shared" si="65"/>
        <v>0</v>
      </c>
      <c r="D63" s="22">
        <f t="shared" ref="D63:E63" si="147">SUMIFS(INDIRECT("C"&amp;$C$70&amp;":C"), INDIRECT("B"&amp;$C$70&amp;":B"), "&gt;="&amp;$A63, INDIRECT("B"&amp;$C$70&amp;":B"), "&lt;"&amp;$A64, INDIRECT("N"&amp;$C$70&amp;":N"), D$35)</f>
        <v>0</v>
      </c>
      <c r="E63" s="22">
        <f t="shared" si="147"/>
        <v>0</v>
      </c>
      <c r="F63" s="22">
        <f t="shared" si="67"/>
        <v>0</v>
      </c>
      <c r="G63" s="22">
        <f t="shared" ref="G63:J63" si="148">SUMIFS(INDIRECT("C"&amp;$C$70&amp;":C"), INDIRECT("B"&amp;$C$70&amp;":B"), "&gt;="&amp;$A63, INDIRECT("B"&amp;$C$70&amp;":B"), "&lt;"&amp;$A64, INDIRECT("K"&amp;$C$70&amp;":K"), G$35)</f>
        <v>0</v>
      </c>
      <c r="H63" s="22">
        <f t="shared" si="148"/>
        <v>0</v>
      </c>
      <c r="I63" s="22">
        <f t="shared" si="148"/>
        <v>0</v>
      </c>
      <c r="J63" s="22">
        <f t="shared" si="148"/>
        <v>0</v>
      </c>
      <c r="K63" s="22">
        <f t="shared" ref="K63:P63" si="149">SUMIFS(INDIRECT("C"&amp;$C$70&amp;":C"), INDIRECT("B"&amp;$C$70&amp;":B"), "&gt;="&amp;$A63, INDIRECT("B"&amp;$C$70&amp;":B"), "&lt;"&amp;$A64, INDIRECT("L"&amp;$C$70&amp;":L"), K$35)</f>
        <v>0</v>
      </c>
      <c r="L63" s="22">
        <f t="shared" si="149"/>
        <v>0</v>
      </c>
      <c r="M63" s="22">
        <f t="shared" si="149"/>
        <v>0</v>
      </c>
      <c r="N63" s="22">
        <f t="shared" si="149"/>
        <v>0</v>
      </c>
      <c r="O63" s="22">
        <f t="shared" si="149"/>
        <v>0</v>
      </c>
      <c r="P63" s="22">
        <f t="shared" si="149"/>
        <v>0</v>
      </c>
      <c r="Q63" s="22">
        <f t="shared" si="70"/>
        <v>0</v>
      </c>
      <c r="R63" s="22">
        <f t="shared" si="71"/>
        <v>0</v>
      </c>
      <c r="S63" s="38" t="str">
        <f>IFERROR(__xludf.DUMMYFUNCTION("TEXTJOIN("", "", TRUE, FILTER(INDIRECT(""U""&amp;$C$70&amp;"":U""), INDIRECT(""H""&amp;$C$70&amp;"":H"") &lt;&gt;"""", INDIRECT(""B""&amp;$C$70&amp;"":B"") &gt;= $A30, INDIRECT(""B""&amp;$C$70&amp;"":B"") &lt;$A31))"),"")</f>
        <v/>
      </c>
      <c r="T63" s="13"/>
      <c r="U63" s="17"/>
      <c r="V63" s="13"/>
      <c r="W63" s="13"/>
      <c r="X63" s="13"/>
      <c r="Y63" s="13"/>
      <c r="Z63" s="13"/>
      <c r="AA63" s="13"/>
    </row>
    <row r="64">
      <c r="A64" s="25">
        <v>46327.0</v>
      </c>
      <c r="B64" s="22">
        <f t="shared" si="64"/>
        <v>0</v>
      </c>
      <c r="C64" s="22">
        <f t="shared" si="65"/>
        <v>0</v>
      </c>
      <c r="D64" s="22">
        <f t="shared" ref="D64:E64" si="150">SUMIFS(INDIRECT("C"&amp;$C$70&amp;":C"), INDIRECT("B"&amp;$C$70&amp;":B"), "&gt;="&amp;$A64, INDIRECT("B"&amp;$C$70&amp;":B"), "&lt;"&amp;$A65, INDIRECT("N"&amp;$C$70&amp;":N"), D$35)</f>
        <v>0</v>
      </c>
      <c r="E64" s="22">
        <f t="shared" si="150"/>
        <v>0</v>
      </c>
      <c r="F64" s="22">
        <f t="shared" si="67"/>
        <v>0</v>
      </c>
      <c r="G64" s="22">
        <f t="shared" ref="G64:J64" si="151">SUMIFS(INDIRECT("C"&amp;$C$70&amp;":C"), INDIRECT("B"&amp;$C$70&amp;":B"), "&gt;="&amp;$A64, INDIRECT("B"&amp;$C$70&amp;":B"), "&lt;"&amp;$A65, INDIRECT("K"&amp;$C$70&amp;":K"), G$35)</f>
        <v>0</v>
      </c>
      <c r="H64" s="22">
        <f t="shared" si="151"/>
        <v>0</v>
      </c>
      <c r="I64" s="22">
        <f t="shared" si="151"/>
        <v>0</v>
      </c>
      <c r="J64" s="22">
        <f t="shared" si="151"/>
        <v>0</v>
      </c>
      <c r="K64" s="22">
        <f t="shared" ref="K64:P64" si="152">SUMIFS(INDIRECT("C"&amp;$C$70&amp;":C"), INDIRECT("B"&amp;$C$70&amp;":B"), "&gt;="&amp;$A64, INDIRECT("B"&amp;$C$70&amp;":B"), "&lt;"&amp;$A65, INDIRECT("L"&amp;$C$70&amp;":L"), K$35)</f>
        <v>0</v>
      </c>
      <c r="L64" s="22">
        <f t="shared" si="152"/>
        <v>0</v>
      </c>
      <c r="M64" s="22">
        <f t="shared" si="152"/>
        <v>0</v>
      </c>
      <c r="N64" s="22">
        <f t="shared" si="152"/>
        <v>0</v>
      </c>
      <c r="O64" s="22">
        <f t="shared" si="152"/>
        <v>0</v>
      </c>
      <c r="P64" s="22">
        <f t="shared" si="152"/>
        <v>0</v>
      </c>
      <c r="Q64" s="22">
        <f t="shared" si="70"/>
        <v>0</v>
      </c>
      <c r="R64" s="22">
        <f t="shared" si="71"/>
        <v>0</v>
      </c>
      <c r="S64" s="38" t="str">
        <f>IFERROR(__xludf.DUMMYFUNCTION("TEXTJOIN("", "", TRUE, FILTER(INDIRECT(""U""&amp;$C$70&amp;"":U""), INDIRECT(""H""&amp;$C$70&amp;"":H"") &lt;&gt;"""", INDIRECT(""B""&amp;$C$70&amp;"":B"") &gt;= $A31, INDIRECT(""B""&amp;$C$70&amp;"":B"") &lt;$A32))"),"#N/A")</f>
        <v>#N/A</v>
      </c>
      <c r="T64" s="13"/>
      <c r="U64" s="17"/>
      <c r="V64" s="13"/>
      <c r="W64" s="13"/>
      <c r="X64" s="13"/>
      <c r="Y64" s="13"/>
      <c r="Z64" s="13"/>
      <c r="AA64" s="13"/>
    </row>
    <row r="65">
      <c r="A65" s="25">
        <v>46357.0</v>
      </c>
      <c r="B65" s="22">
        <f t="shared" si="64"/>
        <v>0</v>
      </c>
      <c r="C65" s="22">
        <f t="shared" si="65"/>
        <v>0</v>
      </c>
      <c r="D65" s="22">
        <f t="shared" ref="D65:E65" si="153">SUMIFS(INDIRECT("C"&amp;$C$70&amp;":C"), INDIRECT("B"&amp;$C$70&amp;":B"), "&gt;="&amp;$A65, INDIRECT("B"&amp;$C$70&amp;":B"), "&lt;"&amp;$A66, INDIRECT("N"&amp;$C$70&amp;":N"), D$35)</f>
        <v>0</v>
      </c>
      <c r="E65" s="22">
        <f t="shared" si="153"/>
        <v>0</v>
      </c>
      <c r="F65" s="22">
        <f t="shared" si="67"/>
        <v>0</v>
      </c>
      <c r="G65" s="22">
        <f t="shared" ref="G65:J65" si="154">SUMIFS(INDIRECT("C"&amp;$C$70&amp;":C"), INDIRECT("B"&amp;$C$70&amp;":B"), "&gt;="&amp;$A65, INDIRECT("B"&amp;$C$70&amp;":B"), "&lt;"&amp;$A66, INDIRECT("K"&amp;$C$70&amp;":K"), G$35)</f>
        <v>0</v>
      </c>
      <c r="H65" s="22">
        <f t="shared" si="154"/>
        <v>0</v>
      </c>
      <c r="I65" s="22">
        <f t="shared" si="154"/>
        <v>0</v>
      </c>
      <c r="J65" s="22">
        <f t="shared" si="154"/>
        <v>0</v>
      </c>
      <c r="K65" s="22">
        <f t="shared" ref="K65:P65" si="155">SUMIFS(INDIRECT("C"&amp;$C$70&amp;":C"), INDIRECT("B"&amp;$C$70&amp;":B"), "&gt;="&amp;$A65, INDIRECT("B"&amp;$C$70&amp;":B"), "&lt;"&amp;$A66, INDIRECT("L"&amp;$C$70&amp;":L"), K$35)</f>
        <v>0</v>
      </c>
      <c r="L65" s="22">
        <f t="shared" si="155"/>
        <v>0</v>
      </c>
      <c r="M65" s="22">
        <f t="shared" si="155"/>
        <v>0</v>
      </c>
      <c r="N65" s="22">
        <f t="shared" si="155"/>
        <v>0</v>
      </c>
      <c r="O65" s="22">
        <f t="shared" si="155"/>
        <v>0</v>
      </c>
      <c r="P65" s="22">
        <f t="shared" si="155"/>
        <v>0</v>
      </c>
      <c r="Q65" s="22">
        <f t="shared" si="70"/>
        <v>0</v>
      </c>
      <c r="R65" s="22">
        <f t="shared" si="71"/>
        <v>0</v>
      </c>
      <c r="S65" s="38" t="str">
        <f>IFERROR(__xludf.DUMMYFUNCTION("TEXTJOIN("", "", TRUE, FILTER(INDIRECT(""U""&amp;$C$70&amp;"":U""), INDIRECT(""H""&amp;$C$70&amp;"":H"") &lt;&gt;"""", INDIRECT(""B""&amp;$C$70&amp;"":B"") &gt;= $A32, INDIRECT(""B""&amp;$C$70&amp;"":B"") &lt;$A33))"),"#N/A")</f>
        <v>#N/A</v>
      </c>
      <c r="T65" s="13"/>
      <c r="U65" s="17"/>
      <c r="V65" s="13"/>
      <c r="W65" s="13"/>
      <c r="X65" s="13"/>
      <c r="Y65" s="13"/>
      <c r="Z65" s="13"/>
      <c r="AA65" s="13"/>
    </row>
    <row r="66">
      <c r="A66" s="41"/>
      <c r="B66" s="42"/>
      <c r="C66" s="42"/>
      <c r="D66" s="42"/>
      <c r="E66" s="43"/>
      <c r="F66" s="44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7"/>
      <c r="V66" s="13"/>
      <c r="W66" s="13"/>
      <c r="X66" s="13"/>
      <c r="Y66" s="13"/>
      <c r="Z66" s="13"/>
      <c r="AA66" s="13"/>
    </row>
    <row r="67">
      <c r="A67" s="45" t="s">
        <v>384</v>
      </c>
      <c r="B67" s="42" t="s">
        <v>385</v>
      </c>
      <c r="C67" s="42" t="s">
        <v>386</v>
      </c>
      <c r="D67" s="42" t="s">
        <v>387</v>
      </c>
      <c r="E67" s="43" t="s">
        <v>388</v>
      </c>
      <c r="F67" s="44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7"/>
      <c r="V67" s="13"/>
      <c r="W67" s="13"/>
      <c r="X67" s="13"/>
      <c r="Y67" s="13"/>
      <c r="Z67" s="13"/>
      <c r="AA67" s="13"/>
    </row>
    <row r="68">
      <c r="A68" s="13"/>
      <c r="B68" s="39">
        <f>MATCH("時間戳記",'收支紀錄'!$A:$A, 0)</f>
        <v>1</v>
      </c>
      <c r="C68" s="39">
        <f>$B$68+1</f>
        <v>2</v>
      </c>
      <c r="D68" s="46">
        <f t="array" ref="D68">COUNT(INDIRECT("'收支紀錄'!A"&amp;$C$68&amp;":A"))</f>
        <v>1666</v>
      </c>
      <c r="E68" s="46">
        <f>C68+D68 - 1</f>
        <v>1667</v>
      </c>
      <c r="F68" s="47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7"/>
      <c r="V68" s="13"/>
      <c r="W68" s="13"/>
      <c r="X68" s="13"/>
      <c r="Y68" s="13"/>
      <c r="Z68" s="13"/>
      <c r="AA68" s="13"/>
    </row>
    <row r="69">
      <c r="A69" s="13"/>
      <c r="B69" s="43" t="s">
        <v>389</v>
      </c>
      <c r="C69" s="43" t="s">
        <v>390</v>
      </c>
      <c r="D69" s="43" t="s">
        <v>391</v>
      </c>
      <c r="E69" s="43" t="s">
        <v>392</v>
      </c>
      <c r="F69" s="44" t="s">
        <v>393</v>
      </c>
      <c r="G69" s="48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7"/>
      <c r="V69" s="13"/>
      <c r="W69" s="13"/>
      <c r="X69" s="13"/>
      <c r="Y69" s="13"/>
      <c r="Z69" s="13"/>
      <c r="AA69" s="13"/>
    </row>
    <row r="70">
      <c r="A70" s="13"/>
      <c r="B70" s="39">
        <f>MATCH("時間戳記",$A:$A, 0)</f>
        <v>75</v>
      </c>
      <c r="C70" s="39">
        <f>$B$70+1</f>
        <v>76</v>
      </c>
      <c r="D70" s="46">
        <f t="array" ref="D70">COUNT(INDIRECT("A"&amp;$C$70&amp;":A"))</f>
        <v>1666</v>
      </c>
      <c r="E70" s="46">
        <f>C70+D70 - 1</f>
        <v>1741</v>
      </c>
      <c r="F70" s="49">
        <f>E68+(C70-C68)-E70</f>
        <v>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7"/>
      <c r="V70" s="13"/>
      <c r="W70" s="13"/>
      <c r="X70" s="13"/>
      <c r="Y70" s="13"/>
      <c r="Z70" s="13"/>
      <c r="AA70" s="13"/>
    </row>
    <row r="71">
      <c r="A71" s="13"/>
      <c r="B71" s="13"/>
      <c r="C71" s="44" t="s">
        <v>394</v>
      </c>
      <c r="D71" s="50"/>
      <c r="E71" s="51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7"/>
      <c r="V71" s="13"/>
      <c r="W71" s="13"/>
      <c r="X71" s="13"/>
      <c r="Y71" s="13"/>
      <c r="Z71" s="13"/>
      <c r="AA71" s="13"/>
    </row>
    <row r="72">
      <c r="A72" s="13"/>
      <c r="B72" s="13"/>
      <c r="C72" s="52">
        <f>C70-C68</f>
        <v>74</v>
      </c>
      <c r="D72" s="50"/>
      <c r="E72" s="5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7"/>
      <c r="V72" s="13"/>
      <c r="W72" s="13"/>
      <c r="X72" s="13"/>
      <c r="Y72" s="13"/>
      <c r="Z72" s="13"/>
      <c r="AA72" s="13"/>
    </row>
    <row r="73">
      <c r="A73" s="13"/>
      <c r="B73" s="13"/>
      <c r="C73" s="48"/>
      <c r="D73" s="50"/>
      <c r="E73" s="51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7"/>
      <c r="V73" s="13"/>
      <c r="W73" s="13"/>
      <c r="X73" s="13"/>
      <c r="Y73" s="13"/>
      <c r="Z73" s="13"/>
      <c r="AA73" s="13"/>
    </row>
    <row r="74">
      <c r="A74" s="18" t="s">
        <v>395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7"/>
      <c r="V74" s="13"/>
      <c r="W74" s="13"/>
      <c r="X74" s="13"/>
      <c r="Y74" s="13"/>
      <c r="Z74" s="13"/>
      <c r="AA74" s="13"/>
    </row>
    <row r="75">
      <c r="A75" s="54" t="s">
        <v>0</v>
      </c>
      <c r="B75" s="55" t="s">
        <v>396</v>
      </c>
      <c r="C75" s="54" t="s">
        <v>2</v>
      </c>
      <c r="D75" s="56" t="s">
        <v>397</v>
      </c>
      <c r="E75" s="54" t="s">
        <v>4</v>
      </c>
      <c r="F75" s="54" t="s">
        <v>5</v>
      </c>
      <c r="G75" s="54" t="s">
        <v>6</v>
      </c>
      <c r="H75" s="54" t="s">
        <v>7</v>
      </c>
      <c r="I75" s="54" t="s">
        <v>8</v>
      </c>
      <c r="J75" s="54" t="s">
        <v>9</v>
      </c>
      <c r="K75" s="54" t="s">
        <v>10</v>
      </c>
      <c r="L75" s="54" t="s">
        <v>11</v>
      </c>
      <c r="M75" s="54" t="s">
        <v>12</v>
      </c>
      <c r="N75" s="54" t="s">
        <v>13</v>
      </c>
      <c r="O75" s="54" t="s">
        <v>14</v>
      </c>
      <c r="P75" s="54" t="s">
        <v>15</v>
      </c>
      <c r="Q75" s="54" t="s">
        <v>16</v>
      </c>
      <c r="R75" s="54" t="s">
        <v>17</v>
      </c>
      <c r="S75" s="54" t="s">
        <v>18</v>
      </c>
      <c r="T75" s="54" t="s">
        <v>19</v>
      </c>
      <c r="U75" s="57" t="s">
        <v>398</v>
      </c>
    </row>
    <row r="76">
      <c r="A76" s="58">
        <f>IFERROR(__xludf.DUMMYFUNCTION("INDIRECT(""'收支紀錄'!A""&amp;TO_TEXT(ROW()-$C$72))"),45487.51281059028)</f>
        <v>45487.51281</v>
      </c>
      <c r="B76" s="59">
        <f>IFERROR(__xludf.DUMMYFUNCTION("IF(ISBLANK(D76), """", IF(ISDATE(D76), D76, IF(D76=""今天"", A76, IF(D76=""昨天 (-1 day)"", A76-1, IF(D76=""前天 (-2 days)"", A76-2, IF(D76=""明天 (+1 day)"", A76+1, DATE(LEFT(D76,4), MID(D76,5,2), RIGHT(D76,2))))))))"),45487.0)</f>
        <v>45487</v>
      </c>
      <c r="C76" s="60">
        <f>IFERROR(__xludf.DUMMYFUNCTION("INDIRECT(""'收支紀錄'!C""&amp;TO_TEXT(ROW()-$C$72))"),82.0)</f>
        <v>82</v>
      </c>
      <c r="D76" s="59">
        <f>IFERROR(__xludf.DUMMYFUNCTION("INDIRECT(""'收支紀錄'!D""&amp;TO_TEXT(ROW()-$C$72))"),45487.0)</f>
        <v>45487</v>
      </c>
      <c r="E76" s="61" t="str">
        <f>IFERROR(__xludf.DUMMYFUNCTION("INDIRECT(""'收支紀錄'!E""&amp;TO_TEXT(ROW()-$C$72))"),"")</f>
        <v/>
      </c>
      <c r="F76" s="61" t="str">
        <f>IFERROR(__xludf.DUMMYFUNCTION("INDIRECT(""'收支紀錄'!F""&amp;TO_TEXT(ROW()-$C$72))"),"")</f>
        <v/>
      </c>
      <c r="G76" s="61" t="str">
        <f>IFERROR(__xludf.DUMMYFUNCTION("INDIRECT(""'收支紀錄'!G""&amp;TO_TEXT(ROW()-$C$72))"),"")</f>
        <v/>
      </c>
      <c r="H76" s="61" t="str">
        <f>IFERROR(__xludf.DUMMYFUNCTION("INDIRECT(""'收支紀錄'!H""&amp;TO_TEXT(ROW()-$C$72))"),"行車交通")</f>
        <v>行車交通</v>
      </c>
      <c r="I76" s="61" t="str">
        <f>IFERROR(__xludf.DUMMYFUNCTION("INDIRECT(""'收支紀錄'!I""&amp;TO_TEXT(ROW()-$C$72))"),"")</f>
        <v/>
      </c>
      <c r="J76" s="61" t="str">
        <f>IFERROR(__xludf.DUMMYFUNCTION("INDIRECT(""'收支紀錄'!J""&amp;TO_TEXT(ROW()-$C$72))"),"")</f>
        <v/>
      </c>
      <c r="K76" s="61" t="str">
        <f>IFERROR(__xludf.DUMMYFUNCTION("INDIRECT(""'收支紀錄'!K""&amp;TO_TEXT(ROW()-$C$72))"),"")</f>
        <v/>
      </c>
      <c r="L76" s="61" t="str">
        <f>IFERROR(__xludf.DUMMYFUNCTION("INDIRECT(""'收支紀錄'!L""&amp;TO_TEXT(ROW()-$C$72))"),"火車費")</f>
        <v>火車費</v>
      </c>
      <c r="M76" s="61" t="str">
        <f>IFERROR(__xludf.DUMMYFUNCTION("INDIRECT(""'收支紀錄'!M""&amp;TO_TEXT(ROW()-$C$72))"),"")</f>
        <v/>
      </c>
      <c r="N76" s="61" t="str">
        <f>IFERROR(__xludf.DUMMYFUNCTION("INDIRECT(""'收支紀錄'!N""&amp;TO_TEXT(ROW()-$C$72))"),"")</f>
        <v/>
      </c>
      <c r="O76" s="61" t="str">
        <f>IFERROR(__xludf.DUMMYFUNCTION("INDIRECT(""'收支紀錄'!O""&amp;TO_TEXT(ROW()-$C$72))"),"")</f>
        <v/>
      </c>
      <c r="P76" s="61" t="str">
        <f>IFERROR(__xludf.DUMMYFUNCTION("INDIRECT(""'收支紀錄'!P""&amp;TO_TEXT(ROW()-$C$72))"),"")</f>
        <v/>
      </c>
      <c r="Q76" s="61" t="str">
        <f>IFERROR(__xludf.DUMMYFUNCTION("INDIRECT(""'收支紀錄'!Q""&amp;TO_TEXT(ROW()-$C$72))"),"")</f>
        <v/>
      </c>
      <c r="R76" s="61" t="str">
        <f>IFERROR(__xludf.DUMMYFUNCTION("INDIRECT(""'收支紀錄'!R""&amp;TO_TEXT(ROW()-$C$72))"),"")</f>
        <v/>
      </c>
      <c r="S76" s="61" t="str">
        <f>IFERROR(__xludf.DUMMYFUNCTION("INDIRECT(""'收支紀錄'!S""&amp;TO_TEXT(ROW()-$C$72))"),"")</f>
        <v/>
      </c>
      <c r="T76" s="61" t="str">
        <f>IFERROR(__xludf.DUMMYFUNCTION("INDIRECT(""'收支紀錄'!T""&amp;TO_TEXT(ROW()-$C$72))"),"")</f>
        <v/>
      </c>
      <c r="U76" s="62" t="str">
        <f>IFERROR(__xludf.DUMMYFUNCTION("IF(T76=""是"",TEXTJOIN("""", TRUE, ""$"", TO_TEXT(C76), S76),"""")"),"")</f>
        <v/>
      </c>
      <c r="V76" s="13"/>
      <c r="W76" s="13"/>
      <c r="X76" s="13"/>
      <c r="Y76" s="13"/>
      <c r="Z76" s="13"/>
      <c r="AA76" s="13"/>
    </row>
    <row r="77">
      <c r="A77" s="58">
        <f>IFERROR(__xludf.DUMMYFUNCTION("INDIRECT(""'收支紀錄'!A""&amp;TO_TEXT(ROW()-$C$72))"),45487.51320346065)</f>
        <v>45487.5132</v>
      </c>
      <c r="B77" s="59">
        <f>IFERROR(__xludf.DUMMYFUNCTION("IF(ISBLANK(D77), """", IF(ISDATE(D77), D77, IF(D77=""今天"", A77, IF(D77=""昨天 (-1 day)"", A77-1, IF(D77=""前天 (-2 days)"", A77-2, IF(D77=""明天 (+1 day)"", A77+1, DATE(LEFT(D77,4), MID(D77,5,2), RIGHT(D77,2))))))))"),45487.0)</f>
        <v>45487</v>
      </c>
      <c r="C77" s="60">
        <f>IFERROR(__xludf.DUMMYFUNCTION("INDIRECT(""'收支紀錄'!C""&amp;TO_TEXT(ROW()-$C$72))"),148.0)</f>
        <v>148</v>
      </c>
      <c r="D77" s="59">
        <f>IFERROR(__xludf.DUMMYFUNCTION("INDIRECT(""'收支紀錄'!D""&amp;TO_TEXT(ROW()-$C$72))"),45487.0)</f>
        <v>45487</v>
      </c>
      <c r="E77" s="61" t="str">
        <f>IFERROR(__xludf.DUMMYFUNCTION("INDIRECT(""'收支紀錄'!E""&amp;TO_TEXT(ROW()-$C$72))"),"")</f>
        <v/>
      </c>
      <c r="F77" s="61" t="str">
        <f>IFERROR(__xludf.DUMMYFUNCTION("INDIRECT(""'收支紀錄'!F""&amp;TO_TEXT(ROW()-$C$72))"),"")</f>
        <v/>
      </c>
      <c r="G77" s="61" t="str">
        <f>IFERROR(__xludf.DUMMYFUNCTION("INDIRECT(""'收支紀錄'!G""&amp;TO_TEXT(ROW()-$C$72))"),"")</f>
        <v/>
      </c>
      <c r="H77" s="61" t="str">
        <f>IFERROR(__xludf.DUMMYFUNCTION("INDIRECT(""'收支紀錄'!H""&amp;TO_TEXT(ROW()-$C$72))"),"行車交通")</f>
        <v>行車交通</v>
      </c>
      <c r="I77" s="61" t="str">
        <f>IFERROR(__xludf.DUMMYFUNCTION("INDIRECT(""'收支紀錄'!I""&amp;TO_TEXT(ROW()-$C$72))"),"")</f>
        <v/>
      </c>
      <c r="J77" s="61" t="str">
        <f>IFERROR(__xludf.DUMMYFUNCTION("INDIRECT(""'收支紀錄'!J""&amp;TO_TEXT(ROW()-$C$72))"),"")</f>
        <v/>
      </c>
      <c r="K77" s="61" t="str">
        <f>IFERROR(__xludf.DUMMYFUNCTION("INDIRECT(""'收支紀錄'!K""&amp;TO_TEXT(ROW()-$C$72))"),"")</f>
        <v/>
      </c>
      <c r="L77" s="61" t="str">
        <f>IFERROR(__xludf.DUMMYFUNCTION("INDIRECT(""'收支紀錄'!L""&amp;TO_TEXT(ROW()-$C$72))"),"加油")</f>
        <v>加油</v>
      </c>
      <c r="M77" s="61" t="str">
        <f>IFERROR(__xludf.DUMMYFUNCTION("INDIRECT(""'收支紀錄'!M""&amp;TO_TEXT(ROW()-$C$72))"),"")</f>
        <v/>
      </c>
      <c r="N77" s="61" t="str">
        <f>IFERROR(__xludf.DUMMYFUNCTION("INDIRECT(""'收支紀錄'!N""&amp;TO_TEXT(ROW()-$C$72))"),"")</f>
        <v/>
      </c>
      <c r="O77" s="61" t="str">
        <f>IFERROR(__xludf.DUMMYFUNCTION("INDIRECT(""'收支紀錄'!O""&amp;TO_TEXT(ROW()-$C$72))"),"")</f>
        <v/>
      </c>
      <c r="P77" s="61" t="str">
        <f>IFERROR(__xludf.DUMMYFUNCTION("INDIRECT(""'收支紀錄'!P""&amp;TO_TEXT(ROW()-$C$72))"),"")</f>
        <v/>
      </c>
      <c r="Q77" s="61" t="str">
        <f>IFERROR(__xludf.DUMMYFUNCTION("INDIRECT(""'收支紀錄'!Q""&amp;TO_TEXT(ROW()-$C$72))"),"")</f>
        <v/>
      </c>
      <c r="R77" s="61" t="str">
        <f>IFERROR(__xludf.DUMMYFUNCTION("INDIRECT(""'收支紀錄'!R""&amp;TO_TEXT(ROW()-$C$72))"),"")</f>
        <v/>
      </c>
      <c r="S77" s="61" t="str">
        <f>IFERROR(__xludf.DUMMYFUNCTION("INDIRECT(""'收支紀錄'!S""&amp;TO_TEXT(ROW()-$C$72))"),"")</f>
        <v/>
      </c>
      <c r="T77" s="61" t="str">
        <f>IFERROR(__xludf.DUMMYFUNCTION("INDIRECT(""'收支紀錄'!T""&amp;TO_TEXT(ROW()-$C$72))"),"")</f>
        <v/>
      </c>
      <c r="U77" s="62" t="str">
        <f>IFERROR(__xludf.DUMMYFUNCTION("IF(T77=""是"",TEXTJOIN("""", TRUE, ""$"", TO_TEXT(C77), S77),"""")"),"")</f>
        <v/>
      </c>
      <c r="V77" s="13"/>
      <c r="W77" s="13"/>
      <c r="X77" s="13"/>
      <c r="Y77" s="13"/>
      <c r="Z77" s="13"/>
      <c r="AA77" s="13"/>
    </row>
    <row r="78">
      <c r="A78" s="58">
        <f>IFERROR(__xludf.DUMMYFUNCTION("INDIRECT(""'收支紀錄'!A""&amp;TO_TEXT(ROW()-$C$72))"),45487.513509895834)</f>
        <v>45487.51351</v>
      </c>
      <c r="B78" s="59">
        <f>IFERROR(__xludf.DUMMYFUNCTION("IF(ISBLANK(D78), """", IF(ISDATE(D78), D78, IF(D78=""今天"", A78, IF(D78=""昨天 (-1 day)"", A78-1, IF(D78=""前天 (-2 days)"", A78-2, IF(D78=""明天 (+1 day)"", A78+1, DATE(LEFT(D78,4), MID(D78,5,2), RIGHT(D78,2))))))))"),45487.0)</f>
        <v>45487</v>
      </c>
      <c r="C78" s="60">
        <f>IFERROR(__xludf.DUMMYFUNCTION("INDIRECT(""'收支紀錄'!C""&amp;TO_TEXT(ROW()-$C$72))"),100.0)</f>
        <v>100</v>
      </c>
      <c r="D78" s="59">
        <f>IFERROR(__xludf.DUMMYFUNCTION("INDIRECT(""'收支紀錄'!D""&amp;TO_TEXT(ROW()-$C$72))"),45487.0)</f>
        <v>45487</v>
      </c>
      <c r="E78" s="61" t="str">
        <f>IFERROR(__xludf.DUMMYFUNCTION("INDIRECT(""'收支紀錄'!E""&amp;TO_TEXT(ROW()-$C$72))"),"")</f>
        <v/>
      </c>
      <c r="F78" s="61" t="str">
        <f>IFERROR(__xludf.DUMMYFUNCTION("INDIRECT(""'收支紀錄'!F""&amp;TO_TEXT(ROW()-$C$72))"),"")</f>
        <v/>
      </c>
      <c r="G78" s="61" t="str">
        <f>IFERROR(__xludf.DUMMYFUNCTION("INDIRECT(""'收支紀錄'!G""&amp;TO_TEXT(ROW()-$C$72))"),"")</f>
        <v/>
      </c>
      <c r="H78" s="61" t="str">
        <f>IFERROR(__xludf.DUMMYFUNCTION("INDIRECT(""'收支紀錄'!H""&amp;TO_TEXT(ROW()-$C$72))"),"休閒娛樂")</f>
        <v>休閒娛樂</v>
      </c>
      <c r="I78" s="61" t="str">
        <f>IFERROR(__xludf.DUMMYFUNCTION("INDIRECT(""'收支紀錄'!I""&amp;TO_TEXT(ROW()-$C$72))"),"")</f>
        <v/>
      </c>
      <c r="J78" s="61" t="str">
        <f>IFERROR(__xludf.DUMMYFUNCTION("INDIRECT(""'收支紀錄'!J""&amp;TO_TEXT(ROW()-$C$72))"),"")</f>
        <v/>
      </c>
      <c r="K78" s="61" t="str">
        <f>IFERROR(__xludf.DUMMYFUNCTION("INDIRECT(""'收支紀錄'!K""&amp;TO_TEXT(ROW()-$C$72))"),"")</f>
        <v/>
      </c>
      <c r="L78" s="61" t="str">
        <f>IFERROR(__xludf.DUMMYFUNCTION("INDIRECT(""'收支紀錄'!L""&amp;TO_TEXT(ROW()-$C$72))"),"")</f>
        <v/>
      </c>
      <c r="M78" s="61" t="str">
        <f>IFERROR(__xludf.DUMMYFUNCTION("INDIRECT(""'收支紀錄'!M""&amp;TO_TEXT(ROW()-$C$72))"),"運動健身")</f>
        <v>運動健身</v>
      </c>
      <c r="N78" s="61" t="str">
        <f>IFERROR(__xludf.DUMMYFUNCTION("INDIRECT(""'收支紀錄'!N""&amp;TO_TEXT(ROW()-$C$72))"),"")</f>
        <v/>
      </c>
      <c r="O78" s="61" t="str">
        <f>IFERROR(__xludf.DUMMYFUNCTION("INDIRECT(""'收支紀錄'!O""&amp;TO_TEXT(ROW()-$C$72))"),"")</f>
        <v/>
      </c>
      <c r="P78" s="61" t="str">
        <f>IFERROR(__xludf.DUMMYFUNCTION("INDIRECT(""'收支紀錄'!P""&amp;TO_TEXT(ROW()-$C$72))"),"")</f>
        <v/>
      </c>
      <c r="Q78" s="61" t="str">
        <f>IFERROR(__xludf.DUMMYFUNCTION("INDIRECT(""'收支紀錄'!Q""&amp;TO_TEXT(ROW()-$C$72))"),"")</f>
        <v/>
      </c>
      <c r="R78" s="61" t="str">
        <f>IFERROR(__xludf.DUMMYFUNCTION("INDIRECT(""'收支紀錄'!R""&amp;TO_TEXT(ROW()-$C$72))"),"")</f>
        <v/>
      </c>
      <c r="S78" s="61" t="str">
        <f>IFERROR(__xludf.DUMMYFUNCTION("INDIRECT(""'收支紀錄'!S""&amp;TO_TEXT(ROW()-$C$72))"),"")</f>
        <v/>
      </c>
      <c r="T78" s="61" t="str">
        <f>IFERROR(__xludf.DUMMYFUNCTION("INDIRECT(""'收支紀錄'!T""&amp;TO_TEXT(ROW()-$C$72))"),"")</f>
        <v/>
      </c>
      <c r="U78" s="62" t="str">
        <f>IFERROR(__xludf.DUMMYFUNCTION("IF(T78=""是"",TEXTJOIN("""", TRUE, ""$"", TO_TEXT(C78), S78),"""")"),"")</f>
        <v/>
      </c>
      <c r="V78" s="13" t="str">
        <f>IFERROR(__xludf.DUMMYFUNCTION("IF(T78=""是"",TEXTJOIN("""", TRUE, ""$"", TO_TEXT(D78), S78),"""")"),"")</f>
        <v/>
      </c>
      <c r="W78" s="13"/>
      <c r="X78" s="13"/>
      <c r="Y78" s="13"/>
      <c r="Z78" s="13"/>
      <c r="AA78" s="13"/>
    </row>
    <row r="79">
      <c r="A79" s="58">
        <f>IFERROR(__xludf.DUMMYFUNCTION("INDIRECT(""'收支紀錄'!A""&amp;TO_TEXT(ROW()-$C$72))"),45487.513733125)</f>
        <v>45487.51373</v>
      </c>
      <c r="B79" s="59">
        <f>IFERROR(__xludf.DUMMYFUNCTION("IF(ISBLANK(D79), """", IF(ISDATE(D79), D79, IF(D79=""今天"", A79, IF(D79=""昨天 (-1 day)"", A79-1, IF(D79=""前天 (-2 days)"", A79-2, IF(D79=""明天 (+1 day)"", A79+1, DATE(LEFT(D79,4), MID(D79,5,2), RIGHT(D79,2))))))))"),45487.0)</f>
        <v>45487</v>
      </c>
      <c r="C79" s="60">
        <f>IFERROR(__xludf.DUMMYFUNCTION("INDIRECT(""'收支紀錄'!C""&amp;TO_TEXT(ROW()-$C$72))"),60.0)</f>
        <v>60</v>
      </c>
      <c r="D79" s="59">
        <f>IFERROR(__xludf.DUMMYFUNCTION("INDIRECT(""'收支紀錄'!D""&amp;TO_TEXT(ROW()-$C$72))"),45487.0)</f>
        <v>45487</v>
      </c>
      <c r="E79" s="61" t="str">
        <f>IFERROR(__xludf.DUMMYFUNCTION("INDIRECT(""'收支紀錄'!E""&amp;TO_TEXT(ROW()-$C$72))"),"")</f>
        <v/>
      </c>
      <c r="F79" s="61" t="str">
        <f>IFERROR(__xludf.DUMMYFUNCTION("INDIRECT(""'收支紀錄'!F""&amp;TO_TEXT(ROW()-$C$72))"),"")</f>
        <v/>
      </c>
      <c r="G79" s="61" t="str">
        <f>IFERROR(__xludf.DUMMYFUNCTION("INDIRECT(""'收支紀錄'!G""&amp;TO_TEXT(ROW()-$C$72))"),"")</f>
        <v/>
      </c>
      <c r="H79" s="61" t="str">
        <f>IFERROR(__xludf.DUMMYFUNCTION("INDIRECT(""'收支紀錄'!H""&amp;TO_TEXT(ROW()-$C$72))"),"日常生活")</f>
        <v>日常生活</v>
      </c>
      <c r="I79" s="61" t="str">
        <f>IFERROR(__xludf.DUMMYFUNCTION("INDIRECT(""'收支紀錄'!I""&amp;TO_TEXT(ROW()-$C$72))"),"")</f>
        <v/>
      </c>
      <c r="J79" s="61" t="str">
        <f>IFERROR(__xludf.DUMMYFUNCTION("INDIRECT(""'收支紀錄'!J""&amp;TO_TEXT(ROW()-$C$72))"),"日常用品")</f>
        <v>日常用品</v>
      </c>
      <c r="K79" s="61" t="str">
        <f>IFERROR(__xludf.DUMMYFUNCTION("INDIRECT(""'收支紀錄'!K""&amp;TO_TEXT(ROW()-$C$72))"),"")</f>
        <v/>
      </c>
      <c r="L79" s="61" t="str">
        <f>IFERROR(__xludf.DUMMYFUNCTION("INDIRECT(""'收支紀錄'!L""&amp;TO_TEXT(ROW()-$C$72))"),"")</f>
        <v/>
      </c>
      <c r="M79" s="61" t="str">
        <f>IFERROR(__xludf.DUMMYFUNCTION("INDIRECT(""'收支紀錄'!M""&amp;TO_TEXT(ROW()-$C$72))"),"")</f>
        <v/>
      </c>
      <c r="N79" s="61" t="str">
        <f>IFERROR(__xludf.DUMMYFUNCTION("INDIRECT(""'收支紀錄'!N""&amp;TO_TEXT(ROW()-$C$72))"),"")</f>
        <v/>
      </c>
      <c r="O79" s="61" t="str">
        <f>IFERROR(__xludf.DUMMYFUNCTION("INDIRECT(""'收支紀錄'!O""&amp;TO_TEXT(ROW()-$C$72))"),"")</f>
        <v/>
      </c>
      <c r="P79" s="61" t="str">
        <f>IFERROR(__xludf.DUMMYFUNCTION("INDIRECT(""'收支紀錄'!P""&amp;TO_TEXT(ROW()-$C$72))"),"")</f>
        <v/>
      </c>
      <c r="Q79" s="61" t="str">
        <f>IFERROR(__xludf.DUMMYFUNCTION("INDIRECT(""'收支紀錄'!Q""&amp;TO_TEXT(ROW()-$C$72))"),"")</f>
        <v/>
      </c>
      <c r="R79" s="61" t="str">
        <f>IFERROR(__xludf.DUMMYFUNCTION("INDIRECT(""'收支紀錄'!R""&amp;TO_TEXT(ROW()-$C$72))"),"")</f>
        <v/>
      </c>
      <c r="S79" s="61" t="str">
        <f>IFERROR(__xludf.DUMMYFUNCTION("INDIRECT(""'收支紀錄'!S""&amp;TO_TEXT(ROW()-$C$72))"),"")</f>
        <v/>
      </c>
      <c r="T79" s="61" t="str">
        <f>IFERROR(__xludf.DUMMYFUNCTION("INDIRECT(""'收支紀錄'!T""&amp;TO_TEXT(ROW()-$C$72))"),"")</f>
        <v/>
      </c>
      <c r="U79" s="62" t="str">
        <f>IFERROR(__xludf.DUMMYFUNCTION("IF(T79=""是"",TEXTJOIN("""", TRUE, ""$"", TO_TEXT(C79), S79),"""")"),"")</f>
        <v/>
      </c>
      <c r="V79" s="13"/>
      <c r="W79" s="13"/>
      <c r="X79" s="13"/>
      <c r="Y79" s="13"/>
      <c r="Z79" s="13"/>
      <c r="AA79" s="13"/>
    </row>
    <row r="80">
      <c r="A80" s="58">
        <f>IFERROR(__xludf.DUMMYFUNCTION("INDIRECT(""'收支紀錄'!A""&amp;TO_TEXT(ROW()-$C$72))"),45487.51392228009)</f>
        <v>45487.51392</v>
      </c>
      <c r="B80" s="59">
        <f>IFERROR(__xludf.DUMMYFUNCTION("IF(ISBLANK(D80), """", IF(ISDATE(D80), D80, IF(D80=""今天"", A80, IF(D80=""昨天 (-1 day)"", A80-1, IF(D80=""前天 (-2 days)"", A80-2, IF(D80=""明天 (+1 day)"", A80+1, DATE(LEFT(D80,4), MID(D80,5,2), RIGHT(D80,2))))))))"),45487.0)</f>
        <v>45487</v>
      </c>
      <c r="C80" s="60">
        <f>IFERROR(__xludf.DUMMYFUNCTION("INDIRECT(""'收支紀錄'!C""&amp;TO_TEXT(ROW()-$C$72))"),77.0)</f>
        <v>77</v>
      </c>
      <c r="D80" s="59">
        <f>IFERROR(__xludf.DUMMYFUNCTION("INDIRECT(""'收支紀錄'!D""&amp;TO_TEXT(ROW()-$C$72))"),45487.0)</f>
        <v>45487</v>
      </c>
      <c r="E80" s="61" t="str">
        <f>IFERROR(__xludf.DUMMYFUNCTION("INDIRECT(""'收支紀錄'!E""&amp;TO_TEXT(ROW()-$C$72))"),"")</f>
        <v/>
      </c>
      <c r="F80" s="61" t="str">
        <f>IFERROR(__xludf.DUMMYFUNCTION("INDIRECT(""'收支紀錄'!F""&amp;TO_TEXT(ROW()-$C$72))"),"")</f>
        <v/>
      </c>
      <c r="G80" s="61" t="str">
        <f>IFERROR(__xludf.DUMMYFUNCTION("INDIRECT(""'收支紀錄'!G""&amp;TO_TEXT(ROW()-$C$72))"),"")</f>
        <v/>
      </c>
      <c r="H80" s="61" t="str">
        <f>IFERROR(__xludf.DUMMYFUNCTION("INDIRECT(""'收支紀錄'!H""&amp;TO_TEXT(ROW()-$C$72))"),"行車交通")</f>
        <v>行車交通</v>
      </c>
      <c r="I80" s="61" t="str">
        <f>IFERROR(__xludf.DUMMYFUNCTION("INDIRECT(""'收支紀錄'!I""&amp;TO_TEXT(ROW()-$C$72))"),"")</f>
        <v/>
      </c>
      <c r="J80" s="61" t="str">
        <f>IFERROR(__xludf.DUMMYFUNCTION("INDIRECT(""'收支紀錄'!J""&amp;TO_TEXT(ROW()-$C$72))"),"")</f>
        <v/>
      </c>
      <c r="K80" s="61" t="str">
        <f>IFERROR(__xludf.DUMMYFUNCTION("INDIRECT(""'收支紀錄'!K""&amp;TO_TEXT(ROW()-$C$72))"),"")</f>
        <v/>
      </c>
      <c r="L80" s="61" t="str">
        <f>IFERROR(__xludf.DUMMYFUNCTION("INDIRECT(""'收支紀錄'!L""&amp;TO_TEXT(ROW()-$C$72))"),"火車費")</f>
        <v>火車費</v>
      </c>
      <c r="M80" s="61" t="str">
        <f>IFERROR(__xludf.DUMMYFUNCTION("INDIRECT(""'收支紀錄'!M""&amp;TO_TEXT(ROW()-$C$72))"),"")</f>
        <v/>
      </c>
      <c r="N80" s="61" t="str">
        <f>IFERROR(__xludf.DUMMYFUNCTION("INDIRECT(""'收支紀錄'!N""&amp;TO_TEXT(ROW()-$C$72))"),"")</f>
        <v/>
      </c>
      <c r="O80" s="61" t="str">
        <f>IFERROR(__xludf.DUMMYFUNCTION("INDIRECT(""'收支紀錄'!O""&amp;TO_TEXT(ROW()-$C$72))"),"")</f>
        <v/>
      </c>
      <c r="P80" s="61" t="str">
        <f>IFERROR(__xludf.DUMMYFUNCTION("INDIRECT(""'收支紀錄'!P""&amp;TO_TEXT(ROW()-$C$72))"),"")</f>
        <v/>
      </c>
      <c r="Q80" s="61" t="str">
        <f>IFERROR(__xludf.DUMMYFUNCTION("INDIRECT(""'收支紀錄'!Q""&amp;TO_TEXT(ROW()-$C$72))"),"")</f>
        <v/>
      </c>
      <c r="R80" s="61" t="str">
        <f>IFERROR(__xludf.DUMMYFUNCTION("INDIRECT(""'收支紀錄'!R""&amp;TO_TEXT(ROW()-$C$72))"),"")</f>
        <v/>
      </c>
      <c r="S80" s="61" t="str">
        <f>IFERROR(__xludf.DUMMYFUNCTION("INDIRECT(""'收支紀錄'!S""&amp;TO_TEXT(ROW()-$C$72))"),"")</f>
        <v/>
      </c>
      <c r="T80" s="61" t="str">
        <f>IFERROR(__xludf.DUMMYFUNCTION("INDIRECT(""'收支紀錄'!T""&amp;TO_TEXT(ROW()-$C$72))"),"")</f>
        <v/>
      </c>
      <c r="U80" s="62" t="str">
        <f>IFERROR(__xludf.DUMMYFUNCTION("IF(T80=""是"",TEXTJOIN("""", TRUE, ""$"", TO_TEXT(C80), S80),"""")"),"")</f>
        <v/>
      </c>
    </row>
    <row r="81">
      <c r="A81" s="58">
        <f>IFERROR(__xludf.DUMMYFUNCTION("INDIRECT(""'收支紀錄'!A""&amp;TO_TEXT(ROW()-$C$72))"),45487.51412695602)</f>
        <v>45487.51413</v>
      </c>
      <c r="B81" s="59">
        <f>IFERROR(__xludf.DUMMYFUNCTION("IF(ISBLANK(D81), """", IF(ISDATE(D81), D81, IF(D81=""今天"", A81, IF(D81=""昨天 (-1 day)"", A81-1, IF(D81=""前天 (-2 days)"", A81-2, IF(D81=""明天 (+1 day)"", A81+1, DATE(LEFT(D81,4), MID(D81,5,2), RIGHT(D81,2))))))))"),45487.0)</f>
        <v>45487</v>
      </c>
      <c r="C81" s="60">
        <f>IFERROR(__xludf.DUMMYFUNCTION("INDIRECT(""'收支紀錄'!C""&amp;TO_TEXT(ROW()-$C$72))"),380.0)</f>
        <v>380</v>
      </c>
      <c r="D81" s="59">
        <f>IFERROR(__xludf.DUMMYFUNCTION("INDIRECT(""'收支紀錄'!D""&amp;TO_TEXT(ROW()-$C$72))"),45487.0)</f>
        <v>45487</v>
      </c>
      <c r="E81" s="61" t="str">
        <f>IFERROR(__xludf.DUMMYFUNCTION("INDIRECT(""'收支紀錄'!E""&amp;TO_TEXT(ROW()-$C$72))"),"")</f>
        <v/>
      </c>
      <c r="F81" s="61" t="str">
        <f>IFERROR(__xludf.DUMMYFUNCTION("INDIRECT(""'收支紀錄'!F""&amp;TO_TEXT(ROW()-$C$72))"),"")</f>
        <v/>
      </c>
      <c r="G81" s="61" t="str">
        <f>IFERROR(__xludf.DUMMYFUNCTION("INDIRECT(""'收支紀錄'!G""&amp;TO_TEXT(ROW()-$C$72))"),"")</f>
        <v/>
      </c>
      <c r="H81" s="61" t="str">
        <f>IFERROR(__xludf.DUMMYFUNCTION("INDIRECT(""'收支紀錄'!H""&amp;TO_TEXT(ROW()-$C$72))"),"食品酒水")</f>
        <v>食品酒水</v>
      </c>
      <c r="I81" s="61" t="str">
        <f>IFERROR(__xludf.DUMMYFUNCTION("INDIRECT(""'收支紀錄'!I""&amp;TO_TEXT(ROW()-$C$72))"),"早餐")</f>
        <v>早餐</v>
      </c>
      <c r="J81" s="61" t="str">
        <f>IFERROR(__xludf.DUMMYFUNCTION("INDIRECT(""'收支紀錄'!J""&amp;TO_TEXT(ROW()-$C$72))"),"")</f>
        <v/>
      </c>
      <c r="K81" s="61" t="str">
        <f>IFERROR(__xludf.DUMMYFUNCTION("INDIRECT(""'收支紀錄'!K""&amp;TO_TEXT(ROW()-$C$72))"),"")</f>
        <v/>
      </c>
      <c r="L81" s="61" t="str">
        <f>IFERROR(__xludf.DUMMYFUNCTION("INDIRECT(""'收支紀錄'!L""&amp;TO_TEXT(ROW()-$C$72))"),"")</f>
        <v/>
      </c>
      <c r="M81" s="61" t="str">
        <f>IFERROR(__xludf.DUMMYFUNCTION("INDIRECT(""'收支紀錄'!M""&amp;TO_TEXT(ROW()-$C$72))"),"")</f>
        <v/>
      </c>
      <c r="N81" s="61" t="str">
        <f>IFERROR(__xludf.DUMMYFUNCTION("INDIRECT(""'收支紀錄'!N""&amp;TO_TEXT(ROW()-$C$72))"),"")</f>
        <v/>
      </c>
      <c r="O81" s="61" t="str">
        <f>IFERROR(__xludf.DUMMYFUNCTION("INDIRECT(""'收支紀錄'!O""&amp;TO_TEXT(ROW()-$C$72))"),"")</f>
        <v/>
      </c>
      <c r="P81" s="61" t="str">
        <f>IFERROR(__xludf.DUMMYFUNCTION("INDIRECT(""'收支紀錄'!P""&amp;TO_TEXT(ROW()-$C$72))"),"")</f>
        <v/>
      </c>
      <c r="Q81" s="61" t="str">
        <f>IFERROR(__xludf.DUMMYFUNCTION("INDIRECT(""'收支紀錄'!Q""&amp;TO_TEXT(ROW()-$C$72))"),"")</f>
        <v/>
      </c>
      <c r="R81" s="61" t="str">
        <f>IFERROR(__xludf.DUMMYFUNCTION("INDIRECT(""'收支紀錄'!R""&amp;TO_TEXT(ROW()-$C$72))"),"")</f>
        <v/>
      </c>
      <c r="S81" s="61" t="str">
        <f>IFERROR(__xludf.DUMMYFUNCTION("INDIRECT(""'收支紀錄'!S""&amp;TO_TEXT(ROW()-$C$72))"),"")</f>
        <v/>
      </c>
      <c r="T81" s="61" t="str">
        <f>IFERROR(__xludf.DUMMYFUNCTION("INDIRECT(""'收支紀錄'!T""&amp;TO_TEXT(ROW()-$C$72))"),"")</f>
        <v/>
      </c>
      <c r="U81" s="62" t="str">
        <f>IFERROR(__xludf.DUMMYFUNCTION("IF(T81=""是"",TEXTJOIN("""", TRUE, ""$"", TO_TEXT(C81), S81),"""")"),"")</f>
        <v/>
      </c>
    </row>
    <row r="82">
      <c r="A82" s="58">
        <f>IFERROR(__xludf.DUMMYFUNCTION("INDIRECT(""'收支紀錄'!A""&amp;TO_TEXT(ROW()-$C$72))"),45487.51453959491)</f>
        <v>45487.51454</v>
      </c>
      <c r="B82" s="59">
        <f>IFERROR(__xludf.DUMMYFUNCTION("IF(ISBLANK(D82), """", IF(ISDATE(D82), D82, IF(D82=""今天"", A82, IF(D82=""昨天 (-1 day)"", A82-1, IF(D82=""前天 (-2 days)"", A82-2, IF(D82=""明天 (+1 day)"", A82+1, DATE(LEFT(D82,4), MID(D82,5,2), RIGHT(D82,2))))))))"),45487.0)</f>
        <v>45487</v>
      </c>
      <c r="C82" s="60">
        <f>IFERROR(__xludf.DUMMYFUNCTION("INDIRECT(""'收支紀錄'!C""&amp;TO_TEXT(ROW()-$C$72))"),510.0)</f>
        <v>510</v>
      </c>
      <c r="D82" s="59">
        <f>IFERROR(__xludf.DUMMYFUNCTION("INDIRECT(""'收支紀錄'!D""&amp;TO_TEXT(ROW()-$C$72))"),45487.0)</f>
        <v>45487</v>
      </c>
      <c r="E82" s="61" t="str">
        <f>IFERROR(__xludf.DUMMYFUNCTION("INDIRECT(""'收支紀錄'!E""&amp;TO_TEXT(ROW()-$C$72))"),"")</f>
        <v/>
      </c>
      <c r="F82" s="61" t="str">
        <f>IFERROR(__xludf.DUMMYFUNCTION("INDIRECT(""'收支紀錄'!F""&amp;TO_TEXT(ROW()-$C$72))"),"")</f>
        <v/>
      </c>
      <c r="G82" s="61" t="str">
        <f>IFERROR(__xludf.DUMMYFUNCTION("INDIRECT(""'收支紀錄'!G""&amp;TO_TEXT(ROW()-$C$72))"),"")</f>
        <v/>
      </c>
      <c r="H82" s="61" t="str">
        <f>IFERROR(__xludf.DUMMYFUNCTION("INDIRECT(""'收支紀錄'!H""&amp;TO_TEXT(ROW()-$C$72))"),"食品酒水")</f>
        <v>食品酒水</v>
      </c>
      <c r="I82" s="61" t="str">
        <f>IFERROR(__xludf.DUMMYFUNCTION("INDIRECT(""'收支紀錄'!I""&amp;TO_TEXT(ROW()-$C$72))"),"晚餐")</f>
        <v>晚餐</v>
      </c>
      <c r="J82" s="61" t="str">
        <f>IFERROR(__xludf.DUMMYFUNCTION("INDIRECT(""'收支紀錄'!J""&amp;TO_TEXT(ROW()-$C$72))"),"")</f>
        <v/>
      </c>
      <c r="K82" s="61" t="str">
        <f>IFERROR(__xludf.DUMMYFUNCTION("INDIRECT(""'收支紀錄'!K""&amp;TO_TEXT(ROW()-$C$72))"),"")</f>
        <v/>
      </c>
      <c r="L82" s="61" t="str">
        <f>IFERROR(__xludf.DUMMYFUNCTION("INDIRECT(""'收支紀錄'!L""&amp;TO_TEXT(ROW()-$C$72))"),"")</f>
        <v/>
      </c>
      <c r="M82" s="61" t="str">
        <f>IFERROR(__xludf.DUMMYFUNCTION("INDIRECT(""'收支紀錄'!M""&amp;TO_TEXT(ROW()-$C$72))"),"")</f>
        <v/>
      </c>
      <c r="N82" s="61" t="str">
        <f>IFERROR(__xludf.DUMMYFUNCTION("INDIRECT(""'收支紀錄'!N""&amp;TO_TEXT(ROW()-$C$72))"),"")</f>
        <v/>
      </c>
      <c r="O82" s="61" t="str">
        <f>IFERROR(__xludf.DUMMYFUNCTION("INDIRECT(""'收支紀錄'!O""&amp;TO_TEXT(ROW()-$C$72))"),"")</f>
        <v/>
      </c>
      <c r="P82" s="61" t="str">
        <f>IFERROR(__xludf.DUMMYFUNCTION("INDIRECT(""'收支紀錄'!P""&amp;TO_TEXT(ROW()-$C$72))"),"")</f>
        <v/>
      </c>
      <c r="Q82" s="61" t="str">
        <f>IFERROR(__xludf.DUMMYFUNCTION("INDIRECT(""'收支紀錄'!Q""&amp;TO_TEXT(ROW()-$C$72))"),"")</f>
        <v/>
      </c>
      <c r="R82" s="61" t="str">
        <f>IFERROR(__xludf.DUMMYFUNCTION("INDIRECT(""'收支紀錄'!R""&amp;TO_TEXT(ROW()-$C$72))"),"")</f>
        <v/>
      </c>
      <c r="S82" s="61" t="str">
        <f>IFERROR(__xludf.DUMMYFUNCTION("INDIRECT(""'收支紀錄'!S""&amp;TO_TEXT(ROW()-$C$72))"),"")</f>
        <v/>
      </c>
      <c r="T82" s="61" t="str">
        <f>IFERROR(__xludf.DUMMYFUNCTION("INDIRECT(""'收支紀錄'!T""&amp;TO_TEXT(ROW()-$C$72))"),"")</f>
        <v/>
      </c>
      <c r="U82" s="62" t="str">
        <f>IFERROR(__xludf.DUMMYFUNCTION("IF(T82=""是"",TEXTJOIN("""", TRUE, ""$"", TO_TEXT(C82), S82),"""")"),"")</f>
        <v/>
      </c>
      <c r="V82" s="13"/>
      <c r="W82" s="13"/>
      <c r="X82" s="13"/>
      <c r="Y82" s="13"/>
      <c r="Z82" s="13"/>
      <c r="AA82" s="13"/>
    </row>
    <row r="83">
      <c r="A83" s="58">
        <f>IFERROR(__xludf.DUMMYFUNCTION("INDIRECT(""'收支紀錄'!A""&amp;TO_TEXT(ROW()-$C$72))"),45487.51480895834)</f>
        <v>45487.51481</v>
      </c>
      <c r="B83" s="59">
        <f>IFERROR(__xludf.DUMMYFUNCTION("IF(ISBLANK(D83), """", IF(ISDATE(D83), D83, IF(D83=""今天"", A83, IF(D83=""昨天 (-1 day)"", A83-1, IF(D83=""前天 (-2 days)"", A83-2, IF(D83=""明天 (+1 day)"", A83+1, DATE(LEFT(D83,4), MID(D83,5,2), RIGHT(D83,2))))))))"),45487.0)</f>
        <v>45487</v>
      </c>
      <c r="C83" s="60">
        <f>IFERROR(__xludf.DUMMYFUNCTION("INDIRECT(""'收支紀錄'!C""&amp;TO_TEXT(ROW()-$C$72))"),359.0)</f>
        <v>359</v>
      </c>
      <c r="D83" s="59">
        <f>IFERROR(__xludf.DUMMYFUNCTION("INDIRECT(""'收支紀錄'!D""&amp;TO_TEXT(ROW()-$C$72))"),45487.0)</f>
        <v>45487</v>
      </c>
      <c r="E83" s="61" t="str">
        <f>IFERROR(__xludf.DUMMYFUNCTION("INDIRECT(""'收支紀錄'!E""&amp;TO_TEXT(ROW()-$C$72))"),"")</f>
        <v/>
      </c>
      <c r="F83" s="61" t="str">
        <f>IFERROR(__xludf.DUMMYFUNCTION("INDIRECT(""'收支紀錄'!F""&amp;TO_TEXT(ROW()-$C$72))"),"")</f>
        <v/>
      </c>
      <c r="G83" s="61" t="str">
        <f>IFERROR(__xludf.DUMMYFUNCTION("INDIRECT(""'收支紀錄'!G""&amp;TO_TEXT(ROW()-$C$72))"),"")</f>
        <v/>
      </c>
      <c r="H83" s="61" t="str">
        <f>IFERROR(__xludf.DUMMYFUNCTION("INDIRECT(""'收支紀錄'!H""&amp;TO_TEXT(ROW()-$C$72))"),"日常生活")</f>
        <v>日常生活</v>
      </c>
      <c r="I83" s="61" t="str">
        <f>IFERROR(__xludf.DUMMYFUNCTION("INDIRECT(""'收支紀錄'!I""&amp;TO_TEXT(ROW()-$C$72))"),"")</f>
        <v/>
      </c>
      <c r="J83" s="61" t="str">
        <f>IFERROR(__xludf.DUMMYFUNCTION("INDIRECT(""'收支紀錄'!J""&amp;TO_TEXT(ROW()-$C$72))"),"日常用品")</f>
        <v>日常用品</v>
      </c>
      <c r="K83" s="61" t="str">
        <f>IFERROR(__xludf.DUMMYFUNCTION("INDIRECT(""'收支紀錄'!K""&amp;TO_TEXT(ROW()-$C$72))"),"")</f>
        <v/>
      </c>
      <c r="L83" s="61" t="str">
        <f>IFERROR(__xludf.DUMMYFUNCTION("INDIRECT(""'收支紀錄'!L""&amp;TO_TEXT(ROW()-$C$72))"),"")</f>
        <v/>
      </c>
      <c r="M83" s="61" t="str">
        <f>IFERROR(__xludf.DUMMYFUNCTION("INDIRECT(""'收支紀錄'!M""&amp;TO_TEXT(ROW()-$C$72))"),"")</f>
        <v/>
      </c>
      <c r="N83" s="61" t="str">
        <f>IFERROR(__xludf.DUMMYFUNCTION("INDIRECT(""'收支紀錄'!N""&amp;TO_TEXT(ROW()-$C$72))"),"")</f>
        <v/>
      </c>
      <c r="O83" s="61" t="str">
        <f>IFERROR(__xludf.DUMMYFUNCTION("INDIRECT(""'收支紀錄'!O""&amp;TO_TEXT(ROW()-$C$72))"),"")</f>
        <v/>
      </c>
      <c r="P83" s="61" t="str">
        <f>IFERROR(__xludf.DUMMYFUNCTION("INDIRECT(""'收支紀錄'!P""&amp;TO_TEXT(ROW()-$C$72))"),"")</f>
        <v/>
      </c>
      <c r="Q83" s="61" t="str">
        <f>IFERROR(__xludf.DUMMYFUNCTION("INDIRECT(""'收支紀錄'!Q""&amp;TO_TEXT(ROW()-$C$72))"),"")</f>
        <v/>
      </c>
      <c r="R83" s="61" t="str">
        <f>IFERROR(__xludf.DUMMYFUNCTION("INDIRECT(""'收支紀錄'!R""&amp;TO_TEXT(ROW()-$C$72))"),"")</f>
        <v/>
      </c>
      <c r="S83" s="61" t="str">
        <f>IFERROR(__xludf.DUMMYFUNCTION("INDIRECT(""'收支紀錄'!S""&amp;TO_TEXT(ROW()-$C$72))"),"")</f>
        <v/>
      </c>
      <c r="T83" s="61" t="str">
        <f>IFERROR(__xludf.DUMMYFUNCTION("INDIRECT(""'收支紀錄'!T""&amp;TO_TEXT(ROW()-$C$72))"),"")</f>
        <v/>
      </c>
      <c r="U83" s="62" t="str">
        <f>IFERROR(__xludf.DUMMYFUNCTION("IF(T83=""是"",TEXTJOIN("""", TRUE, ""$"", TO_TEXT(C83), S83),"""")"),"")</f>
        <v/>
      </c>
      <c r="V83" s="13"/>
      <c r="W83" s="13"/>
      <c r="X83" s="13"/>
      <c r="Y83" s="13"/>
      <c r="Z83" s="13"/>
      <c r="AA83" s="13"/>
    </row>
    <row r="84">
      <c r="A84" s="58">
        <f>IFERROR(__xludf.DUMMYFUNCTION("INDIRECT(""'收支紀錄'!A""&amp;TO_TEXT(ROW()-$C$72))"),45487.51497402778)</f>
        <v>45487.51497</v>
      </c>
      <c r="B84" s="59">
        <f>IFERROR(__xludf.DUMMYFUNCTION("IF(ISBLANK(D84), """", IF(ISDATE(D84), D84, IF(D84=""今天"", A84, IF(D84=""昨天 (-1 day)"", A84-1, IF(D84=""前天 (-2 days)"", A84-2, IF(D84=""明天 (+1 day)"", A84+1, DATE(LEFT(D84,4), MID(D84,5,2), RIGHT(D84,2))))))))"),45487.0)</f>
        <v>45487</v>
      </c>
      <c r="C84" s="60">
        <f>IFERROR(__xludf.DUMMYFUNCTION("INDIRECT(""'收支紀錄'!C""&amp;TO_TEXT(ROW()-$C$72))"),233.0)</f>
        <v>233</v>
      </c>
      <c r="D84" s="59">
        <f>IFERROR(__xludf.DUMMYFUNCTION("INDIRECT(""'收支紀錄'!D""&amp;TO_TEXT(ROW()-$C$72))"),45487.0)</f>
        <v>45487</v>
      </c>
      <c r="E84" s="61" t="str">
        <f>IFERROR(__xludf.DUMMYFUNCTION("INDIRECT(""'收支紀錄'!E""&amp;TO_TEXT(ROW()-$C$72))"),"")</f>
        <v/>
      </c>
      <c r="F84" s="61" t="str">
        <f>IFERROR(__xludf.DUMMYFUNCTION("INDIRECT(""'收支紀錄'!F""&amp;TO_TEXT(ROW()-$C$72))"),"")</f>
        <v/>
      </c>
      <c r="G84" s="61" t="str">
        <f>IFERROR(__xludf.DUMMYFUNCTION("INDIRECT(""'收支紀錄'!G""&amp;TO_TEXT(ROW()-$C$72))"),"")</f>
        <v/>
      </c>
      <c r="H84" s="61" t="str">
        <f>IFERROR(__xludf.DUMMYFUNCTION("INDIRECT(""'收支紀錄'!H""&amp;TO_TEXT(ROW()-$C$72))"),"日常生活")</f>
        <v>日常生活</v>
      </c>
      <c r="I84" s="61" t="str">
        <f>IFERROR(__xludf.DUMMYFUNCTION("INDIRECT(""'收支紀錄'!I""&amp;TO_TEXT(ROW()-$C$72))"),"")</f>
        <v/>
      </c>
      <c r="J84" s="61" t="str">
        <f>IFERROR(__xludf.DUMMYFUNCTION("INDIRECT(""'收支紀錄'!J""&amp;TO_TEXT(ROW()-$C$72))"),"日常用品")</f>
        <v>日常用品</v>
      </c>
      <c r="K84" s="61" t="str">
        <f>IFERROR(__xludf.DUMMYFUNCTION("INDIRECT(""'收支紀錄'!K""&amp;TO_TEXT(ROW()-$C$72))"),"")</f>
        <v/>
      </c>
      <c r="L84" s="61" t="str">
        <f>IFERROR(__xludf.DUMMYFUNCTION("INDIRECT(""'收支紀錄'!L""&amp;TO_TEXT(ROW()-$C$72))"),"")</f>
        <v/>
      </c>
      <c r="M84" s="61" t="str">
        <f>IFERROR(__xludf.DUMMYFUNCTION("INDIRECT(""'收支紀錄'!M""&amp;TO_TEXT(ROW()-$C$72))"),"")</f>
        <v/>
      </c>
      <c r="N84" s="61" t="str">
        <f>IFERROR(__xludf.DUMMYFUNCTION("INDIRECT(""'收支紀錄'!N""&amp;TO_TEXT(ROW()-$C$72))"),"")</f>
        <v/>
      </c>
      <c r="O84" s="61" t="str">
        <f>IFERROR(__xludf.DUMMYFUNCTION("INDIRECT(""'收支紀錄'!O""&amp;TO_TEXT(ROW()-$C$72))"),"")</f>
        <v/>
      </c>
      <c r="P84" s="61" t="str">
        <f>IFERROR(__xludf.DUMMYFUNCTION("INDIRECT(""'收支紀錄'!P""&amp;TO_TEXT(ROW()-$C$72))"),"")</f>
        <v/>
      </c>
      <c r="Q84" s="61" t="str">
        <f>IFERROR(__xludf.DUMMYFUNCTION("INDIRECT(""'收支紀錄'!Q""&amp;TO_TEXT(ROW()-$C$72))"),"")</f>
        <v/>
      </c>
      <c r="R84" s="61" t="str">
        <f>IFERROR(__xludf.DUMMYFUNCTION("INDIRECT(""'收支紀錄'!R""&amp;TO_TEXT(ROW()-$C$72))"),"")</f>
        <v/>
      </c>
      <c r="S84" s="61" t="str">
        <f>IFERROR(__xludf.DUMMYFUNCTION("INDIRECT(""'收支紀錄'!S""&amp;TO_TEXT(ROW()-$C$72))"),"")</f>
        <v/>
      </c>
      <c r="T84" s="61" t="str">
        <f>IFERROR(__xludf.DUMMYFUNCTION("INDIRECT(""'收支紀錄'!T""&amp;TO_TEXT(ROW()-$C$72))"),"")</f>
        <v/>
      </c>
      <c r="U84" s="62" t="str">
        <f>IFERROR(__xludf.DUMMYFUNCTION("IF(T84=""是"",TEXTJOIN("""", TRUE, ""$"", TO_TEXT(C84), S84),"""")"),"")</f>
        <v/>
      </c>
      <c r="V84" s="13"/>
      <c r="W84" s="13"/>
      <c r="X84" s="13"/>
      <c r="Y84" s="13"/>
      <c r="Z84" s="13"/>
      <c r="AA84" s="13"/>
    </row>
    <row r="85">
      <c r="A85" s="58">
        <f>IFERROR(__xludf.DUMMYFUNCTION("INDIRECT(""'收支紀錄'!A""&amp;TO_TEXT(ROW()-$C$72))"),45487.51516045139)</f>
        <v>45487.51516</v>
      </c>
      <c r="B85" s="59">
        <f>IFERROR(__xludf.DUMMYFUNCTION("IF(ISBLANK(D85), """", IF(ISDATE(D85), D85, IF(D85=""今天"", A85, IF(D85=""昨天 (-1 day)"", A85-1, IF(D85=""前天 (-2 days)"", A85-2, IF(D85=""明天 (+1 day)"", A85+1, DATE(LEFT(D85,4), MID(D85,5,2), RIGHT(D85,2))))))))"),45487.0)</f>
        <v>45487</v>
      </c>
      <c r="C85" s="60">
        <f>IFERROR(__xludf.DUMMYFUNCTION("INDIRECT(""'收支紀錄'!C""&amp;TO_TEXT(ROW()-$C$72))"),20.0)</f>
        <v>20</v>
      </c>
      <c r="D85" s="59">
        <f>IFERROR(__xludf.DUMMYFUNCTION("INDIRECT(""'收支紀錄'!D""&amp;TO_TEXT(ROW()-$C$72))"),45487.0)</f>
        <v>45487</v>
      </c>
      <c r="E85" s="61" t="str">
        <f>IFERROR(__xludf.DUMMYFUNCTION("INDIRECT(""'收支紀錄'!E""&amp;TO_TEXT(ROW()-$C$72))"),"")</f>
        <v/>
      </c>
      <c r="F85" s="61" t="str">
        <f>IFERROR(__xludf.DUMMYFUNCTION("INDIRECT(""'收支紀錄'!F""&amp;TO_TEXT(ROW()-$C$72))"),"")</f>
        <v/>
      </c>
      <c r="G85" s="61" t="str">
        <f>IFERROR(__xludf.DUMMYFUNCTION("INDIRECT(""'收支紀錄'!G""&amp;TO_TEXT(ROW()-$C$72))"),"")</f>
        <v/>
      </c>
      <c r="H85" s="61" t="str">
        <f>IFERROR(__xludf.DUMMYFUNCTION("INDIRECT(""'收支紀錄'!H""&amp;TO_TEXT(ROW()-$C$72))"),"行車交通")</f>
        <v>行車交通</v>
      </c>
      <c r="I85" s="61" t="str">
        <f>IFERROR(__xludf.DUMMYFUNCTION("INDIRECT(""'收支紀錄'!I""&amp;TO_TEXT(ROW()-$C$72))"),"")</f>
        <v/>
      </c>
      <c r="J85" s="61" t="str">
        <f>IFERROR(__xludf.DUMMYFUNCTION("INDIRECT(""'收支紀錄'!J""&amp;TO_TEXT(ROW()-$C$72))"),"")</f>
        <v/>
      </c>
      <c r="K85" s="61" t="str">
        <f>IFERROR(__xludf.DUMMYFUNCTION("INDIRECT(""'收支紀錄'!K""&amp;TO_TEXT(ROW()-$C$72))"),"")</f>
        <v/>
      </c>
      <c r="L85" s="61" t="str">
        <f>IFERROR(__xludf.DUMMYFUNCTION("INDIRECT(""'收支紀錄'!L""&amp;TO_TEXT(ROW()-$C$72))"),"停車")</f>
        <v>停車</v>
      </c>
      <c r="M85" s="61" t="str">
        <f>IFERROR(__xludf.DUMMYFUNCTION("INDIRECT(""'收支紀錄'!M""&amp;TO_TEXT(ROW()-$C$72))"),"")</f>
        <v/>
      </c>
      <c r="N85" s="61" t="str">
        <f>IFERROR(__xludf.DUMMYFUNCTION("INDIRECT(""'收支紀錄'!N""&amp;TO_TEXT(ROW()-$C$72))"),"")</f>
        <v/>
      </c>
      <c r="O85" s="61" t="str">
        <f>IFERROR(__xludf.DUMMYFUNCTION("INDIRECT(""'收支紀錄'!O""&amp;TO_TEXT(ROW()-$C$72))"),"")</f>
        <v/>
      </c>
      <c r="P85" s="61" t="str">
        <f>IFERROR(__xludf.DUMMYFUNCTION("INDIRECT(""'收支紀錄'!P""&amp;TO_TEXT(ROW()-$C$72))"),"")</f>
        <v/>
      </c>
      <c r="Q85" s="61" t="str">
        <f>IFERROR(__xludf.DUMMYFUNCTION("INDIRECT(""'收支紀錄'!Q""&amp;TO_TEXT(ROW()-$C$72))"),"")</f>
        <v/>
      </c>
      <c r="R85" s="61" t="str">
        <f>IFERROR(__xludf.DUMMYFUNCTION("INDIRECT(""'收支紀錄'!R""&amp;TO_TEXT(ROW()-$C$72))"),"")</f>
        <v/>
      </c>
      <c r="S85" s="61" t="str">
        <f>IFERROR(__xludf.DUMMYFUNCTION("INDIRECT(""'收支紀錄'!S""&amp;TO_TEXT(ROW()-$C$72))"),"")</f>
        <v/>
      </c>
      <c r="T85" s="61" t="str">
        <f>IFERROR(__xludf.DUMMYFUNCTION("INDIRECT(""'收支紀錄'!T""&amp;TO_TEXT(ROW()-$C$72))"),"")</f>
        <v/>
      </c>
      <c r="U85" s="62" t="str">
        <f>IFERROR(__xludf.DUMMYFUNCTION("IF(T85=""是"",TEXTJOIN("""", TRUE, ""$"", TO_TEXT(C85), S85),"""")"),"")</f>
        <v/>
      </c>
      <c r="V85" s="13"/>
      <c r="W85" s="13"/>
      <c r="X85" s="13"/>
      <c r="Y85" s="13"/>
      <c r="Z85" s="13"/>
      <c r="AA85" s="13"/>
    </row>
    <row r="86">
      <c r="A86" s="58">
        <f>IFERROR(__xludf.DUMMYFUNCTION("INDIRECT(""'收支紀錄'!A""&amp;TO_TEXT(ROW()-$C$72))"),45487.51531038195)</f>
        <v>45487.51531</v>
      </c>
      <c r="B86" s="59">
        <f>IFERROR(__xludf.DUMMYFUNCTION("IF(ISBLANK(D86), """", IF(ISDATE(D86), D86, IF(D86=""今天"", A86, IF(D86=""昨天 (-1 day)"", A86-1, IF(D86=""前天 (-2 days)"", A86-2, IF(D86=""明天 (+1 day)"", A86+1, DATE(LEFT(D86,4), MID(D86,5,2), RIGHT(D86,2))))))))"),45487.0)</f>
        <v>45487</v>
      </c>
      <c r="C86" s="60">
        <f>IFERROR(__xludf.DUMMYFUNCTION("INDIRECT(""'收支紀錄'!C""&amp;TO_TEXT(ROW()-$C$72))"),78.0)</f>
        <v>78</v>
      </c>
      <c r="D86" s="59">
        <f>IFERROR(__xludf.DUMMYFUNCTION("INDIRECT(""'收支紀錄'!D""&amp;TO_TEXT(ROW()-$C$72))"),45487.0)</f>
        <v>45487</v>
      </c>
      <c r="E86" s="61" t="str">
        <f>IFERROR(__xludf.DUMMYFUNCTION("INDIRECT(""'收支紀錄'!E""&amp;TO_TEXT(ROW()-$C$72))"),"")</f>
        <v/>
      </c>
      <c r="F86" s="61" t="str">
        <f>IFERROR(__xludf.DUMMYFUNCTION("INDIRECT(""'收支紀錄'!F""&amp;TO_TEXT(ROW()-$C$72))"),"")</f>
        <v/>
      </c>
      <c r="G86" s="61" t="str">
        <f>IFERROR(__xludf.DUMMYFUNCTION("INDIRECT(""'收支紀錄'!G""&amp;TO_TEXT(ROW()-$C$72))"),"")</f>
        <v/>
      </c>
      <c r="H86" s="61" t="str">
        <f>IFERROR(__xludf.DUMMYFUNCTION("INDIRECT(""'收支紀錄'!H""&amp;TO_TEXT(ROW()-$C$72))"),"食品酒水")</f>
        <v>食品酒水</v>
      </c>
      <c r="I86" s="61" t="str">
        <f>IFERROR(__xludf.DUMMYFUNCTION("INDIRECT(""'收支紀錄'!I""&amp;TO_TEXT(ROW()-$C$72))"),"早餐")</f>
        <v>早餐</v>
      </c>
      <c r="J86" s="61" t="str">
        <f>IFERROR(__xludf.DUMMYFUNCTION("INDIRECT(""'收支紀錄'!J""&amp;TO_TEXT(ROW()-$C$72))"),"")</f>
        <v/>
      </c>
      <c r="K86" s="61" t="str">
        <f>IFERROR(__xludf.DUMMYFUNCTION("INDIRECT(""'收支紀錄'!K""&amp;TO_TEXT(ROW()-$C$72))"),"")</f>
        <v/>
      </c>
      <c r="L86" s="61" t="str">
        <f>IFERROR(__xludf.DUMMYFUNCTION("INDIRECT(""'收支紀錄'!L""&amp;TO_TEXT(ROW()-$C$72))"),"")</f>
        <v/>
      </c>
      <c r="M86" s="61" t="str">
        <f>IFERROR(__xludf.DUMMYFUNCTION("INDIRECT(""'收支紀錄'!M""&amp;TO_TEXT(ROW()-$C$72))"),"")</f>
        <v/>
      </c>
      <c r="N86" s="61" t="str">
        <f>IFERROR(__xludf.DUMMYFUNCTION("INDIRECT(""'收支紀錄'!N""&amp;TO_TEXT(ROW()-$C$72))"),"")</f>
        <v/>
      </c>
      <c r="O86" s="61" t="str">
        <f>IFERROR(__xludf.DUMMYFUNCTION("INDIRECT(""'收支紀錄'!O""&amp;TO_TEXT(ROW()-$C$72))"),"")</f>
        <v/>
      </c>
      <c r="P86" s="61" t="str">
        <f>IFERROR(__xludf.DUMMYFUNCTION("INDIRECT(""'收支紀錄'!P""&amp;TO_TEXT(ROW()-$C$72))"),"")</f>
        <v/>
      </c>
      <c r="Q86" s="61" t="str">
        <f>IFERROR(__xludf.DUMMYFUNCTION("INDIRECT(""'收支紀錄'!Q""&amp;TO_TEXT(ROW()-$C$72))"),"")</f>
        <v/>
      </c>
      <c r="R86" s="61" t="str">
        <f>IFERROR(__xludf.DUMMYFUNCTION("INDIRECT(""'收支紀錄'!R""&amp;TO_TEXT(ROW()-$C$72))"),"")</f>
        <v/>
      </c>
      <c r="S86" s="61" t="str">
        <f>IFERROR(__xludf.DUMMYFUNCTION("INDIRECT(""'收支紀錄'!S""&amp;TO_TEXT(ROW()-$C$72))"),"")</f>
        <v/>
      </c>
      <c r="T86" s="61" t="str">
        <f>IFERROR(__xludf.DUMMYFUNCTION("INDIRECT(""'收支紀錄'!T""&amp;TO_TEXT(ROW()-$C$72))"),"")</f>
        <v/>
      </c>
      <c r="U86" s="62" t="str">
        <f>IFERROR(__xludf.DUMMYFUNCTION("IF(T86=""是"",TEXTJOIN("""", TRUE, ""$"", TO_TEXT(C86), S86),"""")"),"")</f>
        <v/>
      </c>
      <c r="V86" s="13"/>
      <c r="W86" s="13"/>
      <c r="X86" s="13"/>
      <c r="Y86" s="13"/>
      <c r="Z86" s="13"/>
      <c r="AA86" s="13"/>
    </row>
    <row r="87">
      <c r="A87" s="58">
        <f>IFERROR(__xludf.DUMMYFUNCTION("INDIRECT(""'收支紀錄'!A""&amp;TO_TEXT(ROW()-$C$72))"),45487.51546059028)</f>
        <v>45487.51546</v>
      </c>
      <c r="B87" s="59">
        <f>IFERROR(__xludf.DUMMYFUNCTION("IF(ISBLANK(D87), """", IF(ISDATE(D87), D87, IF(D87=""今天"", A87, IF(D87=""昨天 (-1 day)"", A87-1, IF(D87=""前天 (-2 days)"", A87-2, IF(D87=""明天 (+1 day)"", A87+1, DATE(LEFT(D87,4), MID(D87,5,2), RIGHT(D87,2))))))))"),45487.0)</f>
        <v>45487</v>
      </c>
      <c r="C87" s="60">
        <f>IFERROR(__xludf.DUMMYFUNCTION("INDIRECT(""'收支紀錄'!C""&amp;TO_TEXT(ROW()-$C$72))"),515.0)</f>
        <v>515</v>
      </c>
      <c r="D87" s="59">
        <f>IFERROR(__xludf.DUMMYFUNCTION("INDIRECT(""'收支紀錄'!D""&amp;TO_TEXT(ROW()-$C$72))"),45487.0)</f>
        <v>45487</v>
      </c>
      <c r="E87" s="61" t="str">
        <f>IFERROR(__xludf.DUMMYFUNCTION("INDIRECT(""'收支紀錄'!E""&amp;TO_TEXT(ROW()-$C$72))"),"")</f>
        <v/>
      </c>
      <c r="F87" s="61" t="str">
        <f>IFERROR(__xludf.DUMMYFUNCTION("INDIRECT(""'收支紀錄'!F""&amp;TO_TEXT(ROW()-$C$72))"),"")</f>
        <v/>
      </c>
      <c r="G87" s="61" t="str">
        <f>IFERROR(__xludf.DUMMYFUNCTION("INDIRECT(""'收支紀錄'!G""&amp;TO_TEXT(ROW()-$C$72))"),"")</f>
        <v/>
      </c>
      <c r="H87" s="61" t="str">
        <f>IFERROR(__xludf.DUMMYFUNCTION("INDIRECT(""'收支紀錄'!H""&amp;TO_TEXT(ROW()-$C$72))"),"休閒娛樂")</f>
        <v>休閒娛樂</v>
      </c>
      <c r="I87" s="61" t="str">
        <f>IFERROR(__xludf.DUMMYFUNCTION("INDIRECT(""'收支紀錄'!I""&amp;TO_TEXT(ROW()-$C$72))"),"")</f>
        <v/>
      </c>
      <c r="J87" s="61" t="str">
        <f>IFERROR(__xludf.DUMMYFUNCTION("INDIRECT(""'收支紀錄'!J""&amp;TO_TEXT(ROW()-$C$72))"),"")</f>
        <v/>
      </c>
      <c r="K87" s="61" t="str">
        <f>IFERROR(__xludf.DUMMYFUNCTION("INDIRECT(""'收支紀錄'!K""&amp;TO_TEXT(ROW()-$C$72))"),"")</f>
        <v/>
      </c>
      <c r="L87" s="61" t="str">
        <f>IFERROR(__xludf.DUMMYFUNCTION("INDIRECT(""'收支紀錄'!L""&amp;TO_TEXT(ROW()-$C$72))"),"")</f>
        <v/>
      </c>
      <c r="M87" s="61" t="str">
        <f>IFERROR(__xludf.DUMMYFUNCTION("INDIRECT(""'收支紀錄'!M""&amp;TO_TEXT(ROW()-$C$72))"),"公司福利金")</f>
        <v>公司福利金</v>
      </c>
      <c r="N87" s="61" t="str">
        <f>IFERROR(__xludf.DUMMYFUNCTION("INDIRECT(""'收支紀錄'!N""&amp;TO_TEXT(ROW()-$C$72))"),"")</f>
        <v/>
      </c>
      <c r="O87" s="61" t="str">
        <f>IFERROR(__xludf.DUMMYFUNCTION("INDIRECT(""'收支紀錄'!O""&amp;TO_TEXT(ROW()-$C$72))"),"")</f>
        <v/>
      </c>
      <c r="P87" s="61" t="str">
        <f>IFERROR(__xludf.DUMMYFUNCTION("INDIRECT(""'收支紀錄'!P""&amp;TO_TEXT(ROW()-$C$72))"),"")</f>
        <v/>
      </c>
      <c r="Q87" s="61" t="str">
        <f>IFERROR(__xludf.DUMMYFUNCTION("INDIRECT(""'收支紀錄'!Q""&amp;TO_TEXT(ROW()-$C$72))"),"")</f>
        <v/>
      </c>
      <c r="R87" s="61" t="str">
        <f>IFERROR(__xludf.DUMMYFUNCTION("INDIRECT(""'收支紀錄'!R""&amp;TO_TEXT(ROW()-$C$72))"),"")</f>
        <v/>
      </c>
      <c r="S87" s="61" t="str">
        <f>IFERROR(__xludf.DUMMYFUNCTION("INDIRECT(""'收支紀錄'!S""&amp;TO_TEXT(ROW()-$C$72))"),"")</f>
        <v/>
      </c>
      <c r="T87" s="61" t="str">
        <f>IFERROR(__xludf.DUMMYFUNCTION("INDIRECT(""'收支紀錄'!T""&amp;TO_TEXT(ROW()-$C$72))"),"")</f>
        <v/>
      </c>
      <c r="U87" s="62" t="str">
        <f>IFERROR(__xludf.DUMMYFUNCTION("IF(T87=""是"",TEXTJOIN("""", TRUE, ""$"", TO_TEXT(C87), S87),"""")"),"")</f>
        <v/>
      </c>
      <c r="V87" s="13"/>
      <c r="W87" s="13"/>
      <c r="X87" s="13"/>
      <c r="Y87" s="13"/>
      <c r="Z87" s="13"/>
      <c r="AA87" s="13"/>
    </row>
    <row r="88">
      <c r="A88" s="58">
        <f>IFERROR(__xludf.DUMMYFUNCTION("INDIRECT(""'收支紀錄'!A""&amp;TO_TEXT(ROW()-$C$72))"),45487.51565479167)</f>
        <v>45487.51565</v>
      </c>
      <c r="B88" s="59">
        <f>IFERROR(__xludf.DUMMYFUNCTION("IF(ISBLANK(D88), """", IF(ISDATE(D88), D88, IF(D88=""今天"", A88, IF(D88=""昨天 (-1 day)"", A88-1, IF(D88=""前天 (-2 days)"", A88-2, IF(D88=""明天 (+1 day)"", A88+1, DATE(LEFT(D88,4), MID(D88,5,2), RIGHT(D88,2))))))))"),45487.0)</f>
        <v>45487</v>
      </c>
      <c r="C88" s="60">
        <f>IFERROR(__xludf.DUMMYFUNCTION("INDIRECT(""'收支紀錄'!C""&amp;TO_TEXT(ROW()-$C$72))"),1303.0)</f>
        <v>1303</v>
      </c>
      <c r="D88" s="59">
        <f>IFERROR(__xludf.DUMMYFUNCTION("INDIRECT(""'收支紀錄'!D""&amp;TO_TEXT(ROW()-$C$72))"),45487.0)</f>
        <v>45487</v>
      </c>
      <c r="E88" s="61" t="str">
        <f>IFERROR(__xludf.DUMMYFUNCTION("INDIRECT(""'收支紀錄'!E""&amp;TO_TEXT(ROW()-$C$72))"),"")</f>
        <v/>
      </c>
      <c r="F88" s="61" t="str">
        <f>IFERROR(__xludf.DUMMYFUNCTION("INDIRECT(""'收支紀錄'!F""&amp;TO_TEXT(ROW()-$C$72))"),"")</f>
        <v/>
      </c>
      <c r="G88" s="61" t="str">
        <f>IFERROR(__xludf.DUMMYFUNCTION("INDIRECT(""'收支紀錄'!G""&amp;TO_TEXT(ROW()-$C$72))"),"")</f>
        <v/>
      </c>
      <c r="H88" s="61" t="str">
        <f>IFERROR(__xludf.DUMMYFUNCTION("INDIRECT(""'收支紀錄'!H""&amp;TO_TEXT(ROW()-$C$72))"),"食品酒水")</f>
        <v>食品酒水</v>
      </c>
      <c r="I88" s="61" t="str">
        <f>IFERROR(__xludf.DUMMYFUNCTION("INDIRECT(""'收支紀錄'!I""&amp;TO_TEXT(ROW()-$C$72))"),"前月公司餐費扣款")</f>
        <v>前月公司餐費扣款</v>
      </c>
      <c r="J88" s="61" t="str">
        <f>IFERROR(__xludf.DUMMYFUNCTION("INDIRECT(""'收支紀錄'!J""&amp;TO_TEXT(ROW()-$C$72))"),"")</f>
        <v/>
      </c>
      <c r="K88" s="61" t="str">
        <f>IFERROR(__xludf.DUMMYFUNCTION("INDIRECT(""'收支紀錄'!K""&amp;TO_TEXT(ROW()-$C$72))"),"")</f>
        <v/>
      </c>
      <c r="L88" s="61" t="str">
        <f>IFERROR(__xludf.DUMMYFUNCTION("INDIRECT(""'收支紀錄'!L""&amp;TO_TEXT(ROW()-$C$72))"),"")</f>
        <v/>
      </c>
      <c r="M88" s="61" t="str">
        <f>IFERROR(__xludf.DUMMYFUNCTION("INDIRECT(""'收支紀錄'!M""&amp;TO_TEXT(ROW()-$C$72))"),"")</f>
        <v/>
      </c>
      <c r="N88" s="61" t="str">
        <f>IFERROR(__xludf.DUMMYFUNCTION("INDIRECT(""'收支紀錄'!N""&amp;TO_TEXT(ROW()-$C$72))"),"")</f>
        <v/>
      </c>
      <c r="O88" s="61" t="str">
        <f>IFERROR(__xludf.DUMMYFUNCTION("INDIRECT(""'收支紀錄'!O""&amp;TO_TEXT(ROW()-$C$72))"),"")</f>
        <v/>
      </c>
      <c r="P88" s="61" t="str">
        <f>IFERROR(__xludf.DUMMYFUNCTION("INDIRECT(""'收支紀錄'!P""&amp;TO_TEXT(ROW()-$C$72))"),"")</f>
        <v/>
      </c>
      <c r="Q88" s="61" t="str">
        <f>IFERROR(__xludf.DUMMYFUNCTION("INDIRECT(""'收支紀錄'!Q""&amp;TO_TEXT(ROW()-$C$72))"),"")</f>
        <v/>
      </c>
      <c r="R88" s="61" t="str">
        <f>IFERROR(__xludf.DUMMYFUNCTION("INDIRECT(""'收支紀錄'!R""&amp;TO_TEXT(ROW()-$C$72))"),"")</f>
        <v/>
      </c>
      <c r="S88" s="61" t="str">
        <f>IFERROR(__xludf.DUMMYFUNCTION("INDIRECT(""'收支紀錄'!S""&amp;TO_TEXT(ROW()-$C$72))"),"")</f>
        <v/>
      </c>
      <c r="T88" s="61" t="str">
        <f>IFERROR(__xludf.DUMMYFUNCTION("INDIRECT(""'收支紀錄'!T""&amp;TO_TEXT(ROW()-$C$72))"),"")</f>
        <v/>
      </c>
      <c r="U88" s="62" t="str">
        <f>IFERROR(__xludf.DUMMYFUNCTION("IF(T88=""是"",TEXTJOIN("""", TRUE, ""$"", TO_TEXT(C88), S88),"""")"),"")</f>
        <v/>
      </c>
      <c r="V88" s="13" t="str">
        <f>IFERROR(__xludf.DUMMYFUNCTION("IF(T88=""是"",TEXTJOIN("""", TRUE, ""$"", TO_TEXT(D88), S88),"""")"),"")</f>
        <v/>
      </c>
      <c r="W88" s="13"/>
      <c r="X88" s="13"/>
      <c r="Y88" s="13"/>
      <c r="Z88" s="13"/>
      <c r="AA88" s="13"/>
    </row>
    <row r="89">
      <c r="A89" s="58">
        <f>IFERROR(__xludf.DUMMYFUNCTION("INDIRECT(""'收支紀錄'!A""&amp;TO_TEXT(ROW()-$C$72))"),45487.515843229165)</f>
        <v>45487.51584</v>
      </c>
      <c r="B89" s="59">
        <f>IFERROR(__xludf.DUMMYFUNCTION("IF(ISBLANK(D89), """", IF(ISDATE(D89), D89, IF(D89=""今天"", A89, IF(D89=""昨天 (-1 day)"", A89-1, IF(D89=""前天 (-2 days)"", A89-2, IF(D89=""明天 (+1 day)"", A89+1, DATE(LEFT(D89,4), MID(D89,5,2), RIGHT(D89,2))))))))"),45487.0)</f>
        <v>45487</v>
      </c>
      <c r="C89" s="60">
        <f>IFERROR(__xludf.DUMMYFUNCTION("INDIRECT(""'收支紀錄'!C""&amp;TO_TEXT(ROW()-$C$72))"),180.0)</f>
        <v>180</v>
      </c>
      <c r="D89" s="59">
        <f>IFERROR(__xludf.DUMMYFUNCTION("INDIRECT(""'收支紀錄'!D""&amp;TO_TEXT(ROW()-$C$72))"),45487.0)</f>
        <v>45487</v>
      </c>
      <c r="E89" s="61" t="str">
        <f>IFERROR(__xludf.DUMMYFUNCTION("INDIRECT(""'收支紀錄'!E""&amp;TO_TEXT(ROW()-$C$72))"),"")</f>
        <v/>
      </c>
      <c r="F89" s="61" t="str">
        <f>IFERROR(__xludf.DUMMYFUNCTION("INDIRECT(""'收支紀錄'!F""&amp;TO_TEXT(ROW()-$C$72))"),"")</f>
        <v/>
      </c>
      <c r="G89" s="61" t="str">
        <f>IFERROR(__xludf.DUMMYFUNCTION("INDIRECT(""'收支紀錄'!G""&amp;TO_TEXT(ROW()-$C$72))"),"")</f>
        <v/>
      </c>
      <c r="H89" s="61" t="str">
        <f>IFERROR(__xludf.DUMMYFUNCTION("INDIRECT(""'收支紀錄'!H""&amp;TO_TEXT(ROW()-$C$72))"),"休閒娛樂")</f>
        <v>休閒娛樂</v>
      </c>
      <c r="I89" s="61" t="str">
        <f>IFERROR(__xludf.DUMMYFUNCTION("INDIRECT(""'收支紀錄'!I""&amp;TO_TEXT(ROW()-$C$72))"),"")</f>
        <v/>
      </c>
      <c r="J89" s="61" t="str">
        <f>IFERROR(__xludf.DUMMYFUNCTION("INDIRECT(""'收支紀錄'!J""&amp;TO_TEXT(ROW()-$C$72))"),"")</f>
        <v/>
      </c>
      <c r="K89" s="61" t="str">
        <f>IFERROR(__xludf.DUMMYFUNCTION("INDIRECT(""'收支紀錄'!K""&amp;TO_TEXT(ROW()-$C$72))"),"")</f>
        <v/>
      </c>
      <c r="L89" s="61" t="str">
        <f>IFERROR(__xludf.DUMMYFUNCTION("INDIRECT(""'收支紀錄'!L""&amp;TO_TEXT(ROW()-$C$72))"),"")</f>
        <v/>
      </c>
      <c r="M89" s="61" t="str">
        <f>IFERROR(__xludf.DUMMYFUNCTION("INDIRECT(""'收支紀錄'!M""&amp;TO_TEXT(ROW()-$C$72))"),"運動健身")</f>
        <v>運動健身</v>
      </c>
      <c r="N89" s="61" t="str">
        <f>IFERROR(__xludf.DUMMYFUNCTION("INDIRECT(""'收支紀錄'!N""&amp;TO_TEXT(ROW()-$C$72))"),"")</f>
        <v/>
      </c>
      <c r="O89" s="61" t="str">
        <f>IFERROR(__xludf.DUMMYFUNCTION("INDIRECT(""'收支紀錄'!O""&amp;TO_TEXT(ROW()-$C$72))"),"")</f>
        <v/>
      </c>
      <c r="P89" s="61" t="str">
        <f>IFERROR(__xludf.DUMMYFUNCTION("INDIRECT(""'收支紀錄'!P""&amp;TO_TEXT(ROW()-$C$72))"),"")</f>
        <v/>
      </c>
      <c r="Q89" s="61" t="str">
        <f>IFERROR(__xludf.DUMMYFUNCTION("INDIRECT(""'收支紀錄'!Q""&amp;TO_TEXT(ROW()-$C$72))"),"")</f>
        <v/>
      </c>
      <c r="R89" s="61" t="str">
        <f>IFERROR(__xludf.DUMMYFUNCTION("INDIRECT(""'收支紀錄'!R""&amp;TO_TEXT(ROW()-$C$72))"),"")</f>
        <v/>
      </c>
      <c r="S89" s="61" t="str">
        <f>IFERROR(__xludf.DUMMYFUNCTION("INDIRECT(""'收支紀錄'!S""&amp;TO_TEXT(ROW()-$C$72))"),"")</f>
        <v/>
      </c>
      <c r="T89" s="61" t="str">
        <f>IFERROR(__xludf.DUMMYFUNCTION("INDIRECT(""'收支紀錄'!T""&amp;TO_TEXT(ROW()-$C$72))"),"")</f>
        <v/>
      </c>
      <c r="U89" s="62" t="str">
        <f>IFERROR(__xludf.DUMMYFUNCTION("IF(T89=""是"",TEXTJOIN("""", TRUE, ""$"", TO_TEXT(C89), S89),"""")"),"")</f>
        <v/>
      </c>
      <c r="V89" s="13" t="str">
        <f>IFERROR(__xludf.DUMMYFUNCTION("IF(T89=""是"",TEXTJOIN("""", TRUE, ""$"", TO_TEXT(D89), S89),"""")"),"")</f>
        <v/>
      </c>
      <c r="W89" s="13"/>
      <c r="X89" s="13"/>
      <c r="Y89" s="13"/>
      <c r="Z89" s="13"/>
      <c r="AA89" s="13"/>
    </row>
    <row r="90">
      <c r="A90" s="58">
        <f>IFERROR(__xludf.DUMMYFUNCTION("INDIRECT(""'收支紀錄'!A""&amp;TO_TEXT(ROW()-$C$72))"),45487.516022094904)</f>
        <v>45487.51602</v>
      </c>
      <c r="B90" s="59">
        <f>IFERROR(__xludf.DUMMYFUNCTION("IF(ISBLANK(D90), """", IF(ISDATE(D90), D90, IF(D90=""今天"", A90, IF(D90=""昨天 (-1 day)"", A90-1, IF(D90=""前天 (-2 days)"", A90-2, IF(D90=""明天 (+1 day)"", A90+1, DATE(LEFT(D90,4), MID(D90,5,2), RIGHT(D90,2))))))))"),45487.0)</f>
        <v>45487</v>
      </c>
      <c r="C90" s="60">
        <f>IFERROR(__xludf.DUMMYFUNCTION("INDIRECT(""'收支紀錄'!C""&amp;TO_TEXT(ROW()-$C$72))"),520.0)</f>
        <v>520</v>
      </c>
      <c r="D90" s="59">
        <f>IFERROR(__xludf.DUMMYFUNCTION("INDIRECT(""'收支紀錄'!D""&amp;TO_TEXT(ROW()-$C$72))"),45487.0)</f>
        <v>45487</v>
      </c>
      <c r="E90" s="61" t="str">
        <f>IFERROR(__xludf.DUMMYFUNCTION("INDIRECT(""'收支紀錄'!E""&amp;TO_TEXT(ROW()-$C$72))"),"")</f>
        <v/>
      </c>
      <c r="F90" s="61" t="str">
        <f>IFERROR(__xludf.DUMMYFUNCTION("INDIRECT(""'收支紀錄'!F""&amp;TO_TEXT(ROW()-$C$72))"),"")</f>
        <v/>
      </c>
      <c r="G90" s="61" t="str">
        <f>IFERROR(__xludf.DUMMYFUNCTION("INDIRECT(""'收支紀錄'!G""&amp;TO_TEXT(ROW()-$C$72))"),"")</f>
        <v/>
      </c>
      <c r="H90" s="61" t="str">
        <f>IFERROR(__xludf.DUMMYFUNCTION("INDIRECT(""'收支紀錄'!H""&amp;TO_TEXT(ROW()-$C$72))"),"食品酒水")</f>
        <v>食品酒水</v>
      </c>
      <c r="I90" s="61" t="str">
        <f>IFERROR(__xludf.DUMMYFUNCTION("INDIRECT(""'收支紀錄'!I""&amp;TO_TEXT(ROW()-$C$72))"),"晚餐")</f>
        <v>晚餐</v>
      </c>
      <c r="J90" s="61" t="str">
        <f>IFERROR(__xludf.DUMMYFUNCTION("INDIRECT(""'收支紀錄'!J""&amp;TO_TEXT(ROW()-$C$72))"),"")</f>
        <v/>
      </c>
      <c r="K90" s="61" t="str">
        <f>IFERROR(__xludf.DUMMYFUNCTION("INDIRECT(""'收支紀錄'!K""&amp;TO_TEXT(ROW()-$C$72))"),"")</f>
        <v/>
      </c>
      <c r="L90" s="61" t="str">
        <f>IFERROR(__xludf.DUMMYFUNCTION("INDIRECT(""'收支紀錄'!L""&amp;TO_TEXT(ROW()-$C$72))"),"")</f>
        <v/>
      </c>
      <c r="M90" s="61" t="str">
        <f>IFERROR(__xludf.DUMMYFUNCTION("INDIRECT(""'收支紀錄'!M""&amp;TO_TEXT(ROW()-$C$72))"),"")</f>
        <v/>
      </c>
      <c r="N90" s="61" t="str">
        <f>IFERROR(__xludf.DUMMYFUNCTION("INDIRECT(""'收支紀錄'!N""&amp;TO_TEXT(ROW()-$C$72))"),"")</f>
        <v/>
      </c>
      <c r="O90" s="61" t="str">
        <f>IFERROR(__xludf.DUMMYFUNCTION("INDIRECT(""'收支紀錄'!O""&amp;TO_TEXT(ROW()-$C$72))"),"")</f>
        <v/>
      </c>
      <c r="P90" s="61" t="str">
        <f>IFERROR(__xludf.DUMMYFUNCTION("INDIRECT(""'收支紀錄'!P""&amp;TO_TEXT(ROW()-$C$72))"),"")</f>
        <v/>
      </c>
      <c r="Q90" s="61" t="str">
        <f>IFERROR(__xludf.DUMMYFUNCTION("INDIRECT(""'收支紀錄'!Q""&amp;TO_TEXT(ROW()-$C$72))"),"")</f>
        <v/>
      </c>
      <c r="R90" s="61" t="str">
        <f>IFERROR(__xludf.DUMMYFUNCTION("INDIRECT(""'收支紀錄'!R""&amp;TO_TEXT(ROW()-$C$72))"),"")</f>
        <v/>
      </c>
      <c r="S90" s="61" t="str">
        <f>IFERROR(__xludf.DUMMYFUNCTION("INDIRECT(""'收支紀錄'!S""&amp;TO_TEXT(ROW()-$C$72))"),"")</f>
        <v/>
      </c>
      <c r="T90" s="61" t="str">
        <f>IFERROR(__xludf.DUMMYFUNCTION("INDIRECT(""'收支紀錄'!T""&amp;TO_TEXT(ROW()-$C$72))"),"")</f>
        <v/>
      </c>
      <c r="U90" s="62" t="str">
        <f>IFERROR(__xludf.DUMMYFUNCTION("IF(T90=""是"",TEXTJOIN("""", TRUE, ""$"", TO_TEXT(C90), S90),"""")"),"")</f>
        <v/>
      </c>
    </row>
    <row r="91">
      <c r="A91" s="58">
        <f>IFERROR(__xludf.DUMMYFUNCTION("INDIRECT(""'收支紀錄'!A""&amp;TO_TEXT(ROW()-$C$72))"),45487.51618914352)</f>
        <v>45487.51619</v>
      </c>
      <c r="B91" s="59">
        <f>IFERROR(__xludf.DUMMYFUNCTION("IF(ISBLANK(D91), """", IF(ISDATE(D91), D91, IF(D91=""今天"", A91, IF(D91=""昨天 (-1 day)"", A91-1, IF(D91=""前天 (-2 days)"", A91-2, IF(D91=""明天 (+1 day)"", A91+1, DATE(LEFT(D91,4), MID(D91,5,2), RIGHT(D91,2))))))))"),45487.0)</f>
        <v>45487</v>
      </c>
      <c r="C91" s="60">
        <f>IFERROR(__xludf.DUMMYFUNCTION("INDIRECT(""'收支紀錄'!C""&amp;TO_TEXT(ROW()-$C$72))"),211.0)</f>
        <v>211</v>
      </c>
      <c r="D91" s="59">
        <f>IFERROR(__xludf.DUMMYFUNCTION("INDIRECT(""'收支紀錄'!D""&amp;TO_TEXT(ROW()-$C$72))"),45487.0)</f>
        <v>45487</v>
      </c>
      <c r="E91" s="61" t="str">
        <f>IFERROR(__xludf.DUMMYFUNCTION("INDIRECT(""'收支紀錄'!E""&amp;TO_TEXT(ROW()-$C$72))"),"")</f>
        <v/>
      </c>
      <c r="F91" s="61" t="str">
        <f>IFERROR(__xludf.DUMMYFUNCTION("INDIRECT(""'收支紀錄'!F""&amp;TO_TEXT(ROW()-$C$72))"),"")</f>
        <v/>
      </c>
      <c r="G91" s="61" t="str">
        <f>IFERROR(__xludf.DUMMYFUNCTION("INDIRECT(""'收支紀錄'!G""&amp;TO_TEXT(ROW()-$C$72))"),"")</f>
        <v/>
      </c>
      <c r="H91" s="61" t="str">
        <f>IFERROR(__xludf.DUMMYFUNCTION("INDIRECT(""'收支紀錄'!H""&amp;TO_TEXT(ROW()-$C$72))"),"食品酒水")</f>
        <v>食品酒水</v>
      </c>
      <c r="I91" s="61" t="str">
        <f>IFERROR(__xludf.DUMMYFUNCTION("INDIRECT(""'收支紀錄'!I""&amp;TO_TEXT(ROW()-$C$72))"),"食材")</f>
        <v>食材</v>
      </c>
      <c r="J91" s="61" t="str">
        <f>IFERROR(__xludf.DUMMYFUNCTION("INDIRECT(""'收支紀錄'!J""&amp;TO_TEXT(ROW()-$C$72))"),"")</f>
        <v/>
      </c>
      <c r="K91" s="61" t="str">
        <f>IFERROR(__xludf.DUMMYFUNCTION("INDIRECT(""'收支紀錄'!K""&amp;TO_TEXT(ROW()-$C$72))"),"")</f>
        <v/>
      </c>
      <c r="L91" s="61" t="str">
        <f>IFERROR(__xludf.DUMMYFUNCTION("INDIRECT(""'收支紀錄'!L""&amp;TO_TEXT(ROW()-$C$72))"),"")</f>
        <v/>
      </c>
      <c r="M91" s="61" t="str">
        <f>IFERROR(__xludf.DUMMYFUNCTION("INDIRECT(""'收支紀錄'!M""&amp;TO_TEXT(ROW()-$C$72))"),"")</f>
        <v/>
      </c>
      <c r="N91" s="61" t="str">
        <f>IFERROR(__xludf.DUMMYFUNCTION("INDIRECT(""'收支紀錄'!N""&amp;TO_TEXT(ROW()-$C$72))"),"")</f>
        <v/>
      </c>
      <c r="O91" s="61" t="str">
        <f>IFERROR(__xludf.DUMMYFUNCTION("INDIRECT(""'收支紀錄'!O""&amp;TO_TEXT(ROW()-$C$72))"),"")</f>
        <v/>
      </c>
      <c r="P91" s="61" t="str">
        <f>IFERROR(__xludf.DUMMYFUNCTION("INDIRECT(""'收支紀錄'!P""&amp;TO_TEXT(ROW()-$C$72))"),"")</f>
        <v/>
      </c>
      <c r="Q91" s="61" t="str">
        <f>IFERROR(__xludf.DUMMYFUNCTION("INDIRECT(""'收支紀錄'!Q""&amp;TO_TEXT(ROW()-$C$72))"),"")</f>
        <v/>
      </c>
      <c r="R91" s="61" t="str">
        <f>IFERROR(__xludf.DUMMYFUNCTION("INDIRECT(""'收支紀錄'!R""&amp;TO_TEXT(ROW()-$C$72))"),"")</f>
        <v/>
      </c>
      <c r="S91" s="61" t="str">
        <f>IFERROR(__xludf.DUMMYFUNCTION("INDIRECT(""'收支紀錄'!S""&amp;TO_TEXT(ROW()-$C$72))"),"")</f>
        <v/>
      </c>
      <c r="T91" s="61" t="str">
        <f>IFERROR(__xludf.DUMMYFUNCTION("INDIRECT(""'收支紀錄'!T""&amp;TO_TEXT(ROW()-$C$72))"),"")</f>
        <v/>
      </c>
      <c r="U91" s="62" t="str">
        <f>IFERROR(__xludf.DUMMYFUNCTION("IF(T91=""是"",TEXTJOIN("""", TRUE, ""$"", TO_TEXT(C91), S91),"""")"),"")</f>
        <v/>
      </c>
    </row>
    <row r="92">
      <c r="A92" s="58">
        <f>IFERROR(__xludf.DUMMYFUNCTION("INDIRECT(""'收支紀錄'!A""&amp;TO_TEXT(ROW()-$C$72))"),45487.516362442126)</f>
        <v>45487.51636</v>
      </c>
      <c r="B92" s="59">
        <f>IFERROR(__xludf.DUMMYFUNCTION("IF(ISBLANK(D92), """", IF(ISDATE(D92), D92, IF(D92=""今天"", A92, IF(D92=""昨天 (-1 day)"", A92-1, IF(D92=""前天 (-2 days)"", A92-2, IF(D92=""明天 (+1 day)"", A92+1, DATE(LEFT(D92,4), MID(D92,5,2), RIGHT(D92,2))))))))"),45487.0)</f>
        <v>45487</v>
      </c>
      <c r="C92" s="60">
        <f>IFERROR(__xludf.DUMMYFUNCTION("INDIRECT(""'收支紀錄'!C""&amp;TO_TEXT(ROW()-$C$72))"),50.0)</f>
        <v>50</v>
      </c>
      <c r="D92" s="59">
        <f>IFERROR(__xludf.DUMMYFUNCTION("INDIRECT(""'收支紀錄'!D""&amp;TO_TEXT(ROW()-$C$72))"),45487.0)</f>
        <v>45487</v>
      </c>
      <c r="E92" s="61" t="str">
        <f>IFERROR(__xludf.DUMMYFUNCTION("INDIRECT(""'收支紀錄'!E""&amp;TO_TEXT(ROW()-$C$72))"),"")</f>
        <v/>
      </c>
      <c r="F92" s="61" t="str">
        <f>IFERROR(__xludf.DUMMYFUNCTION("INDIRECT(""'收支紀錄'!F""&amp;TO_TEXT(ROW()-$C$72))"),"")</f>
        <v/>
      </c>
      <c r="G92" s="61" t="str">
        <f>IFERROR(__xludf.DUMMYFUNCTION("INDIRECT(""'收支紀錄'!G""&amp;TO_TEXT(ROW()-$C$72))"),"")</f>
        <v/>
      </c>
      <c r="H92" s="61" t="str">
        <f>IFERROR(__xludf.DUMMYFUNCTION("INDIRECT(""'收支紀錄'!H""&amp;TO_TEXT(ROW()-$C$72))"),"食品酒水")</f>
        <v>食品酒水</v>
      </c>
      <c r="I92" s="61" t="str">
        <f>IFERROR(__xludf.DUMMYFUNCTION("INDIRECT(""'收支紀錄'!I""&amp;TO_TEXT(ROW()-$C$72))"),"宵夜")</f>
        <v>宵夜</v>
      </c>
      <c r="J92" s="61" t="str">
        <f>IFERROR(__xludf.DUMMYFUNCTION("INDIRECT(""'收支紀錄'!J""&amp;TO_TEXT(ROW()-$C$72))"),"")</f>
        <v/>
      </c>
      <c r="K92" s="61" t="str">
        <f>IFERROR(__xludf.DUMMYFUNCTION("INDIRECT(""'收支紀錄'!K""&amp;TO_TEXT(ROW()-$C$72))"),"")</f>
        <v/>
      </c>
      <c r="L92" s="61" t="str">
        <f>IFERROR(__xludf.DUMMYFUNCTION("INDIRECT(""'收支紀錄'!L""&amp;TO_TEXT(ROW()-$C$72))"),"")</f>
        <v/>
      </c>
      <c r="M92" s="61" t="str">
        <f>IFERROR(__xludf.DUMMYFUNCTION("INDIRECT(""'收支紀錄'!M""&amp;TO_TEXT(ROW()-$C$72))"),"")</f>
        <v/>
      </c>
      <c r="N92" s="61" t="str">
        <f>IFERROR(__xludf.DUMMYFUNCTION("INDIRECT(""'收支紀錄'!N""&amp;TO_TEXT(ROW()-$C$72))"),"")</f>
        <v/>
      </c>
      <c r="O92" s="61" t="str">
        <f>IFERROR(__xludf.DUMMYFUNCTION("INDIRECT(""'收支紀錄'!O""&amp;TO_TEXT(ROW()-$C$72))"),"")</f>
        <v/>
      </c>
      <c r="P92" s="61" t="str">
        <f>IFERROR(__xludf.DUMMYFUNCTION("INDIRECT(""'收支紀錄'!P""&amp;TO_TEXT(ROW()-$C$72))"),"")</f>
        <v/>
      </c>
      <c r="Q92" s="61" t="str">
        <f>IFERROR(__xludf.DUMMYFUNCTION("INDIRECT(""'收支紀錄'!Q""&amp;TO_TEXT(ROW()-$C$72))"),"")</f>
        <v/>
      </c>
      <c r="R92" s="61" t="str">
        <f>IFERROR(__xludf.DUMMYFUNCTION("INDIRECT(""'收支紀錄'!R""&amp;TO_TEXT(ROW()-$C$72))"),"")</f>
        <v/>
      </c>
      <c r="S92" s="61" t="str">
        <f>IFERROR(__xludf.DUMMYFUNCTION("INDIRECT(""'收支紀錄'!S""&amp;TO_TEXT(ROW()-$C$72))"),"")</f>
        <v/>
      </c>
      <c r="T92" s="61" t="str">
        <f>IFERROR(__xludf.DUMMYFUNCTION("INDIRECT(""'收支紀錄'!T""&amp;TO_TEXT(ROW()-$C$72))"),"")</f>
        <v/>
      </c>
      <c r="U92" s="62" t="str">
        <f>IFERROR(__xludf.DUMMYFUNCTION("IF(T92=""是"",TEXTJOIN("""", TRUE, ""$"", TO_TEXT(C92), S92),"""")"),"")</f>
        <v/>
      </c>
    </row>
    <row r="93">
      <c r="A93" s="58">
        <f>IFERROR(__xludf.DUMMYFUNCTION("INDIRECT(""'收支紀錄'!A""&amp;TO_TEXT(ROW()-$C$72))"),45487.51651212963)</f>
        <v>45487.51651</v>
      </c>
      <c r="B93" s="59">
        <f>IFERROR(__xludf.DUMMYFUNCTION("IF(ISBLANK(D93), """", IF(ISDATE(D93), D93, IF(D93=""今天"", A93, IF(D93=""昨天 (-1 day)"", A93-1, IF(D93=""前天 (-2 days)"", A93-2, IF(D93=""明天 (+1 day)"", A93+1, DATE(LEFT(D93,4), MID(D93,5,2), RIGHT(D93,2))))))))"),45487.0)</f>
        <v>45487</v>
      </c>
      <c r="C93" s="60">
        <f>IFERROR(__xludf.DUMMYFUNCTION("INDIRECT(""'收支紀錄'!C""&amp;TO_TEXT(ROW()-$C$72))"),100.0)</f>
        <v>100</v>
      </c>
      <c r="D93" s="59">
        <f>IFERROR(__xludf.DUMMYFUNCTION("INDIRECT(""'收支紀錄'!D""&amp;TO_TEXT(ROW()-$C$72))"),45487.0)</f>
        <v>45487</v>
      </c>
      <c r="E93" s="61" t="str">
        <f>IFERROR(__xludf.DUMMYFUNCTION("INDIRECT(""'收支紀錄'!E""&amp;TO_TEXT(ROW()-$C$72))"),"")</f>
        <v/>
      </c>
      <c r="F93" s="61" t="str">
        <f>IFERROR(__xludf.DUMMYFUNCTION("INDIRECT(""'收支紀錄'!F""&amp;TO_TEXT(ROW()-$C$72))"),"")</f>
        <v/>
      </c>
      <c r="G93" s="61" t="str">
        <f>IFERROR(__xludf.DUMMYFUNCTION("INDIRECT(""'收支紀錄'!G""&amp;TO_TEXT(ROW()-$C$72))"),"")</f>
        <v/>
      </c>
      <c r="H93" s="61" t="str">
        <f>IFERROR(__xludf.DUMMYFUNCTION("INDIRECT(""'收支紀錄'!H""&amp;TO_TEXT(ROW()-$C$72))"),"休閒娛樂")</f>
        <v>休閒娛樂</v>
      </c>
      <c r="I93" s="61" t="str">
        <f>IFERROR(__xludf.DUMMYFUNCTION("INDIRECT(""'收支紀錄'!I""&amp;TO_TEXT(ROW()-$C$72))"),"")</f>
        <v/>
      </c>
      <c r="J93" s="61" t="str">
        <f>IFERROR(__xludf.DUMMYFUNCTION("INDIRECT(""'收支紀錄'!J""&amp;TO_TEXT(ROW()-$C$72))"),"")</f>
        <v/>
      </c>
      <c r="K93" s="61" t="str">
        <f>IFERROR(__xludf.DUMMYFUNCTION("INDIRECT(""'收支紀錄'!K""&amp;TO_TEXT(ROW()-$C$72))"),"")</f>
        <v/>
      </c>
      <c r="L93" s="61" t="str">
        <f>IFERROR(__xludf.DUMMYFUNCTION("INDIRECT(""'收支紀錄'!L""&amp;TO_TEXT(ROW()-$C$72))"),"")</f>
        <v/>
      </c>
      <c r="M93" s="61" t="str">
        <f>IFERROR(__xludf.DUMMYFUNCTION("INDIRECT(""'收支紀錄'!M""&amp;TO_TEXT(ROW()-$C$72))"),"運動健身")</f>
        <v>運動健身</v>
      </c>
      <c r="N93" s="61" t="str">
        <f>IFERROR(__xludf.DUMMYFUNCTION("INDIRECT(""'收支紀錄'!N""&amp;TO_TEXT(ROW()-$C$72))"),"")</f>
        <v/>
      </c>
      <c r="O93" s="61" t="str">
        <f>IFERROR(__xludf.DUMMYFUNCTION("INDIRECT(""'收支紀錄'!O""&amp;TO_TEXT(ROW()-$C$72))"),"")</f>
        <v/>
      </c>
      <c r="P93" s="61" t="str">
        <f>IFERROR(__xludf.DUMMYFUNCTION("INDIRECT(""'收支紀錄'!P""&amp;TO_TEXT(ROW()-$C$72))"),"")</f>
        <v/>
      </c>
      <c r="Q93" s="61" t="str">
        <f>IFERROR(__xludf.DUMMYFUNCTION("INDIRECT(""'收支紀錄'!Q""&amp;TO_TEXT(ROW()-$C$72))"),"")</f>
        <v/>
      </c>
      <c r="R93" s="61" t="str">
        <f>IFERROR(__xludf.DUMMYFUNCTION("INDIRECT(""'收支紀錄'!R""&amp;TO_TEXT(ROW()-$C$72))"),"")</f>
        <v/>
      </c>
      <c r="S93" s="61" t="str">
        <f>IFERROR(__xludf.DUMMYFUNCTION("INDIRECT(""'收支紀錄'!S""&amp;TO_TEXT(ROW()-$C$72))"),"")</f>
        <v/>
      </c>
      <c r="T93" s="61" t="str">
        <f>IFERROR(__xludf.DUMMYFUNCTION("INDIRECT(""'收支紀錄'!T""&amp;TO_TEXT(ROW()-$C$72))"),"")</f>
        <v/>
      </c>
      <c r="U93" s="62" t="str">
        <f>IFERROR(__xludf.DUMMYFUNCTION("IF(T93=""是"",TEXTJOIN("""", TRUE, ""$"", TO_TEXT(C93), S93),"""")"),"")</f>
        <v/>
      </c>
    </row>
    <row r="94">
      <c r="A94" s="58">
        <f>IFERROR(__xludf.DUMMYFUNCTION("INDIRECT(""'收支紀錄'!A""&amp;TO_TEXT(ROW()-$C$72))"),45487.51670461806)</f>
        <v>45487.5167</v>
      </c>
      <c r="B94" s="59">
        <f>IFERROR(__xludf.DUMMYFUNCTION("IF(ISBLANK(D94), """", IF(ISDATE(D94), D94, IF(D94=""今天"", A94, IF(D94=""昨天 (-1 day)"", A94-1, IF(D94=""前天 (-2 days)"", A94-2, IF(D94=""明天 (+1 day)"", A94+1, DATE(LEFT(D94,4), MID(D94,5,2), RIGHT(D94,2))))))))"),45487.0)</f>
        <v>45487</v>
      </c>
      <c r="C94" s="60">
        <f>IFERROR(__xludf.DUMMYFUNCTION("INDIRECT(""'收支紀錄'!C""&amp;TO_TEXT(ROW()-$C$72))"),930.0)</f>
        <v>930</v>
      </c>
      <c r="D94" s="59">
        <f>IFERROR(__xludf.DUMMYFUNCTION("INDIRECT(""'收支紀錄'!D""&amp;TO_TEXT(ROW()-$C$72))"),45487.0)</f>
        <v>45487</v>
      </c>
      <c r="E94" s="61" t="str">
        <f>IFERROR(__xludf.DUMMYFUNCTION("INDIRECT(""'收支紀錄'!E""&amp;TO_TEXT(ROW()-$C$72))"),"")</f>
        <v/>
      </c>
      <c r="F94" s="61" t="str">
        <f>IFERROR(__xludf.DUMMYFUNCTION("INDIRECT(""'收支紀錄'!F""&amp;TO_TEXT(ROW()-$C$72))"),"")</f>
        <v/>
      </c>
      <c r="G94" s="61" t="str">
        <f>IFERROR(__xludf.DUMMYFUNCTION("INDIRECT(""'收支紀錄'!G""&amp;TO_TEXT(ROW()-$C$72))"),"")</f>
        <v/>
      </c>
      <c r="H94" s="61" t="str">
        <f>IFERROR(__xludf.DUMMYFUNCTION("INDIRECT(""'收支紀錄'!H""&amp;TO_TEXT(ROW()-$C$72))"),"行車交通")</f>
        <v>行車交通</v>
      </c>
      <c r="I94" s="61" t="str">
        <f>IFERROR(__xludf.DUMMYFUNCTION("INDIRECT(""'收支紀錄'!I""&amp;TO_TEXT(ROW()-$C$72))"),"")</f>
        <v/>
      </c>
      <c r="J94" s="61" t="str">
        <f>IFERROR(__xludf.DUMMYFUNCTION("INDIRECT(""'收支紀錄'!J""&amp;TO_TEXT(ROW()-$C$72))"),"")</f>
        <v/>
      </c>
      <c r="K94" s="61" t="str">
        <f>IFERROR(__xludf.DUMMYFUNCTION("INDIRECT(""'收支紀錄'!K""&amp;TO_TEXT(ROW()-$C$72))"),"")</f>
        <v/>
      </c>
      <c r="L94" s="61" t="str">
        <f>IFERROR(__xludf.DUMMYFUNCTION("INDIRECT(""'收支紀錄'!L""&amp;TO_TEXT(ROW()-$C$72))"),"高鐵")</f>
        <v>高鐵</v>
      </c>
      <c r="M94" s="61" t="str">
        <f>IFERROR(__xludf.DUMMYFUNCTION("INDIRECT(""'收支紀錄'!M""&amp;TO_TEXT(ROW()-$C$72))"),"")</f>
        <v/>
      </c>
      <c r="N94" s="61" t="str">
        <f>IFERROR(__xludf.DUMMYFUNCTION("INDIRECT(""'收支紀錄'!N""&amp;TO_TEXT(ROW()-$C$72))"),"")</f>
        <v/>
      </c>
      <c r="O94" s="61" t="str">
        <f>IFERROR(__xludf.DUMMYFUNCTION("INDIRECT(""'收支紀錄'!O""&amp;TO_TEXT(ROW()-$C$72))"),"")</f>
        <v/>
      </c>
      <c r="P94" s="61" t="str">
        <f>IFERROR(__xludf.DUMMYFUNCTION("INDIRECT(""'收支紀錄'!P""&amp;TO_TEXT(ROW()-$C$72))"),"")</f>
        <v/>
      </c>
      <c r="Q94" s="61" t="str">
        <f>IFERROR(__xludf.DUMMYFUNCTION("INDIRECT(""'收支紀錄'!Q""&amp;TO_TEXT(ROW()-$C$72))"),"")</f>
        <v/>
      </c>
      <c r="R94" s="61" t="str">
        <f>IFERROR(__xludf.DUMMYFUNCTION("INDIRECT(""'收支紀錄'!R""&amp;TO_TEXT(ROW()-$C$72))"),"")</f>
        <v/>
      </c>
      <c r="S94" s="61" t="str">
        <f>IFERROR(__xludf.DUMMYFUNCTION("INDIRECT(""'收支紀錄'!S""&amp;TO_TEXT(ROW()-$C$72))"),"")</f>
        <v/>
      </c>
      <c r="T94" s="61" t="str">
        <f>IFERROR(__xludf.DUMMYFUNCTION("INDIRECT(""'收支紀錄'!T""&amp;TO_TEXT(ROW()-$C$72))"),"")</f>
        <v/>
      </c>
      <c r="U94" s="62" t="str">
        <f>IFERROR(__xludf.DUMMYFUNCTION("IF(T94=""是"",TEXTJOIN("""", TRUE, ""$"", TO_TEXT(C94), S94),"""")"),"")</f>
        <v/>
      </c>
    </row>
    <row r="95">
      <c r="A95" s="58">
        <f>IFERROR(__xludf.DUMMYFUNCTION("INDIRECT(""'收支紀錄'!A""&amp;TO_TEXT(ROW()-$C$72))"),45487.517039502316)</f>
        <v>45487.51704</v>
      </c>
      <c r="B95" s="59">
        <f>IFERROR(__xludf.DUMMYFUNCTION("IF(ISBLANK(D95), """", IF(ISDATE(D95), D95, IF(D95=""今天"", A95, IF(D95=""昨天 (-1 day)"", A95-1, IF(D95=""前天 (-2 days)"", A95-2, IF(D95=""明天 (+1 day)"", A95+1, DATE(LEFT(D95,4), MID(D95,5,2), RIGHT(D95,2))))))))"),45487.0)</f>
        <v>45487</v>
      </c>
      <c r="C95" s="60">
        <f>IFERROR(__xludf.DUMMYFUNCTION("INDIRECT(""'收支紀錄'!C""&amp;TO_TEXT(ROW()-$C$72))"),205.0)</f>
        <v>205</v>
      </c>
      <c r="D95" s="59">
        <f>IFERROR(__xludf.DUMMYFUNCTION("INDIRECT(""'收支紀錄'!D""&amp;TO_TEXT(ROW()-$C$72))"),45487.0)</f>
        <v>45487</v>
      </c>
      <c r="E95" s="61" t="str">
        <f>IFERROR(__xludf.DUMMYFUNCTION("INDIRECT(""'收支紀錄'!E""&amp;TO_TEXT(ROW()-$C$72))"),"")</f>
        <v/>
      </c>
      <c r="F95" s="61" t="str">
        <f>IFERROR(__xludf.DUMMYFUNCTION("INDIRECT(""'收支紀錄'!F""&amp;TO_TEXT(ROW()-$C$72))"),"")</f>
        <v/>
      </c>
      <c r="G95" s="61" t="str">
        <f>IFERROR(__xludf.DUMMYFUNCTION("INDIRECT(""'收支紀錄'!G""&amp;TO_TEXT(ROW()-$C$72))"),"")</f>
        <v/>
      </c>
      <c r="H95" s="61" t="str">
        <f>IFERROR(__xludf.DUMMYFUNCTION("INDIRECT(""'收支紀錄'!H""&amp;TO_TEXT(ROW()-$C$72))"),"食品酒水")</f>
        <v>食品酒水</v>
      </c>
      <c r="I95" s="61" t="str">
        <f>IFERROR(__xludf.DUMMYFUNCTION("INDIRECT(""'收支紀錄'!I""&amp;TO_TEXT(ROW()-$C$72))"),"晚餐")</f>
        <v>晚餐</v>
      </c>
      <c r="J95" s="61" t="str">
        <f>IFERROR(__xludf.DUMMYFUNCTION("INDIRECT(""'收支紀錄'!J""&amp;TO_TEXT(ROW()-$C$72))"),"")</f>
        <v/>
      </c>
      <c r="K95" s="61" t="str">
        <f>IFERROR(__xludf.DUMMYFUNCTION("INDIRECT(""'收支紀錄'!K""&amp;TO_TEXT(ROW()-$C$72))"),"")</f>
        <v/>
      </c>
      <c r="L95" s="61" t="str">
        <f>IFERROR(__xludf.DUMMYFUNCTION("INDIRECT(""'收支紀錄'!L""&amp;TO_TEXT(ROW()-$C$72))"),"")</f>
        <v/>
      </c>
      <c r="M95" s="61" t="str">
        <f>IFERROR(__xludf.DUMMYFUNCTION("INDIRECT(""'收支紀錄'!M""&amp;TO_TEXT(ROW()-$C$72))"),"")</f>
        <v/>
      </c>
      <c r="N95" s="61" t="str">
        <f>IFERROR(__xludf.DUMMYFUNCTION("INDIRECT(""'收支紀錄'!N""&amp;TO_TEXT(ROW()-$C$72))"),"")</f>
        <v/>
      </c>
      <c r="O95" s="61" t="str">
        <f>IFERROR(__xludf.DUMMYFUNCTION("INDIRECT(""'收支紀錄'!O""&amp;TO_TEXT(ROW()-$C$72))"),"")</f>
        <v/>
      </c>
      <c r="P95" s="61" t="str">
        <f>IFERROR(__xludf.DUMMYFUNCTION("INDIRECT(""'收支紀錄'!P""&amp;TO_TEXT(ROW()-$C$72))"),"")</f>
        <v/>
      </c>
      <c r="Q95" s="61" t="str">
        <f>IFERROR(__xludf.DUMMYFUNCTION("INDIRECT(""'收支紀錄'!Q""&amp;TO_TEXT(ROW()-$C$72))"),"")</f>
        <v/>
      </c>
      <c r="R95" s="61" t="str">
        <f>IFERROR(__xludf.DUMMYFUNCTION("INDIRECT(""'收支紀錄'!R""&amp;TO_TEXT(ROW()-$C$72))"),"")</f>
        <v/>
      </c>
      <c r="S95" s="61" t="str">
        <f>IFERROR(__xludf.DUMMYFUNCTION("INDIRECT(""'收支紀錄'!S""&amp;TO_TEXT(ROW()-$C$72))"),"")</f>
        <v/>
      </c>
      <c r="T95" s="61" t="str">
        <f>IFERROR(__xludf.DUMMYFUNCTION("INDIRECT(""'收支紀錄'!T""&amp;TO_TEXT(ROW()-$C$72))"),"")</f>
        <v/>
      </c>
      <c r="U95" s="62" t="str">
        <f>IFERROR(__xludf.DUMMYFUNCTION("IF(T95=""是"",TEXTJOIN("""", TRUE, ""$"", TO_TEXT(C95), S95),"""")"),"")</f>
        <v/>
      </c>
    </row>
    <row r="96">
      <c r="A96" s="58">
        <f>IFERROR(__xludf.DUMMYFUNCTION("INDIRECT(""'收支紀錄'!A""&amp;TO_TEXT(ROW()-$C$72))"),45487.51720028935)</f>
        <v>45487.5172</v>
      </c>
      <c r="B96" s="59">
        <f>IFERROR(__xludf.DUMMYFUNCTION("IF(ISBLANK(D96), """", IF(ISDATE(D96), D96, IF(D96=""今天"", A96, IF(D96=""昨天 (-1 day)"", A96-1, IF(D96=""前天 (-2 days)"", A96-2, IF(D96=""明天 (+1 day)"", A96+1, DATE(LEFT(D96,4), MID(D96,5,2), RIGHT(D96,2))))))))"),45487.0)</f>
        <v>45487</v>
      </c>
      <c r="C96" s="60">
        <f>IFERROR(__xludf.DUMMYFUNCTION("INDIRECT(""'收支紀錄'!C""&amp;TO_TEXT(ROW()-$C$72))"),99.0)</f>
        <v>99</v>
      </c>
      <c r="D96" s="59">
        <f>IFERROR(__xludf.DUMMYFUNCTION("INDIRECT(""'收支紀錄'!D""&amp;TO_TEXT(ROW()-$C$72))"),45487.0)</f>
        <v>45487</v>
      </c>
      <c r="E96" s="61" t="str">
        <f>IFERROR(__xludf.DUMMYFUNCTION("INDIRECT(""'收支紀錄'!E""&amp;TO_TEXT(ROW()-$C$72))"),"")</f>
        <v/>
      </c>
      <c r="F96" s="61" t="str">
        <f>IFERROR(__xludf.DUMMYFUNCTION("INDIRECT(""'收支紀錄'!F""&amp;TO_TEXT(ROW()-$C$72))"),"")</f>
        <v/>
      </c>
      <c r="G96" s="61" t="str">
        <f>IFERROR(__xludf.DUMMYFUNCTION("INDIRECT(""'收支紀錄'!G""&amp;TO_TEXT(ROW()-$C$72))"),"")</f>
        <v/>
      </c>
      <c r="H96" s="61" t="str">
        <f>IFERROR(__xludf.DUMMYFUNCTION("INDIRECT(""'收支紀錄'!H""&amp;TO_TEXT(ROW()-$C$72))"),"食品酒水")</f>
        <v>食品酒水</v>
      </c>
      <c r="I96" s="61" t="str">
        <f>IFERROR(__xludf.DUMMYFUNCTION("INDIRECT(""'收支紀錄'!I""&amp;TO_TEXT(ROW()-$C$72))"),"宵夜")</f>
        <v>宵夜</v>
      </c>
      <c r="J96" s="61" t="str">
        <f>IFERROR(__xludf.DUMMYFUNCTION("INDIRECT(""'收支紀錄'!J""&amp;TO_TEXT(ROW()-$C$72))"),"")</f>
        <v/>
      </c>
      <c r="K96" s="61" t="str">
        <f>IFERROR(__xludf.DUMMYFUNCTION("INDIRECT(""'收支紀錄'!K""&amp;TO_TEXT(ROW()-$C$72))"),"")</f>
        <v/>
      </c>
      <c r="L96" s="61" t="str">
        <f>IFERROR(__xludf.DUMMYFUNCTION("INDIRECT(""'收支紀錄'!L""&amp;TO_TEXT(ROW()-$C$72))"),"")</f>
        <v/>
      </c>
      <c r="M96" s="61" t="str">
        <f>IFERROR(__xludf.DUMMYFUNCTION("INDIRECT(""'收支紀錄'!M""&amp;TO_TEXT(ROW()-$C$72))"),"")</f>
        <v/>
      </c>
      <c r="N96" s="61" t="str">
        <f>IFERROR(__xludf.DUMMYFUNCTION("INDIRECT(""'收支紀錄'!N""&amp;TO_TEXT(ROW()-$C$72))"),"")</f>
        <v/>
      </c>
      <c r="O96" s="61" t="str">
        <f>IFERROR(__xludf.DUMMYFUNCTION("INDIRECT(""'收支紀錄'!O""&amp;TO_TEXT(ROW()-$C$72))"),"")</f>
        <v/>
      </c>
      <c r="P96" s="61" t="str">
        <f>IFERROR(__xludf.DUMMYFUNCTION("INDIRECT(""'收支紀錄'!P""&amp;TO_TEXT(ROW()-$C$72))"),"")</f>
        <v/>
      </c>
      <c r="Q96" s="61" t="str">
        <f>IFERROR(__xludf.DUMMYFUNCTION("INDIRECT(""'收支紀錄'!Q""&amp;TO_TEXT(ROW()-$C$72))"),"")</f>
        <v/>
      </c>
      <c r="R96" s="61" t="str">
        <f>IFERROR(__xludf.DUMMYFUNCTION("INDIRECT(""'收支紀錄'!R""&amp;TO_TEXT(ROW()-$C$72))"),"")</f>
        <v/>
      </c>
      <c r="S96" s="61" t="str">
        <f>IFERROR(__xludf.DUMMYFUNCTION("INDIRECT(""'收支紀錄'!S""&amp;TO_TEXT(ROW()-$C$72))"),"")</f>
        <v/>
      </c>
      <c r="T96" s="61" t="str">
        <f>IFERROR(__xludf.DUMMYFUNCTION("INDIRECT(""'收支紀錄'!T""&amp;TO_TEXT(ROW()-$C$72))"),"")</f>
        <v/>
      </c>
      <c r="U96" s="62" t="str">
        <f>IFERROR(__xludf.DUMMYFUNCTION("IF(T96=""是"",TEXTJOIN("""", TRUE, ""$"", TO_TEXT(C96), S96),"""")"),"")</f>
        <v/>
      </c>
    </row>
    <row r="97">
      <c r="A97" s="58">
        <f>IFERROR(__xludf.DUMMYFUNCTION("INDIRECT(""'收支紀錄'!A""&amp;TO_TEXT(ROW()-$C$72))"),45487.51734261574)</f>
        <v>45487.51734</v>
      </c>
      <c r="B97" s="59">
        <f>IFERROR(__xludf.DUMMYFUNCTION("IF(ISBLANK(D97), """", IF(ISDATE(D97), D97, IF(D97=""今天"", A97, IF(D97=""昨天 (-1 day)"", A97-1, IF(D97=""前天 (-2 days)"", A97-2, IF(D97=""明天 (+1 day)"", A97+1, DATE(LEFT(D97,4), MID(D97,5,2), RIGHT(D97,2))))))))"),45487.0)</f>
        <v>45487</v>
      </c>
      <c r="C97" s="60">
        <f>IFERROR(__xludf.DUMMYFUNCTION("INDIRECT(""'收支紀錄'!C""&amp;TO_TEXT(ROW()-$C$72))"),379.0)</f>
        <v>379</v>
      </c>
      <c r="D97" s="59">
        <f>IFERROR(__xludf.DUMMYFUNCTION("INDIRECT(""'收支紀錄'!D""&amp;TO_TEXT(ROW()-$C$72))"),45487.0)</f>
        <v>45487</v>
      </c>
      <c r="E97" s="61" t="str">
        <f>IFERROR(__xludf.DUMMYFUNCTION("INDIRECT(""'收支紀錄'!E""&amp;TO_TEXT(ROW()-$C$72))"),"")</f>
        <v/>
      </c>
      <c r="F97" s="61" t="str">
        <f>IFERROR(__xludf.DUMMYFUNCTION("INDIRECT(""'收支紀錄'!F""&amp;TO_TEXT(ROW()-$C$72))"),"")</f>
        <v/>
      </c>
      <c r="G97" s="61" t="str">
        <f>IFERROR(__xludf.DUMMYFUNCTION("INDIRECT(""'收支紀錄'!G""&amp;TO_TEXT(ROW()-$C$72))"),"")</f>
        <v/>
      </c>
      <c r="H97" s="61" t="str">
        <f>IFERROR(__xludf.DUMMYFUNCTION("INDIRECT(""'收支紀錄'!H""&amp;TO_TEXT(ROW()-$C$72))"),"食品酒水")</f>
        <v>食品酒水</v>
      </c>
      <c r="I97" s="61" t="str">
        <f>IFERROR(__xludf.DUMMYFUNCTION("INDIRECT(""'收支紀錄'!I""&amp;TO_TEXT(ROW()-$C$72))"),"晚餐")</f>
        <v>晚餐</v>
      </c>
      <c r="J97" s="61" t="str">
        <f>IFERROR(__xludf.DUMMYFUNCTION("INDIRECT(""'收支紀錄'!J""&amp;TO_TEXT(ROW()-$C$72))"),"")</f>
        <v/>
      </c>
      <c r="K97" s="61" t="str">
        <f>IFERROR(__xludf.DUMMYFUNCTION("INDIRECT(""'收支紀錄'!K""&amp;TO_TEXT(ROW()-$C$72))"),"")</f>
        <v/>
      </c>
      <c r="L97" s="61" t="str">
        <f>IFERROR(__xludf.DUMMYFUNCTION("INDIRECT(""'收支紀錄'!L""&amp;TO_TEXT(ROW()-$C$72))"),"")</f>
        <v/>
      </c>
      <c r="M97" s="61" t="str">
        <f>IFERROR(__xludf.DUMMYFUNCTION("INDIRECT(""'收支紀錄'!M""&amp;TO_TEXT(ROW()-$C$72))"),"")</f>
        <v/>
      </c>
      <c r="N97" s="61" t="str">
        <f>IFERROR(__xludf.DUMMYFUNCTION("INDIRECT(""'收支紀錄'!N""&amp;TO_TEXT(ROW()-$C$72))"),"")</f>
        <v/>
      </c>
      <c r="O97" s="61" t="str">
        <f>IFERROR(__xludf.DUMMYFUNCTION("INDIRECT(""'收支紀錄'!O""&amp;TO_TEXT(ROW()-$C$72))"),"")</f>
        <v/>
      </c>
      <c r="P97" s="61" t="str">
        <f>IFERROR(__xludf.DUMMYFUNCTION("INDIRECT(""'收支紀錄'!P""&amp;TO_TEXT(ROW()-$C$72))"),"")</f>
        <v/>
      </c>
      <c r="Q97" s="61" t="str">
        <f>IFERROR(__xludf.DUMMYFUNCTION("INDIRECT(""'收支紀錄'!Q""&amp;TO_TEXT(ROW()-$C$72))"),"")</f>
        <v/>
      </c>
      <c r="R97" s="61" t="str">
        <f>IFERROR(__xludf.DUMMYFUNCTION("INDIRECT(""'收支紀錄'!R""&amp;TO_TEXT(ROW()-$C$72))"),"")</f>
        <v/>
      </c>
      <c r="S97" s="61" t="str">
        <f>IFERROR(__xludf.DUMMYFUNCTION("INDIRECT(""'收支紀錄'!S""&amp;TO_TEXT(ROW()-$C$72))"),"")</f>
        <v/>
      </c>
      <c r="T97" s="61" t="str">
        <f>IFERROR(__xludf.DUMMYFUNCTION("INDIRECT(""'收支紀錄'!T""&amp;TO_TEXT(ROW()-$C$72))"),"")</f>
        <v/>
      </c>
      <c r="U97" s="62" t="str">
        <f>IFERROR(__xludf.DUMMYFUNCTION("IF(T97=""是"",TEXTJOIN("""", TRUE, ""$"", TO_TEXT(C97), S97),"""")"),"")</f>
        <v/>
      </c>
    </row>
    <row r="98">
      <c r="A98" s="58">
        <f>IFERROR(__xludf.DUMMYFUNCTION("INDIRECT(""'收支紀錄'!A""&amp;TO_TEXT(ROW()-$C$72))"),45487.51752583333)</f>
        <v>45487.51753</v>
      </c>
      <c r="B98" s="59">
        <f>IFERROR(__xludf.DUMMYFUNCTION("IF(ISBLANK(D98), """", IF(ISDATE(D98), D98, IF(D98=""今天"", A98, IF(D98=""昨天 (-1 day)"", A98-1, IF(D98=""前天 (-2 days)"", A98-2, IF(D98=""明天 (+1 day)"", A98+1, DATE(LEFT(D98,4), MID(D98,5,2), RIGHT(D98,2))))))))"),45487.0)</f>
        <v>45487</v>
      </c>
      <c r="C98" s="60">
        <f>IFERROR(__xludf.DUMMYFUNCTION("INDIRECT(""'收支紀錄'!C""&amp;TO_TEXT(ROW()-$C$72))"),45.0)</f>
        <v>45</v>
      </c>
      <c r="D98" s="59">
        <f>IFERROR(__xludf.DUMMYFUNCTION("INDIRECT(""'收支紀錄'!D""&amp;TO_TEXT(ROW()-$C$72))"),45487.0)</f>
        <v>45487</v>
      </c>
      <c r="E98" s="61" t="str">
        <f>IFERROR(__xludf.DUMMYFUNCTION("INDIRECT(""'收支紀錄'!E""&amp;TO_TEXT(ROW()-$C$72))"),"")</f>
        <v/>
      </c>
      <c r="F98" s="61" t="str">
        <f>IFERROR(__xludf.DUMMYFUNCTION("INDIRECT(""'收支紀錄'!F""&amp;TO_TEXT(ROW()-$C$72))"),"")</f>
        <v/>
      </c>
      <c r="G98" s="61" t="str">
        <f>IFERROR(__xludf.DUMMYFUNCTION("INDIRECT(""'收支紀錄'!G""&amp;TO_TEXT(ROW()-$C$72))"),"")</f>
        <v/>
      </c>
      <c r="H98" s="61" t="str">
        <f>IFERROR(__xludf.DUMMYFUNCTION("INDIRECT(""'收支紀錄'!H""&amp;TO_TEXT(ROW()-$C$72))"),"行車交通")</f>
        <v>行車交通</v>
      </c>
      <c r="I98" s="61" t="str">
        <f>IFERROR(__xludf.DUMMYFUNCTION("INDIRECT(""'收支紀錄'!I""&amp;TO_TEXT(ROW()-$C$72))"),"")</f>
        <v/>
      </c>
      <c r="J98" s="61" t="str">
        <f>IFERROR(__xludf.DUMMYFUNCTION("INDIRECT(""'收支紀錄'!J""&amp;TO_TEXT(ROW()-$C$72))"),"")</f>
        <v/>
      </c>
      <c r="K98" s="61" t="str">
        <f>IFERROR(__xludf.DUMMYFUNCTION("INDIRECT(""'收支紀錄'!K""&amp;TO_TEXT(ROW()-$C$72))"),"")</f>
        <v/>
      </c>
      <c r="L98" s="61" t="str">
        <f>IFERROR(__xludf.DUMMYFUNCTION("INDIRECT(""'收支紀錄'!L""&amp;TO_TEXT(ROW()-$C$72))"),"停車")</f>
        <v>停車</v>
      </c>
      <c r="M98" s="61" t="str">
        <f>IFERROR(__xludf.DUMMYFUNCTION("INDIRECT(""'收支紀錄'!M""&amp;TO_TEXT(ROW()-$C$72))"),"")</f>
        <v/>
      </c>
      <c r="N98" s="61" t="str">
        <f>IFERROR(__xludf.DUMMYFUNCTION("INDIRECT(""'收支紀錄'!N""&amp;TO_TEXT(ROW()-$C$72))"),"")</f>
        <v/>
      </c>
      <c r="O98" s="61" t="str">
        <f>IFERROR(__xludf.DUMMYFUNCTION("INDIRECT(""'收支紀錄'!O""&amp;TO_TEXT(ROW()-$C$72))"),"")</f>
        <v/>
      </c>
      <c r="P98" s="61" t="str">
        <f>IFERROR(__xludf.DUMMYFUNCTION("INDIRECT(""'收支紀錄'!P""&amp;TO_TEXT(ROW()-$C$72))"),"")</f>
        <v/>
      </c>
      <c r="Q98" s="61" t="str">
        <f>IFERROR(__xludf.DUMMYFUNCTION("INDIRECT(""'收支紀錄'!Q""&amp;TO_TEXT(ROW()-$C$72))"),"")</f>
        <v/>
      </c>
      <c r="R98" s="61" t="str">
        <f>IFERROR(__xludf.DUMMYFUNCTION("INDIRECT(""'收支紀錄'!R""&amp;TO_TEXT(ROW()-$C$72))"),"")</f>
        <v/>
      </c>
      <c r="S98" s="61" t="str">
        <f>IFERROR(__xludf.DUMMYFUNCTION("INDIRECT(""'收支紀錄'!S""&amp;TO_TEXT(ROW()-$C$72))"),"")</f>
        <v/>
      </c>
      <c r="T98" s="61" t="str">
        <f>IFERROR(__xludf.DUMMYFUNCTION("INDIRECT(""'收支紀錄'!T""&amp;TO_TEXT(ROW()-$C$72))"),"")</f>
        <v/>
      </c>
      <c r="U98" s="62" t="str">
        <f>IFERROR(__xludf.DUMMYFUNCTION("IF(T98=""是"",TEXTJOIN("""", TRUE, ""$"", TO_TEXT(C98), S98),"""")"),"")</f>
        <v/>
      </c>
    </row>
    <row r="99">
      <c r="A99" s="58">
        <f>IFERROR(__xludf.DUMMYFUNCTION("INDIRECT(""'收支紀錄'!A""&amp;TO_TEXT(ROW()-$C$72))"),45487.51771238426)</f>
        <v>45487.51771</v>
      </c>
      <c r="B99" s="59">
        <f>IFERROR(__xludf.DUMMYFUNCTION("IF(ISBLANK(D99), """", IF(ISDATE(D99), D99, IF(D99=""今天"", A99, IF(D99=""昨天 (-1 day)"", A99-1, IF(D99=""前天 (-2 days)"", A99-2, IF(D99=""明天 (+1 day)"", A99+1, DATE(LEFT(D99,4), MID(D99,5,2), RIGHT(D99,2))))))))"),45487.0)</f>
        <v>45487</v>
      </c>
      <c r="C99" s="60">
        <f>IFERROR(__xludf.DUMMYFUNCTION("INDIRECT(""'收支紀錄'!C""&amp;TO_TEXT(ROW()-$C$72))"),798.0)</f>
        <v>798</v>
      </c>
      <c r="D99" s="59">
        <f>IFERROR(__xludf.DUMMYFUNCTION("INDIRECT(""'收支紀錄'!D""&amp;TO_TEXT(ROW()-$C$72))"),45487.0)</f>
        <v>45487</v>
      </c>
      <c r="E99" s="61" t="str">
        <f>IFERROR(__xludf.DUMMYFUNCTION("INDIRECT(""'收支紀錄'!E""&amp;TO_TEXT(ROW()-$C$72))"),"")</f>
        <v/>
      </c>
      <c r="F99" s="61" t="str">
        <f>IFERROR(__xludf.DUMMYFUNCTION("INDIRECT(""'收支紀錄'!F""&amp;TO_TEXT(ROW()-$C$72))"),"")</f>
        <v/>
      </c>
      <c r="G99" s="61" t="str">
        <f>IFERROR(__xludf.DUMMYFUNCTION("INDIRECT(""'收支紀錄'!G""&amp;TO_TEXT(ROW()-$C$72))"),"")</f>
        <v/>
      </c>
      <c r="H99" s="61" t="str">
        <f>IFERROR(__xludf.DUMMYFUNCTION("INDIRECT(""'收支紀錄'!H""&amp;TO_TEXT(ROW()-$C$72))"),"休閒娛樂")</f>
        <v>休閒娛樂</v>
      </c>
      <c r="I99" s="61" t="str">
        <f>IFERROR(__xludf.DUMMYFUNCTION("INDIRECT(""'收支紀錄'!I""&amp;TO_TEXT(ROW()-$C$72))"),"")</f>
        <v/>
      </c>
      <c r="J99" s="61" t="str">
        <f>IFERROR(__xludf.DUMMYFUNCTION("INDIRECT(""'收支紀錄'!J""&amp;TO_TEXT(ROW()-$C$72))"),"")</f>
        <v/>
      </c>
      <c r="K99" s="61" t="str">
        <f>IFERROR(__xludf.DUMMYFUNCTION("INDIRECT(""'收支紀錄'!K""&amp;TO_TEXT(ROW()-$C$72))"),"")</f>
        <v/>
      </c>
      <c r="L99" s="61" t="str">
        <f>IFERROR(__xludf.DUMMYFUNCTION("INDIRECT(""'收支紀錄'!L""&amp;TO_TEXT(ROW()-$C$72))"),"")</f>
        <v/>
      </c>
      <c r="M99" s="61" t="str">
        <f>IFERROR(__xludf.DUMMYFUNCTION("INDIRECT(""'收支紀錄'!M""&amp;TO_TEXT(ROW()-$C$72))"),"youtube Premium")</f>
        <v>youtube Premium</v>
      </c>
      <c r="N99" s="61" t="str">
        <f>IFERROR(__xludf.DUMMYFUNCTION("INDIRECT(""'收支紀錄'!N""&amp;TO_TEXT(ROW()-$C$72))"),"")</f>
        <v/>
      </c>
      <c r="O99" s="61" t="str">
        <f>IFERROR(__xludf.DUMMYFUNCTION("INDIRECT(""'收支紀錄'!O""&amp;TO_TEXT(ROW()-$C$72))"),"")</f>
        <v/>
      </c>
      <c r="P99" s="61" t="str">
        <f>IFERROR(__xludf.DUMMYFUNCTION("INDIRECT(""'收支紀錄'!P""&amp;TO_TEXT(ROW()-$C$72))"),"")</f>
        <v/>
      </c>
      <c r="Q99" s="61" t="str">
        <f>IFERROR(__xludf.DUMMYFUNCTION("INDIRECT(""'收支紀錄'!Q""&amp;TO_TEXT(ROW()-$C$72))"),"")</f>
        <v/>
      </c>
      <c r="R99" s="61" t="str">
        <f>IFERROR(__xludf.DUMMYFUNCTION("INDIRECT(""'收支紀錄'!R""&amp;TO_TEXT(ROW()-$C$72))"),"")</f>
        <v/>
      </c>
      <c r="S99" s="61" t="str">
        <f>IFERROR(__xludf.DUMMYFUNCTION("INDIRECT(""'收支紀錄'!S""&amp;TO_TEXT(ROW()-$C$72))"),"")</f>
        <v/>
      </c>
      <c r="T99" s="61" t="str">
        <f>IFERROR(__xludf.DUMMYFUNCTION("INDIRECT(""'收支紀錄'!T""&amp;TO_TEXT(ROW()-$C$72))"),"")</f>
        <v/>
      </c>
      <c r="U99" s="62" t="str">
        <f>IFERROR(__xludf.DUMMYFUNCTION("IF(T99=""是"",TEXTJOIN("""", TRUE, ""$"", TO_TEXT(C99), S99),"""")"),"")</f>
        <v/>
      </c>
    </row>
    <row r="100">
      <c r="A100" s="58">
        <f>IFERROR(__xludf.DUMMYFUNCTION("INDIRECT(""'收支紀錄'!A""&amp;TO_TEXT(ROW()-$C$72))"),45487.51787024306)</f>
        <v>45487.51787</v>
      </c>
      <c r="B100" s="59">
        <f>IFERROR(__xludf.DUMMYFUNCTION("IF(ISBLANK(D100), """", IF(ISDATE(D100), D100, IF(D100=""今天"", A100, IF(D100=""昨天 (-1 day)"", A100-1, IF(D100=""前天 (-2 days)"", A100-2, IF(D100=""明天 (+1 day)"", A100+1, DATE(LEFT(D100,4), MID(D100,5,2), RIGHT(D100,2))))))))"),45487.0)</f>
        <v>45487</v>
      </c>
      <c r="C100" s="60">
        <f>IFERROR(__xludf.DUMMYFUNCTION("INDIRECT(""'收支紀錄'!C""&amp;TO_TEXT(ROW()-$C$72))"),391.0)</f>
        <v>391</v>
      </c>
      <c r="D100" s="59">
        <f>IFERROR(__xludf.DUMMYFUNCTION("INDIRECT(""'收支紀錄'!D""&amp;TO_TEXT(ROW()-$C$72))"),45487.0)</f>
        <v>45487</v>
      </c>
      <c r="E100" s="61" t="str">
        <f>IFERROR(__xludf.DUMMYFUNCTION("INDIRECT(""'收支紀錄'!E""&amp;TO_TEXT(ROW()-$C$72))"),"")</f>
        <v/>
      </c>
      <c r="F100" s="61" t="str">
        <f>IFERROR(__xludf.DUMMYFUNCTION("INDIRECT(""'收支紀錄'!F""&amp;TO_TEXT(ROW()-$C$72))"),"")</f>
        <v/>
      </c>
      <c r="G100" s="61" t="str">
        <f>IFERROR(__xludf.DUMMYFUNCTION("INDIRECT(""'收支紀錄'!G""&amp;TO_TEXT(ROW()-$C$72))"),"")</f>
        <v/>
      </c>
      <c r="H100" s="61" t="str">
        <f>IFERROR(__xludf.DUMMYFUNCTION("INDIRECT(""'收支紀錄'!H""&amp;TO_TEXT(ROW()-$C$72))"),"食品酒水")</f>
        <v>食品酒水</v>
      </c>
      <c r="I100" s="61" t="str">
        <f>IFERROR(__xludf.DUMMYFUNCTION("INDIRECT(""'收支紀錄'!I""&amp;TO_TEXT(ROW()-$C$72))"),"晚餐")</f>
        <v>晚餐</v>
      </c>
      <c r="J100" s="61" t="str">
        <f>IFERROR(__xludf.DUMMYFUNCTION("INDIRECT(""'收支紀錄'!J""&amp;TO_TEXT(ROW()-$C$72))"),"")</f>
        <v/>
      </c>
      <c r="K100" s="61" t="str">
        <f>IFERROR(__xludf.DUMMYFUNCTION("INDIRECT(""'收支紀錄'!K""&amp;TO_TEXT(ROW()-$C$72))"),"")</f>
        <v/>
      </c>
      <c r="L100" s="61" t="str">
        <f>IFERROR(__xludf.DUMMYFUNCTION("INDIRECT(""'收支紀錄'!L""&amp;TO_TEXT(ROW()-$C$72))"),"")</f>
        <v/>
      </c>
      <c r="M100" s="61" t="str">
        <f>IFERROR(__xludf.DUMMYFUNCTION("INDIRECT(""'收支紀錄'!M""&amp;TO_TEXT(ROW()-$C$72))"),"")</f>
        <v/>
      </c>
      <c r="N100" s="61" t="str">
        <f>IFERROR(__xludf.DUMMYFUNCTION("INDIRECT(""'收支紀錄'!N""&amp;TO_TEXT(ROW()-$C$72))"),"")</f>
        <v/>
      </c>
      <c r="O100" s="61" t="str">
        <f>IFERROR(__xludf.DUMMYFUNCTION("INDIRECT(""'收支紀錄'!O""&amp;TO_TEXT(ROW()-$C$72))"),"")</f>
        <v/>
      </c>
      <c r="P100" s="61" t="str">
        <f>IFERROR(__xludf.DUMMYFUNCTION("INDIRECT(""'收支紀錄'!P""&amp;TO_TEXT(ROW()-$C$72))"),"")</f>
        <v/>
      </c>
      <c r="Q100" s="61" t="str">
        <f>IFERROR(__xludf.DUMMYFUNCTION("INDIRECT(""'收支紀錄'!Q""&amp;TO_TEXT(ROW()-$C$72))"),"")</f>
        <v/>
      </c>
      <c r="R100" s="61" t="str">
        <f>IFERROR(__xludf.DUMMYFUNCTION("INDIRECT(""'收支紀錄'!R""&amp;TO_TEXT(ROW()-$C$72))"),"")</f>
        <v/>
      </c>
      <c r="S100" s="61" t="str">
        <f>IFERROR(__xludf.DUMMYFUNCTION("INDIRECT(""'收支紀錄'!S""&amp;TO_TEXT(ROW()-$C$72))"),"")</f>
        <v/>
      </c>
      <c r="T100" s="61" t="str">
        <f>IFERROR(__xludf.DUMMYFUNCTION("INDIRECT(""'收支紀錄'!T""&amp;TO_TEXT(ROW()-$C$72))"),"")</f>
        <v/>
      </c>
      <c r="U100" s="62" t="str">
        <f>IFERROR(__xludf.DUMMYFUNCTION("IF(T100=""是"",TEXTJOIN("""", TRUE, ""$"", TO_TEXT(C100), S100),"""")"),"")</f>
        <v/>
      </c>
    </row>
    <row r="101">
      <c r="A101" s="58">
        <f>IFERROR(__xludf.DUMMYFUNCTION("INDIRECT(""'收支紀錄'!A""&amp;TO_TEXT(ROW()-$C$72))"),45487.518051527775)</f>
        <v>45487.51805</v>
      </c>
      <c r="B101" s="59">
        <f>IFERROR(__xludf.DUMMYFUNCTION("IF(ISBLANK(D101), """", IF(ISDATE(D101), D101, IF(D101=""今天"", A101, IF(D101=""昨天 (-1 day)"", A101-1, IF(D101=""前天 (-2 days)"", A101-2, IF(D101=""明天 (+1 day)"", A101+1, DATE(LEFT(D101,4), MID(D101,5,2), RIGHT(D101,2))))))))"),45487.0)</f>
        <v>45487</v>
      </c>
      <c r="C101" s="60">
        <f>IFERROR(__xludf.DUMMYFUNCTION("INDIRECT(""'收支紀錄'!C""&amp;TO_TEXT(ROW()-$C$72))"),50.0)</f>
        <v>50</v>
      </c>
      <c r="D101" s="59">
        <f>IFERROR(__xludf.DUMMYFUNCTION("INDIRECT(""'收支紀錄'!D""&amp;TO_TEXT(ROW()-$C$72))"),45487.0)</f>
        <v>45487</v>
      </c>
      <c r="E101" s="61" t="str">
        <f>IFERROR(__xludf.DUMMYFUNCTION("INDIRECT(""'收支紀錄'!E""&amp;TO_TEXT(ROW()-$C$72))"),"")</f>
        <v/>
      </c>
      <c r="F101" s="61" t="str">
        <f>IFERROR(__xludf.DUMMYFUNCTION("INDIRECT(""'收支紀錄'!F""&amp;TO_TEXT(ROW()-$C$72))"),"")</f>
        <v/>
      </c>
      <c r="G101" s="61" t="str">
        <f>IFERROR(__xludf.DUMMYFUNCTION("INDIRECT(""'收支紀錄'!G""&amp;TO_TEXT(ROW()-$C$72))"),"")</f>
        <v/>
      </c>
      <c r="H101" s="61" t="str">
        <f>IFERROR(__xludf.DUMMYFUNCTION("INDIRECT(""'收支紀錄'!H""&amp;TO_TEXT(ROW()-$C$72))"),"行車交通")</f>
        <v>行車交通</v>
      </c>
      <c r="I101" s="61" t="str">
        <f>IFERROR(__xludf.DUMMYFUNCTION("INDIRECT(""'收支紀錄'!I""&amp;TO_TEXT(ROW()-$C$72))"),"")</f>
        <v/>
      </c>
      <c r="J101" s="61" t="str">
        <f>IFERROR(__xludf.DUMMYFUNCTION("INDIRECT(""'收支紀錄'!J""&amp;TO_TEXT(ROW()-$C$72))"),"")</f>
        <v/>
      </c>
      <c r="K101" s="61" t="str">
        <f>IFERROR(__xludf.DUMMYFUNCTION("INDIRECT(""'收支紀錄'!K""&amp;TO_TEXT(ROW()-$C$72))"),"")</f>
        <v/>
      </c>
      <c r="L101" s="61" t="str">
        <f>IFERROR(__xludf.DUMMYFUNCTION("INDIRECT(""'收支紀錄'!L""&amp;TO_TEXT(ROW()-$C$72))"),"停車")</f>
        <v>停車</v>
      </c>
      <c r="M101" s="61" t="str">
        <f>IFERROR(__xludf.DUMMYFUNCTION("INDIRECT(""'收支紀錄'!M""&amp;TO_TEXT(ROW()-$C$72))"),"")</f>
        <v/>
      </c>
      <c r="N101" s="61" t="str">
        <f>IFERROR(__xludf.DUMMYFUNCTION("INDIRECT(""'收支紀錄'!N""&amp;TO_TEXT(ROW()-$C$72))"),"")</f>
        <v/>
      </c>
      <c r="O101" s="61" t="str">
        <f>IFERROR(__xludf.DUMMYFUNCTION("INDIRECT(""'收支紀錄'!O""&amp;TO_TEXT(ROW()-$C$72))"),"")</f>
        <v/>
      </c>
      <c r="P101" s="61" t="str">
        <f>IFERROR(__xludf.DUMMYFUNCTION("INDIRECT(""'收支紀錄'!P""&amp;TO_TEXT(ROW()-$C$72))"),"")</f>
        <v/>
      </c>
      <c r="Q101" s="61" t="str">
        <f>IFERROR(__xludf.DUMMYFUNCTION("INDIRECT(""'收支紀錄'!Q""&amp;TO_TEXT(ROW()-$C$72))"),"")</f>
        <v/>
      </c>
      <c r="R101" s="61" t="str">
        <f>IFERROR(__xludf.DUMMYFUNCTION("INDIRECT(""'收支紀錄'!R""&amp;TO_TEXT(ROW()-$C$72))"),"")</f>
        <v/>
      </c>
      <c r="S101" s="61" t="str">
        <f>IFERROR(__xludf.DUMMYFUNCTION("INDIRECT(""'收支紀錄'!S""&amp;TO_TEXT(ROW()-$C$72))"),"")</f>
        <v/>
      </c>
      <c r="T101" s="61" t="str">
        <f>IFERROR(__xludf.DUMMYFUNCTION("INDIRECT(""'收支紀錄'!T""&amp;TO_TEXT(ROW()-$C$72))"),"")</f>
        <v/>
      </c>
      <c r="U101" s="62" t="str">
        <f>IFERROR(__xludf.DUMMYFUNCTION("IF(T101=""是"",TEXTJOIN("""", TRUE, ""$"", TO_TEXT(C101), S101),"""")"),"")</f>
        <v/>
      </c>
    </row>
    <row r="102">
      <c r="A102" s="58">
        <f>IFERROR(__xludf.DUMMYFUNCTION("INDIRECT(""'收支紀錄'!A""&amp;TO_TEXT(ROW()-$C$72))"),45487.51847319445)</f>
        <v>45487.51847</v>
      </c>
      <c r="B102" s="59">
        <f>IFERROR(__xludf.DUMMYFUNCTION("IF(ISBLANK(D102), """", IF(ISDATE(D102), D102, IF(D102=""今天"", A102, IF(D102=""昨天 (-1 day)"", A102-1, IF(D102=""前天 (-2 days)"", A102-2, IF(D102=""明天 (+1 day)"", A102+1, DATE(LEFT(D102,4), MID(D102,5,2), RIGHT(D102,2))))))))"),45487.0)</f>
        <v>45487</v>
      </c>
      <c r="C102" s="60">
        <f>IFERROR(__xludf.DUMMYFUNCTION("INDIRECT(""'收支紀錄'!C""&amp;TO_TEXT(ROW()-$C$72))"),250.0)</f>
        <v>250</v>
      </c>
      <c r="D102" s="59">
        <f>IFERROR(__xludf.DUMMYFUNCTION("INDIRECT(""'收支紀錄'!D""&amp;TO_TEXT(ROW()-$C$72))"),45487.0)</f>
        <v>45487</v>
      </c>
      <c r="E102" s="61" t="str">
        <f>IFERROR(__xludf.DUMMYFUNCTION("INDIRECT(""'收支紀錄'!E""&amp;TO_TEXT(ROW()-$C$72))"),"")</f>
        <v/>
      </c>
      <c r="F102" s="61" t="str">
        <f>IFERROR(__xludf.DUMMYFUNCTION("INDIRECT(""'收支紀錄'!F""&amp;TO_TEXT(ROW()-$C$72))"),"")</f>
        <v/>
      </c>
      <c r="G102" s="61" t="str">
        <f>IFERROR(__xludf.DUMMYFUNCTION("INDIRECT(""'收支紀錄'!G""&amp;TO_TEXT(ROW()-$C$72))"),"")</f>
        <v/>
      </c>
      <c r="H102" s="61" t="str">
        <f>IFERROR(__xludf.DUMMYFUNCTION("INDIRECT(""'收支紀錄'!H""&amp;TO_TEXT(ROW()-$C$72))"),"食品酒水")</f>
        <v>食品酒水</v>
      </c>
      <c r="I102" s="61" t="str">
        <f>IFERROR(__xludf.DUMMYFUNCTION("INDIRECT(""'收支紀錄'!I""&amp;TO_TEXT(ROW()-$C$72))"),"宵夜")</f>
        <v>宵夜</v>
      </c>
      <c r="J102" s="61" t="str">
        <f>IFERROR(__xludf.DUMMYFUNCTION("INDIRECT(""'收支紀錄'!J""&amp;TO_TEXT(ROW()-$C$72))"),"")</f>
        <v/>
      </c>
      <c r="K102" s="61" t="str">
        <f>IFERROR(__xludf.DUMMYFUNCTION("INDIRECT(""'收支紀錄'!K""&amp;TO_TEXT(ROW()-$C$72))"),"")</f>
        <v/>
      </c>
      <c r="L102" s="61" t="str">
        <f>IFERROR(__xludf.DUMMYFUNCTION("INDIRECT(""'收支紀錄'!L""&amp;TO_TEXT(ROW()-$C$72))"),"")</f>
        <v/>
      </c>
      <c r="M102" s="61" t="str">
        <f>IFERROR(__xludf.DUMMYFUNCTION("INDIRECT(""'收支紀錄'!M""&amp;TO_TEXT(ROW()-$C$72))"),"")</f>
        <v/>
      </c>
      <c r="N102" s="61" t="str">
        <f>IFERROR(__xludf.DUMMYFUNCTION("INDIRECT(""'收支紀錄'!N""&amp;TO_TEXT(ROW()-$C$72))"),"")</f>
        <v/>
      </c>
      <c r="O102" s="61" t="str">
        <f>IFERROR(__xludf.DUMMYFUNCTION("INDIRECT(""'收支紀錄'!O""&amp;TO_TEXT(ROW()-$C$72))"),"")</f>
        <v/>
      </c>
      <c r="P102" s="61" t="str">
        <f>IFERROR(__xludf.DUMMYFUNCTION("INDIRECT(""'收支紀錄'!P""&amp;TO_TEXT(ROW()-$C$72))"),"")</f>
        <v/>
      </c>
      <c r="Q102" s="61" t="str">
        <f>IFERROR(__xludf.DUMMYFUNCTION("INDIRECT(""'收支紀錄'!Q""&amp;TO_TEXT(ROW()-$C$72))"),"")</f>
        <v/>
      </c>
      <c r="R102" s="61" t="str">
        <f>IFERROR(__xludf.DUMMYFUNCTION("INDIRECT(""'收支紀錄'!R""&amp;TO_TEXT(ROW()-$C$72))"),"")</f>
        <v/>
      </c>
      <c r="S102" s="61" t="str">
        <f>IFERROR(__xludf.DUMMYFUNCTION("INDIRECT(""'收支紀錄'!S""&amp;TO_TEXT(ROW()-$C$72))"),"")</f>
        <v/>
      </c>
      <c r="T102" s="61" t="str">
        <f>IFERROR(__xludf.DUMMYFUNCTION("INDIRECT(""'收支紀錄'!T""&amp;TO_TEXT(ROW()-$C$72))"),"")</f>
        <v/>
      </c>
      <c r="U102" s="62" t="str">
        <f>IFERROR(__xludf.DUMMYFUNCTION("IF(T102=""是"",TEXTJOIN("""", TRUE, ""$"", TO_TEXT(C102), S102),"""")"),"")</f>
        <v/>
      </c>
    </row>
    <row r="103">
      <c r="A103" s="58">
        <f>IFERROR(__xludf.DUMMYFUNCTION("INDIRECT(""'收支紀錄'!A""&amp;TO_TEXT(ROW()-$C$72))"),45487.51867954861)</f>
        <v>45487.51868</v>
      </c>
      <c r="B103" s="59">
        <f>IFERROR(__xludf.DUMMYFUNCTION("IF(ISBLANK(D103), """", IF(ISDATE(D103), D103, IF(D103=""今天"", A103, IF(D103=""昨天 (-1 day)"", A103-1, IF(D103=""前天 (-2 days)"", A103-2, IF(D103=""明天 (+1 day)"", A103+1, DATE(LEFT(D103,4), MID(D103,5,2), RIGHT(D103,2))))))))"),45487.0)</f>
        <v>45487</v>
      </c>
      <c r="C103" s="60">
        <f>IFERROR(__xludf.DUMMYFUNCTION("INDIRECT(""'收支紀錄'!C""&amp;TO_TEXT(ROW()-$C$72))"),460.0)</f>
        <v>460</v>
      </c>
      <c r="D103" s="59">
        <f>IFERROR(__xludf.DUMMYFUNCTION("INDIRECT(""'收支紀錄'!D""&amp;TO_TEXT(ROW()-$C$72))"),45487.0)</f>
        <v>45487</v>
      </c>
      <c r="E103" s="61" t="str">
        <f>IFERROR(__xludf.DUMMYFUNCTION("INDIRECT(""'收支紀錄'!E""&amp;TO_TEXT(ROW()-$C$72))"),"")</f>
        <v/>
      </c>
      <c r="F103" s="61" t="str">
        <f>IFERROR(__xludf.DUMMYFUNCTION("INDIRECT(""'收支紀錄'!F""&amp;TO_TEXT(ROW()-$C$72))"),"")</f>
        <v/>
      </c>
      <c r="G103" s="61" t="str">
        <f>IFERROR(__xludf.DUMMYFUNCTION("INDIRECT(""'收支紀錄'!G""&amp;TO_TEXT(ROW()-$C$72))"),"")</f>
        <v/>
      </c>
      <c r="H103" s="61" t="str">
        <f>IFERROR(__xludf.DUMMYFUNCTION("INDIRECT(""'收支紀錄'!H""&amp;TO_TEXT(ROW()-$C$72))"),"行車交通")</f>
        <v>行車交通</v>
      </c>
      <c r="I103" s="61" t="str">
        <f>IFERROR(__xludf.DUMMYFUNCTION("INDIRECT(""'收支紀錄'!I""&amp;TO_TEXT(ROW()-$C$72))"),"")</f>
        <v/>
      </c>
      <c r="J103" s="61" t="str">
        <f>IFERROR(__xludf.DUMMYFUNCTION("INDIRECT(""'收支紀錄'!J""&amp;TO_TEXT(ROW()-$C$72))"),"")</f>
        <v/>
      </c>
      <c r="K103" s="61" t="str">
        <f>IFERROR(__xludf.DUMMYFUNCTION("INDIRECT(""'收支紀錄'!K""&amp;TO_TEXT(ROW()-$C$72))"),"")</f>
        <v/>
      </c>
      <c r="L103" s="61" t="str">
        <f>IFERROR(__xludf.DUMMYFUNCTION("INDIRECT(""'收支紀錄'!L""&amp;TO_TEXT(ROW()-$C$72))"),"火車費")</f>
        <v>火車費</v>
      </c>
      <c r="M103" s="61" t="str">
        <f>IFERROR(__xludf.DUMMYFUNCTION("INDIRECT(""'收支紀錄'!M""&amp;TO_TEXT(ROW()-$C$72))"),"")</f>
        <v/>
      </c>
      <c r="N103" s="61" t="str">
        <f>IFERROR(__xludf.DUMMYFUNCTION("INDIRECT(""'收支紀錄'!N""&amp;TO_TEXT(ROW()-$C$72))"),"")</f>
        <v/>
      </c>
      <c r="O103" s="61" t="str">
        <f>IFERROR(__xludf.DUMMYFUNCTION("INDIRECT(""'收支紀錄'!O""&amp;TO_TEXT(ROW()-$C$72))"),"")</f>
        <v/>
      </c>
      <c r="P103" s="61" t="str">
        <f>IFERROR(__xludf.DUMMYFUNCTION("INDIRECT(""'收支紀錄'!P""&amp;TO_TEXT(ROW()-$C$72))"),"")</f>
        <v/>
      </c>
      <c r="Q103" s="61" t="str">
        <f>IFERROR(__xludf.DUMMYFUNCTION("INDIRECT(""'收支紀錄'!Q""&amp;TO_TEXT(ROW()-$C$72))"),"")</f>
        <v/>
      </c>
      <c r="R103" s="61" t="str">
        <f>IFERROR(__xludf.DUMMYFUNCTION("INDIRECT(""'收支紀錄'!R""&amp;TO_TEXT(ROW()-$C$72))"),"")</f>
        <v/>
      </c>
      <c r="S103" s="61" t="str">
        <f>IFERROR(__xludf.DUMMYFUNCTION("INDIRECT(""'收支紀錄'!S""&amp;TO_TEXT(ROW()-$C$72))"),"")</f>
        <v/>
      </c>
      <c r="T103" s="61" t="str">
        <f>IFERROR(__xludf.DUMMYFUNCTION("INDIRECT(""'收支紀錄'!T""&amp;TO_TEXT(ROW()-$C$72))"),"")</f>
        <v/>
      </c>
      <c r="U103" s="62" t="str">
        <f>IFERROR(__xludf.DUMMYFUNCTION("IF(T103=""是"",TEXTJOIN("""", TRUE, ""$"", TO_TEXT(C103), S103),"""")"),"")</f>
        <v/>
      </c>
    </row>
    <row r="104">
      <c r="A104" s="58">
        <f>IFERROR(__xludf.DUMMYFUNCTION("INDIRECT(""'收支紀錄'!A""&amp;TO_TEXT(ROW()-$C$72))"),45487.91049736111)</f>
        <v>45487.9105</v>
      </c>
      <c r="B104" s="59">
        <f>IFERROR(__xludf.DUMMYFUNCTION("IF(ISBLANK(D104), """", IF(ISDATE(D104), D104, IF(D104=""今天"", A104, IF(D104=""昨天 (-1 day)"", A104-1, IF(D104=""前天 (-2 days)"", A104-2, IF(D104=""明天 (+1 day)"", A104+1, DATE(LEFT(D104,4), MID(D104,5,2), RIGHT(D104,2))))))))"),45487.0)</f>
        <v>45487</v>
      </c>
      <c r="C104" s="60">
        <f>IFERROR(__xludf.DUMMYFUNCTION("INDIRECT(""'收支紀錄'!C""&amp;TO_TEXT(ROW()-$C$72))"),1118.0)</f>
        <v>1118</v>
      </c>
      <c r="D104" s="59">
        <f>IFERROR(__xludf.DUMMYFUNCTION("INDIRECT(""'收支紀錄'!D""&amp;TO_TEXT(ROW()-$C$72))"),45487.0)</f>
        <v>45487</v>
      </c>
      <c r="E104" s="61" t="str">
        <f>IFERROR(__xludf.DUMMYFUNCTION("INDIRECT(""'收支紀錄'!E""&amp;TO_TEXT(ROW()-$C$72))"),"")</f>
        <v/>
      </c>
      <c r="F104" s="61" t="str">
        <f>IFERROR(__xludf.DUMMYFUNCTION("INDIRECT(""'收支紀錄'!F""&amp;TO_TEXT(ROW()-$C$72))"),"")</f>
        <v/>
      </c>
      <c r="G104" s="61" t="str">
        <f>IFERROR(__xludf.DUMMYFUNCTION("INDIRECT(""'收支紀錄'!G""&amp;TO_TEXT(ROW()-$C$72))"),"")</f>
        <v/>
      </c>
      <c r="H104" s="61" t="str">
        <f>IFERROR(__xludf.DUMMYFUNCTION("INDIRECT(""'收支紀錄'!H""&amp;TO_TEXT(ROW()-$C$72))"),"食品酒水")</f>
        <v>食品酒水</v>
      </c>
      <c r="I104" s="61" t="str">
        <f>IFERROR(__xludf.DUMMYFUNCTION("INDIRECT(""'收支紀錄'!I""&amp;TO_TEXT(ROW()-$C$72))"),"食材")</f>
        <v>食材</v>
      </c>
      <c r="J104" s="61" t="str">
        <f>IFERROR(__xludf.DUMMYFUNCTION("INDIRECT(""'收支紀錄'!J""&amp;TO_TEXT(ROW()-$C$72))"),"")</f>
        <v/>
      </c>
      <c r="K104" s="61" t="str">
        <f>IFERROR(__xludf.DUMMYFUNCTION("INDIRECT(""'收支紀錄'!K""&amp;TO_TEXT(ROW()-$C$72))"),"")</f>
        <v/>
      </c>
      <c r="L104" s="61" t="str">
        <f>IFERROR(__xludf.DUMMYFUNCTION("INDIRECT(""'收支紀錄'!L""&amp;TO_TEXT(ROW()-$C$72))"),"")</f>
        <v/>
      </c>
      <c r="M104" s="61" t="str">
        <f>IFERROR(__xludf.DUMMYFUNCTION("INDIRECT(""'收支紀錄'!M""&amp;TO_TEXT(ROW()-$C$72))"),"")</f>
        <v/>
      </c>
      <c r="N104" s="61" t="str">
        <f>IFERROR(__xludf.DUMMYFUNCTION("INDIRECT(""'收支紀錄'!N""&amp;TO_TEXT(ROW()-$C$72))"),"")</f>
        <v/>
      </c>
      <c r="O104" s="61" t="str">
        <f>IFERROR(__xludf.DUMMYFUNCTION("INDIRECT(""'收支紀錄'!O""&amp;TO_TEXT(ROW()-$C$72))"),"")</f>
        <v/>
      </c>
      <c r="P104" s="61" t="str">
        <f>IFERROR(__xludf.DUMMYFUNCTION("INDIRECT(""'收支紀錄'!P""&amp;TO_TEXT(ROW()-$C$72))"),"")</f>
        <v/>
      </c>
      <c r="Q104" s="61" t="str">
        <f>IFERROR(__xludf.DUMMYFUNCTION("INDIRECT(""'收支紀錄'!Q""&amp;TO_TEXT(ROW()-$C$72))"),"")</f>
        <v/>
      </c>
      <c r="R104" s="61" t="str">
        <f>IFERROR(__xludf.DUMMYFUNCTION("INDIRECT(""'收支紀錄'!R""&amp;TO_TEXT(ROW()-$C$72))"),"")</f>
        <v/>
      </c>
      <c r="S104" s="61" t="str">
        <f>IFERROR(__xludf.DUMMYFUNCTION("INDIRECT(""'收支紀錄'!S""&amp;TO_TEXT(ROW()-$C$72))"),"")</f>
        <v/>
      </c>
      <c r="T104" s="61" t="str">
        <f>IFERROR(__xludf.DUMMYFUNCTION("INDIRECT(""'收支紀錄'!T""&amp;TO_TEXT(ROW()-$C$72))"),"")</f>
        <v/>
      </c>
      <c r="U104" s="62" t="str">
        <f>IFERROR(__xludf.DUMMYFUNCTION("IF(T104=""是"",TEXTJOIN("""", TRUE, ""$"", TO_TEXT(C104), S104),"""")"),"")</f>
        <v/>
      </c>
    </row>
    <row r="105">
      <c r="A105" s="58">
        <f>IFERROR(__xludf.DUMMYFUNCTION("INDIRECT(""'收支紀錄'!A""&amp;TO_TEXT(ROW()-$C$72))"),45488.3498306713)</f>
        <v>45488.34983</v>
      </c>
      <c r="B105" s="59">
        <f>IFERROR(__xludf.DUMMYFUNCTION("IF(ISBLANK(D105), """", IF(ISDATE(D105), D105, IF(D105=""今天"", A105, IF(D105=""昨天 (-1 day)"", A105-1, IF(D105=""前天 (-2 days)"", A105-2, IF(D105=""明天 (+1 day)"", A105+1, DATE(LEFT(D105,4), MID(D105,5,2), RIGHT(D105,2))))))))"),45488.0)</f>
        <v>45488</v>
      </c>
      <c r="C105" s="60">
        <f>IFERROR(__xludf.DUMMYFUNCTION("INDIRECT(""'收支紀錄'!C""&amp;TO_TEXT(ROW()-$C$72))"),82.0)</f>
        <v>82</v>
      </c>
      <c r="D105" s="59">
        <f>IFERROR(__xludf.DUMMYFUNCTION("INDIRECT(""'收支紀錄'!D""&amp;TO_TEXT(ROW()-$C$72))"),45488.0)</f>
        <v>45488</v>
      </c>
      <c r="E105" s="61" t="str">
        <f>IFERROR(__xludf.DUMMYFUNCTION("INDIRECT(""'收支紀錄'!E""&amp;TO_TEXT(ROW()-$C$72))"),"")</f>
        <v/>
      </c>
      <c r="F105" s="61" t="str">
        <f>IFERROR(__xludf.DUMMYFUNCTION("INDIRECT(""'收支紀錄'!F""&amp;TO_TEXT(ROW()-$C$72))"),"")</f>
        <v/>
      </c>
      <c r="G105" s="61" t="str">
        <f>IFERROR(__xludf.DUMMYFUNCTION("INDIRECT(""'收支紀錄'!G""&amp;TO_TEXT(ROW()-$C$72))"),"")</f>
        <v/>
      </c>
      <c r="H105" s="61" t="str">
        <f>IFERROR(__xludf.DUMMYFUNCTION("INDIRECT(""'收支紀錄'!H""&amp;TO_TEXT(ROW()-$C$72))"),"行車交通")</f>
        <v>行車交通</v>
      </c>
      <c r="I105" s="61" t="str">
        <f>IFERROR(__xludf.DUMMYFUNCTION("INDIRECT(""'收支紀錄'!I""&amp;TO_TEXT(ROW()-$C$72))"),"")</f>
        <v/>
      </c>
      <c r="J105" s="61" t="str">
        <f>IFERROR(__xludf.DUMMYFUNCTION("INDIRECT(""'收支紀錄'!J""&amp;TO_TEXT(ROW()-$C$72))"),"")</f>
        <v/>
      </c>
      <c r="K105" s="61" t="str">
        <f>IFERROR(__xludf.DUMMYFUNCTION("INDIRECT(""'收支紀錄'!K""&amp;TO_TEXT(ROW()-$C$72))"),"")</f>
        <v/>
      </c>
      <c r="L105" s="61" t="str">
        <f>IFERROR(__xludf.DUMMYFUNCTION("INDIRECT(""'收支紀錄'!L""&amp;TO_TEXT(ROW()-$C$72))"),"火車費")</f>
        <v>火車費</v>
      </c>
      <c r="M105" s="61" t="str">
        <f>IFERROR(__xludf.DUMMYFUNCTION("INDIRECT(""'收支紀錄'!M""&amp;TO_TEXT(ROW()-$C$72))"),"")</f>
        <v/>
      </c>
      <c r="N105" s="61" t="str">
        <f>IFERROR(__xludf.DUMMYFUNCTION("INDIRECT(""'收支紀錄'!N""&amp;TO_TEXT(ROW()-$C$72))"),"")</f>
        <v/>
      </c>
      <c r="O105" s="61" t="str">
        <f>IFERROR(__xludf.DUMMYFUNCTION("INDIRECT(""'收支紀錄'!O""&amp;TO_TEXT(ROW()-$C$72))"),"")</f>
        <v/>
      </c>
      <c r="P105" s="61" t="str">
        <f>IFERROR(__xludf.DUMMYFUNCTION("INDIRECT(""'收支紀錄'!P""&amp;TO_TEXT(ROW()-$C$72))"),"")</f>
        <v/>
      </c>
      <c r="Q105" s="61" t="str">
        <f>IFERROR(__xludf.DUMMYFUNCTION("INDIRECT(""'收支紀錄'!Q""&amp;TO_TEXT(ROW()-$C$72))"),"")</f>
        <v/>
      </c>
      <c r="R105" s="61" t="str">
        <f>IFERROR(__xludf.DUMMYFUNCTION("INDIRECT(""'收支紀錄'!R""&amp;TO_TEXT(ROW()-$C$72))"),"")</f>
        <v/>
      </c>
      <c r="S105" s="61" t="str">
        <f>IFERROR(__xludf.DUMMYFUNCTION("INDIRECT(""'收支紀錄'!S""&amp;TO_TEXT(ROW()-$C$72))"),"")</f>
        <v/>
      </c>
      <c r="T105" s="61" t="str">
        <f>IFERROR(__xludf.DUMMYFUNCTION("INDIRECT(""'收支紀錄'!T""&amp;TO_TEXT(ROW()-$C$72))"),"")</f>
        <v/>
      </c>
      <c r="U105" s="62" t="str">
        <f>IFERROR(__xludf.DUMMYFUNCTION("IF(T105=""是"",TEXTJOIN("""", TRUE, ""$"", TO_TEXT(C105), S105),"""")"),"")</f>
        <v/>
      </c>
    </row>
    <row r="106">
      <c r="A106" s="58">
        <f>IFERROR(__xludf.DUMMYFUNCTION("INDIRECT(""'收支紀錄'!A""&amp;TO_TEXT(ROW()-$C$72))"),45490.00174194445)</f>
        <v>45490.00174</v>
      </c>
      <c r="B106" s="59">
        <f>IFERROR(__xludf.DUMMYFUNCTION("IF(ISBLANK(D106), """", IF(ISDATE(D106), D106, IF(D106=""今天"", A106, IF(D106=""昨天 (-1 day)"", A106-1, IF(D106=""前天 (-2 days)"", A106-2, IF(D106=""明天 (+1 day)"", A106+1, DATE(LEFT(D106,4), MID(D106,5,2), RIGHT(D106,2))))))))"),45489.0)</f>
        <v>45489</v>
      </c>
      <c r="C106" s="60">
        <f>IFERROR(__xludf.DUMMYFUNCTION("INDIRECT(""'收支紀錄'!C""&amp;TO_TEXT(ROW()-$C$72))"),930.0)</f>
        <v>930</v>
      </c>
      <c r="D106" s="59">
        <f>IFERROR(__xludf.DUMMYFUNCTION("INDIRECT(""'收支紀錄'!D""&amp;TO_TEXT(ROW()-$C$72))"),45489.0)</f>
        <v>45489</v>
      </c>
      <c r="E106" s="61" t="str">
        <f>IFERROR(__xludf.DUMMYFUNCTION("INDIRECT(""'收支紀錄'!E""&amp;TO_TEXT(ROW()-$C$72))"),"其他業外")</f>
        <v>其他業外</v>
      </c>
      <c r="F106" s="61" t="str">
        <f>IFERROR(__xludf.DUMMYFUNCTION("INDIRECT(""'收支紀錄'!F""&amp;TO_TEXT(ROW()-$C$72))"),"")</f>
        <v/>
      </c>
      <c r="G106" s="61" t="str">
        <f>IFERROR(__xludf.DUMMYFUNCTION("INDIRECT(""'收支紀錄'!G""&amp;TO_TEXT(ROW()-$C$72))"),"股票配息")</f>
        <v>股票配息</v>
      </c>
      <c r="H106" s="61" t="str">
        <f>IFERROR(__xludf.DUMMYFUNCTION("INDIRECT(""'收支紀錄'!H""&amp;TO_TEXT(ROW()-$C$72))"),"")</f>
        <v/>
      </c>
      <c r="I106" s="61" t="str">
        <f>IFERROR(__xludf.DUMMYFUNCTION("INDIRECT(""'收支紀錄'!I""&amp;TO_TEXT(ROW()-$C$72))"),"")</f>
        <v/>
      </c>
      <c r="J106" s="61" t="str">
        <f>IFERROR(__xludf.DUMMYFUNCTION("INDIRECT(""'收支紀錄'!J""&amp;TO_TEXT(ROW()-$C$72))"),"")</f>
        <v/>
      </c>
      <c r="K106" s="61" t="str">
        <f>IFERROR(__xludf.DUMMYFUNCTION("INDIRECT(""'收支紀錄'!K""&amp;TO_TEXT(ROW()-$C$72))"),"")</f>
        <v/>
      </c>
      <c r="L106" s="61" t="str">
        <f>IFERROR(__xludf.DUMMYFUNCTION("INDIRECT(""'收支紀錄'!L""&amp;TO_TEXT(ROW()-$C$72))"),"")</f>
        <v/>
      </c>
      <c r="M106" s="61" t="str">
        <f>IFERROR(__xludf.DUMMYFUNCTION("INDIRECT(""'收支紀錄'!M""&amp;TO_TEXT(ROW()-$C$72))"),"")</f>
        <v/>
      </c>
      <c r="N106" s="61" t="str">
        <f>IFERROR(__xludf.DUMMYFUNCTION("INDIRECT(""'收支紀錄'!N""&amp;TO_TEXT(ROW()-$C$72))"),"")</f>
        <v/>
      </c>
      <c r="O106" s="61" t="str">
        <f>IFERROR(__xludf.DUMMYFUNCTION("INDIRECT(""'收支紀錄'!O""&amp;TO_TEXT(ROW()-$C$72))"),"")</f>
        <v/>
      </c>
      <c r="P106" s="61" t="str">
        <f>IFERROR(__xludf.DUMMYFUNCTION("INDIRECT(""'收支紀錄'!P""&amp;TO_TEXT(ROW()-$C$72))"),"")</f>
        <v/>
      </c>
      <c r="Q106" s="61" t="str">
        <f>IFERROR(__xludf.DUMMYFUNCTION("INDIRECT(""'收支紀錄'!Q""&amp;TO_TEXT(ROW()-$C$72))"),"")</f>
        <v/>
      </c>
      <c r="R106" s="61" t="str">
        <f>IFERROR(__xludf.DUMMYFUNCTION("INDIRECT(""'收支紀錄'!R""&amp;TO_TEXT(ROW()-$C$72))"),"")</f>
        <v/>
      </c>
      <c r="S106" s="61" t="str">
        <f>IFERROR(__xludf.DUMMYFUNCTION("INDIRECT(""'收支紀錄'!S""&amp;TO_TEXT(ROW()-$C$72))")," 00751B")</f>
        <v> 00751B</v>
      </c>
      <c r="T106" s="61" t="str">
        <f>IFERROR(__xludf.DUMMYFUNCTION("INDIRECT(""'收支紀錄'!T""&amp;TO_TEXT(ROW()-$C$72))"),"是")</f>
        <v>是</v>
      </c>
      <c r="U106" s="62" t="str">
        <f>IFERROR(__xludf.DUMMYFUNCTION("IF(T106=""是"",TEXTJOIN("""", TRUE, ""$"", TO_TEXT(C106), S106),"""")"),"$930 00751B")</f>
        <v>$930 00751B</v>
      </c>
    </row>
    <row r="107">
      <c r="A107" s="58">
        <f>IFERROR(__xludf.DUMMYFUNCTION("INDIRECT(""'收支紀錄'!A""&amp;TO_TEXT(ROW()-$C$72))"),45491.96831664351)</f>
        <v>45491.96832</v>
      </c>
      <c r="B107" s="59">
        <f>IFERROR(__xludf.DUMMYFUNCTION("IF(ISBLANK(D107), """", IF(ISDATE(D107), D107, IF(D107=""今天"", A107, IF(D107=""昨天 (-1 day)"", A107-1, IF(D107=""前天 (-2 days)"", A107-2, IF(D107=""明天 (+1 day)"", A107+1, DATE(LEFT(D107,4), MID(D107,5,2), RIGHT(D107,2))))))))"),45490.0)</f>
        <v>45490</v>
      </c>
      <c r="C107" s="60">
        <f>IFERROR(__xludf.DUMMYFUNCTION("INDIRECT(""'收支紀錄'!C""&amp;TO_TEXT(ROW()-$C$72))"),100.0)</f>
        <v>100</v>
      </c>
      <c r="D107" s="59">
        <f>IFERROR(__xludf.DUMMYFUNCTION("INDIRECT(""'收支紀錄'!D""&amp;TO_TEXT(ROW()-$C$72))"),45490.0)</f>
        <v>45490</v>
      </c>
      <c r="E107" s="61" t="str">
        <f>IFERROR(__xludf.DUMMYFUNCTION("INDIRECT(""'收支紀錄'!E""&amp;TO_TEXT(ROW()-$C$72))"),"")</f>
        <v/>
      </c>
      <c r="F107" s="61" t="str">
        <f>IFERROR(__xludf.DUMMYFUNCTION("INDIRECT(""'收支紀錄'!F""&amp;TO_TEXT(ROW()-$C$72))"),"")</f>
        <v/>
      </c>
      <c r="G107" s="61" t="str">
        <f>IFERROR(__xludf.DUMMYFUNCTION("INDIRECT(""'收支紀錄'!G""&amp;TO_TEXT(ROW()-$C$72))"),"")</f>
        <v/>
      </c>
      <c r="H107" s="61" t="str">
        <f>IFERROR(__xludf.DUMMYFUNCTION("INDIRECT(""'收支紀錄'!H""&amp;TO_TEXT(ROW()-$C$72))"),"休閒娛樂")</f>
        <v>休閒娛樂</v>
      </c>
      <c r="I107" s="61" t="str">
        <f>IFERROR(__xludf.DUMMYFUNCTION("INDIRECT(""'收支紀錄'!I""&amp;TO_TEXT(ROW()-$C$72))"),"")</f>
        <v/>
      </c>
      <c r="J107" s="61" t="str">
        <f>IFERROR(__xludf.DUMMYFUNCTION("INDIRECT(""'收支紀錄'!J""&amp;TO_TEXT(ROW()-$C$72))"),"")</f>
        <v/>
      </c>
      <c r="K107" s="61" t="str">
        <f>IFERROR(__xludf.DUMMYFUNCTION("INDIRECT(""'收支紀錄'!K""&amp;TO_TEXT(ROW()-$C$72))"),"")</f>
        <v/>
      </c>
      <c r="L107" s="61" t="str">
        <f>IFERROR(__xludf.DUMMYFUNCTION("INDIRECT(""'收支紀錄'!L""&amp;TO_TEXT(ROW()-$C$72))"),"")</f>
        <v/>
      </c>
      <c r="M107" s="61" t="str">
        <f>IFERROR(__xludf.DUMMYFUNCTION("INDIRECT(""'收支紀錄'!M""&amp;TO_TEXT(ROW()-$C$72))"),"運動健身")</f>
        <v>運動健身</v>
      </c>
      <c r="N107" s="61" t="str">
        <f>IFERROR(__xludf.DUMMYFUNCTION("INDIRECT(""'收支紀錄'!N""&amp;TO_TEXT(ROW()-$C$72))"),"")</f>
        <v/>
      </c>
      <c r="O107" s="61" t="str">
        <f>IFERROR(__xludf.DUMMYFUNCTION("INDIRECT(""'收支紀錄'!O""&amp;TO_TEXT(ROW()-$C$72))"),"")</f>
        <v/>
      </c>
      <c r="P107" s="61" t="str">
        <f>IFERROR(__xludf.DUMMYFUNCTION("INDIRECT(""'收支紀錄'!P""&amp;TO_TEXT(ROW()-$C$72))"),"")</f>
        <v/>
      </c>
      <c r="Q107" s="61" t="str">
        <f>IFERROR(__xludf.DUMMYFUNCTION("INDIRECT(""'收支紀錄'!Q""&amp;TO_TEXT(ROW()-$C$72))"),"")</f>
        <v/>
      </c>
      <c r="R107" s="61" t="str">
        <f>IFERROR(__xludf.DUMMYFUNCTION("INDIRECT(""'收支紀錄'!R""&amp;TO_TEXT(ROW()-$C$72))"),"")</f>
        <v/>
      </c>
      <c r="S107" s="61" t="str">
        <f>IFERROR(__xludf.DUMMYFUNCTION("INDIRECT(""'收支紀錄'!S""&amp;TO_TEXT(ROW()-$C$72))"),"")</f>
        <v/>
      </c>
      <c r="T107" s="61" t="str">
        <f>IFERROR(__xludf.DUMMYFUNCTION("INDIRECT(""'收支紀錄'!T""&amp;TO_TEXT(ROW()-$C$72))"),"")</f>
        <v/>
      </c>
      <c r="U107" s="62" t="str">
        <f>IFERROR(__xludf.DUMMYFUNCTION("IF(T107=""是"",TEXTJOIN("""", TRUE, ""$"", TO_TEXT(C107), S107),"""")"),"")</f>
        <v/>
      </c>
    </row>
    <row r="108">
      <c r="A108" s="58">
        <f>IFERROR(__xludf.DUMMYFUNCTION("INDIRECT(""'收支紀錄'!A""&amp;TO_TEXT(ROW()-$C$72))"),45491.96859464121)</f>
        <v>45491.96859</v>
      </c>
      <c r="B108" s="59">
        <f>IFERROR(__xludf.DUMMYFUNCTION("IF(ISBLANK(D108), """", IF(ISDATE(D108), D108, IF(D108=""今天"", A108, IF(D108=""昨天 (-1 day)"", A108-1, IF(D108=""前天 (-2 days)"", A108-2, IF(D108=""明天 (+1 day)"", A108+1, DATE(LEFT(D108,4), MID(D108,5,2), RIGHT(D108,2))))))))"),45490.0)</f>
        <v>45490</v>
      </c>
      <c r="C108" s="60">
        <f>IFERROR(__xludf.DUMMYFUNCTION("INDIRECT(""'收支紀錄'!C""&amp;TO_TEXT(ROW()-$C$72))"),23.0)</f>
        <v>23</v>
      </c>
      <c r="D108" s="59">
        <f>IFERROR(__xludf.DUMMYFUNCTION("INDIRECT(""'收支紀錄'!D""&amp;TO_TEXT(ROW()-$C$72))"),45490.0)</f>
        <v>45490</v>
      </c>
      <c r="E108" s="61" t="str">
        <f>IFERROR(__xludf.DUMMYFUNCTION("INDIRECT(""'收支紀錄'!E""&amp;TO_TEXT(ROW()-$C$72))"),"")</f>
        <v/>
      </c>
      <c r="F108" s="61" t="str">
        <f>IFERROR(__xludf.DUMMYFUNCTION("INDIRECT(""'收支紀錄'!F""&amp;TO_TEXT(ROW()-$C$72))"),"")</f>
        <v/>
      </c>
      <c r="G108" s="61" t="str">
        <f>IFERROR(__xludf.DUMMYFUNCTION("INDIRECT(""'收支紀錄'!G""&amp;TO_TEXT(ROW()-$C$72))"),"")</f>
        <v/>
      </c>
      <c r="H108" s="61" t="str">
        <f>IFERROR(__xludf.DUMMYFUNCTION("INDIRECT(""'收支紀錄'!H""&amp;TO_TEXT(ROW()-$C$72))"),"食品酒水")</f>
        <v>食品酒水</v>
      </c>
      <c r="I108" s="61" t="str">
        <f>IFERROR(__xludf.DUMMYFUNCTION("INDIRECT(""'收支紀錄'!I""&amp;TO_TEXT(ROW()-$C$72))"),"飲料酒水")</f>
        <v>飲料酒水</v>
      </c>
      <c r="J108" s="61" t="str">
        <f>IFERROR(__xludf.DUMMYFUNCTION("INDIRECT(""'收支紀錄'!J""&amp;TO_TEXT(ROW()-$C$72))"),"")</f>
        <v/>
      </c>
      <c r="K108" s="61" t="str">
        <f>IFERROR(__xludf.DUMMYFUNCTION("INDIRECT(""'收支紀錄'!K""&amp;TO_TEXT(ROW()-$C$72))"),"")</f>
        <v/>
      </c>
      <c r="L108" s="61" t="str">
        <f>IFERROR(__xludf.DUMMYFUNCTION("INDIRECT(""'收支紀錄'!L""&amp;TO_TEXT(ROW()-$C$72))"),"")</f>
        <v/>
      </c>
      <c r="M108" s="61" t="str">
        <f>IFERROR(__xludf.DUMMYFUNCTION("INDIRECT(""'收支紀錄'!M""&amp;TO_TEXT(ROW()-$C$72))"),"")</f>
        <v/>
      </c>
      <c r="N108" s="61" t="str">
        <f>IFERROR(__xludf.DUMMYFUNCTION("INDIRECT(""'收支紀錄'!N""&amp;TO_TEXT(ROW()-$C$72))"),"")</f>
        <v/>
      </c>
      <c r="O108" s="61" t="str">
        <f>IFERROR(__xludf.DUMMYFUNCTION("INDIRECT(""'收支紀錄'!O""&amp;TO_TEXT(ROW()-$C$72))"),"")</f>
        <v/>
      </c>
      <c r="P108" s="61" t="str">
        <f>IFERROR(__xludf.DUMMYFUNCTION("INDIRECT(""'收支紀錄'!P""&amp;TO_TEXT(ROW()-$C$72))"),"")</f>
        <v/>
      </c>
      <c r="Q108" s="61" t="str">
        <f>IFERROR(__xludf.DUMMYFUNCTION("INDIRECT(""'收支紀錄'!Q""&amp;TO_TEXT(ROW()-$C$72))"),"")</f>
        <v/>
      </c>
      <c r="R108" s="61" t="str">
        <f>IFERROR(__xludf.DUMMYFUNCTION("INDIRECT(""'收支紀錄'!R""&amp;TO_TEXT(ROW()-$C$72))"),"")</f>
        <v/>
      </c>
      <c r="S108" s="61" t="str">
        <f>IFERROR(__xludf.DUMMYFUNCTION("INDIRECT(""'收支紀錄'!S""&amp;TO_TEXT(ROW()-$C$72))"),"")</f>
        <v/>
      </c>
      <c r="T108" s="61" t="str">
        <f>IFERROR(__xludf.DUMMYFUNCTION("INDIRECT(""'收支紀錄'!T""&amp;TO_TEXT(ROW()-$C$72))"),"")</f>
        <v/>
      </c>
      <c r="U108" s="62" t="str">
        <f>IFERROR(__xludf.DUMMYFUNCTION("IF(T108=""是"",TEXTJOIN("""", TRUE, ""$"", TO_TEXT(C108), S108),"""")"),"")</f>
        <v/>
      </c>
    </row>
    <row r="109">
      <c r="A109" s="58">
        <f>IFERROR(__xludf.DUMMYFUNCTION("INDIRECT(""'收支紀錄'!A""&amp;TO_TEXT(ROW()-$C$72))"),45493.35693013889)</f>
        <v>45493.35693</v>
      </c>
      <c r="B109" s="59">
        <f>IFERROR(__xludf.DUMMYFUNCTION("IF(ISBLANK(D109), """", IF(ISDATE(D109), D109, IF(D109=""今天"", A109, IF(D109=""昨天 (-1 day)"", A109-1, IF(D109=""前天 (-2 days)"", A109-2, IF(D109=""明天 (+1 day)"", A109+1, DATE(LEFT(D109,4), MID(D109,5,2), RIGHT(D109,2))))))))"),45493.0)</f>
        <v>45493</v>
      </c>
      <c r="C109" s="60">
        <f>IFERROR(__xludf.DUMMYFUNCTION("INDIRECT(""'收支紀錄'!C""&amp;TO_TEXT(ROW()-$C$72))"),145.0)</f>
        <v>145</v>
      </c>
      <c r="D109" s="59">
        <f>IFERROR(__xludf.DUMMYFUNCTION("INDIRECT(""'收支紀錄'!D""&amp;TO_TEXT(ROW()-$C$72))"),45493.0)</f>
        <v>45493</v>
      </c>
      <c r="E109" s="61" t="str">
        <f>IFERROR(__xludf.DUMMYFUNCTION("INDIRECT(""'收支紀錄'!E""&amp;TO_TEXT(ROW()-$C$72))"),"")</f>
        <v/>
      </c>
      <c r="F109" s="61" t="str">
        <f>IFERROR(__xludf.DUMMYFUNCTION("INDIRECT(""'收支紀錄'!F""&amp;TO_TEXT(ROW()-$C$72))"),"")</f>
        <v/>
      </c>
      <c r="G109" s="61" t="str">
        <f>IFERROR(__xludf.DUMMYFUNCTION("INDIRECT(""'收支紀錄'!G""&amp;TO_TEXT(ROW()-$C$72))"),"")</f>
        <v/>
      </c>
      <c r="H109" s="61" t="str">
        <f>IFERROR(__xludf.DUMMYFUNCTION("INDIRECT(""'收支紀錄'!H""&amp;TO_TEXT(ROW()-$C$72))"),"食品酒水")</f>
        <v>食品酒水</v>
      </c>
      <c r="I109" s="61" t="str">
        <f>IFERROR(__xludf.DUMMYFUNCTION("INDIRECT(""'收支紀錄'!I""&amp;TO_TEXT(ROW()-$C$72))"),"早餐")</f>
        <v>早餐</v>
      </c>
      <c r="J109" s="61" t="str">
        <f>IFERROR(__xludf.DUMMYFUNCTION("INDIRECT(""'收支紀錄'!J""&amp;TO_TEXT(ROW()-$C$72))"),"")</f>
        <v/>
      </c>
      <c r="K109" s="61" t="str">
        <f>IFERROR(__xludf.DUMMYFUNCTION("INDIRECT(""'收支紀錄'!K""&amp;TO_TEXT(ROW()-$C$72))"),"")</f>
        <v/>
      </c>
      <c r="L109" s="61" t="str">
        <f>IFERROR(__xludf.DUMMYFUNCTION("INDIRECT(""'收支紀錄'!L""&amp;TO_TEXT(ROW()-$C$72))"),"")</f>
        <v/>
      </c>
      <c r="M109" s="61" t="str">
        <f>IFERROR(__xludf.DUMMYFUNCTION("INDIRECT(""'收支紀錄'!M""&amp;TO_TEXT(ROW()-$C$72))"),"")</f>
        <v/>
      </c>
      <c r="N109" s="61" t="str">
        <f>IFERROR(__xludf.DUMMYFUNCTION("INDIRECT(""'收支紀錄'!N""&amp;TO_TEXT(ROW()-$C$72))"),"")</f>
        <v/>
      </c>
      <c r="O109" s="61" t="str">
        <f>IFERROR(__xludf.DUMMYFUNCTION("INDIRECT(""'收支紀錄'!O""&amp;TO_TEXT(ROW()-$C$72))"),"")</f>
        <v/>
      </c>
      <c r="P109" s="61" t="str">
        <f>IFERROR(__xludf.DUMMYFUNCTION("INDIRECT(""'收支紀錄'!P""&amp;TO_TEXT(ROW()-$C$72))"),"")</f>
        <v/>
      </c>
      <c r="Q109" s="61" t="str">
        <f>IFERROR(__xludf.DUMMYFUNCTION("INDIRECT(""'收支紀錄'!Q""&amp;TO_TEXT(ROW()-$C$72))"),"")</f>
        <v/>
      </c>
      <c r="R109" s="61" t="str">
        <f>IFERROR(__xludf.DUMMYFUNCTION("INDIRECT(""'收支紀錄'!R""&amp;TO_TEXT(ROW()-$C$72))"),"")</f>
        <v/>
      </c>
      <c r="S109" s="61" t="str">
        <f>IFERROR(__xludf.DUMMYFUNCTION("INDIRECT(""'收支紀錄'!S""&amp;TO_TEXT(ROW()-$C$72))"),"")</f>
        <v/>
      </c>
      <c r="T109" s="61" t="str">
        <f>IFERROR(__xludf.DUMMYFUNCTION("INDIRECT(""'收支紀錄'!T""&amp;TO_TEXT(ROW()-$C$72))"),"")</f>
        <v/>
      </c>
      <c r="U109" s="62" t="str">
        <f>IFERROR(__xludf.DUMMYFUNCTION("IF(T109=""是"",TEXTJOIN("""", TRUE, ""$"", TO_TEXT(C109), S109),"""")"),"")</f>
        <v/>
      </c>
    </row>
    <row r="110">
      <c r="A110" s="58">
        <f>IFERROR(__xludf.DUMMYFUNCTION("INDIRECT(""'收支紀錄'!A""&amp;TO_TEXT(ROW()-$C$72))"),45493.40562556713)</f>
        <v>45493.40563</v>
      </c>
      <c r="B110" s="59">
        <f>IFERROR(__xludf.DUMMYFUNCTION("IF(ISBLANK(D110), """", IF(ISDATE(D110), D110, IF(D110=""今天"", A110, IF(D110=""昨天 (-1 day)"", A110-1, IF(D110=""前天 (-2 days)"", A110-2, IF(D110=""明天 (+1 day)"", A110+1, DATE(LEFT(D110,4), MID(D110,5,2), RIGHT(D110,2))))))))"),45493.0)</f>
        <v>45493</v>
      </c>
      <c r="C110" s="60">
        <f>IFERROR(__xludf.DUMMYFUNCTION("INDIRECT(""'收支紀錄'!C""&amp;TO_TEXT(ROW()-$C$72))"),48.0)</f>
        <v>48</v>
      </c>
      <c r="D110" s="59">
        <f>IFERROR(__xludf.DUMMYFUNCTION("INDIRECT(""'收支紀錄'!D""&amp;TO_TEXT(ROW()-$C$72))"),45493.0)</f>
        <v>45493</v>
      </c>
      <c r="E110" s="61" t="str">
        <f>IFERROR(__xludf.DUMMYFUNCTION("INDIRECT(""'收支紀錄'!E""&amp;TO_TEXT(ROW()-$C$72))"),"")</f>
        <v/>
      </c>
      <c r="F110" s="61" t="str">
        <f>IFERROR(__xludf.DUMMYFUNCTION("INDIRECT(""'收支紀錄'!F""&amp;TO_TEXT(ROW()-$C$72))"),"")</f>
        <v/>
      </c>
      <c r="G110" s="61" t="str">
        <f>IFERROR(__xludf.DUMMYFUNCTION("INDIRECT(""'收支紀錄'!G""&amp;TO_TEXT(ROW()-$C$72))"),"")</f>
        <v/>
      </c>
      <c r="H110" s="61" t="str">
        <f>IFERROR(__xludf.DUMMYFUNCTION("INDIRECT(""'收支紀錄'!H""&amp;TO_TEXT(ROW()-$C$72))"),"食品酒水")</f>
        <v>食品酒水</v>
      </c>
      <c r="I110" s="61" t="str">
        <f>IFERROR(__xludf.DUMMYFUNCTION("INDIRECT(""'收支紀錄'!I""&amp;TO_TEXT(ROW()-$C$72))"),"食材")</f>
        <v>食材</v>
      </c>
      <c r="J110" s="61" t="str">
        <f>IFERROR(__xludf.DUMMYFUNCTION("INDIRECT(""'收支紀錄'!J""&amp;TO_TEXT(ROW()-$C$72))"),"")</f>
        <v/>
      </c>
      <c r="K110" s="61" t="str">
        <f>IFERROR(__xludf.DUMMYFUNCTION("INDIRECT(""'收支紀錄'!K""&amp;TO_TEXT(ROW()-$C$72))"),"")</f>
        <v/>
      </c>
      <c r="L110" s="61" t="str">
        <f>IFERROR(__xludf.DUMMYFUNCTION("INDIRECT(""'收支紀錄'!L""&amp;TO_TEXT(ROW()-$C$72))"),"")</f>
        <v/>
      </c>
      <c r="M110" s="61" t="str">
        <f>IFERROR(__xludf.DUMMYFUNCTION("INDIRECT(""'收支紀錄'!M""&amp;TO_TEXT(ROW()-$C$72))"),"")</f>
        <v/>
      </c>
      <c r="N110" s="61" t="str">
        <f>IFERROR(__xludf.DUMMYFUNCTION("INDIRECT(""'收支紀錄'!N""&amp;TO_TEXT(ROW()-$C$72))"),"")</f>
        <v/>
      </c>
      <c r="O110" s="61" t="str">
        <f>IFERROR(__xludf.DUMMYFUNCTION("INDIRECT(""'收支紀錄'!O""&amp;TO_TEXT(ROW()-$C$72))"),"")</f>
        <v/>
      </c>
      <c r="P110" s="61" t="str">
        <f>IFERROR(__xludf.DUMMYFUNCTION("INDIRECT(""'收支紀錄'!P""&amp;TO_TEXT(ROW()-$C$72))"),"")</f>
        <v/>
      </c>
      <c r="Q110" s="61" t="str">
        <f>IFERROR(__xludf.DUMMYFUNCTION("INDIRECT(""'收支紀錄'!Q""&amp;TO_TEXT(ROW()-$C$72))"),"")</f>
        <v/>
      </c>
      <c r="R110" s="61" t="str">
        <f>IFERROR(__xludf.DUMMYFUNCTION("INDIRECT(""'收支紀錄'!R""&amp;TO_TEXT(ROW()-$C$72))"),"")</f>
        <v/>
      </c>
      <c r="S110" s="61" t="str">
        <f>IFERROR(__xludf.DUMMYFUNCTION("INDIRECT(""'收支紀錄'!S""&amp;TO_TEXT(ROW()-$C$72))"),"")</f>
        <v/>
      </c>
      <c r="T110" s="61" t="str">
        <f>IFERROR(__xludf.DUMMYFUNCTION("INDIRECT(""'收支紀錄'!T""&amp;TO_TEXT(ROW()-$C$72))"),"")</f>
        <v/>
      </c>
      <c r="U110" s="62" t="str">
        <f>IFERROR(__xludf.DUMMYFUNCTION("IF(T110=""是"",TEXTJOIN("""", TRUE, ""$"", TO_TEXT(C110), S110),"""")"),"")</f>
        <v/>
      </c>
    </row>
    <row r="111">
      <c r="A111" s="58">
        <f>IFERROR(__xludf.DUMMYFUNCTION("INDIRECT(""'收支紀錄'!A""&amp;TO_TEXT(ROW()-$C$72))"),45494.33977947917)</f>
        <v>45494.33978</v>
      </c>
      <c r="B111" s="59">
        <f>IFERROR(__xludf.DUMMYFUNCTION("IF(ISBLANK(D111), """", IF(ISDATE(D111), D111, IF(D111=""今天"", A111, IF(D111=""昨天 (-1 day)"", A111-1, IF(D111=""前天 (-2 days)"", A111-2, IF(D111=""明天 (+1 day)"", A111+1, DATE(LEFT(D111,4), MID(D111,5,2), RIGHT(D111,2))))))))"),45494.0)</f>
        <v>45494</v>
      </c>
      <c r="C111" s="60">
        <f>IFERROR(__xludf.DUMMYFUNCTION("INDIRECT(""'收支紀錄'!C""&amp;TO_TEXT(ROW()-$C$72))"),58.0)</f>
        <v>58</v>
      </c>
      <c r="D111" s="59">
        <f>IFERROR(__xludf.DUMMYFUNCTION("INDIRECT(""'收支紀錄'!D""&amp;TO_TEXT(ROW()-$C$72))"),45494.0)</f>
        <v>45494</v>
      </c>
      <c r="E111" s="61" t="str">
        <f>IFERROR(__xludf.DUMMYFUNCTION("INDIRECT(""'收支紀錄'!E""&amp;TO_TEXT(ROW()-$C$72))"),"")</f>
        <v/>
      </c>
      <c r="F111" s="61" t="str">
        <f>IFERROR(__xludf.DUMMYFUNCTION("INDIRECT(""'收支紀錄'!F""&amp;TO_TEXT(ROW()-$C$72))"),"")</f>
        <v/>
      </c>
      <c r="G111" s="61" t="str">
        <f>IFERROR(__xludf.DUMMYFUNCTION("INDIRECT(""'收支紀錄'!G""&amp;TO_TEXT(ROW()-$C$72))"),"")</f>
        <v/>
      </c>
      <c r="H111" s="61" t="str">
        <f>IFERROR(__xludf.DUMMYFUNCTION("INDIRECT(""'收支紀錄'!H""&amp;TO_TEXT(ROW()-$C$72))"),"食品酒水")</f>
        <v>食品酒水</v>
      </c>
      <c r="I111" s="61" t="str">
        <f>IFERROR(__xludf.DUMMYFUNCTION("INDIRECT(""'收支紀錄'!I""&amp;TO_TEXT(ROW()-$C$72))"),"早餐")</f>
        <v>早餐</v>
      </c>
      <c r="J111" s="61" t="str">
        <f>IFERROR(__xludf.DUMMYFUNCTION("INDIRECT(""'收支紀錄'!J""&amp;TO_TEXT(ROW()-$C$72))"),"")</f>
        <v/>
      </c>
      <c r="K111" s="61" t="str">
        <f>IFERROR(__xludf.DUMMYFUNCTION("INDIRECT(""'收支紀錄'!K""&amp;TO_TEXT(ROW()-$C$72))"),"")</f>
        <v/>
      </c>
      <c r="L111" s="61" t="str">
        <f>IFERROR(__xludf.DUMMYFUNCTION("INDIRECT(""'收支紀錄'!L""&amp;TO_TEXT(ROW()-$C$72))"),"")</f>
        <v/>
      </c>
      <c r="M111" s="61" t="str">
        <f>IFERROR(__xludf.DUMMYFUNCTION("INDIRECT(""'收支紀錄'!M""&amp;TO_TEXT(ROW()-$C$72))"),"")</f>
        <v/>
      </c>
      <c r="N111" s="61" t="str">
        <f>IFERROR(__xludf.DUMMYFUNCTION("INDIRECT(""'收支紀錄'!N""&amp;TO_TEXT(ROW()-$C$72))"),"")</f>
        <v/>
      </c>
      <c r="O111" s="61" t="str">
        <f>IFERROR(__xludf.DUMMYFUNCTION("INDIRECT(""'收支紀錄'!O""&amp;TO_TEXT(ROW()-$C$72))"),"")</f>
        <v/>
      </c>
      <c r="P111" s="61" t="str">
        <f>IFERROR(__xludf.DUMMYFUNCTION("INDIRECT(""'收支紀錄'!P""&amp;TO_TEXT(ROW()-$C$72))"),"")</f>
        <v/>
      </c>
      <c r="Q111" s="61" t="str">
        <f>IFERROR(__xludf.DUMMYFUNCTION("INDIRECT(""'收支紀錄'!Q""&amp;TO_TEXT(ROW()-$C$72))"),"")</f>
        <v/>
      </c>
      <c r="R111" s="61" t="str">
        <f>IFERROR(__xludf.DUMMYFUNCTION("INDIRECT(""'收支紀錄'!R""&amp;TO_TEXT(ROW()-$C$72))"),"")</f>
        <v/>
      </c>
      <c r="S111" s="61" t="str">
        <f>IFERROR(__xludf.DUMMYFUNCTION("INDIRECT(""'收支紀錄'!S""&amp;TO_TEXT(ROW()-$C$72))"),"")</f>
        <v/>
      </c>
      <c r="T111" s="61" t="str">
        <f>IFERROR(__xludf.DUMMYFUNCTION("INDIRECT(""'收支紀錄'!T""&amp;TO_TEXT(ROW()-$C$72))"),"")</f>
        <v/>
      </c>
      <c r="U111" s="62" t="str">
        <f>IFERROR(__xludf.DUMMYFUNCTION("IF(T111=""是"",TEXTJOIN("""", TRUE, ""$"", TO_TEXT(C111), S111),"""")"),"")</f>
        <v/>
      </c>
    </row>
    <row r="112">
      <c r="A112" s="58">
        <f>IFERROR(__xludf.DUMMYFUNCTION("INDIRECT(""'收支紀錄'!A""&amp;TO_TEXT(ROW()-$C$72))"),45494.88618296296)</f>
        <v>45494.88618</v>
      </c>
      <c r="B112" s="59">
        <f>IFERROR(__xludf.DUMMYFUNCTION("IF(ISBLANK(D112), """", IF(ISDATE(D112), D112, IF(D112=""今天"", A112, IF(D112=""昨天 (-1 day)"", A112-1, IF(D112=""前天 (-2 days)"", A112-2, IF(D112=""明天 (+1 day)"", A112+1, DATE(LEFT(D112,4), MID(D112,5,2), RIGHT(D112,2))))))))"),45494.0)</f>
        <v>45494</v>
      </c>
      <c r="C112" s="60">
        <f>IFERROR(__xludf.DUMMYFUNCTION("INDIRECT(""'收支紀錄'!C""&amp;TO_TEXT(ROW()-$C$72))"),200.0)</f>
        <v>200</v>
      </c>
      <c r="D112" s="59">
        <f>IFERROR(__xludf.DUMMYFUNCTION("INDIRECT(""'收支紀錄'!D""&amp;TO_TEXT(ROW()-$C$72))"),45494.0)</f>
        <v>45494</v>
      </c>
      <c r="E112" s="61" t="str">
        <f>IFERROR(__xludf.DUMMYFUNCTION("INDIRECT(""'收支紀錄'!E""&amp;TO_TEXT(ROW()-$C$72))"),"")</f>
        <v/>
      </c>
      <c r="F112" s="61" t="str">
        <f>IFERROR(__xludf.DUMMYFUNCTION("INDIRECT(""'收支紀錄'!F""&amp;TO_TEXT(ROW()-$C$72))"),"")</f>
        <v/>
      </c>
      <c r="G112" s="61" t="str">
        <f>IFERROR(__xludf.DUMMYFUNCTION("INDIRECT(""'收支紀錄'!G""&amp;TO_TEXT(ROW()-$C$72))"),"")</f>
        <v/>
      </c>
      <c r="H112" s="61" t="str">
        <f>IFERROR(__xludf.DUMMYFUNCTION("INDIRECT(""'收支紀錄'!H""&amp;TO_TEXT(ROW()-$C$72))"),"食品酒水")</f>
        <v>食品酒水</v>
      </c>
      <c r="I112" s="61" t="str">
        <f>IFERROR(__xludf.DUMMYFUNCTION("INDIRECT(""'收支紀錄'!I""&amp;TO_TEXT(ROW()-$C$72))"),"午餐")</f>
        <v>午餐</v>
      </c>
      <c r="J112" s="61" t="str">
        <f>IFERROR(__xludf.DUMMYFUNCTION("INDIRECT(""'收支紀錄'!J""&amp;TO_TEXT(ROW()-$C$72))"),"")</f>
        <v/>
      </c>
      <c r="K112" s="61" t="str">
        <f>IFERROR(__xludf.DUMMYFUNCTION("INDIRECT(""'收支紀錄'!K""&amp;TO_TEXT(ROW()-$C$72))"),"")</f>
        <v/>
      </c>
      <c r="L112" s="61" t="str">
        <f>IFERROR(__xludf.DUMMYFUNCTION("INDIRECT(""'收支紀錄'!L""&amp;TO_TEXT(ROW()-$C$72))"),"")</f>
        <v/>
      </c>
      <c r="M112" s="61" t="str">
        <f>IFERROR(__xludf.DUMMYFUNCTION("INDIRECT(""'收支紀錄'!M""&amp;TO_TEXT(ROW()-$C$72))"),"")</f>
        <v/>
      </c>
      <c r="N112" s="61" t="str">
        <f>IFERROR(__xludf.DUMMYFUNCTION("INDIRECT(""'收支紀錄'!N""&amp;TO_TEXT(ROW()-$C$72))"),"")</f>
        <v/>
      </c>
      <c r="O112" s="61" t="str">
        <f>IFERROR(__xludf.DUMMYFUNCTION("INDIRECT(""'收支紀錄'!O""&amp;TO_TEXT(ROW()-$C$72))"),"")</f>
        <v/>
      </c>
      <c r="P112" s="61" t="str">
        <f>IFERROR(__xludf.DUMMYFUNCTION("INDIRECT(""'收支紀錄'!P""&amp;TO_TEXT(ROW()-$C$72))"),"")</f>
        <v/>
      </c>
      <c r="Q112" s="61" t="str">
        <f>IFERROR(__xludf.DUMMYFUNCTION("INDIRECT(""'收支紀錄'!Q""&amp;TO_TEXT(ROW()-$C$72))"),"")</f>
        <v/>
      </c>
      <c r="R112" s="61" t="str">
        <f>IFERROR(__xludf.DUMMYFUNCTION("INDIRECT(""'收支紀錄'!R""&amp;TO_TEXT(ROW()-$C$72))"),"")</f>
        <v/>
      </c>
      <c r="S112" s="61" t="str">
        <f>IFERROR(__xludf.DUMMYFUNCTION("INDIRECT(""'收支紀錄'!S""&amp;TO_TEXT(ROW()-$C$72))"),"")</f>
        <v/>
      </c>
      <c r="T112" s="61" t="str">
        <f>IFERROR(__xludf.DUMMYFUNCTION("INDIRECT(""'收支紀錄'!T""&amp;TO_TEXT(ROW()-$C$72))"),"")</f>
        <v/>
      </c>
      <c r="U112" s="62" t="str">
        <f>IFERROR(__xludf.DUMMYFUNCTION("IF(T112=""是"",TEXTJOIN("""", TRUE, ""$"", TO_TEXT(C112), S112),"""")"),"")</f>
        <v/>
      </c>
    </row>
    <row r="113">
      <c r="A113" s="58">
        <f>IFERROR(__xludf.DUMMYFUNCTION("INDIRECT(""'收支紀錄'!A""&amp;TO_TEXT(ROW()-$C$72))"),45494.88651980324)</f>
        <v>45494.88652</v>
      </c>
      <c r="B113" s="59">
        <f>IFERROR(__xludf.DUMMYFUNCTION("IF(ISBLANK(D113), """", IF(ISDATE(D113), D113, IF(D113=""今天"", A113, IF(D113=""昨天 (-1 day)"", A113-1, IF(D113=""前天 (-2 days)"", A113-2, IF(D113=""明天 (+1 day)"", A113+1, DATE(LEFT(D113,4), MID(D113,5,2), RIGHT(D113,2))))))))"),45494.0)</f>
        <v>45494</v>
      </c>
      <c r="C113" s="60">
        <f>IFERROR(__xludf.DUMMYFUNCTION("INDIRECT(""'收支紀錄'!C""&amp;TO_TEXT(ROW()-$C$72))"),140.0)</f>
        <v>140</v>
      </c>
      <c r="D113" s="59">
        <f>IFERROR(__xludf.DUMMYFUNCTION("INDIRECT(""'收支紀錄'!D""&amp;TO_TEXT(ROW()-$C$72))"),45494.0)</f>
        <v>45494</v>
      </c>
      <c r="E113" s="61" t="str">
        <f>IFERROR(__xludf.DUMMYFUNCTION("INDIRECT(""'收支紀錄'!E""&amp;TO_TEXT(ROW()-$C$72))"),"")</f>
        <v/>
      </c>
      <c r="F113" s="61" t="str">
        <f>IFERROR(__xludf.DUMMYFUNCTION("INDIRECT(""'收支紀錄'!F""&amp;TO_TEXT(ROW()-$C$72))"),"")</f>
        <v/>
      </c>
      <c r="G113" s="61" t="str">
        <f>IFERROR(__xludf.DUMMYFUNCTION("INDIRECT(""'收支紀錄'!G""&amp;TO_TEXT(ROW()-$C$72))"),"")</f>
        <v/>
      </c>
      <c r="H113" s="61" t="str">
        <f>IFERROR(__xludf.DUMMYFUNCTION("INDIRECT(""'收支紀錄'!H""&amp;TO_TEXT(ROW()-$C$72))"),"休閒娛樂")</f>
        <v>休閒娛樂</v>
      </c>
      <c r="I113" s="61" t="str">
        <f>IFERROR(__xludf.DUMMYFUNCTION("INDIRECT(""'收支紀錄'!I""&amp;TO_TEXT(ROW()-$C$72))"),"")</f>
        <v/>
      </c>
      <c r="J113" s="61" t="str">
        <f>IFERROR(__xludf.DUMMYFUNCTION("INDIRECT(""'收支紀錄'!J""&amp;TO_TEXT(ROW()-$C$72))"),"")</f>
        <v/>
      </c>
      <c r="K113" s="61" t="str">
        <f>IFERROR(__xludf.DUMMYFUNCTION("INDIRECT(""'收支紀錄'!K""&amp;TO_TEXT(ROW()-$C$72))"),"")</f>
        <v/>
      </c>
      <c r="L113" s="61" t="str">
        <f>IFERROR(__xludf.DUMMYFUNCTION("INDIRECT(""'收支紀錄'!L""&amp;TO_TEXT(ROW()-$C$72))"),"")</f>
        <v/>
      </c>
      <c r="M113" s="61" t="str">
        <f>IFERROR(__xludf.DUMMYFUNCTION("INDIRECT(""'收支紀錄'!M""&amp;TO_TEXT(ROW()-$C$72))"),"運動健身")</f>
        <v>運動健身</v>
      </c>
      <c r="N113" s="61" t="str">
        <f>IFERROR(__xludf.DUMMYFUNCTION("INDIRECT(""'收支紀錄'!N""&amp;TO_TEXT(ROW()-$C$72))"),"")</f>
        <v/>
      </c>
      <c r="O113" s="61" t="str">
        <f>IFERROR(__xludf.DUMMYFUNCTION("INDIRECT(""'收支紀錄'!O""&amp;TO_TEXT(ROW()-$C$72))"),"")</f>
        <v/>
      </c>
      <c r="P113" s="61" t="str">
        <f>IFERROR(__xludf.DUMMYFUNCTION("INDIRECT(""'收支紀錄'!P""&amp;TO_TEXT(ROW()-$C$72))"),"")</f>
        <v/>
      </c>
      <c r="Q113" s="61" t="str">
        <f>IFERROR(__xludf.DUMMYFUNCTION("INDIRECT(""'收支紀錄'!Q""&amp;TO_TEXT(ROW()-$C$72))"),"")</f>
        <v/>
      </c>
      <c r="R113" s="61" t="str">
        <f>IFERROR(__xludf.DUMMYFUNCTION("INDIRECT(""'收支紀錄'!R""&amp;TO_TEXT(ROW()-$C$72))"),"")</f>
        <v/>
      </c>
      <c r="S113" s="61" t="str">
        <f>IFERROR(__xludf.DUMMYFUNCTION("INDIRECT(""'收支紀錄'!S""&amp;TO_TEXT(ROW()-$C$72))"),"")</f>
        <v/>
      </c>
      <c r="T113" s="61" t="str">
        <f>IFERROR(__xludf.DUMMYFUNCTION("INDIRECT(""'收支紀錄'!T""&amp;TO_TEXT(ROW()-$C$72))"),"")</f>
        <v/>
      </c>
      <c r="U113" s="62" t="str">
        <f>IFERROR(__xludf.DUMMYFUNCTION("IF(T113=""是"",TEXTJOIN("""", TRUE, ""$"", TO_TEXT(C113), S113),"""")"),"")</f>
        <v/>
      </c>
    </row>
    <row r="114">
      <c r="A114" s="58">
        <f>IFERROR(__xludf.DUMMYFUNCTION("INDIRECT(""'收支紀錄'!A""&amp;TO_TEXT(ROW()-$C$72))"),45494.88681792824)</f>
        <v>45494.88682</v>
      </c>
      <c r="B114" s="59">
        <f>IFERROR(__xludf.DUMMYFUNCTION("IF(ISBLANK(D114), """", IF(ISDATE(D114), D114, IF(D114=""今天"", A114, IF(D114=""昨天 (-1 day)"", A114-1, IF(D114=""前天 (-2 days)"", A114-2, IF(D114=""明天 (+1 day)"", A114+1, DATE(LEFT(D114,4), MID(D114,5,2), RIGHT(D114,2))))))))"),45494.0)</f>
        <v>45494</v>
      </c>
      <c r="C114" s="60">
        <f>IFERROR(__xludf.DUMMYFUNCTION("INDIRECT(""'收支紀錄'!C""&amp;TO_TEXT(ROW()-$C$72))"),400.0)</f>
        <v>400</v>
      </c>
      <c r="D114" s="59">
        <f>IFERROR(__xludf.DUMMYFUNCTION("INDIRECT(""'收支紀錄'!D""&amp;TO_TEXT(ROW()-$C$72))"),45494.0)</f>
        <v>45494</v>
      </c>
      <c r="E114" s="61" t="str">
        <f>IFERROR(__xludf.DUMMYFUNCTION("INDIRECT(""'收支紀錄'!E""&amp;TO_TEXT(ROW()-$C$72))"),"")</f>
        <v/>
      </c>
      <c r="F114" s="61" t="str">
        <f>IFERROR(__xludf.DUMMYFUNCTION("INDIRECT(""'收支紀錄'!F""&amp;TO_TEXT(ROW()-$C$72))"),"")</f>
        <v/>
      </c>
      <c r="G114" s="61" t="str">
        <f>IFERROR(__xludf.DUMMYFUNCTION("INDIRECT(""'收支紀錄'!G""&amp;TO_TEXT(ROW()-$C$72))"),"")</f>
        <v/>
      </c>
      <c r="H114" s="61" t="str">
        <f>IFERROR(__xludf.DUMMYFUNCTION("INDIRECT(""'收支紀錄'!H""&amp;TO_TEXT(ROW()-$C$72))"),"食品酒水")</f>
        <v>食品酒水</v>
      </c>
      <c r="I114" s="61" t="str">
        <f>IFERROR(__xludf.DUMMYFUNCTION("INDIRECT(""'收支紀錄'!I""&amp;TO_TEXT(ROW()-$C$72))"),"食材")</f>
        <v>食材</v>
      </c>
      <c r="J114" s="61" t="str">
        <f>IFERROR(__xludf.DUMMYFUNCTION("INDIRECT(""'收支紀錄'!J""&amp;TO_TEXT(ROW()-$C$72))"),"")</f>
        <v/>
      </c>
      <c r="K114" s="61" t="str">
        <f>IFERROR(__xludf.DUMMYFUNCTION("INDIRECT(""'收支紀錄'!K""&amp;TO_TEXT(ROW()-$C$72))"),"")</f>
        <v/>
      </c>
      <c r="L114" s="61" t="str">
        <f>IFERROR(__xludf.DUMMYFUNCTION("INDIRECT(""'收支紀錄'!L""&amp;TO_TEXT(ROW()-$C$72))"),"")</f>
        <v/>
      </c>
      <c r="M114" s="61" t="str">
        <f>IFERROR(__xludf.DUMMYFUNCTION("INDIRECT(""'收支紀錄'!M""&amp;TO_TEXT(ROW()-$C$72))"),"")</f>
        <v/>
      </c>
      <c r="N114" s="61" t="str">
        <f>IFERROR(__xludf.DUMMYFUNCTION("INDIRECT(""'收支紀錄'!N""&amp;TO_TEXT(ROW()-$C$72))"),"")</f>
        <v/>
      </c>
      <c r="O114" s="61" t="str">
        <f>IFERROR(__xludf.DUMMYFUNCTION("INDIRECT(""'收支紀錄'!O""&amp;TO_TEXT(ROW()-$C$72))"),"")</f>
        <v/>
      </c>
      <c r="P114" s="61" t="str">
        <f>IFERROR(__xludf.DUMMYFUNCTION("INDIRECT(""'收支紀錄'!P""&amp;TO_TEXT(ROW()-$C$72))"),"")</f>
        <v/>
      </c>
      <c r="Q114" s="61" t="str">
        <f>IFERROR(__xludf.DUMMYFUNCTION("INDIRECT(""'收支紀錄'!Q""&amp;TO_TEXT(ROW()-$C$72))"),"")</f>
        <v/>
      </c>
      <c r="R114" s="61" t="str">
        <f>IFERROR(__xludf.DUMMYFUNCTION("INDIRECT(""'收支紀錄'!R""&amp;TO_TEXT(ROW()-$C$72))"),"")</f>
        <v/>
      </c>
      <c r="S114" s="61" t="str">
        <f>IFERROR(__xludf.DUMMYFUNCTION("INDIRECT(""'收支紀錄'!S""&amp;TO_TEXT(ROW()-$C$72))"),"")</f>
        <v/>
      </c>
      <c r="T114" s="61" t="str">
        <f>IFERROR(__xludf.DUMMYFUNCTION("INDIRECT(""'收支紀錄'!T""&amp;TO_TEXT(ROW()-$C$72))"),"")</f>
        <v/>
      </c>
      <c r="U114" s="62" t="str">
        <f>IFERROR(__xludf.DUMMYFUNCTION("IF(T114=""是"",TEXTJOIN("""", TRUE, ""$"", TO_TEXT(C114), S114),"""")"),"")</f>
        <v/>
      </c>
    </row>
    <row r="115">
      <c r="A115" s="58">
        <f>IFERROR(__xludf.DUMMYFUNCTION("INDIRECT(""'收支紀錄'!A""&amp;TO_TEXT(ROW()-$C$72))"),45497.32710115741)</f>
        <v>45497.3271</v>
      </c>
      <c r="B115" s="59">
        <f>IFERROR(__xludf.DUMMYFUNCTION("IF(ISBLANK(D115), """", IF(ISDATE(D115), D115, IF(D115=""今天"", A115, IF(D115=""昨天 (-1 day)"", A115-1, IF(D115=""前天 (-2 days)"", A115-2, IF(D115=""明天 (+1 day)"", A115+1, DATE(LEFT(D115,4), MID(D115,5,2), RIGHT(D115,2))))))))"),45497.0)</f>
        <v>45497</v>
      </c>
      <c r="C115" s="60">
        <f>IFERROR(__xludf.DUMMYFUNCTION("INDIRECT(""'收支紀錄'!C""&amp;TO_TEXT(ROW()-$C$72))"),50.0)</f>
        <v>50</v>
      </c>
      <c r="D115" s="59">
        <f>IFERROR(__xludf.DUMMYFUNCTION("INDIRECT(""'收支紀錄'!D""&amp;TO_TEXT(ROW()-$C$72))"),45497.0)</f>
        <v>45497</v>
      </c>
      <c r="E115" s="61" t="str">
        <f>IFERROR(__xludf.DUMMYFUNCTION("INDIRECT(""'收支紀錄'!E""&amp;TO_TEXT(ROW()-$C$72))"),"")</f>
        <v/>
      </c>
      <c r="F115" s="61" t="str">
        <f>IFERROR(__xludf.DUMMYFUNCTION("INDIRECT(""'收支紀錄'!F""&amp;TO_TEXT(ROW()-$C$72))"),"")</f>
        <v/>
      </c>
      <c r="G115" s="61" t="str">
        <f>IFERROR(__xludf.DUMMYFUNCTION("INDIRECT(""'收支紀錄'!G""&amp;TO_TEXT(ROW()-$C$72))"),"")</f>
        <v/>
      </c>
      <c r="H115" s="61" t="str">
        <f>IFERROR(__xludf.DUMMYFUNCTION("INDIRECT(""'收支紀錄'!H""&amp;TO_TEXT(ROW()-$C$72))"),"食品酒水")</f>
        <v>食品酒水</v>
      </c>
      <c r="I115" s="61" t="str">
        <f>IFERROR(__xludf.DUMMYFUNCTION("INDIRECT(""'收支紀錄'!I""&amp;TO_TEXT(ROW()-$C$72))"),"早餐")</f>
        <v>早餐</v>
      </c>
      <c r="J115" s="61" t="str">
        <f>IFERROR(__xludf.DUMMYFUNCTION("INDIRECT(""'收支紀錄'!J""&amp;TO_TEXT(ROW()-$C$72))"),"")</f>
        <v/>
      </c>
      <c r="K115" s="61" t="str">
        <f>IFERROR(__xludf.DUMMYFUNCTION("INDIRECT(""'收支紀錄'!K""&amp;TO_TEXT(ROW()-$C$72))"),"")</f>
        <v/>
      </c>
      <c r="L115" s="61" t="str">
        <f>IFERROR(__xludf.DUMMYFUNCTION("INDIRECT(""'收支紀錄'!L""&amp;TO_TEXT(ROW()-$C$72))"),"")</f>
        <v/>
      </c>
      <c r="M115" s="61" t="str">
        <f>IFERROR(__xludf.DUMMYFUNCTION("INDIRECT(""'收支紀錄'!M""&amp;TO_TEXT(ROW()-$C$72))"),"")</f>
        <v/>
      </c>
      <c r="N115" s="61" t="str">
        <f>IFERROR(__xludf.DUMMYFUNCTION("INDIRECT(""'收支紀錄'!N""&amp;TO_TEXT(ROW()-$C$72))"),"")</f>
        <v/>
      </c>
      <c r="O115" s="61" t="str">
        <f>IFERROR(__xludf.DUMMYFUNCTION("INDIRECT(""'收支紀錄'!O""&amp;TO_TEXT(ROW()-$C$72))"),"")</f>
        <v/>
      </c>
      <c r="P115" s="61" t="str">
        <f>IFERROR(__xludf.DUMMYFUNCTION("INDIRECT(""'收支紀錄'!P""&amp;TO_TEXT(ROW()-$C$72))"),"")</f>
        <v/>
      </c>
      <c r="Q115" s="61" t="str">
        <f>IFERROR(__xludf.DUMMYFUNCTION("INDIRECT(""'收支紀錄'!Q""&amp;TO_TEXT(ROW()-$C$72))"),"")</f>
        <v/>
      </c>
      <c r="R115" s="61" t="str">
        <f>IFERROR(__xludf.DUMMYFUNCTION("INDIRECT(""'收支紀錄'!R""&amp;TO_TEXT(ROW()-$C$72))"),"")</f>
        <v/>
      </c>
      <c r="S115" s="61" t="str">
        <f>IFERROR(__xludf.DUMMYFUNCTION("INDIRECT(""'收支紀錄'!S""&amp;TO_TEXT(ROW()-$C$72))"),"")</f>
        <v/>
      </c>
      <c r="T115" s="61" t="str">
        <f>IFERROR(__xludf.DUMMYFUNCTION("INDIRECT(""'收支紀錄'!T""&amp;TO_TEXT(ROW()-$C$72))"),"")</f>
        <v/>
      </c>
      <c r="U115" s="62" t="str">
        <f>IFERROR(__xludf.DUMMYFUNCTION("IF(T115=""是"",TEXTJOIN("""", TRUE, ""$"", TO_TEXT(C115), S115),"""")"),"")</f>
        <v/>
      </c>
    </row>
    <row r="116">
      <c r="A116" s="58">
        <f>IFERROR(__xludf.DUMMYFUNCTION("INDIRECT(""'收支紀錄'!A""&amp;TO_TEXT(ROW()-$C$72))"),45497.438169375004)</f>
        <v>45497.43817</v>
      </c>
      <c r="B116" s="59">
        <f>IFERROR(__xludf.DUMMYFUNCTION("IF(ISBLANK(D116), """", IF(ISDATE(D116), D116, IF(D116=""今天"", A116, IF(D116=""昨天 (-1 day)"", A116-1, IF(D116=""前天 (-2 days)"", A116-2, IF(D116=""明天 (+1 day)"", A116+1, DATE(LEFT(D116,4), MID(D116,5,2), RIGHT(D116,2))))))))"),45497.0)</f>
        <v>45497</v>
      </c>
      <c r="C116" s="60">
        <f>IFERROR(__xludf.DUMMYFUNCTION("INDIRECT(""'收支紀錄'!C""&amp;TO_TEXT(ROW()-$C$72))"),723.0)</f>
        <v>723</v>
      </c>
      <c r="D116" s="59">
        <f>IFERROR(__xludf.DUMMYFUNCTION("INDIRECT(""'收支紀錄'!D""&amp;TO_TEXT(ROW()-$C$72))"),45497.0)</f>
        <v>45497</v>
      </c>
      <c r="E116" s="61" t="str">
        <f>IFERROR(__xludf.DUMMYFUNCTION("INDIRECT(""'收支紀錄'!E""&amp;TO_TEXT(ROW()-$C$72))"),"")</f>
        <v/>
      </c>
      <c r="F116" s="61" t="str">
        <f>IFERROR(__xludf.DUMMYFUNCTION("INDIRECT(""'收支紀錄'!F""&amp;TO_TEXT(ROW()-$C$72))"),"")</f>
        <v/>
      </c>
      <c r="G116" s="61" t="str">
        <f>IFERROR(__xludf.DUMMYFUNCTION("INDIRECT(""'收支紀錄'!G""&amp;TO_TEXT(ROW()-$C$72))"),"")</f>
        <v/>
      </c>
      <c r="H116" s="61" t="str">
        <f>IFERROR(__xludf.DUMMYFUNCTION("INDIRECT(""'收支紀錄'!H""&amp;TO_TEXT(ROW()-$C$72))"),"行車交通")</f>
        <v>行車交通</v>
      </c>
      <c r="I116" s="61" t="str">
        <f>IFERROR(__xludf.DUMMYFUNCTION("INDIRECT(""'收支紀錄'!I""&amp;TO_TEXT(ROW()-$C$72))"),"")</f>
        <v/>
      </c>
      <c r="J116" s="61" t="str">
        <f>IFERROR(__xludf.DUMMYFUNCTION("INDIRECT(""'收支紀錄'!J""&amp;TO_TEXT(ROW()-$C$72))"),"")</f>
        <v/>
      </c>
      <c r="K116" s="61" t="str">
        <f>IFERROR(__xludf.DUMMYFUNCTION("INDIRECT(""'收支紀錄'!K""&amp;TO_TEXT(ROW()-$C$72))"),"")</f>
        <v/>
      </c>
      <c r="L116" s="61" t="str">
        <f>IFERROR(__xludf.DUMMYFUNCTION("INDIRECT(""'收支紀錄'!L""&amp;TO_TEXT(ROW()-$C$72))"),"加油")</f>
        <v>加油</v>
      </c>
      <c r="M116" s="61" t="str">
        <f>IFERROR(__xludf.DUMMYFUNCTION("INDIRECT(""'收支紀錄'!M""&amp;TO_TEXT(ROW()-$C$72))"),"")</f>
        <v/>
      </c>
      <c r="N116" s="61" t="str">
        <f>IFERROR(__xludf.DUMMYFUNCTION("INDIRECT(""'收支紀錄'!N""&amp;TO_TEXT(ROW()-$C$72))"),"")</f>
        <v/>
      </c>
      <c r="O116" s="61" t="str">
        <f>IFERROR(__xludf.DUMMYFUNCTION("INDIRECT(""'收支紀錄'!O""&amp;TO_TEXT(ROW()-$C$72))"),"")</f>
        <v/>
      </c>
      <c r="P116" s="61" t="str">
        <f>IFERROR(__xludf.DUMMYFUNCTION("INDIRECT(""'收支紀錄'!P""&amp;TO_TEXT(ROW()-$C$72))"),"")</f>
        <v/>
      </c>
      <c r="Q116" s="61" t="str">
        <f>IFERROR(__xludf.DUMMYFUNCTION("INDIRECT(""'收支紀錄'!Q""&amp;TO_TEXT(ROW()-$C$72))"),"")</f>
        <v/>
      </c>
      <c r="R116" s="61" t="str">
        <f>IFERROR(__xludf.DUMMYFUNCTION("INDIRECT(""'收支紀錄'!R""&amp;TO_TEXT(ROW()-$C$72))"),"")</f>
        <v/>
      </c>
      <c r="S116" s="61" t="str">
        <f>IFERROR(__xludf.DUMMYFUNCTION("INDIRECT(""'收支紀錄'!S""&amp;TO_TEXT(ROW()-$C$72))"),"")</f>
        <v/>
      </c>
      <c r="T116" s="61" t="str">
        <f>IFERROR(__xludf.DUMMYFUNCTION("INDIRECT(""'收支紀錄'!T""&amp;TO_TEXT(ROW()-$C$72))"),"")</f>
        <v/>
      </c>
      <c r="U116" s="62" t="str">
        <f>IFERROR(__xludf.DUMMYFUNCTION("IF(T116=""是"",TEXTJOIN("""", TRUE, ""$"", TO_TEXT(C116), S116),"""")"),"")</f>
        <v/>
      </c>
    </row>
    <row r="117">
      <c r="A117" s="58">
        <f>IFERROR(__xludf.DUMMYFUNCTION("INDIRECT(""'收支紀錄'!A""&amp;TO_TEXT(ROW()-$C$72))"),45499.93923019676)</f>
        <v>45499.93923</v>
      </c>
      <c r="B117" s="59">
        <f>IFERROR(__xludf.DUMMYFUNCTION("IF(ISBLANK(D117), """", IF(ISDATE(D117), D117, IF(D117=""今天"", A117, IF(D117=""昨天 (-1 day)"", A117-1, IF(D117=""前天 (-2 days)"", A117-2, IF(D117=""明天 (+1 day)"", A117+1, DATE(LEFT(D117,4), MID(D117,5,2), RIGHT(D117,2))))))))"),45499.0)</f>
        <v>45499</v>
      </c>
      <c r="C117" s="60">
        <f>IFERROR(__xludf.DUMMYFUNCTION("INDIRECT(""'收支紀錄'!C""&amp;TO_TEXT(ROW()-$C$72))"),600.0)</f>
        <v>600</v>
      </c>
      <c r="D117" s="59">
        <f>IFERROR(__xludf.DUMMYFUNCTION("INDIRECT(""'收支紀錄'!D""&amp;TO_TEXT(ROW()-$C$72))"),45499.0)</f>
        <v>45499</v>
      </c>
      <c r="E117" s="61" t="str">
        <f>IFERROR(__xludf.DUMMYFUNCTION("INDIRECT(""'收支紀錄'!E""&amp;TO_TEXT(ROW()-$C$72))"),"")</f>
        <v/>
      </c>
      <c r="F117" s="61" t="str">
        <f>IFERROR(__xludf.DUMMYFUNCTION("INDIRECT(""'收支紀錄'!F""&amp;TO_TEXT(ROW()-$C$72))"),"")</f>
        <v/>
      </c>
      <c r="G117" s="61" t="str">
        <f>IFERROR(__xludf.DUMMYFUNCTION("INDIRECT(""'收支紀錄'!G""&amp;TO_TEXT(ROW()-$C$72))"),"")</f>
        <v/>
      </c>
      <c r="H117" s="61" t="str">
        <f>IFERROR(__xludf.DUMMYFUNCTION("INDIRECT(""'收支紀錄'!H""&amp;TO_TEXT(ROW()-$C$72))"),"休閒娛樂")</f>
        <v>休閒娛樂</v>
      </c>
      <c r="I117" s="61" t="str">
        <f>IFERROR(__xludf.DUMMYFUNCTION("INDIRECT(""'收支紀錄'!I""&amp;TO_TEXT(ROW()-$C$72))"),"")</f>
        <v/>
      </c>
      <c r="J117" s="61" t="str">
        <f>IFERROR(__xludf.DUMMYFUNCTION("INDIRECT(""'收支紀錄'!J""&amp;TO_TEXT(ROW()-$C$72))"),"")</f>
        <v/>
      </c>
      <c r="K117" s="61" t="str">
        <f>IFERROR(__xludf.DUMMYFUNCTION("INDIRECT(""'收支紀錄'!K""&amp;TO_TEXT(ROW()-$C$72))"),"")</f>
        <v/>
      </c>
      <c r="L117" s="61" t="str">
        <f>IFERROR(__xludf.DUMMYFUNCTION("INDIRECT(""'收支紀錄'!L""&amp;TO_TEXT(ROW()-$C$72))"),"")</f>
        <v/>
      </c>
      <c r="M117" s="61" t="str">
        <f>IFERROR(__xludf.DUMMYFUNCTION("INDIRECT(""'收支紀錄'!M""&amp;TO_TEXT(ROW()-$C$72))"),"剪髮")</f>
        <v>剪髮</v>
      </c>
      <c r="N117" s="61" t="str">
        <f>IFERROR(__xludf.DUMMYFUNCTION("INDIRECT(""'收支紀錄'!N""&amp;TO_TEXT(ROW()-$C$72))"),"")</f>
        <v/>
      </c>
      <c r="O117" s="61" t="str">
        <f>IFERROR(__xludf.DUMMYFUNCTION("INDIRECT(""'收支紀錄'!O""&amp;TO_TEXT(ROW()-$C$72))"),"")</f>
        <v/>
      </c>
      <c r="P117" s="61" t="str">
        <f>IFERROR(__xludf.DUMMYFUNCTION("INDIRECT(""'收支紀錄'!P""&amp;TO_TEXT(ROW()-$C$72))"),"")</f>
        <v/>
      </c>
      <c r="Q117" s="61" t="str">
        <f>IFERROR(__xludf.DUMMYFUNCTION("INDIRECT(""'收支紀錄'!Q""&amp;TO_TEXT(ROW()-$C$72))"),"")</f>
        <v/>
      </c>
      <c r="R117" s="61" t="str">
        <f>IFERROR(__xludf.DUMMYFUNCTION("INDIRECT(""'收支紀錄'!R""&amp;TO_TEXT(ROW()-$C$72))"),"")</f>
        <v/>
      </c>
      <c r="S117" s="61" t="str">
        <f>IFERROR(__xludf.DUMMYFUNCTION("INDIRECT(""'收支紀錄'!S""&amp;TO_TEXT(ROW()-$C$72))"),"")</f>
        <v/>
      </c>
      <c r="T117" s="61" t="str">
        <f>IFERROR(__xludf.DUMMYFUNCTION("INDIRECT(""'收支紀錄'!T""&amp;TO_TEXT(ROW()-$C$72))"),"")</f>
        <v/>
      </c>
      <c r="U117" s="62" t="str">
        <f>IFERROR(__xludf.DUMMYFUNCTION("IF(T117=""是"",TEXTJOIN("""", TRUE, ""$"", TO_TEXT(C117), S117),"""")"),"")</f>
        <v/>
      </c>
    </row>
    <row r="118">
      <c r="A118" s="58">
        <f>IFERROR(__xludf.DUMMYFUNCTION("INDIRECT(""'收支紀錄'!A""&amp;TO_TEXT(ROW()-$C$72))"),45500.347006435186)</f>
        <v>45500.34701</v>
      </c>
      <c r="B118" s="59">
        <f>IFERROR(__xludf.DUMMYFUNCTION("IF(ISBLANK(D118), """", IF(ISDATE(D118), D118, IF(D118=""今天"", A118, IF(D118=""昨天 (-1 day)"", A118-1, IF(D118=""前天 (-2 days)"", A118-2, IF(D118=""明天 (+1 day)"", A118+1, DATE(LEFT(D118,4), MID(D118,5,2), RIGHT(D118,2))))))))"),45500.0)</f>
        <v>45500</v>
      </c>
      <c r="C118" s="60">
        <f>IFERROR(__xludf.DUMMYFUNCTION("INDIRECT(""'收支紀錄'!C""&amp;TO_TEXT(ROW()-$C$72))"),20.0)</f>
        <v>20</v>
      </c>
      <c r="D118" s="59">
        <f>IFERROR(__xludf.DUMMYFUNCTION("INDIRECT(""'收支紀錄'!D""&amp;TO_TEXT(ROW()-$C$72))"),45500.0)</f>
        <v>45500</v>
      </c>
      <c r="E118" s="61" t="str">
        <f>IFERROR(__xludf.DUMMYFUNCTION("INDIRECT(""'收支紀錄'!E""&amp;TO_TEXT(ROW()-$C$72))"),"")</f>
        <v/>
      </c>
      <c r="F118" s="61" t="str">
        <f>IFERROR(__xludf.DUMMYFUNCTION("INDIRECT(""'收支紀錄'!F""&amp;TO_TEXT(ROW()-$C$72))"),"")</f>
        <v/>
      </c>
      <c r="G118" s="61" t="str">
        <f>IFERROR(__xludf.DUMMYFUNCTION("INDIRECT(""'收支紀錄'!G""&amp;TO_TEXT(ROW()-$C$72))"),"")</f>
        <v/>
      </c>
      <c r="H118" s="61" t="str">
        <f>IFERROR(__xludf.DUMMYFUNCTION("INDIRECT(""'收支紀錄'!H""&amp;TO_TEXT(ROW()-$C$72))"),"行車交通")</f>
        <v>行車交通</v>
      </c>
      <c r="I118" s="61" t="str">
        <f>IFERROR(__xludf.DUMMYFUNCTION("INDIRECT(""'收支紀錄'!I""&amp;TO_TEXT(ROW()-$C$72))"),"")</f>
        <v/>
      </c>
      <c r="J118" s="61" t="str">
        <f>IFERROR(__xludf.DUMMYFUNCTION("INDIRECT(""'收支紀錄'!J""&amp;TO_TEXT(ROW()-$C$72))"),"")</f>
        <v/>
      </c>
      <c r="K118" s="61" t="str">
        <f>IFERROR(__xludf.DUMMYFUNCTION("INDIRECT(""'收支紀錄'!K""&amp;TO_TEXT(ROW()-$C$72))"),"")</f>
        <v/>
      </c>
      <c r="L118" s="61" t="str">
        <f>IFERROR(__xludf.DUMMYFUNCTION("INDIRECT(""'收支紀錄'!L""&amp;TO_TEXT(ROW()-$C$72))"),"捷運費")</f>
        <v>捷運費</v>
      </c>
      <c r="M118" s="61" t="str">
        <f>IFERROR(__xludf.DUMMYFUNCTION("INDIRECT(""'收支紀錄'!M""&amp;TO_TEXT(ROW()-$C$72))"),"")</f>
        <v/>
      </c>
      <c r="N118" s="61" t="str">
        <f>IFERROR(__xludf.DUMMYFUNCTION("INDIRECT(""'收支紀錄'!N""&amp;TO_TEXT(ROW()-$C$72))"),"")</f>
        <v/>
      </c>
      <c r="O118" s="61" t="str">
        <f>IFERROR(__xludf.DUMMYFUNCTION("INDIRECT(""'收支紀錄'!O""&amp;TO_TEXT(ROW()-$C$72))"),"")</f>
        <v/>
      </c>
      <c r="P118" s="61" t="str">
        <f>IFERROR(__xludf.DUMMYFUNCTION("INDIRECT(""'收支紀錄'!P""&amp;TO_TEXT(ROW()-$C$72))"),"")</f>
        <v/>
      </c>
      <c r="Q118" s="61" t="str">
        <f>IFERROR(__xludf.DUMMYFUNCTION("INDIRECT(""'收支紀錄'!Q""&amp;TO_TEXT(ROW()-$C$72))"),"")</f>
        <v/>
      </c>
      <c r="R118" s="61" t="str">
        <f>IFERROR(__xludf.DUMMYFUNCTION("INDIRECT(""'收支紀錄'!R""&amp;TO_TEXT(ROW()-$C$72))"),"")</f>
        <v/>
      </c>
      <c r="S118" s="61" t="str">
        <f>IFERROR(__xludf.DUMMYFUNCTION("INDIRECT(""'收支紀錄'!S""&amp;TO_TEXT(ROW()-$C$72))"),"")</f>
        <v/>
      </c>
      <c r="T118" s="61" t="str">
        <f>IFERROR(__xludf.DUMMYFUNCTION("INDIRECT(""'收支紀錄'!T""&amp;TO_TEXT(ROW()-$C$72))"),"")</f>
        <v/>
      </c>
      <c r="U118" s="62" t="str">
        <f>IFERROR(__xludf.DUMMYFUNCTION("IF(T118=""是"",TEXTJOIN("""", TRUE, ""$"", TO_TEXT(C118), S118),"""")"),"")</f>
        <v/>
      </c>
    </row>
    <row r="119">
      <c r="A119" s="58">
        <f>IFERROR(__xludf.DUMMYFUNCTION("INDIRECT(""'收支紀錄'!A""&amp;TO_TEXT(ROW()-$C$72))"),45500.829484456015)</f>
        <v>45500.82948</v>
      </c>
      <c r="B119" s="59">
        <f>IFERROR(__xludf.DUMMYFUNCTION("IF(ISBLANK(D119), """", IF(ISDATE(D119), D119, IF(D119=""今天"", A119, IF(D119=""昨天 (-1 day)"", A119-1, IF(D119=""前天 (-2 days)"", A119-2, IF(D119=""明天 (+1 day)"", A119+1, DATE(LEFT(D119,4), MID(D119,5,2), RIGHT(D119,2))))))))"),45500.0)</f>
        <v>45500</v>
      </c>
      <c r="C119" s="60">
        <f>IFERROR(__xludf.DUMMYFUNCTION("INDIRECT(""'收支紀錄'!C""&amp;TO_TEXT(ROW()-$C$72))"),320.0)</f>
        <v>320</v>
      </c>
      <c r="D119" s="59">
        <f>IFERROR(__xludf.DUMMYFUNCTION("INDIRECT(""'收支紀錄'!D""&amp;TO_TEXT(ROW()-$C$72))"),45500.0)</f>
        <v>45500</v>
      </c>
      <c r="E119" s="61" t="str">
        <f>IFERROR(__xludf.DUMMYFUNCTION("INDIRECT(""'收支紀錄'!E""&amp;TO_TEXT(ROW()-$C$72))"),"")</f>
        <v/>
      </c>
      <c r="F119" s="61" t="str">
        <f>IFERROR(__xludf.DUMMYFUNCTION("INDIRECT(""'收支紀錄'!F""&amp;TO_TEXT(ROW()-$C$72))"),"")</f>
        <v/>
      </c>
      <c r="G119" s="61" t="str">
        <f>IFERROR(__xludf.DUMMYFUNCTION("INDIRECT(""'收支紀錄'!G""&amp;TO_TEXT(ROW()-$C$72))"),"")</f>
        <v/>
      </c>
      <c r="H119" s="61" t="str">
        <f>IFERROR(__xludf.DUMMYFUNCTION("INDIRECT(""'收支紀錄'!H""&amp;TO_TEXT(ROW()-$C$72))"),"食品酒水")</f>
        <v>食品酒水</v>
      </c>
      <c r="I119" s="61" t="str">
        <f>IFERROR(__xludf.DUMMYFUNCTION("INDIRECT(""'收支紀錄'!I""&amp;TO_TEXT(ROW()-$C$72))"),"晚餐")</f>
        <v>晚餐</v>
      </c>
      <c r="J119" s="61" t="str">
        <f>IFERROR(__xludf.DUMMYFUNCTION("INDIRECT(""'收支紀錄'!J""&amp;TO_TEXT(ROW()-$C$72))"),"")</f>
        <v/>
      </c>
      <c r="K119" s="61" t="str">
        <f>IFERROR(__xludf.DUMMYFUNCTION("INDIRECT(""'收支紀錄'!K""&amp;TO_TEXT(ROW()-$C$72))"),"")</f>
        <v/>
      </c>
      <c r="L119" s="61" t="str">
        <f>IFERROR(__xludf.DUMMYFUNCTION("INDIRECT(""'收支紀錄'!L""&amp;TO_TEXT(ROW()-$C$72))"),"")</f>
        <v/>
      </c>
      <c r="M119" s="61" t="str">
        <f>IFERROR(__xludf.DUMMYFUNCTION("INDIRECT(""'收支紀錄'!M""&amp;TO_TEXT(ROW()-$C$72))"),"")</f>
        <v/>
      </c>
      <c r="N119" s="61" t="str">
        <f>IFERROR(__xludf.DUMMYFUNCTION("INDIRECT(""'收支紀錄'!N""&amp;TO_TEXT(ROW()-$C$72))"),"")</f>
        <v/>
      </c>
      <c r="O119" s="61" t="str">
        <f>IFERROR(__xludf.DUMMYFUNCTION("INDIRECT(""'收支紀錄'!O""&amp;TO_TEXT(ROW()-$C$72))"),"")</f>
        <v/>
      </c>
      <c r="P119" s="61" t="str">
        <f>IFERROR(__xludf.DUMMYFUNCTION("INDIRECT(""'收支紀錄'!P""&amp;TO_TEXT(ROW()-$C$72))"),"")</f>
        <v/>
      </c>
      <c r="Q119" s="61" t="str">
        <f>IFERROR(__xludf.DUMMYFUNCTION("INDIRECT(""'收支紀錄'!Q""&amp;TO_TEXT(ROW()-$C$72))"),"")</f>
        <v/>
      </c>
      <c r="R119" s="61" t="str">
        <f>IFERROR(__xludf.DUMMYFUNCTION("INDIRECT(""'收支紀錄'!R""&amp;TO_TEXT(ROW()-$C$72))"),"")</f>
        <v/>
      </c>
      <c r="S119" s="61" t="str">
        <f>IFERROR(__xludf.DUMMYFUNCTION("INDIRECT(""'收支紀錄'!S""&amp;TO_TEXT(ROW()-$C$72))"),"")</f>
        <v/>
      </c>
      <c r="T119" s="61" t="str">
        <f>IFERROR(__xludf.DUMMYFUNCTION("INDIRECT(""'收支紀錄'!T""&amp;TO_TEXT(ROW()-$C$72))"),"")</f>
        <v/>
      </c>
      <c r="U119" s="62" t="str">
        <f>IFERROR(__xludf.DUMMYFUNCTION("IF(T119=""是"",TEXTJOIN("""", TRUE, ""$"", TO_TEXT(C119), S119),"""")"),"")</f>
        <v/>
      </c>
    </row>
    <row r="120">
      <c r="A120" s="58">
        <f>IFERROR(__xludf.DUMMYFUNCTION("INDIRECT(""'收支紀錄'!A""&amp;TO_TEXT(ROW()-$C$72))"),45500.89075202546)</f>
        <v>45500.89075</v>
      </c>
      <c r="B120" s="59">
        <f>IFERROR(__xludf.DUMMYFUNCTION("IF(ISBLANK(D120), """", IF(ISDATE(D120), D120, IF(D120=""今天"", A120, IF(D120=""昨天 (-1 day)"", A120-1, IF(D120=""前天 (-2 days)"", A120-2, IF(D120=""明天 (+1 day)"", A120+1, DATE(LEFT(D120,4), MID(D120,5,2), RIGHT(D120,2))))))))"),45500.0)</f>
        <v>45500</v>
      </c>
      <c r="C120" s="60">
        <f>IFERROR(__xludf.DUMMYFUNCTION("INDIRECT(""'收支紀錄'!C""&amp;TO_TEXT(ROW()-$C$72))"),424.0)</f>
        <v>424</v>
      </c>
      <c r="D120" s="59">
        <f>IFERROR(__xludf.DUMMYFUNCTION("INDIRECT(""'收支紀錄'!D""&amp;TO_TEXT(ROW()-$C$72))"),45500.0)</f>
        <v>45500</v>
      </c>
      <c r="E120" s="61" t="str">
        <f>IFERROR(__xludf.DUMMYFUNCTION("INDIRECT(""'收支紀錄'!E""&amp;TO_TEXT(ROW()-$C$72))"),"")</f>
        <v/>
      </c>
      <c r="F120" s="61" t="str">
        <f>IFERROR(__xludf.DUMMYFUNCTION("INDIRECT(""'收支紀錄'!F""&amp;TO_TEXT(ROW()-$C$72))"),"")</f>
        <v/>
      </c>
      <c r="G120" s="61" t="str">
        <f>IFERROR(__xludf.DUMMYFUNCTION("INDIRECT(""'收支紀錄'!G""&amp;TO_TEXT(ROW()-$C$72))"),"")</f>
        <v/>
      </c>
      <c r="H120" s="61" t="str">
        <f>IFERROR(__xludf.DUMMYFUNCTION("INDIRECT(""'收支紀錄'!H""&amp;TO_TEXT(ROW()-$C$72))"),"行車交通")</f>
        <v>行車交通</v>
      </c>
      <c r="I120" s="61" t="str">
        <f>IFERROR(__xludf.DUMMYFUNCTION("INDIRECT(""'收支紀錄'!I""&amp;TO_TEXT(ROW()-$C$72))"),"")</f>
        <v/>
      </c>
      <c r="J120" s="61" t="str">
        <f>IFERROR(__xludf.DUMMYFUNCTION("INDIRECT(""'收支紀錄'!J""&amp;TO_TEXT(ROW()-$C$72))"),"")</f>
        <v/>
      </c>
      <c r="K120" s="61" t="str">
        <f>IFERROR(__xludf.DUMMYFUNCTION("INDIRECT(""'收支紀錄'!K""&amp;TO_TEXT(ROW()-$C$72))"),"")</f>
        <v/>
      </c>
      <c r="L120" s="61" t="str">
        <f>IFERROR(__xludf.DUMMYFUNCTION("INDIRECT(""'收支紀錄'!L""&amp;TO_TEXT(ROW()-$C$72))"),"加油")</f>
        <v>加油</v>
      </c>
      <c r="M120" s="61" t="str">
        <f>IFERROR(__xludf.DUMMYFUNCTION("INDIRECT(""'收支紀錄'!M""&amp;TO_TEXT(ROW()-$C$72))"),"")</f>
        <v/>
      </c>
      <c r="N120" s="61" t="str">
        <f>IFERROR(__xludf.DUMMYFUNCTION("INDIRECT(""'收支紀錄'!N""&amp;TO_TEXT(ROW()-$C$72))"),"")</f>
        <v/>
      </c>
      <c r="O120" s="61" t="str">
        <f>IFERROR(__xludf.DUMMYFUNCTION("INDIRECT(""'收支紀錄'!O""&amp;TO_TEXT(ROW()-$C$72))"),"")</f>
        <v/>
      </c>
      <c r="P120" s="61" t="str">
        <f>IFERROR(__xludf.DUMMYFUNCTION("INDIRECT(""'收支紀錄'!P""&amp;TO_TEXT(ROW()-$C$72))"),"")</f>
        <v/>
      </c>
      <c r="Q120" s="61" t="str">
        <f>IFERROR(__xludf.DUMMYFUNCTION("INDIRECT(""'收支紀錄'!Q""&amp;TO_TEXT(ROW()-$C$72))"),"")</f>
        <v/>
      </c>
      <c r="R120" s="61" t="str">
        <f>IFERROR(__xludf.DUMMYFUNCTION("INDIRECT(""'收支紀錄'!R""&amp;TO_TEXT(ROW()-$C$72))"),"")</f>
        <v/>
      </c>
      <c r="S120" s="61" t="str">
        <f>IFERROR(__xludf.DUMMYFUNCTION("INDIRECT(""'收支紀錄'!S""&amp;TO_TEXT(ROW()-$C$72))"),"")</f>
        <v/>
      </c>
      <c r="T120" s="61" t="str">
        <f>IFERROR(__xludf.DUMMYFUNCTION("INDIRECT(""'收支紀錄'!T""&amp;TO_TEXT(ROW()-$C$72))"),"")</f>
        <v/>
      </c>
      <c r="U120" s="62" t="str">
        <f>IFERROR(__xludf.DUMMYFUNCTION("IF(T120=""是"",TEXTJOIN("""", TRUE, ""$"", TO_TEXT(C120), S120),"""")"),"")</f>
        <v/>
      </c>
    </row>
    <row r="121">
      <c r="A121" s="58">
        <f>IFERROR(__xludf.DUMMYFUNCTION("INDIRECT(""'收支紀錄'!A""&amp;TO_TEXT(ROW()-$C$72))"),45500.89104153935)</f>
        <v>45500.89104</v>
      </c>
      <c r="B121" s="59">
        <f>IFERROR(__xludf.DUMMYFUNCTION("IF(ISBLANK(D121), """", IF(ISDATE(D121), D121, IF(D121=""今天"", A121, IF(D121=""昨天 (-1 day)"", A121-1, IF(D121=""前天 (-2 days)"", A121-2, IF(D121=""明天 (+1 day)"", A121+1, DATE(LEFT(D121,4), MID(D121,5,2), RIGHT(D121,2))))))))"),45500.0)</f>
        <v>45500</v>
      </c>
      <c r="C121" s="60">
        <f>IFERROR(__xludf.DUMMYFUNCTION("INDIRECT(""'收支紀錄'!C""&amp;TO_TEXT(ROW()-$C$72))"),284.0)</f>
        <v>284</v>
      </c>
      <c r="D121" s="59">
        <f>IFERROR(__xludf.DUMMYFUNCTION("INDIRECT(""'收支紀錄'!D""&amp;TO_TEXT(ROW()-$C$72))"),45500.0)</f>
        <v>45500</v>
      </c>
      <c r="E121" s="61" t="str">
        <f>IFERROR(__xludf.DUMMYFUNCTION("INDIRECT(""'收支紀錄'!E""&amp;TO_TEXT(ROW()-$C$72))"),"")</f>
        <v/>
      </c>
      <c r="F121" s="61" t="str">
        <f>IFERROR(__xludf.DUMMYFUNCTION("INDIRECT(""'收支紀錄'!F""&amp;TO_TEXT(ROW()-$C$72))"),"")</f>
        <v/>
      </c>
      <c r="G121" s="61" t="str">
        <f>IFERROR(__xludf.DUMMYFUNCTION("INDIRECT(""'收支紀錄'!G""&amp;TO_TEXT(ROW()-$C$72))"),"")</f>
        <v/>
      </c>
      <c r="H121" s="61" t="str">
        <f>IFERROR(__xludf.DUMMYFUNCTION("INDIRECT(""'收支紀錄'!H""&amp;TO_TEXT(ROW()-$C$72))"),"日常生活")</f>
        <v>日常生活</v>
      </c>
      <c r="I121" s="61" t="str">
        <f>IFERROR(__xludf.DUMMYFUNCTION("INDIRECT(""'收支紀錄'!I""&amp;TO_TEXT(ROW()-$C$72))"),"")</f>
        <v/>
      </c>
      <c r="J121" s="61" t="str">
        <f>IFERROR(__xludf.DUMMYFUNCTION("INDIRECT(""'收支紀錄'!J""&amp;TO_TEXT(ROW()-$C$72))"),"日常用品")</f>
        <v>日常用品</v>
      </c>
      <c r="K121" s="61" t="str">
        <f>IFERROR(__xludf.DUMMYFUNCTION("INDIRECT(""'收支紀錄'!K""&amp;TO_TEXT(ROW()-$C$72))"),"")</f>
        <v/>
      </c>
      <c r="L121" s="61" t="str">
        <f>IFERROR(__xludf.DUMMYFUNCTION("INDIRECT(""'收支紀錄'!L""&amp;TO_TEXT(ROW()-$C$72))"),"")</f>
        <v/>
      </c>
      <c r="M121" s="61" t="str">
        <f>IFERROR(__xludf.DUMMYFUNCTION("INDIRECT(""'收支紀錄'!M""&amp;TO_TEXT(ROW()-$C$72))"),"")</f>
        <v/>
      </c>
      <c r="N121" s="61" t="str">
        <f>IFERROR(__xludf.DUMMYFUNCTION("INDIRECT(""'收支紀錄'!N""&amp;TO_TEXT(ROW()-$C$72))"),"")</f>
        <v/>
      </c>
      <c r="O121" s="61" t="str">
        <f>IFERROR(__xludf.DUMMYFUNCTION("INDIRECT(""'收支紀錄'!O""&amp;TO_TEXT(ROW()-$C$72))"),"")</f>
        <v/>
      </c>
      <c r="P121" s="61" t="str">
        <f>IFERROR(__xludf.DUMMYFUNCTION("INDIRECT(""'收支紀錄'!P""&amp;TO_TEXT(ROW()-$C$72))"),"")</f>
        <v/>
      </c>
      <c r="Q121" s="61" t="str">
        <f>IFERROR(__xludf.DUMMYFUNCTION("INDIRECT(""'收支紀錄'!Q""&amp;TO_TEXT(ROW()-$C$72))"),"")</f>
        <v/>
      </c>
      <c r="R121" s="61" t="str">
        <f>IFERROR(__xludf.DUMMYFUNCTION("INDIRECT(""'收支紀錄'!R""&amp;TO_TEXT(ROW()-$C$72))"),"")</f>
        <v/>
      </c>
      <c r="S121" s="61" t="str">
        <f>IFERROR(__xludf.DUMMYFUNCTION("INDIRECT(""'收支紀錄'!S""&amp;TO_TEXT(ROW()-$C$72))"),"")</f>
        <v/>
      </c>
      <c r="T121" s="61" t="str">
        <f>IFERROR(__xludf.DUMMYFUNCTION("INDIRECT(""'收支紀錄'!T""&amp;TO_TEXT(ROW()-$C$72))"),"")</f>
        <v/>
      </c>
      <c r="U121" s="62" t="str">
        <f>IFERROR(__xludf.DUMMYFUNCTION("IF(T121=""是"",TEXTJOIN("""", TRUE, ""$"", TO_TEXT(C121), S121),"""")"),"")</f>
        <v/>
      </c>
    </row>
    <row r="122">
      <c r="A122" s="58">
        <f>IFERROR(__xludf.DUMMYFUNCTION("INDIRECT(""'收支紀錄'!A""&amp;TO_TEXT(ROW()-$C$72))"),45501.36835103009)</f>
        <v>45501.36835</v>
      </c>
      <c r="B122" s="59">
        <f>IFERROR(__xludf.DUMMYFUNCTION("IF(ISBLANK(D122), """", IF(ISDATE(D122), D122, IF(D122=""今天"", A122, IF(D122=""昨天 (-1 day)"", A122-1, IF(D122=""前天 (-2 days)"", A122-2, IF(D122=""明天 (+1 day)"", A122+1, DATE(LEFT(D122,4), MID(D122,5,2), RIGHT(D122,2))))))))"),45501.0)</f>
        <v>45501</v>
      </c>
      <c r="C122" s="60">
        <f>IFERROR(__xludf.DUMMYFUNCTION("INDIRECT(""'收支紀錄'!C""&amp;TO_TEXT(ROW()-$C$72))"),157.0)</f>
        <v>157</v>
      </c>
      <c r="D122" s="59">
        <f>IFERROR(__xludf.DUMMYFUNCTION("INDIRECT(""'收支紀錄'!D""&amp;TO_TEXT(ROW()-$C$72))"),45501.0)</f>
        <v>45501</v>
      </c>
      <c r="E122" s="61" t="str">
        <f>IFERROR(__xludf.DUMMYFUNCTION("INDIRECT(""'收支紀錄'!E""&amp;TO_TEXT(ROW()-$C$72))"),"")</f>
        <v/>
      </c>
      <c r="F122" s="61" t="str">
        <f>IFERROR(__xludf.DUMMYFUNCTION("INDIRECT(""'收支紀錄'!F""&amp;TO_TEXT(ROW()-$C$72))"),"")</f>
        <v/>
      </c>
      <c r="G122" s="61" t="str">
        <f>IFERROR(__xludf.DUMMYFUNCTION("INDIRECT(""'收支紀錄'!G""&amp;TO_TEXT(ROW()-$C$72))"),"")</f>
        <v/>
      </c>
      <c r="H122" s="61" t="str">
        <f>IFERROR(__xludf.DUMMYFUNCTION("INDIRECT(""'收支紀錄'!H""&amp;TO_TEXT(ROW()-$C$72))"),"食品酒水")</f>
        <v>食品酒水</v>
      </c>
      <c r="I122" s="61" t="str">
        <f>IFERROR(__xludf.DUMMYFUNCTION("INDIRECT(""'收支紀錄'!I""&amp;TO_TEXT(ROW()-$C$72))"),"早餐")</f>
        <v>早餐</v>
      </c>
      <c r="J122" s="61" t="str">
        <f>IFERROR(__xludf.DUMMYFUNCTION("INDIRECT(""'收支紀錄'!J""&amp;TO_TEXT(ROW()-$C$72))"),"")</f>
        <v/>
      </c>
      <c r="K122" s="61" t="str">
        <f>IFERROR(__xludf.DUMMYFUNCTION("INDIRECT(""'收支紀錄'!K""&amp;TO_TEXT(ROW()-$C$72))"),"")</f>
        <v/>
      </c>
      <c r="L122" s="61" t="str">
        <f>IFERROR(__xludf.DUMMYFUNCTION("INDIRECT(""'收支紀錄'!L""&amp;TO_TEXT(ROW()-$C$72))"),"")</f>
        <v/>
      </c>
      <c r="M122" s="61" t="str">
        <f>IFERROR(__xludf.DUMMYFUNCTION("INDIRECT(""'收支紀錄'!M""&amp;TO_TEXT(ROW()-$C$72))"),"")</f>
        <v/>
      </c>
      <c r="N122" s="61" t="str">
        <f>IFERROR(__xludf.DUMMYFUNCTION("INDIRECT(""'收支紀錄'!N""&amp;TO_TEXT(ROW()-$C$72))"),"")</f>
        <v/>
      </c>
      <c r="O122" s="61" t="str">
        <f>IFERROR(__xludf.DUMMYFUNCTION("INDIRECT(""'收支紀錄'!O""&amp;TO_TEXT(ROW()-$C$72))"),"")</f>
        <v/>
      </c>
      <c r="P122" s="61" t="str">
        <f>IFERROR(__xludf.DUMMYFUNCTION("INDIRECT(""'收支紀錄'!P""&amp;TO_TEXT(ROW()-$C$72))"),"")</f>
        <v/>
      </c>
      <c r="Q122" s="61" t="str">
        <f>IFERROR(__xludf.DUMMYFUNCTION("INDIRECT(""'收支紀錄'!Q""&amp;TO_TEXT(ROW()-$C$72))"),"")</f>
        <v/>
      </c>
      <c r="R122" s="61" t="str">
        <f>IFERROR(__xludf.DUMMYFUNCTION("INDIRECT(""'收支紀錄'!R""&amp;TO_TEXT(ROW()-$C$72))"),"")</f>
        <v/>
      </c>
      <c r="S122" s="61" t="str">
        <f>IFERROR(__xludf.DUMMYFUNCTION("INDIRECT(""'收支紀錄'!S""&amp;TO_TEXT(ROW()-$C$72))"),"")</f>
        <v/>
      </c>
      <c r="T122" s="61" t="str">
        <f>IFERROR(__xludf.DUMMYFUNCTION("INDIRECT(""'收支紀錄'!T""&amp;TO_TEXT(ROW()-$C$72))"),"")</f>
        <v/>
      </c>
      <c r="U122" s="62" t="str">
        <f>IFERROR(__xludf.DUMMYFUNCTION("IF(T122=""是"",TEXTJOIN("""", TRUE, ""$"", TO_TEXT(C122), S122),"""")"),"")</f>
        <v/>
      </c>
    </row>
    <row r="123">
      <c r="A123" s="58">
        <f>IFERROR(__xludf.DUMMYFUNCTION("INDIRECT(""'收支紀錄'!A""&amp;TO_TEXT(ROW()-$C$72))"),45501.93584553241)</f>
        <v>45501.93585</v>
      </c>
      <c r="B123" s="59">
        <f>IFERROR(__xludf.DUMMYFUNCTION("IF(ISBLANK(D123), """", IF(ISDATE(D123), D123, IF(D123=""今天"", A123, IF(D123=""昨天 (-1 day)"", A123-1, IF(D123=""前天 (-2 days)"", A123-2, IF(D123=""明天 (+1 day)"", A123+1, DATE(LEFT(D123,4), MID(D123,5,2), RIGHT(D123,2))))))))"),45501.0)</f>
        <v>45501</v>
      </c>
      <c r="C123" s="60">
        <f>IFERROR(__xludf.DUMMYFUNCTION("INDIRECT(""'收支紀錄'!C""&amp;TO_TEXT(ROW()-$C$72))"),6600.0)</f>
        <v>6600</v>
      </c>
      <c r="D123" s="59">
        <f>IFERROR(__xludf.DUMMYFUNCTION("INDIRECT(""'收支紀錄'!D""&amp;TO_TEXT(ROW()-$C$72))"),45501.0)</f>
        <v>45501</v>
      </c>
      <c r="E123" s="61" t="str">
        <f>IFERROR(__xludf.DUMMYFUNCTION("INDIRECT(""'收支紀錄'!E""&amp;TO_TEXT(ROW()-$C$72))"),"")</f>
        <v/>
      </c>
      <c r="F123" s="61" t="str">
        <f>IFERROR(__xludf.DUMMYFUNCTION("INDIRECT(""'收支紀錄'!F""&amp;TO_TEXT(ROW()-$C$72))"),"")</f>
        <v/>
      </c>
      <c r="G123" s="61" t="str">
        <f>IFERROR(__xludf.DUMMYFUNCTION("INDIRECT(""'收支紀錄'!G""&amp;TO_TEXT(ROW()-$C$72))"),"")</f>
        <v/>
      </c>
      <c r="H123" s="61" t="str">
        <f>IFERROR(__xludf.DUMMYFUNCTION("INDIRECT(""'收支紀錄'!H""&amp;TO_TEXT(ROW()-$C$72))"),"人情往來")</f>
        <v>人情往來</v>
      </c>
      <c r="I123" s="61" t="str">
        <f>IFERROR(__xludf.DUMMYFUNCTION("INDIRECT(""'收支紀錄'!I""&amp;TO_TEXT(ROW()-$C$72))"),"")</f>
        <v/>
      </c>
      <c r="J123" s="61" t="str">
        <f>IFERROR(__xludf.DUMMYFUNCTION("INDIRECT(""'收支紀錄'!J""&amp;TO_TEXT(ROW()-$C$72))"),"")</f>
        <v/>
      </c>
      <c r="K123" s="61" t="str">
        <f>IFERROR(__xludf.DUMMYFUNCTION("INDIRECT(""'收支紀錄'!K""&amp;TO_TEXT(ROW()-$C$72))"),"")</f>
        <v/>
      </c>
      <c r="L123" s="61" t="str">
        <f>IFERROR(__xludf.DUMMYFUNCTION("INDIRECT(""'收支紀錄'!L""&amp;TO_TEXT(ROW()-$C$72))"),"")</f>
        <v/>
      </c>
      <c r="M123" s="61" t="str">
        <f>IFERROR(__xludf.DUMMYFUNCTION("INDIRECT(""'收支紀錄'!M""&amp;TO_TEXT(ROW()-$C$72))"),"")</f>
        <v/>
      </c>
      <c r="N123" s="61" t="str">
        <f>IFERROR(__xludf.DUMMYFUNCTION("INDIRECT(""'收支紀錄'!N""&amp;TO_TEXT(ROW()-$C$72))"),"")</f>
        <v/>
      </c>
      <c r="O123" s="61" t="str">
        <f>IFERROR(__xludf.DUMMYFUNCTION("INDIRECT(""'收支紀錄'!O""&amp;TO_TEXT(ROW()-$C$72))"),"")</f>
        <v/>
      </c>
      <c r="P123" s="61" t="str">
        <f>IFERROR(__xludf.DUMMYFUNCTION("INDIRECT(""'收支紀錄'!P""&amp;TO_TEXT(ROW()-$C$72))"),"")</f>
        <v/>
      </c>
      <c r="Q123" s="61" t="str">
        <f>IFERROR(__xludf.DUMMYFUNCTION("INDIRECT(""'收支紀錄'!Q""&amp;TO_TEXT(ROW()-$C$72))"),"送禮請客")</f>
        <v>送禮請客</v>
      </c>
      <c r="R123" s="61" t="str">
        <f>IFERROR(__xludf.DUMMYFUNCTION("INDIRECT(""'收支紀錄'!R""&amp;TO_TEXT(ROW()-$C$72))"),"")</f>
        <v/>
      </c>
      <c r="S123" s="61" t="str">
        <f>IFERROR(__xludf.DUMMYFUNCTION("INDIRECT(""'收支紀錄'!S""&amp;TO_TEXT(ROW()-$C$72))"),"中瑋萬豪婚禮2人")</f>
        <v>中瑋萬豪婚禮2人</v>
      </c>
      <c r="T123" s="61" t="str">
        <f>IFERROR(__xludf.DUMMYFUNCTION("INDIRECT(""'收支紀錄'!T""&amp;TO_TEXT(ROW()-$C$72))"),"是")</f>
        <v>是</v>
      </c>
      <c r="U123" s="62" t="str">
        <f>IFERROR(__xludf.DUMMYFUNCTION("IF(T123=""是"",TEXTJOIN("""", TRUE, ""$"", TO_TEXT(C123), S123),"""")"),"$6600中瑋萬豪婚禮2人")</f>
        <v>$6600中瑋萬豪婚禮2人</v>
      </c>
    </row>
    <row r="124">
      <c r="A124" s="58">
        <f>IFERROR(__xludf.DUMMYFUNCTION("INDIRECT(""'收支紀錄'!A""&amp;TO_TEXT(ROW()-$C$72))"),45501.93653278935)</f>
        <v>45501.93653</v>
      </c>
      <c r="B124" s="59">
        <f>IFERROR(__xludf.DUMMYFUNCTION("IF(ISBLANK(D124), """", IF(ISDATE(D124), D124, IF(D124=""今天"", A124, IF(D124=""昨天 (-1 day)"", A124-1, IF(D124=""前天 (-2 days)"", A124-2, IF(D124=""明天 (+1 day)"", A124+1, DATE(LEFT(D124,4), MID(D124,5,2), RIGHT(D124,2))))))))"),45501.0)</f>
        <v>45501</v>
      </c>
      <c r="C124" s="60">
        <f>IFERROR(__xludf.DUMMYFUNCTION("INDIRECT(""'收支紀錄'!C""&amp;TO_TEXT(ROW()-$C$72))"),20.0)</f>
        <v>20</v>
      </c>
      <c r="D124" s="59">
        <f>IFERROR(__xludf.DUMMYFUNCTION("INDIRECT(""'收支紀錄'!D""&amp;TO_TEXT(ROW()-$C$72))"),45501.0)</f>
        <v>45501</v>
      </c>
      <c r="E124" s="61" t="str">
        <f>IFERROR(__xludf.DUMMYFUNCTION("INDIRECT(""'收支紀錄'!E""&amp;TO_TEXT(ROW()-$C$72))"),"")</f>
        <v/>
      </c>
      <c r="F124" s="61" t="str">
        <f>IFERROR(__xludf.DUMMYFUNCTION("INDIRECT(""'收支紀錄'!F""&amp;TO_TEXT(ROW()-$C$72))"),"")</f>
        <v/>
      </c>
      <c r="G124" s="61" t="str">
        <f>IFERROR(__xludf.DUMMYFUNCTION("INDIRECT(""'收支紀錄'!G""&amp;TO_TEXT(ROW()-$C$72))"),"")</f>
        <v/>
      </c>
      <c r="H124" s="61" t="str">
        <f>IFERROR(__xludf.DUMMYFUNCTION("INDIRECT(""'收支紀錄'!H""&amp;TO_TEXT(ROW()-$C$72))"),"休閒娛樂")</f>
        <v>休閒娛樂</v>
      </c>
      <c r="I124" s="61" t="str">
        <f>IFERROR(__xludf.DUMMYFUNCTION("INDIRECT(""'收支紀錄'!I""&amp;TO_TEXT(ROW()-$C$72))"),"")</f>
        <v/>
      </c>
      <c r="J124" s="61" t="str">
        <f>IFERROR(__xludf.DUMMYFUNCTION("INDIRECT(""'收支紀錄'!J""&amp;TO_TEXT(ROW()-$C$72))"),"")</f>
        <v/>
      </c>
      <c r="K124" s="61" t="str">
        <f>IFERROR(__xludf.DUMMYFUNCTION("INDIRECT(""'收支紀錄'!K""&amp;TO_TEXT(ROW()-$C$72))"),"")</f>
        <v/>
      </c>
      <c r="L124" s="61" t="str">
        <f>IFERROR(__xludf.DUMMYFUNCTION("INDIRECT(""'收支紀錄'!L""&amp;TO_TEXT(ROW()-$C$72))"),"")</f>
        <v/>
      </c>
      <c r="M124" s="61" t="str">
        <f>IFERROR(__xludf.DUMMYFUNCTION("INDIRECT(""'收支紀錄'!M""&amp;TO_TEXT(ROW()-$C$72))"),"旅遊度假")</f>
        <v>旅遊度假</v>
      </c>
      <c r="N124" s="61" t="str">
        <f>IFERROR(__xludf.DUMMYFUNCTION("INDIRECT(""'收支紀錄'!N""&amp;TO_TEXT(ROW()-$C$72))"),"")</f>
        <v/>
      </c>
      <c r="O124" s="61" t="str">
        <f>IFERROR(__xludf.DUMMYFUNCTION("INDIRECT(""'收支紀錄'!O""&amp;TO_TEXT(ROW()-$C$72))"),"")</f>
        <v/>
      </c>
      <c r="P124" s="61" t="str">
        <f>IFERROR(__xludf.DUMMYFUNCTION("INDIRECT(""'收支紀錄'!P""&amp;TO_TEXT(ROW()-$C$72))"),"")</f>
        <v/>
      </c>
      <c r="Q124" s="61" t="str">
        <f>IFERROR(__xludf.DUMMYFUNCTION("INDIRECT(""'收支紀錄'!Q""&amp;TO_TEXT(ROW()-$C$72))"),"")</f>
        <v/>
      </c>
      <c r="R124" s="61" t="str">
        <f>IFERROR(__xludf.DUMMYFUNCTION("INDIRECT(""'收支紀錄'!R""&amp;TO_TEXT(ROW()-$C$72))"),"")</f>
        <v/>
      </c>
      <c r="S124" s="61" t="str">
        <f>IFERROR(__xludf.DUMMYFUNCTION("INDIRECT(""'收支紀錄'!S""&amp;TO_TEXT(ROW()-$C$72))"),"")</f>
        <v/>
      </c>
      <c r="T124" s="61" t="str">
        <f>IFERROR(__xludf.DUMMYFUNCTION("INDIRECT(""'收支紀錄'!T""&amp;TO_TEXT(ROW()-$C$72))"),"")</f>
        <v/>
      </c>
      <c r="U124" s="62" t="str">
        <f>IFERROR(__xludf.DUMMYFUNCTION("IF(T124=""是"",TEXTJOIN("""", TRUE, ""$"", TO_TEXT(C124), S124),"""")"),"")</f>
        <v/>
      </c>
    </row>
    <row r="125">
      <c r="A125" s="58">
        <f>IFERROR(__xludf.DUMMYFUNCTION("INDIRECT(""'收支紀錄'!A""&amp;TO_TEXT(ROW()-$C$72))"),45501.936945856476)</f>
        <v>45501.93695</v>
      </c>
      <c r="B125" s="59">
        <f>IFERROR(__xludf.DUMMYFUNCTION("IF(ISBLANK(D125), """", IF(ISDATE(D125), D125, IF(D125=""今天"", A125, IF(D125=""昨天 (-1 day)"", A125-1, IF(D125=""前天 (-2 days)"", A125-2, IF(D125=""明天 (+1 day)"", A125+1, DATE(LEFT(D125,4), MID(D125,5,2), RIGHT(D125,2))))))))"),45501.0)</f>
        <v>45501</v>
      </c>
      <c r="C125" s="60">
        <f>IFERROR(__xludf.DUMMYFUNCTION("INDIRECT(""'收支紀錄'!C""&amp;TO_TEXT(ROW()-$C$72))"),218.0)</f>
        <v>218</v>
      </c>
      <c r="D125" s="59">
        <f>IFERROR(__xludf.DUMMYFUNCTION("INDIRECT(""'收支紀錄'!D""&amp;TO_TEXT(ROW()-$C$72))"),45501.0)</f>
        <v>45501</v>
      </c>
      <c r="E125" s="61" t="str">
        <f>IFERROR(__xludf.DUMMYFUNCTION("INDIRECT(""'收支紀錄'!E""&amp;TO_TEXT(ROW()-$C$72))"),"")</f>
        <v/>
      </c>
      <c r="F125" s="61" t="str">
        <f>IFERROR(__xludf.DUMMYFUNCTION("INDIRECT(""'收支紀錄'!F""&amp;TO_TEXT(ROW()-$C$72))"),"")</f>
        <v/>
      </c>
      <c r="G125" s="61" t="str">
        <f>IFERROR(__xludf.DUMMYFUNCTION("INDIRECT(""'收支紀錄'!G""&amp;TO_TEXT(ROW()-$C$72))"),"")</f>
        <v/>
      </c>
      <c r="H125" s="61" t="str">
        <f>IFERROR(__xludf.DUMMYFUNCTION("INDIRECT(""'收支紀錄'!H""&amp;TO_TEXT(ROW()-$C$72))"),"食品酒水")</f>
        <v>食品酒水</v>
      </c>
      <c r="I125" s="61" t="str">
        <f>IFERROR(__xludf.DUMMYFUNCTION("INDIRECT(""'收支紀錄'!I""&amp;TO_TEXT(ROW()-$C$72))"),"晚餐")</f>
        <v>晚餐</v>
      </c>
      <c r="J125" s="61" t="str">
        <f>IFERROR(__xludf.DUMMYFUNCTION("INDIRECT(""'收支紀錄'!J""&amp;TO_TEXT(ROW()-$C$72))"),"")</f>
        <v/>
      </c>
      <c r="K125" s="61" t="str">
        <f>IFERROR(__xludf.DUMMYFUNCTION("INDIRECT(""'收支紀錄'!K""&amp;TO_TEXT(ROW()-$C$72))"),"")</f>
        <v/>
      </c>
      <c r="L125" s="61" t="str">
        <f>IFERROR(__xludf.DUMMYFUNCTION("INDIRECT(""'收支紀錄'!L""&amp;TO_TEXT(ROW()-$C$72))"),"")</f>
        <v/>
      </c>
      <c r="M125" s="61" t="str">
        <f>IFERROR(__xludf.DUMMYFUNCTION("INDIRECT(""'收支紀錄'!M""&amp;TO_TEXT(ROW()-$C$72))"),"")</f>
        <v/>
      </c>
      <c r="N125" s="61" t="str">
        <f>IFERROR(__xludf.DUMMYFUNCTION("INDIRECT(""'收支紀錄'!N""&amp;TO_TEXT(ROW()-$C$72))"),"")</f>
        <v/>
      </c>
      <c r="O125" s="61" t="str">
        <f>IFERROR(__xludf.DUMMYFUNCTION("INDIRECT(""'收支紀錄'!O""&amp;TO_TEXT(ROW()-$C$72))"),"")</f>
        <v/>
      </c>
      <c r="P125" s="61" t="str">
        <f>IFERROR(__xludf.DUMMYFUNCTION("INDIRECT(""'收支紀錄'!P""&amp;TO_TEXT(ROW()-$C$72))"),"")</f>
        <v/>
      </c>
      <c r="Q125" s="61" t="str">
        <f>IFERROR(__xludf.DUMMYFUNCTION("INDIRECT(""'收支紀錄'!Q""&amp;TO_TEXT(ROW()-$C$72))"),"")</f>
        <v/>
      </c>
      <c r="R125" s="61" t="str">
        <f>IFERROR(__xludf.DUMMYFUNCTION("INDIRECT(""'收支紀錄'!R""&amp;TO_TEXT(ROW()-$C$72))"),"")</f>
        <v/>
      </c>
      <c r="S125" s="61" t="str">
        <f>IFERROR(__xludf.DUMMYFUNCTION("INDIRECT(""'收支紀錄'!S""&amp;TO_TEXT(ROW()-$C$72))"),"")</f>
        <v/>
      </c>
      <c r="T125" s="61" t="str">
        <f>IFERROR(__xludf.DUMMYFUNCTION("INDIRECT(""'收支紀錄'!T""&amp;TO_TEXT(ROW()-$C$72))"),"")</f>
        <v/>
      </c>
      <c r="U125" s="62" t="str">
        <f>IFERROR(__xludf.DUMMYFUNCTION("IF(T125=""是"",TEXTJOIN("""", TRUE, ""$"", TO_TEXT(C125), S125),"""")"),"")</f>
        <v/>
      </c>
    </row>
    <row r="126">
      <c r="A126" s="58">
        <f>IFERROR(__xludf.DUMMYFUNCTION("INDIRECT(""'收支紀錄'!A""&amp;TO_TEXT(ROW()-$C$72))"),45503.01476535879)</f>
        <v>45503.01477</v>
      </c>
      <c r="B126" s="59">
        <f>IFERROR(__xludf.DUMMYFUNCTION("IF(ISBLANK(D126), """", IF(ISDATE(D126), D126, IF(D126=""今天"", A126, IF(D126=""昨天 (-1 day)"", A126-1, IF(D126=""前天 (-2 days)"", A126-2, IF(D126=""明天 (+1 day)"", A126+1, DATE(LEFT(D126,4), MID(D126,5,2), RIGHT(D126,2))))))))"),45503.0)</f>
        <v>45503</v>
      </c>
      <c r="C126" s="60">
        <f>IFERROR(__xludf.DUMMYFUNCTION("INDIRECT(""'收支紀錄'!C""&amp;TO_TEXT(ROW()-$C$72))"),728.0)</f>
        <v>728</v>
      </c>
      <c r="D126" s="59">
        <f>IFERROR(__xludf.DUMMYFUNCTION("INDIRECT(""'收支紀錄'!D""&amp;TO_TEXT(ROW()-$C$72))"),45503.0)</f>
        <v>45503</v>
      </c>
      <c r="E126" s="61" t="str">
        <f>IFERROR(__xludf.DUMMYFUNCTION("INDIRECT(""'收支紀錄'!E""&amp;TO_TEXT(ROW()-$C$72))"),"")</f>
        <v/>
      </c>
      <c r="F126" s="61" t="str">
        <f>IFERROR(__xludf.DUMMYFUNCTION("INDIRECT(""'收支紀錄'!F""&amp;TO_TEXT(ROW()-$C$72))"),"")</f>
        <v/>
      </c>
      <c r="G126" s="61" t="str">
        <f>IFERROR(__xludf.DUMMYFUNCTION("INDIRECT(""'收支紀錄'!G""&amp;TO_TEXT(ROW()-$C$72))"),"")</f>
        <v/>
      </c>
      <c r="H126" s="61" t="str">
        <f>IFERROR(__xludf.DUMMYFUNCTION("INDIRECT(""'收支紀錄'!H""&amp;TO_TEXT(ROW()-$C$72))"),"日常生活")</f>
        <v>日常生活</v>
      </c>
      <c r="I126" s="61" t="str">
        <f>IFERROR(__xludf.DUMMYFUNCTION("INDIRECT(""'收支紀錄'!I""&amp;TO_TEXT(ROW()-$C$72))"),"")</f>
        <v/>
      </c>
      <c r="J126" s="61" t="str">
        <f>IFERROR(__xludf.DUMMYFUNCTION("INDIRECT(""'收支紀錄'!J""&amp;TO_TEXT(ROW()-$C$72))"),"電話費")</f>
        <v>電話費</v>
      </c>
      <c r="K126" s="61" t="str">
        <f>IFERROR(__xludf.DUMMYFUNCTION("INDIRECT(""'收支紀錄'!K""&amp;TO_TEXT(ROW()-$C$72))"),"")</f>
        <v/>
      </c>
      <c r="L126" s="61" t="str">
        <f>IFERROR(__xludf.DUMMYFUNCTION("INDIRECT(""'收支紀錄'!L""&amp;TO_TEXT(ROW()-$C$72))"),"")</f>
        <v/>
      </c>
      <c r="M126" s="61" t="str">
        <f>IFERROR(__xludf.DUMMYFUNCTION("INDIRECT(""'收支紀錄'!M""&amp;TO_TEXT(ROW()-$C$72))"),"")</f>
        <v/>
      </c>
      <c r="N126" s="61" t="str">
        <f>IFERROR(__xludf.DUMMYFUNCTION("INDIRECT(""'收支紀錄'!N""&amp;TO_TEXT(ROW()-$C$72))"),"")</f>
        <v/>
      </c>
      <c r="O126" s="61" t="str">
        <f>IFERROR(__xludf.DUMMYFUNCTION("INDIRECT(""'收支紀錄'!O""&amp;TO_TEXT(ROW()-$C$72))"),"")</f>
        <v/>
      </c>
      <c r="P126" s="61" t="str">
        <f>IFERROR(__xludf.DUMMYFUNCTION("INDIRECT(""'收支紀錄'!P""&amp;TO_TEXT(ROW()-$C$72))"),"")</f>
        <v/>
      </c>
      <c r="Q126" s="61" t="str">
        <f>IFERROR(__xludf.DUMMYFUNCTION("INDIRECT(""'收支紀錄'!Q""&amp;TO_TEXT(ROW()-$C$72))"),"")</f>
        <v/>
      </c>
      <c r="R126" s="61" t="str">
        <f>IFERROR(__xludf.DUMMYFUNCTION("INDIRECT(""'收支紀錄'!R""&amp;TO_TEXT(ROW()-$C$72))"),"")</f>
        <v/>
      </c>
      <c r="S126" s="61" t="str">
        <f>IFERROR(__xludf.DUMMYFUNCTION("INDIRECT(""'收支紀錄'!S""&amp;TO_TEXT(ROW()-$C$72))"),"")</f>
        <v/>
      </c>
      <c r="T126" s="61" t="str">
        <f>IFERROR(__xludf.DUMMYFUNCTION("INDIRECT(""'收支紀錄'!T""&amp;TO_TEXT(ROW()-$C$72))"),"")</f>
        <v/>
      </c>
      <c r="U126" s="62" t="str">
        <f>IFERROR(__xludf.DUMMYFUNCTION("IF(T126=""是"",TEXTJOIN("""", TRUE, ""$"", TO_TEXT(C126), S126),"""")"),"")</f>
        <v/>
      </c>
    </row>
    <row r="127">
      <c r="A127" s="58">
        <f>IFERROR(__xludf.DUMMYFUNCTION("INDIRECT(""'收支紀錄'!A""&amp;TO_TEXT(ROW()-$C$72))"),45503.90629886574)</f>
        <v>45503.9063</v>
      </c>
      <c r="B127" s="59">
        <f>IFERROR(__xludf.DUMMYFUNCTION("IF(ISBLANK(D127), """", IF(ISDATE(D127), D127, IF(D127=""今天"", A127, IF(D127=""昨天 (-1 day)"", A127-1, IF(D127=""前天 (-2 days)"", A127-2, IF(D127=""明天 (+1 day)"", A127+1, DATE(LEFT(D127,4), MID(D127,5,2), RIGHT(D127,2))))))))"),45503.0)</f>
        <v>45503</v>
      </c>
      <c r="C127" s="60">
        <f>IFERROR(__xludf.DUMMYFUNCTION("INDIRECT(""'收支紀錄'!C""&amp;TO_TEXT(ROW()-$C$72))"),384.0)</f>
        <v>384</v>
      </c>
      <c r="D127" s="59">
        <f>IFERROR(__xludf.DUMMYFUNCTION("INDIRECT(""'收支紀錄'!D""&amp;TO_TEXT(ROW()-$C$72))"),45503.0)</f>
        <v>45503</v>
      </c>
      <c r="E127" s="61" t="str">
        <f>IFERROR(__xludf.DUMMYFUNCTION("INDIRECT(""'收支紀錄'!E""&amp;TO_TEXT(ROW()-$C$72))"),"")</f>
        <v/>
      </c>
      <c r="F127" s="61" t="str">
        <f>IFERROR(__xludf.DUMMYFUNCTION("INDIRECT(""'收支紀錄'!F""&amp;TO_TEXT(ROW()-$C$72))"),"")</f>
        <v/>
      </c>
      <c r="G127" s="61" t="str">
        <f>IFERROR(__xludf.DUMMYFUNCTION("INDIRECT(""'收支紀錄'!G""&amp;TO_TEXT(ROW()-$C$72))"),"")</f>
        <v/>
      </c>
      <c r="H127" s="61" t="str">
        <f>IFERROR(__xludf.DUMMYFUNCTION("INDIRECT(""'收支紀錄'!H""&amp;TO_TEXT(ROW()-$C$72))"),"房屋支出")</f>
        <v>房屋支出</v>
      </c>
      <c r="I127" s="61" t="str">
        <f>IFERROR(__xludf.DUMMYFUNCTION("INDIRECT(""'收支紀錄'!I""&amp;TO_TEXT(ROW()-$C$72))"),"")</f>
        <v/>
      </c>
      <c r="J127" s="61" t="str">
        <f>IFERROR(__xludf.DUMMYFUNCTION("INDIRECT(""'收支紀錄'!J""&amp;TO_TEXT(ROW()-$C$72))"),"")</f>
        <v/>
      </c>
      <c r="K127" s="61" t="str">
        <f>IFERROR(__xludf.DUMMYFUNCTION("INDIRECT(""'收支紀錄'!K""&amp;TO_TEXT(ROW()-$C$72))"),"電費")</f>
        <v>電費</v>
      </c>
      <c r="L127" s="61" t="str">
        <f>IFERROR(__xludf.DUMMYFUNCTION("INDIRECT(""'收支紀錄'!L""&amp;TO_TEXT(ROW()-$C$72))"),"")</f>
        <v/>
      </c>
      <c r="M127" s="61" t="str">
        <f>IFERROR(__xludf.DUMMYFUNCTION("INDIRECT(""'收支紀錄'!M""&amp;TO_TEXT(ROW()-$C$72))"),"")</f>
        <v/>
      </c>
      <c r="N127" s="61" t="str">
        <f>IFERROR(__xludf.DUMMYFUNCTION("INDIRECT(""'收支紀錄'!N""&amp;TO_TEXT(ROW()-$C$72))"),"")</f>
        <v/>
      </c>
      <c r="O127" s="61" t="str">
        <f>IFERROR(__xludf.DUMMYFUNCTION("INDIRECT(""'收支紀錄'!O""&amp;TO_TEXT(ROW()-$C$72))"),"")</f>
        <v/>
      </c>
      <c r="P127" s="61" t="str">
        <f>IFERROR(__xludf.DUMMYFUNCTION("INDIRECT(""'收支紀錄'!P""&amp;TO_TEXT(ROW()-$C$72))"),"")</f>
        <v/>
      </c>
      <c r="Q127" s="61" t="str">
        <f>IFERROR(__xludf.DUMMYFUNCTION("INDIRECT(""'收支紀錄'!Q""&amp;TO_TEXT(ROW()-$C$72))"),"")</f>
        <v/>
      </c>
      <c r="R127" s="61" t="str">
        <f>IFERROR(__xludf.DUMMYFUNCTION("INDIRECT(""'收支紀錄'!R""&amp;TO_TEXT(ROW()-$C$72))"),"")</f>
        <v/>
      </c>
      <c r="S127" s="61" t="str">
        <f>IFERROR(__xludf.DUMMYFUNCTION("INDIRECT(""'收支紀錄'!S""&amp;TO_TEXT(ROW()-$C$72))"),"竹南電費")</f>
        <v>竹南電費</v>
      </c>
      <c r="T127" s="61" t="str">
        <f>IFERROR(__xludf.DUMMYFUNCTION("INDIRECT(""'收支紀錄'!T""&amp;TO_TEXT(ROW()-$C$72))"),"是")</f>
        <v>是</v>
      </c>
      <c r="U127" s="62" t="str">
        <f>IFERROR(__xludf.DUMMYFUNCTION("IF(T127=""是"",TEXTJOIN("""", TRUE, ""$"", TO_TEXT(C127), S127),"""")"),"$384竹南電費")</f>
        <v>$384竹南電費</v>
      </c>
    </row>
    <row r="128">
      <c r="A128" s="58">
        <f>IFERROR(__xludf.DUMMYFUNCTION("INDIRECT(""'收支紀錄'!A""&amp;TO_TEXT(ROW()-$C$72))"),45504.826205081015)</f>
        <v>45504.82621</v>
      </c>
      <c r="B128" s="59">
        <f>IFERROR(__xludf.DUMMYFUNCTION("IF(ISBLANK(D128), """", IF(ISDATE(D128), D128, IF(D128=""今天"", A128, IF(D128=""昨天 (-1 day)"", A128-1, IF(D128=""前天 (-2 days)"", A128-2, IF(D128=""明天 (+1 day)"", A128+1, DATE(LEFT(D128,4), MID(D128,5,2), RIGHT(D128,2))))))))"),45504.0)</f>
        <v>45504</v>
      </c>
      <c r="C128" s="60">
        <f>IFERROR(__xludf.DUMMYFUNCTION("INDIRECT(""'收支紀錄'!C""&amp;TO_TEXT(ROW()-$C$72))"),126.0)</f>
        <v>126</v>
      </c>
      <c r="D128" s="59">
        <f>IFERROR(__xludf.DUMMYFUNCTION("INDIRECT(""'收支紀錄'!D""&amp;TO_TEXT(ROW()-$C$72))"),45504.0)</f>
        <v>45504</v>
      </c>
      <c r="E128" s="61" t="str">
        <f>IFERROR(__xludf.DUMMYFUNCTION("INDIRECT(""'收支紀錄'!E""&amp;TO_TEXT(ROW()-$C$72))"),"")</f>
        <v/>
      </c>
      <c r="F128" s="61" t="str">
        <f>IFERROR(__xludf.DUMMYFUNCTION("INDIRECT(""'收支紀錄'!F""&amp;TO_TEXT(ROW()-$C$72))"),"")</f>
        <v/>
      </c>
      <c r="G128" s="61" t="str">
        <f>IFERROR(__xludf.DUMMYFUNCTION("INDIRECT(""'收支紀錄'!G""&amp;TO_TEXT(ROW()-$C$72))"),"")</f>
        <v/>
      </c>
      <c r="H128" s="61" t="str">
        <f>IFERROR(__xludf.DUMMYFUNCTION("INDIRECT(""'收支紀錄'!H""&amp;TO_TEXT(ROW()-$C$72))"),"行車交通")</f>
        <v>行車交通</v>
      </c>
      <c r="I128" s="61" t="str">
        <f>IFERROR(__xludf.DUMMYFUNCTION("INDIRECT(""'收支紀錄'!I""&amp;TO_TEXT(ROW()-$C$72))"),"")</f>
        <v/>
      </c>
      <c r="J128" s="61" t="str">
        <f>IFERROR(__xludf.DUMMYFUNCTION("INDIRECT(""'收支紀錄'!J""&amp;TO_TEXT(ROW()-$C$72))"),"")</f>
        <v/>
      </c>
      <c r="K128" s="61" t="str">
        <f>IFERROR(__xludf.DUMMYFUNCTION("INDIRECT(""'收支紀錄'!K""&amp;TO_TEXT(ROW()-$C$72))"),"")</f>
        <v/>
      </c>
      <c r="L128" s="61" t="str">
        <f>IFERROR(__xludf.DUMMYFUNCTION("INDIRECT(""'收支紀錄'!L""&amp;TO_TEXT(ROW()-$C$72))"),"加油")</f>
        <v>加油</v>
      </c>
      <c r="M128" s="61" t="str">
        <f>IFERROR(__xludf.DUMMYFUNCTION("INDIRECT(""'收支紀錄'!M""&amp;TO_TEXT(ROW()-$C$72))"),"")</f>
        <v/>
      </c>
      <c r="N128" s="61" t="str">
        <f>IFERROR(__xludf.DUMMYFUNCTION("INDIRECT(""'收支紀錄'!N""&amp;TO_TEXT(ROW()-$C$72))"),"")</f>
        <v/>
      </c>
      <c r="O128" s="61" t="str">
        <f>IFERROR(__xludf.DUMMYFUNCTION("INDIRECT(""'收支紀錄'!O""&amp;TO_TEXT(ROW()-$C$72))"),"")</f>
        <v/>
      </c>
      <c r="P128" s="61" t="str">
        <f>IFERROR(__xludf.DUMMYFUNCTION("INDIRECT(""'收支紀錄'!P""&amp;TO_TEXT(ROW()-$C$72))"),"")</f>
        <v/>
      </c>
      <c r="Q128" s="61" t="str">
        <f>IFERROR(__xludf.DUMMYFUNCTION("INDIRECT(""'收支紀錄'!Q""&amp;TO_TEXT(ROW()-$C$72))"),"")</f>
        <v/>
      </c>
      <c r="R128" s="61" t="str">
        <f>IFERROR(__xludf.DUMMYFUNCTION("INDIRECT(""'收支紀錄'!R""&amp;TO_TEXT(ROW()-$C$72))"),"")</f>
        <v/>
      </c>
      <c r="S128" s="61" t="str">
        <f>IFERROR(__xludf.DUMMYFUNCTION("INDIRECT(""'收支紀錄'!S""&amp;TO_TEXT(ROW()-$C$72))"),"")</f>
        <v/>
      </c>
      <c r="T128" s="61" t="str">
        <f>IFERROR(__xludf.DUMMYFUNCTION("INDIRECT(""'收支紀錄'!T""&amp;TO_TEXT(ROW()-$C$72))"),"")</f>
        <v/>
      </c>
      <c r="U128" s="62" t="str">
        <f>IFERROR(__xludf.DUMMYFUNCTION("IF(T128=""是"",TEXTJOIN("""", TRUE, ""$"", TO_TEXT(C128), S128),"""")"),"")</f>
        <v/>
      </c>
    </row>
    <row r="129">
      <c r="A129" s="58">
        <f>IFERROR(__xludf.DUMMYFUNCTION("INDIRECT(""'收支紀錄'!A""&amp;TO_TEXT(ROW()-$C$72))"),45504.88714457176)</f>
        <v>45504.88714</v>
      </c>
      <c r="B129" s="59">
        <f>IFERROR(__xludf.DUMMYFUNCTION("IF(ISBLANK(D129), """", IF(ISDATE(D129), D129, IF(D129=""今天"", A129, IF(D129=""昨天 (-1 day)"", A129-1, IF(D129=""前天 (-2 days)"", A129-2, IF(D129=""明天 (+1 day)"", A129+1, DATE(LEFT(D129,4), MID(D129,5,2), RIGHT(D129,2))))))))"),45504.0)</f>
        <v>45504</v>
      </c>
      <c r="C129" s="60">
        <f>IFERROR(__xludf.DUMMYFUNCTION("INDIRECT(""'收支紀錄'!C""&amp;TO_TEXT(ROW()-$C$72))"),160.0)</f>
        <v>160</v>
      </c>
      <c r="D129" s="59">
        <f>IFERROR(__xludf.DUMMYFUNCTION("INDIRECT(""'收支紀錄'!D""&amp;TO_TEXT(ROW()-$C$72))"),45504.0)</f>
        <v>45504</v>
      </c>
      <c r="E129" s="61" t="str">
        <f>IFERROR(__xludf.DUMMYFUNCTION("INDIRECT(""'收支紀錄'!E""&amp;TO_TEXT(ROW()-$C$72))"),"")</f>
        <v/>
      </c>
      <c r="F129" s="61" t="str">
        <f>IFERROR(__xludf.DUMMYFUNCTION("INDIRECT(""'收支紀錄'!F""&amp;TO_TEXT(ROW()-$C$72))"),"")</f>
        <v/>
      </c>
      <c r="G129" s="61" t="str">
        <f>IFERROR(__xludf.DUMMYFUNCTION("INDIRECT(""'收支紀錄'!G""&amp;TO_TEXT(ROW()-$C$72))"),"")</f>
        <v/>
      </c>
      <c r="H129" s="61" t="str">
        <f>IFERROR(__xludf.DUMMYFUNCTION("INDIRECT(""'收支紀錄'!H""&amp;TO_TEXT(ROW()-$C$72))"),"休閒娛樂")</f>
        <v>休閒娛樂</v>
      </c>
      <c r="I129" s="61" t="str">
        <f>IFERROR(__xludf.DUMMYFUNCTION("INDIRECT(""'收支紀錄'!I""&amp;TO_TEXT(ROW()-$C$72))"),"")</f>
        <v/>
      </c>
      <c r="J129" s="61" t="str">
        <f>IFERROR(__xludf.DUMMYFUNCTION("INDIRECT(""'收支紀錄'!J""&amp;TO_TEXT(ROW()-$C$72))"),"")</f>
        <v/>
      </c>
      <c r="K129" s="61" t="str">
        <f>IFERROR(__xludf.DUMMYFUNCTION("INDIRECT(""'收支紀錄'!K""&amp;TO_TEXT(ROW()-$C$72))"),"")</f>
        <v/>
      </c>
      <c r="L129" s="61" t="str">
        <f>IFERROR(__xludf.DUMMYFUNCTION("INDIRECT(""'收支紀錄'!L""&amp;TO_TEXT(ROW()-$C$72))"),"")</f>
        <v/>
      </c>
      <c r="M129" s="61" t="str">
        <f>IFERROR(__xludf.DUMMYFUNCTION("INDIRECT(""'收支紀錄'!M""&amp;TO_TEXT(ROW()-$C$72))"),"休閒玩樂")</f>
        <v>休閒玩樂</v>
      </c>
      <c r="N129" s="61" t="str">
        <f>IFERROR(__xludf.DUMMYFUNCTION("INDIRECT(""'收支紀錄'!N""&amp;TO_TEXT(ROW()-$C$72))"),"")</f>
        <v/>
      </c>
      <c r="O129" s="61" t="str">
        <f>IFERROR(__xludf.DUMMYFUNCTION("INDIRECT(""'收支紀錄'!O""&amp;TO_TEXT(ROW()-$C$72))"),"")</f>
        <v/>
      </c>
      <c r="P129" s="61" t="str">
        <f>IFERROR(__xludf.DUMMYFUNCTION("INDIRECT(""'收支紀錄'!P""&amp;TO_TEXT(ROW()-$C$72))"),"")</f>
        <v/>
      </c>
      <c r="Q129" s="61" t="str">
        <f>IFERROR(__xludf.DUMMYFUNCTION("INDIRECT(""'收支紀錄'!Q""&amp;TO_TEXT(ROW()-$C$72))"),"")</f>
        <v/>
      </c>
      <c r="R129" s="61" t="str">
        <f>IFERROR(__xludf.DUMMYFUNCTION("INDIRECT(""'收支紀錄'!R""&amp;TO_TEXT(ROW()-$C$72))"),"")</f>
        <v/>
      </c>
      <c r="S129" s="61" t="str">
        <f>IFERROR(__xludf.DUMMYFUNCTION("INDIRECT(""'收支紀錄'!S""&amp;TO_TEXT(ROW()-$C$72))"),"HamiVedio ")</f>
        <v>HamiVedio </v>
      </c>
      <c r="T129" s="61" t="str">
        <f>IFERROR(__xludf.DUMMYFUNCTION("INDIRECT(""'收支紀錄'!T""&amp;TO_TEXT(ROW()-$C$72))"),"")</f>
        <v/>
      </c>
      <c r="U129" s="62" t="str">
        <f>IFERROR(__xludf.DUMMYFUNCTION("IF(T129=""是"",TEXTJOIN("""", TRUE, ""$"", TO_TEXT(C129), S129),"""")"),"")</f>
        <v/>
      </c>
    </row>
    <row r="130">
      <c r="A130" s="58">
        <f>IFERROR(__xludf.DUMMYFUNCTION("INDIRECT(""'收支紀錄'!A""&amp;TO_TEXT(ROW()-$C$72))"),45505.93192594907)</f>
        <v>45505.93193</v>
      </c>
      <c r="B130" s="59">
        <f>IFERROR(__xludf.DUMMYFUNCTION("IF(ISBLANK(D130), """", IF(ISDATE(D130), D130, IF(D130=""今天"", A130, IF(D130=""昨天 (-1 day)"", A130-1, IF(D130=""前天 (-2 days)"", A130-2, IF(D130=""明天 (+1 day)"", A130+1, DATE(LEFT(D130,4), MID(D130,5,2), RIGHT(D130,2))))))))"),45502.0)</f>
        <v>45502</v>
      </c>
      <c r="C130" s="60">
        <f>IFERROR(__xludf.DUMMYFUNCTION("INDIRECT(""'收支紀錄'!C""&amp;TO_TEXT(ROW()-$C$72))"),1500.0)</f>
        <v>1500</v>
      </c>
      <c r="D130" s="59">
        <f>IFERROR(__xludf.DUMMYFUNCTION("INDIRECT(""'收支紀錄'!D""&amp;TO_TEXT(ROW()-$C$72))"),45502.0)</f>
        <v>45502</v>
      </c>
      <c r="E130" s="61" t="str">
        <f>IFERROR(__xludf.DUMMYFUNCTION("INDIRECT(""'收支紀錄'!E""&amp;TO_TEXT(ROW()-$C$72))"),"")</f>
        <v/>
      </c>
      <c r="F130" s="61" t="str">
        <f>IFERROR(__xludf.DUMMYFUNCTION("INDIRECT(""'收支紀錄'!F""&amp;TO_TEXT(ROW()-$C$72))"),"")</f>
        <v/>
      </c>
      <c r="G130" s="61" t="str">
        <f>IFERROR(__xludf.DUMMYFUNCTION("INDIRECT(""'收支紀錄'!G""&amp;TO_TEXT(ROW()-$C$72))"),"")</f>
        <v/>
      </c>
      <c r="H130" s="61" t="str">
        <f>IFERROR(__xludf.DUMMYFUNCTION("INDIRECT(""'收支紀錄'!H""&amp;TO_TEXT(ROW()-$C$72))"),"日常生活")</f>
        <v>日常生活</v>
      </c>
      <c r="I130" s="61" t="str">
        <f>IFERROR(__xludf.DUMMYFUNCTION("INDIRECT(""'收支紀錄'!I""&amp;TO_TEXT(ROW()-$C$72))"),"")</f>
        <v/>
      </c>
      <c r="J130" s="61" t="str">
        <f>IFERROR(__xludf.DUMMYFUNCTION("INDIRECT(""'收支紀錄'!J""&amp;TO_TEXT(ROW()-$C$72))"),"日常用品")</f>
        <v>日常用品</v>
      </c>
      <c r="K130" s="61" t="str">
        <f>IFERROR(__xludf.DUMMYFUNCTION("INDIRECT(""'收支紀錄'!K""&amp;TO_TEXT(ROW()-$C$72))"),"")</f>
        <v/>
      </c>
      <c r="L130" s="61" t="str">
        <f>IFERROR(__xludf.DUMMYFUNCTION("INDIRECT(""'收支紀錄'!L""&amp;TO_TEXT(ROW()-$C$72))"),"")</f>
        <v/>
      </c>
      <c r="M130" s="61" t="str">
        <f>IFERROR(__xludf.DUMMYFUNCTION("INDIRECT(""'收支紀錄'!M""&amp;TO_TEXT(ROW()-$C$72))"),"")</f>
        <v/>
      </c>
      <c r="N130" s="61" t="str">
        <f>IFERROR(__xludf.DUMMYFUNCTION("INDIRECT(""'收支紀錄'!N""&amp;TO_TEXT(ROW()-$C$72))"),"")</f>
        <v/>
      </c>
      <c r="O130" s="61" t="str">
        <f>IFERROR(__xludf.DUMMYFUNCTION("INDIRECT(""'收支紀錄'!O""&amp;TO_TEXT(ROW()-$C$72))"),"")</f>
        <v/>
      </c>
      <c r="P130" s="61" t="str">
        <f>IFERROR(__xludf.DUMMYFUNCTION("INDIRECT(""'收支紀錄'!P""&amp;TO_TEXT(ROW()-$C$72))"),"")</f>
        <v/>
      </c>
      <c r="Q130" s="61" t="str">
        <f>IFERROR(__xludf.DUMMYFUNCTION("INDIRECT(""'收支紀錄'!Q""&amp;TO_TEXT(ROW()-$C$72))"),"")</f>
        <v/>
      </c>
      <c r="R130" s="61" t="str">
        <f>IFERROR(__xludf.DUMMYFUNCTION("INDIRECT(""'收支紀錄'!R""&amp;TO_TEXT(ROW()-$C$72))"),"")</f>
        <v/>
      </c>
      <c r="S130" s="61" t="str">
        <f>IFERROR(__xludf.DUMMYFUNCTION("INDIRECT(""'收支紀錄'!S""&amp;TO_TEXT(ROW()-$C$72))"),"")</f>
        <v/>
      </c>
      <c r="T130" s="61" t="str">
        <f>IFERROR(__xludf.DUMMYFUNCTION("INDIRECT(""'收支紀錄'!T""&amp;TO_TEXT(ROW()-$C$72))"),"")</f>
        <v/>
      </c>
      <c r="U130" s="62" t="str">
        <f>IFERROR(__xludf.DUMMYFUNCTION("IF(T130=""是"",TEXTJOIN("""", TRUE, ""$"", TO_TEXT(C130), S130),"""")"),"")</f>
        <v/>
      </c>
    </row>
    <row r="131">
      <c r="A131" s="58">
        <f>IFERROR(__xludf.DUMMYFUNCTION("INDIRECT(""'收支紀錄'!A""&amp;TO_TEXT(ROW()-$C$72))"),45507.282193182866)</f>
        <v>45507.28219</v>
      </c>
      <c r="B131" s="59">
        <f>IFERROR(__xludf.DUMMYFUNCTION("IF(ISBLANK(D131), """", IF(ISDATE(D131), D131, IF(D131=""今天"", A131, IF(D131=""昨天 (-1 day)"", A131-1, IF(D131=""前天 (-2 days)"", A131-2, IF(D131=""明天 (+1 day)"", A131+1, DATE(LEFT(D131,4), MID(D131,5,2), RIGHT(D131,2))))))))"),45506.0)</f>
        <v>45506</v>
      </c>
      <c r="C131" s="60">
        <f>IFERROR(__xludf.DUMMYFUNCTION("INDIRECT(""'收支紀錄'!C""&amp;TO_TEXT(ROW()-$C$72))"),794.0)</f>
        <v>794</v>
      </c>
      <c r="D131" s="59">
        <f>IFERROR(__xludf.DUMMYFUNCTION("INDIRECT(""'收支紀錄'!D""&amp;TO_TEXT(ROW()-$C$72))"),45506.0)</f>
        <v>45506</v>
      </c>
      <c r="E131" s="61" t="str">
        <f>IFERROR(__xludf.DUMMYFUNCTION("INDIRECT(""'收支紀錄'!E""&amp;TO_TEXT(ROW()-$C$72))"),"")</f>
        <v/>
      </c>
      <c r="F131" s="61" t="str">
        <f>IFERROR(__xludf.DUMMYFUNCTION("INDIRECT(""'收支紀錄'!F""&amp;TO_TEXT(ROW()-$C$72))"),"")</f>
        <v/>
      </c>
      <c r="G131" s="61" t="str">
        <f>IFERROR(__xludf.DUMMYFUNCTION("INDIRECT(""'收支紀錄'!G""&amp;TO_TEXT(ROW()-$C$72))"),"")</f>
        <v/>
      </c>
      <c r="H131" s="61" t="str">
        <f>IFERROR(__xludf.DUMMYFUNCTION("INDIRECT(""'收支紀錄'!H""&amp;TO_TEXT(ROW()-$C$72))"),"行車交通")</f>
        <v>行車交通</v>
      </c>
      <c r="I131" s="61" t="str">
        <f>IFERROR(__xludf.DUMMYFUNCTION("INDIRECT(""'收支紀錄'!I""&amp;TO_TEXT(ROW()-$C$72))"),"")</f>
        <v/>
      </c>
      <c r="J131" s="61" t="str">
        <f>IFERROR(__xludf.DUMMYFUNCTION("INDIRECT(""'收支紀錄'!J""&amp;TO_TEXT(ROW()-$C$72))"),"")</f>
        <v/>
      </c>
      <c r="K131" s="61" t="str">
        <f>IFERROR(__xludf.DUMMYFUNCTION("INDIRECT(""'收支紀錄'!K""&amp;TO_TEXT(ROW()-$C$72))"),"")</f>
        <v/>
      </c>
      <c r="L131" s="61" t="str">
        <f>IFERROR(__xludf.DUMMYFUNCTION("INDIRECT(""'收支紀錄'!L""&amp;TO_TEXT(ROW()-$C$72))"),"加油")</f>
        <v>加油</v>
      </c>
      <c r="M131" s="61" t="str">
        <f>IFERROR(__xludf.DUMMYFUNCTION("INDIRECT(""'收支紀錄'!M""&amp;TO_TEXT(ROW()-$C$72))"),"")</f>
        <v/>
      </c>
      <c r="N131" s="61" t="str">
        <f>IFERROR(__xludf.DUMMYFUNCTION("INDIRECT(""'收支紀錄'!N""&amp;TO_TEXT(ROW()-$C$72))"),"")</f>
        <v/>
      </c>
      <c r="O131" s="61" t="str">
        <f>IFERROR(__xludf.DUMMYFUNCTION("INDIRECT(""'收支紀錄'!O""&amp;TO_TEXT(ROW()-$C$72))"),"")</f>
        <v/>
      </c>
      <c r="P131" s="61" t="str">
        <f>IFERROR(__xludf.DUMMYFUNCTION("INDIRECT(""'收支紀錄'!P""&amp;TO_TEXT(ROW()-$C$72))"),"")</f>
        <v/>
      </c>
      <c r="Q131" s="61" t="str">
        <f>IFERROR(__xludf.DUMMYFUNCTION("INDIRECT(""'收支紀錄'!Q""&amp;TO_TEXT(ROW()-$C$72))"),"")</f>
        <v/>
      </c>
      <c r="R131" s="61" t="str">
        <f>IFERROR(__xludf.DUMMYFUNCTION("INDIRECT(""'收支紀錄'!R""&amp;TO_TEXT(ROW()-$C$72))"),"")</f>
        <v/>
      </c>
      <c r="S131" s="61" t="str">
        <f>IFERROR(__xludf.DUMMYFUNCTION("INDIRECT(""'收支紀錄'!S""&amp;TO_TEXT(ROW()-$C$72))"),"")</f>
        <v/>
      </c>
      <c r="T131" s="61" t="str">
        <f>IFERROR(__xludf.DUMMYFUNCTION("INDIRECT(""'收支紀錄'!T""&amp;TO_TEXT(ROW()-$C$72))"),"")</f>
        <v/>
      </c>
      <c r="U131" s="62" t="str">
        <f>IFERROR(__xludf.DUMMYFUNCTION("IF(T131=""是"",TEXTJOIN("""", TRUE, ""$"", TO_TEXT(C131), S131),"""")"),"")</f>
        <v/>
      </c>
    </row>
    <row r="132">
      <c r="A132" s="58">
        <f>IFERROR(__xludf.DUMMYFUNCTION("INDIRECT(""'收支紀錄'!A""&amp;TO_TEXT(ROW()-$C$72))"),45507.282658842596)</f>
        <v>45507.28266</v>
      </c>
      <c r="B132" s="59">
        <f>IFERROR(__xludf.DUMMYFUNCTION("IF(ISBLANK(D132), """", IF(ISDATE(D132), D132, IF(D132=""今天"", A132, IF(D132=""昨天 (-1 day)"", A132-1, IF(D132=""前天 (-2 days)"", A132-2, IF(D132=""明天 (+1 day)"", A132+1, DATE(LEFT(D132,4), MID(D132,5,2), RIGHT(D132,2))))))))"),45507.0)</f>
        <v>45507</v>
      </c>
      <c r="C132" s="60">
        <f>IFERROR(__xludf.DUMMYFUNCTION("INDIRECT(""'收支紀錄'!C""&amp;TO_TEXT(ROW()-$C$72))"),40.0)</f>
        <v>40</v>
      </c>
      <c r="D132" s="59">
        <f>IFERROR(__xludf.DUMMYFUNCTION("INDIRECT(""'收支紀錄'!D""&amp;TO_TEXT(ROW()-$C$72))"),45507.0)</f>
        <v>45507</v>
      </c>
      <c r="E132" s="61" t="str">
        <f>IFERROR(__xludf.DUMMYFUNCTION("INDIRECT(""'收支紀錄'!E""&amp;TO_TEXT(ROW()-$C$72))"),"")</f>
        <v/>
      </c>
      <c r="F132" s="61" t="str">
        <f>IFERROR(__xludf.DUMMYFUNCTION("INDIRECT(""'收支紀錄'!F""&amp;TO_TEXT(ROW()-$C$72))"),"")</f>
        <v/>
      </c>
      <c r="G132" s="61" t="str">
        <f>IFERROR(__xludf.DUMMYFUNCTION("INDIRECT(""'收支紀錄'!G""&amp;TO_TEXT(ROW()-$C$72))"),"")</f>
        <v/>
      </c>
      <c r="H132" s="61" t="str">
        <f>IFERROR(__xludf.DUMMYFUNCTION("INDIRECT(""'收支紀錄'!H""&amp;TO_TEXT(ROW()-$C$72))"),"行車交通")</f>
        <v>行車交通</v>
      </c>
      <c r="I132" s="61" t="str">
        <f>IFERROR(__xludf.DUMMYFUNCTION("INDIRECT(""'收支紀錄'!I""&amp;TO_TEXT(ROW()-$C$72))"),"")</f>
        <v/>
      </c>
      <c r="J132" s="61" t="str">
        <f>IFERROR(__xludf.DUMMYFUNCTION("INDIRECT(""'收支紀錄'!J""&amp;TO_TEXT(ROW()-$C$72))"),"")</f>
        <v/>
      </c>
      <c r="K132" s="61" t="str">
        <f>IFERROR(__xludf.DUMMYFUNCTION("INDIRECT(""'收支紀錄'!K""&amp;TO_TEXT(ROW()-$C$72))"),"")</f>
        <v/>
      </c>
      <c r="L132" s="61" t="str">
        <f>IFERROR(__xludf.DUMMYFUNCTION("INDIRECT(""'收支紀錄'!L""&amp;TO_TEXT(ROW()-$C$72))"),"捷運費")</f>
        <v>捷運費</v>
      </c>
      <c r="M132" s="61" t="str">
        <f>IFERROR(__xludf.DUMMYFUNCTION("INDIRECT(""'收支紀錄'!M""&amp;TO_TEXT(ROW()-$C$72))"),"")</f>
        <v/>
      </c>
      <c r="N132" s="61" t="str">
        <f>IFERROR(__xludf.DUMMYFUNCTION("INDIRECT(""'收支紀錄'!N""&amp;TO_TEXT(ROW()-$C$72))"),"")</f>
        <v/>
      </c>
      <c r="O132" s="61" t="str">
        <f>IFERROR(__xludf.DUMMYFUNCTION("INDIRECT(""'收支紀錄'!O""&amp;TO_TEXT(ROW()-$C$72))"),"")</f>
        <v/>
      </c>
      <c r="P132" s="61" t="str">
        <f>IFERROR(__xludf.DUMMYFUNCTION("INDIRECT(""'收支紀錄'!P""&amp;TO_TEXT(ROW()-$C$72))"),"")</f>
        <v/>
      </c>
      <c r="Q132" s="61" t="str">
        <f>IFERROR(__xludf.DUMMYFUNCTION("INDIRECT(""'收支紀錄'!Q""&amp;TO_TEXT(ROW()-$C$72))"),"")</f>
        <v/>
      </c>
      <c r="R132" s="61" t="str">
        <f>IFERROR(__xludf.DUMMYFUNCTION("INDIRECT(""'收支紀錄'!R""&amp;TO_TEXT(ROW()-$C$72))"),"")</f>
        <v/>
      </c>
      <c r="S132" s="61" t="str">
        <f>IFERROR(__xludf.DUMMYFUNCTION("INDIRECT(""'收支紀錄'!S""&amp;TO_TEXT(ROW()-$C$72))"),"")</f>
        <v/>
      </c>
      <c r="T132" s="61" t="str">
        <f>IFERROR(__xludf.DUMMYFUNCTION("INDIRECT(""'收支紀錄'!T""&amp;TO_TEXT(ROW()-$C$72))"),"")</f>
        <v/>
      </c>
      <c r="U132" s="62" t="str">
        <f>IFERROR(__xludf.DUMMYFUNCTION("IF(T132=""是"",TEXTJOIN("""", TRUE, ""$"", TO_TEXT(C132), S132),"""")"),"")</f>
        <v/>
      </c>
    </row>
    <row r="133">
      <c r="A133" s="58">
        <f>IFERROR(__xludf.DUMMYFUNCTION("INDIRECT(""'收支紀錄'!A""&amp;TO_TEXT(ROW()-$C$72))"),45507.283010914354)</f>
        <v>45507.28301</v>
      </c>
      <c r="B133" s="59">
        <f>IFERROR(__xludf.DUMMYFUNCTION("IF(ISBLANK(D133), """", IF(ISDATE(D133), D133, IF(D133=""今天"", A133, IF(D133=""昨天 (-1 day)"", A133-1, IF(D133=""前天 (-2 days)"", A133-2, IF(D133=""明天 (+1 day)"", A133+1, DATE(LEFT(D133,4), MID(D133,5,2), RIGHT(D133,2))))))))"),45507.0)</f>
        <v>45507</v>
      </c>
      <c r="C133" s="60">
        <f>IFERROR(__xludf.DUMMYFUNCTION("INDIRECT(""'收支紀錄'!C""&amp;TO_TEXT(ROW()-$C$72))"),765.0)</f>
        <v>765</v>
      </c>
      <c r="D133" s="59">
        <f>IFERROR(__xludf.DUMMYFUNCTION("INDIRECT(""'收支紀錄'!D""&amp;TO_TEXT(ROW()-$C$72))"),45507.0)</f>
        <v>45507</v>
      </c>
      <c r="E133" s="61" t="str">
        <f>IFERROR(__xludf.DUMMYFUNCTION("INDIRECT(""'收支紀錄'!E""&amp;TO_TEXT(ROW()-$C$72))"),"")</f>
        <v/>
      </c>
      <c r="F133" s="61" t="str">
        <f>IFERROR(__xludf.DUMMYFUNCTION("INDIRECT(""'收支紀錄'!F""&amp;TO_TEXT(ROW()-$C$72))"),"")</f>
        <v/>
      </c>
      <c r="G133" s="61" t="str">
        <f>IFERROR(__xludf.DUMMYFUNCTION("INDIRECT(""'收支紀錄'!G""&amp;TO_TEXT(ROW()-$C$72))"),"")</f>
        <v/>
      </c>
      <c r="H133" s="61" t="str">
        <f>IFERROR(__xludf.DUMMYFUNCTION("INDIRECT(""'收支紀錄'!H""&amp;TO_TEXT(ROW()-$C$72))"),"行車交通")</f>
        <v>行車交通</v>
      </c>
      <c r="I133" s="61" t="str">
        <f>IFERROR(__xludf.DUMMYFUNCTION("INDIRECT(""'收支紀錄'!I""&amp;TO_TEXT(ROW()-$C$72))"),"")</f>
        <v/>
      </c>
      <c r="J133" s="61" t="str">
        <f>IFERROR(__xludf.DUMMYFUNCTION("INDIRECT(""'收支紀錄'!J""&amp;TO_TEXT(ROW()-$C$72))"),"")</f>
        <v/>
      </c>
      <c r="K133" s="61" t="str">
        <f>IFERROR(__xludf.DUMMYFUNCTION("INDIRECT(""'收支紀錄'!K""&amp;TO_TEXT(ROW()-$C$72))"),"")</f>
        <v/>
      </c>
      <c r="L133" s="61" t="str">
        <f>IFERROR(__xludf.DUMMYFUNCTION("INDIRECT(""'收支紀錄'!L""&amp;TO_TEXT(ROW()-$C$72))"),"高鐵")</f>
        <v>高鐵</v>
      </c>
      <c r="M133" s="61" t="str">
        <f>IFERROR(__xludf.DUMMYFUNCTION("INDIRECT(""'收支紀錄'!M""&amp;TO_TEXT(ROW()-$C$72))"),"")</f>
        <v/>
      </c>
      <c r="N133" s="61" t="str">
        <f>IFERROR(__xludf.DUMMYFUNCTION("INDIRECT(""'收支紀錄'!N""&amp;TO_TEXT(ROW()-$C$72))"),"")</f>
        <v/>
      </c>
      <c r="O133" s="61" t="str">
        <f>IFERROR(__xludf.DUMMYFUNCTION("INDIRECT(""'收支紀錄'!O""&amp;TO_TEXT(ROW()-$C$72))"),"")</f>
        <v/>
      </c>
      <c r="P133" s="61" t="str">
        <f>IFERROR(__xludf.DUMMYFUNCTION("INDIRECT(""'收支紀錄'!P""&amp;TO_TEXT(ROW()-$C$72))"),"")</f>
        <v/>
      </c>
      <c r="Q133" s="61" t="str">
        <f>IFERROR(__xludf.DUMMYFUNCTION("INDIRECT(""'收支紀錄'!Q""&amp;TO_TEXT(ROW()-$C$72))"),"")</f>
        <v/>
      </c>
      <c r="R133" s="61" t="str">
        <f>IFERROR(__xludf.DUMMYFUNCTION("INDIRECT(""'收支紀錄'!R""&amp;TO_TEXT(ROW()-$C$72))"),"")</f>
        <v/>
      </c>
      <c r="S133" s="61" t="str">
        <f>IFERROR(__xludf.DUMMYFUNCTION("INDIRECT(""'收支紀錄'!S""&amp;TO_TEXT(ROW()-$C$72))"),"")</f>
        <v/>
      </c>
      <c r="T133" s="61" t="str">
        <f>IFERROR(__xludf.DUMMYFUNCTION("INDIRECT(""'收支紀錄'!T""&amp;TO_TEXT(ROW()-$C$72))"),"")</f>
        <v/>
      </c>
      <c r="U133" s="62" t="str">
        <f>IFERROR(__xludf.DUMMYFUNCTION("IF(T133=""是"",TEXTJOIN("""", TRUE, ""$"", TO_TEXT(C133), S133),"""")"),"")</f>
        <v/>
      </c>
    </row>
    <row r="134">
      <c r="A134" s="58">
        <f>IFERROR(__xludf.DUMMYFUNCTION("INDIRECT(""'收支紀錄'!A""&amp;TO_TEXT(ROW()-$C$72))"),45508.65355123843)</f>
        <v>45508.65355</v>
      </c>
      <c r="B134" s="59">
        <f>IFERROR(__xludf.DUMMYFUNCTION("IF(ISBLANK(D134), """", IF(ISDATE(D134), D134, IF(D134=""今天"", A134, IF(D134=""昨天 (-1 day)"", A134-1, IF(D134=""前天 (-2 days)"", A134-2, IF(D134=""明天 (+1 day)"", A134+1, DATE(LEFT(D134,4), MID(D134,5,2), RIGHT(D134,2))))))))"),45508.0)</f>
        <v>45508</v>
      </c>
      <c r="C134" s="60">
        <f>IFERROR(__xludf.DUMMYFUNCTION("INDIRECT(""'收支紀錄'!C""&amp;TO_TEXT(ROW()-$C$72))"),30.0)</f>
        <v>30</v>
      </c>
      <c r="D134" s="59">
        <f>IFERROR(__xludf.DUMMYFUNCTION("INDIRECT(""'收支紀錄'!D""&amp;TO_TEXT(ROW()-$C$72))"),45508.0)</f>
        <v>45508</v>
      </c>
      <c r="E134" s="61" t="str">
        <f>IFERROR(__xludf.DUMMYFUNCTION("INDIRECT(""'收支紀錄'!E""&amp;TO_TEXT(ROW()-$C$72))"),"")</f>
        <v/>
      </c>
      <c r="F134" s="61" t="str">
        <f>IFERROR(__xludf.DUMMYFUNCTION("INDIRECT(""'收支紀錄'!F""&amp;TO_TEXT(ROW()-$C$72))"),"")</f>
        <v/>
      </c>
      <c r="G134" s="61" t="str">
        <f>IFERROR(__xludf.DUMMYFUNCTION("INDIRECT(""'收支紀錄'!G""&amp;TO_TEXT(ROW()-$C$72))"),"")</f>
        <v/>
      </c>
      <c r="H134" s="61" t="str">
        <f>IFERROR(__xludf.DUMMYFUNCTION("INDIRECT(""'收支紀錄'!H""&amp;TO_TEXT(ROW()-$C$72))"),"行車交通")</f>
        <v>行車交通</v>
      </c>
      <c r="I134" s="61" t="str">
        <f>IFERROR(__xludf.DUMMYFUNCTION("INDIRECT(""'收支紀錄'!I""&amp;TO_TEXT(ROW()-$C$72))"),"")</f>
        <v/>
      </c>
      <c r="J134" s="61" t="str">
        <f>IFERROR(__xludf.DUMMYFUNCTION("INDIRECT(""'收支紀錄'!J""&amp;TO_TEXT(ROW()-$C$72))"),"")</f>
        <v/>
      </c>
      <c r="K134" s="61" t="str">
        <f>IFERROR(__xludf.DUMMYFUNCTION("INDIRECT(""'收支紀錄'!K""&amp;TO_TEXT(ROW()-$C$72))"),"")</f>
        <v/>
      </c>
      <c r="L134" s="61" t="str">
        <f>IFERROR(__xludf.DUMMYFUNCTION("INDIRECT(""'收支紀錄'!L""&amp;TO_TEXT(ROW()-$C$72))"),"捷運費")</f>
        <v>捷運費</v>
      </c>
      <c r="M134" s="61" t="str">
        <f>IFERROR(__xludf.DUMMYFUNCTION("INDIRECT(""'收支紀錄'!M""&amp;TO_TEXT(ROW()-$C$72))"),"")</f>
        <v/>
      </c>
      <c r="N134" s="61" t="str">
        <f>IFERROR(__xludf.DUMMYFUNCTION("INDIRECT(""'收支紀錄'!N""&amp;TO_TEXT(ROW()-$C$72))"),"")</f>
        <v/>
      </c>
      <c r="O134" s="61" t="str">
        <f>IFERROR(__xludf.DUMMYFUNCTION("INDIRECT(""'收支紀錄'!O""&amp;TO_TEXT(ROW()-$C$72))"),"")</f>
        <v/>
      </c>
      <c r="P134" s="61" t="str">
        <f>IFERROR(__xludf.DUMMYFUNCTION("INDIRECT(""'收支紀錄'!P""&amp;TO_TEXT(ROW()-$C$72))"),"")</f>
        <v/>
      </c>
      <c r="Q134" s="61" t="str">
        <f>IFERROR(__xludf.DUMMYFUNCTION("INDIRECT(""'收支紀錄'!Q""&amp;TO_TEXT(ROW()-$C$72))"),"")</f>
        <v/>
      </c>
      <c r="R134" s="61" t="str">
        <f>IFERROR(__xludf.DUMMYFUNCTION("INDIRECT(""'收支紀錄'!R""&amp;TO_TEXT(ROW()-$C$72))"),"")</f>
        <v/>
      </c>
      <c r="S134" s="61" t="str">
        <f>IFERROR(__xludf.DUMMYFUNCTION("INDIRECT(""'收支紀錄'!S""&amp;TO_TEXT(ROW()-$C$72))"),"")</f>
        <v/>
      </c>
      <c r="T134" s="61" t="str">
        <f>IFERROR(__xludf.DUMMYFUNCTION("INDIRECT(""'收支紀錄'!T""&amp;TO_TEXT(ROW()-$C$72))"),"")</f>
        <v/>
      </c>
      <c r="U134" s="62" t="str">
        <f>IFERROR(__xludf.DUMMYFUNCTION("IF(T134=""是"",TEXTJOIN("""", TRUE, ""$"", TO_TEXT(C134), S134),"""")"),"")</f>
        <v/>
      </c>
    </row>
    <row r="135">
      <c r="A135" s="58">
        <f>IFERROR(__xludf.DUMMYFUNCTION("INDIRECT(""'收支紀錄'!A""&amp;TO_TEXT(ROW()-$C$72))"),45508.65382733796)</f>
        <v>45508.65383</v>
      </c>
      <c r="B135" s="59">
        <f>IFERROR(__xludf.DUMMYFUNCTION("IF(ISBLANK(D135), """", IF(ISDATE(D135), D135, IF(D135=""今天"", A135, IF(D135=""昨天 (-1 day)"", A135-1, IF(D135=""前天 (-2 days)"", A135-2, IF(D135=""明天 (+1 day)"", A135+1, DATE(LEFT(D135,4), MID(D135,5,2), RIGHT(D135,2))))))))"),45508.0)</f>
        <v>45508</v>
      </c>
      <c r="C135" s="60">
        <f>IFERROR(__xludf.DUMMYFUNCTION("INDIRECT(""'收支紀錄'!C""&amp;TO_TEXT(ROW()-$C$72))"),765.0)</f>
        <v>765</v>
      </c>
      <c r="D135" s="59">
        <f>IFERROR(__xludf.DUMMYFUNCTION("INDIRECT(""'收支紀錄'!D""&amp;TO_TEXT(ROW()-$C$72))"),45508.0)</f>
        <v>45508</v>
      </c>
      <c r="E135" s="61" t="str">
        <f>IFERROR(__xludf.DUMMYFUNCTION("INDIRECT(""'收支紀錄'!E""&amp;TO_TEXT(ROW()-$C$72))"),"")</f>
        <v/>
      </c>
      <c r="F135" s="61" t="str">
        <f>IFERROR(__xludf.DUMMYFUNCTION("INDIRECT(""'收支紀錄'!F""&amp;TO_TEXT(ROW()-$C$72))"),"")</f>
        <v/>
      </c>
      <c r="G135" s="61" t="str">
        <f>IFERROR(__xludf.DUMMYFUNCTION("INDIRECT(""'收支紀錄'!G""&amp;TO_TEXT(ROW()-$C$72))"),"")</f>
        <v/>
      </c>
      <c r="H135" s="61" t="str">
        <f>IFERROR(__xludf.DUMMYFUNCTION("INDIRECT(""'收支紀錄'!H""&amp;TO_TEXT(ROW()-$C$72))"),"行車交通")</f>
        <v>行車交通</v>
      </c>
      <c r="I135" s="61" t="str">
        <f>IFERROR(__xludf.DUMMYFUNCTION("INDIRECT(""'收支紀錄'!I""&amp;TO_TEXT(ROW()-$C$72))"),"")</f>
        <v/>
      </c>
      <c r="J135" s="61" t="str">
        <f>IFERROR(__xludf.DUMMYFUNCTION("INDIRECT(""'收支紀錄'!J""&amp;TO_TEXT(ROW()-$C$72))"),"")</f>
        <v/>
      </c>
      <c r="K135" s="61" t="str">
        <f>IFERROR(__xludf.DUMMYFUNCTION("INDIRECT(""'收支紀錄'!K""&amp;TO_TEXT(ROW()-$C$72))"),"")</f>
        <v/>
      </c>
      <c r="L135" s="61" t="str">
        <f>IFERROR(__xludf.DUMMYFUNCTION("INDIRECT(""'收支紀錄'!L""&amp;TO_TEXT(ROW()-$C$72))"),"高鐵")</f>
        <v>高鐵</v>
      </c>
      <c r="M135" s="61" t="str">
        <f>IFERROR(__xludf.DUMMYFUNCTION("INDIRECT(""'收支紀錄'!M""&amp;TO_TEXT(ROW()-$C$72))"),"")</f>
        <v/>
      </c>
      <c r="N135" s="61" t="str">
        <f>IFERROR(__xludf.DUMMYFUNCTION("INDIRECT(""'收支紀錄'!N""&amp;TO_TEXT(ROW()-$C$72))"),"")</f>
        <v/>
      </c>
      <c r="O135" s="61" t="str">
        <f>IFERROR(__xludf.DUMMYFUNCTION("INDIRECT(""'收支紀錄'!O""&amp;TO_TEXT(ROW()-$C$72))"),"")</f>
        <v/>
      </c>
      <c r="P135" s="61" t="str">
        <f>IFERROR(__xludf.DUMMYFUNCTION("INDIRECT(""'收支紀錄'!P""&amp;TO_TEXT(ROW()-$C$72))"),"")</f>
        <v/>
      </c>
      <c r="Q135" s="61" t="str">
        <f>IFERROR(__xludf.DUMMYFUNCTION("INDIRECT(""'收支紀錄'!Q""&amp;TO_TEXT(ROW()-$C$72))"),"")</f>
        <v/>
      </c>
      <c r="R135" s="61" t="str">
        <f>IFERROR(__xludf.DUMMYFUNCTION("INDIRECT(""'收支紀錄'!R""&amp;TO_TEXT(ROW()-$C$72))"),"")</f>
        <v/>
      </c>
      <c r="S135" s="61" t="str">
        <f>IFERROR(__xludf.DUMMYFUNCTION("INDIRECT(""'收支紀錄'!S""&amp;TO_TEXT(ROW()-$C$72))"),"")</f>
        <v/>
      </c>
      <c r="T135" s="61" t="str">
        <f>IFERROR(__xludf.DUMMYFUNCTION("INDIRECT(""'收支紀錄'!T""&amp;TO_TEXT(ROW()-$C$72))"),"")</f>
        <v/>
      </c>
      <c r="U135" s="62" t="str">
        <f>IFERROR(__xludf.DUMMYFUNCTION("IF(T135=""是"",TEXTJOIN("""", TRUE, ""$"", TO_TEXT(C135), S135),"""")"),"")</f>
        <v/>
      </c>
    </row>
    <row r="136">
      <c r="A136" s="58">
        <f>IFERROR(__xludf.DUMMYFUNCTION("INDIRECT(""'收支紀錄'!A""&amp;TO_TEXT(ROW()-$C$72))"),45508.654103692126)</f>
        <v>45508.6541</v>
      </c>
      <c r="B136" s="59">
        <f>IFERROR(__xludf.DUMMYFUNCTION("IF(ISBLANK(D136), """", IF(ISDATE(D136), D136, IF(D136=""今天"", A136, IF(D136=""昨天 (-1 day)"", A136-1, IF(D136=""前天 (-2 days)"", A136-2, IF(D136=""明天 (+1 day)"", A136+1, DATE(LEFT(D136,4), MID(D136,5,2), RIGHT(D136,2))))))))"),45508.0)</f>
        <v>45508</v>
      </c>
      <c r="C136" s="60">
        <f>IFERROR(__xludf.DUMMYFUNCTION("INDIRECT(""'收支紀錄'!C""&amp;TO_TEXT(ROW()-$C$72))"),40.0)</f>
        <v>40</v>
      </c>
      <c r="D136" s="59">
        <f>IFERROR(__xludf.DUMMYFUNCTION("INDIRECT(""'收支紀錄'!D""&amp;TO_TEXT(ROW()-$C$72))"),45508.0)</f>
        <v>45508</v>
      </c>
      <c r="E136" s="61" t="str">
        <f>IFERROR(__xludf.DUMMYFUNCTION("INDIRECT(""'收支紀錄'!E""&amp;TO_TEXT(ROW()-$C$72))"),"")</f>
        <v/>
      </c>
      <c r="F136" s="61" t="str">
        <f>IFERROR(__xludf.DUMMYFUNCTION("INDIRECT(""'收支紀錄'!F""&amp;TO_TEXT(ROW()-$C$72))"),"")</f>
        <v/>
      </c>
      <c r="G136" s="61" t="str">
        <f>IFERROR(__xludf.DUMMYFUNCTION("INDIRECT(""'收支紀錄'!G""&amp;TO_TEXT(ROW()-$C$72))"),"")</f>
        <v/>
      </c>
      <c r="H136" s="61" t="str">
        <f>IFERROR(__xludf.DUMMYFUNCTION("INDIRECT(""'收支紀錄'!H""&amp;TO_TEXT(ROW()-$C$72))"),"行車交通")</f>
        <v>行車交通</v>
      </c>
      <c r="I136" s="61" t="str">
        <f>IFERROR(__xludf.DUMMYFUNCTION("INDIRECT(""'收支紀錄'!I""&amp;TO_TEXT(ROW()-$C$72))"),"")</f>
        <v/>
      </c>
      <c r="J136" s="61" t="str">
        <f>IFERROR(__xludf.DUMMYFUNCTION("INDIRECT(""'收支紀錄'!J""&amp;TO_TEXT(ROW()-$C$72))"),"")</f>
        <v/>
      </c>
      <c r="K136" s="61" t="str">
        <f>IFERROR(__xludf.DUMMYFUNCTION("INDIRECT(""'收支紀錄'!K""&amp;TO_TEXT(ROW()-$C$72))"),"")</f>
        <v/>
      </c>
      <c r="L136" s="61" t="str">
        <f>IFERROR(__xludf.DUMMYFUNCTION("INDIRECT(""'收支紀錄'!L""&amp;TO_TEXT(ROW()-$C$72))"),"捷運費")</f>
        <v>捷運費</v>
      </c>
      <c r="M136" s="61" t="str">
        <f>IFERROR(__xludf.DUMMYFUNCTION("INDIRECT(""'收支紀錄'!M""&amp;TO_TEXT(ROW()-$C$72))"),"")</f>
        <v/>
      </c>
      <c r="N136" s="61" t="str">
        <f>IFERROR(__xludf.DUMMYFUNCTION("INDIRECT(""'收支紀錄'!N""&amp;TO_TEXT(ROW()-$C$72))"),"")</f>
        <v/>
      </c>
      <c r="O136" s="61" t="str">
        <f>IFERROR(__xludf.DUMMYFUNCTION("INDIRECT(""'收支紀錄'!O""&amp;TO_TEXT(ROW()-$C$72))"),"")</f>
        <v/>
      </c>
      <c r="P136" s="61" t="str">
        <f>IFERROR(__xludf.DUMMYFUNCTION("INDIRECT(""'收支紀錄'!P""&amp;TO_TEXT(ROW()-$C$72))"),"")</f>
        <v/>
      </c>
      <c r="Q136" s="61" t="str">
        <f>IFERROR(__xludf.DUMMYFUNCTION("INDIRECT(""'收支紀錄'!Q""&amp;TO_TEXT(ROW()-$C$72))"),"")</f>
        <v/>
      </c>
      <c r="R136" s="61" t="str">
        <f>IFERROR(__xludf.DUMMYFUNCTION("INDIRECT(""'收支紀錄'!R""&amp;TO_TEXT(ROW()-$C$72))"),"")</f>
        <v/>
      </c>
      <c r="S136" s="61" t="str">
        <f>IFERROR(__xludf.DUMMYFUNCTION("INDIRECT(""'收支紀錄'!S""&amp;TO_TEXT(ROW()-$C$72))"),"")</f>
        <v/>
      </c>
      <c r="T136" s="61" t="str">
        <f>IFERROR(__xludf.DUMMYFUNCTION("INDIRECT(""'收支紀錄'!T""&amp;TO_TEXT(ROW()-$C$72))"),"")</f>
        <v/>
      </c>
      <c r="U136" s="62" t="str">
        <f>IFERROR(__xludf.DUMMYFUNCTION("IF(T136=""是"",TEXTJOIN("""", TRUE, ""$"", TO_TEXT(C136), S136),"""")"),"")</f>
        <v/>
      </c>
    </row>
    <row r="137">
      <c r="A137" s="58">
        <f>IFERROR(__xludf.DUMMYFUNCTION("INDIRECT(""'收支紀錄'!A""&amp;TO_TEXT(ROW()-$C$72))"),45509.011423055555)</f>
        <v>45509.01142</v>
      </c>
      <c r="B137" s="59">
        <f>IFERROR(__xludf.DUMMYFUNCTION("IF(ISBLANK(D137), """", IF(ISDATE(D137), D137, IF(D137=""今天"", A137, IF(D137=""昨天 (-1 day)"", A137-1, IF(D137=""前天 (-2 days)"", A137-2, IF(D137=""明天 (+1 day)"", A137+1, DATE(LEFT(D137,4), MID(D137,5,2), RIGHT(D137,2))))))))"),45507.0)</f>
        <v>45507</v>
      </c>
      <c r="C137" s="60">
        <f>IFERROR(__xludf.DUMMYFUNCTION("INDIRECT(""'收支紀錄'!C""&amp;TO_TEXT(ROW()-$C$72))"),30.0)</f>
        <v>30</v>
      </c>
      <c r="D137" s="59">
        <f>IFERROR(__xludf.DUMMYFUNCTION("INDIRECT(""'收支紀錄'!D""&amp;TO_TEXT(ROW()-$C$72))"),45507.0)</f>
        <v>45507</v>
      </c>
      <c r="E137" s="61" t="str">
        <f>IFERROR(__xludf.DUMMYFUNCTION("INDIRECT(""'收支紀錄'!E""&amp;TO_TEXT(ROW()-$C$72))"),"")</f>
        <v/>
      </c>
      <c r="F137" s="61" t="str">
        <f>IFERROR(__xludf.DUMMYFUNCTION("INDIRECT(""'收支紀錄'!F""&amp;TO_TEXT(ROW()-$C$72))"),"")</f>
        <v/>
      </c>
      <c r="G137" s="61" t="str">
        <f>IFERROR(__xludf.DUMMYFUNCTION("INDIRECT(""'收支紀錄'!G""&amp;TO_TEXT(ROW()-$C$72))"),"")</f>
        <v/>
      </c>
      <c r="H137" s="61" t="str">
        <f>IFERROR(__xludf.DUMMYFUNCTION("INDIRECT(""'收支紀錄'!H""&amp;TO_TEXT(ROW()-$C$72))"),"行車交通")</f>
        <v>行車交通</v>
      </c>
      <c r="I137" s="61" t="str">
        <f>IFERROR(__xludf.DUMMYFUNCTION("INDIRECT(""'收支紀錄'!I""&amp;TO_TEXT(ROW()-$C$72))"),"")</f>
        <v/>
      </c>
      <c r="J137" s="61" t="str">
        <f>IFERROR(__xludf.DUMMYFUNCTION("INDIRECT(""'收支紀錄'!J""&amp;TO_TEXT(ROW()-$C$72))"),"")</f>
        <v/>
      </c>
      <c r="K137" s="61" t="str">
        <f>IFERROR(__xludf.DUMMYFUNCTION("INDIRECT(""'收支紀錄'!K""&amp;TO_TEXT(ROW()-$C$72))"),"")</f>
        <v/>
      </c>
      <c r="L137" s="61" t="str">
        <f>IFERROR(__xludf.DUMMYFUNCTION("INDIRECT(""'收支紀錄'!L""&amp;TO_TEXT(ROW()-$C$72))"),"捷運費")</f>
        <v>捷運費</v>
      </c>
      <c r="M137" s="61" t="str">
        <f>IFERROR(__xludf.DUMMYFUNCTION("INDIRECT(""'收支紀錄'!M""&amp;TO_TEXT(ROW()-$C$72))"),"")</f>
        <v/>
      </c>
      <c r="N137" s="61" t="str">
        <f>IFERROR(__xludf.DUMMYFUNCTION("INDIRECT(""'收支紀錄'!N""&amp;TO_TEXT(ROW()-$C$72))"),"")</f>
        <v/>
      </c>
      <c r="O137" s="61" t="str">
        <f>IFERROR(__xludf.DUMMYFUNCTION("INDIRECT(""'收支紀錄'!O""&amp;TO_TEXT(ROW()-$C$72))"),"")</f>
        <v/>
      </c>
      <c r="P137" s="61" t="str">
        <f>IFERROR(__xludf.DUMMYFUNCTION("INDIRECT(""'收支紀錄'!P""&amp;TO_TEXT(ROW()-$C$72))"),"")</f>
        <v/>
      </c>
      <c r="Q137" s="61" t="str">
        <f>IFERROR(__xludf.DUMMYFUNCTION("INDIRECT(""'收支紀錄'!Q""&amp;TO_TEXT(ROW()-$C$72))"),"")</f>
        <v/>
      </c>
      <c r="R137" s="61" t="str">
        <f>IFERROR(__xludf.DUMMYFUNCTION("INDIRECT(""'收支紀錄'!R""&amp;TO_TEXT(ROW()-$C$72))"),"")</f>
        <v/>
      </c>
      <c r="S137" s="61" t="str">
        <f>IFERROR(__xludf.DUMMYFUNCTION("INDIRECT(""'收支紀錄'!S""&amp;TO_TEXT(ROW()-$C$72))"),"")</f>
        <v/>
      </c>
      <c r="T137" s="61" t="str">
        <f>IFERROR(__xludf.DUMMYFUNCTION("INDIRECT(""'收支紀錄'!T""&amp;TO_TEXT(ROW()-$C$72))"),"")</f>
        <v/>
      </c>
      <c r="U137" s="62" t="str">
        <f>IFERROR(__xludf.DUMMYFUNCTION("IF(T137=""是"",TEXTJOIN("""", TRUE, ""$"", TO_TEXT(C137), S137),"""")"),"")</f>
        <v/>
      </c>
    </row>
    <row r="138">
      <c r="A138" s="58">
        <f>IFERROR(__xludf.DUMMYFUNCTION("INDIRECT(""'收支紀錄'!A""&amp;TO_TEXT(ROW()-$C$72))"),45509.011856087964)</f>
        <v>45509.01186</v>
      </c>
      <c r="B138" s="59">
        <f>IFERROR(__xludf.DUMMYFUNCTION("IF(ISBLANK(D138), """", IF(ISDATE(D138), D138, IF(D138=""今天"", A138, IF(D138=""昨天 (-1 day)"", A138-1, IF(D138=""前天 (-2 days)"", A138-2, IF(D138=""明天 (+1 day)"", A138+1, DATE(LEFT(D138,4), MID(D138,5,2), RIGHT(D138,2))))))))"),45507.0)</f>
        <v>45507</v>
      </c>
      <c r="C138" s="60">
        <f>IFERROR(__xludf.DUMMYFUNCTION("INDIRECT(""'收支紀錄'!C""&amp;TO_TEXT(ROW()-$C$72))"),800.0)</f>
        <v>800</v>
      </c>
      <c r="D138" s="59">
        <f>IFERROR(__xludf.DUMMYFUNCTION("INDIRECT(""'收支紀錄'!D""&amp;TO_TEXT(ROW()-$C$72))"),45507.0)</f>
        <v>45507</v>
      </c>
      <c r="E138" s="61" t="str">
        <f>IFERROR(__xludf.DUMMYFUNCTION("INDIRECT(""'收支紀錄'!E""&amp;TO_TEXT(ROW()-$C$72))"),"")</f>
        <v/>
      </c>
      <c r="F138" s="61" t="str">
        <f>IFERROR(__xludf.DUMMYFUNCTION("INDIRECT(""'收支紀錄'!F""&amp;TO_TEXT(ROW()-$C$72))"),"")</f>
        <v/>
      </c>
      <c r="G138" s="61" t="str">
        <f>IFERROR(__xludf.DUMMYFUNCTION("INDIRECT(""'收支紀錄'!G""&amp;TO_TEXT(ROW()-$C$72))"),"")</f>
        <v/>
      </c>
      <c r="H138" s="61" t="str">
        <f>IFERROR(__xludf.DUMMYFUNCTION("INDIRECT(""'收支紀錄'!H""&amp;TO_TEXT(ROW()-$C$72))"),"食品酒水")</f>
        <v>食品酒水</v>
      </c>
      <c r="I138" s="61" t="str">
        <f>IFERROR(__xludf.DUMMYFUNCTION("INDIRECT(""'收支紀錄'!I""&amp;TO_TEXT(ROW()-$C$72))"),"午餐")</f>
        <v>午餐</v>
      </c>
      <c r="J138" s="61" t="str">
        <f>IFERROR(__xludf.DUMMYFUNCTION("INDIRECT(""'收支紀錄'!J""&amp;TO_TEXT(ROW()-$C$72))"),"")</f>
        <v/>
      </c>
      <c r="K138" s="61" t="str">
        <f>IFERROR(__xludf.DUMMYFUNCTION("INDIRECT(""'收支紀錄'!K""&amp;TO_TEXT(ROW()-$C$72))"),"")</f>
        <v/>
      </c>
      <c r="L138" s="61" t="str">
        <f>IFERROR(__xludf.DUMMYFUNCTION("INDIRECT(""'收支紀錄'!L""&amp;TO_TEXT(ROW()-$C$72))"),"")</f>
        <v/>
      </c>
      <c r="M138" s="61" t="str">
        <f>IFERROR(__xludf.DUMMYFUNCTION("INDIRECT(""'收支紀錄'!M""&amp;TO_TEXT(ROW()-$C$72))"),"")</f>
        <v/>
      </c>
      <c r="N138" s="61" t="str">
        <f>IFERROR(__xludf.DUMMYFUNCTION("INDIRECT(""'收支紀錄'!N""&amp;TO_TEXT(ROW()-$C$72))"),"")</f>
        <v/>
      </c>
      <c r="O138" s="61" t="str">
        <f>IFERROR(__xludf.DUMMYFUNCTION("INDIRECT(""'收支紀錄'!O""&amp;TO_TEXT(ROW()-$C$72))"),"")</f>
        <v/>
      </c>
      <c r="P138" s="61" t="str">
        <f>IFERROR(__xludf.DUMMYFUNCTION("INDIRECT(""'收支紀錄'!P""&amp;TO_TEXT(ROW()-$C$72))"),"")</f>
        <v/>
      </c>
      <c r="Q138" s="61" t="str">
        <f>IFERROR(__xludf.DUMMYFUNCTION("INDIRECT(""'收支紀錄'!Q""&amp;TO_TEXT(ROW()-$C$72))"),"")</f>
        <v/>
      </c>
      <c r="R138" s="61" t="str">
        <f>IFERROR(__xludf.DUMMYFUNCTION("INDIRECT(""'收支紀錄'!R""&amp;TO_TEXT(ROW()-$C$72))"),"")</f>
        <v/>
      </c>
      <c r="S138" s="61" t="str">
        <f>IFERROR(__xludf.DUMMYFUNCTION("INDIRECT(""'收支紀錄'!S""&amp;TO_TEXT(ROW()-$C$72))"),"孫東寶88節餐5人")</f>
        <v>孫東寶88節餐5人</v>
      </c>
      <c r="T138" s="61" t="str">
        <f>IFERROR(__xludf.DUMMYFUNCTION("INDIRECT(""'收支紀錄'!T""&amp;TO_TEXT(ROW()-$C$72))"),"")</f>
        <v/>
      </c>
      <c r="U138" s="62" t="str">
        <f>IFERROR(__xludf.DUMMYFUNCTION("IF(T138=""是"",TEXTJOIN("""", TRUE, ""$"", TO_TEXT(C138), S138),"""")"),"")</f>
        <v/>
      </c>
    </row>
    <row r="139">
      <c r="A139" s="58">
        <f>IFERROR(__xludf.DUMMYFUNCTION("INDIRECT(""'收支紀錄'!A""&amp;TO_TEXT(ROW()-$C$72))"),45510.00802998843)</f>
        <v>45510.00803</v>
      </c>
      <c r="B139" s="59">
        <f>IFERROR(__xludf.DUMMYFUNCTION("IF(ISBLANK(D139), """", IF(ISDATE(D139), D139, IF(D139=""今天"", A139, IF(D139=""昨天 (-1 day)"", A139-1, IF(D139=""前天 (-2 days)"", A139-2, IF(D139=""明天 (+1 day)"", A139+1, DATE(LEFT(D139,4), MID(D139,5,2), RIGHT(D139,2))))))))"),45493.0)</f>
        <v>45493</v>
      </c>
      <c r="C139" s="60">
        <f>IFERROR(__xludf.DUMMYFUNCTION("INDIRECT(""'收支紀錄'!C""&amp;TO_TEXT(ROW()-$C$72))"),375.0)</f>
        <v>375</v>
      </c>
      <c r="D139" s="59">
        <f>IFERROR(__xludf.DUMMYFUNCTION("INDIRECT(""'收支紀錄'!D""&amp;TO_TEXT(ROW()-$C$72))"),45493.0)</f>
        <v>45493</v>
      </c>
      <c r="E139" s="61" t="str">
        <f>IFERROR(__xludf.DUMMYFUNCTION("INDIRECT(""'收支紀錄'!E""&amp;TO_TEXT(ROW()-$C$72))"),"")</f>
        <v/>
      </c>
      <c r="F139" s="61" t="str">
        <f>IFERROR(__xludf.DUMMYFUNCTION("INDIRECT(""'收支紀錄'!F""&amp;TO_TEXT(ROW()-$C$72))"),"")</f>
        <v/>
      </c>
      <c r="G139" s="61" t="str">
        <f>IFERROR(__xludf.DUMMYFUNCTION("INDIRECT(""'收支紀錄'!G""&amp;TO_TEXT(ROW()-$C$72))"),"")</f>
        <v/>
      </c>
      <c r="H139" s="61" t="str">
        <f>IFERROR(__xludf.DUMMYFUNCTION("INDIRECT(""'收支紀錄'!H""&amp;TO_TEXT(ROW()-$C$72))"),"食品酒水")</f>
        <v>食品酒水</v>
      </c>
      <c r="I139" s="61" t="str">
        <f>IFERROR(__xludf.DUMMYFUNCTION("INDIRECT(""'收支紀錄'!I""&amp;TO_TEXT(ROW()-$C$72))"),"晚餐")</f>
        <v>晚餐</v>
      </c>
      <c r="J139" s="61" t="str">
        <f>IFERROR(__xludf.DUMMYFUNCTION("INDIRECT(""'收支紀錄'!J""&amp;TO_TEXT(ROW()-$C$72))"),"")</f>
        <v/>
      </c>
      <c r="K139" s="61" t="str">
        <f>IFERROR(__xludf.DUMMYFUNCTION("INDIRECT(""'收支紀錄'!K""&amp;TO_TEXT(ROW()-$C$72))"),"")</f>
        <v/>
      </c>
      <c r="L139" s="61" t="str">
        <f>IFERROR(__xludf.DUMMYFUNCTION("INDIRECT(""'收支紀錄'!L""&amp;TO_TEXT(ROW()-$C$72))"),"")</f>
        <v/>
      </c>
      <c r="M139" s="61" t="str">
        <f>IFERROR(__xludf.DUMMYFUNCTION("INDIRECT(""'收支紀錄'!M""&amp;TO_TEXT(ROW()-$C$72))"),"")</f>
        <v/>
      </c>
      <c r="N139" s="61" t="str">
        <f>IFERROR(__xludf.DUMMYFUNCTION("INDIRECT(""'收支紀錄'!N""&amp;TO_TEXT(ROW()-$C$72))"),"")</f>
        <v/>
      </c>
      <c r="O139" s="61" t="str">
        <f>IFERROR(__xludf.DUMMYFUNCTION("INDIRECT(""'收支紀錄'!O""&amp;TO_TEXT(ROW()-$C$72))"),"")</f>
        <v/>
      </c>
      <c r="P139" s="61" t="str">
        <f>IFERROR(__xludf.DUMMYFUNCTION("INDIRECT(""'收支紀錄'!P""&amp;TO_TEXT(ROW()-$C$72))"),"")</f>
        <v/>
      </c>
      <c r="Q139" s="61" t="str">
        <f>IFERROR(__xludf.DUMMYFUNCTION("INDIRECT(""'收支紀錄'!Q""&amp;TO_TEXT(ROW()-$C$72))"),"")</f>
        <v/>
      </c>
      <c r="R139" s="61" t="str">
        <f>IFERROR(__xludf.DUMMYFUNCTION("INDIRECT(""'收支紀錄'!R""&amp;TO_TEXT(ROW()-$C$72))"),"")</f>
        <v/>
      </c>
      <c r="S139" s="61" t="str">
        <f>IFERROR(__xludf.DUMMYFUNCTION("INDIRECT(""'收支紀錄'!S""&amp;TO_TEXT(ROW()-$C$72))"),"")</f>
        <v/>
      </c>
      <c r="T139" s="61" t="str">
        <f>IFERROR(__xludf.DUMMYFUNCTION("INDIRECT(""'收支紀錄'!T""&amp;TO_TEXT(ROW()-$C$72))"),"")</f>
        <v/>
      </c>
      <c r="U139" s="62" t="str">
        <f>IFERROR(__xludf.DUMMYFUNCTION("IF(T139=""是"",TEXTJOIN("""", TRUE, ""$"", TO_TEXT(C139), S139),"""")"),"")</f>
        <v/>
      </c>
    </row>
    <row r="140">
      <c r="A140" s="58">
        <f>IFERROR(__xludf.DUMMYFUNCTION("INDIRECT(""'收支紀錄'!A""&amp;TO_TEXT(ROW()-$C$72))"),45510.97415023149)</f>
        <v>45510.97415</v>
      </c>
      <c r="B140" s="59">
        <f>IFERROR(__xludf.DUMMYFUNCTION("IF(ISBLANK(D140), """", IF(ISDATE(D140), D140, IF(D140=""今天"", A140, IF(D140=""昨天 (-1 day)"", A140-1, IF(D140=""前天 (-2 days)"", A140-2, IF(D140=""明天 (+1 day)"", A140+1, DATE(LEFT(D140,4), MID(D140,5,2), RIGHT(D140,2))))))))"),45504.0)</f>
        <v>45504</v>
      </c>
      <c r="C140" s="60">
        <f>IFERROR(__xludf.DUMMYFUNCTION("INDIRECT(""'收支紀錄'!C""&amp;TO_TEXT(ROW()-$C$72))"),2701.0)</f>
        <v>2701</v>
      </c>
      <c r="D140" s="59">
        <f>IFERROR(__xludf.DUMMYFUNCTION("INDIRECT(""'收支紀錄'!D""&amp;TO_TEXT(ROW()-$C$72))"),45504.0)</f>
        <v>45504</v>
      </c>
      <c r="E140" s="61" t="str">
        <f>IFERROR(__xludf.DUMMYFUNCTION("INDIRECT(""'收支紀錄'!E""&amp;TO_TEXT(ROW()-$C$72))"),"")</f>
        <v/>
      </c>
      <c r="F140" s="61" t="str">
        <f>IFERROR(__xludf.DUMMYFUNCTION("INDIRECT(""'收支紀錄'!F""&amp;TO_TEXT(ROW()-$C$72))"),"")</f>
        <v/>
      </c>
      <c r="G140" s="61" t="str">
        <f>IFERROR(__xludf.DUMMYFUNCTION("INDIRECT(""'收支紀錄'!G""&amp;TO_TEXT(ROW()-$C$72))"),"")</f>
        <v/>
      </c>
      <c r="H140" s="61" t="str">
        <f>IFERROR(__xludf.DUMMYFUNCTION("INDIRECT(""'收支紀錄'!H""&amp;TO_TEXT(ROW()-$C$72))"),"稅金保險")</f>
        <v>稅金保險</v>
      </c>
      <c r="I140" s="61" t="str">
        <f>IFERROR(__xludf.DUMMYFUNCTION("INDIRECT(""'收支紀錄'!I""&amp;TO_TEXT(ROW()-$C$72))"),"")</f>
        <v/>
      </c>
      <c r="J140" s="61" t="str">
        <f>IFERROR(__xludf.DUMMYFUNCTION("INDIRECT(""'收支紀錄'!J""&amp;TO_TEXT(ROW()-$C$72))"),"")</f>
        <v/>
      </c>
      <c r="K140" s="61" t="str">
        <f>IFERROR(__xludf.DUMMYFUNCTION("INDIRECT(""'收支紀錄'!K""&amp;TO_TEXT(ROW()-$C$72))"),"")</f>
        <v/>
      </c>
      <c r="L140" s="61" t="str">
        <f>IFERROR(__xludf.DUMMYFUNCTION("INDIRECT(""'收支紀錄'!L""&amp;TO_TEXT(ROW()-$C$72))"),"")</f>
        <v/>
      </c>
      <c r="M140" s="61" t="str">
        <f>IFERROR(__xludf.DUMMYFUNCTION("INDIRECT(""'收支紀錄'!M""&amp;TO_TEXT(ROW()-$C$72))"),"")</f>
        <v/>
      </c>
      <c r="N140" s="61" t="str">
        <f>IFERROR(__xludf.DUMMYFUNCTION("INDIRECT(""'收支紀錄'!N""&amp;TO_TEXT(ROW()-$C$72))"),"勞健保")</f>
        <v>勞健保</v>
      </c>
      <c r="O140" s="61" t="str">
        <f>IFERROR(__xludf.DUMMYFUNCTION("INDIRECT(""'收支紀錄'!O""&amp;TO_TEXT(ROW()-$C$72))"),"")</f>
        <v/>
      </c>
      <c r="P140" s="61" t="str">
        <f>IFERROR(__xludf.DUMMYFUNCTION("INDIRECT(""'收支紀錄'!P""&amp;TO_TEXT(ROW()-$C$72))"),"")</f>
        <v/>
      </c>
      <c r="Q140" s="61" t="str">
        <f>IFERROR(__xludf.DUMMYFUNCTION("INDIRECT(""'收支紀錄'!Q""&amp;TO_TEXT(ROW()-$C$72))"),"")</f>
        <v/>
      </c>
      <c r="R140" s="61" t="str">
        <f>IFERROR(__xludf.DUMMYFUNCTION("INDIRECT(""'收支紀錄'!R""&amp;TO_TEXT(ROW()-$C$72))"),"")</f>
        <v/>
      </c>
      <c r="S140" s="61" t="str">
        <f>IFERROR(__xludf.DUMMYFUNCTION("INDIRECT(""'收支紀錄'!S""&amp;TO_TEXT(ROW()-$C$72))"),"")</f>
        <v/>
      </c>
      <c r="T140" s="61" t="str">
        <f>IFERROR(__xludf.DUMMYFUNCTION("INDIRECT(""'收支紀錄'!T""&amp;TO_TEXT(ROW()-$C$72))"),"")</f>
        <v/>
      </c>
      <c r="U140" s="62" t="str">
        <f>IFERROR(__xludf.DUMMYFUNCTION("IF(T140=""是"",TEXTJOIN("""", TRUE, ""$"", TO_TEXT(C140), S140),"""")"),"")</f>
        <v/>
      </c>
    </row>
    <row r="141">
      <c r="A141" s="58">
        <f>IFERROR(__xludf.DUMMYFUNCTION("INDIRECT(""'收支紀錄'!A""&amp;TO_TEXT(ROW()-$C$72))"),45510.97455702546)</f>
        <v>45510.97456</v>
      </c>
      <c r="B141" s="59">
        <f>IFERROR(__xludf.DUMMYFUNCTION("IF(ISBLANK(D141), """", IF(ISDATE(D141), D141, IF(D141=""今天"", A141, IF(D141=""昨天 (-1 day)"", A141-1, IF(D141=""前天 (-2 days)"", A141-2, IF(D141=""明天 (+1 day)"", A141+1, DATE(LEFT(D141,4), MID(D141,5,2), RIGHT(D141,2))))))))"),45509.0)</f>
        <v>45509</v>
      </c>
      <c r="C141" s="60">
        <f>IFERROR(__xludf.DUMMYFUNCTION("INDIRECT(""'收支紀錄'!C""&amp;TO_TEXT(ROW()-$C$72))"),515.0)</f>
        <v>515</v>
      </c>
      <c r="D141" s="59">
        <f>IFERROR(__xludf.DUMMYFUNCTION("INDIRECT(""'收支紀錄'!D""&amp;TO_TEXT(ROW()-$C$72))"),45509.0)</f>
        <v>45509</v>
      </c>
      <c r="E141" s="61" t="str">
        <f>IFERROR(__xludf.DUMMYFUNCTION("INDIRECT(""'收支紀錄'!E""&amp;TO_TEXT(ROW()-$C$72))"),"")</f>
        <v/>
      </c>
      <c r="F141" s="61" t="str">
        <f>IFERROR(__xludf.DUMMYFUNCTION("INDIRECT(""'收支紀錄'!F""&amp;TO_TEXT(ROW()-$C$72))"),"")</f>
        <v/>
      </c>
      <c r="G141" s="61" t="str">
        <f>IFERROR(__xludf.DUMMYFUNCTION("INDIRECT(""'收支紀錄'!G""&amp;TO_TEXT(ROW()-$C$72))"),"")</f>
        <v/>
      </c>
      <c r="H141" s="61" t="str">
        <f>IFERROR(__xludf.DUMMYFUNCTION("INDIRECT(""'收支紀錄'!H""&amp;TO_TEXT(ROW()-$C$72))"),"休閒娛樂")</f>
        <v>休閒娛樂</v>
      </c>
      <c r="I141" s="61" t="str">
        <f>IFERROR(__xludf.DUMMYFUNCTION("INDIRECT(""'收支紀錄'!I""&amp;TO_TEXT(ROW()-$C$72))"),"")</f>
        <v/>
      </c>
      <c r="J141" s="61" t="str">
        <f>IFERROR(__xludf.DUMMYFUNCTION("INDIRECT(""'收支紀錄'!J""&amp;TO_TEXT(ROW()-$C$72))"),"")</f>
        <v/>
      </c>
      <c r="K141" s="61" t="str">
        <f>IFERROR(__xludf.DUMMYFUNCTION("INDIRECT(""'收支紀錄'!K""&amp;TO_TEXT(ROW()-$C$72))"),"")</f>
        <v/>
      </c>
      <c r="L141" s="61" t="str">
        <f>IFERROR(__xludf.DUMMYFUNCTION("INDIRECT(""'收支紀錄'!L""&amp;TO_TEXT(ROW()-$C$72))"),"")</f>
        <v/>
      </c>
      <c r="M141" s="61" t="str">
        <f>IFERROR(__xludf.DUMMYFUNCTION("INDIRECT(""'收支紀錄'!M""&amp;TO_TEXT(ROW()-$C$72))"),"公司福利金")</f>
        <v>公司福利金</v>
      </c>
      <c r="N141" s="61" t="str">
        <f>IFERROR(__xludf.DUMMYFUNCTION("INDIRECT(""'收支紀錄'!N""&amp;TO_TEXT(ROW()-$C$72))"),"")</f>
        <v/>
      </c>
      <c r="O141" s="61" t="str">
        <f>IFERROR(__xludf.DUMMYFUNCTION("INDIRECT(""'收支紀錄'!O""&amp;TO_TEXT(ROW()-$C$72))"),"")</f>
        <v/>
      </c>
      <c r="P141" s="61" t="str">
        <f>IFERROR(__xludf.DUMMYFUNCTION("INDIRECT(""'收支紀錄'!P""&amp;TO_TEXT(ROW()-$C$72))"),"")</f>
        <v/>
      </c>
      <c r="Q141" s="61" t="str">
        <f>IFERROR(__xludf.DUMMYFUNCTION("INDIRECT(""'收支紀錄'!Q""&amp;TO_TEXT(ROW()-$C$72))"),"")</f>
        <v/>
      </c>
      <c r="R141" s="61" t="str">
        <f>IFERROR(__xludf.DUMMYFUNCTION("INDIRECT(""'收支紀錄'!R""&amp;TO_TEXT(ROW()-$C$72))"),"")</f>
        <v/>
      </c>
      <c r="S141" s="61" t="str">
        <f>IFERROR(__xludf.DUMMYFUNCTION("INDIRECT(""'收支紀錄'!S""&amp;TO_TEXT(ROW()-$C$72))"),"")</f>
        <v/>
      </c>
      <c r="T141" s="61" t="str">
        <f>IFERROR(__xludf.DUMMYFUNCTION("INDIRECT(""'收支紀錄'!T""&amp;TO_TEXT(ROW()-$C$72))"),"")</f>
        <v/>
      </c>
      <c r="U141" s="62" t="str">
        <f>IFERROR(__xludf.DUMMYFUNCTION("IF(T141=""是"",TEXTJOIN("""", TRUE, ""$"", TO_TEXT(C141), S141),"""")"),"")</f>
        <v/>
      </c>
    </row>
    <row r="142">
      <c r="A142" s="58">
        <f>IFERROR(__xludf.DUMMYFUNCTION("INDIRECT(""'收支紀錄'!A""&amp;TO_TEXT(ROW()-$C$72))"),45510.974951145836)</f>
        <v>45510.97495</v>
      </c>
      <c r="B142" s="59">
        <f>IFERROR(__xludf.DUMMYFUNCTION("IF(ISBLANK(D142), """", IF(ISDATE(D142), D142, IF(D142=""今天"", A142, IF(D142=""昨天 (-1 day)"", A142-1, IF(D142=""前天 (-2 days)"", A142-2, IF(D142=""明天 (+1 day)"", A142+1, DATE(LEFT(D142,4), MID(D142,5,2), RIGHT(D142,2))))))))"),45509.0)</f>
        <v>45509</v>
      </c>
      <c r="C142" s="60">
        <f>IFERROR(__xludf.DUMMYFUNCTION("INDIRECT(""'收支紀錄'!C""&amp;TO_TEXT(ROW()-$C$72))"),1603.0)</f>
        <v>1603</v>
      </c>
      <c r="D142" s="59">
        <f>IFERROR(__xludf.DUMMYFUNCTION("INDIRECT(""'收支紀錄'!D""&amp;TO_TEXT(ROW()-$C$72))"),45509.0)</f>
        <v>45509</v>
      </c>
      <c r="E142" s="61" t="str">
        <f>IFERROR(__xludf.DUMMYFUNCTION("INDIRECT(""'收支紀錄'!E""&amp;TO_TEXT(ROW()-$C$72))"),"")</f>
        <v/>
      </c>
      <c r="F142" s="61" t="str">
        <f>IFERROR(__xludf.DUMMYFUNCTION("INDIRECT(""'收支紀錄'!F""&amp;TO_TEXT(ROW()-$C$72))"),"")</f>
        <v/>
      </c>
      <c r="G142" s="61" t="str">
        <f>IFERROR(__xludf.DUMMYFUNCTION("INDIRECT(""'收支紀錄'!G""&amp;TO_TEXT(ROW()-$C$72))"),"")</f>
        <v/>
      </c>
      <c r="H142" s="61" t="str">
        <f>IFERROR(__xludf.DUMMYFUNCTION("INDIRECT(""'收支紀錄'!H""&amp;TO_TEXT(ROW()-$C$72))"),"食品酒水")</f>
        <v>食品酒水</v>
      </c>
      <c r="I142" s="61" t="str">
        <f>IFERROR(__xludf.DUMMYFUNCTION("INDIRECT(""'收支紀錄'!I""&amp;TO_TEXT(ROW()-$C$72))"),"前月公司餐費扣款")</f>
        <v>前月公司餐費扣款</v>
      </c>
      <c r="J142" s="61" t="str">
        <f>IFERROR(__xludf.DUMMYFUNCTION("INDIRECT(""'收支紀錄'!J""&amp;TO_TEXT(ROW()-$C$72))"),"")</f>
        <v/>
      </c>
      <c r="K142" s="61" t="str">
        <f>IFERROR(__xludf.DUMMYFUNCTION("INDIRECT(""'收支紀錄'!K""&amp;TO_TEXT(ROW()-$C$72))"),"")</f>
        <v/>
      </c>
      <c r="L142" s="61" t="str">
        <f>IFERROR(__xludf.DUMMYFUNCTION("INDIRECT(""'收支紀錄'!L""&amp;TO_TEXT(ROW()-$C$72))"),"")</f>
        <v/>
      </c>
      <c r="M142" s="61" t="str">
        <f>IFERROR(__xludf.DUMMYFUNCTION("INDIRECT(""'收支紀錄'!M""&amp;TO_TEXT(ROW()-$C$72))"),"")</f>
        <v/>
      </c>
      <c r="N142" s="61" t="str">
        <f>IFERROR(__xludf.DUMMYFUNCTION("INDIRECT(""'收支紀錄'!N""&amp;TO_TEXT(ROW()-$C$72))"),"")</f>
        <v/>
      </c>
      <c r="O142" s="61" t="str">
        <f>IFERROR(__xludf.DUMMYFUNCTION("INDIRECT(""'收支紀錄'!O""&amp;TO_TEXT(ROW()-$C$72))"),"")</f>
        <v/>
      </c>
      <c r="P142" s="61" t="str">
        <f>IFERROR(__xludf.DUMMYFUNCTION("INDIRECT(""'收支紀錄'!P""&amp;TO_TEXT(ROW()-$C$72))"),"")</f>
        <v/>
      </c>
      <c r="Q142" s="61" t="str">
        <f>IFERROR(__xludf.DUMMYFUNCTION("INDIRECT(""'收支紀錄'!Q""&amp;TO_TEXT(ROW()-$C$72))"),"")</f>
        <v/>
      </c>
      <c r="R142" s="61" t="str">
        <f>IFERROR(__xludf.DUMMYFUNCTION("INDIRECT(""'收支紀錄'!R""&amp;TO_TEXT(ROW()-$C$72))"),"")</f>
        <v/>
      </c>
      <c r="S142" s="61" t="str">
        <f>IFERROR(__xludf.DUMMYFUNCTION("INDIRECT(""'收支紀錄'!S""&amp;TO_TEXT(ROW()-$C$72))"),"")</f>
        <v/>
      </c>
      <c r="T142" s="61" t="str">
        <f>IFERROR(__xludf.DUMMYFUNCTION("INDIRECT(""'收支紀錄'!T""&amp;TO_TEXT(ROW()-$C$72))"),"")</f>
        <v/>
      </c>
      <c r="U142" s="62" t="str">
        <f>IFERROR(__xludf.DUMMYFUNCTION("IF(T142=""是"",TEXTJOIN("""", TRUE, ""$"", TO_TEXT(C142), S142),"""")"),"")</f>
        <v/>
      </c>
    </row>
    <row r="143">
      <c r="A143" s="58">
        <f>IFERROR(__xludf.DUMMYFUNCTION("INDIRECT(""'收支紀錄'!A""&amp;TO_TEXT(ROW()-$C$72))"),45510.976270405095)</f>
        <v>45510.97627</v>
      </c>
      <c r="B143" s="59">
        <f>IFERROR(__xludf.DUMMYFUNCTION("IF(ISBLANK(D143), """", IF(ISDATE(D143), D143, IF(D143=""今天"", A143, IF(D143=""昨天 (-1 day)"", A143-1, IF(D143=""前天 (-2 days)"", A143-2, IF(D143=""明天 (+1 day)"", A143+1, DATE(LEFT(D143,4), MID(D143,5,2), RIGHT(D143,2))))))))"),45504.0)</f>
        <v>45504</v>
      </c>
      <c r="C143" s="60">
        <f>IFERROR(__xludf.DUMMYFUNCTION("INDIRECT(""'收支紀錄'!C""&amp;TO_TEXT(ROW()-$C$72))"),3087.0)</f>
        <v>3087</v>
      </c>
      <c r="D143" s="59">
        <f>IFERROR(__xludf.DUMMYFUNCTION("INDIRECT(""'收支紀錄'!D""&amp;TO_TEXT(ROW()-$C$72))"),45504.0)</f>
        <v>45504</v>
      </c>
      <c r="E143" s="61" t="str">
        <f>IFERROR(__xludf.DUMMYFUNCTION("INDIRECT(""'收支紀錄'!E""&amp;TO_TEXT(ROW()-$C$72))"),"")</f>
        <v/>
      </c>
      <c r="F143" s="61" t="str">
        <f>IFERROR(__xludf.DUMMYFUNCTION("INDIRECT(""'收支紀錄'!F""&amp;TO_TEXT(ROW()-$C$72))"),"")</f>
        <v/>
      </c>
      <c r="G143" s="61" t="str">
        <f>IFERROR(__xludf.DUMMYFUNCTION("INDIRECT(""'收支紀錄'!G""&amp;TO_TEXT(ROW()-$C$72))"),"")</f>
        <v/>
      </c>
      <c r="H143" s="61" t="str">
        <f>IFERROR(__xludf.DUMMYFUNCTION("INDIRECT(""'收支紀錄'!H""&amp;TO_TEXT(ROW()-$C$72))"),"投資及其他")</f>
        <v>投資及其他</v>
      </c>
      <c r="I143" s="61" t="str">
        <f>IFERROR(__xludf.DUMMYFUNCTION("INDIRECT(""'收支紀錄'!I""&amp;TO_TEXT(ROW()-$C$72))"),"")</f>
        <v/>
      </c>
      <c r="J143" s="61" t="str">
        <f>IFERROR(__xludf.DUMMYFUNCTION("INDIRECT(""'收支紀錄'!J""&amp;TO_TEXT(ROW()-$C$72))"),"")</f>
        <v/>
      </c>
      <c r="K143" s="61" t="str">
        <f>IFERROR(__xludf.DUMMYFUNCTION("INDIRECT(""'收支紀錄'!K""&amp;TO_TEXT(ROW()-$C$72))"),"")</f>
        <v/>
      </c>
      <c r="L143" s="61" t="str">
        <f>IFERROR(__xludf.DUMMYFUNCTION("INDIRECT(""'收支紀錄'!L""&amp;TO_TEXT(ROW()-$C$72))"),"")</f>
        <v/>
      </c>
      <c r="M143" s="61" t="str">
        <f>IFERROR(__xludf.DUMMYFUNCTION("INDIRECT(""'收支紀錄'!M""&amp;TO_TEXT(ROW()-$C$72))"),"")</f>
        <v/>
      </c>
      <c r="N143" s="61" t="str">
        <f>IFERROR(__xludf.DUMMYFUNCTION("INDIRECT(""'收支紀錄'!N""&amp;TO_TEXT(ROW()-$C$72))"),"")</f>
        <v/>
      </c>
      <c r="O143" s="61" t="str">
        <f>IFERROR(__xludf.DUMMYFUNCTION("INDIRECT(""'收支紀錄'!O""&amp;TO_TEXT(ROW()-$C$72))"),"")</f>
        <v/>
      </c>
      <c r="P143" s="61" t="str">
        <f>IFERROR(__xludf.DUMMYFUNCTION("INDIRECT(""'收支紀錄'!P""&amp;TO_TEXT(ROW()-$C$72))"),"")</f>
        <v/>
      </c>
      <c r="Q143" s="61" t="str">
        <f>IFERROR(__xludf.DUMMYFUNCTION("INDIRECT(""'收支紀錄'!Q""&amp;TO_TEXT(ROW()-$C$72))"),"")</f>
        <v/>
      </c>
      <c r="R143" s="61" t="str">
        <f>IFERROR(__xludf.DUMMYFUNCTION("INDIRECT(""'收支紀錄'!R""&amp;TO_TEXT(ROW()-$C$72))"),"公司認股")</f>
        <v>公司認股</v>
      </c>
      <c r="S143" s="61" t="str">
        <f>IFERROR(__xludf.DUMMYFUNCTION("INDIRECT(""'收支紀錄'!S""&amp;TO_TEXT(ROW()-$C$72))"),"")</f>
        <v/>
      </c>
      <c r="T143" s="61" t="str">
        <f>IFERROR(__xludf.DUMMYFUNCTION("INDIRECT(""'收支紀錄'!T""&amp;TO_TEXT(ROW()-$C$72))"),"")</f>
        <v/>
      </c>
      <c r="U143" s="62" t="str">
        <f>IFERROR(__xludf.DUMMYFUNCTION("IF(T143=""是"",TEXTJOIN("""", TRUE, ""$"", TO_TEXT(C143), S143),"""")"),"")</f>
        <v/>
      </c>
    </row>
    <row r="144">
      <c r="A144" s="58">
        <f>IFERROR(__xludf.DUMMYFUNCTION("INDIRECT(""'收支紀錄'!A""&amp;TO_TEXT(ROW()-$C$72))"),45510.97714347222)</f>
        <v>45510.97714</v>
      </c>
      <c r="B144" s="59">
        <f>IFERROR(__xludf.DUMMYFUNCTION("IF(ISBLANK(D144), """", IF(ISDATE(D144), D144, IF(D144=""今天"", A144, IF(D144=""昨天 (-1 day)"", A144-1, IF(D144=""前天 (-2 days)"", A144-2, IF(D144=""明天 (+1 day)"", A144+1, DATE(LEFT(D144,4), MID(D144,5,2), RIGHT(D144,2))))))))"),45504.0)</f>
        <v>45504</v>
      </c>
      <c r="C144" s="60">
        <f>IFERROR(__xludf.DUMMYFUNCTION("INDIRECT(""'收支紀錄'!C""&amp;TO_TEXT(ROW()-$C$72))"),102900.0)</f>
        <v>102900</v>
      </c>
      <c r="D144" s="59">
        <f>IFERROR(__xludf.DUMMYFUNCTION("INDIRECT(""'收支紀錄'!D""&amp;TO_TEXT(ROW()-$C$72))"),45504.0)</f>
        <v>45504</v>
      </c>
      <c r="E144" s="61" t="str">
        <f>IFERROR(__xludf.DUMMYFUNCTION("INDIRECT(""'收支紀錄'!E""&amp;TO_TEXT(ROW()-$C$72))"),"工作")</f>
        <v>工作</v>
      </c>
      <c r="F144" s="61" t="str">
        <f>IFERROR(__xludf.DUMMYFUNCTION("INDIRECT(""'收支紀錄'!F""&amp;TO_TEXT(ROW()-$C$72))"),"底薪")</f>
        <v>底薪</v>
      </c>
      <c r="G144" s="61" t="str">
        <f>IFERROR(__xludf.DUMMYFUNCTION("INDIRECT(""'收支紀錄'!G""&amp;TO_TEXT(ROW()-$C$72))"),"")</f>
        <v/>
      </c>
      <c r="H144" s="61" t="str">
        <f>IFERROR(__xludf.DUMMYFUNCTION("INDIRECT(""'收支紀錄'!H""&amp;TO_TEXT(ROW()-$C$72))"),"")</f>
        <v/>
      </c>
      <c r="I144" s="61" t="str">
        <f>IFERROR(__xludf.DUMMYFUNCTION("INDIRECT(""'收支紀錄'!I""&amp;TO_TEXT(ROW()-$C$72))"),"")</f>
        <v/>
      </c>
      <c r="J144" s="61" t="str">
        <f>IFERROR(__xludf.DUMMYFUNCTION("INDIRECT(""'收支紀錄'!J""&amp;TO_TEXT(ROW()-$C$72))"),"")</f>
        <v/>
      </c>
      <c r="K144" s="61" t="str">
        <f>IFERROR(__xludf.DUMMYFUNCTION("INDIRECT(""'收支紀錄'!K""&amp;TO_TEXT(ROW()-$C$72))"),"")</f>
        <v/>
      </c>
      <c r="L144" s="61" t="str">
        <f>IFERROR(__xludf.DUMMYFUNCTION("INDIRECT(""'收支紀錄'!L""&amp;TO_TEXT(ROW()-$C$72))"),"")</f>
        <v/>
      </c>
      <c r="M144" s="61" t="str">
        <f>IFERROR(__xludf.DUMMYFUNCTION("INDIRECT(""'收支紀錄'!M""&amp;TO_TEXT(ROW()-$C$72))"),"")</f>
        <v/>
      </c>
      <c r="N144" s="61" t="str">
        <f>IFERROR(__xludf.DUMMYFUNCTION("INDIRECT(""'收支紀錄'!N""&amp;TO_TEXT(ROW()-$C$72))"),"")</f>
        <v/>
      </c>
      <c r="O144" s="61" t="str">
        <f>IFERROR(__xludf.DUMMYFUNCTION("INDIRECT(""'收支紀錄'!O""&amp;TO_TEXT(ROW()-$C$72))"),"")</f>
        <v/>
      </c>
      <c r="P144" s="61" t="str">
        <f>IFERROR(__xludf.DUMMYFUNCTION("INDIRECT(""'收支紀錄'!P""&amp;TO_TEXT(ROW()-$C$72))"),"")</f>
        <v/>
      </c>
      <c r="Q144" s="61" t="str">
        <f>IFERROR(__xludf.DUMMYFUNCTION("INDIRECT(""'收支紀錄'!Q""&amp;TO_TEXT(ROW()-$C$72))"),"")</f>
        <v/>
      </c>
      <c r="R144" s="61" t="str">
        <f>IFERROR(__xludf.DUMMYFUNCTION("INDIRECT(""'收支紀錄'!R""&amp;TO_TEXT(ROW()-$C$72))"),"")</f>
        <v/>
      </c>
      <c r="S144" s="61" t="str">
        <f>IFERROR(__xludf.DUMMYFUNCTION("INDIRECT(""'收支紀錄'!S""&amp;TO_TEXT(ROW()-$C$72))"),"")</f>
        <v/>
      </c>
      <c r="T144" s="61" t="str">
        <f>IFERROR(__xludf.DUMMYFUNCTION("INDIRECT(""'收支紀錄'!T""&amp;TO_TEXT(ROW()-$C$72))"),"")</f>
        <v/>
      </c>
      <c r="U144" s="62" t="str">
        <f>IFERROR(__xludf.DUMMYFUNCTION("IF(T144=""是"",TEXTJOIN("""", TRUE, ""$"", TO_TEXT(C144), S144),"""")"),"")</f>
        <v/>
      </c>
    </row>
    <row r="145">
      <c r="A145" s="58">
        <f>IFERROR(__xludf.DUMMYFUNCTION("INDIRECT(""'收支紀錄'!A""&amp;TO_TEXT(ROW()-$C$72))"),45510.97777534722)</f>
        <v>45510.97778</v>
      </c>
      <c r="B145" s="59">
        <f>IFERROR(__xludf.DUMMYFUNCTION("IF(ISBLANK(D145), """", IF(ISDATE(D145), D145, IF(D145=""今天"", A145, IF(D145=""昨天 (-1 day)"", A145-1, IF(D145=""前天 (-2 days)"", A145-2, IF(D145=""明天 (+1 day)"", A145+1, DATE(LEFT(D145,4), MID(D145,5,2), RIGHT(D145,2))))))))"),45504.0)</f>
        <v>45504</v>
      </c>
      <c r="C145" s="60">
        <f>IFERROR(__xludf.DUMMYFUNCTION("INDIRECT(""'收支紀錄'!C""&amp;TO_TEXT(ROW()-$C$72))"),17150.0)</f>
        <v>17150</v>
      </c>
      <c r="D145" s="59">
        <f>IFERROR(__xludf.DUMMYFUNCTION("INDIRECT(""'收支紀錄'!D""&amp;TO_TEXT(ROW()-$C$72))"),45504.0)</f>
        <v>45504</v>
      </c>
      <c r="E145" s="61" t="str">
        <f>IFERROR(__xludf.DUMMYFUNCTION("INDIRECT(""'收支紀錄'!E""&amp;TO_TEXT(ROW()-$C$72))"),"工作")</f>
        <v>工作</v>
      </c>
      <c r="F145" s="61" t="str">
        <f>IFERROR(__xludf.DUMMYFUNCTION("INDIRECT(""'收支紀錄'!F""&amp;TO_TEXT(ROW()-$C$72))"),"加班/津貼")</f>
        <v>加班/津貼</v>
      </c>
      <c r="G145" s="61" t="str">
        <f>IFERROR(__xludf.DUMMYFUNCTION("INDIRECT(""'收支紀錄'!G""&amp;TO_TEXT(ROW()-$C$72))"),"")</f>
        <v/>
      </c>
      <c r="H145" s="61" t="str">
        <f>IFERROR(__xludf.DUMMYFUNCTION("INDIRECT(""'收支紀錄'!H""&amp;TO_TEXT(ROW()-$C$72))"),"")</f>
        <v/>
      </c>
      <c r="I145" s="61" t="str">
        <f>IFERROR(__xludf.DUMMYFUNCTION("INDIRECT(""'收支紀錄'!I""&amp;TO_TEXT(ROW()-$C$72))"),"")</f>
        <v/>
      </c>
      <c r="J145" s="61" t="str">
        <f>IFERROR(__xludf.DUMMYFUNCTION("INDIRECT(""'收支紀錄'!J""&amp;TO_TEXT(ROW()-$C$72))"),"")</f>
        <v/>
      </c>
      <c r="K145" s="61" t="str">
        <f>IFERROR(__xludf.DUMMYFUNCTION("INDIRECT(""'收支紀錄'!K""&amp;TO_TEXT(ROW()-$C$72))"),"")</f>
        <v/>
      </c>
      <c r="L145" s="61" t="str">
        <f>IFERROR(__xludf.DUMMYFUNCTION("INDIRECT(""'收支紀錄'!L""&amp;TO_TEXT(ROW()-$C$72))"),"")</f>
        <v/>
      </c>
      <c r="M145" s="61" t="str">
        <f>IFERROR(__xludf.DUMMYFUNCTION("INDIRECT(""'收支紀錄'!M""&amp;TO_TEXT(ROW()-$C$72))"),"")</f>
        <v/>
      </c>
      <c r="N145" s="61" t="str">
        <f>IFERROR(__xludf.DUMMYFUNCTION("INDIRECT(""'收支紀錄'!N""&amp;TO_TEXT(ROW()-$C$72))"),"")</f>
        <v/>
      </c>
      <c r="O145" s="61" t="str">
        <f>IFERROR(__xludf.DUMMYFUNCTION("INDIRECT(""'收支紀錄'!O""&amp;TO_TEXT(ROW()-$C$72))"),"")</f>
        <v/>
      </c>
      <c r="P145" s="61" t="str">
        <f>IFERROR(__xludf.DUMMYFUNCTION("INDIRECT(""'收支紀錄'!P""&amp;TO_TEXT(ROW()-$C$72))"),"")</f>
        <v/>
      </c>
      <c r="Q145" s="61" t="str">
        <f>IFERROR(__xludf.DUMMYFUNCTION("INDIRECT(""'收支紀錄'!Q""&amp;TO_TEXT(ROW()-$C$72))"),"")</f>
        <v/>
      </c>
      <c r="R145" s="61" t="str">
        <f>IFERROR(__xludf.DUMMYFUNCTION("INDIRECT(""'收支紀錄'!R""&amp;TO_TEXT(ROW()-$C$72))"),"")</f>
        <v/>
      </c>
      <c r="S145" s="61" t="str">
        <f>IFERROR(__xludf.DUMMYFUNCTION("INDIRECT(""'收支紀錄'!S""&amp;TO_TEXT(ROW()-$C$72))"),"特休折現")</f>
        <v>特休折現</v>
      </c>
      <c r="T145" s="61" t="str">
        <f>IFERROR(__xludf.DUMMYFUNCTION("INDIRECT(""'收支紀錄'!T""&amp;TO_TEXT(ROW()-$C$72))"),"是")</f>
        <v>是</v>
      </c>
      <c r="U145" s="62" t="str">
        <f>IFERROR(__xludf.DUMMYFUNCTION("IF(T145=""是"",TEXTJOIN("""", TRUE, ""$"", TO_TEXT(C145), S145),"""")"),"$17150特休折現")</f>
        <v>$17150特休折現</v>
      </c>
    </row>
    <row r="146">
      <c r="A146" s="58">
        <f>IFERROR(__xludf.DUMMYFUNCTION("INDIRECT(""'收支紀錄'!A""&amp;TO_TEXT(ROW()-$C$72))"),45510.97939866898)</f>
        <v>45510.9794</v>
      </c>
      <c r="B146" s="59">
        <f>IFERROR(__xludf.DUMMYFUNCTION("IF(ISBLANK(D146), """", IF(ISDATE(D146), D146, IF(D146=""今天"", A146, IF(D146=""昨天 (-1 day)"", A146-1, IF(D146=""前天 (-2 days)"", A146-2, IF(D146=""明天 (+1 day)"", A146+1, DATE(LEFT(D146,4), MID(D146,5,2), RIGHT(D146,2))))))))"),45504.0)</f>
        <v>45504</v>
      </c>
      <c r="C146" s="60">
        <f>IFERROR(__xludf.DUMMYFUNCTION("INDIRECT(""'收支紀錄'!C""&amp;TO_TEXT(ROW()-$C$72))"),5000.0)</f>
        <v>5000</v>
      </c>
      <c r="D146" s="59">
        <f>IFERROR(__xludf.DUMMYFUNCTION("INDIRECT(""'收支紀錄'!D""&amp;TO_TEXT(ROW()-$C$72))"),45504.0)</f>
        <v>45504</v>
      </c>
      <c r="E146" s="61" t="str">
        <f>IFERROR(__xludf.DUMMYFUNCTION("INDIRECT(""'收支紀錄'!E""&amp;TO_TEXT(ROW()-$C$72))"),"工作")</f>
        <v>工作</v>
      </c>
      <c r="F146" s="61" t="str">
        <f>IFERROR(__xludf.DUMMYFUNCTION("INDIRECT(""'收支紀錄'!F""&amp;TO_TEXT(ROW()-$C$72))"),"加班/津貼")</f>
        <v>加班/津貼</v>
      </c>
      <c r="G146" s="61" t="str">
        <f>IFERROR(__xludf.DUMMYFUNCTION("INDIRECT(""'收支紀錄'!G""&amp;TO_TEXT(ROW()-$C$72))"),"")</f>
        <v/>
      </c>
      <c r="H146" s="61" t="str">
        <f>IFERROR(__xludf.DUMMYFUNCTION("INDIRECT(""'收支紀錄'!H""&amp;TO_TEXT(ROW()-$C$72))"),"")</f>
        <v/>
      </c>
      <c r="I146" s="61" t="str">
        <f>IFERROR(__xludf.DUMMYFUNCTION("INDIRECT(""'收支紀錄'!I""&amp;TO_TEXT(ROW()-$C$72))"),"")</f>
        <v/>
      </c>
      <c r="J146" s="61" t="str">
        <f>IFERROR(__xludf.DUMMYFUNCTION("INDIRECT(""'收支紀錄'!J""&amp;TO_TEXT(ROW()-$C$72))"),"")</f>
        <v/>
      </c>
      <c r="K146" s="61" t="str">
        <f>IFERROR(__xludf.DUMMYFUNCTION("INDIRECT(""'收支紀錄'!K""&amp;TO_TEXT(ROW()-$C$72))"),"")</f>
        <v/>
      </c>
      <c r="L146" s="61" t="str">
        <f>IFERROR(__xludf.DUMMYFUNCTION("INDIRECT(""'收支紀錄'!L""&amp;TO_TEXT(ROW()-$C$72))"),"")</f>
        <v/>
      </c>
      <c r="M146" s="61" t="str">
        <f>IFERROR(__xludf.DUMMYFUNCTION("INDIRECT(""'收支紀錄'!M""&amp;TO_TEXT(ROW()-$C$72))"),"")</f>
        <v/>
      </c>
      <c r="N146" s="61" t="str">
        <f>IFERROR(__xludf.DUMMYFUNCTION("INDIRECT(""'收支紀錄'!N""&amp;TO_TEXT(ROW()-$C$72))"),"")</f>
        <v/>
      </c>
      <c r="O146" s="61" t="str">
        <f>IFERROR(__xludf.DUMMYFUNCTION("INDIRECT(""'收支紀錄'!O""&amp;TO_TEXT(ROW()-$C$72))"),"")</f>
        <v/>
      </c>
      <c r="P146" s="61" t="str">
        <f>IFERROR(__xludf.DUMMYFUNCTION("INDIRECT(""'收支紀錄'!P""&amp;TO_TEXT(ROW()-$C$72))"),"")</f>
        <v/>
      </c>
      <c r="Q146" s="61" t="str">
        <f>IFERROR(__xludf.DUMMYFUNCTION("INDIRECT(""'收支紀錄'!Q""&amp;TO_TEXT(ROW()-$C$72))"),"")</f>
        <v/>
      </c>
      <c r="R146" s="61" t="str">
        <f>IFERROR(__xludf.DUMMYFUNCTION("INDIRECT(""'收支紀錄'!R""&amp;TO_TEXT(ROW()-$C$72))"),"")</f>
        <v/>
      </c>
      <c r="S146" s="61" t="str">
        <f>IFERROR(__xludf.DUMMYFUNCTION("INDIRECT(""'收支紀錄'!S""&amp;TO_TEXT(ROW()-$C$72))"),"體檢補助")</f>
        <v>體檢補助</v>
      </c>
      <c r="T146" s="61" t="str">
        <f>IFERROR(__xludf.DUMMYFUNCTION("INDIRECT(""'收支紀錄'!T""&amp;TO_TEXT(ROW()-$C$72))"),"是")</f>
        <v>是</v>
      </c>
      <c r="U146" s="62" t="str">
        <f>IFERROR(__xludf.DUMMYFUNCTION("IF(T146=""是"",TEXTJOIN("""", TRUE, ""$"", TO_TEXT(C146), S146),"""")"),"$5000體檢補助")</f>
        <v>$5000體檢補助</v>
      </c>
    </row>
    <row r="147">
      <c r="A147" s="58">
        <f>IFERROR(__xludf.DUMMYFUNCTION("INDIRECT(""'收支紀錄'!A""&amp;TO_TEXT(ROW()-$C$72))"),45510.98145234954)</f>
        <v>45510.98145</v>
      </c>
      <c r="B147" s="59">
        <f>IFERROR(__xludf.DUMMYFUNCTION("IF(ISBLANK(D147), """", IF(ISDATE(D147), D147, IF(D147=""今天"", A147, IF(D147=""昨天 (-1 day)"", A147-1, IF(D147=""前天 (-2 days)"", A147-2, IF(D147=""明天 (+1 day)"", A147+1, DATE(LEFT(D147,4), MID(D147,5,2), RIGHT(D147,2))))))))"),45497.0)</f>
        <v>45497</v>
      </c>
      <c r="C147" s="60">
        <f>IFERROR(__xludf.DUMMYFUNCTION("INDIRECT(""'收支紀錄'!C""&amp;TO_TEXT(ROW()-$C$72))"),1185.0)</f>
        <v>1185</v>
      </c>
      <c r="D147" s="59">
        <f>IFERROR(__xludf.DUMMYFUNCTION("INDIRECT(""'收支紀錄'!D""&amp;TO_TEXT(ROW()-$C$72))"),45497.0)</f>
        <v>45497</v>
      </c>
      <c r="E147" s="61" t="str">
        <f>IFERROR(__xludf.DUMMYFUNCTION("INDIRECT(""'收支紀錄'!E""&amp;TO_TEXT(ROW()-$C$72))"),"其他業外")</f>
        <v>其他業外</v>
      </c>
      <c r="F147" s="61" t="str">
        <f>IFERROR(__xludf.DUMMYFUNCTION("INDIRECT(""'收支紀錄'!F""&amp;TO_TEXT(ROW()-$C$72))"),"")</f>
        <v/>
      </c>
      <c r="G147" s="61" t="str">
        <f>IFERROR(__xludf.DUMMYFUNCTION("INDIRECT(""'收支紀錄'!G""&amp;TO_TEXT(ROW()-$C$72))"),"股票配息")</f>
        <v>股票配息</v>
      </c>
      <c r="H147" s="61" t="str">
        <f>IFERROR(__xludf.DUMMYFUNCTION("INDIRECT(""'收支紀錄'!H""&amp;TO_TEXT(ROW()-$C$72))"),"")</f>
        <v/>
      </c>
      <c r="I147" s="61" t="str">
        <f>IFERROR(__xludf.DUMMYFUNCTION("INDIRECT(""'收支紀錄'!I""&amp;TO_TEXT(ROW()-$C$72))"),"")</f>
        <v/>
      </c>
      <c r="J147" s="61" t="str">
        <f>IFERROR(__xludf.DUMMYFUNCTION("INDIRECT(""'收支紀錄'!J""&amp;TO_TEXT(ROW()-$C$72))"),"")</f>
        <v/>
      </c>
      <c r="K147" s="61" t="str">
        <f>IFERROR(__xludf.DUMMYFUNCTION("INDIRECT(""'收支紀錄'!K""&amp;TO_TEXT(ROW()-$C$72))"),"")</f>
        <v/>
      </c>
      <c r="L147" s="61" t="str">
        <f>IFERROR(__xludf.DUMMYFUNCTION("INDIRECT(""'收支紀錄'!L""&amp;TO_TEXT(ROW()-$C$72))"),"")</f>
        <v/>
      </c>
      <c r="M147" s="61" t="str">
        <f>IFERROR(__xludf.DUMMYFUNCTION("INDIRECT(""'收支紀錄'!M""&amp;TO_TEXT(ROW()-$C$72))"),"")</f>
        <v/>
      </c>
      <c r="N147" s="61" t="str">
        <f>IFERROR(__xludf.DUMMYFUNCTION("INDIRECT(""'收支紀錄'!N""&amp;TO_TEXT(ROW()-$C$72))"),"")</f>
        <v/>
      </c>
      <c r="O147" s="61" t="str">
        <f>IFERROR(__xludf.DUMMYFUNCTION("INDIRECT(""'收支紀錄'!O""&amp;TO_TEXT(ROW()-$C$72))"),"")</f>
        <v/>
      </c>
      <c r="P147" s="61" t="str">
        <f>IFERROR(__xludf.DUMMYFUNCTION("INDIRECT(""'收支紀錄'!P""&amp;TO_TEXT(ROW()-$C$72))"),"")</f>
        <v/>
      </c>
      <c r="Q147" s="61" t="str">
        <f>IFERROR(__xludf.DUMMYFUNCTION("INDIRECT(""'收支紀錄'!Q""&amp;TO_TEXT(ROW()-$C$72))"),"")</f>
        <v/>
      </c>
      <c r="R147" s="61" t="str">
        <f>IFERROR(__xludf.DUMMYFUNCTION("INDIRECT(""'收支紀錄'!R""&amp;TO_TEXT(ROW()-$C$72))"),"")</f>
        <v/>
      </c>
      <c r="S147" s="61" t="str">
        <f>IFERROR(__xludf.DUMMYFUNCTION("INDIRECT(""'收支紀錄'!S""&amp;TO_TEXT(ROW()-$C$72))"),"元大金")</f>
        <v>元大金</v>
      </c>
      <c r="T147" s="61" t="str">
        <f>IFERROR(__xludf.DUMMYFUNCTION("INDIRECT(""'收支紀錄'!T""&amp;TO_TEXT(ROW()-$C$72))"),"是")</f>
        <v>是</v>
      </c>
      <c r="U147" s="62" t="str">
        <f>IFERROR(__xludf.DUMMYFUNCTION("IF(T147=""是"",TEXTJOIN("""", TRUE, ""$"", TO_TEXT(C147), S147),"""")"),"$1185元大金")</f>
        <v>$1185元大金</v>
      </c>
    </row>
    <row r="148">
      <c r="A148" s="58">
        <f>IFERROR(__xludf.DUMMYFUNCTION("INDIRECT(""'收支紀錄'!A""&amp;TO_TEXT(ROW()-$C$72))"),45510.981872881945)</f>
        <v>45510.98187</v>
      </c>
      <c r="B148" s="59">
        <f>IFERROR(__xludf.DUMMYFUNCTION("IF(ISBLANK(D148), """", IF(ISDATE(D148), D148, IF(D148=""今天"", A148, IF(D148=""昨天 (-1 day)"", A148-1, IF(D148=""前天 (-2 days)"", A148-2, IF(D148=""明天 (+1 day)"", A148+1, DATE(LEFT(D148,4), MID(D148,5,2), RIGHT(D148,2))))))))"),45502.0)</f>
        <v>45502</v>
      </c>
      <c r="C148" s="60">
        <f>IFERROR(__xludf.DUMMYFUNCTION("INDIRECT(""'收支紀錄'!C""&amp;TO_TEXT(ROW()-$C$72))"),1990.0)</f>
        <v>1990</v>
      </c>
      <c r="D148" s="59">
        <f>IFERROR(__xludf.DUMMYFUNCTION("INDIRECT(""'收支紀錄'!D""&amp;TO_TEXT(ROW()-$C$72))"),45502.0)</f>
        <v>45502</v>
      </c>
      <c r="E148" s="61" t="str">
        <f>IFERROR(__xludf.DUMMYFUNCTION("INDIRECT(""'收支紀錄'!E""&amp;TO_TEXT(ROW()-$C$72))"),"其他業外")</f>
        <v>其他業外</v>
      </c>
      <c r="F148" s="61" t="str">
        <f>IFERROR(__xludf.DUMMYFUNCTION("INDIRECT(""'收支紀錄'!F""&amp;TO_TEXT(ROW()-$C$72))"),"")</f>
        <v/>
      </c>
      <c r="G148" s="61" t="str">
        <f>IFERROR(__xludf.DUMMYFUNCTION("INDIRECT(""'收支紀錄'!G""&amp;TO_TEXT(ROW()-$C$72))"),"股票配息")</f>
        <v>股票配息</v>
      </c>
      <c r="H148" s="61" t="str">
        <f>IFERROR(__xludf.DUMMYFUNCTION("INDIRECT(""'收支紀錄'!H""&amp;TO_TEXT(ROW()-$C$72))"),"")</f>
        <v/>
      </c>
      <c r="I148" s="61" t="str">
        <f>IFERROR(__xludf.DUMMYFUNCTION("INDIRECT(""'收支紀錄'!I""&amp;TO_TEXT(ROW()-$C$72))"),"")</f>
        <v/>
      </c>
      <c r="J148" s="61" t="str">
        <f>IFERROR(__xludf.DUMMYFUNCTION("INDIRECT(""'收支紀錄'!J""&amp;TO_TEXT(ROW()-$C$72))"),"")</f>
        <v/>
      </c>
      <c r="K148" s="61" t="str">
        <f>IFERROR(__xludf.DUMMYFUNCTION("INDIRECT(""'收支紀錄'!K""&amp;TO_TEXT(ROW()-$C$72))"),"")</f>
        <v/>
      </c>
      <c r="L148" s="61" t="str">
        <f>IFERROR(__xludf.DUMMYFUNCTION("INDIRECT(""'收支紀錄'!L""&amp;TO_TEXT(ROW()-$C$72))"),"")</f>
        <v/>
      </c>
      <c r="M148" s="61" t="str">
        <f>IFERROR(__xludf.DUMMYFUNCTION("INDIRECT(""'收支紀錄'!M""&amp;TO_TEXT(ROW()-$C$72))"),"")</f>
        <v/>
      </c>
      <c r="N148" s="61" t="str">
        <f>IFERROR(__xludf.DUMMYFUNCTION("INDIRECT(""'收支紀錄'!N""&amp;TO_TEXT(ROW()-$C$72))"),"")</f>
        <v/>
      </c>
      <c r="O148" s="61" t="str">
        <f>IFERROR(__xludf.DUMMYFUNCTION("INDIRECT(""'收支紀錄'!O""&amp;TO_TEXT(ROW()-$C$72))"),"")</f>
        <v/>
      </c>
      <c r="P148" s="61" t="str">
        <f>IFERROR(__xludf.DUMMYFUNCTION("INDIRECT(""'收支紀錄'!P""&amp;TO_TEXT(ROW()-$C$72))"),"")</f>
        <v/>
      </c>
      <c r="Q148" s="61" t="str">
        <f>IFERROR(__xludf.DUMMYFUNCTION("INDIRECT(""'收支紀錄'!Q""&amp;TO_TEXT(ROW()-$C$72))"),"")</f>
        <v/>
      </c>
      <c r="R148" s="61" t="str">
        <f>IFERROR(__xludf.DUMMYFUNCTION("INDIRECT(""'收支紀錄'!R""&amp;TO_TEXT(ROW()-$C$72))"),"")</f>
        <v/>
      </c>
      <c r="S148" s="61" t="str">
        <f>IFERROR(__xludf.DUMMYFUNCTION("INDIRECT(""'收支紀錄'!S""&amp;TO_TEXT(ROW()-$C$72))"),"國泰金")</f>
        <v>國泰金</v>
      </c>
      <c r="T148" s="61" t="str">
        <f>IFERROR(__xludf.DUMMYFUNCTION("INDIRECT(""'收支紀錄'!T""&amp;TO_TEXT(ROW()-$C$72))"),"是")</f>
        <v>是</v>
      </c>
      <c r="U148" s="62" t="str">
        <f>IFERROR(__xludf.DUMMYFUNCTION("IF(T148=""是"",TEXTJOIN("""", TRUE, ""$"", TO_TEXT(C148), S148),"""")"),"$1990國泰金")</f>
        <v>$1990國泰金</v>
      </c>
    </row>
    <row r="149">
      <c r="A149" s="58">
        <f>IFERROR(__xludf.DUMMYFUNCTION("INDIRECT(""'收支紀錄'!A""&amp;TO_TEXT(ROW()-$C$72))"),45510.98223849537)</f>
        <v>45510.98224</v>
      </c>
      <c r="B149" s="59">
        <f>IFERROR(__xludf.DUMMYFUNCTION("IF(ISBLANK(D149), """", IF(ISDATE(D149), D149, IF(D149=""今天"", A149, IF(D149=""昨天 (-1 day)"", A149-1, IF(D149=""前天 (-2 days)"", A149-2, IF(D149=""明天 (+1 day)"", A149+1, DATE(LEFT(D149,4), MID(D149,5,2), RIGHT(D149,2))))))))"),45503.0)</f>
        <v>45503</v>
      </c>
      <c r="C149" s="60">
        <f>IFERROR(__xludf.DUMMYFUNCTION("INDIRECT(""'收支紀錄'!C""&amp;TO_TEXT(ROW()-$C$72))"),990.0)</f>
        <v>990</v>
      </c>
      <c r="D149" s="59">
        <f>IFERROR(__xludf.DUMMYFUNCTION("INDIRECT(""'收支紀錄'!D""&amp;TO_TEXT(ROW()-$C$72))"),45503.0)</f>
        <v>45503</v>
      </c>
      <c r="E149" s="61" t="str">
        <f>IFERROR(__xludf.DUMMYFUNCTION("INDIRECT(""'收支紀錄'!E""&amp;TO_TEXT(ROW()-$C$72))"),"其他業外")</f>
        <v>其他業外</v>
      </c>
      <c r="F149" s="61" t="str">
        <f>IFERROR(__xludf.DUMMYFUNCTION("INDIRECT(""'收支紀錄'!F""&amp;TO_TEXT(ROW()-$C$72))"),"")</f>
        <v/>
      </c>
      <c r="G149" s="61" t="str">
        <f>IFERROR(__xludf.DUMMYFUNCTION("INDIRECT(""'收支紀錄'!G""&amp;TO_TEXT(ROW()-$C$72))"),"股票配息")</f>
        <v>股票配息</v>
      </c>
      <c r="H149" s="61" t="str">
        <f>IFERROR(__xludf.DUMMYFUNCTION("INDIRECT(""'收支紀錄'!H""&amp;TO_TEXT(ROW()-$C$72))"),"")</f>
        <v/>
      </c>
      <c r="I149" s="61" t="str">
        <f>IFERROR(__xludf.DUMMYFUNCTION("INDIRECT(""'收支紀錄'!I""&amp;TO_TEXT(ROW()-$C$72))"),"")</f>
        <v/>
      </c>
      <c r="J149" s="61" t="str">
        <f>IFERROR(__xludf.DUMMYFUNCTION("INDIRECT(""'收支紀錄'!J""&amp;TO_TEXT(ROW()-$C$72))"),"")</f>
        <v/>
      </c>
      <c r="K149" s="61" t="str">
        <f>IFERROR(__xludf.DUMMYFUNCTION("INDIRECT(""'收支紀錄'!K""&amp;TO_TEXT(ROW()-$C$72))"),"")</f>
        <v/>
      </c>
      <c r="L149" s="61" t="str">
        <f>IFERROR(__xludf.DUMMYFUNCTION("INDIRECT(""'收支紀錄'!L""&amp;TO_TEXT(ROW()-$C$72))"),"")</f>
        <v/>
      </c>
      <c r="M149" s="61" t="str">
        <f>IFERROR(__xludf.DUMMYFUNCTION("INDIRECT(""'收支紀錄'!M""&amp;TO_TEXT(ROW()-$C$72))"),"")</f>
        <v/>
      </c>
      <c r="N149" s="61" t="str">
        <f>IFERROR(__xludf.DUMMYFUNCTION("INDIRECT(""'收支紀錄'!N""&amp;TO_TEXT(ROW()-$C$72))"),"")</f>
        <v/>
      </c>
      <c r="O149" s="61" t="str">
        <f>IFERROR(__xludf.DUMMYFUNCTION("INDIRECT(""'收支紀錄'!O""&amp;TO_TEXT(ROW()-$C$72))"),"")</f>
        <v/>
      </c>
      <c r="P149" s="61" t="str">
        <f>IFERROR(__xludf.DUMMYFUNCTION("INDIRECT(""'收支紀錄'!P""&amp;TO_TEXT(ROW()-$C$72))"),"")</f>
        <v/>
      </c>
      <c r="Q149" s="61" t="str">
        <f>IFERROR(__xludf.DUMMYFUNCTION("INDIRECT(""'收支紀錄'!Q""&amp;TO_TEXT(ROW()-$C$72))"),"")</f>
        <v/>
      </c>
      <c r="R149" s="61" t="str">
        <f>IFERROR(__xludf.DUMMYFUNCTION("INDIRECT(""'收支紀錄'!R""&amp;TO_TEXT(ROW()-$C$72))"),"")</f>
        <v/>
      </c>
      <c r="S149" s="61" t="str">
        <f>IFERROR(__xludf.DUMMYFUNCTION("INDIRECT(""'收支紀錄'!S""&amp;TO_TEXT(ROW()-$C$72))"),"台泥")</f>
        <v>台泥</v>
      </c>
      <c r="T149" s="61" t="str">
        <f>IFERROR(__xludf.DUMMYFUNCTION("INDIRECT(""'收支紀錄'!T""&amp;TO_TEXT(ROW()-$C$72))"),"是")</f>
        <v>是</v>
      </c>
      <c r="U149" s="62" t="str">
        <f>IFERROR(__xludf.DUMMYFUNCTION("IF(T149=""是"",TEXTJOIN("""", TRUE, ""$"", TO_TEXT(C149), S149),"""")"),"$990台泥")</f>
        <v>$990台泥</v>
      </c>
    </row>
    <row r="150">
      <c r="A150" s="58">
        <f>IFERROR(__xludf.DUMMYFUNCTION("INDIRECT(""'收支紀錄'!A""&amp;TO_TEXT(ROW()-$C$72))"),45510.983025995374)</f>
        <v>45510.98303</v>
      </c>
      <c r="B150" s="59">
        <f>IFERROR(__xludf.DUMMYFUNCTION("IF(ISBLANK(D150), """", IF(ISDATE(D150), D150, IF(D150=""今天"", A150, IF(D150=""昨天 (-1 day)"", A150-1, IF(D150=""前天 (-2 days)"", A150-2, IF(D150=""明天 (+1 day)"", A150+1, DATE(LEFT(D150,4), MID(D150,5,2), RIGHT(D150,2))))))))"),45504.0)</f>
        <v>45504</v>
      </c>
      <c r="C150" s="60">
        <f>IFERROR(__xludf.DUMMYFUNCTION("INDIRECT(""'收支紀錄'!C""&amp;TO_TEXT(ROW()-$C$72))"),1491.0)</f>
        <v>1491</v>
      </c>
      <c r="D150" s="59">
        <f>IFERROR(__xludf.DUMMYFUNCTION("INDIRECT(""'收支紀錄'!D""&amp;TO_TEXT(ROW()-$C$72))"),45504.0)</f>
        <v>45504</v>
      </c>
      <c r="E150" s="61" t="str">
        <f>IFERROR(__xludf.DUMMYFUNCTION("INDIRECT(""'收支紀錄'!E""&amp;TO_TEXT(ROW()-$C$72))"),"其他業外")</f>
        <v>其他業外</v>
      </c>
      <c r="F150" s="61" t="str">
        <f>IFERROR(__xludf.DUMMYFUNCTION("INDIRECT(""'收支紀錄'!F""&amp;TO_TEXT(ROW()-$C$72))"),"")</f>
        <v/>
      </c>
      <c r="G150" s="61" t="str">
        <f>IFERROR(__xludf.DUMMYFUNCTION("INDIRECT(""'收支紀錄'!G""&amp;TO_TEXT(ROW()-$C$72))"),"股票配息")</f>
        <v>股票配息</v>
      </c>
      <c r="H150" s="61" t="str">
        <f>IFERROR(__xludf.DUMMYFUNCTION("INDIRECT(""'收支紀錄'!H""&amp;TO_TEXT(ROW()-$C$72))"),"")</f>
        <v/>
      </c>
      <c r="I150" s="61" t="str">
        <f>IFERROR(__xludf.DUMMYFUNCTION("INDIRECT(""'收支紀錄'!I""&amp;TO_TEXT(ROW()-$C$72))"),"")</f>
        <v/>
      </c>
      <c r="J150" s="61" t="str">
        <f>IFERROR(__xludf.DUMMYFUNCTION("INDIRECT(""'收支紀錄'!J""&amp;TO_TEXT(ROW()-$C$72))"),"")</f>
        <v/>
      </c>
      <c r="K150" s="61" t="str">
        <f>IFERROR(__xludf.DUMMYFUNCTION("INDIRECT(""'收支紀錄'!K""&amp;TO_TEXT(ROW()-$C$72))"),"")</f>
        <v/>
      </c>
      <c r="L150" s="61" t="str">
        <f>IFERROR(__xludf.DUMMYFUNCTION("INDIRECT(""'收支紀錄'!L""&amp;TO_TEXT(ROW()-$C$72))"),"")</f>
        <v/>
      </c>
      <c r="M150" s="61" t="str">
        <f>IFERROR(__xludf.DUMMYFUNCTION("INDIRECT(""'收支紀錄'!M""&amp;TO_TEXT(ROW()-$C$72))"),"")</f>
        <v/>
      </c>
      <c r="N150" s="61" t="str">
        <f>IFERROR(__xludf.DUMMYFUNCTION("INDIRECT(""'收支紀錄'!N""&amp;TO_TEXT(ROW()-$C$72))"),"")</f>
        <v/>
      </c>
      <c r="O150" s="61" t="str">
        <f>IFERROR(__xludf.DUMMYFUNCTION("INDIRECT(""'收支紀錄'!O""&amp;TO_TEXT(ROW()-$C$72))"),"")</f>
        <v/>
      </c>
      <c r="P150" s="61" t="str">
        <f>IFERROR(__xludf.DUMMYFUNCTION("INDIRECT(""'收支紀錄'!P""&amp;TO_TEXT(ROW()-$C$72))"),"")</f>
        <v/>
      </c>
      <c r="Q150" s="61" t="str">
        <f>IFERROR(__xludf.DUMMYFUNCTION("INDIRECT(""'收支紀錄'!Q""&amp;TO_TEXT(ROW()-$C$72))"),"")</f>
        <v/>
      </c>
      <c r="R150" s="61" t="str">
        <f>IFERROR(__xludf.DUMMYFUNCTION("INDIRECT(""'收支紀錄'!R""&amp;TO_TEXT(ROW()-$C$72))"),"")</f>
        <v/>
      </c>
      <c r="S150" s="61" t="str">
        <f>IFERROR(__xludf.DUMMYFUNCTION("INDIRECT(""'收支紀錄'!S""&amp;TO_TEXT(ROW()-$C$72))"),"開發金")</f>
        <v>開發金</v>
      </c>
      <c r="T150" s="61" t="str">
        <f>IFERROR(__xludf.DUMMYFUNCTION("INDIRECT(""'收支紀錄'!T""&amp;TO_TEXT(ROW()-$C$72))"),"是")</f>
        <v>是</v>
      </c>
      <c r="U150" s="62" t="str">
        <f>IFERROR(__xludf.DUMMYFUNCTION("IF(T150=""是"",TEXTJOIN("""", TRUE, ""$"", TO_TEXT(C150), S150),"""")"),"$1491開發金")</f>
        <v>$1491開發金</v>
      </c>
    </row>
    <row r="151">
      <c r="A151" s="58">
        <f>IFERROR(__xludf.DUMMYFUNCTION("INDIRECT(""'收支紀錄'!A""&amp;TO_TEXT(ROW()-$C$72))"),45510.99702755787)</f>
        <v>45510.99703</v>
      </c>
      <c r="B151" s="59">
        <f>IFERROR(__xludf.DUMMYFUNCTION("IF(ISBLANK(D151), """", IF(ISDATE(D151), D151, IF(D151=""今天"", A151, IF(D151=""昨天 (-1 day)"", A151-1, IF(D151=""前天 (-2 days)"", A151-2, IF(D151=""明天 (+1 day)"", A151+1, DATE(LEFT(D151,4), MID(D151,5,2), RIGHT(D151,2))))))))"),45488.0)</f>
        <v>45488</v>
      </c>
      <c r="C151" s="60">
        <f>IFERROR(__xludf.DUMMYFUNCTION("INDIRECT(""'收支紀錄'!C""&amp;TO_TEXT(ROW()-$C$72))"),2370.0)</f>
        <v>2370</v>
      </c>
      <c r="D151" s="59">
        <f>IFERROR(__xludf.DUMMYFUNCTION("INDIRECT(""'收支紀錄'!D""&amp;TO_TEXT(ROW()-$C$72))"),45488.0)</f>
        <v>45488</v>
      </c>
      <c r="E151" s="61" t="str">
        <f>IFERROR(__xludf.DUMMYFUNCTION("INDIRECT(""'收支紀錄'!E""&amp;TO_TEXT(ROW()-$C$72))"),"")</f>
        <v/>
      </c>
      <c r="F151" s="61" t="str">
        <f>IFERROR(__xludf.DUMMYFUNCTION("INDIRECT(""'收支紀錄'!F""&amp;TO_TEXT(ROW()-$C$72))"),"")</f>
        <v/>
      </c>
      <c r="G151" s="61" t="str">
        <f>IFERROR(__xludf.DUMMYFUNCTION("INDIRECT(""'收支紀錄'!G""&amp;TO_TEXT(ROW()-$C$72))"),"")</f>
        <v/>
      </c>
      <c r="H151" s="61" t="str">
        <f>IFERROR(__xludf.DUMMYFUNCTION("INDIRECT(""'收支紀錄'!H""&amp;TO_TEXT(ROW()-$C$72))"),"")</f>
        <v/>
      </c>
      <c r="I151" s="61" t="str">
        <f>IFERROR(__xludf.DUMMYFUNCTION("INDIRECT(""'收支紀錄'!I""&amp;TO_TEXT(ROW()-$C$72))"),"")</f>
        <v/>
      </c>
      <c r="J151" s="61" t="str">
        <f>IFERROR(__xludf.DUMMYFUNCTION("INDIRECT(""'收支紀錄'!J""&amp;TO_TEXT(ROW()-$C$72))"),"")</f>
        <v/>
      </c>
      <c r="K151" s="61" t="str">
        <f>IFERROR(__xludf.DUMMYFUNCTION("INDIRECT(""'收支紀錄'!K""&amp;TO_TEXT(ROW()-$C$72))"),"")</f>
        <v/>
      </c>
      <c r="L151" s="61" t="str">
        <f>IFERROR(__xludf.DUMMYFUNCTION("INDIRECT(""'收支紀錄'!L""&amp;TO_TEXT(ROW()-$C$72))"),"")</f>
        <v/>
      </c>
      <c r="M151" s="61" t="str">
        <f>IFERROR(__xludf.DUMMYFUNCTION("INDIRECT(""'收支紀錄'!M""&amp;TO_TEXT(ROW()-$C$72))"),"")</f>
        <v/>
      </c>
      <c r="N151" s="61" t="str">
        <f>IFERROR(__xludf.DUMMYFUNCTION("INDIRECT(""'收支紀錄'!N""&amp;TO_TEXT(ROW()-$C$72))"),"")</f>
        <v/>
      </c>
      <c r="O151" s="61" t="str">
        <f>IFERROR(__xludf.DUMMYFUNCTION("INDIRECT(""'收支紀錄'!O""&amp;TO_TEXT(ROW()-$C$72))"),"")</f>
        <v/>
      </c>
      <c r="P151" s="61" t="str">
        <f>IFERROR(__xludf.DUMMYFUNCTION("INDIRECT(""'收支紀錄'!P""&amp;TO_TEXT(ROW()-$C$72))"),"")</f>
        <v/>
      </c>
      <c r="Q151" s="61" t="str">
        <f>IFERROR(__xludf.DUMMYFUNCTION("INDIRECT(""'收支紀錄'!Q""&amp;TO_TEXT(ROW()-$C$72))"),"")</f>
        <v/>
      </c>
      <c r="R151" s="61" t="str">
        <f>IFERROR(__xludf.DUMMYFUNCTION("INDIRECT(""'收支紀錄'!R""&amp;TO_TEXT(ROW()-$C$72))"),"")</f>
        <v/>
      </c>
      <c r="S151" s="61" t="str">
        <f>IFERROR(__xludf.DUMMYFUNCTION("INDIRECT(""'收支紀錄'!S""&amp;TO_TEXT(ROW()-$C$72))"),"國泰美債20年")</f>
        <v>國泰美債20年</v>
      </c>
      <c r="T151" s="61" t="str">
        <f>IFERROR(__xludf.DUMMYFUNCTION("INDIRECT(""'收支紀錄'!T""&amp;TO_TEXT(ROW()-$C$72))"),"是")</f>
        <v>是</v>
      </c>
      <c r="U151" s="62" t="str">
        <f>IFERROR(__xludf.DUMMYFUNCTION("IF(T151=""是"",TEXTJOIN("""", TRUE, ""$"", TO_TEXT(C151), S151),"""")"),"$2370國泰美債20年")</f>
        <v>$2370國泰美債20年</v>
      </c>
    </row>
    <row r="152">
      <c r="A152" s="58">
        <f>IFERROR(__xludf.DUMMYFUNCTION("INDIRECT(""'收支紀錄'!A""&amp;TO_TEXT(ROW()-$C$72))"),45510.99891596065)</f>
        <v>45510.99892</v>
      </c>
      <c r="B152" s="59">
        <f>IFERROR(__xludf.DUMMYFUNCTION("IF(ISBLANK(D152), """", IF(ISDATE(D152), D152, IF(D152=""今天"", A152, IF(D152=""昨天 (-1 day)"", A152-1, IF(D152=""前天 (-2 days)"", A152-2, IF(D152=""明天 (+1 day)"", A152+1, DATE(LEFT(D152,4), MID(D152,5,2), RIGHT(D152,2))))))))"),45502.0)</f>
        <v>45502</v>
      </c>
      <c r="C152" s="60">
        <f>IFERROR(__xludf.DUMMYFUNCTION("INDIRECT(""'收支紀錄'!C""&amp;TO_TEXT(ROW()-$C$72))"),1490.0)</f>
        <v>1490</v>
      </c>
      <c r="D152" s="59">
        <f>IFERROR(__xludf.DUMMYFUNCTION("INDIRECT(""'收支紀錄'!D""&amp;TO_TEXT(ROW()-$C$72))"),45502.0)</f>
        <v>45502</v>
      </c>
      <c r="E152" s="61" t="str">
        <f>IFERROR(__xludf.DUMMYFUNCTION("INDIRECT(""'收支紀錄'!E""&amp;TO_TEXT(ROW()-$C$72))"),"其他業外")</f>
        <v>其他業外</v>
      </c>
      <c r="F152" s="61" t="str">
        <f>IFERROR(__xludf.DUMMYFUNCTION("INDIRECT(""'收支紀錄'!F""&amp;TO_TEXT(ROW()-$C$72))"),"")</f>
        <v/>
      </c>
      <c r="G152" s="61" t="str">
        <f>IFERROR(__xludf.DUMMYFUNCTION("INDIRECT(""'收支紀錄'!G""&amp;TO_TEXT(ROW()-$C$72))"),"股票配息")</f>
        <v>股票配息</v>
      </c>
      <c r="H152" s="61" t="str">
        <f>IFERROR(__xludf.DUMMYFUNCTION("INDIRECT(""'收支紀錄'!H""&amp;TO_TEXT(ROW()-$C$72))"),"")</f>
        <v/>
      </c>
      <c r="I152" s="61" t="str">
        <f>IFERROR(__xludf.DUMMYFUNCTION("INDIRECT(""'收支紀錄'!I""&amp;TO_TEXT(ROW()-$C$72))"),"")</f>
        <v/>
      </c>
      <c r="J152" s="61" t="str">
        <f>IFERROR(__xludf.DUMMYFUNCTION("INDIRECT(""'收支紀錄'!J""&amp;TO_TEXT(ROW()-$C$72))"),"")</f>
        <v/>
      </c>
      <c r="K152" s="61" t="str">
        <f>IFERROR(__xludf.DUMMYFUNCTION("INDIRECT(""'收支紀錄'!K""&amp;TO_TEXT(ROW()-$C$72))"),"")</f>
        <v/>
      </c>
      <c r="L152" s="61" t="str">
        <f>IFERROR(__xludf.DUMMYFUNCTION("INDIRECT(""'收支紀錄'!L""&amp;TO_TEXT(ROW()-$C$72))"),"")</f>
        <v/>
      </c>
      <c r="M152" s="61" t="str">
        <f>IFERROR(__xludf.DUMMYFUNCTION("INDIRECT(""'收支紀錄'!M""&amp;TO_TEXT(ROW()-$C$72))"),"")</f>
        <v/>
      </c>
      <c r="N152" s="61" t="str">
        <f>IFERROR(__xludf.DUMMYFUNCTION("INDIRECT(""'收支紀錄'!N""&amp;TO_TEXT(ROW()-$C$72))"),"")</f>
        <v/>
      </c>
      <c r="O152" s="61" t="str">
        <f>IFERROR(__xludf.DUMMYFUNCTION("INDIRECT(""'收支紀錄'!O""&amp;TO_TEXT(ROW()-$C$72))"),"")</f>
        <v/>
      </c>
      <c r="P152" s="61" t="str">
        <f>IFERROR(__xludf.DUMMYFUNCTION("INDIRECT(""'收支紀錄'!P""&amp;TO_TEXT(ROW()-$C$72))"),"")</f>
        <v/>
      </c>
      <c r="Q152" s="61" t="str">
        <f>IFERROR(__xludf.DUMMYFUNCTION("INDIRECT(""'收支紀錄'!Q""&amp;TO_TEXT(ROW()-$C$72))"),"")</f>
        <v/>
      </c>
      <c r="R152" s="61" t="str">
        <f>IFERROR(__xludf.DUMMYFUNCTION("INDIRECT(""'收支紀錄'!R""&amp;TO_TEXT(ROW()-$C$72))"),"")</f>
        <v/>
      </c>
      <c r="S152" s="61" t="str">
        <f>IFERROR(__xludf.DUMMYFUNCTION("INDIRECT(""'收支紀錄'!S""&amp;TO_TEXT(ROW()-$C$72))"),"正隆")</f>
        <v>正隆</v>
      </c>
      <c r="T152" s="61" t="str">
        <f>IFERROR(__xludf.DUMMYFUNCTION("INDIRECT(""'收支紀錄'!T""&amp;TO_TEXT(ROW()-$C$72))"),"是")</f>
        <v>是</v>
      </c>
      <c r="U152" s="62" t="str">
        <f>IFERROR(__xludf.DUMMYFUNCTION("IF(T152=""是"",TEXTJOIN("""", TRUE, ""$"", TO_TEXT(C152), S152),"""")"),"$1490正隆")</f>
        <v>$1490正隆</v>
      </c>
    </row>
    <row r="153">
      <c r="A153" s="58">
        <f>IFERROR(__xludf.DUMMYFUNCTION("INDIRECT(""'收支紀錄'!A""&amp;TO_TEXT(ROW()-$C$72))"),45510.999365509255)</f>
        <v>45510.99937</v>
      </c>
      <c r="B153" s="59">
        <f>IFERROR(__xludf.DUMMYFUNCTION("IF(ISBLANK(D153), """", IF(ISDATE(D153), D153, IF(D153=""今天"", A153, IF(D153=""昨天 (-1 day)"", A153-1, IF(D153=""前天 (-2 days)"", A153-2, IF(D153=""明天 (+1 day)"", A153+1, DATE(LEFT(D153,4), MID(D153,5,2), RIGHT(D153,2))))))))"),45485.0)</f>
        <v>45485</v>
      </c>
      <c r="C153" s="60">
        <f>IFERROR(__xludf.DUMMYFUNCTION("INDIRECT(""'收支紀錄'!C""&amp;TO_TEXT(ROW()-$C$72))"),1390.0)</f>
        <v>1390</v>
      </c>
      <c r="D153" s="59">
        <f>IFERROR(__xludf.DUMMYFUNCTION("INDIRECT(""'收支紀錄'!D""&amp;TO_TEXT(ROW()-$C$72))"),45485.0)</f>
        <v>45485</v>
      </c>
      <c r="E153" s="61" t="str">
        <f>IFERROR(__xludf.DUMMYFUNCTION("INDIRECT(""'收支紀錄'!E""&amp;TO_TEXT(ROW()-$C$72))"),"其他業外")</f>
        <v>其他業外</v>
      </c>
      <c r="F153" s="61" t="str">
        <f>IFERROR(__xludf.DUMMYFUNCTION("INDIRECT(""'收支紀錄'!F""&amp;TO_TEXT(ROW()-$C$72))"),"")</f>
        <v/>
      </c>
      <c r="G153" s="61" t="str">
        <f>IFERROR(__xludf.DUMMYFUNCTION("INDIRECT(""'收支紀錄'!G""&amp;TO_TEXT(ROW()-$C$72))"),"股票配息")</f>
        <v>股票配息</v>
      </c>
      <c r="H153" s="61" t="str">
        <f>IFERROR(__xludf.DUMMYFUNCTION("INDIRECT(""'收支紀錄'!H""&amp;TO_TEXT(ROW()-$C$72))"),"")</f>
        <v/>
      </c>
      <c r="I153" s="61" t="str">
        <f>IFERROR(__xludf.DUMMYFUNCTION("INDIRECT(""'收支紀錄'!I""&amp;TO_TEXT(ROW()-$C$72))"),"")</f>
        <v/>
      </c>
      <c r="J153" s="61" t="str">
        <f>IFERROR(__xludf.DUMMYFUNCTION("INDIRECT(""'收支紀錄'!J""&amp;TO_TEXT(ROW()-$C$72))"),"")</f>
        <v/>
      </c>
      <c r="K153" s="61" t="str">
        <f>IFERROR(__xludf.DUMMYFUNCTION("INDIRECT(""'收支紀錄'!K""&amp;TO_TEXT(ROW()-$C$72))"),"")</f>
        <v/>
      </c>
      <c r="L153" s="61" t="str">
        <f>IFERROR(__xludf.DUMMYFUNCTION("INDIRECT(""'收支紀錄'!L""&amp;TO_TEXT(ROW()-$C$72))"),"")</f>
        <v/>
      </c>
      <c r="M153" s="61" t="str">
        <f>IFERROR(__xludf.DUMMYFUNCTION("INDIRECT(""'收支紀錄'!M""&amp;TO_TEXT(ROW()-$C$72))"),"")</f>
        <v/>
      </c>
      <c r="N153" s="61" t="str">
        <f>IFERROR(__xludf.DUMMYFUNCTION("INDIRECT(""'收支紀錄'!N""&amp;TO_TEXT(ROW()-$C$72))"),"")</f>
        <v/>
      </c>
      <c r="O153" s="61" t="str">
        <f>IFERROR(__xludf.DUMMYFUNCTION("INDIRECT(""'收支紀錄'!O""&amp;TO_TEXT(ROW()-$C$72))"),"")</f>
        <v/>
      </c>
      <c r="P153" s="61" t="str">
        <f>IFERROR(__xludf.DUMMYFUNCTION("INDIRECT(""'收支紀錄'!P""&amp;TO_TEXT(ROW()-$C$72))"),"")</f>
        <v/>
      </c>
      <c r="Q153" s="61" t="str">
        <f>IFERROR(__xludf.DUMMYFUNCTION("INDIRECT(""'收支紀錄'!Q""&amp;TO_TEXT(ROW()-$C$72))"),"")</f>
        <v/>
      </c>
      <c r="R153" s="61" t="str">
        <f>IFERROR(__xludf.DUMMYFUNCTION("INDIRECT(""'收支紀錄'!R""&amp;TO_TEXT(ROW()-$C$72))"),"")</f>
        <v/>
      </c>
      <c r="S153" s="61" t="str">
        <f>IFERROR(__xludf.DUMMYFUNCTION("INDIRECT(""'收支紀錄'!S""&amp;TO_TEXT(ROW()-$C$72))"),"中再保")</f>
        <v>中再保</v>
      </c>
      <c r="T153" s="61" t="str">
        <f>IFERROR(__xludf.DUMMYFUNCTION("INDIRECT(""'收支紀錄'!T""&amp;TO_TEXT(ROW()-$C$72))"),"是")</f>
        <v>是</v>
      </c>
      <c r="U153" s="62" t="str">
        <f>IFERROR(__xludf.DUMMYFUNCTION("IF(T153=""是"",TEXTJOIN("""", TRUE, ""$"", TO_TEXT(C153), S153),"""")"),"$1390中再保")</f>
        <v>$1390中再保</v>
      </c>
    </row>
    <row r="154">
      <c r="A154" s="58">
        <f>IFERROR(__xludf.DUMMYFUNCTION("INDIRECT(""'收支紀錄'!A""&amp;TO_TEXT(ROW()-$C$72))"),45511.00472190972)</f>
        <v>45511.00472</v>
      </c>
      <c r="B154" s="59">
        <f>IFERROR(__xludf.DUMMYFUNCTION("IF(ISBLANK(D154), """", IF(ISDATE(D154), D154, IF(D154=""今天"", A154, IF(D154=""昨天 (-1 day)"", A154-1, IF(D154=""前天 (-2 days)"", A154-2, IF(D154=""明天 (+1 day)"", A154+1, DATE(LEFT(D154,4), MID(D154,5,2), RIGHT(D154,2))))))))"),45504.0)</f>
        <v>45504</v>
      </c>
      <c r="C154" s="60">
        <f>IFERROR(__xludf.DUMMYFUNCTION("INDIRECT(""'收支紀錄'!C""&amp;TO_TEXT(ROW()-$C$72))"),100000.0)</f>
        <v>100000</v>
      </c>
      <c r="D154" s="59">
        <f>IFERROR(__xludf.DUMMYFUNCTION("INDIRECT(""'收支紀錄'!D""&amp;TO_TEXT(ROW()-$C$72))"),45504.0)</f>
        <v>45504</v>
      </c>
      <c r="E154" s="61" t="str">
        <f>IFERROR(__xludf.DUMMYFUNCTION("INDIRECT(""'收支紀錄'!E""&amp;TO_TEXT(ROW()-$C$72))"),"工作")</f>
        <v>工作</v>
      </c>
      <c r="F154" s="61" t="str">
        <f>IFERROR(__xludf.DUMMYFUNCTION("INDIRECT(""'收支紀錄'!F""&amp;TO_TEXT(ROW()-$C$72))"),"年終/績效")</f>
        <v>年終/績效</v>
      </c>
      <c r="G154" s="61" t="str">
        <f>IFERROR(__xludf.DUMMYFUNCTION("INDIRECT(""'收支紀錄'!G""&amp;TO_TEXT(ROW()-$C$72))"),"")</f>
        <v/>
      </c>
      <c r="H154" s="61" t="str">
        <f>IFERROR(__xludf.DUMMYFUNCTION("INDIRECT(""'收支紀錄'!H""&amp;TO_TEXT(ROW()-$C$72))"),"")</f>
        <v/>
      </c>
      <c r="I154" s="61" t="str">
        <f>IFERROR(__xludf.DUMMYFUNCTION("INDIRECT(""'收支紀錄'!I""&amp;TO_TEXT(ROW()-$C$72))"),"")</f>
        <v/>
      </c>
      <c r="J154" s="61" t="str">
        <f>IFERROR(__xludf.DUMMYFUNCTION("INDIRECT(""'收支紀錄'!J""&amp;TO_TEXT(ROW()-$C$72))"),"")</f>
        <v/>
      </c>
      <c r="K154" s="61" t="str">
        <f>IFERROR(__xludf.DUMMYFUNCTION("INDIRECT(""'收支紀錄'!K""&amp;TO_TEXT(ROW()-$C$72))"),"")</f>
        <v/>
      </c>
      <c r="L154" s="61" t="str">
        <f>IFERROR(__xludf.DUMMYFUNCTION("INDIRECT(""'收支紀錄'!L""&amp;TO_TEXT(ROW()-$C$72))"),"")</f>
        <v/>
      </c>
      <c r="M154" s="61" t="str">
        <f>IFERROR(__xludf.DUMMYFUNCTION("INDIRECT(""'收支紀錄'!M""&amp;TO_TEXT(ROW()-$C$72))"),"")</f>
        <v/>
      </c>
      <c r="N154" s="61" t="str">
        <f>IFERROR(__xludf.DUMMYFUNCTION("INDIRECT(""'收支紀錄'!N""&amp;TO_TEXT(ROW()-$C$72))"),"")</f>
        <v/>
      </c>
      <c r="O154" s="61" t="str">
        <f>IFERROR(__xludf.DUMMYFUNCTION("INDIRECT(""'收支紀錄'!O""&amp;TO_TEXT(ROW()-$C$72))"),"")</f>
        <v/>
      </c>
      <c r="P154" s="61" t="str">
        <f>IFERROR(__xludf.DUMMYFUNCTION("INDIRECT(""'收支紀錄'!P""&amp;TO_TEXT(ROW()-$C$72))"),"")</f>
        <v/>
      </c>
      <c r="Q154" s="61" t="str">
        <f>IFERROR(__xludf.DUMMYFUNCTION("INDIRECT(""'收支紀錄'!Q""&amp;TO_TEXT(ROW()-$C$72))"),"")</f>
        <v/>
      </c>
      <c r="R154" s="61" t="str">
        <f>IFERROR(__xludf.DUMMYFUNCTION("INDIRECT(""'收支紀錄'!R""&amp;TO_TEXT(ROW()-$C$72))"),"")</f>
        <v/>
      </c>
      <c r="S154" s="61" t="str">
        <f>IFERROR(__xludf.DUMMYFUNCTION("INDIRECT(""'收支紀錄'!S""&amp;TO_TEXT(ROW()-$C$72))"),"七月獎金")</f>
        <v>七月獎金</v>
      </c>
      <c r="T154" s="61" t="str">
        <f>IFERROR(__xludf.DUMMYFUNCTION("INDIRECT(""'收支紀錄'!T""&amp;TO_TEXT(ROW()-$C$72))"),"是")</f>
        <v>是</v>
      </c>
      <c r="U154" s="62" t="str">
        <f>IFERROR(__xludf.DUMMYFUNCTION("IF(T154=""是"",TEXTJOIN("""", TRUE, ""$"", TO_TEXT(C154), S154),"""")"),"$100000七月獎金")</f>
        <v>$100000七月獎金</v>
      </c>
    </row>
    <row r="155">
      <c r="A155" s="58">
        <f>IFERROR(__xludf.DUMMYFUNCTION("INDIRECT(""'收支紀錄'!A""&amp;TO_TEXT(ROW()-$C$72))"),45511.00564164352)</f>
        <v>45511.00564</v>
      </c>
      <c r="B155" s="59">
        <f>IFERROR(__xludf.DUMMYFUNCTION("IF(ISBLANK(D155), """", IF(ISDATE(D155), D155, IF(D155=""今天"", A155, IF(D155=""昨天 (-1 day)"", A155-1, IF(D155=""前天 (-2 days)"", A155-2, IF(D155=""明天 (+1 day)"", A155+1, DATE(LEFT(D155,4), MID(D155,5,2), RIGHT(D155,2))))))))"),45504.0)</f>
        <v>45504</v>
      </c>
      <c r="C155" s="60">
        <f>IFERROR(__xludf.DUMMYFUNCTION("INDIRECT(""'收支紀錄'!C""&amp;TO_TEXT(ROW()-$C$72))"),7110.0)</f>
        <v>7110</v>
      </c>
      <c r="D155" s="59">
        <f>IFERROR(__xludf.DUMMYFUNCTION("INDIRECT(""'收支紀錄'!D""&amp;TO_TEXT(ROW()-$C$72))"),45504.0)</f>
        <v>45504</v>
      </c>
      <c r="E155" s="61" t="str">
        <f>IFERROR(__xludf.DUMMYFUNCTION("INDIRECT(""'收支紀錄'!E""&amp;TO_TEXT(ROW()-$C$72))"),"")</f>
        <v/>
      </c>
      <c r="F155" s="61" t="str">
        <f>IFERROR(__xludf.DUMMYFUNCTION("INDIRECT(""'收支紀錄'!F""&amp;TO_TEXT(ROW()-$C$72))"),"")</f>
        <v/>
      </c>
      <c r="G155" s="61" t="str">
        <f>IFERROR(__xludf.DUMMYFUNCTION("INDIRECT(""'收支紀錄'!G""&amp;TO_TEXT(ROW()-$C$72))"),"")</f>
        <v/>
      </c>
      <c r="H155" s="61" t="str">
        <f>IFERROR(__xludf.DUMMYFUNCTION("INDIRECT(""'收支紀錄'!H""&amp;TO_TEXT(ROW()-$C$72))"),"稅金保險")</f>
        <v>稅金保險</v>
      </c>
      <c r="I155" s="61" t="str">
        <f>IFERROR(__xludf.DUMMYFUNCTION("INDIRECT(""'收支紀錄'!I""&amp;TO_TEXT(ROW()-$C$72))"),"")</f>
        <v/>
      </c>
      <c r="J155" s="61" t="str">
        <f>IFERROR(__xludf.DUMMYFUNCTION("INDIRECT(""'收支紀錄'!J""&amp;TO_TEXT(ROW()-$C$72))"),"")</f>
        <v/>
      </c>
      <c r="K155" s="61" t="str">
        <f>IFERROR(__xludf.DUMMYFUNCTION("INDIRECT(""'收支紀錄'!K""&amp;TO_TEXT(ROW()-$C$72))"),"")</f>
        <v/>
      </c>
      <c r="L155" s="61" t="str">
        <f>IFERROR(__xludf.DUMMYFUNCTION("INDIRECT(""'收支紀錄'!L""&amp;TO_TEXT(ROW()-$C$72))"),"")</f>
        <v/>
      </c>
      <c r="M155" s="61" t="str">
        <f>IFERROR(__xludf.DUMMYFUNCTION("INDIRECT(""'收支紀錄'!M""&amp;TO_TEXT(ROW()-$C$72))"),"")</f>
        <v/>
      </c>
      <c r="N155" s="61" t="str">
        <f>IFERROR(__xludf.DUMMYFUNCTION("INDIRECT(""'收支紀錄'!N""&amp;TO_TEXT(ROW()-$C$72))"),"稅金")</f>
        <v>稅金</v>
      </c>
      <c r="O155" s="61" t="str">
        <f>IFERROR(__xludf.DUMMYFUNCTION("INDIRECT(""'收支紀錄'!O""&amp;TO_TEXT(ROW()-$C$72))"),"")</f>
        <v/>
      </c>
      <c r="P155" s="61" t="str">
        <f>IFERROR(__xludf.DUMMYFUNCTION("INDIRECT(""'收支紀錄'!P""&amp;TO_TEXT(ROW()-$C$72))"),"")</f>
        <v/>
      </c>
      <c r="Q155" s="61" t="str">
        <f>IFERROR(__xludf.DUMMYFUNCTION("INDIRECT(""'收支紀錄'!Q""&amp;TO_TEXT(ROW()-$C$72))"),"")</f>
        <v/>
      </c>
      <c r="R155" s="61" t="str">
        <f>IFERROR(__xludf.DUMMYFUNCTION("INDIRECT(""'收支紀錄'!R""&amp;TO_TEXT(ROW()-$C$72))"),"")</f>
        <v/>
      </c>
      <c r="S155" s="61" t="str">
        <f>IFERROR(__xludf.DUMMYFUNCTION("INDIRECT(""'收支紀錄'!S""&amp;TO_TEXT(ROW()-$C$72))"),"獎金稅")</f>
        <v>獎金稅</v>
      </c>
      <c r="T155" s="61" t="str">
        <f>IFERROR(__xludf.DUMMYFUNCTION("INDIRECT(""'收支紀錄'!T""&amp;TO_TEXT(ROW()-$C$72))"),"是")</f>
        <v>是</v>
      </c>
      <c r="U155" s="62" t="str">
        <f>IFERROR(__xludf.DUMMYFUNCTION("IF(T155=""是"",TEXTJOIN("""", TRUE, ""$"", TO_TEXT(C155), S155),"""")"),"$7110獎金稅")</f>
        <v>$7110獎金稅</v>
      </c>
    </row>
    <row r="156">
      <c r="A156" s="58">
        <f>IFERROR(__xludf.DUMMYFUNCTION("INDIRECT(""'收支紀錄'!A""&amp;TO_TEXT(ROW()-$C$72))"),45511.00784012731)</f>
        <v>45511.00784</v>
      </c>
      <c r="B156" s="59">
        <f>IFERROR(__xludf.DUMMYFUNCTION("IF(ISBLANK(D156), """", IF(ISDATE(D156), D156, IF(D156=""今天"", A156, IF(D156=""昨天 (-1 day)"", A156-1, IF(D156=""前天 (-2 days)"", A156-2, IF(D156=""明天 (+1 day)"", A156+1, DATE(LEFT(D156,4), MID(D156,5,2), RIGHT(D156,2))))))))"),45502.0)</f>
        <v>45502</v>
      </c>
      <c r="C156" s="60">
        <f>IFERROR(__xludf.DUMMYFUNCTION("INDIRECT(""'收支紀錄'!C""&amp;TO_TEXT(ROW()-$C$72))"),800.0)</f>
        <v>800</v>
      </c>
      <c r="D156" s="59">
        <f>IFERROR(__xludf.DUMMYFUNCTION("INDIRECT(""'收支紀錄'!D""&amp;TO_TEXT(ROW()-$C$72))"),45502.0)</f>
        <v>45502</v>
      </c>
      <c r="E156" s="61" t="str">
        <f>IFERROR(__xludf.DUMMYFUNCTION("INDIRECT(""'收支紀錄'!E""&amp;TO_TEXT(ROW()-$C$72))"),"")</f>
        <v/>
      </c>
      <c r="F156" s="61" t="str">
        <f>IFERROR(__xludf.DUMMYFUNCTION("INDIRECT(""'收支紀錄'!F""&amp;TO_TEXT(ROW()-$C$72))"),"")</f>
        <v/>
      </c>
      <c r="G156" s="61" t="str">
        <f>IFERROR(__xludf.DUMMYFUNCTION("INDIRECT(""'收支紀錄'!G""&amp;TO_TEXT(ROW()-$C$72))"),"")</f>
        <v/>
      </c>
      <c r="H156" s="61" t="str">
        <f>IFERROR(__xludf.DUMMYFUNCTION("INDIRECT(""'收支紀錄'!H""&amp;TO_TEXT(ROW()-$C$72))"),"行車交通")</f>
        <v>行車交通</v>
      </c>
      <c r="I156" s="61" t="str">
        <f>IFERROR(__xludf.DUMMYFUNCTION("INDIRECT(""'收支紀錄'!I""&amp;TO_TEXT(ROW()-$C$72))"),"")</f>
        <v/>
      </c>
      <c r="J156" s="61" t="str">
        <f>IFERROR(__xludf.DUMMYFUNCTION("INDIRECT(""'收支紀錄'!J""&amp;TO_TEXT(ROW()-$C$72))"),"")</f>
        <v/>
      </c>
      <c r="K156" s="61" t="str">
        <f>IFERROR(__xludf.DUMMYFUNCTION("INDIRECT(""'收支紀錄'!K""&amp;TO_TEXT(ROW()-$C$72))"),"")</f>
        <v/>
      </c>
      <c r="L156" s="61" t="str">
        <f>IFERROR(__xludf.DUMMYFUNCTION("INDIRECT(""'收支紀錄'!L""&amp;TO_TEXT(ROW()-$C$72))"),"Etag")</f>
        <v>Etag</v>
      </c>
      <c r="M156" s="61" t="str">
        <f>IFERROR(__xludf.DUMMYFUNCTION("INDIRECT(""'收支紀錄'!M""&amp;TO_TEXT(ROW()-$C$72))"),"")</f>
        <v/>
      </c>
      <c r="N156" s="61" t="str">
        <f>IFERROR(__xludf.DUMMYFUNCTION("INDIRECT(""'收支紀錄'!N""&amp;TO_TEXT(ROW()-$C$72))"),"")</f>
        <v/>
      </c>
      <c r="O156" s="61" t="str">
        <f>IFERROR(__xludf.DUMMYFUNCTION("INDIRECT(""'收支紀錄'!O""&amp;TO_TEXT(ROW()-$C$72))"),"")</f>
        <v/>
      </c>
      <c r="P156" s="61" t="str">
        <f>IFERROR(__xludf.DUMMYFUNCTION("INDIRECT(""'收支紀錄'!P""&amp;TO_TEXT(ROW()-$C$72))"),"")</f>
        <v/>
      </c>
      <c r="Q156" s="61" t="str">
        <f>IFERROR(__xludf.DUMMYFUNCTION("INDIRECT(""'收支紀錄'!Q""&amp;TO_TEXT(ROW()-$C$72))"),"")</f>
        <v/>
      </c>
      <c r="R156" s="61" t="str">
        <f>IFERROR(__xludf.DUMMYFUNCTION("INDIRECT(""'收支紀錄'!R""&amp;TO_TEXT(ROW()-$C$72))"),"")</f>
        <v/>
      </c>
      <c r="S156" s="61" t="str">
        <f>IFERROR(__xludf.DUMMYFUNCTION("INDIRECT(""'收支紀錄'!S""&amp;TO_TEXT(ROW()-$C$72))"),"")</f>
        <v/>
      </c>
      <c r="T156" s="61" t="str">
        <f>IFERROR(__xludf.DUMMYFUNCTION("INDIRECT(""'收支紀錄'!T""&amp;TO_TEXT(ROW()-$C$72))"),"")</f>
        <v/>
      </c>
      <c r="U156" s="62" t="str">
        <f>IFERROR(__xludf.DUMMYFUNCTION("IF(T156=""是"",TEXTJOIN("""", TRUE, ""$"", TO_TEXT(C156), S156),"""")"),"")</f>
        <v/>
      </c>
    </row>
    <row r="157">
      <c r="A157" s="58">
        <f>IFERROR(__xludf.DUMMYFUNCTION("INDIRECT(""'收支紀錄'!A""&amp;TO_TEXT(ROW()-$C$72))"),45519.38315199074)</f>
        <v>45519.38315</v>
      </c>
      <c r="B157" s="59">
        <f>IFERROR(__xludf.DUMMYFUNCTION("IF(ISBLANK(D157), """", IF(ISDATE(D157), D157, IF(D157=""今天"", A157, IF(D157=""昨天 (-1 day)"", A157-1, IF(D157=""前天 (-2 days)"", A157-2, IF(D157=""明天 (+1 day)"", A157+1, DATE(LEFT(D157,4), MID(D157,5,2), RIGHT(D157,2))))))))"),45519.0)</f>
        <v>45519</v>
      </c>
      <c r="C157" s="60">
        <f>IFERROR(__xludf.DUMMYFUNCTION("INDIRECT(""'收支紀錄'!C""&amp;TO_TEXT(ROW()-$C$72))"),1000.0)</f>
        <v>1000</v>
      </c>
      <c r="D157" s="59">
        <f>IFERROR(__xludf.DUMMYFUNCTION("INDIRECT(""'收支紀錄'!D""&amp;TO_TEXT(ROW()-$C$72))"),45519.0)</f>
        <v>45519</v>
      </c>
      <c r="E157" s="61" t="str">
        <f>IFERROR(__xludf.DUMMYFUNCTION("INDIRECT(""'收支紀錄'!E""&amp;TO_TEXT(ROW()-$C$72))"),"工作")</f>
        <v>工作</v>
      </c>
      <c r="F157" s="61" t="str">
        <f>IFERROR(__xludf.DUMMYFUNCTION("INDIRECT(""'收支紀錄'!F""&amp;TO_TEXT(ROW()-$C$72))"),"加班/津貼")</f>
        <v>加班/津貼</v>
      </c>
      <c r="G157" s="61" t="str">
        <f>IFERROR(__xludf.DUMMYFUNCTION("INDIRECT(""'收支紀錄'!G""&amp;TO_TEXT(ROW()-$C$72))"),"")</f>
        <v/>
      </c>
      <c r="H157" s="61" t="str">
        <f>IFERROR(__xludf.DUMMYFUNCTION("INDIRECT(""'收支紀錄'!H""&amp;TO_TEXT(ROW()-$C$72))"),"")</f>
        <v/>
      </c>
      <c r="I157" s="61" t="str">
        <f>IFERROR(__xludf.DUMMYFUNCTION("INDIRECT(""'收支紀錄'!I""&amp;TO_TEXT(ROW()-$C$72))"),"")</f>
        <v/>
      </c>
      <c r="J157" s="61" t="str">
        <f>IFERROR(__xludf.DUMMYFUNCTION("INDIRECT(""'收支紀錄'!J""&amp;TO_TEXT(ROW()-$C$72))"),"")</f>
        <v/>
      </c>
      <c r="K157" s="61" t="str">
        <f>IFERROR(__xludf.DUMMYFUNCTION("INDIRECT(""'收支紀錄'!K""&amp;TO_TEXT(ROW()-$C$72))"),"")</f>
        <v/>
      </c>
      <c r="L157" s="61" t="str">
        <f>IFERROR(__xludf.DUMMYFUNCTION("INDIRECT(""'收支紀錄'!L""&amp;TO_TEXT(ROW()-$C$72))"),"")</f>
        <v/>
      </c>
      <c r="M157" s="61" t="str">
        <f>IFERROR(__xludf.DUMMYFUNCTION("INDIRECT(""'收支紀錄'!M""&amp;TO_TEXT(ROW()-$C$72))"),"")</f>
        <v/>
      </c>
      <c r="N157" s="61" t="str">
        <f>IFERROR(__xludf.DUMMYFUNCTION("INDIRECT(""'收支紀錄'!N""&amp;TO_TEXT(ROW()-$C$72))"),"")</f>
        <v/>
      </c>
      <c r="O157" s="61" t="str">
        <f>IFERROR(__xludf.DUMMYFUNCTION("INDIRECT(""'收支紀錄'!O""&amp;TO_TEXT(ROW()-$C$72))"),"")</f>
        <v/>
      </c>
      <c r="P157" s="61" t="str">
        <f>IFERROR(__xludf.DUMMYFUNCTION("INDIRECT(""'收支紀錄'!P""&amp;TO_TEXT(ROW()-$C$72))"),"")</f>
        <v/>
      </c>
      <c r="Q157" s="61" t="str">
        <f>IFERROR(__xludf.DUMMYFUNCTION("INDIRECT(""'收支紀錄'!Q""&amp;TO_TEXT(ROW()-$C$72))"),"")</f>
        <v/>
      </c>
      <c r="R157" s="61" t="str">
        <f>IFERROR(__xludf.DUMMYFUNCTION("INDIRECT(""'收支紀錄'!R""&amp;TO_TEXT(ROW()-$C$72))"),"")</f>
        <v/>
      </c>
      <c r="S157" s="61" t="str">
        <f>IFERROR(__xludf.DUMMYFUNCTION("INDIRECT(""'收支紀錄'!S""&amp;TO_TEXT(ROW()-$C$72))"),"生日禮金")</f>
        <v>生日禮金</v>
      </c>
      <c r="T157" s="61" t="str">
        <f>IFERROR(__xludf.DUMMYFUNCTION("INDIRECT(""'收支紀錄'!T""&amp;TO_TEXT(ROW()-$C$72))"),"是")</f>
        <v>是</v>
      </c>
      <c r="U157" s="62" t="str">
        <f>IFERROR(__xludf.DUMMYFUNCTION("IF(T157=""是"",TEXTJOIN("""", TRUE, ""$"", TO_TEXT(C157), S157),"""")"),"$1000生日禮金")</f>
        <v>$1000生日禮金</v>
      </c>
    </row>
    <row r="158">
      <c r="A158" s="58">
        <f>IFERROR(__xludf.DUMMYFUNCTION("INDIRECT(""'收支紀錄'!A""&amp;TO_TEXT(ROW()-$C$72))"),45521.41338420138)</f>
        <v>45521.41338</v>
      </c>
      <c r="B158" s="59">
        <f>IFERROR(__xludf.DUMMYFUNCTION("IF(ISBLANK(D158), """", IF(ISDATE(D158), D158, IF(D158=""今天"", A158, IF(D158=""昨天 (-1 day)"", A158-1, IF(D158=""前天 (-2 days)"", A158-2, IF(D158=""明天 (+1 day)"", A158+1, DATE(LEFT(D158,4), MID(D158,5,2), RIGHT(D158,2))))))))"),45523.0)</f>
        <v>45523</v>
      </c>
      <c r="C158" s="60">
        <f>IFERROR(__xludf.DUMMYFUNCTION("INDIRECT(""'收支紀錄'!C""&amp;TO_TEXT(ROW()-$C$72))"),172.0)</f>
        <v>172</v>
      </c>
      <c r="D158" s="59">
        <f>IFERROR(__xludf.DUMMYFUNCTION("INDIRECT(""'收支紀錄'!D""&amp;TO_TEXT(ROW()-$C$72))"),45523.0)</f>
        <v>45523</v>
      </c>
      <c r="E158" s="61" t="str">
        <f>IFERROR(__xludf.DUMMYFUNCTION("INDIRECT(""'收支紀錄'!E""&amp;TO_TEXT(ROW()-$C$72))"),"其他業外")</f>
        <v>其他業外</v>
      </c>
      <c r="F158" s="61" t="str">
        <f>IFERROR(__xludf.DUMMYFUNCTION("INDIRECT(""'收支紀錄'!F""&amp;TO_TEXT(ROW()-$C$72))"),"")</f>
        <v/>
      </c>
      <c r="G158" s="61" t="str">
        <f>IFERROR(__xludf.DUMMYFUNCTION("INDIRECT(""'收支紀錄'!G""&amp;TO_TEXT(ROW()-$C$72))"),"其他")</f>
        <v>其他</v>
      </c>
      <c r="H158" s="61" t="str">
        <f>IFERROR(__xludf.DUMMYFUNCTION("INDIRECT(""'收支紀錄'!H""&amp;TO_TEXT(ROW()-$C$72))"),"")</f>
        <v/>
      </c>
      <c r="I158" s="61" t="str">
        <f>IFERROR(__xludf.DUMMYFUNCTION("INDIRECT(""'收支紀錄'!I""&amp;TO_TEXT(ROW()-$C$72))"),"")</f>
        <v/>
      </c>
      <c r="J158" s="61" t="str">
        <f>IFERROR(__xludf.DUMMYFUNCTION("INDIRECT(""'收支紀錄'!J""&amp;TO_TEXT(ROW()-$C$72))"),"")</f>
        <v/>
      </c>
      <c r="K158" s="61" t="str">
        <f>IFERROR(__xludf.DUMMYFUNCTION("INDIRECT(""'收支紀錄'!K""&amp;TO_TEXT(ROW()-$C$72))"),"")</f>
        <v/>
      </c>
      <c r="L158" s="61" t="str">
        <f>IFERROR(__xludf.DUMMYFUNCTION("INDIRECT(""'收支紀錄'!L""&amp;TO_TEXT(ROW()-$C$72))"),"")</f>
        <v/>
      </c>
      <c r="M158" s="61" t="str">
        <f>IFERROR(__xludf.DUMMYFUNCTION("INDIRECT(""'收支紀錄'!M""&amp;TO_TEXT(ROW()-$C$72))"),"")</f>
        <v/>
      </c>
      <c r="N158" s="61" t="str">
        <f>IFERROR(__xludf.DUMMYFUNCTION("INDIRECT(""'收支紀錄'!N""&amp;TO_TEXT(ROW()-$C$72))"),"")</f>
        <v/>
      </c>
      <c r="O158" s="61" t="str">
        <f>IFERROR(__xludf.DUMMYFUNCTION("INDIRECT(""'收支紀錄'!O""&amp;TO_TEXT(ROW()-$C$72))"),"")</f>
        <v/>
      </c>
      <c r="P158" s="61" t="str">
        <f>IFERROR(__xludf.DUMMYFUNCTION("INDIRECT(""'收支紀錄'!P""&amp;TO_TEXT(ROW()-$C$72))"),"")</f>
        <v/>
      </c>
      <c r="Q158" s="61" t="str">
        <f>IFERROR(__xludf.DUMMYFUNCTION("INDIRECT(""'收支紀錄'!Q""&amp;TO_TEXT(ROW()-$C$72))"),"")</f>
        <v/>
      </c>
      <c r="R158" s="61" t="str">
        <f>IFERROR(__xludf.DUMMYFUNCTION("INDIRECT(""'收支紀錄'!R""&amp;TO_TEXT(ROW()-$C$72))"),"")</f>
        <v/>
      </c>
      <c r="S158" s="61" t="str">
        <f>IFERROR(__xludf.DUMMYFUNCTION("INDIRECT(""'收支紀錄'!S""&amp;TO_TEXT(ROW()-$C$72))"),"禾聯碩出借")</f>
        <v>禾聯碩出借</v>
      </c>
      <c r="T158" s="61" t="str">
        <f>IFERROR(__xludf.DUMMYFUNCTION("INDIRECT(""'收支紀錄'!T""&amp;TO_TEXT(ROW()-$C$72))"),"是")</f>
        <v>是</v>
      </c>
      <c r="U158" s="62" t="str">
        <f>IFERROR(__xludf.DUMMYFUNCTION("IF(T158=""是"",TEXTJOIN("""", TRUE, ""$"", TO_TEXT(C158), S158),"""")"),"$172禾聯碩出借")</f>
        <v>$172禾聯碩出借</v>
      </c>
    </row>
    <row r="159">
      <c r="A159" s="58">
        <f>IFERROR(__xludf.DUMMYFUNCTION("INDIRECT(""'收支紀錄'!A""&amp;TO_TEXT(ROW()-$C$72))"),45523.560428819444)</f>
        <v>45523.56043</v>
      </c>
      <c r="B159" s="59">
        <f>IFERROR(__xludf.DUMMYFUNCTION("IF(ISBLANK(D159), """", IF(ISDATE(D159), D159, IF(D159=""今天"", A159, IF(D159=""昨天 (-1 day)"", A159-1, IF(D159=""前天 (-2 days)"", A159-2, IF(D159=""明天 (+1 day)"", A159+1, DATE(LEFT(D159,4), MID(D159,5,2), RIGHT(D159,2))))))))"),45523.0)</f>
        <v>45523</v>
      </c>
      <c r="C159" s="60">
        <f>IFERROR(__xludf.DUMMYFUNCTION("INDIRECT(""'收支紀錄'!C""&amp;TO_TEXT(ROW()-$C$72))"),1679.0)</f>
        <v>1679</v>
      </c>
      <c r="D159" s="59">
        <f>IFERROR(__xludf.DUMMYFUNCTION("INDIRECT(""'收支紀錄'!D""&amp;TO_TEXT(ROW()-$C$72))"),45523.0)</f>
        <v>45523</v>
      </c>
      <c r="E159" s="61" t="str">
        <f>IFERROR(__xludf.DUMMYFUNCTION("INDIRECT(""'收支紀錄'!E""&amp;TO_TEXT(ROW()-$C$72))"),"")</f>
        <v/>
      </c>
      <c r="F159" s="61" t="str">
        <f>IFERROR(__xludf.DUMMYFUNCTION("INDIRECT(""'收支紀錄'!F""&amp;TO_TEXT(ROW()-$C$72))"),"")</f>
        <v/>
      </c>
      <c r="G159" s="61" t="str">
        <f>IFERROR(__xludf.DUMMYFUNCTION("INDIRECT(""'收支紀錄'!G""&amp;TO_TEXT(ROW()-$C$72))"),"")</f>
        <v/>
      </c>
      <c r="H159" s="61" t="str">
        <f>IFERROR(__xludf.DUMMYFUNCTION("INDIRECT(""'收支紀錄'!H""&amp;TO_TEXT(ROW()-$C$72))"),"房屋支出")</f>
        <v>房屋支出</v>
      </c>
      <c r="I159" s="61" t="str">
        <f>IFERROR(__xludf.DUMMYFUNCTION("INDIRECT(""'收支紀錄'!I""&amp;TO_TEXT(ROW()-$C$72))"),"")</f>
        <v/>
      </c>
      <c r="J159" s="61" t="str">
        <f>IFERROR(__xludf.DUMMYFUNCTION("INDIRECT(""'收支紀錄'!J""&amp;TO_TEXT(ROW()-$C$72))"),"")</f>
        <v/>
      </c>
      <c r="K159" s="61" t="str">
        <f>IFERROR(__xludf.DUMMYFUNCTION("INDIRECT(""'收支紀錄'!K""&amp;TO_TEXT(ROW()-$C$72))"),"電費")</f>
        <v>電費</v>
      </c>
      <c r="L159" s="61" t="str">
        <f>IFERROR(__xludf.DUMMYFUNCTION("INDIRECT(""'收支紀錄'!L""&amp;TO_TEXT(ROW()-$C$72))"),"")</f>
        <v/>
      </c>
      <c r="M159" s="61" t="str">
        <f>IFERROR(__xludf.DUMMYFUNCTION("INDIRECT(""'收支紀錄'!M""&amp;TO_TEXT(ROW()-$C$72))"),"")</f>
        <v/>
      </c>
      <c r="N159" s="61" t="str">
        <f>IFERROR(__xludf.DUMMYFUNCTION("INDIRECT(""'收支紀錄'!N""&amp;TO_TEXT(ROW()-$C$72))"),"")</f>
        <v/>
      </c>
      <c r="O159" s="61" t="str">
        <f>IFERROR(__xludf.DUMMYFUNCTION("INDIRECT(""'收支紀錄'!O""&amp;TO_TEXT(ROW()-$C$72))"),"")</f>
        <v/>
      </c>
      <c r="P159" s="61" t="str">
        <f>IFERROR(__xludf.DUMMYFUNCTION("INDIRECT(""'收支紀錄'!P""&amp;TO_TEXT(ROW()-$C$72))"),"")</f>
        <v/>
      </c>
      <c r="Q159" s="61" t="str">
        <f>IFERROR(__xludf.DUMMYFUNCTION("INDIRECT(""'收支紀錄'!Q""&amp;TO_TEXT(ROW()-$C$72))"),"")</f>
        <v/>
      </c>
      <c r="R159" s="61" t="str">
        <f>IFERROR(__xludf.DUMMYFUNCTION("INDIRECT(""'收支紀錄'!R""&amp;TO_TEXT(ROW()-$C$72))"),"")</f>
        <v/>
      </c>
      <c r="S159" s="61" t="str">
        <f>IFERROR(__xludf.DUMMYFUNCTION("INDIRECT(""'收支紀錄'!S""&amp;TO_TEXT(ROW()-$C$72))"),"")</f>
        <v/>
      </c>
      <c r="T159" s="61" t="str">
        <f>IFERROR(__xludf.DUMMYFUNCTION("INDIRECT(""'收支紀錄'!T""&amp;TO_TEXT(ROW()-$C$72))"),"")</f>
        <v/>
      </c>
      <c r="U159" s="62" t="str">
        <f>IFERROR(__xludf.DUMMYFUNCTION("IF(T159=""是"",TEXTJOIN("""", TRUE, ""$"", TO_TEXT(C159), S159),"""")"),"")</f>
        <v/>
      </c>
    </row>
    <row r="160">
      <c r="A160" s="58">
        <f>IFERROR(__xludf.DUMMYFUNCTION("INDIRECT(""'收支紀錄'!A""&amp;TO_TEXT(ROW()-$C$72))"),45526.00949523148)</f>
        <v>45526.0095</v>
      </c>
      <c r="B160" s="59">
        <f>IFERROR(__xludf.DUMMYFUNCTION("IF(ISBLANK(D160), """", IF(ISDATE(D160), D160, IF(D160=""今天"", A160, IF(D160=""昨天 (-1 day)"", A160-1, IF(D160=""前天 (-2 days)"", A160-2, IF(D160=""明天 (+1 day)"", A160+1, DATE(LEFT(D160,4), MID(D160,5,2), RIGHT(D160,2))))))))"),45511.0)</f>
        <v>45511</v>
      </c>
      <c r="C160" s="60">
        <f>IFERROR(__xludf.DUMMYFUNCTION("INDIRECT(""'收支紀錄'!C""&amp;TO_TEXT(ROW()-$C$72))"),214.0)</f>
        <v>214</v>
      </c>
      <c r="D160" s="59">
        <f>IFERROR(__xludf.DUMMYFUNCTION("INDIRECT(""'收支紀錄'!D""&amp;TO_TEXT(ROW()-$C$72))"),45511.0)</f>
        <v>45511</v>
      </c>
      <c r="E160" s="61" t="str">
        <f>IFERROR(__xludf.DUMMYFUNCTION("INDIRECT(""'收支紀錄'!E""&amp;TO_TEXT(ROW()-$C$72))"),"")</f>
        <v/>
      </c>
      <c r="F160" s="61" t="str">
        <f>IFERROR(__xludf.DUMMYFUNCTION("INDIRECT(""'收支紀錄'!F""&amp;TO_TEXT(ROW()-$C$72))"),"")</f>
        <v/>
      </c>
      <c r="G160" s="61" t="str">
        <f>IFERROR(__xludf.DUMMYFUNCTION("INDIRECT(""'收支紀錄'!G""&amp;TO_TEXT(ROW()-$C$72))"),"")</f>
        <v/>
      </c>
      <c r="H160" s="61" t="str">
        <f>IFERROR(__xludf.DUMMYFUNCTION("INDIRECT(""'收支紀錄'!H""&amp;TO_TEXT(ROW()-$C$72))"),"食品酒水")</f>
        <v>食品酒水</v>
      </c>
      <c r="I160" s="61" t="str">
        <f>IFERROR(__xludf.DUMMYFUNCTION("INDIRECT(""'收支紀錄'!I""&amp;TO_TEXT(ROW()-$C$72))"),"晚餐")</f>
        <v>晚餐</v>
      </c>
      <c r="J160" s="61" t="str">
        <f>IFERROR(__xludf.DUMMYFUNCTION("INDIRECT(""'收支紀錄'!J""&amp;TO_TEXT(ROW()-$C$72))"),"")</f>
        <v/>
      </c>
      <c r="K160" s="61" t="str">
        <f>IFERROR(__xludf.DUMMYFUNCTION("INDIRECT(""'收支紀錄'!K""&amp;TO_TEXT(ROW()-$C$72))"),"")</f>
        <v/>
      </c>
      <c r="L160" s="61" t="str">
        <f>IFERROR(__xludf.DUMMYFUNCTION("INDIRECT(""'收支紀錄'!L""&amp;TO_TEXT(ROW()-$C$72))"),"")</f>
        <v/>
      </c>
      <c r="M160" s="61" t="str">
        <f>IFERROR(__xludf.DUMMYFUNCTION("INDIRECT(""'收支紀錄'!M""&amp;TO_TEXT(ROW()-$C$72))"),"")</f>
        <v/>
      </c>
      <c r="N160" s="61" t="str">
        <f>IFERROR(__xludf.DUMMYFUNCTION("INDIRECT(""'收支紀錄'!N""&amp;TO_TEXT(ROW()-$C$72))"),"")</f>
        <v/>
      </c>
      <c r="O160" s="61" t="str">
        <f>IFERROR(__xludf.DUMMYFUNCTION("INDIRECT(""'收支紀錄'!O""&amp;TO_TEXT(ROW()-$C$72))"),"")</f>
        <v/>
      </c>
      <c r="P160" s="61" t="str">
        <f>IFERROR(__xludf.DUMMYFUNCTION("INDIRECT(""'收支紀錄'!P""&amp;TO_TEXT(ROW()-$C$72))"),"")</f>
        <v/>
      </c>
      <c r="Q160" s="61" t="str">
        <f>IFERROR(__xludf.DUMMYFUNCTION("INDIRECT(""'收支紀錄'!Q""&amp;TO_TEXT(ROW()-$C$72))"),"")</f>
        <v/>
      </c>
      <c r="R160" s="61" t="str">
        <f>IFERROR(__xludf.DUMMYFUNCTION("INDIRECT(""'收支紀錄'!R""&amp;TO_TEXT(ROW()-$C$72))"),"")</f>
        <v/>
      </c>
      <c r="S160" s="61" t="str">
        <f>IFERROR(__xludf.DUMMYFUNCTION("INDIRECT(""'收支紀錄'!S""&amp;TO_TEXT(ROW()-$C$72))"),"")</f>
        <v/>
      </c>
      <c r="T160" s="61" t="str">
        <f>IFERROR(__xludf.DUMMYFUNCTION("INDIRECT(""'收支紀錄'!T""&amp;TO_TEXT(ROW()-$C$72))"),"")</f>
        <v/>
      </c>
      <c r="U160" s="62" t="str">
        <f>IFERROR(__xludf.DUMMYFUNCTION("IF(T160=""是"",TEXTJOIN("""", TRUE, ""$"", TO_TEXT(C160), S160),"""")"),"")</f>
        <v/>
      </c>
    </row>
    <row r="161">
      <c r="A161" s="58">
        <f>IFERROR(__xludf.DUMMYFUNCTION("INDIRECT(""'收支紀錄'!A""&amp;TO_TEXT(ROW()-$C$72))"),45526.01014987269)</f>
        <v>45526.01015</v>
      </c>
      <c r="B161" s="59">
        <f>IFERROR(__xludf.DUMMYFUNCTION("IF(ISBLANK(D161), """", IF(ISDATE(D161), D161, IF(D161=""今天"", A161, IF(D161=""昨天 (-1 day)"", A161-1, IF(D161=""前天 (-2 days)"", A161-2, IF(D161=""明天 (+1 day)"", A161+1, DATE(LEFT(D161,4), MID(D161,5,2), RIGHT(D161,2))))))))"),45511.0)</f>
        <v>45511</v>
      </c>
      <c r="C161" s="60">
        <f>IFERROR(__xludf.DUMMYFUNCTION("INDIRECT(""'收支紀錄'!C""&amp;TO_TEXT(ROW()-$C$72))"),1888.0)</f>
        <v>1888</v>
      </c>
      <c r="D161" s="59">
        <f>IFERROR(__xludf.DUMMYFUNCTION("INDIRECT(""'收支紀錄'!D""&amp;TO_TEXT(ROW()-$C$72))"),45511.0)</f>
        <v>45511</v>
      </c>
      <c r="E161" s="61" t="str">
        <f>IFERROR(__xludf.DUMMYFUNCTION("INDIRECT(""'收支紀錄'!E""&amp;TO_TEXT(ROW()-$C$72))"),"")</f>
        <v/>
      </c>
      <c r="F161" s="61" t="str">
        <f>IFERROR(__xludf.DUMMYFUNCTION("INDIRECT(""'收支紀錄'!F""&amp;TO_TEXT(ROW()-$C$72))"),"")</f>
        <v/>
      </c>
      <c r="G161" s="61" t="str">
        <f>IFERROR(__xludf.DUMMYFUNCTION("INDIRECT(""'收支紀錄'!G""&amp;TO_TEXT(ROW()-$C$72))"),"")</f>
        <v/>
      </c>
      <c r="H161" s="61" t="str">
        <f>IFERROR(__xludf.DUMMYFUNCTION("INDIRECT(""'收支紀錄'!H""&amp;TO_TEXT(ROW()-$C$72))"),"休閒娛樂")</f>
        <v>休閒娛樂</v>
      </c>
      <c r="I161" s="61" t="str">
        <f>IFERROR(__xludf.DUMMYFUNCTION("INDIRECT(""'收支紀錄'!I""&amp;TO_TEXT(ROW()-$C$72))"),"")</f>
        <v/>
      </c>
      <c r="J161" s="61" t="str">
        <f>IFERROR(__xludf.DUMMYFUNCTION("INDIRECT(""'收支紀錄'!J""&amp;TO_TEXT(ROW()-$C$72))"),"")</f>
        <v/>
      </c>
      <c r="K161" s="61" t="str">
        <f>IFERROR(__xludf.DUMMYFUNCTION("INDIRECT(""'收支紀錄'!K""&amp;TO_TEXT(ROW()-$C$72))"),"")</f>
        <v/>
      </c>
      <c r="L161" s="61" t="str">
        <f>IFERROR(__xludf.DUMMYFUNCTION("INDIRECT(""'收支紀錄'!L""&amp;TO_TEXT(ROW()-$C$72))"),"")</f>
        <v/>
      </c>
      <c r="M161" s="61" t="str">
        <f>IFERROR(__xludf.DUMMYFUNCTION("INDIRECT(""'收支紀錄'!M""&amp;TO_TEXT(ROW()-$C$72))"),"奢侈敗家")</f>
        <v>奢侈敗家</v>
      </c>
      <c r="N161" s="61" t="str">
        <f>IFERROR(__xludf.DUMMYFUNCTION("INDIRECT(""'收支紀錄'!N""&amp;TO_TEXT(ROW()-$C$72))"),"")</f>
        <v/>
      </c>
      <c r="O161" s="61" t="str">
        <f>IFERROR(__xludf.DUMMYFUNCTION("INDIRECT(""'收支紀錄'!O""&amp;TO_TEXT(ROW()-$C$72))"),"")</f>
        <v/>
      </c>
      <c r="P161" s="61" t="str">
        <f>IFERROR(__xludf.DUMMYFUNCTION("INDIRECT(""'收支紀錄'!P""&amp;TO_TEXT(ROW()-$C$72))"),"")</f>
        <v/>
      </c>
      <c r="Q161" s="61" t="str">
        <f>IFERROR(__xludf.DUMMYFUNCTION("INDIRECT(""'收支紀錄'!Q""&amp;TO_TEXT(ROW()-$C$72))"),"")</f>
        <v/>
      </c>
      <c r="R161" s="61" t="str">
        <f>IFERROR(__xludf.DUMMYFUNCTION("INDIRECT(""'收支紀錄'!R""&amp;TO_TEXT(ROW()-$C$72))"),"")</f>
        <v/>
      </c>
      <c r="S161" s="61" t="str">
        <f>IFERROR(__xludf.DUMMYFUNCTION("INDIRECT(""'收支紀錄'!S""&amp;TO_TEXT(ROW()-$C$72))"),"麟洋紀念酒")</f>
        <v>麟洋紀念酒</v>
      </c>
      <c r="T161" s="61" t="str">
        <f>IFERROR(__xludf.DUMMYFUNCTION("INDIRECT(""'收支紀錄'!T""&amp;TO_TEXT(ROW()-$C$72))"),"是")</f>
        <v>是</v>
      </c>
      <c r="U161" s="62" t="str">
        <f>IFERROR(__xludf.DUMMYFUNCTION("IF(T161=""是"",TEXTJOIN("""", TRUE, ""$"", TO_TEXT(C161), S161),"""")"),"$1888麟洋紀念酒")</f>
        <v>$1888麟洋紀念酒</v>
      </c>
    </row>
    <row r="162">
      <c r="A162" s="58">
        <f>IFERROR(__xludf.DUMMYFUNCTION("INDIRECT(""'收支紀錄'!A""&amp;TO_TEXT(ROW()-$C$72))"),45526.011796782404)</f>
        <v>45526.0118</v>
      </c>
      <c r="B162" s="59">
        <f>IFERROR(__xludf.DUMMYFUNCTION("IF(ISBLANK(D162), """", IF(ISDATE(D162), D162, IF(D162=""今天"", A162, IF(D162=""昨天 (-1 day)"", A162-1, IF(D162=""前天 (-2 days)"", A162-2, IF(D162=""明天 (+1 day)"", A162+1, DATE(LEFT(D162,4), MID(D162,5,2), RIGHT(D162,2))))))))"),45517.0)</f>
        <v>45517</v>
      </c>
      <c r="C162" s="60">
        <f>IFERROR(__xludf.DUMMYFUNCTION("INDIRECT(""'收支紀錄'!C""&amp;TO_TEXT(ROW()-$C$72))"),40.0)</f>
        <v>40</v>
      </c>
      <c r="D162" s="59">
        <f>IFERROR(__xludf.DUMMYFUNCTION("INDIRECT(""'收支紀錄'!D""&amp;TO_TEXT(ROW()-$C$72))"),45517.0)</f>
        <v>45517</v>
      </c>
      <c r="E162" s="61" t="str">
        <f>IFERROR(__xludf.DUMMYFUNCTION("INDIRECT(""'收支紀錄'!E""&amp;TO_TEXT(ROW()-$C$72))"),"")</f>
        <v/>
      </c>
      <c r="F162" s="61" t="str">
        <f>IFERROR(__xludf.DUMMYFUNCTION("INDIRECT(""'收支紀錄'!F""&amp;TO_TEXT(ROW()-$C$72))"),"")</f>
        <v/>
      </c>
      <c r="G162" s="61" t="str">
        <f>IFERROR(__xludf.DUMMYFUNCTION("INDIRECT(""'收支紀錄'!G""&amp;TO_TEXT(ROW()-$C$72))"),"")</f>
        <v/>
      </c>
      <c r="H162" s="61" t="str">
        <f>IFERROR(__xludf.DUMMYFUNCTION("INDIRECT(""'收支紀錄'!H""&amp;TO_TEXT(ROW()-$C$72))"),"行車交通")</f>
        <v>行車交通</v>
      </c>
      <c r="I162" s="61" t="str">
        <f>IFERROR(__xludf.DUMMYFUNCTION("INDIRECT(""'收支紀錄'!I""&amp;TO_TEXT(ROW()-$C$72))"),"")</f>
        <v/>
      </c>
      <c r="J162" s="61" t="str">
        <f>IFERROR(__xludf.DUMMYFUNCTION("INDIRECT(""'收支紀錄'!J""&amp;TO_TEXT(ROW()-$C$72))"),"")</f>
        <v/>
      </c>
      <c r="K162" s="61" t="str">
        <f>IFERROR(__xludf.DUMMYFUNCTION("INDIRECT(""'收支紀錄'!K""&amp;TO_TEXT(ROW()-$C$72))"),"")</f>
        <v/>
      </c>
      <c r="L162" s="61" t="str">
        <f>IFERROR(__xludf.DUMMYFUNCTION("INDIRECT(""'收支紀錄'!L""&amp;TO_TEXT(ROW()-$C$72))"),"捷運費")</f>
        <v>捷運費</v>
      </c>
      <c r="M162" s="61" t="str">
        <f>IFERROR(__xludf.DUMMYFUNCTION("INDIRECT(""'收支紀錄'!M""&amp;TO_TEXT(ROW()-$C$72))"),"")</f>
        <v/>
      </c>
      <c r="N162" s="61" t="str">
        <f>IFERROR(__xludf.DUMMYFUNCTION("INDIRECT(""'收支紀錄'!N""&amp;TO_TEXT(ROW()-$C$72))"),"")</f>
        <v/>
      </c>
      <c r="O162" s="61" t="str">
        <f>IFERROR(__xludf.DUMMYFUNCTION("INDIRECT(""'收支紀錄'!O""&amp;TO_TEXT(ROW()-$C$72))"),"")</f>
        <v/>
      </c>
      <c r="P162" s="61" t="str">
        <f>IFERROR(__xludf.DUMMYFUNCTION("INDIRECT(""'收支紀錄'!P""&amp;TO_TEXT(ROW()-$C$72))"),"")</f>
        <v/>
      </c>
      <c r="Q162" s="61" t="str">
        <f>IFERROR(__xludf.DUMMYFUNCTION("INDIRECT(""'收支紀錄'!Q""&amp;TO_TEXT(ROW()-$C$72))"),"")</f>
        <v/>
      </c>
      <c r="R162" s="61" t="str">
        <f>IFERROR(__xludf.DUMMYFUNCTION("INDIRECT(""'收支紀錄'!R""&amp;TO_TEXT(ROW()-$C$72))"),"")</f>
        <v/>
      </c>
      <c r="S162" s="61" t="str">
        <f>IFERROR(__xludf.DUMMYFUNCTION("INDIRECT(""'收支紀錄'!S""&amp;TO_TEXT(ROW()-$C$72))"),"")</f>
        <v/>
      </c>
      <c r="T162" s="61" t="str">
        <f>IFERROR(__xludf.DUMMYFUNCTION("INDIRECT(""'收支紀錄'!T""&amp;TO_TEXT(ROW()-$C$72))"),"")</f>
        <v/>
      </c>
      <c r="U162" s="62" t="str">
        <f>IFERROR(__xludf.DUMMYFUNCTION("IF(T162=""是"",TEXTJOIN("""", TRUE, ""$"", TO_TEXT(C162), S162),"""")"),"")</f>
        <v/>
      </c>
    </row>
    <row r="163">
      <c r="A163" s="58">
        <f>IFERROR(__xludf.DUMMYFUNCTION("INDIRECT(""'收支紀錄'!A""&amp;TO_TEXT(ROW()-$C$72))"),45526.01204724537)</f>
        <v>45526.01205</v>
      </c>
      <c r="B163" s="59">
        <f>IFERROR(__xludf.DUMMYFUNCTION("IF(ISBLANK(D163), """", IF(ISDATE(D163), D163, IF(D163=""今天"", A163, IF(D163=""昨天 (-1 day)"", A163-1, IF(D163=""前天 (-2 days)"", A163-2, IF(D163=""明天 (+1 day)"", A163+1, DATE(LEFT(D163,4), MID(D163,5,2), RIGHT(D163,2))))))))"),45517.0)</f>
        <v>45517</v>
      </c>
      <c r="C163" s="60">
        <f>IFERROR(__xludf.DUMMYFUNCTION("INDIRECT(""'收支紀錄'!C""&amp;TO_TEXT(ROW()-$C$72))"),1040.0)</f>
        <v>1040</v>
      </c>
      <c r="D163" s="59">
        <f>IFERROR(__xludf.DUMMYFUNCTION("INDIRECT(""'收支紀錄'!D""&amp;TO_TEXT(ROW()-$C$72))"),45517.0)</f>
        <v>45517</v>
      </c>
      <c r="E163" s="61" t="str">
        <f>IFERROR(__xludf.DUMMYFUNCTION("INDIRECT(""'收支紀錄'!E""&amp;TO_TEXT(ROW()-$C$72))"),"")</f>
        <v/>
      </c>
      <c r="F163" s="61" t="str">
        <f>IFERROR(__xludf.DUMMYFUNCTION("INDIRECT(""'收支紀錄'!F""&amp;TO_TEXT(ROW()-$C$72))"),"")</f>
        <v/>
      </c>
      <c r="G163" s="61" t="str">
        <f>IFERROR(__xludf.DUMMYFUNCTION("INDIRECT(""'收支紀錄'!G""&amp;TO_TEXT(ROW()-$C$72))"),"")</f>
        <v/>
      </c>
      <c r="H163" s="61" t="str">
        <f>IFERROR(__xludf.DUMMYFUNCTION("INDIRECT(""'收支紀錄'!H""&amp;TO_TEXT(ROW()-$C$72))"),"行車交通")</f>
        <v>行車交通</v>
      </c>
      <c r="I163" s="61" t="str">
        <f>IFERROR(__xludf.DUMMYFUNCTION("INDIRECT(""'收支紀錄'!I""&amp;TO_TEXT(ROW()-$C$72))"),"")</f>
        <v/>
      </c>
      <c r="J163" s="61" t="str">
        <f>IFERROR(__xludf.DUMMYFUNCTION("INDIRECT(""'收支紀錄'!J""&amp;TO_TEXT(ROW()-$C$72))"),"")</f>
        <v/>
      </c>
      <c r="K163" s="61" t="str">
        <f>IFERROR(__xludf.DUMMYFUNCTION("INDIRECT(""'收支紀錄'!K""&amp;TO_TEXT(ROW()-$C$72))"),"")</f>
        <v/>
      </c>
      <c r="L163" s="61" t="str">
        <f>IFERROR(__xludf.DUMMYFUNCTION("INDIRECT(""'收支紀錄'!L""&amp;TO_TEXT(ROW()-$C$72))"),"高鐵")</f>
        <v>高鐵</v>
      </c>
      <c r="M163" s="61" t="str">
        <f>IFERROR(__xludf.DUMMYFUNCTION("INDIRECT(""'收支紀錄'!M""&amp;TO_TEXT(ROW()-$C$72))"),"")</f>
        <v/>
      </c>
      <c r="N163" s="61" t="str">
        <f>IFERROR(__xludf.DUMMYFUNCTION("INDIRECT(""'收支紀錄'!N""&amp;TO_TEXT(ROW()-$C$72))"),"")</f>
        <v/>
      </c>
      <c r="O163" s="61" t="str">
        <f>IFERROR(__xludf.DUMMYFUNCTION("INDIRECT(""'收支紀錄'!O""&amp;TO_TEXT(ROW()-$C$72))"),"")</f>
        <v/>
      </c>
      <c r="P163" s="61" t="str">
        <f>IFERROR(__xludf.DUMMYFUNCTION("INDIRECT(""'收支紀錄'!P""&amp;TO_TEXT(ROW()-$C$72))"),"")</f>
        <v/>
      </c>
      <c r="Q163" s="61" t="str">
        <f>IFERROR(__xludf.DUMMYFUNCTION("INDIRECT(""'收支紀錄'!Q""&amp;TO_TEXT(ROW()-$C$72))"),"")</f>
        <v/>
      </c>
      <c r="R163" s="61" t="str">
        <f>IFERROR(__xludf.DUMMYFUNCTION("INDIRECT(""'收支紀錄'!R""&amp;TO_TEXT(ROW()-$C$72))"),"")</f>
        <v/>
      </c>
      <c r="S163" s="61" t="str">
        <f>IFERROR(__xludf.DUMMYFUNCTION("INDIRECT(""'收支紀錄'!S""&amp;TO_TEXT(ROW()-$C$72))"),"")</f>
        <v/>
      </c>
      <c r="T163" s="61" t="str">
        <f>IFERROR(__xludf.DUMMYFUNCTION("INDIRECT(""'收支紀錄'!T""&amp;TO_TEXT(ROW()-$C$72))"),"")</f>
        <v/>
      </c>
      <c r="U163" s="62" t="str">
        <f>IFERROR(__xludf.DUMMYFUNCTION("IF(T163=""是"",TEXTJOIN("""", TRUE, ""$"", TO_TEXT(C163), S163),"""")"),"")</f>
        <v/>
      </c>
    </row>
    <row r="164">
      <c r="A164" s="58">
        <f>IFERROR(__xludf.DUMMYFUNCTION("INDIRECT(""'收支紀錄'!A""&amp;TO_TEXT(ROW()-$C$72))"),45526.01227076389)</f>
        <v>45526.01227</v>
      </c>
      <c r="B164" s="59">
        <f>IFERROR(__xludf.DUMMYFUNCTION("IF(ISBLANK(D164), """", IF(ISDATE(D164), D164, IF(D164=""今天"", A164, IF(D164=""昨天 (-1 day)"", A164-1, IF(D164=""前天 (-2 days)"", A164-2, IF(D164=""明天 (+1 day)"", A164+1, DATE(LEFT(D164,4), MID(D164,5,2), RIGHT(D164,2))))))))"),45517.0)</f>
        <v>45517</v>
      </c>
      <c r="C164" s="60">
        <f>IFERROR(__xludf.DUMMYFUNCTION("INDIRECT(""'收支紀錄'!C""&amp;TO_TEXT(ROW()-$C$72))"),655.0)</f>
        <v>655</v>
      </c>
      <c r="D164" s="59">
        <f>IFERROR(__xludf.DUMMYFUNCTION("INDIRECT(""'收支紀錄'!D""&amp;TO_TEXT(ROW()-$C$72))"),45517.0)</f>
        <v>45517</v>
      </c>
      <c r="E164" s="61" t="str">
        <f>IFERROR(__xludf.DUMMYFUNCTION("INDIRECT(""'收支紀錄'!E""&amp;TO_TEXT(ROW()-$C$72))"),"")</f>
        <v/>
      </c>
      <c r="F164" s="61" t="str">
        <f>IFERROR(__xludf.DUMMYFUNCTION("INDIRECT(""'收支紀錄'!F""&amp;TO_TEXT(ROW()-$C$72))"),"")</f>
        <v/>
      </c>
      <c r="G164" s="61" t="str">
        <f>IFERROR(__xludf.DUMMYFUNCTION("INDIRECT(""'收支紀錄'!G""&amp;TO_TEXT(ROW()-$C$72))"),"")</f>
        <v/>
      </c>
      <c r="H164" s="61" t="str">
        <f>IFERROR(__xludf.DUMMYFUNCTION("INDIRECT(""'收支紀錄'!H""&amp;TO_TEXT(ROW()-$C$72))"),"食品酒水")</f>
        <v>食品酒水</v>
      </c>
      <c r="I164" s="61" t="str">
        <f>IFERROR(__xludf.DUMMYFUNCTION("INDIRECT(""'收支紀錄'!I""&amp;TO_TEXT(ROW()-$C$72))"),"晚餐")</f>
        <v>晚餐</v>
      </c>
      <c r="J164" s="61" t="str">
        <f>IFERROR(__xludf.DUMMYFUNCTION("INDIRECT(""'收支紀錄'!J""&amp;TO_TEXT(ROW()-$C$72))"),"")</f>
        <v/>
      </c>
      <c r="K164" s="61" t="str">
        <f>IFERROR(__xludf.DUMMYFUNCTION("INDIRECT(""'收支紀錄'!K""&amp;TO_TEXT(ROW()-$C$72))"),"")</f>
        <v/>
      </c>
      <c r="L164" s="61" t="str">
        <f>IFERROR(__xludf.DUMMYFUNCTION("INDIRECT(""'收支紀錄'!L""&amp;TO_TEXT(ROW()-$C$72))"),"")</f>
        <v/>
      </c>
      <c r="M164" s="61" t="str">
        <f>IFERROR(__xludf.DUMMYFUNCTION("INDIRECT(""'收支紀錄'!M""&amp;TO_TEXT(ROW()-$C$72))"),"")</f>
        <v/>
      </c>
      <c r="N164" s="61" t="str">
        <f>IFERROR(__xludf.DUMMYFUNCTION("INDIRECT(""'收支紀錄'!N""&amp;TO_TEXT(ROW()-$C$72))"),"")</f>
        <v/>
      </c>
      <c r="O164" s="61" t="str">
        <f>IFERROR(__xludf.DUMMYFUNCTION("INDIRECT(""'收支紀錄'!O""&amp;TO_TEXT(ROW()-$C$72))"),"")</f>
        <v/>
      </c>
      <c r="P164" s="61" t="str">
        <f>IFERROR(__xludf.DUMMYFUNCTION("INDIRECT(""'收支紀錄'!P""&amp;TO_TEXT(ROW()-$C$72))"),"")</f>
        <v/>
      </c>
      <c r="Q164" s="61" t="str">
        <f>IFERROR(__xludf.DUMMYFUNCTION("INDIRECT(""'收支紀錄'!Q""&amp;TO_TEXT(ROW()-$C$72))"),"")</f>
        <v/>
      </c>
      <c r="R164" s="61" t="str">
        <f>IFERROR(__xludf.DUMMYFUNCTION("INDIRECT(""'收支紀錄'!R""&amp;TO_TEXT(ROW()-$C$72))"),"")</f>
        <v/>
      </c>
      <c r="S164" s="61" t="str">
        <f>IFERROR(__xludf.DUMMYFUNCTION("INDIRECT(""'收支紀錄'!S""&amp;TO_TEXT(ROW()-$C$72))"),"")</f>
        <v/>
      </c>
      <c r="T164" s="61" t="str">
        <f>IFERROR(__xludf.DUMMYFUNCTION("INDIRECT(""'收支紀錄'!T""&amp;TO_TEXT(ROW()-$C$72))"),"")</f>
        <v/>
      </c>
      <c r="U164" s="62" t="str">
        <f>IFERROR(__xludf.DUMMYFUNCTION("IF(T164=""是"",TEXTJOIN("""", TRUE, ""$"", TO_TEXT(C164), S164),"""")"),"")</f>
        <v/>
      </c>
    </row>
    <row r="165">
      <c r="A165" s="58">
        <f>IFERROR(__xludf.DUMMYFUNCTION("INDIRECT(""'收支紀錄'!A""&amp;TO_TEXT(ROW()-$C$72))"),45526.012497731484)</f>
        <v>45526.0125</v>
      </c>
      <c r="B165" s="59">
        <f>IFERROR(__xludf.DUMMYFUNCTION("IF(ISBLANK(D165), """", IF(ISDATE(D165), D165, IF(D165=""今天"", A165, IF(D165=""昨天 (-1 day)"", A165-1, IF(D165=""前天 (-2 days)"", A165-2, IF(D165=""明天 (+1 day)"", A165+1, DATE(LEFT(D165,4), MID(D165,5,2), RIGHT(D165,2))))))))"),45517.0)</f>
        <v>45517</v>
      </c>
      <c r="C165" s="60">
        <f>IFERROR(__xludf.DUMMYFUNCTION("INDIRECT(""'收支紀錄'!C""&amp;TO_TEXT(ROW()-$C$72))"),70.0)</f>
        <v>70</v>
      </c>
      <c r="D165" s="59">
        <f>IFERROR(__xludf.DUMMYFUNCTION("INDIRECT(""'收支紀錄'!D""&amp;TO_TEXT(ROW()-$C$72))"),45517.0)</f>
        <v>45517</v>
      </c>
      <c r="E165" s="61" t="str">
        <f>IFERROR(__xludf.DUMMYFUNCTION("INDIRECT(""'收支紀錄'!E""&amp;TO_TEXT(ROW()-$C$72))"),"")</f>
        <v/>
      </c>
      <c r="F165" s="61" t="str">
        <f>IFERROR(__xludf.DUMMYFUNCTION("INDIRECT(""'收支紀錄'!F""&amp;TO_TEXT(ROW()-$C$72))"),"")</f>
        <v/>
      </c>
      <c r="G165" s="61" t="str">
        <f>IFERROR(__xludf.DUMMYFUNCTION("INDIRECT(""'收支紀錄'!G""&amp;TO_TEXT(ROW()-$C$72))"),"")</f>
        <v/>
      </c>
      <c r="H165" s="61" t="str">
        <f>IFERROR(__xludf.DUMMYFUNCTION("INDIRECT(""'收支紀錄'!H""&amp;TO_TEXT(ROW()-$C$72))"),"日常生活")</f>
        <v>日常生活</v>
      </c>
      <c r="I165" s="61" t="str">
        <f>IFERROR(__xludf.DUMMYFUNCTION("INDIRECT(""'收支紀錄'!I""&amp;TO_TEXT(ROW()-$C$72))"),"")</f>
        <v/>
      </c>
      <c r="J165" s="61" t="str">
        <f>IFERROR(__xludf.DUMMYFUNCTION("INDIRECT(""'收支紀錄'!J""&amp;TO_TEXT(ROW()-$C$72))"),"洗衣")</f>
        <v>洗衣</v>
      </c>
      <c r="K165" s="61" t="str">
        <f>IFERROR(__xludf.DUMMYFUNCTION("INDIRECT(""'收支紀錄'!K""&amp;TO_TEXT(ROW()-$C$72))"),"")</f>
        <v/>
      </c>
      <c r="L165" s="61" t="str">
        <f>IFERROR(__xludf.DUMMYFUNCTION("INDIRECT(""'收支紀錄'!L""&amp;TO_TEXT(ROW()-$C$72))"),"")</f>
        <v/>
      </c>
      <c r="M165" s="61" t="str">
        <f>IFERROR(__xludf.DUMMYFUNCTION("INDIRECT(""'收支紀錄'!M""&amp;TO_TEXT(ROW()-$C$72))"),"")</f>
        <v/>
      </c>
      <c r="N165" s="61" t="str">
        <f>IFERROR(__xludf.DUMMYFUNCTION("INDIRECT(""'收支紀錄'!N""&amp;TO_TEXT(ROW()-$C$72))"),"")</f>
        <v/>
      </c>
      <c r="O165" s="61" t="str">
        <f>IFERROR(__xludf.DUMMYFUNCTION("INDIRECT(""'收支紀錄'!O""&amp;TO_TEXT(ROW()-$C$72))"),"")</f>
        <v/>
      </c>
      <c r="P165" s="61" t="str">
        <f>IFERROR(__xludf.DUMMYFUNCTION("INDIRECT(""'收支紀錄'!P""&amp;TO_TEXT(ROW()-$C$72))"),"")</f>
        <v/>
      </c>
      <c r="Q165" s="61" t="str">
        <f>IFERROR(__xludf.DUMMYFUNCTION("INDIRECT(""'收支紀錄'!Q""&amp;TO_TEXT(ROW()-$C$72))"),"")</f>
        <v/>
      </c>
      <c r="R165" s="61" t="str">
        <f>IFERROR(__xludf.DUMMYFUNCTION("INDIRECT(""'收支紀錄'!R""&amp;TO_TEXT(ROW()-$C$72))"),"")</f>
        <v/>
      </c>
      <c r="S165" s="61" t="str">
        <f>IFERROR(__xludf.DUMMYFUNCTION("INDIRECT(""'收支紀錄'!S""&amp;TO_TEXT(ROW()-$C$72))"),"")</f>
        <v/>
      </c>
      <c r="T165" s="61" t="str">
        <f>IFERROR(__xludf.DUMMYFUNCTION("INDIRECT(""'收支紀錄'!T""&amp;TO_TEXT(ROW()-$C$72))"),"")</f>
        <v/>
      </c>
      <c r="U165" s="62" t="str">
        <f>IFERROR(__xludf.DUMMYFUNCTION("IF(T165=""是"",TEXTJOIN("""", TRUE, ""$"", TO_TEXT(C165), S165),"""")"),"")</f>
        <v/>
      </c>
    </row>
    <row r="166">
      <c r="A166" s="58">
        <f>IFERROR(__xludf.DUMMYFUNCTION("INDIRECT(""'收支紀錄'!A""&amp;TO_TEXT(ROW()-$C$72))"),45526.01290223379)</f>
        <v>45526.0129</v>
      </c>
      <c r="B166" s="59">
        <f>IFERROR(__xludf.DUMMYFUNCTION("IF(ISBLANK(D166), """", IF(ISDATE(D166), D166, IF(D166=""今天"", A166, IF(D166=""昨天 (-1 day)"", A166-1, IF(D166=""前天 (-2 days)"", A166-2, IF(D166=""明天 (+1 day)"", A166+1, DATE(LEFT(D166,4), MID(D166,5,2), RIGHT(D166,2))))))))"),45517.0)</f>
        <v>45517</v>
      </c>
      <c r="C166" s="60">
        <f>IFERROR(__xludf.DUMMYFUNCTION("INDIRECT(""'收支紀錄'!C""&amp;TO_TEXT(ROW()-$C$72))"),25.0)</f>
        <v>25</v>
      </c>
      <c r="D166" s="59">
        <f>IFERROR(__xludf.DUMMYFUNCTION("INDIRECT(""'收支紀錄'!D""&amp;TO_TEXT(ROW()-$C$72))"),45517.0)</f>
        <v>45517</v>
      </c>
      <c r="E166" s="61" t="str">
        <f>IFERROR(__xludf.DUMMYFUNCTION("INDIRECT(""'收支紀錄'!E""&amp;TO_TEXT(ROW()-$C$72))"),"")</f>
        <v/>
      </c>
      <c r="F166" s="61" t="str">
        <f>IFERROR(__xludf.DUMMYFUNCTION("INDIRECT(""'收支紀錄'!F""&amp;TO_TEXT(ROW()-$C$72))"),"")</f>
        <v/>
      </c>
      <c r="G166" s="61" t="str">
        <f>IFERROR(__xludf.DUMMYFUNCTION("INDIRECT(""'收支紀錄'!G""&amp;TO_TEXT(ROW()-$C$72))"),"")</f>
        <v/>
      </c>
      <c r="H166" s="61" t="str">
        <f>IFERROR(__xludf.DUMMYFUNCTION("INDIRECT(""'收支紀錄'!H""&amp;TO_TEXT(ROW()-$C$72))"),"行車交通")</f>
        <v>行車交通</v>
      </c>
      <c r="I166" s="61" t="str">
        <f>IFERROR(__xludf.DUMMYFUNCTION("INDIRECT(""'收支紀錄'!I""&amp;TO_TEXT(ROW()-$C$72))"),"")</f>
        <v/>
      </c>
      <c r="J166" s="61" t="str">
        <f>IFERROR(__xludf.DUMMYFUNCTION("INDIRECT(""'收支紀錄'!J""&amp;TO_TEXT(ROW()-$C$72))"),"")</f>
        <v/>
      </c>
      <c r="K166" s="61" t="str">
        <f>IFERROR(__xludf.DUMMYFUNCTION("INDIRECT(""'收支紀錄'!K""&amp;TO_TEXT(ROW()-$C$72))"),"")</f>
        <v/>
      </c>
      <c r="L166" s="61" t="str">
        <f>IFERROR(__xludf.DUMMYFUNCTION("INDIRECT(""'收支紀錄'!L""&amp;TO_TEXT(ROW()-$C$72))"),"捷運費")</f>
        <v>捷運費</v>
      </c>
      <c r="M166" s="61" t="str">
        <f>IFERROR(__xludf.DUMMYFUNCTION("INDIRECT(""'收支紀錄'!M""&amp;TO_TEXT(ROW()-$C$72))"),"")</f>
        <v/>
      </c>
      <c r="N166" s="61" t="str">
        <f>IFERROR(__xludf.DUMMYFUNCTION("INDIRECT(""'收支紀錄'!N""&amp;TO_TEXT(ROW()-$C$72))"),"")</f>
        <v/>
      </c>
      <c r="O166" s="61" t="str">
        <f>IFERROR(__xludf.DUMMYFUNCTION("INDIRECT(""'收支紀錄'!O""&amp;TO_TEXT(ROW()-$C$72))"),"")</f>
        <v/>
      </c>
      <c r="P166" s="61" t="str">
        <f>IFERROR(__xludf.DUMMYFUNCTION("INDIRECT(""'收支紀錄'!P""&amp;TO_TEXT(ROW()-$C$72))"),"")</f>
        <v/>
      </c>
      <c r="Q166" s="61" t="str">
        <f>IFERROR(__xludf.DUMMYFUNCTION("INDIRECT(""'收支紀錄'!Q""&amp;TO_TEXT(ROW()-$C$72))"),"")</f>
        <v/>
      </c>
      <c r="R166" s="61" t="str">
        <f>IFERROR(__xludf.DUMMYFUNCTION("INDIRECT(""'收支紀錄'!R""&amp;TO_TEXT(ROW()-$C$72))"),"")</f>
        <v/>
      </c>
      <c r="S166" s="61" t="str">
        <f>IFERROR(__xludf.DUMMYFUNCTION("INDIRECT(""'收支紀錄'!S""&amp;TO_TEXT(ROW()-$C$72))"),"")</f>
        <v/>
      </c>
      <c r="T166" s="61" t="str">
        <f>IFERROR(__xludf.DUMMYFUNCTION("INDIRECT(""'收支紀錄'!T""&amp;TO_TEXT(ROW()-$C$72))"),"")</f>
        <v/>
      </c>
      <c r="U166" s="62" t="str">
        <f>IFERROR(__xludf.DUMMYFUNCTION("IF(T166=""是"",TEXTJOIN("""", TRUE, ""$"", TO_TEXT(C166), S166),"""")"),"")</f>
        <v/>
      </c>
    </row>
    <row r="167">
      <c r="A167" s="58">
        <f>IFERROR(__xludf.DUMMYFUNCTION("INDIRECT(""'收支紀錄'!A""&amp;TO_TEXT(ROW()-$C$72))"),45526.013179456015)</f>
        <v>45526.01318</v>
      </c>
      <c r="B167" s="59">
        <f>IFERROR(__xludf.DUMMYFUNCTION("IF(ISBLANK(D167), """", IF(ISDATE(D167), D167, IF(D167=""今天"", A167, IF(D167=""昨天 (-1 day)"", A167-1, IF(D167=""前天 (-2 days)"", A167-2, IF(D167=""明天 (+1 day)"", A167+1, DATE(LEFT(D167,4), MID(D167,5,2), RIGHT(D167,2))))))))"),45518.0)</f>
        <v>45518</v>
      </c>
      <c r="C167" s="60">
        <f>IFERROR(__xludf.DUMMYFUNCTION("INDIRECT(""'收支紀錄'!C""&amp;TO_TEXT(ROW()-$C$72))"),100.0)</f>
        <v>100</v>
      </c>
      <c r="D167" s="59">
        <f>IFERROR(__xludf.DUMMYFUNCTION("INDIRECT(""'收支紀錄'!D""&amp;TO_TEXT(ROW()-$C$72))"),45518.0)</f>
        <v>45518</v>
      </c>
      <c r="E167" s="61" t="str">
        <f>IFERROR(__xludf.DUMMYFUNCTION("INDIRECT(""'收支紀錄'!E""&amp;TO_TEXT(ROW()-$C$72))"),"")</f>
        <v/>
      </c>
      <c r="F167" s="61" t="str">
        <f>IFERROR(__xludf.DUMMYFUNCTION("INDIRECT(""'收支紀錄'!F""&amp;TO_TEXT(ROW()-$C$72))"),"")</f>
        <v/>
      </c>
      <c r="G167" s="61" t="str">
        <f>IFERROR(__xludf.DUMMYFUNCTION("INDIRECT(""'收支紀錄'!G""&amp;TO_TEXT(ROW()-$C$72))"),"")</f>
        <v/>
      </c>
      <c r="H167" s="61" t="str">
        <f>IFERROR(__xludf.DUMMYFUNCTION("INDIRECT(""'收支紀錄'!H""&amp;TO_TEXT(ROW()-$C$72))"),"休閒娛樂")</f>
        <v>休閒娛樂</v>
      </c>
      <c r="I167" s="61" t="str">
        <f>IFERROR(__xludf.DUMMYFUNCTION("INDIRECT(""'收支紀錄'!I""&amp;TO_TEXT(ROW()-$C$72))"),"")</f>
        <v/>
      </c>
      <c r="J167" s="61" t="str">
        <f>IFERROR(__xludf.DUMMYFUNCTION("INDIRECT(""'收支紀錄'!J""&amp;TO_TEXT(ROW()-$C$72))"),"")</f>
        <v/>
      </c>
      <c r="K167" s="61" t="str">
        <f>IFERROR(__xludf.DUMMYFUNCTION("INDIRECT(""'收支紀錄'!K""&amp;TO_TEXT(ROW()-$C$72))"),"")</f>
        <v/>
      </c>
      <c r="L167" s="61" t="str">
        <f>IFERROR(__xludf.DUMMYFUNCTION("INDIRECT(""'收支紀錄'!L""&amp;TO_TEXT(ROW()-$C$72))"),"")</f>
        <v/>
      </c>
      <c r="M167" s="61" t="str">
        <f>IFERROR(__xludf.DUMMYFUNCTION("INDIRECT(""'收支紀錄'!M""&amp;TO_TEXT(ROW()-$C$72))"),"運動健身")</f>
        <v>運動健身</v>
      </c>
      <c r="N167" s="61" t="str">
        <f>IFERROR(__xludf.DUMMYFUNCTION("INDIRECT(""'收支紀錄'!N""&amp;TO_TEXT(ROW()-$C$72))"),"")</f>
        <v/>
      </c>
      <c r="O167" s="61" t="str">
        <f>IFERROR(__xludf.DUMMYFUNCTION("INDIRECT(""'收支紀錄'!O""&amp;TO_TEXT(ROW()-$C$72))"),"")</f>
        <v/>
      </c>
      <c r="P167" s="61" t="str">
        <f>IFERROR(__xludf.DUMMYFUNCTION("INDIRECT(""'收支紀錄'!P""&amp;TO_TEXT(ROW()-$C$72))"),"")</f>
        <v/>
      </c>
      <c r="Q167" s="61" t="str">
        <f>IFERROR(__xludf.DUMMYFUNCTION("INDIRECT(""'收支紀錄'!Q""&amp;TO_TEXT(ROW()-$C$72))"),"")</f>
        <v/>
      </c>
      <c r="R167" s="61" t="str">
        <f>IFERROR(__xludf.DUMMYFUNCTION("INDIRECT(""'收支紀錄'!R""&amp;TO_TEXT(ROW()-$C$72))"),"")</f>
        <v/>
      </c>
      <c r="S167" s="61" t="str">
        <f>IFERROR(__xludf.DUMMYFUNCTION("INDIRECT(""'收支紀錄'!S""&amp;TO_TEXT(ROW()-$C$72))"),"")</f>
        <v/>
      </c>
      <c r="T167" s="61" t="str">
        <f>IFERROR(__xludf.DUMMYFUNCTION("INDIRECT(""'收支紀錄'!T""&amp;TO_TEXT(ROW()-$C$72))"),"")</f>
        <v/>
      </c>
      <c r="U167" s="62" t="str">
        <f>IFERROR(__xludf.DUMMYFUNCTION("IF(T167=""是"",TEXTJOIN("""", TRUE, ""$"", TO_TEXT(C167), S167),"""")"),"")</f>
        <v/>
      </c>
    </row>
    <row r="168">
      <c r="A168" s="58">
        <f>IFERROR(__xludf.DUMMYFUNCTION("INDIRECT(""'收支紀錄'!A""&amp;TO_TEXT(ROW()-$C$72))"),45526.01382921296)</f>
        <v>45526.01383</v>
      </c>
      <c r="B168" s="59">
        <f>IFERROR(__xludf.DUMMYFUNCTION("IF(ISBLANK(D168), """", IF(ISDATE(D168), D168, IF(D168=""今天"", A168, IF(D168=""昨天 (-1 day)"", A168-1, IF(D168=""前天 (-2 days)"", A168-2, IF(D168=""明天 (+1 day)"", A168+1, DATE(LEFT(D168,4), MID(D168,5,2), RIGHT(D168,2))))))))"),45519.0)</f>
        <v>45519</v>
      </c>
      <c r="C168" s="60">
        <f>IFERROR(__xludf.DUMMYFUNCTION("INDIRECT(""'收支紀錄'!C""&amp;TO_TEXT(ROW()-$C$72))"),149.0)</f>
        <v>149</v>
      </c>
      <c r="D168" s="59">
        <f>IFERROR(__xludf.DUMMYFUNCTION("INDIRECT(""'收支紀錄'!D""&amp;TO_TEXT(ROW()-$C$72))"),45519.0)</f>
        <v>45519</v>
      </c>
      <c r="E168" s="61" t="str">
        <f>IFERROR(__xludf.DUMMYFUNCTION("INDIRECT(""'收支紀錄'!E""&amp;TO_TEXT(ROW()-$C$72))"),"")</f>
        <v/>
      </c>
      <c r="F168" s="61" t="str">
        <f>IFERROR(__xludf.DUMMYFUNCTION("INDIRECT(""'收支紀錄'!F""&amp;TO_TEXT(ROW()-$C$72))"),"")</f>
        <v/>
      </c>
      <c r="G168" s="61" t="str">
        <f>IFERROR(__xludf.DUMMYFUNCTION("INDIRECT(""'收支紀錄'!G""&amp;TO_TEXT(ROW()-$C$72))"),"")</f>
        <v/>
      </c>
      <c r="H168" s="61" t="str">
        <f>IFERROR(__xludf.DUMMYFUNCTION("INDIRECT(""'收支紀錄'!H""&amp;TO_TEXT(ROW()-$C$72))"),"食品酒水")</f>
        <v>食品酒水</v>
      </c>
      <c r="I168" s="61" t="str">
        <f>IFERROR(__xludf.DUMMYFUNCTION("INDIRECT(""'收支紀錄'!I""&amp;TO_TEXT(ROW()-$C$72))"),"餐飲票券")</f>
        <v>餐飲票券</v>
      </c>
      <c r="J168" s="61" t="str">
        <f>IFERROR(__xludf.DUMMYFUNCTION("INDIRECT(""'收支紀錄'!J""&amp;TO_TEXT(ROW()-$C$72))"),"")</f>
        <v/>
      </c>
      <c r="K168" s="61" t="str">
        <f>IFERROR(__xludf.DUMMYFUNCTION("INDIRECT(""'收支紀錄'!K""&amp;TO_TEXT(ROW()-$C$72))"),"")</f>
        <v/>
      </c>
      <c r="L168" s="61" t="str">
        <f>IFERROR(__xludf.DUMMYFUNCTION("INDIRECT(""'收支紀錄'!L""&amp;TO_TEXT(ROW()-$C$72))"),"")</f>
        <v/>
      </c>
      <c r="M168" s="61" t="str">
        <f>IFERROR(__xludf.DUMMYFUNCTION("INDIRECT(""'收支紀錄'!M""&amp;TO_TEXT(ROW()-$C$72))"),"")</f>
        <v/>
      </c>
      <c r="N168" s="61" t="str">
        <f>IFERROR(__xludf.DUMMYFUNCTION("INDIRECT(""'收支紀錄'!N""&amp;TO_TEXT(ROW()-$C$72))"),"")</f>
        <v/>
      </c>
      <c r="O168" s="61" t="str">
        <f>IFERROR(__xludf.DUMMYFUNCTION("INDIRECT(""'收支紀錄'!O""&amp;TO_TEXT(ROW()-$C$72))"),"")</f>
        <v/>
      </c>
      <c r="P168" s="61" t="str">
        <f>IFERROR(__xludf.DUMMYFUNCTION("INDIRECT(""'收支紀錄'!P""&amp;TO_TEXT(ROW()-$C$72))"),"")</f>
        <v/>
      </c>
      <c r="Q168" s="61" t="str">
        <f>IFERROR(__xludf.DUMMYFUNCTION("INDIRECT(""'收支紀錄'!Q""&amp;TO_TEXT(ROW()-$C$72))"),"")</f>
        <v/>
      </c>
      <c r="R168" s="61" t="str">
        <f>IFERROR(__xludf.DUMMYFUNCTION("INDIRECT(""'收支紀錄'!R""&amp;TO_TEXT(ROW()-$C$72))"),"")</f>
        <v/>
      </c>
      <c r="S168" s="61" t="str">
        <f>IFERROR(__xludf.DUMMYFUNCTION("INDIRECT(""'收支紀錄'!S""&amp;TO_TEXT(ROW()-$C$72))"),"PChome 7-11禮券$200-$50P幣")</f>
        <v>PChome 7-11禮券$200-$50P幣</v>
      </c>
      <c r="T168" s="61" t="str">
        <f>IFERROR(__xludf.DUMMYFUNCTION("INDIRECT(""'收支紀錄'!T""&amp;TO_TEXT(ROW()-$C$72))"),"否")</f>
        <v>否</v>
      </c>
      <c r="U168" s="62" t="str">
        <f>IFERROR(__xludf.DUMMYFUNCTION("IF(T168=""是"",TEXTJOIN("""", TRUE, ""$"", TO_TEXT(C168), S168),"""")"),"")</f>
        <v/>
      </c>
    </row>
    <row r="169">
      <c r="A169" s="58">
        <f>IFERROR(__xludf.DUMMYFUNCTION("INDIRECT(""'收支紀錄'!A""&amp;TO_TEXT(ROW()-$C$72))"),45526.014108414354)</f>
        <v>45526.01411</v>
      </c>
      <c r="B169" s="59">
        <f>IFERROR(__xludf.DUMMYFUNCTION("IF(ISBLANK(D169), """", IF(ISDATE(D169), D169, IF(D169=""今天"", A169, IF(D169=""昨天 (-1 day)"", A169-1, IF(D169=""前天 (-2 days)"", A169-2, IF(D169=""明天 (+1 day)"", A169+1, DATE(LEFT(D169,4), MID(D169,5,2), RIGHT(D169,2))))))))"),45521.0)</f>
        <v>45521</v>
      </c>
      <c r="C169" s="60">
        <f>IFERROR(__xludf.DUMMYFUNCTION("INDIRECT(""'收支紀錄'!C""&amp;TO_TEXT(ROW()-$C$72))"),479.0)</f>
        <v>479</v>
      </c>
      <c r="D169" s="59">
        <f>IFERROR(__xludf.DUMMYFUNCTION("INDIRECT(""'收支紀錄'!D""&amp;TO_TEXT(ROW()-$C$72))"),45521.0)</f>
        <v>45521</v>
      </c>
      <c r="E169" s="61" t="str">
        <f>IFERROR(__xludf.DUMMYFUNCTION("INDIRECT(""'收支紀錄'!E""&amp;TO_TEXT(ROW()-$C$72))"),"")</f>
        <v/>
      </c>
      <c r="F169" s="61" t="str">
        <f>IFERROR(__xludf.DUMMYFUNCTION("INDIRECT(""'收支紀錄'!F""&amp;TO_TEXT(ROW()-$C$72))"),"")</f>
        <v/>
      </c>
      <c r="G169" s="61" t="str">
        <f>IFERROR(__xludf.DUMMYFUNCTION("INDIRECT(""'收支紀錄'!G""&amp;TO_TEXT(ROW()-$C$72))"),"")</f>
        <v/>
      </c>
      <c r="H169" s="61" t="str">
        <f>IFERROR(__xludf.DUMMYFUNCTION("INDIRECT(""'收支紀錄'!H""&amp;TO_TEXT(ROW()-$C$72))"),"食品酒水")</f>
        <v>食品酒水</v>
      </c>
      <c r="I169" s="61" t="str">
        <f>IFERROR(__xludf.DUMMYFUNCTION("INDIRECT(""'收支紀錄'!I""&amp;TO_TEXT(ROW()-$C$72))"),"午餐")</f>
        <v>午餐</v>
      </c>
      <c r="J169" s="61" t="str">
        <f>IFERROR(__xludf.DUMMYFUNCTION("INDIRECT(""'收支紀錄'!J""&amp;TO_TEXT(ROW()-$C$72))"),"")</f>
        <v/>
      </c>
      <c r="K169" s="61" t="str">
        <f>IFERROR(__xludf.DUMMYFUNCTION("INDIRECT(""'收支紀錄'!K""&amp;TO_TEXT(ROW()-$C$72))"),"")</f>
        <v/>
      </c>
      <c r="L169" s="61" t="str">
        <f>IFERROR(__xludf.DUMMYFUNCTION("INDIRECT(""'收支紀錄'!L""&amp;TO_TEXT(ROW()-$C$72))"),"")</f>
        <v/>
      </c>
      <c r="M169" s="61" t="str">
        <f>IFERROR(__xludf.DUMMYFUNCTION("INDIRECT(""'收支紀錄'!M""&amp;TO_TEXT(ROW()-$C$72))"),"")</f>
        <v/>
      </c>
      <c r="N169" s="61" t="str">
        <f>IFERROR(__xludf.DUMMYFUNCTION("INDIRECT(""'收支紀錄'!N""&amp;TO_TEXT(ROW()-$C$72))"),"")</f>
        <v/>
      </c>
      <c r="O169" s="61" t="str">
        <f>IFERROR(__xludf.DUMMYFUNCTION("INDIRECT(""'收支紀錄'!O""&amp;TO_TEXT(ROW()-$C$72))"),"")</f>
        <v/>
      </c>
      <c r="P169" s="61" t="str">
        <f>IFERROR(__xludf.DUMMYFUNCTION("INDIRECT(""'收支紀錄'!P""&amp;TO_TEXT(ROW()-$C$72))"),"")</f>
        <v/>
      </c>
      <c r="Q169" s="61" t="str">
        <f>IFERROR(__xludf.DUMMYFUNCTION("INDIRECT(""'收支紀錄'!Q""&amp;TO_TEXT(ROW()-$C$72))"),"")</f>
        <v/>
      </c>
      <c r="R169" s="61" t="str">
        <f>IFERROR(__xludf.DUMMYFUNCTION("INDIRECT(""'收支紀錄'!R""&amp;TO_TEXT(ROW()-$C$72))"),"")</f>
        <v/>
      </c>
      <c r="S169" s="61" t="str">
        <f>IFERROR(__xludf.DUMMYFUNCTION("INDIRECT(""'收支紀錄'!S""&amp;TO_TEXT(ROW()-$C$72))"),"")</f>
        <v/>
      </c>
      <c r="T169" s="61" t="str">
        <f>IFERROR(__xludf.DUMMYFUNCTION("INDIRECT(""'收支紀錄'!T""&amp;TO_TEXT(ROW()-$C$72))"),"")</f>
        <v/>
      </c>
      <c r="U169" s="62" t="str">
        <f>IFERROR(__xludf.DUMMYFUNCTION("IF(T169=""是"",TEXTJOIN("""", TRUE, ""$"", TO_TEXT(C169), S169),"""")"),"")</f>
        <v/>
      </c>
    </row>
    <row r="170">
      <c r="A170" s="58">
        <f>IFERROR(__xludf.DUMMYFUNCTION("INDIRECT(""'收支紀錄'!A""&amp;TO_TEXT(ROW()-$C$72))"),45526.01439059028)</f>
        <v>45526.01439</v>
      </c>
      <c r="B170" s="59">
        <f>IFERROR(__xludf.DUMMYFUNCTION("IF(ISBLANK(D170), """", IF(ISDATE(D170), D170, IF(D170=""今天"", A170, IF(D170=""昨天 (-1 day)"", A170-1, IF(D170=""前天 (-2 days)"", A170-2, IF(D170=""明天 (+1 day)"", A170+1, DATE(LEFT(D170,4), MID(D170,5,2), RIGHT(D170,2))))))))"),45522.0)</f>
        <v>45522</v>
      </c>
      <c r="C170" s="60">
        <f>IFERROR(__xludf.DUMMYFUNCTION("INDIRECT(""'收支紀錄'!C""&amp;TO_TEXT(ROW()-$C$72))"),912.0)</f>
        <v>912</v>
      </c>
      <c r="D170" s="59">
        <f>IFERROR(__xludf.DUMMYFUNCTION("INDIRECT(""'收支紀錄'!D""&amp;TO_TEXT(ROW()-$C$72))"),45522.0)</f>
        <v>45522</v>
      </c>
      <c r="E170" s="61" t="str">
        <f>IFERROR(__xludf.DUMMYFUNCTION("INDIRECT(""'收支紀錄'!E""&amp;TO_TEXT(ROW()-$C$72))"),"")</f>
        <v/>
      </c>
      <c r="F170" s="61" t="str">
        <f>IFERROR(__xludf.DUMMYFUNCTION("INDIRECT(""'收支紀錄'!F""&amp;TO_TEXT(ROW()-$C$72))"),"")</f>
        <v/>
      </c>
      <c r="G170" s="61" t="str">
        <f>IFERROR(__xludf.DUMMYFUNCTION("INDIRECT(""'收支紀錄'!G""&amp;TO_TEXT(ROW()-$C$72))"),"")</f>
        <v/>
      </c>
      <c r="H170" s="61" t="str">
        <f>IFERROR(__xludf.DUMMYFUNCTION("INDIRECT(""'收支紀錄'!H""&amp;TO_TEXT(ROW()-$C$72))"),"行車交通")</f>
        <v>行車交通</v>
      </c>
      <c r="I170" s="61" t="str">
        <f>IFERROR(__xludf.DUMMYFUNCTION("INDIRECT(""'收支紀錄'!I""&amp;TO_TEXT(ROW()-$C$72))"),"")</f>
        <v/>
      </c>
      <c r="J170" s="61" t="str">
        <f>IFERROR(__xludf.DUMMYFUNCTION("INDIRECT(""'收支紀錄'!J""&amp;TO_TEXT(ROW()-$C$72))"),"")</f>
        <v/>
      </c>
      <c r="K170" s="61" t="str">
        <f>IFERROR(__xludf.DUMMYFUNCTION("INDIRECT(""'收支紀錄'!K""&amp;TO_TEXT(ROW()-$C$72))"),"")</f>
        <v/>
      </c>
      <c r="L170" s="61" t="str">
        <f>IFERROR(__xludf.DUMMYFUNCTION("INDIRECT(""'收支紀錄'!L""&amp;TO_TEXT(ROW()-$C$72))"),"加油")</f>
        <v>加油</v>
      </c>
      <c r="M170" s="61" t="str">
        <f>IFERROR(__xludf.DUMMYFUNCTION("INDIRECT(""'收支紀錄'!M""&amp;TO_TEXT(ROW()-$C$72))"),"")</f>
        <v/>
      </c>
      <c r="N170" s="61" t="str">
        <f>IFERROR(__xludf.DUMMYFUNCTION("INDIRECT(""'收支紀錄'!N""&amp;TO_TEXT(ROW()-$C$72))"),"")</f>
        <v/>
      </c>
      <c r="O170" s="61" t="str">
        <f>IFERROR(__xludf.DUMMYFUNCTION("INDIRECT(""'收支紀錄'!O""&amp;TO_TEXT(ROW()-$C$72))"),"")</f>
        <v/>
      </c>
      <c r="P170" s="61" t="str">
        <f>IFERROR(__xludf.DUMMYFUNCTION("INDIRECT(""'收支紀錄'!P""&amp;TO_TEXT(ROW()-$C$72))"),"")</f>
        <v/>
      </c>
      <c r="Q170" s="61" t="str">
        <f>IFERROR(__xludf.DUMMYFUNCTION("INDIRECT(""'收支紀錄'!Q""&amp;TO_TEXT(ROW()-$C$72))"),"")</f>
        <v/>
      </c>
      <c r="R170" s="61" t="str">
        <f>IFERROR(__xludf.DUMMYFUNCTION("INDIRECT(""'收支紀錄'!R""&amp;TO_TEXT(ROW()-$C$72))"),"")</f>
        <v/>
      </c>
      <c r="S170" s="61" t="str">
        <f>IFERROR(__xludf.DUMMYFUNCTION("INDIRECT(""'收支紀錄'!S""&amp;TO_TEXT(ROW()-$C$72))"),"")</f>
        <v/>
      </c>
      <c r="T170" s="61" t="str">
        <f>IFERROR(__xludf.DUMMYFUNCTION("INDIRECT(""'收支紀錄'!T""&amp;TO_TEXT(ROW()-$C$72))"),"")</f>
        <v/>
      </c>
      <c r="U170" s="62" t="str">
        <f>IFERROR(__xludf.DUMMYFUNCTION("IF(T170=""是"",TEXTJOIN("""", TRUE, ""$"", TO_TEXT(C170), S170),"""")"),"")</f>
        <v/>
      </c>
    </row>
    <row r="171">
      <c r="A171" s="58">
        <f>IFERROR(__xludf.DUMMYFUNCTION("INDIRECT(""'收支紀錄'!A""&amp;TO_TEXT(ROW()-$C$72))"),45526.01466457176)</f>
        <v>45526.01466</v>
      </c>
      <c r="B171" s="59">
        <f>IFERROR(__xludf.DUMMYFUNCTION("IF(ISBLANK(D171), """", IF(ISDATE(D171), D171, IF(D171=""今天"", A171, IF(D171=""昨天 (-1 day)"", A171-1, IF(D171=""前天 (-2 days)"", A171-2, IF(D171=""明天 (+1 day)"", A171+1, DATE(LEFT(D171,4), MID(D171,5,2), RIGHT(D171,2))))))))"),45525.0)</f>
        <v>45525</v>
      </c>
      <c r="C171" s="60">
        <f>IFERROR(__xludf.DUMMYFUNCTION("INDIRECT(""'收支紀錄'!C""&amp;TO_TEXT(ROW()-$C$72))"),100.0)</f>
        <v>100</v>
      </c>
      <c r="D171" s="59">
        <f>IFERROR(__xludf.DUMMYFUNCTION("INDIRECT(""'收支紀錄'!D""&amp;TO_TEXT(ROW()-$C$72))"),45525.0)</f>
        <v>45525</v>
      </c>
      <c r="E171" s="61" t="str">
        <f>IFERROR(__xludf.DUMMYFUNCTION("INDIRECT(""'收支紀錄'!E""&amp;TO_TEXT(ROW()-$C$72))"),"")</f>
        <v/>
      </c>
      <c r="F171" s="61" t="str">
        <f>IFERROR(__xludf.DUMMYFUNCTION("INDIRECT(""'收支紀錄'!F""&amp;TO_TEXT(ROW()-$C$72))"),"")</f>
        <v/>
      </c>
      <c r="G171" s="61" t="str">
        <f>IFERROR(__xludf.DUMMYFUNCTION("INDIRECT(""'收支紀錄'!G""&amp;TO_TEXT(ROW()-$C$72))"),"")</f>
        <v/>
      </c>
      <c r="H171" s="61" t="str">
        <f>IFERROR(__xludf.DUMMYFUNCTION("INDIRECT(""'收支紀錄'!H""&amp;TO_TEXT(ROW()-$C$72))"),"休閒娛樂")</f>
        <v>休閒娛樂</v>
      </c>
      <c r="I171" s="61" t="str">
        <f>IFERROR(__xludf.DUMMYFUNCTION("INDIRECT(""'收支紀錄'!I""&amp;TO_TEXT(ROW()-$C$72))"),"")</f>
        <v/>
      </c>
      <c r="J171" s="61" t="str">
        <f>IFERROR(__xludf.DUMMYFUNCTION("INDIRECT(""'收支紀錄'!J""&amp;TO_TEXT(ROW()-$C$72))"),"")</f>
        <v/>
      </c>
      <c r="K171" s="61" t="str">
        <f>IFERROR(__xludf.DUMMYFUNCTION("INDIRECT(""'收支紀錄'!K""&amp;TO_TEXT(ROW()-$C$72))"),"")</f>
        <v/>
      </c>
      <c r="L171" s="61" t="str">
        <f>IFERROR(__xludf.DUMMYFUNCTION("INDIRECT(""'收支紀錄'!L""&amp;TO_TEXT(ROW()-$C$72))"),"")</f>
        <v/>
      </c>
      <c r="M171" s="61" t="str">
        <f>IFERROR(__xludf.DUMMYFUNCTION("INDIRECT(""'收支紀錄'!M""&amp;TO_TEXT(ROW()-$C$72))"),"運動健身")</f>
        <v>運動健身</v>
      </c>
      <c r="N171" s="61" t="str">
        <f>IFERROR(__xludf.DUMMYFUNCTION("INDIRECT(""'收支紀錄'!N""&amp;TO_TEXT(ROW()-$C$72))"),"")</f>
        <v/>
      </c>
      <c r="O171" s="61" t="str">
        <f>IFERROR(__xludf.DUMMYFUNCTION("INDIRECT(""'收支紀錄'!O""&amp;TO_TEXT(ROW()-$C$72))"),"")</f>
        <v/>
      </c>
      <c r="P171" s="61" t="str">
        <f>IFERROR(__xludf.DUMMYFUNCTION("INDIRECT(""'收支紀錄'!P""&amp;TO_TEXT(ROW()-$C$72))"),"")</f>
        <v/>
      </c>
      <c r="Q171" s="61" t="str">
        <f>IFERROR(__xludf.DUMMYFUNCTION("INDIRECT(""'收支紀錄'!Q""&amp;TO_TEXT(ROW()-$C$72))"),"")</f>
        <v/>
      </c>
      <c r="R171" s="61" t="str">
        <f>IFERROR(__xludf.DUMMYFUNCTION("INDIRECT(""'收支紀錄'!R""&amp;TO_TEXT(ROW()-$C$72))"),"")</f>
        <v/>
      </c>
      <c r="S171" s="61" t="str">
        <f>IFERROR(__xludf.DUMMYFUNCTION("INDIRECT(""'收支紀錄'!S""&amp;TO_TEXT(ROW()-$C$72))"),"")</f>
        <v/>
      </c>
      <c r="T171" s="61" t="str">
        <f>IFERROR(__xludf.DUMMYFUNCTION("INDIRECT(""'收支紀錄'!T""&amp;TO_TEXT(ROW()-$C$72))"),"否")</f>
        <v>否</v>
      </c>
      <c r="U171" s="62" t="str">
        <f>IFERROR(__xludf.DUMMYFUNCTION("IF(T171=""是"",TEXTJOIN("""", TRUE, ""$"", TO_TEXT(C171), S171),"""")"),"")</f>
        <v/>
      </c>
    </row>
    <row r="172">
      <c r="A172" s="58">
        <f>IFERROR(__xludf.DUMMYFUNCTION("INDIRECT(""'收支紀錄'!A""&amp;TO_TEXT(ROW()-$C$72))"),45526.01525489583)</f>
        <v>45526.01525</v>
      </c>
      <c r="B172" s="59">
        <f>IFERROR(__xludf.DUMMYFUNCTION("IF(ISBLANK(D172), """", IF(ISDATE(D172), D172, IF(D172=""今天"", A172, IF(D172=""昨天 (-1 day)"", A172-1, IF(D172=""前天 (-2 days)"", A172-2, IF(D172=""明天 (+1 day)"", A172+1, DATE(LEFT(D172,4), MID(D172,5,2), RIGHT(D172,2))))))))"),45529.0)</f>
        <v>45529</v>
      </c>
      <c r="C172" s="60">
        <f>IFERROR(__xludf.DUMMYFUNCTION("INDIRECT(""'收支紀錄'!C""&amp;TO_TEXT(ROW()-$C$72))"),465.0)</f>
        <v>465</v>
      </c>
      <c r="D172" s="59">
        <f>IFERROR(__xludf.DUMMYFUNCTION("INDIRECT(""'收支紀錄'!D""&amp;TO_TEXT(ROW()-$C$72))"),45529.0)</f>
        <v>45529</v>
      </c>
      <c r="E172" s="61" t="str">
        <f>IFERROR(__xludf.DUMMYFUNCTION("INDIRECT(""'收支紀錄'!E""&amp;TO_TEXT(ROW()-$C$72))"),"")</f>
        <v/>
      </c>
      <c r="F172" s="61" t="str">
        <f>IFERROR(__xludf.DUMMYFUNCTION("INDIRECT(""'收支紀錄'!F""&amp;TO_TEXT(ROW()-$C$72))"),"")</f>
        <v/>
      </c>
      <c r="G172" s="61" t="str">
        <f>IFERROR(__xludf.DUMMYFUNCTION("INDIRECT(""'收支紀錄'!G""&amp;TO_TEXT(ROW()-$C$72))"),"")</f>
        <v/>
      </c>
      <c r="H172" s="61" t="str">
        <f>IFERROR(__xludf.DUMMYFUNCTION("INDIRECT(""'收支紀錄'!H""&amp;TO_TEXT(ROW()-$C$72))"),"行車交通")</f>
        <v>行車交通</v>
      </c>
      <c r="I172" s="61" t="str">
        <f>IFERROR(__xludf.DUMMYFUNCTION("INDIRECT(""'收支紀錄'!I""&amp;TO_TEXT(ROW()-$C$72))"),"")</f>
        <v/>
      </c>
      <c r="J172" s="61" t="str">
        <f>IFERROR(__xludf.DUMMYFUNCTION("INDIRECT(""'收支紀錄'!J""&amp;TO_TEXT(ROW()-$C$72))"),"")</f>
        <v/>
      </c>
      <c r="K172" s="61" t="str">
        <f>IFERROR(__xludf.DUMMYFUNCTION("INDIRECT(""'收支紀錄'!K""&amp;TO_TEXT(ROW()-$C$72))"),"")</f>
        <v/>
      </c>
      <c r="L172" s="61" t="str">
        <f>IFERROR(__xludf.DUMMYFUNCTION("INDIRECT(""'收支紀錄'!L""&amp;TO_TEXT(ROW()-$C$72))"),"火車費")</f>
        <v>火車費</v>
      </c>
      <c r="M172" s="61" t="str">
        <f>IFERROR(__xludf.DUMMYFUNCTION("INDIRECT(""'收支紀錄'!M""&amp;TO_TEXT(ROW()-$C$72))"),"")</f>
        <v/>
      </c>
      <c r="N172" s="61" t="str">
        <f>IFERROR(__xludf.DUMMYFUNCTION("INDIRECT(""'收支紀錄'!N""&amp;TO_TEXT(ROW()-$C$72))"),"")</f>
        <v/>
      </c>
      <c r="O172" s="61" t="str">
        <f>IFERROR(__xludf.DUMMYFUNCTION("INDIRECT(""'收支紀錄'!O""&amp;TO_TEXT(ROW()-$C$72))"),"")</f>
        <v/>
      </c>
      <c r="P172" s="61" t="str">
        <f>IFERROR(__xludf.DUMMYFUNCTION("INDIRECT(""'收支紀錄'!P""&amp;TO_TEXT(ROW()-$C$72))"),"")</f>
        <v/>
      </c>
      <c r="Q172" s="61" t="str">
        <f>IFERROR(__xludf.DUMMYFUNCTION("INDIRECT(""'收支紀錄'!Q""&amp;TO_TEXT(ROW()-$C$72))"),"")</f>
        <v/>
      </c>
      <c r="R172" s="61" t="str">
        <f>IFERROR(__xludf.DUMMYFUNCTION("INDIRECT(""'收支紀錄'!R""&amp;TO_TEXT(ROW()-$C$72))"),"")</f>
        <v/>
      </c>
      <c r="S172" s="61" t="str">
        <f>IFERROR(__xludf.DUMMYFUNCTION("INDIRECT(""'收支紀錄'!S""&amp;TO_TEXT(ROW()-$C$72))"),"台鐵:高雄-台中")</f>
        <v>台鐵:高雄-台中</v>
      </c>
      <c r="T172" s="61" t="str">
        <f>IFERROR(__xludf.DUMMYFUNCTION("INDIRECT(""'收支紀錄'!T""&amp;TO_TEXT(ROW()-$C$72))"),"否")</f>
        <v>否</v>
      </c>
      <c r="U172" s="62" t="str">
        <f>IFERROR(__xludf.DUMMYFUNCTION("IF(T172=""是"",TEXTJOIN("""", TRUE, ""$"", TO_TEXT(C172), S172),"""")"),"")</f>
        <v/>
      </c>
    </row>
    <row r="173">
      <c r="A173" s="58">
        <f>IFERROR(__xludf.DUMMYFUNCTION("INDIRECT(""'收支紀錄'!A""&amp;TO_TEXT(ROW()-$C$72))"),45526.021826145836)</f>
        <v>45526.02183</v>
      </c>
      <c r="B173" s="59">
        <f>IFERROR(__xludf.DUMMYFUNCTION("IF(ISBLANK(D173), """", IF(ISDATE(D173), D173, IF(D173=""今天"", A173, IF(D173=""昨天 (-1 day)"", A173-1, IF(D173=""前天 (-2 days)"", A173-2, IF(D173=""明天 (+1 day)"", A173+1, DATE(LEFT(D173,4), MID(D173,5,2), RIGHT(D173,2))))))))"),45512.0)</f>
        <v>45512</v>
      </c>
      <c r="C173" s="60">
        <f>IFERROR(__xludf.DUMMYFUNCTION("INDIRECT(""'收支紀錄'!C""&amp;TO_TEXT(ROW()-$C$72))"),40000.0)</f>
        <v>40000</v>
      </c>
      <c r="D173" s="59">
        <f>IFERROR(__xludf.DUMMYFUNCTION("INDIRECT(""'收支紀錄'!D""&amp;TO_TEXT(ROW()-$C$72))"),45512.0)</f>
        <v>45512</v>
      </c>
      <c r="E173" s="61" t="str">
        <f>IFERROR(__xludf.DUMMYFUNCTION("INDIRECT(""'收支紀錄'!E""&amp;TO_TEXT(ROW()-$C$72))"),"")</f>
        <v/>
      </c>
      <c r="F173" s="61" t="str">
        <f>IFERROR(__xludf.DUMMYFUNCTION("INDIRECT(""'收支紀錄'!F""&amp;TO_TEXT(ROW()-$C$72))"),"")</f>
        <v/>
      </c>
      <c r="G173" s="61" t="str">
        <f>IFERROR(__xludf.DUMMYFUNCTION("INDIRECT(""'收支紀錄'!G""&amp;TO_TEXT(ROW()-$C$72))"),"")</f>
        <v/>
      </c>
      <c r="H173" s="61" t="str">
        <f>IFERROR(__xludf.DUMMYFUNCTION("INDIRECT(""'收支紀錄'!H""&amp;TO_TEXT(ROW()-$C$72))"),"休閒娛樂")</f>
        <v>休閒娛樂</v>
      </c>
      <c r="I173" s="61" t="str">
        <f>IFERROR(__xludf.DUMMYFUNCTION("INDIRECT(""'收支紀錄'!I""&amp;TO_TEXT(ROW()-$C$72))"),"")</f>
        <v/>
      </c>
      <c r="J173" s="61" t="str">
        <f>IFERROR(__xludf.DUMMYFUNCTION("INDIRECT(""'收支紀錄'!J""&amp;TO_TEXT(ROW()-$C$72))"),"")</f>
        <v/>
      </c>
      <c r="K173" s="61" t="str">
        <f>IFERROR(__xludf.DUMMYFUNCTION("INDIRECT(""'收支紀錄'!K""&amp;TO_TEXT(ROW()-$C$72))"),"")</f>
        <v/>
      </c>
      <c r="L173" s="61" t="str">
        <f>IFERROR(__xludf.DUMMYFUNCTION("INDIRECT(""'收支紀錄'!L""&amp;TO_TEXT(ROW()-$C$72))"),"")</f>
        <v/>
      </c>
      <c r="M173" s="61" t="str">
        <f>IFERROR(__xludf.DUMMYFUNCTION("INDIRECT(""'收支紀錄'!M""&amp;TO_TEXT(ROW()-$C$72))"),"旅遊度假")</f>
        <v>旅遊度假</v>
      </c>
      <c r="N173" s="61" t="str">
        <f>IFERROR(__xludf.DUMMYFUNCTION("INDIRECT(""'收支紀錄'!N""&amp;TO_TEXT(ROW()-$C$72))"),"")</f>
        <v/>
      </c>
      <c r="O173" s="61" t="str">
        <f>IFERROR(__xludf.DUMMYFUNCTION("INDIRECT(""'收支紀錄'!O""&amp;TO_TEXT(ROW()-$C$72))"),"")</f>
        <v/>
      </c>
      <c r="P173" s="61" t="str">
        <f>IFERROR(__xludf.DUMMYFUNCTION("INDIRECT(""'收支紀錄'!P""&amp;TO_TEXT(ROW()-$C$72))"),"")</f>
        <v/>
      </c>
      <c r="Q173" s="61" t="str">
        <f>IFERROR(__xludf.DUMMYFUNCTION("INDIRECT(""'收支紀錄'!Q""&amp;TO_TEXT(ROW()-$C$72))"),"")</f>
        <v/>
      </c>
      <c r="R173" s="61" t="str">
        <f>IFERROR(__xludf.DUMMYFUNCTION("INDIRECT(""'收支紀錄'!R""&amp;TO_TEXT(ROW()-$C$72))"),"")</f>
        <v/>
      </c>
      <c r="S173" s="61" t="str">
        <f>IFERROR(__xludf.DUMMYFUNCTION("INDIRECT(""'收支紀錄'!S""&amp;TO_TEXT(ROW()-$C$72))"),"韓國旅遊兩人(大概值)")</f>
        <v>韓國旅遊兩人(大概值)</v>
      </c>
      <c r="T173" s="61" t="str">
        <f>IFERROR(__xludf.DUMMYFUNCTION("INDIRECT(""'收支紀錄'!T""&amp;TO_TEXT(ROW()-$C$72))"),"是")</f>
        <v>是</v>
      </c>
      <c r="U173" s="62" t="str">
        <f>IFERROR(__xludf.DUMMYFUNCTION("IF(T173=""是"",TEXTJOIN("""", TRUE, ""$"", TO_TEXT(C173), S173),"""")"),"$40000韓國旅遊兩人(大概值)")</f>
        <v>$40000韓國旅遊兩人(大概值)</v>
      </c>
    </row>
    <row r="174">
      <c r="A174" s="58">
        <f>IFERROR(__xludf.DUMMYFUNCTION("INDIRECT(""'收支紀錄'!A""&amp;TO_TEXT(ROW()-$C$72))"),45526.024642557866)</f>
        <v>45526.02464</v>
      </c>
      <c r="B174" s="59">
        <f>IFERROR(__xludf.DUMMYFUNCTION("IF(ISBLANK(D174), """", IF(ISDATE(D174), D174, IF(D174=""今天"", A174, IF(D174=""昨天 (-1 day)"", A174-1, IF(D174=""前天 (-2 days)"", A174-2, IF(D174=""明天 (+1 day)"", A174+1, DATE(LEFT(D174,4), MID(D174,5,2), RIGHT(D174,2))))))))"),45606.0)</f>
        <v>45606</v>
      </c>
      <c r="C174" s="60">
        <f>IFERROR(__xludf.DUMMYFUNCTION("INDIRECT(""'收支紀錄'!C""&amp;TO_TEXT(ROW()-$C$72))"),118.0)</f>
        <v>118</v>
      </c>
      <c r="D174" s="59">
        <f>IFERROR(__xludf.DUMMYFUNCTION("INDIRECT(""'收支紀錄'!D""&amp;TO_TEXT(ROW()-$C$72))"),45606.0)</f>
        <v>45606</v>
      </c>
      <c r="E174" s="61" t="str">
        <f>IFERROR(__xludf.DUMMYFUNCTION("INDIRECT(""'收支紀錄'!E""&amp;TO_TEXT(ROW()-$C$72))"),"")</f>
        <v/>
      </c>
      <c r="F174" s="61" t="str">
        <f>IFERROR(__xludf.DUMMYFUNCTION("INDIRECT(""'收支紀錄'!F""&amp;TO_TEXT(ROW()-$C$72))"),"")</f>
        <v/>
      </c>
      <c r="G174" s="61" t="str">
        <f>IFERROR(__xludf.DUMMYFUNCTION("INDIRECT(""'收支紀錄'!G""&amp;TO_TEXT(ROW()-$C$72))"),"")</f>
        <v/>
      </c>
      <c r="H174" s="61" t="str">
        <f>IFERROR(__xludf.DUMMYFUNCTION("INDIRECT(""'收支紀錄'!H""&amp;TO_TEXT(ROW()-$C$72))"),"休閒娛樂")</f>
        <v>休閒娛樂</v>
      </c>
      <c r="I174" s="61" t="str">
        <f>IFERROR(__xludf.DUMMYFUNCTION("INDIRECT(""'收支紀錄'!I""&amp;TO_TEXT(ROW()-$C$72))"),"")</f>
        <v/>
      </c>
      <c r="J174" s="61" t="str">
        <f>IFERROR(__xludf.DUMMYFUNCTION("INDIRECT(""'收支紀錄'!J""&amp;TO_TEXT(ROW()-$C$72))"),"")</f>
        <v/>
      </c>
      <c r="K174" s="61" t="str">
        <f>IFERROR(__xludf.DUMMYFUNCTION("INDIRECT(""'收支紀錄'!K""&amp;TO_TEXT(ROW()-$C$72))"),"")</f>
        <v/>
      </c>
      <c r="L174" s="61" t="str">
        <f>IFERROR(__xludf.DUMMYFUNCTION("INDIRECT(""'收支紀錄'!L""&amp;TO_TEXT(ROW()-$C$72))"),"")</f>
        <v/>
      </c>
      <c r="M174" s="61" t="str">
        <f>IFERROR(__xludf.DUMMYFUNCTION("INDIRECT(""'收支紀錄'!M""&amp;TO_TEXT(ROW()-$C$72))"),"運動健身")</f>
        <v>運動健身</v>
      </c>
      <c r="N174" s="61" t="str">
        <f>IFERROR(__xludf.DUMMYFUNCTION("INDIRECT(""'收支紀錄'!N""&amp;TO_TEXT(ROW()-$C$72))"),"")</f>
        <v/>
      </c>
      <c r="O174" s="61" t="str">
        <f>IFERROR(__xludf.DUMMYFUNCTION("INDIRECT(""'收支紀錄'!O""&amp;TO_TEXT(ROW()-$C$72))"),"")</f>
        <v/>
      </c>
      <c r="P174" s="61" t="str">
        <f>IFERROR(__xludf.DUMMYFUNCTION("INDIRECT(""'收支紀錄'!P""&amp;TO_TEXT(ROW()-$C$72))"),"")</f>
        <v/>
      </c>
      <c r="Q174" s="61" t="str">
        <f>IFERROR(__xludf.DUMMYFUNCTION("INDIRECT(""'收支紀錄'!Q""&amp;TO_TEXT(ROW()-$C$72))"),"")</f>
        <v/>
      </c>
      <c r="R174" s="61" t="str">
        <f>IFERROR(__xludf.DUMMYFUNCTION("INDIRECT(""'收支紀錄'!R""&amp;TO_TEXT(ROW()-$C$72))"),"")</f>
        <v/>
      </c>
      <c r="S174" s="61" t="str">
        <f>IFERROR(__xludf.DUMMYFUNCTION("INDIRECT(""'收支紀錄'!S""&amp;TO_TEXT(ROW()-$C$72))"),"舒跑盃報名費$100+ibon手續費$18")</f>
        <v>舒跑盃報名費$100+ibon手續費$18</v>
      </c>
      <c r="T174" s="61" t="str">
        <f>IFERROR(__xludf.DUMMYFUNCTION("INDIRECT(""'收支紀錄'!T""&amp;TO_TEXT(ROW()-$C$72))"),"否")</f>
        <v>否</v>
      </c>
      <c r="U174" s="62" t="str">
        <f>IFERROR(__xludf.DUMMYFUNCTION("IF(T174=""是"",TEXTJOIN("""", TRUE, ""$"", TO_TEXT(C174), S174),"""")"),"")</f>
        <v/>
      </c>
    </row>
    <row r="175">
      <c r="A175" s="58">
        <f>IFERROR(__xludf.DUMMYFUNCTION("INDIRECT(""'收支紀錄'!A""&amp;TO_TEXT(ROW()-$C$72))"),45528.39581207176)</f>
        <v>45528.39581</v>
      </c>
      <c r="B175" s="59">
        <f>IFERROR(__xludf.DUMMYFUNCTION("IF(ISBLANK(D175), """", IF(ISDATE(D175), D175, IF(D175=""今天"", A175, IF(D175=""昨天 (-1 day)"", A175-1, IF(D175=""前天 (-2 days)"", A175-2, IF(D175=""明天 (+1 day)"", A175+1, DATE(LEFT(D175,4), MID(D175,5,2), RIGHT(D175,2))))))))"),45528.0)</f>
        <v>45528</v>
      </c>
      <c r="C175" s="60">
        <f>IFERROR(__xludf.DUMMYFUNCTION("INDIRECT(""'收支紀錄'!C""&amp;TO_TEXT(ROW()-$C$72))"),40.0)</f>
        <v>40</v>
      </c>
      <c r="D175" s="59">
        <f>IFERROR(__xludf.DUMMYFUNCTION("INDIRECT(""'收支紀錄'!D""&amp;TO_TEXT(ROW()-$C$72))"),45528.0)</f>
        <v>45528</v>
      </c>
      <c r="E175" s="61" t="str">
        <f>IFERROR(__xludf.DUMMYFUNCTION("INDIRECT(""'收支紀錄'!E""&amp;TO_TEXT(ROW()-$C$72))"),"")</f>
        <v/>
      </c>
      <c r="F175" s="61" t="str">
        <f>IFERROR(__xludf.DUMMYFUNCTION("INDIRECT(""'收支紀錄'!F""&amp;TO_TEXT(ROW()-$C$72))"),"")</f>
        <v/>
      </c>
      <c r="G175" s="61" t="str">
        <f>IFERROR(__xludf.DUMMYFUNCTION("INDIRECT(""'收支紀錄'!G""&amp;TO_TEXT(ROW()-$C$72))"),"")</f>
        <v/>
      </c>
      <c r="H175" s="61" t="str">
        <f>IFERROR(__xludf.DUMMYFUNCTION("INDIRECT(""'收支紀錄'!H""&amp;TO_TEXT(ROW()-$C$72))"),"行車交通")</f>
        <v>行車交通</v>
      </c>
      <c r="I175" s="61" t="str">
        <f>IFERROR(__xludf.DUMMYFUNCTION("INDIRECT(""'收支紀錄'!I""&amp;TO_TEXT(ROW()-$C$72))"),"")</f>
        <v/>
      </c>
      <c r="J175" s="61" t="str">
        <f>IFERROR(__xludf.DUMMYFUNCTION("INDIRECT(""'收支紀錄'!J""&amp;TO_TEXT(ROW()-$C$72))"),"")</f>
        <v/>
      </c>
      <c r="K175" s="61" t="str">
        <f>IFERROR(__xludf.DUMMYFUNCTION("INDIRECT(""'收支紀錄'!K""&amp;TO_TEXT(ROW()-$C$72))"),"")</f>
        <v/>
      </c>
      <c r="L175" s="61" t="str">
        <f>IFERROR(__xludf.DUMMYFUNCTION("INDIRECT(""'收支紀錄'!L""&amp;TO_TEXT(ROW()-$C$72))"),"捷運費")</f>
        <v>捷運費</v>
      </c>
      <c r="M175" s="61" t="str">
        <f>IFERROR(__xludf.DUMMYFUNCTION("INDIRECT(""'收支紀錄'!M""&amp;TO_TEXT(ROW()-$C$72))"),"")</f>
        <v/>
      </c>
      <c r="N175" s="61" t="str">
        <f>IFERROR(__xludf.DUMMYFUNCTION("INDIRECT(""'收支紀錄'!N""&amp;TO_TEXT(ROW()-$C$72))"),"")</f>
        <v/>
      </c>
      <c r="O175" s="61" t="str">
        <f>IFERROR(__xludf.DUMMYFUNCTION("INDIRECT(""'收支紀錄'!O""&amp;TO_TEXT(ROW()-$C$72))"),"")</f>
        <v/>
      </c>
      <c r="P175" s="61" t="str">
        <f>IFERROR(__xludf.DUMMYFUNCTION("INDIRECT(""'收支紀錄'!P""&amp;TO_TEXT(ROW()-$C$72))"),"")</f>
        <v/>
      </c>
      <c r="Q175" s="61" t="str">
        <f>IFERROR(__xludf.DUMMYFUNCTION("INDIRECT(""'收支紀錄'!Q""&amp;TO_TEXT(ROW()-$C$72))"),"")</f>
        <v/>
      </c>
      <c r="R175" s="61" t="str">
        <f>IFERROR(__xludf.DUMMYFUNCTION("INDIRECT(""'收支紀錄'!R""&amp;TO_TEXT(ROW()-$C$72))"),"")</f>
        <v/>
      </c>
      <c r="S175" s="61" t="str">
        <f>IFERROR(__xludf.DUMMYFUNCTION("INDIRECT(""'收支紀錄'!S""&amp;TO_TEXT(ROW()-$C$72))"),"")</f>
        <v/>
      </c>
      <c r="T175" s="61" t="str">
        <f>IFERROR(__xludf.DUMMYFUNCTION("INDIRECT(""'收支紀錄'!T""&amp;TO_TEXT(ROW()-$C$72))"),"")</f>
        <v/>
      </c>
      <c r="U175" s="62" t="str">
        <f>IFERROR(__xludf.DUMMYFUNCTION("IF(T175=""是"",TEXTJOIN("""", TRUE, ""$"", TO_TEXT(C175), S175),"""")"),"")</f>
        <v/>
      </c>
    </row>
    <row r="176">
      <c r="A176" s="58">
        <f>IFERROR(__xludf.DUMMYFUNCTION("INDIRECT(""'收支紀錄'!A""&amp;TO_TEXT(ROW()-$C$72))"),45528.39618891204)</f>
        <v>45528.39619</v>
      </c>
      <c r="B176" s="59">
        <f>IFERROR(__xludf.DUMMYFUNCTION("IF(ISBLANK(D176), """", IF(ISDATE(D176), D176, IF(D176=""今天"", A176, IF(D176=""昨天 (-1 day)"", A176-1, IF(D176=""前天 (-2 days)"", A176-2, IF(D176=""明天 (+1 day)"", A176+1, DATE(LEFT(D176,4), MID(D176,5,2), RIGHT(D176,2))))))))"),45528.0)</f>
        <v>45528</v>
      </c>
      <c r="C176" s="60">
        <f>IFERROR(__xludf.DUMMYFUNCTION("INDIRECT(""'收支紀錄'!C""&amp;TO_TEXT(ROW()-$C$72))"),765.0)</f>
        <v>765</v>
      </c>
      <c r="D176" s="59">
        <f>IFERROR(__xludf.DUMMYFUNCTION("INDIRECT(""'收支紀錄'!D""&amp;TO_TEXT(ROW()-$C$72))"),45528.0)</f>
        <v>45528</v>
      </c>
      <c r="E176" s="61" t="str">
        <f>IFERROR(__xludf.DUMMYFUNCTION("INDIRECT(""'收支紀錄'!E""&amp;TO_TEXT(ROW()-$C$72))"),"")</f>
        <v/>
      </c>
      <c r="F176" s="61" t="str">
        <f>IFERROR(__xludf.DUMMYFUNCTION("INDIRECT(""'收支紀錄'!F""&amp;TO_TEXT(ROW()-$C$72))"),"")</f>
        <v/>
      </c>
      <c r="G176" s="61" t="str">
        <f>IFERROR(__xludf.DUMMYFUNCTION("INDIRECT(""'收支紀錄'!G""&amp;TO_TEXT(ROW()-$C$72))"),"")</f>
        <v/>
      </c>
      <c r="H176" s="61" t="str">
        <f>IFERROR(__xludf.DUMMYFUNCTION("INDIRECT(""'收支紀錄'!H""&amp;TO_TEXT(ROW()-$C$72))"),"行車交通")</f>
        <v>行車交通</v>
      </c>
      <c r="I176" s="61" t="str">
        <f>IFERROR(__xludf.DUMMYFUNCTION("INDIRECT(""'收支紀錄'!I""&amp;TO_TEXT(ROW()-$C$72))"),"")</f>
        <v/>
      </c>
      <c r="J176" s="61" t="str">
        <f>IFERROR(__xludf.DUMMYFUNCTION("INDIRECT(""'收支紀錄'!J""&amp;TO_TEXT(ROW()-$C$72))"),"")</f>
        <v/>
      </c>
      <c r="K176" s="61" t="str">
        <f>IFERROR(__xludf.DUMMYFUNCTION("INDIRECT(""'收支紀錄'!K""&amp;TO_TEXT(ROW()-$C$72))"),"")</f>
        <v/>
      </c>
      <c r="L176" s="61" t="str">
        <f>IFERROR(__xludf.DUMMYFUNCTION("INDIRECT(""'收支紀錄'!L""&amp;TO_TEXT(ROW()-$C$72))"),"高鐵")</f>
        <v>高鐵</v>
      </c>
      <c r="M176" s="61" t="str">
        <f>IFERROR(__xludf.DUMMYFUNCTION("INDIRECT(""'收支紀錄'!M""&amp;TO_TEXT(ROW()-$C$72))"),"")</f>
        <v/>
      </c>
      <c r="N176" s="61" t="str">
        <f>IFERROR(__xludf.DUMMYFUNCTION("INDIRECT(""'收支紀錄'!N""&amp;TO_TEXT(ROW()-$C$72))"),"")</f>
        <v/>
      </c>
      <c r="O176" s="61" t="str">
        <f>IFERROR(__xludf.DUMMYFUNCTION("INDIRECT(""'收支紀錄'!O""&amp;TO_TEXT(ROW()-$C$72))"),"")</f>
        <v/>
      </c>
      <c r="P176" s="61" t="str">
        <f>IFERROR(__xludf.DUMMYFUNCTION("INDIRECT(""'收支紀錄'!P""&amp;TO_TEXT(ROW()-$C$72))"),"")</f>
        <v/>
      </c>
      <c r="Q176" s="61" t="str">
        <f>IFERROR(__xludf.DUMMYFUNCTION("INDIRECT(""'收支紀錄'!Q""&amp;TO_TEXT(ROW()-$C$72))"),"")</f>
        <v/>
      </c>
      <c r="R176" s="61" t="str">
        <f>IFERROR(__xludf.DUMMYFUNCTION("INDIRECT(""'收支紀錄'!R""&amp;TO_TEXT(ROW()-$C$72))"),"")</f>
        <v/>
      </c>
      <c r="S176" s="61" t="str">
        <f>IFERROR(__xludf.DUMMYFUNCTION("INDIRECT(""'收支紀錄'!S""&amp;TO_TEXT(ROW()-$C$72))"),"")</f>
        <v/>
      </c>
      <c r="T176" s="61" t="str">
        <f>IFERROR(__xludf.DUMMYFUNCTION("INDIRECT(""'收支紀錄'!T""&amp;TO_TEXT(ROW()-$C$72))"),"")</f>
        <v/>
      </c>
      <c r="U176" s="62" t="str">
        <f>IFERROR(__xludf.DUMMYFUNCTION("IF(T176=""是"",TEXTJOIN("""", TRUE, ""$"", TO_TEXT(C176), S176),"""")"),"")</f>
        <v/>
      </c>
    </row>
    <row r="177">
      <c r="A177" s="58">
        <f>IFERROR(__xludf.DUMMYFUNCTION("INDIRECT(""'收支紀錄'!A""&amp;TO_TEXT(ROW()-$C$72))"),45528.501406944444)</f>
        <v>45528.50141</v>
      </c>
      <c r="B177" s="59">
        <f>IFERROR(__xludf.DUMMYFUNCTION("IF(ISBLANK(D177), """", IF(ISDATE(D177), D177, IF(D177=""今天"", A177, IF(D177=""昨天 (-1 day)"", A177-1, IF(D177=""前天 (-2 days)"", A177-2, IF(D177=""明天 (+1 day)"", A177+1, DATE(LEFT(D177,4), MID(D177,5,2), RIGHT(D177,2))))))))"),45528.0)</f>
        <v>45528</v>
      </c>
      <c r="C177" s="60">
        <f>IFERROR(__xludf.DUMMYFUNCTION("INDIRECT(""'收支紀錄'!C""&amp;TO_TEXT(ROW()-$C$72))"),32.0)</f>
        <v>32</v>
      </c>
      <c r="D177" s="59">
        <f>IFERROR(__xludf.DUMMYFUNCTION("INDIRECT(""'收支紀錄'!D""&amp;TO_TEXT(ROW()-$C$72))"),45528.0)</f>
        <v>45528</v>
      </c>
      <c r="E177" s="61" t="str">
        <f>IFERROR(__xludf.DUMMYFUNCTION("INDIRECT(""'收支紀錄'!E""&amp;TO_TEXT(ROW()-$C$72))"),"")</f>
        <v/>
      </c>
      <c r="F177" s="61" t="str">
        <f>IFERROR(__xludf.DUMMYFUNCTION("INDIRECT(""'收支紀錄'!F""&amp;TO_TEXT(ROW()-$C$72))"),"")</f>
        <v/>
      </c>
      <c r="G177" s="61" t="str">
        <f>IFERROR(__xludf.DUMMYFUNCTION("INDIRECT(""'收支紀錄'!G""&amp;TO_TEXT(ROW()-$C$72))"),"")</f>
        <v/>
      </c>
      <c r="H177" s="61" t="str">
        <f>IFERROR(__xludf.DUMMYFUNCTION("INDIRECT(""'收支紀錄'!H""&amp;TO_TEXT(ROW()-$C$72))"),"行車交通")</f>
        <v>行車交通</v>
      </c>
      <c r="I177" s="61" t="str">
        <f>IFERROR(__xludf.DUMMYFUNCTION("INDIRECT(""'收支紀錄'!I""&amp;TO_TEXT(ROW()-$C$72))"),"")</f>
        <v/>
      </c>
      <c r="J177" s="61" t="str">
        <f>IFERROR(__xludf.DUMMYFUNCTION("INDIRECT(""'收支紀錄'!J""&amp;TO_TEXT(ROW()-$C$72))"),"")</f>
        <v/>
      </c>
      <c r="K177" s="61" t="str">
        <f>IFERROR(__xludf.DUMMYFUNCTION("INDIRECT(""'收支紀錄'!K""&amp;TO_TEXT(ROW()-$C$72))"),"")</f>
        <v/>
      </c>
      <c r="L177" s="61" t="str">
        <f>IFERROR(__xludf.DUMMYFUNCTION("INDIRECT(""'收支紀錄'!L""&amp;TO_TEXT(ROW()-$C$72))"),"捷運費")</f>
        <v>捷運費</v>
      </c>
      <c r="M177" s="61" t="str">
        <f>IFERROR(__xludf.DUMMYFUNCTION("INDIRECT(""'收支紀錄'!M""&amp;TO_TEXT(ROW()-$C$72))"),"")</f>
        <v/>
      </c>
      <c r="N177" s="61" t="str">
        <f>IFERROR(__xludf.DUMMYFUNCTION("INDIRECT(""'收支紀錄'!N""&amp;TO_TEXT(ROW()-$C$72))"),"")</f>
        <v/>
      </c>
      <c r="O177" s="61" t="str">
        <f>IFERROR(__xludf.DUMMYFUNCTION("INDIRECT(""'收支紀錄'!O""&amp;TO_TEXT(ROW()-$C$72))"),"")</f>
        <v/>
      </c>
      <c r="P177" s="61" t="str">
        <f>IFERROR(__xludf.DUMMYFUNCTION("INDIRECT(""'收支紀錄'!P""&amp;TO_TEXT(ROW()-$C$72))"),"")</f>
        <v/>
      </c>
      <c r="Q177" s="61" t="str">
        <f>IFERROR(__xludf.DUMMYFUNCTION("INDIRECT(""'收支紀錄'!Q""&amp;TO_TEXT(ROW()-$C$72))"),"")</f>
        <v/>
      </c>
      <c r="R177" s="61" t="str">
        <f>IFERROR(__xludf.DUMMYFUNCTION("INDIRECT(""'收支紀錄'!R""&amp;TO_TEXT(ROW()-$C$72))"),"")</f>
        <v/>
      </c>
      <c r="S177" s="61" t="str">
        <f>IFERROR(__xludf.DUMMYFUNCTION("INDIRECT(""'收支紀錄'!S""&amp;TO_TEXT(ROW()-$C$72))"),"")</f>
        <v/>
      </c>
      <c r="T177" s="61" t="str">
        <f>IFERROR(__xludf.DUMMYFUNCTION("INDIRECT(""'收支紀錄'!T""&amp;TO_TEXT(ROW()-$C$72))"),"")</f>
        <v/>
      </c>
      <c r="U177" s="62" t="str">
        <f>IFERROR(__xludf.DUMMYFUNCTION("IF(T177=""是"",TEXTJOIN("""", TRUE, ""$"", TO_TEXT(C177), S177),"""")"),"")</f>
        <v/>
      </c>
    </row>
    <row r="178">
      <c r="A178" s="58">
        <f>IFERROR(__xludf.DUMMYFUNCTION("INDIRECT(""'收支紀錄'!A""&amp;TO_TEXT(ROW()-$C$72))"),45529.64042299769)</f>
        <v>45529.64042</v>
      </c>
      <c r="B178" s="59">
        <f>IFERROR(__xludf.DUMMYFUNCTION("IF(ISBLANK(D178), """", IF(ISDATE(D178), D178, IF(D178=""今天"", A178, IF(D178=""昨天 (-1 day)"", A178-1, IF(D178=""前天 (-2 days)"", A178-2, IF(D178=""明天 (+1 day)"", A178+1, DATE(LEFT(D178,4), MID(D178,5,2), RIGHT(D178,2))))))))"),45529.0)</f>
        <v>45529</v>
      </c>
      <c r="C178" s="60">
        <f>IFERROR(__xludf.DUMMYFUNCTION("INDIRECT(""'收支紀錄'!C""&amp;TO_TEXT(ROW()-$C$72))"),35.0)</f>
        <v>35</v>
      </c>
      <c r="D178" s="59">
        <f>IFERROR(__xludf.DUMMYFUNCTION("INDIRECT(""'收支紀錄'!D""&amp;TO_TEXT(ROW()-$C$72))"),45529.0)</f>
        <v>45529</v>
      </c>
      <c r="E178" s="61" t="str">
        <f>IFERROR(__xludf.DUMMYFUNCTION("INDIRECT(""'收支紀錄'!E""&amp;TO_TEXT(ROW()-$C$72))"),"")</f>
        <v/>
      </c>
      <c r="F178" s="61" t="str">
        <f>IFERROR(__xludf.DUMMYFUNCTION("INDIRECT(""'收支紀錄'!F""&amp;TO_TEXT(ROW()-$C$72))"),"")</f>
        <v/>
      </c>
      <c r="G178" s="61" t="str">
        <f>IFERROR(__xludf.DUMMYFUNCTION("INDIRECT(""'收支紀錄'!G""&amp;TO_TEXT(ROW()-$C$72))"),"")</f>
        <v/>
      </c>
      <c r="H178" s="61" t="str">
        <f>IFERROR(__xludf.DUMMYFUNCTION("INDIRECT(""'收支紀錄'!H""&amp;TO_TEXT(ROW()-$C$72))"),"食品酒水")</f>
        <v>食品酒水</v>
      </c>
      <c r="I178" s="61" t="str">
        <f>IFERROR(__xludf.DUMMYFUNCTION("INDIRECT(""'收支紀錄'!I""&amp;TO_TEXT(ROW()-$C$72))"),"飲料酒水")</f>
        <v>飲料酒水</v>
      </c>
      <c r="J178" s="61" t="str">
        <f>IFERROR(__xludf.DUMMYFUNCTION("INDIRECT(""'收支紀錄'!J""&amp;TO_TEXT(ROW()-$C$72))"),"")</f>
        <v/>
      </c>
      <c r="K178" s="61" t="str">
        <f>IFERROR(__xludf.DUMMYFUNCTION("INDIRECT(""'收支紀錄'!K""&amp;TO_TEXT(ROW()-$C$72))"),"")</f>
        <v/>
      </c>
      <c r="L178" s="61" t="str">
        <f>IFERROR(__xludf.DUMMYFUNCTION("INDIRECT(""'收支紀錄'!L""&amp;TO_TEXT(ROW()-$C$72))"),"")</f>
        <v/>
      </c>
      <c r="M178" s="61" t="str">
        <f>IFERROR(__xludf.DUMMYFUNCTION("INDIRECT(""'收支紀錄'!M""&amp;TO_TEXT(ROW()-$C$72))"),"")</f>
        <v/>
      </c>
      <c r="N178" s="61" t="str">
        <f>IFERROR(__xludf.DUMMYFUNCTION("INDIRECT(""'收支紀錄'!N""&amp;TO_TEXT(ROW()-$C$72))"),"")</f>
        <v/>
      </c>
      <c r="O178" s="61" t="str">
        <f>IFERROR(__xludf.DUMMYFUNCTION("INDIRECT(""'收支紀錄'!O""&amp;TO_TEXT(ROW()-$C$72))"),"")</f>
        <v/>
      </c>
      <c r="P178" s="61" t="str">
        <f>IFERROR(__xludf.DUMMYFUNCTION("INDIRECT(""'收支紀錄'!P""&amp;TO_TEXT(ROW()-$C$72))"),"")</f>
        <v/>
      </c>
      <c r="Q178" s="61" t="str">
        <f>IFERROR(__xludf.DUMMYFUNCTION("INDIRECT(""'收支紀錄'!Q""&amp;TO_TEXT(ROW()-$C$72))"),"")</f>
        <v/>
      </c>
      <c r="R178" s="61" t="str">
        <f>IFERROR(__xludf.DUMMYFUNCTION("INDIRECT(""'收支紀錄'!R""&amp;TO_TEXT(ROW()-$C$72))"),"")</f>
        <v/>
      </c>
      <c r="S178" s="61" t="str">
        <f>IFERROR(__xludf.DUMMYFUNCTION("INDIRECT(""'收支紀錄'!S""&amp;TO_TEXT(ROW()-$C$72))"),"")</f>
        <v/>
      </c>
      <c r="T178" s="61" t="str">
        <f>IFERROR(__xludf.DUMMYFUNCTION("INDIRECT(""'收支紀錄'!T""&amp;TO_TEXT(ROW()-$C$72))"),"")</f>
        <v/>
      </c>
      <c r="U178" s="62" t="str">
        <f>IFERROR(__xludf.DUMMYFUNCTION("IF(T178=""是"",TEXTJOIN("""", TRUE, ""$"", TO_TEXT(C178), S178),"""")"),"")</f>
        <v/>
      </c>
    </row>
    <row r="179">
      <c r="A179" s="58">
        <f>IFERROR(__xludf.DUMMYFUNCTION("INDIRECT(""'收支紀錄'!A""&amp;TO_TEXT(ROW()-$C$72))"),45529.94301333334)</f>
        <v>45529.94301</v>
      </c>
      <c r="B179" s="59">
        <f>IFERROR(__xludf.DUMMYFUNCTION("IF(ISBLANK(D179), """", IF(ISDATE(D179), D179, IF(D179=""今天"", A179, IF(D179=""昨天 (-1 day)"", A179-1, IF(D179=""前天 (-2 days)"", A179-2, IF(D179=""明天 (+1 day)"", A179+1, DATE(LEFT(D179,4), MID(D179,5,2), RIGHT(D179,2))))))))"),45529.0)</f>
        <v>45529</v>
      </c>
      <c r="C179" s="60">
        <f>IFERROR(__xludf.DUMMYFUNCTION("INDIRECT(""'收支紀錄'!C""&amp;TO_TEXT(ROW()-$C$72))"),480.0)</f>
        <v>480</v>
      </c>
      <c r="D179" s="59">
        <f>IFERROR(__xludf.DUMMYFUNCTION("INDIRECT(""'收支紀錄'!D""&amp;TO_TEXT(ROW()-$C$72))"),45529.0)</f>
        <v>45529</v>
      </c>
      <c r="E179" s="61" t="str">
        <f>IFERROR(__xludf.DUMMYFUNCTION("INDIRECT(""'收支紀錄'!E""&amp;TO_TEXT(ROW()-$C$72))"),"")</f>
        <v/>
      </c>
      <c r="F179" s="61" t="str">
        <f>IFERROR(__xludf.DUMMYFUNCTION("INDIRECT(""'收支紀錄'!F""&amp;TO_TEXT(ROW()-$C$72))"),"")</f>
        <v/>
      </c>
      <c r="G179" s="61" t="str">
        <f>IFERROR(__xludf.DUMMYFUNCTION("INDIRECT(""'收支紀錄'!G""&amp;TO_TEXT(ROW()-$C$72))"),"")</f>
        <v/>
      </c>
      <c r="H179" s="61" t="str">
        <f>IFERROR(__xludf.DUMMYFUNCTION("INDIRECT(""'收支紀錄'!H""&amp;TO_TEXT(ROW()-$C$72))"),"食品酒水")</f>
        <v>食品酒水</v>
      </c>
      <c r="I179" s="61" t="str">
        <f>IFERROR(__xludf.DUMMYFUNCTION("INDIRECT(""'收支紀錄'!I""&amp;TO_TEXT(ROW()-$C$72))"),"晚餐")</f>
        <v>晚餐</v>
      </c>
      <c r="J179" s="61" t="str">
        <f>IFERROR(__xludf.DUMMYFUNCTION("INDIRECT(""'收支紀錄'!J""&amp;TO_TEXT(ROW()-$C$72))"),"")</f>
        <v/>
      </c>
      <c r="K179" s="61" t="str">
        <f>IFERROR(__xludf.DUMMYFUNCTION("INDIRECT(""'收支紀錄'!K""&amp;TO_TEXT(ROW()-$C$72))"),"")</f>
        <v/>
      </c>
      <c r="L179" s="61" t="str">
        <f>IFERROR(__xludf.DUMMYFUNCTION("INDIRECT(""'收支紀錄'!L""&amp;TO_TEXT(ROW()-$C$72))"),"")</f>
        <v/>
      </c>
      <c r="M179" s="61" t="str">
        <f>IFERROR(__xludf.DUMMYFUNCTION("INDIRECT(""'收支紀錄'!M""&amp;TO_TEXT(ROW()-$C$72))"),"")</f>
        <v/>
      </c>
      <c r="N179" s="61" t="str">
        <f>IFERROR(__xludf.DUMMYFUNCTION("INDIRECT(""'收支紀錄'!N""&amp;TO_TEXT(ROW()-$C$72))"),"")</f>
        <v/>
      </c>
      <c r="O179" s="61" t="str">
        <f>IFERROR(__xludf.DUMMYFUNCTION("INDIRECT(""'收支紀錄'!O""&amp;TO_TEXT(ROW()-$C$72))"),"")</f>
        <v/>
      </c>
      <c r="P179" s="61" t="str">
        <f>IFERROR(__xludf.DUMMYFUNCTION("INDIRECT(""'收支紀錄'!P""&amp;TO_TEXT(ROW()-$C$72))"),"")</f>
        <v/>
      </c>
      <c r="Q179" s="61" t="str">
        <f>IFERROR(__xludf.DUMMYFUNCTION("INDIRECT(""'收支紀錄'!Q""&amp;TO_TEXT(ROW()-$C$72))"),"")</f>
        <v/>
      </c>
      <c r="R179" s="61" t="str">
        <f>IFERROR(__xludf.DUMMYFUNCTION("INDIRECT(""'收支紀錄'!R""&amp;TO_TEXT(ROW()-$C$72))"),"")</f>
        <v/>
      </c>
      <c r="S179" s="61" t="str">
        <f>IFERROR(__xludf.DUMMYFUNCTION("INDIRECT(""'收支紀錄'!S""&amp;TO_TEXT(ROW()-$C$72))"),"")</f>
        <v/>
      </c>
      <c r="T179" s="61" t="str">
        <f>IFERROR(__xludf.DUMMYFUNCTION("INDIRECT(""'收支紀錄'!T""&amp;TO_TEXT(ROW()-$C$72))"),"")</f>
        <v/>
      </c>
      <c r="U179" s="62" t="str">
        <f>IFERROR(__xludf.DUMMYFUNCTION("IF(T179=""是"",TEXTJOIN("""", TRUE, ""$"", TO_TEXT(C179), S179),"""")"),"")</f>
        <v/>
      </c>
    </row>
    <row r="180">
      <c r="A180" s="58">
        <f>IFERROR(__xludf.DUMMYFUNCTION("INDIRECT(""'收支紀錄'!A""&amp;TO_TEXT(ROW()-$C$72))"),45533.91611715278)</f>
        <v>45533.91612</v>
      </c>
      <c r="B180" s="59">
        <f>IFERROR(__xludf.DUMMYFUNCTION("IF(ISBLANK(D180), """", IF(ISDATE(D180), D180, IF(D180=""今天"", A180, IF(D180=""昨天 (-1 day)"", A180-1, IF(D180=""前天 (-2 days)"", A180-2, IF(D180=""明天 (+1 day)"", A180+1, DATE(LEFT(D180,4), MID(D180,5,2), RIGHT(D180,2))))))))"),45532.0)</f>
        <v>45532</v>
      </c>
      <c r="C180" s="60">
        <f>IFERROR(__xludf.DUMMYFUNCTION("INDIRECT(""'收支紀錄'!C""&amp;TO_TEXT(ROW()-$C$72))"),100.0)</f>
        <v>100</v>
      </c>
      <c r="D180" s="59">
        <f>IFERROR(__xludf.DUMMYFUNCTION("INDIRECT(""'收支紀錄'!D""&amp;TO_TEXT(ROW()-$C$72))"),45532.0)</f>
        <v>45532</v>
      </c>
      <c r="E180" s="61" t="str">
        <f>IFERROR(__xludf.DUMMYFUNCTION("INDIRECT(""'收支紀錄'!E""&amp;TO_TEXT(ROW()-$C$72))"),"")</f>
        <v/>
      </c>
      <c r="F180" s="61" t="str">
        <f>IFERROR(__xludf.DUMMYFUNCTION("INDIRECT(""'收支紀錄'!F""&amp;TO_TEXT(ROW()-$C$72))"),"")</f>
        <v/>
      </c>
      <c r="G180" s="61" t="str">
        <f>IFERROR(__xludf.DUMMYFUNCTION("INDIRECT(""'收支紀錄'!G""&amp;TO_TEXT(ROW()-$C$72))"),"")</f>
        <v/>
      </c>
      <c r="H180" s="61" t="str">
        <f>IFERROR(__xludf.DUMMYFUNCTION("INDIRECT(""'收支紀錄'!H""&amp;TO_TEXT(ROW()-$C$72))"),"休閒娛樂")</f>
        <v>休閒娛樂</v>
      </c>
      <c r="I180" s="61" t="str">
        <f>IFERROR(__xludf.DUMMYFUNCTION("INDIRECT(""'收支紀錄'!I""&amp;TO_TEXT(ROW()-$C$72))"),"")</f>
        <v/>
      </c>
      <c r="J180" s="61" t="str">
        <f>IFERROR(__xludf.DUMMYFUNCTION("INDIRECT(""'收支紀錄'!J""&amp;TO_TEXT(ROW()-$C$72))"),"")</f>
        <v/>
      </c>
      <c r="K180" s="61" t="str">
        <f>IFERROR(__xludf.DUMMYFUNCTION("INDIRECT(""'收支紀錄'!K""&amp;TO_TEXT(ROW()-$C$72))"),"")</f>
        <v/>
      </c>
      <c r="L180" s="61" t="str">
        <f>IFERROR(__xludf.DUMMYFUNCTION("INDIRECT(""'收支紀錄'!L""&amp;TO_TEXT(ROW()-$C$72))"),"")</f>
        <v/>
      </c>
      <c r="M180" s="61" t="str">
        <f>IFERROR(__xludf.DUMMYFUNCTION("INDIRECT(""'收支紀錄'!M""&amp;TO_TEXT(ROW()-$C$72))"),"運動健身")</f>
        <v>運動健身</v>
      </c>
      <c r="N180" s="61" t="str">
        <f>IFERROR(__xludf.DUMMYFUNCTION("INDIRECT(""'收支紀錄'!N""&amp;TO_TEXT(ROW()-$C$72))"),"")</f>
        <v/>
      </c>
      <c r="O180" s="61" t="str">
        <f>IFERROR(__xludf.DUMMYFUNCTION("INDIRECT(""'收支紀錄'!O""&amp;TO_TEXT(ROW()-$C$72))"),"")</f>
        <v/>
      </c>
      <c r="P180" s="61" t="str">
        <f>IFERROR(__xludf.DUMMYFUNCTION("INDIRECT(""'收支紀錄'!P""&amp;TO_TEXT(ROW()-$C$72))"),"")</f>
        <v/>
      </c>
      <c r="Q180" s="61" t="str">
        <f>IFERROR(__xludf.DUMMYFUNCTION("INDIRECT(""'收支紀錄'!Q""&amp;TO_TEXT(ROW()-$C$72))"),"")</f>
        <v/>
      </c>
      <c r="R180" s="61" t="str">
        <f>IFERROR(__xludf.DUMMYFUNCTION("INDIRECT(""'收支紀錄'!R""&amp;TO_TEXT(ROW()-$C$72))"),"")</f>
        <v/>
      </c>
      <c r="S180" s="61" t="str">
        <f>IFERROR(__xludf.DUMMYFUNCTION("INDIRECT(""'收支紀錄'!S""&amp;TO_TEXT(ROW()-$C$72))"),"")</f>
        <v/>
      </c>
      <c r="T180" s="61" t="str">
        <f>IFERROR(__xludf.DUMMYFUNCTION("INDIRECT(""'收支紀錄'!T""&amp;TO_TEXT(ROW()-$C$72))"),"")</f>
        <v/>
      </c>
      <c r="U180" s="62" t="str">
        <f>IFERROR(__xludf.DUMMYFUNCTION("IF(T180=""是"",TEXTJOIN("""", TRUE, ""$"", TO_TEXT(C180), S180),"""")"),"")</f>
        <v/>
      </c>
    </row>
    <row r="181">
      <c r="A181" s="58">
        <f>IFERROR(__xludf.DUMMYFUNCTION("INDIRECT(""'收支紀錄'!A""&amp;TO_TEXT(ROW()-$C$72))"),45534.03348668982)</f>
        <v>45534.03349</v>
      </c>
      <c r="B181" s="59">
        <f>IFERROR(__xludf.DUMMYFUNCTION("IF(ISBLANK(D181), """", IF(ISDATE(D181), D181, IF(D181=""今天"", A181, IF(D181=""昨天 (-1 day)"", A181-1, IF(D181=""前天 (-2 days)"", A181-2, IF(D181=""明天 (+1 day)"", A181+1, DATE(LEFT(D181,4), MID(D181,5,2), RIGHT(D181,2))))))))"),45536.0)</f>
        <v>45536</v>
      </c>
      <c r="C181" s="60">
        <f>IFERROR(__xludf.DUMMYFUNCTION("INDIRECT(""'收支紀錄'!C""&amp;TO_TEXT(ROW()-$C$72))"),205.0)</f>
        <v>205</v>
      </c>
      <c r="D181" s="59">
        <f>IFERROR(__xludf.DUMMYFUNCTION("INDIRECT(""'收支紀錄'!D""&amp;TO_TEXT(ROW()-$C$72))"),45536.0)</f>
        <v>45536</v>
      </c>
      <c r="E181" s="61" t="str">
        <f>IFERROR(__xludf.DUMMYFUNCTION("INDIRECT(""'收支紀錄'!E""&amp;TO_TEXT(ROW()-$C$72))"),"")</f>
        <v/>
      </c>
      <c r="F181" s="61" t="str">
        <f>IFERROR(__xludf.DUMMYFUNCTION("INDIRECT(""'收支紀錄'!F""&amp;TO_TEXT(ROW()-$C$72))"),"")</f>
        <v/>
      </c>
      <c r="G181" s="61" t="str">
        <f>IFERROR(__xludf.DUMMYFUNCTION("INDIRECT(""'收支紀錄'!G""&amp;TO_TEXT(ROW()-$C$72))"),"")</f>
        <v/>
      </c>
      <c r="H181" s="61" t="str">
        <f>IFERROR(__xludf.DUMMYFUNCTION("INDIRECT(""'收支紀錄'!H""&amp;TO_TEXT(ROW()-$C$72))"),"房屋支出")</f>
        <v>房屋支出</v>
      </c>
      <c r="I181" s="61" t="str">
        <f>IFERROR(__xludf.DUMMYFUNCTION("INDIRECT(""'收支紀錄'!I""&amp;TO_TEXT(ROW()-$C$72))"),"")</f>
        <v/>
      </c>
      <c r="J181" s="61" t="str">
        <f>IFERROR(__xludf.DUMMYFUNCTION("INDIRECT(""'收支紀錄'!J""&amp;TO_TEXT(ROW()-$C$72))"),"")</f>
        <v/>
      </c>
      <c r="K181" s="61" t="str">
        <f>IFERROR(__xludf.DUMMYFUNCTION("INDIRECT(""'收支紀錄'!K""&amp;TO_TEXT(ROW()-$C$72))"),"水費")</f>
        <v>水費</v>
      </c>
      <c r="L181" s="61" t="str">
        <f>IFERROR(__xludf.DUMMYFUNCTION("INDIRECT(""'收支紀錄'!L""&amp;TO_TEXT(ROW()-$C$72))"),"")</f>
        <v/>
      </c>
      <c r="M181" s="61" t="str">
        <f>IFERROR(__xludf.DUMMYFUNCTION("INDIRECT(""'收支紀錄'!M""&amp;TO_TEXT(ROW()-$C$72))"),"")</f>
        <v/>
      </c>
      <c r="N181" s="61" t="str">
        <f>IFERROR(__xludf.DUMMYFUNCTION("INDIRECT(""'收支紀錄'!N""&amp;TO_TEXT(ROW()-$C$72))"),"")</f>
        <v/>
      </c>
      <c r="O181" s="61" t="str">
        <f>IFERROR(__xludf.DUMMYFUNCTION("INDIRECT(""'收支紀錄'!O""&amp;TO_TEXT(ROW()-$C$72))"),"")</f>
        <v/>
      </c>
      <c r="P181" s="61" t="str">
        <f>IFERROR(__xludf.DUMMYFUNCTION("INDIRECT(""'收支紀錄'!P""&amp;TO_TEXT(ROW()-$C$72))"),"")</f>
        <v/>
      </c>
      <c r="Q181" s="61" t="str">
        <f>IFERROR(__xludf.DUMMYFUNCTION("INDIRECT(""'收支紀錄'!Q""&amp;TO_TEXT(ROW()-$C$72))"),"")</f>
        <v/>
      </c>
      <c r="R181" s="61" t="str">
        <f>IFERROR(__xludf.DUMMYFUNCTION("INDIRECT(""'收支紀錄'!R""&amp;TO_TEXT(ROW()-$C$72))"),"")</f>
        <v/>
      </c>
      <c r="S181" s="61" t="str">
        <f>IFERROR(__xludf.DUMMYFUNCTION("INDIRECT(""'收支紀錄'!S""&amp;TO_TEXT(ROW()-$C$72))"),"")</f>
        <v/>
      </c>
      <c r="T181" s="61" t="str">
        <f>IFERROR(__xludf.DUMMYFUNCTION("INDIRECT(""'收支紀錄'!T""&amp;TO_TEXT(ROW()-$C$72))"),"")</f>
        <v/>
      </c>
      <c r="U181" s="62" t="str">
        <f>IFERROR(__xludf.DUMMYFUNCTION("IF(T181=""是"",TEXTJOIN("""", TRUE, ""$"", TO_TEXT(C181), S181),"""")"),"")</f>
        <v/>
      </c>
    </row>
    <row r="182">
      <c r="A182" s="58">
        <f>IFERROR(__xludf.DUMMYFUNCTION("INDIRECT(""'收支紀錄'!A""&amp;TO_TEXT(ROW()-$C$72))"),45534.82850467593)</f>
        <v>45534.8285</v>
      </c>
      <c r="B182" s="59">
        <f>IFERROR(__xludf.DUMMYFUNCTION("IF(ISBLANK(D182), """", IF(ISDATE(D182), D182, IF(D182=""今天"", A182, IF(D182=""昨天 (-1 day)"", A182-1, IF(D182=""前天 (-2 days)"", A182-2, IF(D182=""明天 (+1 day)"", A182+1, DATE(LEFT(D182,4), MID(D182,5,2), RIGHT(D182,2))))))))"),45535.0)</f>
        <v>45535</v>
      </c>
      <c r="C182" s="60">
        <f>IFERROR(__xludf.DUMMYFUNCTION("INDIRECT(""'收支紀錄'!C""&amp;TO_TEXT(ROW()-$C$72))"),215.0)</f>
        <v>215</v>
      </c>
      <c r="D182" s="59">
        <f>IFERROR(__xludf.DUMMYFUNCTION("INDIRECT(""'收支紀錄'!D""&amp;TO_TEXT(ROW()-$C$72))"),45535.0)</f>
        <v>45535</v>
      </c>
      <c r="E182" s="61" t="str">
        <f>IFERROR(__xludf.DUMMYFUNCTION("INDIRECT(""'收支紀錄'!E""&amp;TO_TEXT(ROW()-$C$72))"),"")</f>
        <v/>
      </c>
      <c r="F182" s="61" t="str">
        <f>IFERROR(__xludf.DUMMYFUNCTION("INDIRECT(""'收支紀錄'!F""&amp;TO_TEXT(ROW()-$C$72))"),"")</f>
        <v/>
      </c>
      <c r="G182" s="61" t="str">
        <f>IFERROR(__xludf.DUMMYFUNCTION("INDIRECT(""'收支紀錄'!G""&amp;TO_TEXT(ROW()-$C$72))"),"")</f>
        <v/>
      </c>
      <c r="H182" s="61" t="str">
        <f>IFERROR(__xludf.DUMMYFUNCTION("INDIRECT(""'收支紀錄'!H""&amp;TO_TEXT(ROW()-$C$72))"),"行車交通")</f>
        <v>行車交通</v>
      </c>
      <c r="I182" s="61" t="str">
        <f>IFERROR(__xludf.DUMMYFUNCTION("INDIRECT(""'收支紀錄'!I""&amp;TO_TEXT(ROW()-$C$72))"),"")</f>
        <v/>
      </c>
      <c r="J182" s="61" t="str">
        <f>IFERROR(__xludf.DUMMYFUNCTION("INDIRECT(""'收支紀錄'!J""&amp;TO_TEXT(ROW()-$C$72))"),"")</f>
        <v/>
      </c>
      <c r="K182" s="61" t="str">
        <f>IFERROR(__xludf.DUMMYFUNCTION("INDIRECT(""'收支紀錄'!K""&amp;TO_TEXT(ROW()-$C$72))"),"")</f>
        <v/>
      </c>
      <c r="L182" s="61" t="str">
        <f>IFERROR(__xludf.DUMMYFUNCTION("INDIRECT(""'收支紀錄'!L""&amp;TO_TEXT(ROW()-$C$72))"),"火車費")</f>
        <v>火車費</v>
      </c>
      <c r="M182" s="61" t="str">
        <f>IFERROR(__xludf.DUMMYFUNCTION("INDIRECT(""'收支紀錄'!M""&amp;TO_TEXT(ROW()-$C$72))"),"")</f>
        <v/>
      </c>
      <c r="N182" s="61" t="str">
        <f>IFERROR(__xludf.DUMMYFUNCTION("INDIRECT(""'收支紀錄'!N""&amp;TO_TEXT(ROW()-$C$72))"),"")</f>
        <v/>
      </c>
      <c r="O182" s="61" t="str">
        <f>IFERROR(__xludf.DUMMYFUNCTION("INDIRECT(""'收支紀錄'!O""&amp;TO_TEXT(ROW()-$C$72))"),"")</f>
        <v/>
      </c>
      <c r="P182" s="61" t="str">
        <f>IFERROR(__xludf.DUMMYFUNCTION("INDIRECT(""'收支紀錄'!P""&amp;TO_TEXT(ROW()-$C$72))"),"")</f>
        <v/>
      </c>
      <c r="Q182" s="61" t="str">
        <f>IFERROR(__xludf.DUMMYFUNCTION("INDIRECT(""'收支紀錄'!Q""&amp;TO_TEXT(ROW()-$C$72))"),"")</f>
        <v/>
      </c>
      <c r="R182" s="61" t="str">
        <f>IFERROR(__xludf.DUMMYFUNCTION("INDIRECT(""'收支紀錄'!R""&amp;TO_TEXT(ROW()-$C$72))"),"")</f>
        <v/>
      </c>
      <c r="S182" s="61" t="str">
        <f>IFERROR(__xludf.DUMMYFUNCTION("INDIRECT(""'收支紀錄'!S""&amp;TO_TEXT(ROW()-$C$72))"),"")</f>
        <v/>
      </c>
      <c r="T182" s="61" t="str">
        <f>IFERROR(__xludf.DUMMYFUNCTION("INDIRECT(""'收支紀錄'!T""&amp;TO_TEXT(ROW()-$C$72))"),"")</f>
        <v/>
      </c>
      <c r="U182" s="62" t="str">
        <f>IFERROR(__xludf.DUMMYFUNCTION("IF(T182=""是"",TEXTJOIN("""", TRUE, ""$"", TO_TEXT(C182), S182),"""")"),"")</f>
        <v/>
      </c>
    </row>
    <row r="183">
      <c r="A183" s="58">
        <f>IFERROR(__xludf.DUMMYFUNCTION("INDIRECT(""'收支紀錄'!A""&amp;TO_TEXT(ROW()-$C$72))"),45534.82876737269)</f>
        <v>45534.82877</v>
      </c>
      <c r="B183" s="59">
        <f>IFERROR(__xludf.DUMMYFUNCTION("IF(ISBLANK(D183), """", IF(ISDATE(D183), D183, IF(D183=""今天"", A183, IF(D183=""昨天 (-1 day)"", A183-1, IF(D183=""前天 (-2 days)"", A183-2, IF(D183=""明天 (+1 day)"", A183+1, DATE(LEFT(D183,4), MID(D183,5,2), RIGHT(D183,2))))))))"),45534.0)</f>
        <v>45534</v>
      </c>
      <c r="C183" s="60">
        <f>IFERROR(__xludf.DUMMYFUNCTION("INDIRECT(""'收支紀錄'!C""&amp;TO_TEXT(ROW()-$C$72))"),82.0)</f>
        <v>82</v>
      </c>
      <c r="D183" s="59">
        <f>IFERROR(__xludf.DUMMYFUNCTION("INDIRECT(""'收支紀錄'!D""&amp;TO_TEXT(ROW()-$C$72))"),45534.0)</f>
        <v>45534</v>
      </c>
      <c r="E183" s="61" t="str">
        <f>IFERROR(__xludf.DUMMYFUNCTION("INDIRECT(""'收支紀錄'!E""&amp;TO_TEXT(ROW()-$C$72))"),"")</f>
        <v/>
      </c>
      <c r="F183" s="61" t="str">
        <f>IFERROR(__xludf.DUMMYFUNCTION("INDIRECT(""'收支紀錄'!F""&amp;TO_TEXT(ROW()-$C$72))"),"")</f>
        <v/>
      </c>
      <c r="G183" s="61" t="str">
        <f>IFERROR(__xludf.DUMMYFUNCTION("INDIRECT(""'收支紀錄'!G""&amp;TO_TEXT(ROW()-$C$72))"),"")</f>
        <v/>
      </c>
      <c r="H183" s="61" t="str">
        <f>IFERROR(__xludf.DUMMYFUNCTION("INDIRECT(""'收支紀錄'!H""&amp;TO_TEXT(ROW()-$C$72))"),"行車交通")</f>
        <v>行車交通</v>
      </c>
      <c r="I183" s="61" t="str">
        <f>IFERROR(__xludf.DUMMYFUNCTION("INDIRECT(""'收支紀錄'!I""&amp;TO_TEXT(ROW()-$C$72))"),"")</f>
        <v/>
      </c>
      <c r="J183" s="61" t="str">
        <f>IFERROR(__xludf.DUMMYFUNCTION("INDIRECT(""'收支紀錄'!J""&amp;TO_TEXT(ROW()-$C$72))"),"")</f>
        <v/>
      </c>
      <c r="K183" s="61" t="str">
        <f>IFERROR(__xludf.DUMMYFUNCTION("INDIRECT(""'收支紀錄'!K""&amp;TO_TEXT(ROW()-$C$72))"),"")</f>
        <v/>
      </c>
      <c r="L183" s="61" t="str">
        <f>IFERROR(__xludf.DUMMYFUNCTION("INDIRECT(""'收支紀錄'!L""&amp;TO_TEXT(ROW()-$C$72))"),"火車費")</f>
        <v>火車費</v>
      </c>
      <c r="M183" s="61" t="str">
        <f>IFERROR(__xludf.DUMMYFUNCTION("INDIRECT(""'收支紀錄'!M""&amp;TO_TEXT(ROW()-$C$72))"),"")</f>
        <v/>
      </c>
      <c r="N183" s="61" t="str">
        <f>IFERROR(__xludf.DUMMYFUNCTION("INDIRECT(""'收支紀錄'!N""&amp;TO_TEXT(ROW()-$C$72))"),"")</f>
        <v/>
      </c>
      <c r="O183" s="61" t="str">
        <f>IFERROR(__xludf.DUMMYFUNCTION("INDIRECT(""'收支紀錄'!O""&amp;TO_TEXT(ROW()-$C$72))"),"")</f>
        <v/>
      </c>
      <c r="P183" s="61" t="str">
        <f>IFERROR(__xludf.DUMMYFUNCTION("INDIRECT(""'收支紀錄'!P""&amp;TO_TEXT(ROW()-$C$72))"),"")</f>
        <v/>
      </c>
      <c r="Q183" s="61" t="str">
        <f>IFERROR(__xludf.DUMMYFUNCTION("INDIRECT(""'收支紀錄'!Q""&amp;TO_TEXT(ROW()-$C$72))"),"")</f>
        <v/>
      </c>
      <c r="R183" s="61" t="str">
        <f>IFERROR(__xludf.DUMMYFUNCTION("INDIRECT(""'收支紀錄'!R""&amp;TO_TEXT(ROW()-$C$72))"),"")</f>
        <v/>
      </c>
      <c r="S183" s="61" t="str">
        <f>IFERROR(__xludf.DUMMYFUNCTION("INDIRECT(""'收支紀錄'!S""&amp;TO_TEXT(ROW()-$C$72))"),"")</f>
        <v/>
      </c>
      <c r="T183" s="61" t="str">
        <f>IFERROR(__xludf.DUMMYFUNCTION("INDIRECT(""'收支紀錄'!T""&amp;TO_TEXT(ROW()-$C$72))"),"")</f>
        <v/>
      </c>
      <c r="U183" s="62" t="str">
        <f>IFERROR(__xludf.DUMMYFUNCTION("IF(T183=""是"",TEXTJOIN("""", TRUE, ""$"", TO_TEXT(C183), S183),"""")"),"")</f>
        <v/>
      </c>
    </row>
    <row r="184">
      <c r="A184" s="58">
        <f>IFERROR(__xludf.DUMMYFUNCTION("INDIRECT(""'收支紀錄'!A""&amp;TO_TEXT(ROW()-$C$72))"),45534.829065300924)</f>
        <v>45534.82907</v>
      </c>
      <c r="B184" s="59">
        <f>IFERROR(__xludf.DUMMYFUNCTION("IF(ISBLANK(D184), """", IF(ISDATE(D184), D184, IF(D184=""今天"", A184, IF(D184=""昨天 (-1 day)"", A184-1, IF(D184=""前天 (-2 days)"", A184-2, IF(D184=""明天 (+1 day)"", A184+1, DATE(LEFT(D184,4), MID(D184,5,2), RIGHT(D184,2))))))))"),45534.0)</f>
        <v>45534</v>
      </c>
      <c r="C184" s="60">
        <f>IFERROR(__xludf.DUMMYFUNCTION("INDIRECT(""'收支紀錄'!C""&amp;TO_TEXT(ROW()-$C$72))"),20.0)</f>
        <v>20</v>
      </c>
      <c r="D184" s="59">
        <f>IFERROR(__xludf.DUMMYFUNCTION("INDIRECT(""'收支紀錄'!D""&amp;TO_TEXT(ROW()-$C$72))"),45534.0)</f>
        <v>45534</v>
      </c>
      <c r="E184" s="61" t="str">
        <f>IFERROR(__xludf.DUMMYFUNCTION("INDIRECT(""'收支紀錄'!E""&amp;TO_TEXT(ROW()-$C$72))"),"")</f>
        <v/>
      </c>
      <c r="F184" s="61" t="str">
        <f>IFERROR(__xludf.DUMMYFUNCTION("INDIRECT(""'收支紀錄'!F""&amp;TO_TEXT(ROW()-$C$72))"),"")</f>
        <v/>
      </c>
      <c r="G184" s="61" t="str">
        <f>IFERROR(__xludf.DUMMYFUNCTION("INDIRECT(""'收支紀錄'!G""&amp;TO_TEXT(ROW()-$C$72))"),"")</f>
        <v/>
      </c>
      <c r="H184" s="61" t="str">
        <f>IFERROR(__xludf.DUMMYFUNCTION("INDIRECT(""'收支紀錄'!H""&amp;TO_TEXT(ROW()-$C$72))"),"行車交通")</f>
        <v>行車交通</v>
      </c>
      <c r="I184" s="61" t="str">
        <f>IFERROR(__xludf.DUMMYFUNCTION("INDIRECT(""'收支紀錄'!I""&amp;TO_TEXT(ROW()-$C$72))"),"")</f>
        <v/>
      </c>
      <c r="J184" s="61" t="str">
        <f>IFERROR(__xludf.DUMMYFUNCTION("INDIRECT(""'收支紀錄'!J""&amp;TO_TEXT(ROW()-$C$72))"),"")</f>
        <v/>
      </c>
      <c r="K184" s="61" t="str">
        <f>IFERROR(__xludf.DUMMYFUNCTION("INDIRECT(""'收支紀錄'!K""&amp;TO_TEXT(ROW()-$C$72))"),"")</f>
        <v/>
      </c>
      <c r="L184" s="61" t="str">
        <f>IFERROR(__xludf.DUMMYFUNCTION("INDIRECT(""'收支紀錄'!L""&amp;TO_TEXT(ROW()-$C$72))"),"捷運費")</f>
        <v>捷運費</v>
      </c>
      <c r="M184" s="61" t="str">
        <f>IFERROR(__xludf.DUMMYFUNCTION("INDIRECT(""'收支紀錄'!M""&amp;TO_TEXT(ROW()-$C$72))"),"")</f>
        <v/>
      </c>
      <c r="N184" s="61" t="str">
        <f>IFERROR(__xludf.DUMMYFUNCTION("INDIRECT(""'收支紀錄'!N""&amp;TO_TEXT(ROW()-$C$72))"),"")</f>
        <v/>
      </c>
      <c r="O184" s="61" t="str">
        <f>IFERROR(__xludf.DUMMYFUNCTION("INDIRECT(""'收支紀錄'!O""&amp;TO_TEXT(ROW()-$C$72))"),"")</f>
        <v/>
      </c>
      <c r="P184" s="61" t="str">
        <f>IFERROR(__xludf.DUMMYFUNCTION("INDIRECT(""'收支紀錄'!P""&amp;TO_TEXT(ROW()-$C$72))"),"")</f>
        <v/>
      </c>
      <c r="Q184" s="61" t="str">
        <f>IFERROR(__xludf.DUMMYFUNCTION("INDIRECT(""'收支紀錄'!Q""&amp;TO_TEXT(ROW()-$C$72))"),"")</f>
        <v/>
      </c>
      <c r="R184" s="61" t="str">
        <f>IFERROR(__xludf.DUMMYFUNCTION("INDIRECT(""'收支紀錄'!R""&amp;TO_TEXT(ROW()-$C$72))"),"")</f>
        <v/>
      </c>
      <c r="S184" s="61" t="str">
        <f>IFERROR(__xludf.DUMMYFUNCTION("INDIRECT(""'收支紀錄'!S""&amp;TO_TEXT(ROW()-$C$72))"),"")</f>
        <v/>
      </c>
      <c r="T184" s="61" t="str">
        <f>IFERROR(__xludf.DUMMYFUNCTION("INDIRECT(""'收支紀錄'!T""&amp;TO_TEXT(ROW()-$C$72))"),"")</f>
        <v/>
      </c>
      <c r="U184" s="62" t="str">
        <f>IFERROR(__xludf.DUMMYFUNCTION("IF(T184=""是"",TEXTJOIN("""", TRUE, ""$"", TO_TEXT(C184), S184),"""")"),"")</f>
        <v/>
      </c>
    </row>
    <row r="185">
      <c r="A185" s="58">
        <f>IFERROR(__xludf.DUMMYFUNCTION("INDIRECT(""'收支紀錄'!A""&amp;TO_TEXT(ROW()-$C$72))"),45535.679993020836)</f>
        <v>45535.67999</v>
      </c>
      <c r="B185" s="59">
        <f>IFERROR(__xludf.DUMMYFUNCTION("IF(ISBLANK(D185), """", IF(ISDATE(D185), D185, IF(D185=""今天"", A185, IF(D185=""昨天 (-1 day)"", A185-1, IF(D185=""前天 (-2 days)"", A185-2, IF(D185=""明天 (+1 day)"", A185+1, DATE(LEFT(D185,4), MID(D185,5,2), RIGHT(D185,2))))))))"),45534.0)</f>
        <v>45534</v>
      </c>
      <c r="C185" s="60">
        <f>IFERROR(__xludf.DUMMYFUNCTION("INDIRECT(""'收支紀錄'!C""&amp;TO_TEXT(ROW()-$C$72))"),511.0)</f>
        <v>511</v>
      </c>
      <c r="D185" s="59">
        <f>IFERROR(__xludf.DUMMYFUNCTION("INDIRECT(""'收支紀錄'!D""&amp;TO_TEXT(ROW()-$C$72))"),45534.0)</f>
        <v>45534</v>
      </c>
      <c r="E185" s="61" t="str">
        <f>IFERROR(__xludf.DUMMYFUNCTION("INDIRECT(""'收支紀錄'!E""&amp;TO_TEXT(ROW()-$C$72))"),"")</f>
        <v/>
      </c>
      <c r="F185" s="61" t="str">
        <f>IFERROR(__xludf.DUMMYFUNCTION("INDIRECT(""'收支紀錄'!F""&amp;TO_TEXT(ROW()-$C$72))"),"")</f>
        <v/>
      </c>
      <c r="G185" s="61" t="str">
        <f>IFERROR(__xludf.DUMMYFUNCTION("INDIRECT(""'收支紀錄'!G""&amp;TO_TEXT(ROW()-$C$72))"),"")</f>
        <v/>
      </c>
      <c r="H185" s="61" t="str">
        <f>IFERROR(__xludf.DUMMYFUNCTION("INDIRECT(""'收支紀錄'!H""&amp;TO_TEXT(ROW()-$C$72))"),"食品酒水")</f>
        <v>食品酒水</v>
      </c>
      <c r="I185" s="61" t="str">
        <f>IFERROR(__xludf.DUMMYFUNCTION("INDIRECT(""'收支紀錄'!I""&amp;TO_TEXT(ROW()-$C$72))"),"晚餐")</f>
        <v>晚餐</v>
      </c>
      <c r="J185" s="61" t="str">
        <f>IFERROR(__xludf.DUMMYFUNCTION("INDIRECT(""'收支紀錄'!J""&amp;TO_TEXT(ROW()-$C$72))"),"")</f>
        <v/>
      </c>
      <c r="K185" s="61" t="str">
        <f>IFERROR(__xludf.DUMMYFUNCTION("INDIRECT(""'收支紀錄'!K""&amp;TO_TEXT(ROW()-$C$72))"),"")</f>
        <v/>
      </c>
      <c r="L185" s="61" t="str">
        <f>IFERROR(__xludf.DUMMYFUNCTION("INDIRECT(""'收支紀錄'!L""&amp;TO_TEXT(ROW()-$C$72))"),"")</f>
        <v/>
      </c>
      <c r="M185" s="61" t="str">
        <f>IFERROR(__xludf.DUMMYFUNCTION("INDIRECT(""'收支紀錄'!M""&amp;TO_TEXT(ROW()-$C$72))"),"")</f>
        <v/>
      </c>
      <c r="N185" s="61" t="str">
        <f>IFERROR(__xludf.DUMMYFUNCTION("INDIRECT(""'收支紀錄'!N""&amp;TO_TEXT(ROW()-$C$72))"),"")</f>
        <v/>
      </c>
      <c r="O185" s="61" t="str">
        <f>IFERROR(__xludf.DUMMYFUNCTION("INDIRECT(""'收支紀錄'!O""&amp;TO_TEXT(ROW()-$C$72))"),"")</f>
        <v/>
      </c>
      <c r="P185" s="61" t="str">
        <f>IFERROR(__xludf.DUMMYFUNCTION("INDIRECT(""'收支紀錄'!P""&amp;TO_TEXT(ROW()-$C$72))"),"")</f>
        <v/>
      </c>
      <c r="Q185" s="61" t="str">
        <f>IFERROR(__xludf.DUMMYFUNCTION("INDIRECT(""'收支紀錄'!Q""&amp;TO_TEXT(ROW()-$C$72))"),"")</f>
        <v/>
      </c>
      <c r="R185" s="61" t="str">
        <f>IFERROR(__xludf.DUMMYFUNCTION("INDIRECT(""'收支紀錄'!R""&amp;TO_TEXT(ROW()-$C$72))"),"")</f>
        <v/>
      </c>
      <c r="S185" s="61" t="str">
        <f>IFERROR(__xludf.DUMMYFUNCTION("INDIRECT(""'收支紀錄'!S""&amp;TO_TEXT(ROW()-$C$72))"),"")</f>
        <v/>
      </c>
      <c r="T185" s="61" t="str">
        <f>IFERROR(__xludf.DUMMYFUNCTION("INDIRECT(""'收支紀錄'!T""&amp;TO_TEXT(ROW()-$C$72))"),"")</f>
        <v/>
      </c>
      <c r="U185" s="62" t="str">
        <f>IFERROR(__xludf.DUMMYFUNCTION("IF(T185=""是"",TEXTJOIN("""", TRUE, ""$"", TO_TEXT(C185), S185),"""")"),"")</f>
        <v/>
      </c>
    </row>
    <row r="186">
      <c r="A186" s="58">
        <f>IFERROR(__xludf.DUMMYFUNCTION("INDIRECT(""'收支紀錄'!A""&amp;TO_TEXT(ROW()-$C$72))"),45535.68040541667)</f>
        <v>45535.68041</v>
      </c>
      <c r="B186" s="59">
        <f>IFERROR(__xludf.DUMMYFUNCTION("IF(ISBLANK(D186), """", IF(ISDATE(D186), D186, IF(D186=""今天"", A186, IF(D186=""昨天 (-1 day)"", A186-1, IF(D186=""前天 (-2 days)"", A186-2, IF(D186=""明天 (+1 day)"", A186+1, DATE(LEFT(D186,4), MID(D186,5,2), RIGHT(D186,2))))))))"),45535.0)</f>
        <v>45535</v>
      </c>
      <c r="C186" s="60">
        <f>IFERROR(__xludf.DUMMYFUNCTION("INDIRECT(""'收支紀錄'!C""&amp;TO_TEXT(ROW()-$C$72))"),90.0)</f>
        <v>90</v>
      </c>
      <c r="D186" s="59">
        <f>IFERROR(__xludf.DUMMYFUNCTION("INDIRECT(""'收支紀錄'!D""&amp;TO_TEXT(ROW()-$C$72))"),45535.0)</f>
        <v>45535</v>
      </c>
      <c r="E186" s="61" t="str">
        <f>IFERROR(__xludf.DUMMYFUNCTION("INDIRECT(""'收支紀錄'!E""&amp;TO_TEXT(ROW()-$C$72))"),"")</f>
        <v/>
      </c>
      <c r="F186" s="61" t="str">
        <f>IFERROR(__xludf.DUMMYFUNCTION("INDIRECT(""'收支紀錄'!F""&amp;TO_TEXT(ROW()-$C$72))"),"")</f>
        <v/>
      </c>
      <c r="G186" s="61" t="str">
        <f>IFERROR(__xludf.DUMMYFUNCTION("INDIRECT(""'收支紀錄'!G""&amp;TO_TEXT(ROW()-$C$72))"),"")</f>
        <v/>
      </c>
      <c r="H186" s="61" t="str">
        <f>IFERROR(__xludf.DUMMYFUNCTION("INDIRECT(""'收支紀錄'!H""&amp;TO_TEXT(ROW()-$C$72))"),"食品酒水")</f>
        <v>食品酒水</v>
      </c>
      <c r="I186" s="61" t="str">
        <f>IFERROR(__xludf.DUMMYFUNCTION("INDIRECT(""'收支紀錄'!I""&amp;TO_TEXT(ROW()-$C$72))"),"早餐")</f>
        <v>早餐</v>
      </c>
      <c r="J186" s="61" t="str">
        <f>IFERROR(__xludf.DUMMYFUNCTION("INDIRECT(""'收支紀錄'!J""&amp;TO_TEXT(ROW()-$C$72))"),"")</f>
        <v/>
      </c>
      <c r="K186" s="61" t="str">
        <f>IFERROR(__xludf.DUMMYFUNCTION("INDIRECT(""'收支紀錄'!K""&amp;TO_TEXT(ROW()-$C$72))"),"")</f>
        <v/>
      </c>
      <c r="L186" s="61" t="str">
        <f>IFERROR(__xludf.DUMMYFUNCTION("INDIRECT(""'收支紀錄'!L""&amp;TO_TEXT(ROW()-$C$72))"),"")</f>
        <v/>
      </c>
      <c r="M186" s="61" t="str">
        <f>IFERROR(__xludf.DUMMYFUNCTION("INDIRECT(""'收支紀錄'!M""&amp;TO_TEXT(ROW()-$C$72))"),"")</f>
        <v/>
      </c>
      <c r="N186" s="61" t="str">
        <f>IFERROR(__xludf.DUMMYFUNCTION("INDIRECT(""'收支紀錄'!N""&amp;TO_TEXT(ROW()-$C$72))"),"")</f>
        <v/>
      </c>
      <c r="O186" s="61" t="str">
        <f>IFERROR(__xludf.DUMMYFUNCTION("INDIRECT(""'收支紀錄'!O""&amp;TO_TEXT(ROW()-$C$72))"),"")</f>
        <v/>
      </c>
      <c r="P186" s="61" t="str">
        <f>IFERROR(__xludf.DUMMYFUNCTION("INDIRECT(""'收支紀錄'!P""&amp;TO_TEXT(ROW()-$C$72))"),"")</f>
        <v/>
      </c>
      <c r="Q186" s="61" t="str">
        <f>IFERROR(__xludf.DUMMYFUNCTION("INDIRECT(""'收支紀錄'!Q""&amp;TO_TEXT(ROW()-$C$72))"),"")</f>
        <v/>
      </c>
      <c r="R186" s="61" t="str">
        <f>IFERROR(__xludf.DUMMYFUNCTION("INDIRECT(""'收支紀錄'!R""&amp;TO_TEXT(ROW()-$C$72))"),"")</f>
        <v/>
      </c>
      <c r="S186" s="61" t="str">
        <f>IFERROR(__xludf.DUMMYFUNCTION("INDIRECT(""'收支紀錄'!S""&amp;TO_TEXT(ROW()-$C$72))"),"")</f>
        <v/>
      </c>
      <c r="T186" s="61" t="str">
        <f>IFERROR(__xludf.DUMMYFUNCTION("INDIRECT(""'收支紀錄'!T""&amp;TO_TEXT(ROW()-$C$72))"),"")</f>
        <v/>
      </c>
      <c r="U186" s="62" t="str">
        <f>IFERROR(__xludf.DUMMYFUNCTION("IF(T186=""是"",TEXTJOIN("""", TRUE, ""$"", TO_TEXT(C186), S186),"""")"),"")</f>
        <v/>
      </c>
    </row>
    <row r="187">
      <c r="A187" s="58">
        <f>IFERROR(__xludf.DUMMYFUNCTION("INDIRECT(""'收支紀錄'!A""&amp;TO_TEXT(ROW()-$C$72))"),45535.68066039352)</f>
        <v>45535.68066</v>
      </c>
      <c r="B187" s="59">
        <f>IFERROR(__xludf.DUMMYFUNCTION("IF(ISBLANK(D187), """", IF(ISDATE(D187), D187, IF(D187=""今天"", A187, IF(D187=""昨天 (-1 day)"", A187-1, IF(D187=""前天 (-2 days)"", A187-2, IF(D187=""明天 (+1 day)"", A187+1, DATE(LEFT(D187,4), MID(D187,5,2), RIGHT(D187,2))))))))"),45535.0)</f>
        <v>45535</v>
      </c>
      <c r="C187" s="60">
        <f>IFERROR(__xludf.DUMMYFUNCTION("INDIRECT(""'收支紀錄'!C""&amp;TO_TEXT(ROW()-$C$72))"),20.0)</f>
        <v>20</v>
      </c>
      <c r="D187" s="59">
        <f>IFERROR(__xludf.DUMMYFUNCTION("INDIRECT(""'收支紀錄'!D""&amp;TO_TEXT(ROW()-$C$72))"),45535.0)</f>
        <v>45535</v>
      </c>
      <c r="E187" s="61" t="str">
        <f>IFERROR(__xludf.DUMMYFUNCTION("INDIRECT(""'收支紀錄'!E""&amp;TO_TEXT(ROW()-$C$72))"),"")</f>
        <v/>
      </c>
      <c r="F187" s="61" t="str">
        <f>IFERROR(__xludf.DUMMYFUNCTION("INDIRECT(""'收支紀錄'!F""&amp;TO_TEXT(ROW()-$C$72))"),"")</f>
        <v/>
      </c>
      <c r="G187" s="61" t="str">
        <f>IFERROR(__xludf.DUMMYFUNCTION("INDIRECT(""'收支紀錄'!G""&amp;TO_TEXT(ROW()-$C$72))"),"")</f>
        <v/>
      </c>
      <c r="H187" s="61" t="str">
        <f>IFERROR(__xludf.DUMMYFUNCTION("INDIRECT(""'收支紀錄'!H""&amp;TO_TEXT(ROW()-$C$72))"),"行車交通")</f>
        <v>行車交通</v>
      </c>
      <c r="I187" s="61" t="str">
        <f>IFERROR(__xludf.DUMMYFUNCTION("INDIRECT(""'收支紀錄'!I""&amp;TO_TEXT(ROW()-$C$72))"),"")</f>
        <v/>
      </c>
      <c r="J187" s="61" t="str">
        <f>IFERROR(__xludf.DUMMYFUNCTION("INDIRECT(""'收支紀錄'!J""&amp;TO_TEXT(ROW()-$C$72))"),"")</f>
        <v/>
      </c>
      <c r="K187" s="61" t="str">
        <f>IFERROR(__xludf.DUMMYFUNCTION("INDIRECT(""'收支紀錄'!K""&amp;TO_TEXT(ROW()-$C$72))"),"")</f>
        <v/>
      </c>
      <c r="L187" s="61" t="str">
        <f>IFERROR(__xludf.DUMMYFUNCTION("INDIRECT(""'收支紀錄'!L""&amp;TO_TEXT(ROW()-$C$72))"),"捷運費")</f>
        <v>捷運費</v>
      </c>
      <c r="M187" s="61" t="str">
        <f>IFERROR(__xludf.DUMMYFUNCTION("INDIRECT(""'收支紀錄'!M""&amp;TO_TEXT(ROW()-$C$72))"),"")</f>
        <v/>
      </c>
      <c r="N187" s="61" t="str">
        <f>IFERROR(__xludf.DUMMYFUNCTION("INDIRECT(""'收支紀錄'!N""&amp;TO_TEXT(ROW()-$C$72))"),"")</f>
        <v/>
      </c>
      <c r="O187" s="61" t="str">
        <f>IFERROR(__xludf.DUMMYFUNCTION("INDIRECT(""'收支紀錄'!O""&amp;TO_TEXT(ROW()-$C$72))"),"")</f>
        <v/>
      </c>
      <c r="P187" s="61" t="str">
        <f>IFERROR(__xludf.DUMMYFUNCTION("INDIRECT(""'收支紀錄'!P""&amp;TO_TEXT(ROW()-$C$72))"),"")</f>
        <v/>
      </c>
      <c r="Q187" s="61" t="str">
        <f>IFERROR(__xludf.DUMMYFUNCTION("INDIRECT(""'收支紀錄'!Q""&amp;TO_TEXT(ROW()-$C$72))"),"")</f>
        <v/>
      </c>
      <c r="R187" s="61" t="str">
        <f>IFERROR(__xludf.DUMMYFUNCTION("INDIRECT(""'收支紀錄'!R""&amp;TO_TEXT(ROW()-$C$72))"),"")</f>
        <v/>
      </c>
      <c r="S187" s="61" t="str">
        <f>IFERROR(__xludf.DUMMYFUNCTION("INDIRECT(""'收支紀錄'!S""&amp;TO_TEXT(ROW()-$C$72))"),"")</f>
        <v/>
      </c>
      <c r="T187" s="61" t="str">
        <f>IFERROR(__xludf.DUMMYFUNCTION("INDIRECT(""'收支紀錄'!T""&amp;TO_TEXT(ROW()-$C$72))"),"")</f>
        <v/>
      </c>
      <c r="U187" s="62" t="str">
        <f>IFERROR(__xludf.DUMMYFUNCTION("IF(T187=""是"",TEXTJOIN("""", TRUE, ""$"", TO_TEXT(C187), S187),"""")"),"")</f>
        <v/>
      </c>
    </row>
    <row r="188">
      <c r="A188" s="58">
        <f>IFERROR(__xludf.DUMMYFUNCTION("INDIRECT(""'收支紀錄'!A""&amp;TO_TEXT(ROW()-$C$72))"),45535.68091744213)</f>
        <v>45535.68092</v>
      </c>
      <c r="B188" s="59">
        <f>IFERROR(__xludf.DUMMYFUNCTION("IF(ISBLANK(D188), """", IF(ISDATE(D188), D188, IF(D188=""今天"", A188, IF(D188=""昨天 (-1 day)"", A188-1, IF(D188=""前天 (-2 days)"", A188-2, IF(D188=""明天 (+1 day)"", A188+1, DATE(LEFT(D188,4), MID(D188,5,2), RIGHT(D188,2))))))))"),45535.0)</f>
        <v>45535</v>
      </c>
      <c r="C188" s="60">
        <f>IFERROR(__xludf.DUMMYFUNCTION("INDIRECT(""'收支紀錄'!C""&amp;TO_TEXT(ROW()-$C$72))"),91.0)</f>
        <v>91</v>
      </c>
      <c r="D188" s="59">
        <f>IFERROR(__xludf.DUMMYFUNCTION("INDIRECT(""'收支紀錄'!D""&amp;TO_TEXT(ROW()-$C$72))"),45535.0)</f>
        <v>45535</v>
      </c>
      <c r="E188" s="61" t="str">
        <f>IFERROR(__xludf.DUMMYFUNCTION("INDIRECT(""'收支紀錄'!E""&amp;TO_TEXT(ROW()-$C$72))"),"")</f>
        <v/>
      </c>
      <c r="F188" s="61" t="str">
        <f>IFERROR(__xludf.DUMMYFUNCTION("INDIRECT(""'收支紀錄'!F""&amp;TO_TEXT(ROW()-$C$72))"),"")</f>
        <v/>
      </c>
      <c r="G188" s="61" t="str">
        <f>IFERROR(__xludf.DUMMYFUNCTION("INDIRECT(""'收支紀錄'!G""&amp;TO_TEXT(ROW()-$C$72))"),"")</f>
        <v/>
      </c>
      <c r="H188" s="61" t="str">
        <f>IFERROR(__xludf.DUMMYFUNCTION("INDIRECT(""'收支紀錄'!H""&amp;TO_TEXT(ROW()-$C$72))"),"行車交通")</f>
        <v>行車交通</v>
      </c>
      <c r="I188" s="61" t="str">
        <f>IFERROR(__xludf.DUMMYFUNCTION("INDIRECT(""'收支紀錄'!I""&amp;TO_TEXT(ROW()-$C$72))"),"")</f>
        <v/>
      </c>
      <c r="J188" s="61" t="str">
        <f>IFERROR(__xludf.DUMMYFUNCTION("INDIRECT(""'收支紀錄'!J""&amp;TO_TEXT(ROW()-$C$72))"),"")</f>
        <v/>
      </c>
      <c r="K188" s="61" t="str">
        <f>IFERROR(__xludf.DUMMYFUNCTION("INDIRECT(""'收支紀錄'!K""&amp;TO_TEXT(ROW()-$C$72))"),"")</f>
        <v/>
      </c>
      <c r="L188" s="61" t="str">
        <f>IFERROR(__xludf.DUMMYFUNCTION("INDIRECT(""'收支紀錄'!L""&amp;TO_TEXT(ROW()-$C$72))"),"火車費")</f>
        <v>火車費</v>
      </c>
      <c r="M188" s="61" t="str">
        <f>IFERROR(__xludf.DUMMYFUNCTION("INDIRECT(""'收支紀錄'!M""&amp;TO_TEXT(ROW()-$C$72))"),"")</f>
        <v/>
      </c>
      <c r="N188" s="61" t="str">
        <f>IFERROR(__xludf.DUMMYFUNCTION("INDIRECT(""'收支紀錄'!N""&amp;TO_TEXT(ROW()-$C$72))"),"")</f>
        <v/>
      </c>
      <c r="O188" s="61" t="str">
        <f>IFERROR(__xludf.DUMMYFUNCTION("INDIRECT(""'收支紀錄'!O""&amp;TO_TEXT(ROW()-$C$72))"),"")</f>
        <v/>
      </c>
      <c r="P188" s="61" t="str">
        <f>IFERROR(__xludf.DUMMYFUNCTION("INDIRECT(""'收支紀錄'!P""&amp;TO_TEXT(ROW()-$C$72))"),"")</f>
        <v/>
      </c>
      <c r="Q188" s="61" t="str">
        <f>IFERROR(__xludf.DUMMYFUNCTION("INDIRECT(""'收支紀錄'!Q""&amp;TO_TEXT(ROW()-$C$72))"),"")</f>
        <v/>
      </c>
      <c r="R188" s="61" t="str">
        <f>IFERROR(__xludf.DUMMYFUNCTION("INDIRECT(""'收支紀錄'!R""&amp;TO_TEXT(ROW()-$C$72))"),"")</f>
        <v/>
      </c>
      <c r="S188" s="61" t="str">
        <f>IFERROR(__xludf.DUMMYFUNCTION("INDIRECT(""'收支紀錄'!S""&amp;TO_TEXT(ROW()-$C$72))"),"")</f>
        <v/>
      </c>
      <c r="T188" s="61" t="str">
        <f>IFERROR(__xludf.DUMMYFUNCTION("INDIRECT(""'收支紀錄'!T""&amp;TO_TEXT(ROW()-$C$72))"),"")</f>
        <v/>
      </c>
      <c r="U188" s="62" t="str">
        <f>IFERROR(__xludf.DUMMYFUNCTION("IF(T188=""是"",TEXTJOIN("""", TRUE, ""$"", TO_TEXT(C188), S188),"""")"),"")</f>
        <v/>
      </c>
    </row>
    <row r="189">
      <c r="A189" s="58">
        <f>IFERROR(__xludf.DUMMYFUNCTION("INDIRECT(""'收支紀錄'!A""&amp;TO_TEXT(ROW()-$C$72))"),45535.68114721065)</f>
        <v>45535.68115</v>
      </c>
      <c r="B189" s="59">
        <f>IFERROR(__xludf.DUMMYFUNCTION("IF(ISBLANK(D189), """", IF(ISDATE(D189), D189, IF(D189=""今天"", A189, IF(D189=""昨天 (-1 day)"", A189-1, IF(D189=""前天 (-2 days)"", A189-2, IF(D189=""明天 (+1 day)"", A189+1, DATE(LEFT(D189,4), MID(D189,5,2), RIGHT(D189,2))))))))"),45535.0)</f>
        <v>45535</v>
      </c>
      <c r="C189" s="60">
        <f>IFERROR(__xludf.DUMMYFUNCTION("INDIRECT(""'收支紀錄'!C""&amp;TO_TEXT(ROW()-$C$72))"),166.0)</f>
        <v>166</v>
      </c>
      <c r="D189" s="59">
        <f>IFERROR(__xludf.DUMMYFUNCTION("INDIRECT(""'收支紀錄'!D""&amp;TO_TEXT(ROW()-$C$72))"),45535.0)</f>
        <v>45535</v>
      </c>
      <c r="E189" s="61" t="str">
        <f>IFERROR(__xludf.DUMMYFUNCTION("INDIRECT(""'收支紀錄'!E""&amp;TO_TEXT(ROW()-$C$72))"),"")</f>
        <v/>
      </c>
      <c r="F189" s="61" t="str">
        <f>IFERROR(__xludf.DUMMYFUNCTION("INDIRECT(""'收支紀錄'!F""&amp;TO_TEXT(ROW()-$C$72))"),"")</f>
        <v/>
      </c>
      <c r="G189" s="61" t="str">
        <f>IFERROR(__xludf.DUMMYFUNCTION("INDIRECT(""'收支紀錄'!G""&amp;TO_TEXT(ROW()-$C$72))"),"")</f>
        <v/>
      </c>
      <c r="H189" s="61" t="str">
        <f>IFERROR(__xludf.DUMMYFUNCTION("INDIRECT(""'收支紀錄'!H""&amp;TO_TEXT(ROW()-$C$72))"),"食品酒水")</f>
        <v>食品酒水</v>
      </c>
      <c r="I189" s="61" t="str">
        <f>IFERROR(__xludf.DUMMYFUNCTION("INDIRECT(""'收支紀錄'!I""&amp;TO_TEXT(ROW()-$C$72))"),"午餐")</f>
        <v>午餐</v>
      </c>
      <c r="J189" s="61" t="str">
        <f>IFERROR(__xludf.DUMMYFUNCTION("INDIRECT(""'收支紀錄'!J""&amp;TO_TEXT(ROW()-$C$72))"),"")</f>
        <v/>
      </c>
      <c r="K189" s="61" t="str">
        <f>IFERROR(__xludf.DUMMYFUNCTION("INDIRECT(""'收支紀錄'!K""&amp;TO_TEXT(ROW()-$C$72))"),"")</f>
        <v/>
      </c>
      <c r="L189" s="61" t="str">
        <f>IFERROR(__xludf.DUMMYFUNCTION("INDIRECT(""'收支紀錄'!L""&amp;TO_TEXT(ROW()-$C$72))"),"")</f>
        <v/>
      </c>
      <c r="M189" s="61" t="str">
        <f>IFERROR(__xludf.DUMMYFUNCTION("INDIRECT(""'收支紀錄'!M""&amp;TO_TEXT(ROW()-$C$72))"),"")</f>
        <v/>
      </c>
      <c r="N189" s="61" t="str">
        <f>IFERROR(__xludf.DUMMYFUNCTION("INDIRECT(""'收支紀錄'!N""&amp;TO_TEXT(ROW()-$C$72))"),"")</f>
        <v/>
      </c>
      <c r="O189" s="61" t="str">
        <f>IFERROR(__xludf.DUMMYFUNCTION("INDIRECT(""'收支紀錄'!O""&amp;TO_TEXT(ROW()-$C$72))"),"")</f>
        <v/>
      </c>
      <c r="P189" s="61" t="str">
        <f>IFERROR(__xludf.DUMMYFUNCTION("INDIRECT(""'收支紀錄'!P""&amp;TO_TEXT(ROW()-$C$72))"),"")</f>
        <v/>
      </c>
      <c r="Q189" s="61" t="str">
        <f>IFERROR(__xludf.DUMMYFUNCTION("INDIRECT(""'收支紀錄'!Q""&amp;TO_TEXT(ROW()-$C$72))"),"")</f>
        <v/>
      </c>
      <c r="R189" s="61" t="str">
        <f>IFERROR(__xludf.DUMMYFUNCTION("INDIRECT(""'收支紀錄'!R""&amp;TO_TEXT(ROW()-$C$72))"),"")</f>
        <v/>
      </c>
      <c r="S189" s="61" t="str">
        <f>IFERROR(__xludf.DUMMYFUNCTION("INDIRECT(""'收支紀錄'!S""&amp;TO_TEXT(ROW()-$C$72))"),"")</f>
        <v/>
      </c>
      <c r="T189" s="61" t="str">
        <f>IFERROR(__xludf.DUMMYFUNCTION("INDIRECT(""'收支紀錄'!T""&amp;TO_TEXT(ROW()-$C$72))"),"")</f>
        <v/>
      </c>
      <c r="U189" s="62" t="str">
        <f>IFERROR(__xludf.DUMMYFUNCTION("IF(T189=""是"",TEXTJOIN("""", TRUE, ""$"", TO_TEXT(C189), S189),"""")"),"")</f>
        <v/>
      </c>
    </row>
    <row r="190">
      <c r="A190" s="58">
        <f>IFERROR(__xludf.DUMMYFUNCTION("INDIRECT(""'收支紀錄'!A""&amp;TO_TEXT(ROW()-$C$72))"),45535.70550452547)</f>
        <v>45535.7055</v>
      </c>
      <c r="B190" s="59">
        <f>IFERROR(__xludf.DUMMYFUNCTION("IF(ISBLANK(D190), """", IF(ISDATE(D190), D190, IF(D190=""今天"", A190, IF(D190=""昨天 (-1 day)"", A190-1, IF(D190=""前天 (-2 days)"", A190-2, IF(D190=""明天 (+1 day)"", A190+1, DATE(LEFT(D190,4), MID(D190,5,2), RIGHT(D190,2))))))))"),45535.0)</f>
        <v>45535</v>
      </c>
      <c r="C190" s="60">
        <f>IFERROR(__xludf.DUMMYFUNCTION("INDIRECT(""'收支紀錄'!C""&amp;TO_TEXT(ROW()-$C$72))"),28.0)</f>
        <v>28</v>
      </c>
      <c r="D190" s="59">
        <f>IFERROR(__xludf.DUMMYFUNCTION("INDIRECT(""'收支紀錄'!D""&amp;TO_TEXT(ROW()-$C$72))"),45535.0)</f>
        <v>45535</v>
      </c>
      <c r="E190" s="61" t="str">
        <f>IFERROR(__xludf.DUMMYFUNCTION("INDIRECT(""'收支紀錄'!E""&amp;TO_TEXT(ROW()-$C$72))"),"")</f>
        <v/>
      </c>
      <c r="F190" s="61" t="str">
        <f>IFERROR(__xludf.DUMMYFUNCTION("INDIRECT(""'收支紀錄'!F""&amp;TO_TEXT(ROW()-$C$72))"),"")</f>
        <v/>
      </c>
      <c r="G190" s="61" t="str">
        <f>IFERROR(__xludf.DUMMYFUNCTION("INDIRECT(""'收支紀錄'!G""&amp;TO_TEXT(ROW()-$C$72))"),"")</f>
        <v/>
      </c>
      <c r="H190" s="61" t="str">
        <f>IFERROR(__xludf.DUMMYFUNCTION("INDIRECT(""'收支紀錄'!H""&amp;TO_TEXT(ROW()-$C$72))"),"食品酒水")</f>
        <v>食品酒水</v>
      </c>
      <c r="I190" s="61" t="str">
        <f>IFERROR(__xludf.DUMMYFUNCTION("INDIRECT(""'收支紀錄'!I""&amp;TO_TEXT(ROW()-$C$72))"),"飲料酒水")</f>
        <v>飲料酒水</v>
      </c>
      <c r="J190" s="61" t="str">
        <f>IFERROR(__xludf.DUMMYFUNCTION("INDIRECT(""'收支紀錄'!J""&amp;TO_TEXT(ROW()-$C$72))"),"")</f>
        <v/>
      </c>
      <c r="K190" s="61" t="str">
        <f>IFERROR(__xludf.DUMMYFUNCTION("INDIRECT(""'收支紀錄'!K""&amp;TO_TEXT(ROW()-$C$72))"),"")</f>
        <v/>
      </c>
      <c r="L190" s="61" t="str">
        <f>IFERROR(__xludf.DUMMYFUNCTION("INDIRECT(""'收支紀錄'!L""&amp;TO_TEXT(ROW()-$C$72))"),"")</f>
        <v/>
      </c>
      <c r="M190" s="61" t="str">
        <f>IFERROR(__xludf.DUMMYFUNCTION("INDIRECT(""'收支紀錄'!M""&amp;TO_TEXT(ROW()-$C$72))"),"")</f>
        <v/>
      </c>
      <c r="N190" s="61" t="str">
        <f>IFERROR(__xludf.DUMMYFUNCTION("INDIRECT(""'收支紀錄'!N""&amp;TO_TEXT(ROW()-$C$72))"),"")</f>
        <v/>
      </c>
      <c r="O190" s="61" t="str">
        <f>IFERROR(__xludf.DUMMYFUNCTION("INDIRECT(""'收支紀錄'!O""&amp;TO_TEXT(ROW()-$C$72))"),"")</f>
        <v/>
      </c>
      <c r="P190" s="61" t="str">
        <f>IFERROR(__xludf.DUMMYFUNCTION("INDIRECT(""'收支紀錄'!P""&amp;TO_TEXT(ROW()-$C$72))"),"")</f>
        <v/>
      </c>
      <c r="Q190" s="61" t="str">
        <f>IFERROR(__xludf.DUMMYFUNCTION("INDIRECT(""'收支紀錄'!Q""&amp;TO_TEXT(ROW()-$C$72))"),"")</f>
        <v/>
      </c>
      <c r="R190" s="61" t="str">
        <f>IFERROR(__xludf.DUMMYFUNCTION("INDIRECT(""'收支紀錄'!R""&amp;TO_TEXT(ROW()-$C$72))"),"")</f>
        <v/>
      </c>
      <c r="S190" s="61" t="str">
        <f>IFERROR(__xludf.DUMMYFUNCTION("INDIRECT(""'收支紀錄'!S""&amp;TO_TEXT(ROW()-$C$72))"),"")</f>
        <v/>
      </c>
      <c r="T190" s="61" t="str">
        <f>IFERROR(__xludf.DUMMYFUNCTION("INDIRECT(""'收支紀錄'!T""&amp;TO_TEXT(ROW()-$C$72))"),"")</f>
        <v/>
      </c>
      <c r="U190" s="62" t="str">
        <f>IFERROR(__xludf.DUMMYFUNCTION("IF(T190=""是"",TEXTJOIN("""", TRUE, ""$"", TO_TEXT(C190), S190),"""")"),"")</f>
        <v/>
      </c>
    </row>
    <row r="191">
      <c r="A191" s="58">
        <f>IFERROR(__xludf.DUMMYFUNCTION("INDIRECT(""'收支紀錄'!A""&amp;TO_TEXT(ROW()-$C$72))"),45535.752152326386)</f>
        <v>45535.75215</v>
      </c>
      <c r="B191" s="59">
        <f>IFERROR(__xludf.DUMMYFUNCTION("IF(ISBLANK(D191), """", IF(ISDATE(D191), D191, IF(D191=""今天"", A191, IF(D191=""昨天 (-1 day)"", A191-1, IF(D191=""前天 (-2 days)"", A191-2, IF(D191=""明天 (+1 day)"", A191+1, DATE(LEFT(D191,4), MID(D191,5,2), RIGHT(D191,2))))))))"),45535.0)</f>
        <v>45535</v>
      </c>
      <c r="C191" s="60">
        <f>IFERROR(__xludf.DUMMYFUNCTION("INDIRECT(""'收支紀錄'!C""&amp;TO_TEXT(ROW()-$C$72))"),20.0)</f>
        <v>20</v>
      </c>
      <c r="D191" s="59">
        <f>IFERROR(__xludf.DUMMYFUNCTION("INDIRECT(""'收支紀錄'!D""&amp;TO_TEXT(ROW()-$C$72))"),45535.0)</f>
        <v>45535</v>
      </c>
      <c r="E191" s="61" t="str">
        <f>IFERROR(__xludf.DUMMYFUNCTION("INDIRECT(""'收支紀錄'!E""&amp;TO_TEXT(ROW()-$C$72))"),"")</f>
        <v/>
      </c>
      <c r="F191" s="61" t="str">
        <f>IFERROR(__xludf.DUMMYFUNCTION("INDIRECT(""'收支紀錄'!F""&amp;TO_TEXT(ROW()-$C$72))"),"")</f>
        <v/>
      </c>
      <c r="G191" s="61" t="str">
        <f>IFERROR(__xludf.DUMMYFUNCTION("INDIRECT(""'收支紀錄'!G""&amp;TO_TEXT(ROW()-$C$72))"),"")</f>
        <v/>
      </c>
      <c r="H191" s="61" t="str">
        <f>IFERROR(__xludf.DUMMYFUNCTION("INDIRECT(""'收支紀錄'!H""&amp;TO_TEXT(ROW()-$C$72))"),"行車交通")</f>
        <v>行車交通</v>
      </c>
      <c r="I191" s="61" t="str">
        <f>IFERROR(__xludf.DUMMYFUNCTION("INDIRECT(""'收支紀錄'!I""&amp;TO_TEXT(ROW()-$C$72))"),"")</f>
        <v/>
      </c>
      <c r="J191" s="61" t="str">
        <f>IFERROR(__xludf.DUMMYFUNCTION("INDIRECT(""'收支紀錄'!J""&amp;TO_TEXT(ROW()-$C$72))"),"")</f>
        <v/>
      </c>
      <c r="K191" s="61" t="str">
        <f>IFERROR(__xludf.DUMMYFUNCTION("INDIRECT(""'收支紀錄'!K""&amp;TO_TEXT(ROW()-$C$72))"),"")</f>
        <v/>
      </c>
      <c r="L191" s="61" t="str">
        <f>IFERROR(__xludf.DUMMYFUNCTION("INDIRECT(""'收支紀錄'!L""&amp;TO_TEXT(ROW()-$C$72))"),"捷運費")</f>
        <v>捷運費</v>
      </c>
      <c r="M191" s="61" t="str">
        <f>IFERROR(__xludf.DUMMYFUNCTION("INDIRECT(""'收支紀錄'!M""&amp;TO_TEXT(ROW()-$C$72))"),"")</f>
        <v/>
      </c>
      <c r="N191" s="61" t="str">
        <f>IFERROR(__xludf.DUMMYFUNCTION("INDIRECT(""'收支紀錄'!N""&amp;TO_TEXT(ROW()-$C$72))"),"")</f>
        <v/>
      </c>
      <c r="O191" s="61" t="str">
        <f>IFERROR(__xludf.DUMMYFUNCTION("INDIRECT(""'收支紀錄'!O""&amp;TO_TEXT(ROW()-$C$72))"),"")</f>
        <v/>
      </c>
      <c r="P191" s="61" t="str">
        <f>IFERROR(__xludf.DUMMYFUNCTION("INDIRECT(""'收支紀錄'!P""&amp;TO_TEXT(ROW()-$C$72))"),"")</f>
        <v/>
      </c>
      <c r="Q191" s="61" t="str">
        <f>IFERROR(__xludf.DUMMYFUNCTION("INDIRECT(""'收支紀錄'!Q""&amp;TO_TEXT(ROW()-$C$72))"),"")</f>
        <v/>
      </c>
      <c r="R191" s="61" t="str">
        <f>IFERROR(__xludf.DUMMYFUNCTION("INDIRECT(""'收支紀錄'!R""&amp;TO_TEXT(ROW()-$C$72))"),"")</f>
        <v/>
      </c>
      <c r="S191" s="61" t="str">
        <f>IFERROR(__xludf.DUMMYFUNCTION("INDIRECT(""'收支紀錄'!S""&amp;TO_TEXT(ROW()-$C$72))"),"")</f>
        <v/>
      </c>
      <c r="T191" s="61" t="str">
        <f>IFERROR(__xludf.DUMMYFUNCTION("INDIRECT(""'收支紀錄'!T""&amp;TO_TEXT(ROW()-$C$72))"),"")</f>
        <v/>
      </c>
      <c r="U191" s="62" t="str">
        <f>IFERROR(__xludf.DUMMYFUNCTION("IF(T191=""是"",TEXTJOIN("""", TRUE, ""$"", TO_TEXT(C191), S191),"""")"),"")</f>
        <v/>
      </c>
    </row>
    <row r="192">
      <c r="A192" s="58">
        <f>IFERROR(__xludf.DUMMYFUNCTION("INDIRECT(""'收支紀錄'!A""&amp;TO_TEXT(ROW()-$C$72))"),45535.99719105324)</f>
        <v>45535.99719</v>
      </c>
      <c r="B192" s="59">
        <f>IFERROR(__xludf.DUMMYFUNCTION("IF(ISBLANK(D192), """", IF(ISDATE(D192), D192, IF(D192=""今天"", A192, IF(D192=""昨天 (-1 day)"", A192-1, IF(D192=""前天 (-2 days)"", A192-2, IF(D192=""明天 (+1 day)"", A192+1, DATE(LEFT(D192,4), MID(D192,5,2), RIGHT(D192,2))))))))"),45535.0)</f>
        <v>45535</v>
      </c>
      <c r="C192" s="60">
        <f>IFERROR(__xludf.DUMMYFUNCTION("INDIRECT(""'收支紀錄'!C""&amp;TO_TEXT(ROW()-$C$72))"),20.0)</f>
        <v>20</v>
      </c>
      <c r="D192" s="59">
        <f>IFERROR(__xludf.DUMMYFUNCTION("INDIRECT(""'收支紀錄'!D""&amp;TO_TEXT(ROW()-$C$72))"),45535.0)</f>
        <v>45535</v>
      </c>
      <c r="E192" s="61" t="str">
        <f>IFERROR(__xludf.DUMMYFUNCTION("INDIRECT(""'收支紀錄'!E""&amp;TO_TEXT(ROW()-$C$72))"),"")</f>
        <v/>
      </c>
      <c r="F192" s="61" t="str">
        <f>IFERROR(__xludf.DUMMYFUNCTION("INDIRECT(""'收支紀錄'!F""&amp;TO_TEXT(ROW()-$C$72))"),"")</f>
        <v/>
      </c>
      <c r="G192" s="61" t="str">
        <f>IFERROR(__xludf.DUMMYFUNCTION("INDIRECT(""'收支紀錄'!G""&amp;TO_TEXT(ROW()-$C$72))"),"")</f>
        <v/>
      </c>
      <c r="H192" s="61" t="str">
        <f>IFERROR(__xludf.DUMMYFUNCTION("INDIRECT(""'收支紀錄'!H""&amp;TO_TEXT(ROW()-$C$72))"),"行車交通")</f>
        <v>行車交通</v>
      </c>
      <c r="I192" s="61" t="str">
        <f>IFERROR(__xludf.DUMMYFUNCTION("INDIRECT(""'收支紀錄'!I""&amp;TO_TEXT(ROW()-$C$72))"),"")</f>
        <v/>
      </c>
      <c r="J192" s="61" t="str">
        <f>IFERROR(__xludf.DUMMYFUNCTION("INDIRECT(""'收支紀錄'!J""&amp;TO_TEXT(ROW()-$C$72))"),"")</f>
        <v/>
      </c>
      <c r="K192" s="61" t="str">
        <f>IFERROR(__xludf.DUMMYFUNCTION("INDIRECT(""'收支紀錄'!K""&amp;TO_TEXT(ROW()-$C$72))"),"")</f>
        <v/>
      </c>
      <c r="L192" s="61" t="str">
        <f>IFERROR(__xludf.DUMMYFUNCTION("INDIRECT(""'收支紀錄'!L""&amp;TO_TEXT(ROW()-$C$72))"),"捷運費")</f>
        <v>捷運費</v>
      </c>
      <c r="M192" s="61" t="str">
        <f>IFERROR(__xludf.DUMMYFUNCTION("INDIRECT(""'收支紀錄'!M""&amp;TO_TEXT(ROW()-$C$72))"),"")</f>
        <v/>
      </c>
      <c r="N192" s="61" t="str">
        <f>IFERROR(__xludf.DUMMYFUNCTION("INDIRECT(""'收支紀錄'!N""&amp;TO_TEXT(ROW()-$C$72))"),"")</f>
        <v/>
      </c>
      <c r="O192" s="61" t="str">
        <f>IFERROR(__xludf.DUMMYFUNCTION("INDIRECT(""'收支紀錄'!O""&amp;TO_TEXT(ROW()-$C$72))"),"")</f>
        <v/>
      </c>
      <c r="P192" s="61" t="str">
        <f>IFERROR(__xludf.DUMMYFUNCTION("INDIRECT(""'收支紀錄'!P""&amp;TO_TEXT(ROW()-$C$72))"),"")</f>
        <v/>
      </c>
      <c r="Q192" s="61" t="str">
        <f>IFERROR(__xludf.DUMMYFUNCTION("INDIRECT(""'收支紀錄'!Q""&amp;TO_TEXT(ROW()-$C$72))"),"")</f>
        <v/>
      </c>
      <c r="R192" s="61" t="str">
        <f>IFERROR(__xludf.DUMMYFUNCTION("INDIRECT(""'收支紀錄'!R""&amp;TO_TEXT(ROW()-$C$72))"),"")</f>
        <v/>
      </c>
      <c r="S192" s="61" t="str">
        <f>IFERROR(__xludf.DUMMYFUNCTION("INDIRECT(""'收支紀錄'!S""&amp;TO_TEXT(ROW()-$C$72))"),"")</f>
        <v/>
      </c>
      <c r="T192" s="61" t="str">
        <f>IFERROR(__xludf.DUMMYFUNCTION("INDIRECT(""'收支紀錄'!T""&amp;TO_TEXT(ROW()-$C$72))"),"")</f>
        <v/>
      </c>
      <c r="U192" s="62" t="str">
        <f>IFERROR(__xludf.DUMMYFUNCTION("IF(T192=""是"",TEXTJOIN("""", TRUE, ""$"", TO_TEXT(C192), S192),"""")"),"")</f>
        <v/>
      </c>
    </row>
    <row r="193">
      <c r="A193" s="58">
        <f>IFERROR(__xludf.DUMMYFUNCTION("INDIRECT(""'收支紀錄'!A""&amp;TO_TEXT(ROW()-$C$72))"),45536.38667391204)</f>
        <v>45536.38667</v>
      </c>
      <c r="B193" s="59">
        <f>IFERROR(__xludf.DUMMYFUNCTION("IF(ISBLANK(D193), """", IF(ISDATE(D193), D193, IF(D193=""今天"", A193, IF(D193=""昨天 (-1 day)"", A193-1, IF(D193=""前天 (-2 days)"", A193-2, IF(D193=""明天 (+1 day)"", A193+1, DATE(LEFT(D193,4), MID(D193,5,2), RIGHT(D193,2))))))))"),45536.0)</f>
        <v>45536</v>
      </c>
      <c r="C193" s="60">
        <f>IFERROR(__xludf.DUMMYFUNCTION("INDIRECT(""'收支紀錄'!C""&amp;TO_TEXT(ROW()-$C$72))"),150.0)</f>
        <v>150</v>
      </c>
      <c r="D193" s="59">
        <f>IFERROR(__xludf.DUMMYFUNCTION("INDIRECT(""'收支紀錄'!D""&amp;TO_TEXT(ROW()-$C$72))"),45536.0)</f>
        <v>45536</v>
      </c>
      <c r="E193" s="61" t="str">
        <f>IFERROR(__xludf.DUMMYFUNCTION("INDIRECT(""'收支紀錄'!E""&amp;TO_TEXT(ROW()-$C$72))"),"")</f>
        <v/>
      </c>
      <c r="F193" s="61" t="str">
        <f>IFERROR(__xludf.DUMMYFUNCTION("INDIRECT(""'收支紀錄'!F""&amp;TO_TEXT(ROW()-$C$72))"),"")</f>
        <v/>
      </c>
      <c r="G193" s="61" t="str">
        <f>IFERROR(__xludf.DUMMYFUNCTION("INDIRECT(""'收支紀錄'!G""&amp;TO_TEXT(ROW()-$C$72))"),"")</f>
        <v/>
      </c>
      <c r="H193" s="61" t="str">
        <f>IFERROR(__xludf.DUMMYFUNCTION("INDIRECT(""'收支紀錄'!H""&amp;TO_TEXT(ROW()-$C$72))"),"食品酒水")</f>
        <v>食品酒水</v>
      </c>
      <c r="I193" s="61" t="str">
        <f>IFERROR(__xludf.DUMMYFUNCTION("INDIRECT(""'收支紀錄'!I""&amp;TO_TEXT(ROW()-$C$72))"),"早餐")</f>
        <v>早餐</v>
      </c>
      <c r="J193" s="61" t="str">
        <f>IFERROR(__xludf.DUMMYFUNCTION("INDIRECT(""'收支紀錄'!J""&amp;TO_TEXT(ROW()-$C$72))"),"")</f>
        <v/>
      </c>
      <c r="K193" s="61" t="str">
        <f>IFERROR(__xludf.DUMMYFUNCTION("INDIRECT(""'收支紀錄'!K""&amp;TO_TEXT(ROW()-$C$72))"),"")</f>
        <v/>
      </c>
      <c r="L193" s="61" t="str">
        <f>IFERROR(__xludf.DUMMYFUNCTION("INDIRECT(""'收支紀錄'!L""&amp;TO_TEXT(ROW()-$C$72))"),"")</f>
        <v/>
      </c>
      <c r="M193" s="61" t="str">
        <f>IFERROR(__xludf.DUMMYFUNCTION("INDIRECT(""'收支紀錄'!M""&amp;TO_TEXT(ROW()-$C$72))"),"")</f>
        <v/>
      </c>
      <c r="N193" s="61" t="str">
        <f>IFERROR(__xludf.DUMMYFUNCTION("INDIRECT(""'收支紀錄'!N""&amp;TO_TEXT(ROW()-$C$72))"),"")</f>
        <v/>
      </c>
      <c r="O193" s="61" t="str">
        <f>IFERROR(__xludf.DUMMYFUNCTION("INDIRECT(""'收支紀錄'!O""&amp;TO_TEXT(ROW()-$C$72))"),"")</f>
        <v/>
      </c>
      <c r="P193" s="61" t="str">
        <f>IFERROR(__xludf.DUMMYFUNCTION("INDIRECT(""'收支紀錄'!P""&amp;TO_TEXT(ROW()-$C$72))"),"")</f>
        <v/>
      </c>
      <c r="Q193" s="61" t="str">
        <f>IFERROR(__xludf.DUMMYFUNCTION("INDIRECT(""'收支紀錄'!Q""&amp;TO_TEXT(ROW()-$C$72))"),"")</f>
        <v/>
      </c>
      <c r="R193" s="61" t="str">
        <f>IFERROR(__xludf.DUMMYFUNCTION("INDIRECT(""'收支紀錄'!R""&amp;TO_TEXT(ROW()-$C$72))"),"")</f>
        <v/>
      </c>
      <c r="S193" s="61" t="str">
        <f>IFERROR(__xludf.DUMMYFUNCTION("INDIRECT(""'收支紀錄'!S""&amp;TO_TEXT(ROW()-$C$72))"),"")</f>
        <v/>
      </c>
      <c r="T193" s="61" t="str">
        <f>IFERROR(__xludf.DUMMYFUNCTION("INDIRECT(""'收支紀錄'!T""&amp;TO_TEXT(ROW()-$C$72))"),"")</f>
        <v/>
      </c>
      <c r="U193" s="62" t="str">
        <f>IFERROR(__xludf.DUMMYFUNCTION("IF(T193=""是"",TEXTJOIN("""", TRUE, ""$"", TO_TEXT(C193), S193),"""")"),"")</f>
        <v/>
      </c>
    </row>
    <row r="194">
      <c r="A194" s="58">
        <f>IFERROR(__xludf.DUMMYFUNCTION("INDIRECT(""'收支紀錄'!A""&amp;TO_TEXT(ROW()-$C$72))"),45536.75696465278)</f>
        <v>45536.75696</v>
      </c>
      <c r="B194" s="59">
        <f>IFERROR(__xludf.DUMMYFUNCTION("IF(ISBLANK(D194), """", IF(ISDATE(D194), D194, IF(D194=""今天"", A194, IF(D194=""昨天 (-1 day)"", A194-1, IF(D194=""前天 (-2 days)"", A194-2, IF(D194=""明天 (+1 day)"", A194+1, DATE(LEFT(D194,4), MID(D194,5,2), RIGHT(D194,2))))))))"),45536.0)</f>
        <v>45536</v>
      </c>
      <c r="C194" s="60">
        <f>IFERROR(__xludf.DUMMYFUNCTION("INDIRECT(""'收支紀錄'!C""&amp;TO_TEXT(ROW()-$C$72))"),70.0)</f>
        <v>70</v>
      </c>
      <c r="D194" s="59">
        <f>IFERROR(__xludf.DUMMYFUNCTION("INDIRECT(""'收支紀錄'!D""&amp;TO_TEXT(ROW()-$C$72))"),45536.0)</f>
        <v>45536</v>
      </c>
      <c r="E194" s="61" t="str">
        <f>IFERROR(__xludf.DUMMYFUNCTION("INDIRECT(""'收支紀錄'!E""&amp;TO_TEXT(ROW()-$C$72))"),"")</f>
        <v/>
      </c>
      <c r="F194" s="61" t="str">
        <f>IFERROR(__xludf.DUMMYFUNCTION("INDIRECT(""'收支紀錄'!F""&amp;TO_TEXT(ROW()-$C$72))"),"")</f>
        <v/>
      </c>
      <c r="G194" s="61" t="str">
        <f>IFERROR(__xludf.DUMMYFUNCTION("INDIRECT(""'收支紀錄'!G""&amp;TO_TEXT(ROW()-$C$72))"),"")</f>
        <v/>
      </c>
      <c r="H194" s="61" t="str">
        <f>IFERROR(__xludf.DUMMYFUNCTION("INDIRECT(""'收支紀錄'!H""&amp;TO_TEXT(ROW()-$C$72))"),"行車交通")</f>
        <v>行車交通</v>
      </c>
      <c r="I194" s="61" t="str">
        <f>IFERROR(__xludf.DUMMYFUNCTION("INDIRECT(""'收支紀錄'!I""&amp;TO_TEXT(ROW()-$C$72))"),"")</f>
        <v/>
      </c>
      <c r="J194" s="61" t="str">
        <f>IFERROR(__xludf.DUMMYFUNCTION("INDIRECT(""'收支紀錄'!J""&amp;TO_TEXT(ROW()-$C$72))"),"")</f>
        <v/>
      </c>
      <c r="K194" s="61" t="str">
        <f>IFERROR(__xludf.DUMMYFUNCTION("INDIRECT(""'收支紀錄'!K""&amp;TO_TEXT(ROW()-$C$72))"),"")</f>
        <v/>
      </c>
      <c r="L194" s="61" t="str">
        <f>IFERROR(__xludf.DUMMYFUNCTION("INDIRECT(""'收支紀錄'!L""&amp;TO_TEXT(ROW()-$C$72))"),"捷運費")</f>
        <v>捷運費</v>
      </c>
      <c r="M194" s="61" t="str">
        <f>IFERROR(__xludf.DUMMYFUNCTION("INDIRECT(""'收支紀錄'!M""&amp;TO_TEXT(ROW()-$C$72))"),"")</f>
        <v/>
      </c>
      <c r="N194" s="61" t="str">
        <f>IFERROR(__xludf.DUMMYFUNCTION("INDIRECT(""'收支紀錄'!N""&amp;TO_TEXT(ROW()-$C$72))"),"")</f>
        <v/>
      </c>
      <c r="O194" s="61" t="str">
        <f>IFERROR(__xludf.DUMMYFUNCTION("INDIRECT(""'收支紀錄'!O""&amp;TO_TEXT(ROW()-$C$72))"),"")</f>
        <v/>
      </c>
      <c r="P194" s="61" t="str">
        <f>IFERROR(__xludf.DUMMYFUNCTION("INDIRECT(""'收支紀錄'!P""&amp;TO_TEXT(ROW()-$C$72))"),"")</f>
        <v/>
      </c>
      <c r="Q194" s="61" t="str">
        <f>IFERROR(__xludf.DUMMYFUNCTION("INDIRECT(""'收支紀錄'!Q""&amp;TO_TEXT(ROW()-$C$72))"),"")</f>
        <v/>
      </c>
      <c r="R194" s="61" t="str">
        <f>IFERROR(__xludf.DUMMYFUNCTION("INDIRECT(""'收支紀錄'!R""&amp;TO_TEXT(ROW()-$C$72))"),"")</f>
        <v/>
      </c>
      <c r="S194" s="61" t="str">
        <f>IFERROR(__xludf.DUMMYFUNCTION("INDIRECT(""'收支紀錄'!S""&amp;TO_TEXT(ROW()-$C$72))"),"")</f>
        <v/>
      </c>
      <c r="T194" s="61" t="str">
        <f>IFERROR(__xludf.DUMMYFUNCTION("INDIRECT(""'收支紀錄'!T""&amp;TO_TEXT(ROW()-$C$72))"),"")</f>
        <v/>
      </c>
      <c r="U194" s="62" t="str">
        <f>IFERROR(__xludf.DUMMYFUNCTION("IF(T194=""是"",TEXTJOIN("""", TRUE, ""$"", TO_TEXT(C194), S194),"""")"),"")</f>
        <v/>
      </c>
    </row>
    <row r="195">
      <c r="A195" s="58">
        <f>IFERROR(__xludf.DUMMYFUNCTION("INDIRECT(""'收支紀錄'!A""&amp;TO_TEXT(ROW()-$C$72))"),45536.75732070602)</f>
        <v>45536.75732</v>
      </c>
      <c r="B195" s="59">
        <f>IFERROR(__xludf.DUMMYFUNCTION("IF(ISBLANK(D195), """", IF(ISDATE(D195), D195, IF(D195=""今天"", A195, IF(D195=""昨天 (-1 day)"", A195-1, IF(D195=""前天 (-2 days)"", A195-2, IF(D195=""明天 (+1 day)"", A195+1, DATE(LEFT(D195,4), MID(D195,5,2), RIGHT(D195,2))))))))"),45536.0)</f>
        <v>45536</v>
      </c>
      <c r="C195" s="60">
        <f>IFERROR(__xludf.DUMMYFUNCTION("INDIRECT(""'收支紀錄'!C""&amp;TO_TEXT(ROW()-$C$72))"),475.0)</f>
        <v>475</v>
      </c>
      <c r="D195" s="59">
        <f>IFERROR(__xludf.DUMMYFUNCTION("INDIRECT(""'收支紀錄'!D""&amp;TO_TEXT(ROW()-$C$72))"),45536.0)</f>
        <v>45536</v>
      </c>
      <c r="E195" s="61" t="str">
        <f>IFERROR(__xludf.DUMMYFUNCTION("INDIRECT(""'收支紀錄'!E""&amp;TO_TEXT(ROW()-$C$72))"),"")</f>
        <v/>
      </c>
      <c r="F195" s="61" t="str">
        <f>IFERROR(__xludf.DUMMYFUNCTION("INDIRECT(""'收支紀錄'!F""&amp;TO_TEXT(ROW()-$C$72))"),"")</f>
        <v/>
      </c>
      <c r="G195" s="61" t="str">
        <f>IFERROR(__xludf.DUMMYFUNCTION("INDIRECT(""'收支紀錄'!G""&amp;TO_TEXT(ROW()-$C$72))"),"")</f>
        <v/>
      </c>
      <c r="H195" s="61" t="str">
        <f>IFERROR(__xludf.DUMMYFUNCTION("INDIRECT(""'收支紀錄'!H""&amp;TO_TEXT(ROW()-$C$72))"),"食品酒水")</f>
        <v>食品酒水</v>
      </c>
      <c r="I195" s="61" t="str">
        <f>IFERROR(__xludf.DUMMYFUNCTION("INDIRECT(""'收支紀錄'!I""&amp;TO_TEXT(ROW()-$C$72))"),"午餐")</f>
        <v>午餐</v>
      </c>
      <c r="J195" s="61" t="str">
        <f>IFERROR(__xludf.DUMMYFUNCTION("INDIRECT(""'收支紀錄'!J""&amp;TO_TEXT(ROW()-$C$72))"),"")</f>
        <v/>
      </c>
      <c r="K195" s="61" t="str">
        <f>IFERROR(__xludf.DUMMYFUNCTION("INDIRECT(""'收支紀錄'!K""&amp;TO_TEXT(ROW()-$C$72))"),"")</f>
        <v/>
      </c>
      <c r="L195" s="61" t="str">
        <f>IFERROR(__xludf.DUMMYFUNCTION("INDIRECT(""'收支紀錄'!L""&amp;TO_TEXT(ROW()-$C$72))"),"")</f>
        <v/>
      </c>
      <c r="M195" s="61" t="str">
        <f>IFERROR(__xludf.DUMMYFUNCTION("INDIRECT(""'收支紀錄'!M""&amp;TO_TEXT(ROW()-$C$72))"),"")</f>
        <v/>
      </c>
      <c r="N195" s="61" t="str">
        <f>IFERROR(__xludf.DUMMYFUNCTION("INDIRECT(""'收支紀錄'!N""&amp;TO_TEXT(ROW()-$C$72))"),"")</f>
        <v/>
      </c>
      <c r="O195" s="61" t="str">
        <f>IFERROR(__xludf.DUMMYFUNCTION("INDIRECT(""'收支紀錄'!O""&amp;TO_TEXT(ROW()-$C$72))"),"")</f>
        <v/>
      </c>
      <c r="P195" s="61" t="str">
        <f>IFERROR(__xludf.DUMMYFUNCTION("INDIRECT(""'收支紀錄'!P""&amp;TO_TEXT(ROW()-$C$72))"),"")</f>
        <v/>
      </c>
      <c r="Q195" s="61" t="str">
        <f>IFERROR(__xludf.DUMMYFUNCTION("INDIRECT(""'收支紀錄'!Q""&amp;TO_TEXT(ROW()-$C$72))"),"")</f>
        <v/>
      </c>
      <c r="R195" s="61" t="str">
        <f>IFERROR(__xludf.DUMMYFUNCTION("INDIRECT(""'收支紀錄'!R""&amp;TO_TEXT(ROW()-$C$72))"),"")</f>
        <v/>
      </c>
      <c r="S195" s="61" t="str">
        <f>IFERROR(__xludf.DUMMYFUNCTION("INDIRECT(""'收支紀錄'!S""&amp;TO_TEXT(ROW()-$C$72))"),"")</f>
        <v/>
      </c>
      <c r="T195" s="61" t="str">
        <f>IFERROR(__xludf.DUMMYFUNCTION("INDIRECT(""'收支紀錄'!T""&amp;TO_TEXT(ROW()-$C$72))"),"")</f>
        <v/>
      </c>
      <c r="U195" s="62" t="str">
        <f>IFERROR(__xludf.DUMMYFUNCTION("IF(T195=""是"",TEXTJOIN("""", TRUE, ""$"", TO_TEXT(C195), S195),"""")"),"")</f>
        <v/>
      </c>
    </row>
    <row r="196">
      <c r="A196" s="58">
        <f>IFERROR(__xludf.DUMMYFUNCTION("INDIRECT(""'收支紀錄'!A""&amp;TO_TEXT(ROW()-$C$72))"),45536.75763850694)</f>
        <v>45536.75764</v>
      </c>
      <c r="B196" s="59">
        <f>IFERROR(__xludf.DUMMYFUNCTION("IF(ISBLANK(D196), """", IF(ISDATE(D196), D196, IF(D196=""今天"", A196, IF(D196=""昨天 (-1 day)"", A196-1, IF(D196=""前天 (-2 days)"", A196-2, IF(D196=""明天 (+1 day)"", A196+1, DATE(LEFT(D196,4), MID(D196,5,2), RIGHT(D196,2))))))))"),45536.0)</f>
        <v>45536</v>
      </c>
      <c r="C196" s="60">
        <f>IFERROR(__xludf.DUMMYFUNCTION("INDIRECT(""'收支紀錄'!C""&amp;TO_TEXT(ROW()-$C$72))"),550.0)</f>
        <v>550</v>
      </c>
      <c r="D196" s="59">
        <f>IFERROR(__xludf.DUMMYFUNCTION("INDIRECT(""'收支紀錄'!D""&amp;TO_TEXT(ROW()-$C$72))"),45536.0)</f>
        <v>45536</v>
      </c>
      <c r="E196" s="61" t="str">
        <f>IFERROR(__xludf.DUMMYFUNCTION("INDIRECT(""'收支紀錄'!E""&amp;TO_TEXT(ROW()-$C$72))"),"")</f>
        <v/>
      </c>
      <c r="F196" s="61" t="str">
        <f>IFERROR(__xludf.DUMMYFUNCTION("INDIRECT(""'收支紀錄'!F""&amp;TO_TEXT(ROW()-$C$72))"),"")</f>
        <v/>
      </c>
      <c r="G196" s="61" t="str">
        <f>IFERROR(__xludf.DUMMYFUNCTION("INDIRECT(""'收支紀錄'!G""&amp;TO_TEXT(ROW()-$C$72))"),"")</f>
        <v/>
      </c>
      <c r="H196" s="61" t="str">
        <f>IFERROR(__xludf.DUMMYFUNCTION("INDIRECT(""'收支紀錄'!H""&amp;TO_TEXT(ROW()-$C$72))"),"休閒娛樂")</f>
        <v>休閒娛樂</v>
      </c>
      <c r="I196" s="61" t="str">
        <f>IFERROR(__xludf.DUMMYFUNCTION("INDIRECT(""'收支紀錄'!I""&amp;TO_TEXT(ROW()-$C$72))"),"")</f>
        <v/>
      </c>
      <c r="J196" s="61" t="str">
        <f>IFERROR(__xludf.DUMMYFUNCTION("INDIRECT(""'收支紀錄'!J""&amp;TO_TEXT(ROW()-$C$72))"),"")</f>
        <v/>
      </c>
      <c r="K196" s="61" t="str">
        <f>IFERROR(__xludf.DUMMYFUNCTION("INDIRECT(""'收支紀錄'!K""&amp;TO_TEXT(ROW()-$C$72))"),"")</f>
        <v/>
      </c>
      <c r="L196" s="61" t="str">
        <f>IFERROR(__xludf.DUMMYFUNCTION("INDIRECT(""'收支紀錄'!L""&amp;TO_TEXT(ROW()-$C$72))"),"")</f>
        <v/>
      </c>
      <c r="M196" s="61" t="str">
        <f>IFERROR(__xludf.DUMMYFUNCTION("INDIRECT(""'收支紀錄'!M""&amp;TO_TEXT(ROW()-$C$72))"),"奢侈敗家")</f>
        <v>奢侈敗家</v>
      </c>
      <c r="N196" s="61" t="str">
        <f>IFERROR(__xludf.DUMMYFUNCTION("INDIRECT(""'收支紀錄'!N""&amp;TO_TEXT(ROW()-$C$72))"),"")</f>
        <v/>
      </c>
      <c r="O196" s="61" t="str">
        <f>IFERROR(__xludf.DUMMYFUNCTION("INDIRECT(""'收支紀錄'!O""&amp;TO_TEXT(ROW()-$C$72))"),"")</f>
        <v/>
      </c>
      <c r="P196" s="61" t="str">
        <f>IFERROR(__xludf.DUMMYFUNCTION("INDIRECT(""'收支紀錄'!P""&amp;TO_TEXT(ROW()-$C$72))"),"")</f>
        <v/>
      </c>
      <c r="Q196" s="61" t="str">
        <f>IFERROR(__xludf.DUMMYFUNCTION("INDIRECT(""'收支紀錄'!Q""&amp;TO_TEXT(ROW()-$C$72))"),"")</f>
        <v/>
      </c>
      <c r="R196" s="61" t="str">
        <f>IFERROR(__xludf.DUMMYFUNCTION("INDIRECT(""'收支紀錄'!R""&amp;TO_TEXT(ROW()-$C$72))"),"")</f>
        <v/>
      </c>
      <c r="S196" s="61" t="str">
        <f>IFERROR(__xludf.DUMMYFUNCTION("INDIRECT(""'收支紀錄'!S""&amp;TO_TEXT(ROW()-$C$72))"),"釣蝦")</f>
        <v>釣蝦</v>
      </c>
      <c r="T196" s="61" t="str">
        <f>IFERROR(__xludf.DUMMYFUNCTION("INDIRECT(""'收支紀錄'!T""&amp;TO_TEXT(ROW()-$C$72))"),"否")</f>
        <v>否</v>
      </c>
      <c r="U196" s="62" t="str">
        <f>IFERROR(__xludf.DUMMYFUNCTION("IF(T196=""是"",TEXTJOIN("""", TRUE, ""$"", TO_TEXT(C196), S196),"""")"),"")</f>
        <v/>
      </c>
    </row>
    <row r="197">
      <c r="A197" s="58">
        <f>IFERROR(__xludf.DUMMYFUNCTION("INDIRECT(""'收支紀錄'!A""&amp;TO_TEXT(ROW()-$C$72))"),45536.76016046296)</f>
        <v>45536.76016</v>
      </c>
      <c r="B197" s="59">
        <f>IFERROR(__xludf.DUMMYFUNCTION("IF(ISBLANK(D197), """", IF(ISDATE(D197), D197, IF(D197=""今天"", A197, IF(D197=""昨天 (-1 day)"", A197-1, IF(D197=""前天 (-2 days)"", A197-2, IF(D197=""明天 (+1 day)"", A197+1, DATE(LEFT(D197,4), MID(D197,5,2), RIGHT(D197,2))))))))"),45536.0)</f>
        <v>45536</v>
      </c>
      <c r="C197" s="60">
        <f>IFERROR(__xludf.DUMMYFUNCTION("INDIRECT(""'收支紀錄'!C""&amp;TO_TEXT(ROW()-$C$72))"),28.0)</f>
        <v>28</v>
      </c>
      <c r="D197" s="59">
        <f>IFERROR(__xludf.DUMMYFUNCTION("INDIRECT(""'收支紀錄'!D""&amp;TO_TEXT(ROW()-$C$72))"),45536.0)</f>
        <v>45536</v>
      </c>
      <c r="E197" s="61" t="str">
        <f>IFERROR(__xludf.DUMMYFUNCTION("INDIRECT(""'收支紀錄'!E""&amp;TO_TEXT(ROW()-$C$72))"),"")</f>
        <v/>
      </c>
      <c r="F197" s="61" t="str">
        <f>IFERROR(__xludf.DUMMYFUNCTION("INDIRECT(""'收支紀錄'!F""&amp;TO_TEXT(ROW()-$C$72))"),"")</f>
        <v/>
      </c>
      <c r="G197" s="61" t="str">
        <f>IFERROR(__xludf.DUMMYFUNCTION("INDIRECT(""'收支紀錄'!G""&amp;TO_TEXT(ROW()-$C$72))"),"")</f>
        <v/>
      </c>
      <c r="H197" s="61" t="str">
        <f>IFERROR(__xludf.DUMMYFUNCTION("INDIRECT(""'收支紀錄'!H""&amp;TO_TEXT(ROW()-$C$72))"),"行車交通")</f>
        <v>行車交通</v>
      </c>
      <c r="I197" s="61" t="str">
        <f>IFERROR(__xludf.DUMMYFUNCTION("INDIRECT(""'收支紀錄'!I""&amp;TO_TEXT(ROW()-$C$72))"),"")</f>
        <v/>
      </c>
      <c r="J197" s="61" t="str">
        <f>IFERROR(__xludf.DUMMYFUNCTION("INDIRECT(""'收支紀錄'!J""&amp;TO_TEXT(ROW()-$C$72))"),"")</f>
        <v/>
      </c>
      <c r="K197" s="61" t="str">
        <f>IFERROR(__xludf.DUMMYFUNCTION("INDIRECT(""'收支紀錄'!K""&amp;TO_TEXT(ROW()-$C$72))"),"")</f>
        <v/>
      </c>
      <c r="L197" s="61" t="str">
        <f>IFERROR(__xludf.DUMMYFUNCTION("INDIRECT(""'收支紀錄'!L""&amp;TO_TEXT(ROW()-$C$72))"),"火車費")</f>
        <v>火車費</v>
      </c>
      <c r="M197" s="61" t="str">
        <f>IFERROR(__xludf.DUMMYFUNCTION("INDIRECT(""'收支紀錄'!M""&amp;TO_TEXT(ROW()-$C$72))"),"")</f>
        <v/>
      </c>
      <c r="N197" s="61" t="str">
        <f>IFERROR(__xludf.DUMMYFUNCTION("INDIRECT(""'收支紀錄'!N""&amp;TO_TEXT(ROW()-$C$72))"),"")</f>
        <v/>
      </c>
      <c r="O197" s="61" t="str">
        <f>IFERROR(__xludf.DUMMYFUNCTION("INDIRECT(""'收支紀錄'!O""&amp;TO_TEXT(ROW()-$C$72))"),"")</f>
        <v/>
      </c>
      <c r="P197" s="61" t="str">
        <f>IFERROR(__xludf.DUMMYFUNCTION("INDIRECT(""'收支紀錄'!P""&amp;TO_TEXT(ROW()-$C$72))"),"")</f>
        <v/>
      </c>
      <c r="Q197" s="61" t="str">
        <f>IFERROR(__xludf.DUMMYFUNCTION("INDIRECT(""'收支紀錄'!Q""&amp;TO_TEXT(ROW()-$C$72))"),"")</f>
        <v/>
      </c>
      <c r="R197" s="61" t="str">
        <f>IFERROR(__xludf.DUMMYFUNCTION("INDIRECT(""'收支紀錄'!R""&amp;TO_TEXT(ROW()-$C$72))"),"")</f>
        <v/>
      </c>
      <c r="S197" s="61" t="str">
        <f>IFERROR(__xludf.DUMMYFUNCTION("INDIRECT(""'收支紀錄'!S""&amp;TO_TEXT(ROW()-$C$72))"),"")</f>
        <v/>
      </c>
      <c r="T197" s="61" t="str">
        <f>IFERROR(__xludf.DUMMYFUNCTION("INDIRECT(""'收支紀錄'!T""&amp;TO_TEXT(ROW()-$C$72))"),"")</f>
        <v/>
      </c>
      <c r="U197" s="62" t="str">
        <f>IFERROR(__xludf.DUMMYFUNCTION("IF(T197=""是"",TEXTJOIN("""", TRUE, ""$"", TO_TEXT(C197), S197),"""")"),"")</f>
        <v/>
      </c>
    </row>
    <row r="198">
      <c r="A198" s="58">
        <f>IFERROR(__xludf.DUMMYFUNCTION("INDIRECT(""'收支紀錄'!A""&amp;TO_TEXT(ROW()-$C$72))"),45536.784447592596)</f>
        <v>45536.78445</v>
      </c>
      <c r="B198" s="59">
        <f>IFERROR(__xludf.DUMMYFUNCTION("IF(ISBLANK(D198), """", IF(ISDATE(D198), D198, IF(D198=""今天"", A198, IF(D198=""昨天 (-1 day)"", A198-1, IF(D198=""前天 (-2 days)"", A198-2, IF(D198=""明天 (+1 day)"", A198+1, DATE(LEFT(D198,4), MID(D198,5,2), RIGHT(D198,2))))))))"),45536.0)</f>
        <v>45536</v>
      </c>
      <c r="C198" s="60">
        <f>IFERROR(__xludf.DUMMYFUNCTION("INDIRECT(""'收支紀錄'!C""&amp;TO_TEXT(ROW()-$C$72))"),130.0)</f>
        <v>130</v>
      </c>
      <c r="D198" s="59">
        <f>IFERROR(__xludf.DUMMYFUNCTION("INDIRECT(""'收支紀錄'!D""&amp;TO_TEXT(ROW()-$C$72))"),45536.0)</f>
        <v>45536</v>
      </c>
      <c r="E198" s="61" t="str">
        <f>IFERROR(__xludf.DUMMYFUNCTION("INDIRECT(""'收支紀錄'!E""&amp;TO_TEXT(ROW()-$C$72))"),"")</f>
        <v/>
      </c>
      <c r="F198" s="61" t="str">
        <f>IFERROR(__xludf.DUMMYFUNCTION("INDIRECT(""'收支紀錄'!F""&amp;TO_TEXT(ROW()-$C$72))"),"")</f>
        <v/>
      </c>
      <c r="G198" s="61" t="str">
        <f>IFERROR(__xludf.DUMMYFUNCTION("INDIRECT(""'收支紀錄'!G""&amp;TO_TEXT(ROW()-$C$72))"),"")</f>
        <v/>
      </c>
      <c r="H198" s="61" t="str">
        <f>IFERROR(__xludf.DUMMYFUNCTION("INDIRECT(""'收支紀錄'!H""&amp;TO_TEXT(ROW()-$C$72))"),"食品酒水")</f>
        <v>食品酒水</v>
      </c>
      <c r="I198" s="61" t="str">
        <f>IFERROR(__xludf.DUMMYFUNCTION("INDIRECT(""'收支紀錄'!I""&amp;TO_TEXT(ROW()-$C$72))"),"晚餐")</f>
        <v>晚餐</v>
      </c>
      <c r="J198" s="61" t="str">
        <f>IFERROR(__xludf.DUMMYFUNCTION("INDIRECT(""'收支紀錄'!J""&amp;TO_TEXT(ROW()-$C$72))"),"")</f>
        <v/>
      </c>
      <c r="K198" s="61" t="str">
        <f>IFERROR(__xludf.DUMMYFUNCTION("INDIRECT(""'收支紀錄'!K""&amp;TO_TEXT(ROW()-$C$72))"),"")</f>
        <v/>
      </c>
      <c r="L198" s="61" t="str">
        <f>IFERROR(__xludf.DUMMYFUNCTION("INDIRECT(""'收支紀錄'!L""&amp;TO_TEXT(ROW()-$C$72))"),"")</f>
        <v/>
      </c>
      <c r="M198" s="61" t="str">
        <f>IFERROR(__xludf.DUMMYFUNCTION("INDIRECT(""'收支紀錄'!M""&amp;TO_TEXT(ROW()-$C$72))"),"")</f>
        <v/>
      </c>
      <c r="N198" s="61" t="str">
        <f>IFERROR(__xludf.DUMMYFUNCTION("INDIRECT(""'收支紀錄'!N""&amp;TO_TEXT(ROW()-$C$72))"),"")</f>
        <v/>
      </c>
      <c r="O198" s="61" t="str">
        <f>IFERROR(__xludf.DUMMYFUNCTION("INDIRECT(""'收支紀錄'!O""&amp;TO_TEXT(ROW()-$C$72))"),"")</f>
        <v/>
      </c>
      <c r="P198" s="61" t="str">
        <f>IFERROR(__xludf.DUMMYFUNCTION("INDIRECT(""'收支紀錄'!P""&amp;TO_TEXT(ROW()-$C$72))"),"")</f>
        <v/>
      </c>
      <c r="Q198" s="61" t="str">
        <f>IFERROR(__xludf.DUMMYFUNCTION("INDIRECT(""'收支紀錄'!Q""&amp;TO_TEXT(ROW()-$C$72))"),"")</f>
        <v/>
      </c>
      <c r="R198" s="61" t="str">
        <f>IFERROR(__xludf.DUMMYFUNCTION("INDIRECT(""'收支紀錄'!R""&amp;TO_TEXT(ROW()-$C$72))"),"")</f>
        <v/>
      </c>
      <c r="S198" s="61" t="str">
        <f>IFERROR(__xludf.DUMMYFUNCTION("INDIRECT(""'收支紀錄'!S""&amp;TO_TEXT(ROW()-$C$72))"),"")</f>
        <v/>
      </c>
      <c r="T198" s="61" t="str">
        <f>IFERROR(__xludf.DUMMYFUNCTION("INDIRECT(""'收支紀錄'!T""&amp;TO_TEXT(ROW()-$C$72))"),"")</f>
        <v/>
      </c>
      <c r="U198" s="62" t="str">
        <f>IFERROR(__xludf.DUMMYFUNCTION("IF(T198=""是"",TEXTJOIN("""", TRUE, ""$"", TO_TEXT(C198), S198),"""")"),"")</f>
        <v/>
      </c>
    </row>
    <row r="199">
      <c r="A199" s="58">
        <f>IFERROR(__xludf.DUMMYFUNCTION("INDIRECT(""'收支紀錄'!A""&amp;TO_TEXT(ROW()-$C$72))"),45536.78466856481)</f>
        <v>45536.78467</v>
      </c>
      <c r="B199" s="59">
        <f>IFERROR(__xludf.DUMMYFUNCTION("IF(ISBLANK(D199), """", IF(ISDATE(D199), D199, IF(D199=""今天"", A199, IF(D199=""昨天 (-1 day)"", A199-1, IF(D199=""前天 (-2 days)"", A199-2, IF(D199=""明天 (+1 day)"", A199+1, DATE(LEFT(D199,4), MID(D199,5,2), RIGHT(D199,2))))))))"),45536.0)</f>
        <v>45536</v>
      </c>
      <c r="C199" s="60">
        <f>IFERROR(__xludf.DUMMYFUNCTION("INDIRECT(""'收支紀錄'!C""&amp;TO_TEXT(ROW()-$C$72))"),40.0)</f>
        <v>40</v>
      </c>
      <c r="D199" s="59">
        <f>IFERROR(__xludf.DUMMYFUNCTION("INDIRECT(""'收支紀錄'!D""&amp;TO_TEXT(ROW()-$C$72))"),45536.0)</f>
        <v>45536</v>
      </c>
      <c r="E199" s="61" t="str">
        <f>IFERROR(__xludf.DUMMYFUNCTION("INDIRECT(""'收支紀錄'!E""&amp;TO_TEXT(ROW()-$C$72))"),"")</f>
        <v/>
      </c>
      <c r="F199" s="61" t="str">
        <f>IFERROR(__xludf.DUMMYFUNCTION("INDIRECT(""'收支紀錄'!F""&amp;TO_TEXT(ROW()-$C$72))"),"")</f>
        <v/>
      </c>
      <c r="G199" s="61" t="str">
        <f>IFERROR(__xludf.DUMMYFUNCTION("INDIRECT(""'收支紀錄'!G""&amp;TO_TEXT(ROW()-$C$72))"),"")</f>
        <v/>
      </c>
      <c r="H199" s="61" t="str">
        <f>IFERROR(__xludf.DUMMYFUNCTION("INDIRECT(""'收支紀錄'!H""&amp;TO_TEXT(ROW()-$C$72))"),"食品酒水")</f>
        <v>食品酒水</v>
      </c>
      <c r="I199" s="61" t="str">
        <f>IFERROR(__xludf.DUMMYFUNCTION("INDIRECT(""'收支紀錄'!I""&amp;TO_TEXT(ROW()-$C$72))"),"飲料酒水")</f>
        <v>飲料酒水</v>
      </c>
      <c r="J199" s="61" t="str">
        <f>IFERROR(__xludf.DUMMYFUNCTION("INDIRECT(""'收支紀錄'!J""&amp;TO_TEXT(ROW()-$C$72))"),"")</f>
        <v/>
      </c>
      <c r="K199" s="61" t="str">
        <f>IFERROR(__xludf.DUMMYFUNCTION("INDIRECT(""'收支紀錄'!K""&amp;TO_TEXT(ROW()-$C$72))"),"")</f>
        <v/>
      </c>
      <c r="L199" s="61" t="str">
        <f>IFERROR(__xludf.DUMMYFUNCTION("INDIRECT(""'收支紀錄'!L""&amp;TO_TEXT(ROW()-$C$72))"),"")</f>
        <v/>
      </c>
      <c r="M199" s="61" t="str">
        <f>IFERROR(__xludf.DUMMYFUNCTION("INDIRECT(""'收支紀錄'!M""&amp;TO_TEXT(ROW()-$C$72))"),"")</f>
        <v/>
      </c>
      <c r="N199" s="61" t="str">
        <f>IFERROR(__xludf.DUMMYFUNCTION("INDIRECT(""'收支紀錄'!N""&amp;TO_TEXT(ROW()-$C$72))"),"")</f>
        <v/>
      </c>
      <c r="O199" s="61" t="str">
        <f>IFERROR(__xludf.DUMMYFUNCTION("INDIRECT(""'收支紀錄'!O""&amp;TO_TEXT(ROW()-$C$72))"),"")</f>
        <v/>
      </c>
      <c r="P199" s="61" t="str">
        <f>IFERROR(__xludf.DUMMYFUNCTION("INDIRECT(""'收支紀錄'!P""&amp;TO_TEXT(ROW()-$C$72))"),"")</f>
        <v/>
      </c>
      <c r="Q199" s="61" t="str">
        <f>IFERROR(__xludf.DUMMYFUNCTION("INDIRECT(""'收支紀錄'!Q""&amp;TO_TEXT(ROW()-$C$72))"),"")</f>
        <v/>
      </c>
      <c r="R199" s="61" t="str">
        <f>IFERROR(__xludf.DUMMYFUNCTION("INDIRECT(""'收支紀錄'!R""&amp;TO_TEXT(ROW()-$C$72))"),"")</f>
        <v/>
      </c>
      <c r="S199" s="61" t="str">
        <f>IFERROR(__xludf.DUMMYFUNCTION("INDIRECT(""'收支紀錄'!S""&amp;TO_TEXT(ROW()-$C$72))"),"")</f>
        <v/>
      </c>
      <c r="T199" s="61" t="str">
        <f>IFERROR(__xludf.DUMMYFUNCTION("INDIRECT(""'收支紀錄'!T""&amp;TO_TEXT(ROW()-$C$72))"),"")</f>
        <v/>
      </c>
      <c r="U199" s="62" t="str">
        <f>IFERROR(__xludf.DUMMYFUNCTION("IF(T199=""是"",TEXTJOIN("""", TRUE, ""$"", TO_TEXT(C199), S199),"""")"),"")</f>
        <v/>
      </c>
    </row>
    <row r="200">
      <c r="A200" s="58">
        <f>IFERROR(__xludf.DUMMYFUNCTION("INDIRECT(""'收支紀錄'!A""&amp;TO_TEXT(ROW()-$C$72))"),45537.89841472222)</f>
        <v>45537.89841</v>
      </c>
      <c r="B200" s="59">
        <f>IFERROR(__xludf.DUMMYFUNCTION("IF(ISBLANK(D200), """", IF(ISDATE(D200), D200, IF(D200=""今天"", A200, IF(D200=""昨天 (-1 day)"", A200-1, IF(D200=""前天 (-2 days)"", A200-2, IF(D200=""明天 (+1 day)"", A200+1, DATE(LEFT(D200,4), MID(D200,5,2), RIGHT(D200,2))))))))"),45537.0)</f>
        <v>45537</v>
      </c>
      <c r="C200" s="60">
        <f>IFERROR(__xludf.DUMMYFUNCTION("INDIRECT(""'收支紀錄'!C""&amp;TO_TEXT(ROW()-$C$72))"),200.0)</f>
        <v>200</v>
      </c>
      <c r="D200" s="59">
        <f>IFERROR(__xludf.DUMMYFUNCTION("INDIRECT(""'收支紀錄'!D""&amp;TO_TEXT(ROW()-$C$72))"),45537.0)</f>
        <v>45537</v>
      </c>
      <c r="E200" s="61" t="str">
        <f>IFERROR(__xludf.DUMMYFUNCTION("INDIRECT(""'收支紀錄'!E""&amp;TO_TEXT(ROW()-$C$72))"),"")</f>
        <v/>
      </c>
      <c r="F200" s="61" t="str">
        <f>IFERROR(__xludf.DUMMYFUNCTION("INDIRECT(""'收支紀錄'!F""&amp;TO_TEXT(ROW()-$C$72))"),"")</f>
        <v/>
      </c>
      <c r="G200" s="61" t="str">
        <f>IFERROR(__xludf.DUMMYFUNCTION("INDIRECT(""'收支紀錄'!G""&amp;TO_TEXT(ROW()-$C$72))"),"")</f>
        <v/>
      </c>
      <c r="H200" s="61" t="str">
        <f>IFERROR(__xludf.DUMMYFUNCTION("INDIRECT(""'收支紀錄'!H""&amp;TO_TEXT(ROW()-$C$72))"),"日常生活")</f>
        <v>日常生活</v>
      </c>
      <c r="I200" s="61" t="str">
        <f>IFERROR(__xludf.DUMMYFUNCTION("INDIRECT(""'收支紀錄'!I""&amp;TO_TEXT(ROW()-$C$72))"),"")</f>
        <v/>
      </c>
      <c r="J200" s="61" t="str">
        <f>IFERROR(__xludf.DUMMYFUNCTION("INDIRECT(""'收支紀錄'!J""&amp;TO_TEXT(ROW()-$C$72))"),"洗衣")</f>
        <v>洗衣</v>
      </c>
      <c r="K200" s="61" t="str">
        <f>IFERROR(__xludf.DUMMYFUNCTION("INDIRECT(""'收支紀錄'!K""&amp;TO_TEXT(ROW()-$C$72))"),"")</f>
        <v/>
      </c>
      <c r="L200" s="61" t="str">
        <f>IFERROR(__xludf.DUMMYFUNCTION("INDIRECT(""'收支紀錄'!L""&amp;TO_TEXT(ROW()-$C$72))"),"")</f>
        <v/>
      </c>
      <c r="M200" s="61" t="str">
        <f>IFERROR(__xludf.DUMMYFUNCTION("INDIRECT(""'收支紀錄'!M""&amp;TO_TEXT(ROW()-$C$72))"),"")</f>
        <v/>
      </c>
      <c r="N200" s="61" t="str">
        <f>IFERROR(__xludf.DUMMYFUNCTION("INDIRECT(""'收支紀錄'!N""&amp;TO_TEXT(ROW()-$C$72))"),"")</f>
        <v/>
      </c>
      <c r="O200" s="61" t="str">
        <f>IFERROR(__xludf.DUMMYFUNCTION("INDIRECT(""'收支紀錄'!O""&amp;TO_TEXT(ROW()-$C$72))"),"")</f>
        <v/>
      </c>
      <c r="P200" s="61" t="str">
        <f>IFERROR(__xludf.DUMMYFUNCTION("INDIRECT(""'收支紀錄'!P""&amp;TO_TEXT(ROW()-$C$72))"),"")</f>
        <v/>
      </c>
      <c r="Q200" s="61" t="str">
        <f>IFERROR(__xludf.DUMMYFUNCTION("INDIRECT(""'收支紀錄'!Q""&amp;TO_TEXT(ROW()-$C$72))"),"")</f>
        <v/>
      </c>
      <c r="R200" s="61" t="str">
        <f>IFERROR(__xludf.DUMMYFUNCTION("INDIRECT(""'收支紀錄'!R""&amp;TO_TEXT(ROW()-$C$72))"),"")</f>
        <v/>
      </c>
      <c r="S200" s="61" t="str">
        <f>IFERROR(__xludf.DUMMYFUNCTION("INDIRECT(""'收支紀錄'!S""&amp;TO_TEXT(ROW()-$C$72))"),"儲值")</f>
        <v>儲值</v>
      </c>
      <c r="T200" s="61" t="str">
        <f>IFERROR(__xludf.DUMMYFUNCTION("INDIRECT(""'收支紀錄'!T""&amp;TO_TEXT(ROW()-$C$72))"),"否")</f>
        <v>否</v>
      </c>
      <c r="U200" s="62" t="str">
        <f>IFERROR(__xludf.DUMMYFUNCTION("IF(T200=""是"",TEXTJOIN("""", TRUE, ""$"", TO_TEXT(C200), S200),"""")"),"")</f>
        <v/>
      </c>
    </row>
    <row r="201">
      <c r="A201" s="58">
        <f>IFERROR(__xludf.DUMMYFUNCTION("INDIRECT(""'收支紀錄'!A""&amp;TO_TEXT(ROW()-$C$72))"),45537.89917059027)</f>
        <v>45537.89917</v>
      </c>
      <c r="B201" s="59">
        <f>IFERROR(__xludf.DUMMYFUNCTION("IF(ISBLANK(D201), """", IF(ISDATE(D201), D201, IF(D201=""今天"", A201, IF(D201=""昨天 (-1 day)"", A201-1, IF(D201=""前天 (-2 days)"", A201-2, IF(D201=""明天 (+1 day)"", A201+1, DATE(LEFT(D201,4), MID(D201,5,2), RIGHT(D201,2))))))))"),45537.0)</f>
        <v>45537</v>
      </c>
      <c r="C201" s="60">
        <f>IFERROR(__xludf.DUMMYFUNCTION("INDIRECT(""'收支紀錄'!C""&amp;TO_TEXT(ROW()-$C$72))"),180.0)</f>
        <v>180</v>
      </c>
      <c r="D201" s="59">
        <f>IFERROR(__xludf.DUMMYFUNCTION("INDIRECT(""'收支紀錄'!D""&amp;TO_TEXT(ROW()-$C$72))"),45537.0)</f>
        <v>45537</v>
      </c>
      <c r="E201" s="61" t="str">
        <f>IFERROR(__xludf.DUMMYFUNCTION("INDIRECT(""'收支紀錄'!E""&amp;TO_TEXT(ROW()-$C$72))"),"")</f>
        <v/>
      </c>
      <c r="F201" s="61" t="str">
        <f>IFERROR(__xludf.DUMMYFUNCTION("INDIRECT(""'收支紀錄'!F""&amp;TO_TEXT(ROW()-$C$72))"),"")</f>
        <v/>
      </c>
      <c r="G201" s="61" t="str">
        <f>IFERROR(__xludf.DUMMYFUNCTION("INDIRECT(""'收支紀錄'!G""&amp;TO_TEXT(ROW()-$C$72))"),"")</f>
        <v/>
      </c>
      <c r="H201" s="61" t="str">
        <f>IFERROR(__xludf.DUMMYFUNCTION("INDIRECT(""'收支紀錄'!H""&amp;TO_TEXT(ROW()-$C$72))"),"行車交通")</f>
        <v>行車交通</v>
      </c>
      <c r="I201" s="61" t="str">
        <f>IFERROR(__xludf.DUMMYFUNCTION("INDIRECT(""'收支紀錄'!I""&amp;TO_TEXT(ROW()-$C$72))"),"")</f>
        <v/>
      </c>
      <c r="J201" s="61" t="str">
        <f>IFERROR(__xludf.DUMMYFUNCTION("INDIRECT(""'收支紀錄'!J""&amp;TO_TEXT(ROW()-$C$72))"),"")</f>
        <v/>
      </c>
      <c r="K201" s="61" t="str">
        <f>IFERROR(__xludf.DUMMYFUNCTION("INDIRECT(""'收支紀錄'!K""&amp;TO_TEXT(ROW()-$C$72))"),"")</f>
        <v/>
      </c>
      <c r="L201" s="61" t="str">
        <f>IFERROR(__xludf.DUMMYFUNCTION("INDIRECT(""'收支紀錄'!L""&amp;TO_TEXT(ROW()-$C$72))"),"機油")</f>
        <v>機油</v>
      </c>
      <c r="M201" s="61" t="str">
        <f>IFERROR(__xludf.DUMMYFUNCTION("INDIRECT(""'收支紀錄'!M""&amp;TO_TEXT(ROW()-$C$72))"),"")</f>
        <v/>
      </c>
      <c r="N201" s="61" t="str">
        <f>IFERROR(__xludf.DUMMYFUNCTION("INDIRECT(""'收支紀錄'!N""&amp;TO_TEXT(ROW()-$C$72))"),"")</f>
        <v/>
      </c>
      <c r="O201" s="61" t="str">
        <f>IFERROR(__xludf.DUMMYFUNCTION("INDIRECT(""'收支紀錄'!O""&amp;TO_TEXT(ROW()-$C$72))"),"")</f>
        <v/>
      </c>
      <c r="P201" s="61" t="str">
        <f>IFERROR(__xludf.DUMMYFUNCTION("INDIRECT(""'收支紀錄'!P""&amp;TO_TEXT(ROW()-$C$72))"),"")</f>
        <v/>
      </c>
      <c r="Q201" s="61" t="str">
        <f>IFERROR(__xludf.DUMMYFUNCTION("INDIRECT(""'收支紀錄'!Q""&amp;TO_TEXT(ROW()-$C$72))"),"")</f>
        <v/>
      </c>
      <c r="R201" s="61" t="str">
        <f>IFERROR(__xludf.DUMMYFUNCTION("INDIRECT(""'收支紀錄'!R""&amp;TO_TEXT(ROW()-$C$72))"),"")</f>
        <v/>
      </c>
      <c r="S201" s="61" t="str">
        <f>IFERROR(__xludf.DUMMYFUNCTION("INDIRECT(""'收支紀錄'!S""&amp;TO_TEXT(ROW()-$C$72))"),"")</f>
        <v/>
      </c>
      <c r="T201" s="61" t="str">
        <f>IFERROR(__xludf.DUMMYFUNCTION("INDIRECT(""'收支紀錄'!T""&amp;TO_TEXT(ROW()-$C$72))"),"")</f>
        <v/>
      </c>
      <c r="U201" s="62" t="str">
        <f>IFERROR(__xludf.DUMMYFUNCTION("IF(T201=""是"",TEXTJOIN("""", TRUE, ""$"", TO_TEXT(C201), S201),"""")"),"")</f>
        <v/>
      </c>
    </row>
    <row r="202">
      <c r="A202" s="58">
        <f>IFERROR(__xludf.DUMMYFUNCTION("INDIRECT(""'收支紀錄'!A""&amp;TO_TEXT(ROW()-$C$72))"),45537.89954489583)</f>
        <v>45537.89954</v>
      </c>
      <c r="B202" s="59">
        <f>IFERROR(__xludf.DUMMYFUNCTION("IF(ISBLANK(D202), """", IF(ISDATE(D202), D202, IF(D202=""今天"", A202, IF(D202=""昨天 (-1 day)"", A202-1, IF(D202=""前天 (-2 days)"", A202-2, IF(D202=""明天 (+1 day)"", A202+1, DATE(LEFT(D202,4), MID(D202,5,2), RIGHT(D202,2))))))))"),45537.0)</f>
        <v>45537</v>
      </c>
      <c r="C202" s="60">
        <f>IFERROR(__xludf.DUMMYFUNCTION("INDIRECT(""'收支紀錄'!C""&amp;TO_TEXT(ROW()-$C$72))"),132.0)</f>
        <v>132</v>
      </c>
      <c r="D202" s="59">
        <f>IFERROR(__xludf.DUMMYFUNCTION("INDIRECT(""'收支紀錄'!D""&amp;TO_TEXT(ROW()-$C$72))"),45537.0)</f>
        <v>45537</v>
      </c>
      <c r="E202" s="61" t="str">
        <f>IFERROR(__xludf.DUMMYFUNCTION("INDIRECT(""'收支紀錄'!E""&amp;TO_TEXT(ROW()-$C$72))"),"")</f>
        <v/>
      </c>
      <c r="F202" s="61" t="str">
        <f>IFERROR(__xludf.DUMMYFUNCTION("INDIRECT(""'收支紀錄'!F""&amp;TO_TEXT(ROW()-$C$72))"),"")</f>
        <v/>
      </c>
      <c r="G202" s="61" t="str">
        <f>IFERROR(__xludf.DUMMYFUNCTION("INDIRECT(""'收支紀錄'!G""&amp;TO_TEXT(ROW()-$C$72))"),"")</f>
        <v/>
      </c>
      <c r="H202" s="61" t="str">
        <f>IFERROR(__xludf.DUMMYFUNCTION("INDIRECT(""'收支紀錄'!H""&amp;TO_TEXT(ROW()-$C$72))"),"行車交通")</f>
        <v>行車交通</v>
      </c>
      <c r="I202" s="61" t="str">
        <f>IFERROR(__xludf.DUMMYFUNCTION("INDIRECT(""'收支紀錄'!I""&amp;TO_TEXT(ROW()-$C$72))"),"")</f>
        <v/>
      </c>
      <c r="J202" s="61" t="str">
        <f>IFERROR(__xludf.DUMMYFUNCTION("INDIRECT(""'收支紀錄'!J""&amp;TO_TEXT(ROW()-$C$72))"),"")</f>
        <v/>
      </c>
      <c r="K202" s="61" t="str">
        <f>IFERROR(__xludf.DUMMYFUNCTION("INDIRECT(""'收支紀錄'!K""&amp;TO_TEXT(ROW()-$C$72))"),"")</f>
        <v/>
      </c>
      <c r="L202" s="61" t="str">
        <f>IFERROR(__xludf.DUMMYFUNCTION("INDIRECT(""'收支紀錄'!L""&amp;TO_TEXT(ROW()-$C$72))"),"加油")</f>
        <v>加油</v>
      </c>
      <c r="M202" s="61" t="str">
        <f>IFERROR(__xludf.DUMMYFUNCTION("INDIRECT(""'收支紀錄'!M""&amp;TO_TEXT(ROW()-$C$72))"),"")</f>
        <v/>
      </c>
      <c r="N202" s="61" t="str">
        <f>IFERROR(__xludf.DUMMYFUNCTION("INDIRECT(""'收支紀錄'!N""&amp;TO_TEXT(ROW()-$C$72))"),"")</f>
        <v/>
      </c>
      <c r="O202" s="61" t="str">
        <f>IFERROR(__xludf.DUMMYFUNCTION("INDIRECT(""'收支紀錄'!O""&amp;TO_TEXT(ROW()-$C$72))"),"")</f>
        <v/>
      </c>
      <c r="P202" s="61" t="str">
        <f>IFERROR(__xludf.DUMMYFUNCTION("INDIRECT(""'收支紀錄'!P""&amp;TO_TEXT(ROW()-$C$72))"),"")</f>
        <v/>
      </c>
      <c r="Q202" s="61" t="str">
        <f>IFERROR(__xludf.DUMMYFUNCTION("INDIRECT(""'收支紀錄'!Q""&amp;TO_TEXT(ROW()-$C$72))"),"")</f>
        <v/>
      </c>
      <c r="R202" s="61" t="str">
        <f>IFERROR(__xludf.DUMMYFUNCTION("INDIRECT(""'收支紀錄'!R""&amp;TO_TEXT(ROW()-$C$72))"),"")</f>
        <v/>
      </c>
      <c r="S202" s="61" t="str">
        <f>IFERROR(__xludf.DUMMYFUNCTION("INDIRECT(""'收支紀錄'!S""&amp;TO_TEXT(ROW()-$C$72))"),"")</f>
        <v/>
      </c>
      <c r="T202" s="61" t="str">
        <f>IFERROR(__xludf.DUMMYFUNCTION("INDIRECT(""'收支紀錄'!T""&amp;TO_TEXT(ROW()-$C$72))"),"")</f>
        <v/>
      </c>
      <c r="U202" s="62" t="str">
        <f>IFERROR(__xludf.DUMMYFUNCTION("IF(T202=""是"",TEXTJOIN("""", TRUE, ""$"", TO_TEXT(C202), S202),"""")"),"")</f>
        <v/>
      </c>
    </row>
    <row r="203">
      <c r="A203" s="58">
        <f>IFERROR(__xludf.DUMMYFUNCTION("INDIRECT(""'收支紀錄'!A""&amp;TO_TEXT(ROW()-$C$72))"),45537.89992621528)</f>
        <v>45537.89993</v>
      </c>
      <c r="B203" s="59">
        <f>IFERROR(__xludf.DUMMYFUNCTION("IF(ISBLANK(D203), """", IF(ISDATE(D203), D203, IF(D203=""今天"", A203, IF(D203=""昨天 (-1 day)"", A203-1, IF(D203=""前天 (-2 days)"", A203-2, IF(D203=""明天 (+1 day)"", A203+1, DATE(LEFT(D203,4), MID(D203,5,2), RIGHT(D203,2))))))))"),45537.0)</f>
        <v>45537</v>
      </c>
      <c r="C203" s="60">
        <f>IFERROR(__xludf.DUMMYFUNCTION("INDIRECT(""'收支紀錄'!C""&amp;TO_TEXT(ROW()-$C$72))"),500.0)</f>
        <v>500</v>
      </c>
      <c r="D203" s="59">
        <f>IFERROR(__xludf.DUMMYFUNCTION("INDIRECT(""'收支紀錄'!D""&amp;TO_TEXT(ROW()-$C$72))"),45537.0)</f>
        <v>45537</v>
      </c>
      <c r="E203" s="61" t="str">
        <f>IFERROR(__xludf.DUMMYFUNCTION("INDIRECT(""'收支紀錄'!E""&amp;TO_TEXT(ROW()-$C$72))"),"")</f>
        <v/>
      </c>
      <c r="F203" s="61" t="str">
        <f>IFERROR(__xludf.DUMMYFUNCTION("INDIRECT(""'收支紀錄'!F""&amp;TO_TEXT(ROW()-$C$72))"),"")</f>
        <v/>
      </c>
      <c r="G203" s="61" t="str">
        <f>IFERROR(__xludf.DUMMYFUNCTION("INDIRECT(""'收支紀錄'!G""&amp;TO_TEXT(ROW()-$C$72))"),"")</f>
        <v/>
      </c>
      <c r="H203" s="61" t="str">
        <f>IFERROR(__xludf.DUMMYFUNCTION("INDIRECT(""'收支紀錄'!H""&amp;TO_TEXT(ROW()-$C$72))"),"醫療費用")</f>
        <v>醫療費用</v>
      </c>
      <c r="I203" s="61" t="str">
        <f>IFERROR(__xludf.DUMMYFUNCTION("INDIRECT(""'收支紀錄'!I""&amp;TO_TEXT(ROW()-$C$72))"),"")</f>
        <v/>
      </c>
      <c r="J203" s="61" t="str">
        <f>IFERROR(__xludf.DUMMYFUNCTION("INDIRECT(""'收支紀錄'!J""&amp;TO_TEXT(ROW()-$C$72))"),"")</f>
        <v/>
      </c>
      <c r="K203" s="61" t="str">
        <f>IFERROR(__xludf.DUMMYFUNCTION("INDIRECT(""'收支紀錄'!K""&amp;TO_TEXT(ROW()-$C$72))"),"")</f>
        <v/>
      </c>
      <c r="L203" s="61" t="str">
        <f>IFERROR(__xludf.DUMMYFUNCTION("INDIRECT(""'收支紀錄'!L""&amp;TO_TEXT(ROW()-$C$72))"),"")</f>
        <v/>
      </c>
      <c r="M203" s="61" t="str">
        <f>IFERROR(__xludf.DUMMYFUNCTION("INDIRECT(""'收支紀錄'!M""&amp;TO_TEXT(ROW()-$C$72))"),"")</f>
        <v/>
      </c>
      <c r="N203" s="61" t="str">
        <f>IFERROR(__xludf.DUMMYFUNCTION("INDIRECT(""'收支紀錄'!N""&amp;TO_TEXT(ROW()-$C$72))"),"")</f>
        <v/>
      </c>
      <c r="O203" s="61" t="str">
        <f>IFERROR(__xludf.DUMMYFUNCTION("INDIRECT(""'收支紀錄'!O""&amp;TO_TEXT(ROW()-$C$72))"),"頭皮藥")</f>
        <v>頭皮藥</v>
      </c>
      <c r="P203" s="61" t="str">
        <f>IFERROR(__xludf.DUMMYFUNCTION("INDIRECT(""'收支紀錄'!P""&amp;TO_TEXT(ROW()-$C$72))"),"")</f>
        <v/>
      </c>
      <c r="Q203" s="61" t="str">
        <f>IFERROR(__xludf.DUMMYFUNCTION("INDIRECT(""'收支紀錄'!Q""&amp;TO_TEXT(ROW()-$C$72))"),"")</f>
        <v/>
      </c>
      <c r="R203" s="61" t="str">
        <f>IFERROR(__xludf.DUMMYFUNCTION("INDIRECT(""'收支紀錄'!R""&amp;TO_TEXT(ROW()-$C$72))"),"")</f>
        <v/>
      </c>
      <c r="S203" s="61" t="str">
        <f>IFERROR(__xludf.DUMMYFUNCTION("INDIRECT(""'收支紀錄'!S""&amp;TO_TEXT(ROW()-$C$72))"),"")</f>
        <v/>
      </c>
      <c r="T203" s="61" t="str">
        <f>IFERROR(__xludf.DUMMYFUNCTION("INDIRECT(""'收支紀錄'!T""&amp;TO_TEXT(ROW()-$C$72))"),"")</f>
        <v/>
      </c>
      <c r="U203" s="62" t="str">
        <f>IFERROR(__xludf.DUMMYFUNCTION("IF(T203=""是"",TEXTJOIN("""", TRUE, ""$"", TO_TEXT(C203), S203),"""")"),"")</f>
        <v/>
      </c>
    </row>
    <row r="204">
      <c r="A204" s="58">
        <f>IFERROR(__xludf.DUMMYFUNCTION("INDIRECT(""'收支紀錄'!A""&amp;TO_TEXT(ROW()-$C$72))"),45538.982871064814)</f>
        <v>45538.98287</v>
      </c>
      <c r="B204" s="59">
        <f>IFERROR(__xludf.DUMMYFUNCTION("IF(ISBLANK(D204), """", IF(ISDATE(D204), D204, IF(D204=""今天"", A204, IF(D204=""昨天 (-1 day)"", A204-1, IF(D204=""前天 (-2 days)"", A204-2, IF(D204=""明天 (+1 day)"", A204+1, DATE(LEFT(D204,4), MID(D204,5,2), RIGHT(D204,2))))))))"),45538.0)</f>
        <v>45538</v>
      </c>
      <c r="C204" s="60">
        <f>IFERROR(__xludf.DUMMYFUNCTION("INDIRECT(""'收支紀錄'!C""&amp;TO_TEXT(ROW()-$C$72))"),599.0)</f>
        <v>599</v>
      </c>
      <c r="D204" s="59">
        <f>IFERROR(__xludf.DUMMYFUNCTION("INDIRECT(""'收支紀錄'!D""&amp;TO_TEXT(ROW()-$C$72))"),45538.0)</f>
        <v>45538</v>
      </c>
      <c r="E204" s="61" t="str">
        <f>IFERROR(__xludf.DUMMYFUNCTION("INDIRECT(""'收支紀錄'!E""&amp;TO_TEXT(ROW()-$C$72))"),"")</f>
        <v/>
      </c>
      <c r="F204" s="61" t="str">
        <f>IFERROR(__xludf.DUMMYFUNCTION("INDIRECT(""'收支紀錄'!F""&amp;TO_TEXT(ROW()-$C$72))"),"")</f>
        <v/>
      </c>
      <c r="G204" s="61" t="str">
        <f>IFERROR(__xludf.DUMMYFUNCTION("INDIRECT(""'收支紀錄'!G""&amp;TO_TEXT(ROW()-$C$72))"),"")</f>
        <v/>
      </c>
      <c r="H204" s="61" t="str">
        <f>IFERROR(__xludf.DUMMYFUNCTION("INDIRECT(""'收支紀錄'!H""&amp;TO_TEXT(ROW()-$C$72))"),"休閒娛樂")</f>
        <v>休閒娛樂</v>
      </c>
      <c r="I204" s="61" t="str">
        <f>IFERROR(__xludf.DUMMYFUNCTION("INDIRECT(""'收支紀錄'!I""&amp;TO_TEXT(ROW()-$C$72))"),"")</f>
        <v/>
      </c>
      <c r="J204" s="61" t="str">
        <f>IFERROR(__xludf.DUMMYFUNCTION("INDIRECT(""'收支紀錄'!J""&amp;TO_TEXT(ROW()-$C$72))"),"")</f>
        <v/>
      </c>
      <c r="K204" s="61" t="str">
        <f>IFERROR(__xludf.DUMMYFUNCTION("INDIRECT(""'收支紀錄'!K""&amp;TO_TEXT(ROW()-$C$72))"),"")</f>
        <v/>
      </c>
      <c r="L204" s="61" t="str">
        <f>IFERROR(__xludf.DUMMYFUNCTION("INDIRECT(""'收支紀錄'!L""&amp;TO_TEXT(ROW()-$C$72))"),"")</f>
        <v/>
      </c>
      <c r="M204" s="61" t="str">
        <f>IFERROR(__xludf.DUMMYFUNCTION("INDIRECT(""'收支紀錄'!M""&amp;TO_TEXT(ROW()-$C$72))"),"衣物鞋帽")</f>
        <v>衣物鞋帽</v>
      </c>
      <c r="N204" s="61" t="str">
        <f>IFERROR(__xludf.DUMMYFUNCTION("INDIRECT(""'收支紀錄'!N""&amp;TO_TEXT(ROW()-$C$72))"),"")</f>
        <v/>
      </c>
      <c r="O204" s="61" t="str">
        <f>IFERROR(__xludf.DUMMYFUNCTION("INDIRECT(""'收支紀錄'!O""&amp;TO_TEXT(ROW()-$C$72))"),"")</f>
        <v/>
      </c>
      <c r="P204" s="61" t="str">
        <f>IFERROR(__xludf.DUMMYFUNCTION("INDIRECT(""'收支紀錄'!P""&amp;TO_TEXT(ROW()-$C$72))"),"")</f>
        <v/>
      </c>
      <c r="Q204" s="61" t="str">
        <f>IFERROR(__xludf.DUMMYFUNCTION("INDIRECT(""'收支紀錄'!Q""&amp;TO_TEXT(ROW()-$C$72))"),"")</f>
        <v/>
      </c>
      <c r="R204" s="61" t="str">
        <f>IFERROR(__xludf.DUMMYFUNCTION("INDIRECT(""'收支紀錄'!R""&amp;TO_TEXT(ROW()-$C$72))"),"")</f>
        <v/>
      </c>
      <c r="S204" s="61" t="str">
        <f>IFERROR(__xludf.DUMMYFUNCTION("INDIRECT(""'收支紀錄'!S""&amp;TO_TEXT(ROW()-$C$72))"),"蝦皮 gildan *5")</f>
        <v>蝦皮 gildan *5</v>
      </c>
      <c r="T204" s="61" t="str">
        <f>IFERROR(__xludf.DUMMYFUNCTION("INDIRECT(""'收支紀錄'!T""&amp;TO_TEXT(ROW()-$C$72))"),"否")</f>
        <v>否</v>
      </c>
      <c r="U204" s="62" t="str">
        <f>IFERROR(__xludf.DUMMYFUNCTION("IF(T204=""是"",TEXTJOIN("""", TRUE, ""$"", TO_TEXT(C204), S204),"""")"),"")</f>
        <v/>
      </c>
    </row>
    <row r="205">
      <c r="A205" s="58">
        <f>IFERROR(__xludf.DUMMYFUNCTION("INDIRECT(""'收支紀錄'!A""&amp;TO_TEXT(ROW()-$C$72))"),45540.51834581018)</f>
        <v>45540.51835</v>
      </c>
      <c r="B205" s="59">
        <f>IFERROR(__xludf.DUMMYFUNCTION("IF(ISBLANK(D205), """", IF(ISDATE(D205), D205, IF(D205=""今天"", A205, IF(D205=""昨天 (-1 day)"", A205-1, IF(D205=""前天 (-2 days)"", A205-2, IF(D205=""明天 (+1 day)"", A205+1, DATE(LEFT(D205,4), MID(D205,5,2), RIGHT(D205,2))))))))"),45540.0)</f>
        <v>45540</v>
      </c>
      <c r="C205" s="60">
        <f>IFERROR(__xludf.DUMMYFUNCTION("INDIRECT(""'收支紀錄'!C""&amp;TO_TEXT(ROW()-$C$72))"),100.0)</f>
        <v>100</v>
      </c>
      <c r="D205" s="59">
        <f>IFERROR(__xludf.DUMMYFUNCTION("INDIRECT(""'收支紀錄'!D""&amp;TO_TEXT(ROW()-$C$72))"),45540.0)</f>
        <v>45540</v>
      </c>
      <c r="E205" s="61" t="str">
        <f>IFERROR(__xludf.DUMMYFUNCTION("INDIRECT(""'收支紀錄'!E""&amp;TO_TEXT(ROW()-$C$72))"),"")</f>
        <v/>
      </c>
      <c r="F205" s="61" t="str">
        <f>IFERROR(__xludf.DUMMYFUNCTION("INDIRECT(""'收支紀錄'!F""&amp;TO_TEXT(ROW()-$C$72))"),"")</f>
        <v/>
      </c>
      <c r="G205" s="61" t="str">
        <f>IFERROR(__xludf.DUMMYFUNCTION("INDIRECT(""'收支紀錄'!G""&amp;TO_TEXT(ROW()-$C$72))"),"")</f>
        <v/>
      </c>
      <c r="H205" s="61" t="str">
        <f>IFERROR(__xludf.DUMMYFUNCTION("INDIRECT(""'收支紀錄'!H""&amp;TO_TEXT(ROW()-$C$72))"),"休閒娛樂")</f>
        <v>休閒娛樂</v>
      </c>
      <c r="I205" s="61" t="str">
        <f>IFERROR(__xludf.DUMMYFUNCTION("INDIRECT(""'收支紀錄'!I""&amp;TO_TEXT(ROW()-$C$72))"),"")</f>
        <v/>
      </c>
      <c r="J205" s="61" t="str">
        <f>IFERROR(__xludf.DUMMYFUNCTION("INDIRECT(""'收支紀錄'!J""&amp;TO_TEXT(ROW()-$C$72))"),"")</f>
        <v/>
      </c>
      <c r="K205" s="61" t="str">
        <f>IFERROR(__xludf.DUMMYFUNCTION("INDIRECT(""'收支紀錄'!K""&amp;TO_TEXT(ROW()-$C$72))"),"")</f>
        <v/>
      </c>
      <c r="L205" s="61" t="str">
        <f>IFERROR(__xludf.DUMMYFUNCTION("INDIRECT(""'收支紀錄'!L""&amp;TO_TEXT(ROW()-$C$72))"),"")</f>
        <v/>
      </c>
      <c r="M205" s="61" t="str">
        <f>IFERROR(__xludf.DUMMYFUNCTION("INDIRECT(""'收支紀錄'!M""&amp;TO_TEXT(ROW()-$C$72))"),"運動健身")</f>
        <v>運動健身</v>
      </c>
      <c r="N205" s="61" t="str">
        <f>IFERROR(__xludf.DUMMYFUNCTION("INDIRECT(""'收支紀錄'!N""&amp;TO_TEXT(ROW()-$C$72))"),"")</f>
        <v/>
      </c>
      <c r="O205" s="61" t="str">
        <f>IFERROR(__xludf.DUMMYFUNCTION("INDIRECT(""'收支紀錄'!O""&amp;TO_TEXT(ROW()-$C$72))"),"")</f>
        <v/>
      </c>
      <c r="P205" s="61" t="str">
        <f>IFERROR(__xludf.DUMMYFUNCTION("INDIRECT(""'收支紀錄'!P""&amp;TO_TEXT(ROW()-$C$72))"),"")</f>
        <v/>
      </c>
      <c r="Q205" s="61" t="str">
        <f>IFERROR(__xludf.DUMMYFUNCTION("INDIRECT(""'收支紀錄'!Q""&amp;TO_TEXT(ROW()-$C$72))"),"")</f>
        <v/>
      </c>
      <c r="R205" s="61" t="str">
        <f>IFERROR(__xludf.DUMMYFUNCTION("INDIRECT(""'收支紀錄'!R""&amp;TO_TEXT(ROW()-$C$72))"),"")</f>
        <v/>
      </c>
      <c r="S205" s="61" t="str">
        <f>IFERROR(__xludf.DUMMYFUNCTION("INDIRECT(""'收支紀錄'!S""&amp;TO_TEXT(ROW()-$C$72))"),"")</f>
        <v/>
      </c>
      <c r="T205" s="61" t="str">
        <f>IFERROR(__xludf.DUMMYFUNCTION("INDIRECT(""'收支紀錄'!T""&amp;TO_TEXT(ROW()-$C$72))"),"")</f>
        <v/>
      </c>
      <c r="U205" s="62" t="str">
        <f>IFERROR(__xludf.DUMMYFUNCTION("IF(T205=""是"",TEXTJOIN("""", TRUE, ""$"", TO_TEXT(C205), S205),"""")"),"")</f>
        <v/>
      </c>
    </row>
    <row r="206">
      <c r="A206" s="58">
        <f>IFERROR(__xludf.DUMMYFUNCTION("INDIRECT(""'收支紀錄'!A""&amp;TO_TEXT(ROW()-$C$72))"),45540.89201592593)</f>
        <v>45540.89202</v>
      </c>
      <c r="B206" s="59">
        <f>IFERROR(__xludf.DUMMYFUNCTION("IF(ISBLANK(D206), """", IF(ISDATE(D206), D206, IF(D206=""今天"", A206, IF(D206=""昨天 (-1 day)"", A206-1, IF(D206=""前天 (-2 days)"", A206-2, IF(D206=""明天 (+1 day)"", A206+1, DATE(LEFT(D206,4), MID(D206,5,2), RIGHT(D206,2))))))))"),45540.0)</f>
        <v>45540</v>
      </c>
      <c r="C206" s="60">
        <f>IFERROR(__xludf.DUMMYFUNCTION("INDIRECT(""'收支紀錄'!C""&amp;TO_TEXT(ROW()-$C$72))"),60.0)</f>
        <v>60</v>
      </c>
      <c r="D206" s="59">
        <f>IFERROR(__xludf.DUMMYFUNCTION("INDIRECT(""'收支紀錄'!D""&amp;TO_TEXT(ROW()-$C$72))"),45540.0)</f>
        <v>45540</v>
      </c>
      <c r="E206" s="61" t="str">
        <f>IFERROR(__xludf.DUMMYFUNCTION("INDIRECT(""'收支紀錄'!E""&amp;TO_TEXT(ROW()-$C$72))"),"")</f>
        <v/>
      </c>
      <c r="F206" s="61" t="str">
        <f>IFERROR(__xludf.DUMMYFUNCTION("INDIRECT(""'收支紀錄'!F""&amp;TO_TEXT(ROW()-$C$72))"),"")</f>
        <v/>
      </c>
      <c r="G206" s="61" t="str">
        <f>IFERROR(__xludf.DUMMYFUNCTION("INDIRECT(""'收支紀錄'!G""&amp;TO_TEXT(ROW()-$C$72))"),"")</f>
        <v/>
      </c>
      <c r="H206" s="61" t="str">
        <f>IFERROR(__xludf.DUMMYFUNCTION("INDIRECT(""'收支紀錄'!H""&amp;TO_TEXT(ROW()-$C$72))"),"日常生活")</f>
        <v>日常生活</v>
      </c>
      <c r="I206" s="61" t="str">
        <f>IFERROR(__xludf.DUMMYFUNCTION("INDIRECT(""'收支紀錄'!I""&amp;TO_TEXT(ROW()-$C$72))"),"")</f>
        <v/>
      </c>
      <c r="J206" s="61" t="str">
        <f>IFERROR(__xludf.DUMMYFUNCTION("INDIRECT(""'收支紀錄'!J""&amp;TO_TEXT(ROW()-$C$72))"),"日常用品")</f>
        <v>日常用品</v>
      </c>
      <c r="K206" s="61" t="str">
        <f>IFERROR(__xludf.DUMMYFUNCTION("INDIRECT(""'收支紀錄'!K""&amp;TO_TEXT(ROW()-$C$72))"),"")</f>
        <v/>
      </c>
      <c r="L206" s="61" t="str">
        <f>IFERROR(__xludf.DUMMYFUNCTION("INDIRECT(""'收支紀錄'!L""&amp;TO_TEXT(ROW()-$C$72))"),"")</f>
        <v/>
      </c>
      <c r="M206" s="61" t="str">
        <f>IFERROR(__xludf.DUMMYFUNCTION("INDIRECT(""'收支紀錄'!M""&amp;TO_TEXT(ROW()-$C$72))"),"")</f>
        <v/>
      </c>
      <c r="N206" s="61" t="str">
        <f>IFERROR(__xludf.DUMMYFUNCTION("INDIRECT(""'收支紀錄'!N""&amp;TO_TEXT(ROW()-$C$72))"),"")</f>
        <v/>
      </c>
      <c r="O206" s="61" t="str">
        <f>IFERROR(__xludf.DUMMYFUNCTION("INDIRECT(""'收支紀錄'!O""&amp;TO_TEXT(ROW()-$C$72))"),"")</f>
        <v/>
      </c>
      <c r="P206" s="61" t="str">
        <f>IFERROR(__xludf.DUMMYFUNCTION("INDIRECT(""'收支紀錄'!P""&amp;TO_TEXT(ROW()-$C$72))"),"")</f>
        <v/>
      </c>
      <c r="Q206" s="61" t="str">
        <f>IFERROR(__xludf.DUMMYFUNCTION("INDIRECT(""'收支紀錄'!Q""&amp;TO_TEXT(ROW()-$C$72))"),"")</f>
        <v/>
      </c>
      <c r="R206" s="61" t="str">
        <f>IFERROR(__xludf.DUMMYFUNCTION("INDIRECT(""'收支紀錄'!R""&amp;TO_TEXT(ROW()-$C$72))"),"")</f>
        <v/>
      </c>
      <c r="S206" s="61" t="str">
        <f>IFERROR(__xludf.DUMMYFUNCTION("INDIRECT(""'收支紀錄'!S""&amp;TO_TEXT(ROW()-$C$72))"),"")</f>
        <v/>
      </c>
      <c r="T206" s="61" t="str">
        <f>IFERROR(__xludf.DUMMYFUNCTION("INDIRECT(""'收支紀錄'!T""&amp;TO_TEXT(ROW()-$C$72))"),"")</f>
        <v/>
      </c>
      <c r="U206" s="62" t="str">
        <f>IFERROR(__xludf.DUMMYFUNCTION("IF(T206=""是"",TEXTJOIN("""", TRUE, ""$"", TO_TEXT(C206), S206),"""")"),"")</f>
        <v/>
      </c>
    </row>
    <row r="207">
      <c r="A207" s="58">
        <f>IFERROR(__xludf.DUMMYFUNCTION("INDIRECT(""'收支紀錄'!A""&amp;TO_TEXT(ROW()-$C$72))"),45540.89376494213)</f>
        <v>45540.89376</v>
      </c>
      <c r="B207" s="59">
        <f>IFERROR(__xludf.DUMMYFUNCTION("IF(ISBLANK(D207), """", IF(ISDATE(D207), D207, IF(D207=""今天"", A207, IF(D207=""昨天 (-1 day)"", A207-1, IF(D207=""前天 (-2 days)"", A207-2, IF(D207=""明天 (+1 day)"", A207+1, DATE(LEFT(D207,4), MID(D207,5,2), RIGHT(D207,2))))))))"),45535.0)</f>
        <v>45535</v>
      </c>
      <c r="C207" s="60">
        <f>IFERROR(__xludf.DUMMYFUNCTION("INDIRECT(""'收支紀錄'!C""&amp;TO_TEXT(ROW()-$C$72))"),2701.0)</f>
        <v>2701</v>
      </c>
      <c r="D207" s="59">
        <f>IFERROR(__xludf.DUMMYFUNCTION("INDIRECT(""'收支紀錄'!D""&amp;TO_TEXT(ROW()-$C$72))"),45535.0)</f>
        <v>45535</v>
      </c>
      <c r="E207" s="61" t="str">
        <f>IFERROR(__xludf.DUMMYFUNCTION("INDIRECT(""'收支紀錄'!E""&amp;TO_TEXT(ROW()-$C$72))"),"")</f>
        <v/>
      </c>
      <c r="F207" s="61" t="str">
        <f>IFERROR(__xludf.DUMMYFUNCTION("INDIRECT(""'收支紀錄'!F""&amp;TO_TEXT(ROW()-$C$72))"),"")</f>
        <v/>
      </c>
      <c r="G207" s="61" t="str">
        <f>IFERROR(__xludf.DUMMYFUNCTION("INDIRECT(""'收支紀錄'!G""&amp;TO_TEXT(ROW()-$C$72))"),"")</f>
        <v/>
      </c>
      <c r="H207" s="61" t="str">
        <f>IFERROR(__xludf.DUMMYFUNCTION("INDIRECT(""'收支紀錄'!H""&amp;TO_TEXT(ROW()-$C$72))"),"稅金保險")</f>
        <v>稅金保險</v>
      </c>
      <c r="I207" s="61" t="str">
        <f>IFERROR(__xludf.DUMMYFUNCTION("INDIRECT(""'收支紀錄'!I""&amp;TO_TEXT(ROW()-$C$72))"),"")</f>
        <v/>
      </c>
      <c r="J207" s="61" t="str">
        <f>IFERROR(__xludf.DUMMYFUNCTION("INDIRECT(""'收支紀錄'!J""&amp;TO_TEXT(ROW()-$C$72))"),"")</f>
        <v/>
      </c>
      <c r="K207" s="61" t="str">
        <f>IFERROR(__xludf.DUMMYFUNCTION("INDIRECT(""'收支紀錄'!K""&amp;TO_TEXT(ROW()-$C$72))"),"")</f>
        <v/>
      </c>
      <c r="L207" s="61" t="str">
        <f>IFERROR(__xludf.DUMMYFUNCTION("INDIRECT(""'收支紀錄'!L""&amp;TO_TEXT(ROW()-$C$72))"),"")</f>
        <v/>
      </c>
      <c r="M207" s="61" t="str">
        <f>IFERROR(__xludf.DUMMYFUNCTION("INDIRECT(""'收支紀錄'!M""&amp;TO_TEXT(ROW()-$C$72))"),"")</f>
        <v/>
      </c>
      <c r="N207" s="61" t="str">
        <f>IFERROR(__xludf.DUMMYFUNCTION("INDIRECT(""'收支紀錄'!N""&amp;TO_TEXT(ROW()-$C$72))"),"勞健保")</f>
        <v>勞健保</v>
      </c>
      <c r="O207" s="61" t="str">
        <f>IFERROR(__xludf.DUMMYFUNCTION("INDIRECT(""'收支紀錄'!O""&amp;TO_TEXT(ROW()-$C$72))"),"")</f>
        <v/>
      </c>
      <c r="P207" s="61" t="str">
        <f>IFERROR(__xludf.DUMMYFUNCTION("INDIRECT(""'收支紀錄'!P""&amp;TO_TEXT(ROW()-$C$72))"),"")</f>
        <v/>
      </c>
      <c r="Q207" s="61" t="str">
        <f>IFERROR(__xludf.DUMMYFUNCTION("INDIRECT(""'收支紀錄'!Q""&amp;TO_TEXT(ROW()-$C$72))"),"")</f>
        <v/>
      </c>
      <c r="R207" s="61" t="str">
        <f>IFERROR(__xludf.DUMMYFUNCTION("INDIRECT(""'收支紀錄'!R""&amp;TO_TEXT(ROW()-$C$72))"),"")</f>
        <v/>
      </c>
      <c r="S207" s="61" t="str">
        <f>IFERROR(__xludf.DUMMYFUNCTION("INDIRECT(""'收支紀錄'!S""&amp;TO_TEXT(ROW()-$C$72))"),"")</f>
        <v/>
      </c>
      <c r="T207" s="61" t="str">
        <f>IFERROR(__xludf.DUMMYFUNCTION("INDIRECT(""'收支紀錄'!T""&amp;TO_TEXT(ROW()-$C$72))"),"")</f>
        <v/>
      </c>
      <c r="U207" s="62" t="str">
        <f>IFERROR(__xludf.DUMMYFUNCTION("IF(T207=""是"",TEXTJOIN("""", TRUE, ""$"", TO_TEXT(C207), S207),"""")"),"")</f>
        <v/>
      </c>
    </row>
    <row r="208">
      <c r="A208" s="58">
        <f>IFERROR(__xludf.DUMMYFUNCTION("INDIRECT(""'收支紀錄'!A""&amp;TO_TEXT(ROW()-$C$72))"),45540.894130381945)</f>
        <v>45540.89413</v>
      </c>
      <c r="B208" s="59">
        <f>IFERROR(__xludf.DUMMYFUNCTION("IF(ISBLANK(D208), """", IF(ISDATE(D208), D208, IF(D208=""今天"", A208, IF(D208=""昨天 (-1 day)"", A208-1, IF(D208=""前天 (-2 days)"", A208-2, IF(D208=""明天 (+1 day)"", A208+1, DATE(LEFT(D208,4), MID(D208,5,2), RIGHT(D208,2))))))))"),45540.0)</f>
        <v>45540</v>
      </c>
      <c r="C208" s="60">
        <f>IFERROR(__xludf.DUMMYFUNCTION("INDIRECT(""'收支紀錄'!C""&amp;TO_TEXT(ROW()-$C$72))"),961.0)</f>
        <v>961</v>
      </c>
      <c r="D208" s="59">
        <f>IFERROR(__xludf.DUMMYFUNCTION("INDIRECT(""'收支紀錄'!D""&amp;TO_TEXT(ROW()-$C$72))"),45540.0)</f>
        <v>45540</v>
      </c>
      <c r="E208" s="61" t="str">
        <f>IFERROR(__xludf.DUMMYFUNCTION("INDIRECT(""'收支紀錄'!E""&amp;TO_TEXT(ROW()-$C$72))"),"")</f>
        <v/>
      </c>
      <c r="F208" s="61" t="str">
        <f>IFERROR(__xludf.DUMMYFUNCTION("INDIRECT(""'收支紀錄'!F""&amp;TO_TEXT(ROW()-$C$72))"),"")</f>
        <v/>
      </c>
      <c r="G208" s="61" t="str">
        <f>IFERROR(__xludf.DUMMYFUNCTION("INDIRECT(""'收支紀錄'!G""&amp;TO_TEXT(ROW()-$C$72))"),"")</f>
        <v/>
      </c>
      <c r="H208" s="61" t="str">
        <f>IFERROR(__xludf.DUMMYFUNCTION("INDIRECT(""'收支紀錄'!H""&amp;TO_TEXT(ROW()-$C$72))"),"食品酒水")</f>
        <v>食品酒水</v>
      </c>
      <c r="I208" s="61" t="str">
        <f>IFERROR(__xludf.DUMMYFUNCTION("INDIRECT(""'收支紀錄'!I""&amp;TO_TEXT(ROW()-$C$72))"),"前月公司餐費扣款")</f>
        <v>前月公司餐費扣款</v>
      </c>
      <c r="J208" s="61" t="str">
        <f>IFERROR(__xludf.DUMMYFUNCTION("INDIRECT(""'收支紀錄'!J""&amp;TO_TEXT(ROW()-$C$72))"),"")</f>
        <v/>
      </c>
      <c r="K208" s="61" t="str">
        <f>IFERROR(__xludf.DUMMYFUNCTION("INDIRECT(""'收支紀錄'!K""&amp;TO_TEXT(ROW()-$C$72))"),"")</f>
        <v/>
      </c>
      <c r="L208" s="61" t="str">
        <f>IFERROR(__xludf.DUMMYFUNCTION("INDIRECT(""'收支紀錄'!L""&amp;TO_TEXT(ROW()-$C$72))"),"")</f>
        <v/>
      </c>
      <c r="M208" s="61" t="str">
        <f>IFERROR(__xludf.DUMMYFUNCTION("INDIRECT(""'收支紀錄'!M""&amp;TO_TEXT(ROW()-$C$72))"),"")</f>
        <v/>
      </c>
      <c r="N208" s="61" t="str">
        <f>IFERROR(__xludf.DUMMYFUNCTION("INDIRECT(""'收支紀錄'!N""&amp;TO_TEXT(ROW()-$C$72))"),"")</f>
        <v/>
      </c>
      <c r="O208" s="61" t="str">
        <f>IFERROR(__xludf.DUMMYFUNCTION("INDIRECT(""'收支紀錄'!O""&amp;TO_TEXT(ROW()-$C$72))"),"")</f>
        <v/>
      </c>
      <c r="P208" s="61" t="str">
        <f>IFERROR(__xludf.DUMMYFUNCTION("INDIRECT(""'收支紀錄'!P""&amp;TO_TEXT(ROW()-$C$72))"),"")</f>
        <v/>
      </c>
      <c r="Q208" s="61" t="str">
        <f>IFERROR(__xludf.DUMMYFUNCTION("INDIRECT(""'收支紀錄'!Q""&amp;TO_TEXT(ROW()-$C$72))"),"")</f>
        <v/>
      </c>
      <c r="R208" s="61" t="str">
        <f>IFERROR(__xludf.DUMMYFUNCTION("INDIRECT(""'收支紀錄'!R""&amp;TO_TEXT(ROW()-$C$72))"),"")</f>
        <v/>
      </c>
      <c r="S208" s="61" t="str">
        <f>IFERROR(__xludf.DUMMYFUNCTION("INDIRECT(""'收支紀錄'!S""&amp;TO_TEXT(ROW()-$C$72))"),"")</f>
        <v/>
      </c>
      <c r="T208" s="61" t="str">
        <f>IFERROR(__xludf.DUMMYFUNCTION("INDIRECT(""'收支紀錄'!T""&amp;TO_TEXT(ROW()-$C$72))"),"")</f>
        <v/>
      </c>
      <c r="U208" s="62" t="str">
        <f>IFERROR(__xludf.DUMMYFUNCTION("IF(T208=""是"",TEXTJOIN("""", TRUE, ""$"", TO_TEXT(C208), S208),"""")"),"")</f>
        <v/>
      </c>
    </row>
    <row r="209">
      <c r="A209" s="58">
        <f>IFERROR(__xludf.DUMMYFUNCTION("INDIRECT(""'收支紀錄'!A""&amp;TO_TEXT(ROW()-$C$72))"),45540.89443984954)</f>
        <v>45540.89444</v>
      </c>
      <c r="B209" s="59">
        <f>IFERROR(__xludf.DUMMYFUNCTION("IF(ISBLANK(D209), """", IF(ISDATE(D209), D209, IF(D209=""今天"", A209, IF(D209=""昨天 (-1 day)"", A209-1, IF(D209=""前天 (-2 days)"", A209-2, IF(D209=""明天 (+1 day)"", A209+1, DATE(LEFT(D209,4), MID(D209,5,2), RIGHT(D209,2))))))))"),45540.0)</f>
        <v>45540</v>
      </c>
      <c r="C209" s="60">
        <f>IFERROR(__xludf.DUMMYFUNCTION("INDIRECT(""'收支紀錄'!C""&amp;TO_TEXT(ROW()-$C$72))"),515.0)</f>
        <v>515</v>
      </c>
      <c r="D209" s="59">
        <f>IFERROR(__xludf.DUMMYFUNCTION("INDIRECT(""'收支紀錄'!D""&amp;TO_TEXT(ROW()-$C$72))"),45540.0)</f>
        <v>45540</v>
      </c>
      <c r="E209" s="61" t="str">
        <f>IFERROR(__xludf.DUMMYFUNCTION("INDIRECT(""'收支紀錄'!E""&amp;TO_TEXT(ROW()-$C$72))"),"")</f>
        <v/>
      </c>
      <c r="F209" s="61" t="str">
        <f>IFERROR(__xludf.DUMMYFUNCTION("INDIRECT(""'收支紀錄'!F""&amp;TO_TEXT(ROW()-$C$72))"),"")</f>
        <v/>
      </c>
      <c r="G209" s="61" t="str">
        <f>IFERROR(__xludf.DUMMYFUNCTION("INDIRECT(""'收支紀錄'!G""&amp;TO_TEXT(ROW()-$C$72))"),"")</f>
        <v/>
      </c>
      <c r="H209" s="61" t="str">
        <f>IFERROR(__xludf.DUMMYFUNCTION("INDIRECT(""'收支紀錄'!H""&amp;TO_TEXT(ROW()-$C$72))"),"休閒娛樂")</f>
        <v>休閒娛樂</v>
      </c>
      <c r="I209" s="61" t="str">
        <f>IFERROR(__xludf.DUMMYFUNCTION("INDIRECT(""'收支紀錄'!I""&amp;TO_TEXT(ROW()-$C$72))"),"")</f>
        <v/>
      </c>
      <c r="J209" s="61" t="str">
        <f>IFERROR(__xludf.DUMMYFUNCTION("INDIRECT(""'收支紀錄'!J""&amp;TO_TEXT(ROW()-$C$72))"),"")</f>
        <v/>
      </c>
      <c r="K209" s="61" t="str">
        <f>IFERROR(__xludf.DUMMYFUNCTION("INDIRECT(""'收支紀錄'!K""&amp;TO_TEXT(ROW()-$C$72))"),"")</f>
        <v/>
      </c>
      <c r="L209" s="61" t="str">
        <f>IFERROR(__xludf.DUMMYFUNCTION("INDIRECT(""'收支紀錄'!L""&amp;TO_TEXT(ROW()-$C$72))"),"")</f>
        <v/>
      </c>
      <c r="M209" s="61" t="str">
        <f>IFERROR(__xludf.DUMMYFUNCTION("INDIRECT(""'收支紀錄'!M""&amp;TO_TEXT(ROW()-$C$72))"),"公司福利金")</f>
        <v>公司福利金</v>
      </c>
      <c r="N209" s="61" t="str">
        <f>IFERROR(__xludf.DUMMYFUNCTION("INDIRECT(""'收支紀錄'!N""&amp;TO_TEXT(ROW()-$C$72))"),"")</f>
        <v/>
      </c>
      <c r="O209" s="61" t="str">
        <f>IFERROR(__xludf.DUMMYFUNCTION("INDIRECT(""'收支紀錄'!O""&amp;TO_TEXT(ROW()-$C$72))"),"")</f>
        <v/>
      </c>
      <c r="P209" s="61" t="str">
        <f>IFERROR(__xludf.DUMMYFUNCTION("INDIRECT(""'收支紀錄'!P""&amp;TO_TEXT(ROW()-$C$72))"),"")</f>
        <v/>
      </c>
      <c r="Q209" s="61" t="str">
        <f>IFERROR(__xludf.DUMMYFUNCTION("INDIRECT(""'收支紀錄'!Q""&amp;TO_TEXT(ROW()-$C$72))"),"")</f>
        <v/>
      </c>
      <c r="R209" s="61" t="str">
        <f>IFERROR(__xludf.DUMMYFUNCTION("INDIRECT(""'收支紀錄'!R""&amp;TO_TEXT(ROW()-$C$72))"),"")</f>
        <v/>
      </c>
      <c r="S209" s="61" t="str">
        <f>IFERROR(__xludf.DUMMYFUNCTION("INDIRECT(""'收支紀錄'!S""&amp;TO_TEXT(ROW()-$C$72))"),"")</f>
        <v/>
      </c>
      <c r="T209" s="61" t="str">
        <f>IFERROR(__xludf.DUMMYFUNCTION("INDIRECT(""'收支紀錄'!T""&amp;TO_TEXT(ROW()-$C$72))"),"")</f>
        <v/>
      </c>
      <c r="U209" s="62" t="str">
        <f>IFERROR(__xludf.DUMMYFUNCTION("IF(T209=""是"",TEXTJOIN("""", TRUE, ""$"", TO_TEXT(C209), S209),"""")"),"")</f>
        <v/>
      </c>
    </row>
    <row r="210">
      <c r="A210" s="58">
        <f>IFERROR(__xludf.DUMMYFUNCTION("INDIRECT(""'收支紀錄'!A""&amp;TO_TEXT(ROW()-$C$72))"),45540.894823738425)</f>
        <v>45540.89482</v>
      </c>
      <c r="B210" s="59">
        <f>IFERROR(__xludf.DUMMYFUNCTION("IF(ISBLANK(D210), """", IF(ISDATE(D210), D210, IF(D210=""今天"", A210, IF(D210=""昨天 (-1 day)"", A210-1, IF(D210=""前天 (-2 days)"", A210-2, IF(D210=""明天 (+1 day)"", A210+1, DATE(LEFT(D210,4), MID(D210,5,2), RIGHT(D210,2))))))))"),45535.0)</f>
        <v>45535</v>
      </c>
      <c r="C210" s="60">
        <f>IFERROR(__xludf.DUMMYFUNCTION("INDIRECT(""'收支紀錄'!C""&amp;TO_TEXT(ROW()-$C$72))"),3260.0)</f>
        <v>3260</v>
      </c>
      <c r="D210" s="59">
        <f>IFERROR(__xludf.DUMMYFUNCTION("INDIRECT(""'收支紀錄'!D""&amp;TO_TEXT(ROW()-$C$72))"),45535.0)</f>
        <v>45535</v>
      </c>
      <c r="E210" s="61" t="str">
        <f>IFERROR(__xludf.DUMMYFUNCTION("INDIRECT(""'收支紀錄'!E""&amp;TO_TEXT(ROW()-$C$72))"),"")</f>
        <v/>
      </c>
      <c r="F210" s="61" t="str">
        <f>IFERROR(__xludf.DUMMYFUNCTION("INDIRECT(""'收支紀錄'!F""&amp;TO_TEXT(ROW()-$C$72))"),"")</f>
        <v/>
      </c>
      <c r="G210" s="61" t="str">
        <f>IFERROR(__xludf.DUMMYFUNCTION("INDIRECT(""'收支紀錄'!G""&amp;TO_TEXT(ROW()-$C$72))"),"")</f>
        <v/>
      </c>
      <c r="H210" s="61" t="str">
        <f>IFERROR(__xludf.DUMMYFUNCTION("INDIRECT(""'收支紀錄'!H""&amp;TO_TEXT(ROW()-$C$72))"),"稅金保險")</f>
        <v>稅金保險</v>
      </c>
      <c r="I210" s="61" t="str">
        <f>IFERROR(__xludf.DUMMYFUNCTION("INDIRECT(""'收支紀錄'!I""&amp;TO_TEXT(ROW()-$C$72))"),"")</f>
        <v/>
      </c>
      <c r="J210" s="61" t="str">
        <f>IFERROR(__xludf.DUMMYFUNCTION("INDIRECT(""'收支紀錄'!J""&amp;TO_TEXT(ROW()-$C$72))"),"")</f>
        <v/>
      </c>
      <c r="K210" s="61" t="str">
        <f>IFERROR(__xludf.DUMMYFUNCTION("INDIRECT(""'收支紀錄'!K""&amp;TO_TEXT(ROW()-$C$72))"),"")</f>
        <v/>
      </c>
      <c r="L210" s="61" t="str">
        <f>IFERROR(__xludf.DUMMYFUNCTION("INDIRECT(""'收支紀錄'!L""&amp;TO_TEXT(ROW()-$C$72))"),"")</f>
        <v/>
      </c>
      <c r="M210" s="61" t="str">
        <f>IFERROR(__xludf.DUMMYFUNCTION("INDIRECT(""'收支紀錄'!M""&amp;TO_TEXT(ROW()-$C$72))"),"")</f>
        <v/>
      </c>
      <c r="N210" s="61" t="str">
        <f>IFERROR(__xludf.DUMMYFUNCTION("INDIRECT(""'收支紀錄'!N""&amp;TO_TEXT(ROW()-$C$72))"),"稅金")</f>
        <v>稅金</v>
      </c>
      <c r="O210" s="61" t="str">
        <f>IFERROR(__xludf.DUMMYFUNCTION("INDIRECT(""'收支紀錄'!O""&amp;TO_TEXT(ROW()-$C$72))"),"")</f>
        <v/>
      </c>
      <c r="P210" s="61" t="str">
        <f>IFERROR(__xludf.DUMMYFUNCTION("INDIRECT(""'收支紀錄'!P""&amp;TO_TEXT(ROW()-$C$72))"),"")</f>
        <v/>
      </c>
      <c r="Q210" s="61" t="str">
        <f>IFERROR(__xludf.DUMMYFUNCTION("INDIRECT(""'收支紀錄'!Q""&amp;TO_TEXT(ROW()-$C$72))"),"")</f>
        <v/>
      </c>
      <c r="R210" s="61" t="str">
        <f>IFERROR(__xludf.DUMMYFUNCTION("INDIRECT(""'收支紀錄'!R""&amp;TO_TEXT(ROW()-$C$72))"),"")</f>
        <v/>
      </c>
      <c r="S210" s="61" t="str">
        <f>IFERROR(__xludf.DUMMYFUNCTION("INDIRECT(""'收支紀錄'!S""&amp;TO_TEXT(ROW()-$C$72))"),"")</f>
        <v/>
      </c>
      <c r="T210" s="61" t="str">
        <f>IFERROR(__xludf.DUMMYFUNCTION("INDIRECT(""'收支紀錄'!T""&amp;TO_TEXT(ROW()-$C$72))"),"")</f>
        <v/>
      </c>
      <c r="U210" s="62" t="str">
        <f>IFERROR(__xludf.DUMMYFUNCTION("IF(T210=""是"",TEXTJOIN("""", TRUE, ""$"", TO_TEXT(C210), S210),"""")"),"")</f>
        <v/>
      </c>
    </row>
    <row r="211">
      <c r="A211" s="58">
        <f>IFERROR(__xludf.DUMMYFUNCTION("INDIRECT(""'收支紀錄'!A""&amp;TO_TEXT(ROW()-$C$72))"),45540.895579178235)</f>
        <v>45540.89558</v>
      </c>
      <c r="B211" s="59">
        <f>IFERROR(__xludf.DUMMYFUNCTION("IF(ISBLANK(D211), """", IF(ISDATE(D211), D211, IF(D211=""今天"", A211, IF(D211=""昨天 (-1 day)"", A211-1, IF(D211=""前天 (-2 days)"", A211-2, IF(D211=""明天 (+1 day)"", A211+1, DATE(LEFT(D211,4), MID(D211,5,2), RIGHT(D211,2))))))))"),45535.0)</f>
        <v>45535</v>
      </c>
      <c r="C211" s="60">
        <f>IFERROR(__xludf.DUMMYFUNCTION("INDIRECT(""'收支紀錄'!C""&amp;TO_TEXT(ROW()-$C$72))"),3087.0)</f>
        <v>3087</v>
      </c>
      <c r="D211" s="59">
        <f>IFERROR(__xludf.DUMMYFUNCTION("INDIRECT(""'收支紀錄'!D""&amp;TO_TEXT(ROW()-$C$72))"),45535.0)</f>
        <v>45535</v>
      </c>
      <c r="E211" s="61" t="str">
        <f>IFERROR(__xludf.DUMMYFUNCTION("INDIRECT(""'收支紀錄'!E""&amp;TO_TEXT(ROW()-$C$72))"),"")</f>
        <v/>
      </c>
      <c r="F211" s="61" t="str">
        <f>IFERROR(__xludf.DUMMYFUNCTION("INDIRECT(""'收支紀錄'!F""&amp;TO_TEXT(ROW()-$C$72))"),"")</f>
        <v/>
      </c>
      <c r="G211" s="61" t="str">
        <f>IFERROR(__xludf.DUMMYFUNCTION("INDIRECT(""'收支紀錄'!G""&amp;TO_TEXT(ROW()-$C$72))"),"")</f>
        <v/>
      </c>
      <c r="H211" s="61" t="str">
        <f>IFERROR(__xludf.DUMMYFUNCTION("INDIRECT(""'收支紀錄'!H""&amp;TO_TEXT(ROW()-$C$72))"),"投資及其他")</f>
        <v>投資及其他</v>
      </c>
      <c r="I211" s="61" t="str">
        <f>IFERROR(__xludf.DUMMYFUNCTION("INDIRECT(""'收支紀錄'!I""&amp;TO_TEXT(ROW()-$C$72))"),"")</f>
        <v/>
      </c>
      <c r="J211" s="61" t="str">
        <f>IFERROR(__xludf.DUMMYFUNCTION("INDIRECT(""'收支紀錄'!J""&amp;TO_TEXT(ROW()-$C$72))"),"")</f>
        <v/>
      </c>
      <c r="K211" s="61" t="str">
        <f>IFERROR(__xludf.DUMMYFUNCTION("INDIRECT(""'收支紀錄'!K""&amp;TO_TEXT(ROW()-$C$72))"),"")</f>
        <v/>
      </c>
      <c r="L211" s="61" t="str">
        <f>IFERROR(__xludf.DUMMYFUNCTION("INDIRECT(""'收支紀錄'!L""&amp;TO_TEXT(ROW()-$C$72))"),"")</f>
        <v/>
      </c>
      <c r="M211" s="61" t="str">
        <f>IFERROR(__xludf.DUMMYFUNCTION("INDIRECT(""'收支紀錄'!M""&amp;TO_TEXT(ROW()-$C$72))"),"")</f>
        <v/>
      </c>
      <c r="N211" s="61" t="str">
        <f>IFERROR(__xludf.DUMMYFUNCTION("INDIRECT(""'收支紀錄'!N""&amp;TO_TEXT(ROW()-$C$72))"),"")</f>
        <v/>
      </c>
      <c r="O211" s="61" t="str">
        <f>IFERROR(__xludf.DUMMYFUNCTION("INDIRECT(""'收支紀錄'!O""&amp;TO_TEXT(ROW()-$C$72))"),"")</f>
        <v/>
      </c>
      <c r="P211" s="61" t="str">
        <f>IFERROR(__xludf.DUMMYFUNCTION("INDIRECT(""'收支紀錄'!P""&amp;TO_TEXT(ROW()-$C$72))"),"")</f>
        <v/>
      </c>
      <c r="Q211" s="61" t="str">
        <f>IFERROR(__xludf.DUMMYFUNCTION("INDIRECT(""'收支紀錄'!Q""&amp;TO_TEXT(ROW()-$C$72))"),"")</f>
        <v/>
      </c>
      <c r="R211" s="61" t="str">
        <f>IFERROR(__xludf.DUMMYFUNCTION("INDIRECT(""'收支紀錄'!R""&amp;TO_TEXT(ROW()-$C$72))"),"公司認股")</f>
        <v>公司認股</v>
      </c>
      <c r="S211" s="61" t="str">
        <f>IFERROR(__xludf.DUMMYFUNCTION("INDIRECT(""'收支紀錄'!S""&amp;TO_TEXT(ROW()-$C$72))"),"")</f>
        <v/>
      </c>
      <c r="T211" s="61" t="str">
        <f>IFERROR(__xludf.DUMMYFUNCTION("INDIRECT(""'收支紀錄'!T""&amp;TO_TEXT(ROW()-$C$72))"),"")</f>
        <v/>
      </c>
      <c r="U211" s="62" t="str">
        <f>IFERROR(__xludf.DUMMYFUNCTION("IF(T211=""是"",TEXTJOIN("""", TRUE, ""$"", TO_TEXT(C211), S211),"""")"),"")</f>
        <v/>
      </c>
    </row>
    <row r="212">
      <c r="A212" s="58">
        <f>IFERROR(__xludf.DUMMYFUNCTION("INDIRECT(""'收支紀錄'!A""&amp;TO_TEXT(ROW()-$C$72))"),45540.896724791666)</f>
        <v>45540.89672</v>
      </c>
      <c r="B212" s="59">
        <f>IFERROR(__xludf.DUMMYFUNCTION("IF(ISBLANK(D212), """", IF(ISDATE(D212), D212, IF(D212=""今天"", A212, IF(D212=""昨天 (-1 day)"", A212-1, IF(D212=""前天 (-2 days)"", A212-2, IF(D212=""明天 (+1 day)"", A212+1, DATE(LEFT(D212,4), MID(D212,5,2), RIGHT(D212,2))))))))"),45535.0)</f>
        <v>45535</v>
      </c>
      <c r="C212" s="60">
        <f>IFERROR(__xludf.DUMMYFUNCTION("INDIRECT(""'收支紀錄'!C""&amp;TO_TEXT(ROW()-$C$72))"),26000.0)</f>
        <v>26000</v>
      </c>
      <c r="D212" s="59">
        <f>IFERROR(__xludf.DUMMYFUNCTION("INDIRECT(""'收支紀錄'!D""&amp;TO_TEXT(ROW()-$C$72))"),45535.0)</f>
        <v>45535</v>
      </c>
      <c r="E212" s="61" t="str">
        <f>IFERROR(__xludf.DUMMYFUNCTION("INDIRECT(""'收支紀錄'!E""&amp;TO_TEXT(ROW()-$C$72))"),"")</f>
        <v/>
      </c>
      <c r="F212" s="61" t="str">
        <f>IFERROR(__xludf.DUMMYFUNCTION("INDIRECT(""'收支紀錄'!F""&amp;TO_TEXT(ROW()-$C$72))"),"")</f>
        <v/>
      </c>
      <c r="G212" s="61" t="str">
        <f>IFERROR(__xludf.DUMMYFUNCTION("INDIRECT(""'收支紀錄'!G""&amp;TO_TEXT(ROW()-$C$72))"),"")</f>
        <v/>
      </c>
      <c r="H212" s="61" t="str">
        <f>IFERROR(__xludf.DUMMYFUNCTION("INDIRECT(""'收支紀錄'!H""&amp;TO_TEXT(ROW()-$C$72))"),"房屋支出")</f>
        <v>房屋支出</v>
      </c>
      <c r="I212" s="61" t="str">
        <f>IFERROR(__xludf.DUMMYFUNCTION("INDIRECT(""'收支紀錄'!I""&amp;TO_TEXT(ROW()-$C$72))"),"")</f>
        <v/>
      </c>
      <c r="J212" s="61" t="str">
        <f>IFERROR(__xludf.DUMMYFUNCTION("INDIRECT(""'收支紀錄'!J""&amp;TO_TEXT(ROW()-$C$72))"),"")</f>
        <v/>
      </c>
      <c r="K212" s="61" t="str">
        <f>IFERROR(__xludf.DUMMYFUNCTION("INDIRECT(""'收支紀錄'!K""&amp;TO_TEXT(ROW()-$C$72))"),"文心1房貸代繳")</f>
        <v>文心1房貸代繳</v>
      </c>
      <c r="L212" s="61" t="str">
        <f>IFERROR(__xludf.DUMMYFUNCTION("INDIRECT(""'收支紀錄'!L""&amp;TO_TEXT(ROW()-$C$72))"),"")</f>
        <v/>
      </c>
      <c r="M212" s="61" t="str">
        <f>IFERROR(__xludf.DUMMYFUNCTION("INDIRECT(""'收支紀錄'!M""&amp;TO_TEXT(ROW()-$C$72))"),"")</f>
        <v/>
      </c>
      <c r="N212" s="61" t="str">
        <f>IFERROR(__xludf.DUMMYFUNCTION("INDIRECT(""'收支紀錄'!N""&amp;TO_TEXT(ROW()-$C$72))"),"")</f>
        <v/>
      </c>
      <c r="O212" s="61" t="str">
        <f>IFERROR(__xludf.DUMMYFUNCTION("INDIRECT(""'收支紀錄'!O""&amp;TO_TEXT(ROW()-$C$72))"),"")</f>
        <v/>
      </c>
      <c r="P212" s="61" t="str">
        <f>IFERROR(__xludf.DUMMYFUNCTION("INDIRECT(""'收支紀錄'!P""&amp;TO_TEXT(ROW()-$C$72))"),"")</f>
        <v/>
      </c>
      <c r="Q212" s="61" t="str">
        <f>IFERROR(__xludf.DUMMYFUNCTION("INDIRECT(""'收支紀錄'!Q""&amp;TO_TEXT(ROW()-$C$72))"),"")</f>
        <v/>
      </c>
      <c r="R212" s="61" t="str">
        <f>IFERROR(__xludf.DUMMYFUNCTION("INDIRECT(""'收支紀錄'!R""&amp;TO_TEXT(ROW()-$C$72))"),"")</f>
        <v/>
      </c>
      <c r="S212" s="61" t="str">
        <f>IFERROR(__xludf.DUMMYFUNCTION("INDIRECT(""'收支紀錄'!S""&amp;TO_TEXT(ROW()-$C$72))"),"")</f>
        <v/>
      </c>
      <c r="T212" s="61" t="str">
        <f>IFERROR(__xludf.DUMMYFUNCTION("INDIRECT(""'收支紀錄'!T""&amp;TO_TEXT(ROW()-$C$72))"),"")</f>
        <v/>
      </c>
      <c r="U212" s="62" t="str">
        <f>IFERROR(__xludf.DUMMYFUNCTION("IF(T212=""是"",TEXTJOIN("""", TRUE, ""$"", TO_TEXT(C212), S212),"""")"),"")</f>
        <v/>
      </c>
    </row>
    <row r="213">
      <c r="A213" s="58">
        <f>IFERROR(__xludf.DUMMYFUNCTION("INDIRECT(""'收支紀錄'!A""&amp;TO_TEXT(ROW()-$C$72))"),45540.98601054398)</f>
        <v>45540.98601</v>
      </c>
      <c r="B213" s="59">
        <f>IFERROR(__xludf.DUMMYFUNCTION("IF(ISBLANK(D213), """", IF(ISDATE(D213), D213, IF(D213=""今天"", A213, IF(D213=""昨天 (-1 day)"", A213-1, IF(D213=""前天 (-2 days)"", A213-2, IF(D213=""明天 (+1 day)"", A213+1, DATE(LEFT(D213,4), MID(D213,5,2), RIGHT(D213,2))))))))"),45535.0)</f>
        <v>45535</v>
      </c>
      <c r="C213" s="60">
        <f>IFERROR(__xludf.DUMMYFUNCTION("INDIRECT(""'收支紀錄'!C""&amp;TO_TEXT(ROW()-$C$72))"),102900.0)</f>
        <v>102900</v>
      </c>
      <c r="D213" s="59">
        <f>IFERROR(__xludf.DUMMYFUNCTION("INDIRECT(""'收支紀錄'!D""&amp;TO_TEXT(ROW()-$C$72))"),45535.0)</f>
        <v>45535</v>
      </c>
      <c r="E213" s="61" t="str">
        <f>IFERROR(__xludf.DUMMYFUNCTION("INDIRECT(""'收支紀錄'!E""&amp;TO_TEXT(ROW()-$C$72))"),"工作")</f>
        <v>工作</v>
      </c>
      <c r="F213" s="61" t="str">
        <f>IFERROR(__xludf.DUMMYFUNCTION("INDIRECT(""'收支紀錄'!F""&amp;TO_TEXT(ROW()-$C$72))"),"底薪")</f>
        <v>底薪</v>
      </c>
      <c r="G213" s="61" t="str">
        <f>IFERROR(__xludf.DUMMYFUNCTION("INDIRECT(""'收支紀錄'!G""&amp;TO_TEXT(ROW()-$C$72))"),"")</f>
        <v/>
      </c>
      <c r="H213" s="61" t="str">
        <f>IFERROR(__xludf.DUMMYFUNCTION("INDIRECT(""'收支紀錄'!H""&amp;TO_TEXT(ROW()-$C$72))"),"")</f>
        <v/>
      </c>
      <c r="I213" s="61" t="str">
        <f>IFERROR(__xludf.DUMMYFUNCTION("INDIRECT(""'收支紀錄'!I""&amp;TO_TEXT(ROW()-$C$72))"),"")</f>
        <v/>
      </c>
      <c r="J213" s="61" t="str">
        <f>IFERROR(__xludf.DUMMYFUNCTION("INDIRECT(""'收支紀錄'!J""&amp;TO_TEXT(ROW()-$C$72))"),"")</f>
        <v/>
      </c>
      <c r="K213" s="61" t="str">
        <f>IFERROR(__xludf.DUMMYFUNCTION("INDIRECT(""'收支紀錄'!K""&amp;TO_TEXT(ROW()-$C$72))"),"")</f>
        <v/>
      </c>
      <c r="L213" s="61" t="str">
        <f>IFERROR(__xludf.DUMMYFUNCTION("INDIRECT(""'收支紀錄'!L""&amp;TO_TEXT(ROW()-$C$72))"),"")</f>
        <v/>
      </c>
      <c r="M213" s="61" t="str">
        <f>IFERROR(__xludf.DUMMYFUNCTION("INDIRECT(""'收支紀錄'!M""&amp;TO_TEXT(ROW()-$C$72))"),"")</f>
        <v/>
      </c>
      <c r="N213" s="61" t="str">
        <f>IFERROR(__xludf.DUMMYFUNCTION("INDIRECT(""'收支紀錄'!N""&amp;TO_TEXT(ROW()-$C$72))"),"")</f>
        <v/>
      </c>
      <c r="O213" s="61" t="str">
        <f>IFERROR(__xludf.DUMMYFUNCTION("INDIRECT(""'收支紀錄'!O""&amp;TO_TEXT(ROW()-$C$72))"),"")</f>
        <v/>
      </c>
      <c r="P213" s="61" t="str">
        <f>IFERROR(__xludf.DUMMYFUNCTION("INDIRECT(""'收支紀錄'!P""&amp;TO_TEXT(ROW()-$C$72))"),"")</f>
        <v/>
      </c>
      <c r="Q213" s="61" t="str">
        <f>IFERROR(__xludf.DUMMYFUNCTION("INDIRECT(""'收支紀錄'!Q""&amp;TO_TEXT(ROW()-$C$72))"),"")</f>
        <v/>
      </c>
      <c r="R213" s="61" t="str">
        <f>IFERROR(__xludf.DUMMYFUNCTION("INDIRECT(""'收支紀錄'!R""&amp;TO_TEXT(ROW()-$C$72))"),"")</f>
        <v/>
      </c>
      <c r="S213" s="61" t="str">
        <f>IFERROR(__xludf.DUMMYFUNCTION("INDIRECT(""'收支紀錄'!S""&amp;TO_TEXT(ROW()-$C$72))"),"")</f>
        <v/>
      </c>
      <c r="T213" s="61" t="str">
        <f>IFERROR(__xludf.DUMMYFUNCTION("INDIRECT(""'收支紀錄'!T""&amp;TO_TEXT(ROW()-$C$72))"),"")</f>
        <v/>
      </c>
      <c r="U213" s="62" t="str">
        <f>IFERROR(__xludf.DUMMYFUNCTION("IF(T213=""是"",TEXTJOIN("""", TRUE, ""$"", TO_TEXT(C213), S213),"""")"),"")</f>
        <v/>
      </c>
    </row>
    <row r="214">
      <c r="A214" s="58">
        <f>IFERROR(__xludf.DUMMYFUNCTION("INDIRECT(""'收支紀錄'!A""&amp;TO_TEXT(ROW()-$C$72))"),45540.98804646991)</f>
        <v>45540.98805</v>
      </c>
      <c r="B214" s="59">
        <f>IFERROR(__xludf.DUMMYFUNCTION("IF(ISBLANK(D214), """", IF(ISDATE(D214), D214, IF(D214=""今天"", A214, IF(D214=""昨天 (-1 day)"", A214-1, IF(D214=""前天 (-2 days)"", A214-2, IF(D214=""明天 (+1 day)"", A214+1, DATE(LEFT(D214,4), MID(D214,5,2), RIGHT(D214,2))))))))"),45506.0)</f>
        <v>45506</v>
      </c>
      <c r="C214" s="60">
        <f>IFERROR(__xludf.DUMMYFUNCTION("INDIRECT(""'收支紀錄'!C""&amp;TO_TEXT(ROW()-$C$72))"),1190.0)</f>
        <v>1190</v>
      </c>
      <c r="D214" s="59">
        <f>IFERROR(__xludf.DUMMYFUNCTION("INDIRECT(""'收支紀錄'!D""&amp;TO_TEXT(ROW()-$C$72))"),45506.0)</f>
        <v>45506</v>
      </c>
      <c r="E214" s="61" t="str">
        <f>IFERROR(__xludf.DUMMYFUNCTION("INDIRECT(""'收支紀錄'!E""&amp;TO_TEXT(ROW()-$C$72))"),"其他業外")</f>
        <v>其他業外</v>
      </c>
      <c r="F214" s="61" t="str">
        <f>IFERROR(__xludf.DUMMYFUNCTION("INDIRECT(""'收支紀錄'!F""&amp;TO_TEXT(ROW()-$C$72))"),"")</f>
        <v/>
      </c>
      <c r="G214" s="61" t="str">
        <f>IFERROR(__xludf.DUMMYFUNCTION("INDIRECT(""'收支紀錄'!G""&amp;TO_TEXT(ROW()-$C$72))"),"股票配息")</f>
        <v>股票配息</v>
      </c>
      <c r="H214" s="61" t="str">
        <f>IFERROR(__xludf.DUMMYFUNCTION("INDIRECT(""'收支紀錄'!H""&amp;TO_TEXT(ROW()-$C$72))"),"")</f>
        <v/>
      </c>
      <c r="I214" s="61" t="str">
        <f>IFERROR(__xludf.DUMMYFUNCTION("INDIRECT(""'收支紀錄'!I""&amp;TO_TEXT(ROW()-$C$72))"),"")</f>
        <v/>
      </c>
      <c r="J214" s="61" t="str">
        <f>IFERROR(__xludf.DUMMYFUNCTION("INDIRECT(""'收支紀錄'!J""&amp;TO_TEXT(ROW()-$C$72))"),"")</f>
        <v/>
      </c>
      <c r="K214" s="61" t="str">
        <f>IFERROR(__xludf.DUMMYFUNCTION("INDIRECT(""'收支紀錄'!K""&amp;TO_TEXT(ROW()-$C$72))"),"")</f>
        <v/>
      </c>
      <c r="L214" s="61" t="str">
        <f>IFERROR(__xludf.DUMMYFUNCTION("INDIRECT(""'收支紀錄'!L""&amp;TO_TEXT(ROW()-$C$72))"),"")</f>
        <v/>
      </c>
      <c r="M214" s="61" t="str">
        <f>IFERROR(__xludf.DUMMYFUNCTION("INDIRECT(""'收支紀錄'!M""&amp;TO_TEXT(ROW()-$C$72))"),"")</f>
        <v/>
      </c>
      <c r="N214" s="61" t="str">
        <f>IFERROR(__xludf.DUMMYFUNCTION("INDIRECT(""'收支紀錄'!N""&amp;TO_TEXT(ROW()-$C$72))"),"")</f>
        <v/>
      </c>
      <c r="O214" s="61" t="str">
        <f>IFERROR(__xludf.DUMMYFUNCTION("INDIRECT(""'收支紀錄'!O""&amp;TO_TEXT(ROW()-$C$72))"),"")</f>
        <v/>
      </c>
      <c r="P214" s="61" t="str">
        <f>IFERROR(__xludf.DUMMYFUNCTION("INDIRECT(""'收支紀錄'!P""&amp;TO_TEXT(ROW()-$C$72))"),"")</f>
        <v/>
      </c>
      <c r="Q214" s="61" t="str">
        <f>IFERROR(__xludf.DUMMYFUNCTION("INDIRECT(""'收支紀錄'!Q""&amp;TO_TEXT(ROW()-$C$72))"),"")</f>
        <v/>
      </c>
      <c r="R214" s="61" t="str">
        <f>IFERROR(__xludf.DUMMYFUNCTION("INDIRECT(""'收支紀錄'!R""&amp;TO_TEXT(ROW()-$C$72))"),"")</f>
        <v/>
      </c>
      <c r="S214" s="61" t="str">
        <f>IFERROR(__xludf.DUMMYFUNCTION("INDIRECT(""'收支紀錄'!S""&amp;TO_TEXT(ROW()-$C$72))"),"皇鼎")</f>
        <v>皇鼎</v>
      </c>
      <c r="T214" s="61" t="str">
        <f>IFERROR(__xludf.DUMMYFUNCTION("INDIRECT(""'收支紀錄'!T""&amp;TO_TEXT(ROW()-$C$72))"),"是")</f>
        <v>是</v>
      </c>
      <c r="U214" s="62" t="str">
        <f>IFERROR(__xludf.DUMMYFUNCTION("IF(T214=""是"",TEXTJOIN("""", TRUE, ""$"", TO_TEXT(C214), S214),"""")"),"$1190皇鼎")</f>
        <v>$1190皇鼎</v>
      </c>
    </row>
    <row r="215">
      <c r="A215" s="58">
        <f>IFERROR(__xludf.DUMMYFUNCTION("INDIRECT(""'收支紀錄'!A""&amp;TO_TEXT(ROW()-$C$72))"),45540.98843467592)</f>
        <v>45540.98843</v>
      </c>
      <c r="B215" s="59">
        <f>IFERROR(__xludf.DUMMYFUNCTION("IF(ISBLANK(D215), """", IF(ISDATE(D215), D215, IF(D215=""今天"", A215, IF(D215=""昨天 (-1 day)"", A215-1, IF(D215=""前天 (-2 days)"", A215-2, IF(D215=""明天 (+1 day)"", A215+1, DATE(LEFT(D215,4), MID(D215,5,2), RIGHT(D215,2))))))))"),45510.0)</f>
        <v>45510</v>
      </c>
      <c r="C215" s="60">
        <f>IFERROR(__xludf.DUMMYFUNCTION("INDIRECT(""'收支紀錄'!C""&amp;TO_TEXT(ROW()-$C$72))"),200.0)</f>
        <v>200</v>
      </c>
      <c r="D215" s="59">
        <f>IFERROR(__xludf.DUMMYFUNCTION("INDIRECT(""'收支紀錄'!D""&amp;TO_TEXT(ROW()-$C$72))"),45510.0)</f>
        <v>45510</v>
      </c>
      <c r="E215" s="61" t="str">
        <f>IFERROR(__xludf.DUMMYFUNCTION("INDIRECT(""'收支紀錄'!E""&amp;TO_TEXT(ROW()-$C$72))"),"其他業外")</f>
        <v>其他業外</v>
      </c>
      <c r="F215" s="61" t="str">
        <f>IFERROR(__xludf.DUMMYFUNCTION("INDIRECT(""'收支紀錄'!F""&amp;TO_TEXT(ROW()-$C$72))"),"")</f>
        <v/>
      </c>
      <c r="G215" s="61" t="str">
        <f>IFERROR(__xludf.DUMMYFUNCTION("INDIRECT(""'收支紀錄'!G""&amp;TO_TEXT(ROW()-$C$72))"),"發票/彩券/中獎")</f>
        <v>發票/彩券/中獎</v>
      </c>
      <c r="H215" s="61" t="str">
        <f>IFERROR(__xludf.DUMMYFUNCTION("INDIRECT(""'收支紀錄'!H""&amp;TO_TEXT(ROW()-$C$72))"),"")</f>
        <v/>
      </c>
      <c r="I215" s="61" t="str">
        <f>IFERROR(__xludf.DUMMYFUNCTION("INDIRECT(""'收支紀錄'!I""&amp;TO_TEXT(ROW()-$C$72))"),"")</f>
        <v/>
      </c>
      <c r="J215" s="61" t="str">
        <f>IFERROR(__xludf.DUMMYFUNCTION("INDIRECT(""'收支紀錄'!J""&amp;TO_TEXT(ROW()-$C$72))"),"")</f>
        <v/>
      </c>
      <c r="K215" s="61" t="str">
        <f>IFERROR(__xludf.DUMMYFUNCTION("INDIRECT(""'收支紀錄'!K""&amp;TO_TEXT(ROW()-$C$72))"),"")</f>
        <v/>
      </c>
      <c r="L215" s="61" t="str">
        <f>IFERROR(__xludf.DUMMYFUNCTION("INDIRECT(""'收支紀錄'!L""&amp;TO_TEXT(ROW()-$C$72))"),"")</f>
        <v/>
      </c>
      <c r="M215" s="61" t="str">
        <f>IFERROR(__xludf.DUMMYFUNCTION("INDIRECT(""'收支紀錄'!M""&amp;TO_TEXT(ROW()-$C$72))"),"")</f>
        <v/>
      </c>
      <c r="N215" s="61" t="str">
        <f>IFERROR(__xludf.DUMMYFUNCTION("INDIRECT(""'收支紀錄'!N""&amp;TO_TEXT(ROW()-$C$72))"),"")</f>
        <v/>
      </c>
      <c r="O215" s="61" t="str">
        <f>IFERROR(__xludf.DUMMYFUNCTION("INDIRECT(""'收支紀錄'!O""&amp;TO_TEXT(ROW()-$C$72))"),"")</f>
        <v/>
      </c>
      <c r="P215" s="61" t="str">
        <f>IFERROR(__xludf.DUMMYFUNCTION("INDIRECT(""'收支紀錄'!P""&amp;TO_TEXT(ROW()-$C$72))"),"")</f>
        <v/>
      </c>
      <c r="Q215" s="61" t="str">
        <f>IFERROR(__xludf.DUMMYFUNCTION("INDIRECT(""'收支紀錄'!Q""&amp;TO_TEXT(ROW()-$C$72))"),"")</f>
        <v/>
      </c>
      <c r="R215" s="61" t="str">
        <f>IFERROR(__xludf.DUMMYFUNCTION("INDIRECT(""'收支紀錄'!R""&amp;TO_TEXT(ROW()-$C$72))"),"")</f>
        <v/>
      </c>
      <c r="S215" s="61" t="str">
        <f>IFERROR(__xludf.DUMMYFUNCTION("INDIRECT(""'收支紀錄'!S""&amp;TO_TEXT(ROW()-$C$72))"),"發票")</f>
        <v>發票</v>
      </c>
      <c r="T215" s="61" t="str">
        <f>IFERROR(__xludf.DUMMYFUNCTION("INDIRECT(""'收支紀錄'!T""&amp;TO_TEXT(ROW()-$C$72))"),"是")</f>
        <v>是</v>
      </c>
      <c r="U215" s="62" t="str">
        <f>IFERROR(__xludf.DUMMYFUNCTION("IF(T215=""是"",TEXTJOIN("""", TRUE, ""$"", TO_TEXT(C215), S215),"""")"),"$200發票")</f>
        <v>$200發票</v>
      </c>
    </row>
    <row r="216">
      <c r="A216" s="58">
        <f>IFERROR(__xludf.DUMMYFUNCTION("INDIRECT(""'收支紀錄'!A""&amp;TO_TEXT(ROW()-$C$72))"),45540.98887869213)</f>
        <v>45540.98888</v>
      </c>
      <c r="B216" s="59">
        <f>IFERROR(__xludf.DUMMYFUNCTION("IF(ISBLANK(D216), """", IF(ISDATE(D216), D216, IF(D216=""今天"", A216, IF(D216=""昨天 (-1 day)"", A216-1, IF(D216=""前天 (-2 days)"", A216-2, IF(D216=""明天 (+1 day)"", A216+1, DATE(LEFT(D216,4), MID(D216,5,2), RIGHT(D216,2))))))))"),45512.0)</f>
        <v>45512</v>
      </c>
      <c r="C216" s="60">
        <f>IFERROR(__xludf.DUMMYFUNCTION("INDIRECT(""'收支紀錄'!C""&amp;TO_TEXT(ROW()-$C$72))"),850.0)</f>
        <v>850</v>
      </c>
      <c r="D216" s="59">
        <f>IFERROR(__xludf.DUMMYFUNCTION("INDIRECT(""'收支紀錄'!D""&amp;TO_TEXT(ROW()-$C$72))"),45512.0)</f>
        <v>45512</v>
      </c>
      <c r="E216" s="61" t="str">
        <f>IFERROR(__xludf.DUMMYFUNCTION("INDIRECT(""'收支紀錄'!E""&amp;TO_TEXT(ROW()-$C$72))"),"其他業外")</f>
        <v>其他業外</v>
      </c>
      <c r="F216" s="61" t="str">
        <f>IFERROR(__xludf.DUMMYFUNCTION("INDIRECT(""'收支紀錄'!F""&amp;TO_TEXT(ROW()-$C$72))"),"")</f>
        <v/>
      </c>
      <c r="G216" s="61" t="str">
        <f>IFERROR(__xludf.DUMMYFUNCTION("INDIRECT(""'收支紀錄'!G""&amp;TO_TEXT(ROW()-$C$72))"),"股票配息")</f>
        <v>股票配息</v>
      </c>
      <c r="H216" s="61" t="str">
        <f>IFERROR(__xludf.DUMMYFUNCTION("INDIRECT(""'收支紀錄'!H""&amp;TO_TEXT(ROW()-$C$72))"),"")</f>
        <v/>
      </c>
      <c r="I216" s="61" t="str">
        <f>IFERROR(__xludf.DUMMYFUNCTION("INDIRECT(""'收支紀錄'!I""&amp;TO_TEXT(ROW()-$C$72))"),"")</f>
        <v/>
      </c>
      <c r="J216" s="61" t="str">
        <f>IFERROR(__xludf.DUMMYFUNCTION("INDIRECT(""'收支紀錄'!J""&amp;TO_TEXT(ROW()-$C$72))"),"")</f>
        <v/>
      </c>
      <c r="K216" s="61" t="str">
        <f>IFERROR(__xludf.DUMMYFUNCTION("INDIRECT(""'收支紀錄'!K""&amp;TO_TEXT(ROW()-$C$72))"),"")</f>
        <v/>
      </c>
      <c r="L216" s="61" t="str">
        <f>IFERROR(__xludf.DUMMYFUNCTION("INDIRECT(""'收支紀錄'!L""&amp;TO_TEXT(ROW()-$C$72))"),"")</f>
        <v/>
      </c>
      <c r="M216" s="61" t="str">
        <f>IFERROR(__xludf.DUMMYFUNCTION("INDIRECT(""'收支紀錄'!M""&amp;TO_TEXT(ROW()-$C$72))"),"")</f>
        <v/>
      </c>
      <c r="N216" s="61" t="str">
        <f>IFERROR(__xludf.DUMMYFUNCTION("INDIRECT(""'收支紀錄'!N""&amp;TO_TEXT(ROW()-$C$72))"),"")</f>
        <v/>
      </c>
      <c r="O216" s="61" t="str">
        <f>IFERROR(__xludf.DUMMYFUNCTION("INDIRECT(""'收支紀錄'!O""&amp;TO_TEXT(ROW()-$C$72))"),"")</f>
        <v/>
      </c>
      <c r="P216" s="61" t="str">
        <f>IFERROR(__xludf.DUMMYFUNCTION("INDIRECT(""'收支紀錄'!P""&amp;TO_TEXT(ROW()-$C$72))"),"")</f>
        <v/>
      </c>
      <c r="Q216" s="61" t="str">
        <f>IFERROR(__xludf.DUMMYFUNCTION("INDIRECT(""'收支紀錄'!Q""&amp;TO_TEXT(ROW()-$C$72))"),"")</f>
        <v/>
      </c>
      <c r="R216" s="61" t="str">
        <f>IFERROR(__xludf.DUMMYFUNCTION("INDIRECT(""'收支紀錄'!R""&amp;TO_TEXT(ROW()-$C$72))"),"")</f>
        <v/>
      </c>
      <c r="S216" s="61" t="str">
        <f>IFERROR(__xludf.DUMMYFUNCTION("INDIRECT(""'收支紀錄'!S""&amp;TO_TEXT(ROW()-$C$72))"),"山隆")</f>
        <v>山隆</v>
      </c>
      <c r="T216" s="61" t="str">
        <f>IFERROR(__xludf.DUMMYFUNCTION("INDIRECT(""'收支紀錄'!T""&amp;TO_TEXT(ROW()-$C$72))"),"是")</f>
        <v>是</v>
      </c>
      <c r="U216" s="62" t="str">
        <f>IFERROR(__xludf.DUMMYFUNCTION("IF(T216=""是"",TEXTJOIN("""", TRUE, ""$"", TO_TEXT(C216), S216),"""")"),"$850山隆")</f>
        <v>$850山隆</v>
      </c>
    </row>
    <row r="217">
      <c r="A217" s="58">
        <f>IFERROR(__xludf.DUMMYFUNCTION("INDIRECT(""'收支紀錄'!A""&amp;TO_TEXT(ROW()-$C$72))"),45540.98936383102)</f>
        <v>45540.98936</v>
      </c>
      <c r="B217" s="59">
        <f>IFERROR(__xludf.DUMMYFUNCTION("IF(ISBLANK(D217), """", IF(ISDATE(D217), D217, IF(D217=""今天"", A217, IF(D217=""昨天 (-1 day)"", A217-1, IF(D217=""前天 (-2 days)"", A217-2, IF(D217=""明天 (+1 day)"", A217+1, DATE(LEFT(D217,4), MID(D217,5,2), RIGHT(D217,2))))))))"),45520.0)</f>
        <v>45520</v>
      </c>
      <c r="C217" s="60">
        <f>IFERROR(__xludf.DUMMYFUNCTION("INDIRECT(""'收支紀錄'!C""&amp;TO_TEXT(ROW()-$C$72))"),2090.0)</f>
        <v>2090</v>
      </c>
      <c r="D217" s="59">
        <f>IFERROR(__xludf.DUMMYFUNCTION("INDIRECT(""'收支紀錄'!D""&amp;TO_TEXT(ROW()-$C$72))"),45520.0)</f>
        <v>45520</v>
      </c>
      <c r="E217" s="61" t="str">
        <f>IFERROR(__xludf.DUMMYFUNCTION("INDIRECT(""'收支紀錄'!E""&amp;TO_TEXT(ROW()-$C$72))"),"其他業外")</f>
        <v>其他業外</v>
      </c>
      <c r="F217" s="61" t="str">
        <f>IFERROR(__xludf.DUMMYFUNCTION("INDIRECT(""'收支紀錄'!F""&amp;TO_TEXT(ROW()-$C$72))"),"")</f>
        <v/>
      </c>
      <c r="G217" s="61" t="str">
        <f>IFERROR(__xludf.DUMMYFUNCTION("INDIRECT(""'收支紀錄'!G""&amp;TO_TEXT(ROW()-$C$72))"),"股票配息")</f>
        <v>股票配息</v>
      </c>
      <c r="H217" s="61" t="str">
        <f>IFERROR(__xludf.DUMMYFUNCTION("INDIRECT(""'收支紀錄'!H""&amp;TO_TEXT(ROW()-$C$72))"),"")</f>
        <v/>
      </c>
      <c r="I217" s="61" t="str">
        <f>IFERROR(__xludf.DUMMYFUNCTION("INDIRECT(""'收支紀錄'!I""&amp;TO_TEXT(ROW()-$C$72))"),"")</f>
        <v/>
      </c>
      <c r="J217" s="61" t="str">
        <f>IFERROR(__xludf.DUMMYFUNCTION("INDIRECT(""'收支紀錄'!J""&amp;TO_TEXT(ROW()-$C$72))"),"")</f>
        <v/>
      </c>
      <c r="K217" s="61" t="str">
        <f>IFERROR(__xludf.DUMMYFUNCTION("INDIRECT(""'收支紀錄'!K""&amp;TO_TEXT(ROW()-$C$72))"),"")</f>
        <v/>
      </c>
      <c r="L217" s="61" t="str">
        <f>IFERROR(__xludf.DUMMYFUNCTION("INDIRECT(""'收支紀錄'!L""&amp;TO_TEXT(ROW()-$C$72))"),"")</f>
        <v/>
      </c>
      <c r="M217" s="61" t="str">
        <f>IFERROR(__xludf.DUMMYFUNCTION("INDIRECT(""'收支紀錄'!M""&amp;TO_TEXT(ROW()-$C$72))"),"")</f>
        <v/>
      </c>
      <c r="N217" s="61" t="str">
        <f>IFERROR(__xludf.DUMMYFUNCTION("INDIRECT(""'收支紀錄'!N""&amp;TO_TEXT(ROW()-$C$72))"),"")</f>
        <v/>
      </c>
      <c r="O217" s="61" t="str">
        <f>IFERROR(__xludf.DUMMYFUNCTION("INDIRECT(""'收支紀錄'!O""&amp;TO_TEXT(ROW()-$C$72))"),"")</f>
        <v/>
      </c>
      <c r="P217" s="61" t="str">
        <f>IFERROR(__xludf.DUMMYFUNCTION("INDIRECT(""'收支紀錄'!P""&amp;TO_TEXT(ROW()-$C$72))"),"")</f>
        <v/>
      </c>
      <c r="Q217" s="61" t="str">
        <f>IFERROR(__xludf.DUMMYFUNCTION("INDIRECT(""'收支紀錄'!Q""&amp;TO_TEXT(ROW()-$C$72))"),"")</f>
        <v/>
      </c>
      <c r="R217" s="61" t="str">
        <f>IFERROR(__xludf.DUMMYFUNCTION("INDIRECT(""'收支紀錄'!R""&amp;TO_TEXT(ROW()-$C$72))"),"")</f>
        <v/>
      </c>
      <c r="S217" s="61" t="str">
        <f>IFERROR(__xludf.DUMMYFUNCTION("INDIRECT(""'收支紀錄'!S""&amp;TO_TEXT(ROW()-$C$72))"),"亞泥")</f>
        <v>亞泥</v>
      </c>
      <c r="T217" s="61" t="str">
        <f>IFERROR(__xludf.DUMMYFUNCTION("INDIRECT(""'收支紀錄'!T""&amp;TO_TEXT(ROW()-$C$72))"),"是")</f>
        <v>是</v>
      </c>
      <c r="U217" s="62" t="str">
        <f>IFERROR(__xludf.DUMMYFUNCTION("IF(T217=""是"",TEXTJOIN("""", TRUE, ""$"", TO_TEXT(C217), S217),"""")"),"$2090亞泥")</f>
        <v>$2090亞泥</v>
      </c>
    </row>
    <row r="218">
      <c r="A218" s="58">
        <f>IFERROR(__xludf.DUMMYFUNCTION("INDIRECT(""'收支紀錄'!A""&amp;TO_TEXT(ROW()-$C$72))"),45540.99040674769)</f>
        <v>45540.99041</v>
      </c>
      <c r="B218" s="59">
        <f>IFERROR(__xludf.DUMMYFUNCTION("IF(ISBLANK(D218), """", IF(ISDATE(D218), D218, IF(D218=""今天"", A218, IF(D218=""昨天 (-1 day)"", A218-1, IF(D218=""前天 (-2 days)"", A218-2, IF(D218=""明天 (+1 day)"", A218+1, DATE(LEFT(D218,4), MID(D218,5,2), RIGHT(D218,2))))))))"),45531.0)</f>
        <v>45531</v>
      </c>
      <c r="C218" s="60">
        <f>IFERROR(__xludf.DUMMYFUNCTION("INDIRECT(""'收支紀錄'!C""&amp;TO_TEXT(ROW()-$C$72))"),390.0)</f>
        <v>390</v>
      </c>
      <c r="D218" s="59">
        <f>IFERROR(__xludf.DUMMYFUNCTION("INDIRECT(""'收支紀錄'!D""&amp;TO_TEXT(ROW()-$C$72))"),45531.0)</f>
        <v>45531</v>
      </c>
      <c r="E218" s="61" t="str">
        <f>IFERROR(__xludf.DUMMYFUNCTION("INDIRECT(""'收支紀錄'!E""&amp;TO_TEXT(ROW()-$C$72))"),"其他業外")</f>
        <v>其他業外</v>
      </c>
      <c r="F218" s="61" t="str">
        <f>IFERROR(__xludf.DUMMYFUNCTION("INDIRECT(""'收支紀錄'!F""&amp;TO_TEXT(ROW()-$C$72))"),"")</f>
        <v/>
      </c>
      <c r="G218" s="61" t="str">
        <f>IFERROR(__xludf.DUMMYFUNCTION("INDIRECT(""'收支紀錄'!G""&amp;TO_TEXT(ROW()-$C$72))"),"股票配息")</f>
        <v>股票配息</v>
      </c>
      <c r="H218" s="61" t="str">
        <f>IFERROR(__xludf.DUMMYFUNCTION("INDIRECT(""'收支紀錄'!H""&amp;TO_TEXT(ROW()-$C$72))"),"")</f>
        <v/>
      </c>
      <c r="I218" s="61" t="str">
        <f>IFERROR(__xludf.DUMMYFUNCTION("INDIRECT(""'收支紀錄'!I""&amp;TO_TEXT(ROW()-$C$72))"),"")</f>
        <v/>
      </c>
      <c r="J218" s="61" t="str">
        <f>IFERROR(__xludf.DUMMYFUNCTION("INDIRECT(""'收支紀錄'!J""&amp;TO_TEXT(ROW()-$C$72))"),"")</f>
        <v/>
      </c>
      <c r="K218" s="61" t="str">
        <f>IFERROR(__xludf.DUMMYFUNCTION("INDIRECT(""'收支紀錄'!K""&amp;TO_TEXT(ROW()-$C$72))"),"")</f>
        <v/>
      </c>
      <c r="L218" s="61" t="str">
        <f>IFERROR(__xludf.DUMMYFUNCTION("INDIRECT(""'收支紀錄'!L""&amp;TO_TEXT(ROW()-$C$72))"),"")</f>
        <v/>
      </c>
      <c r="M218" s="61" t="str">
        <f>IFERROR(__xludf.DUMMYFUNCTION("INDIRECT(""'收支紀錄'!M""&amp;TO_TEXT(ROW()-$C$72))"),"")</f>
        <v/>
      </c>
      <c r="N218" s="61" t="str">
        <f>IFERROR(__xludf.DUMMYFUNCTION("INDIRECT(""'收支紀錄'!N""&amp;TO_TEXT(ROW()-$C$72))"),"")</f>
        <v/>
      </c>
      <c r="O218" s="61" t="str">
        <f>IFERROR(__xludf.DUMMYFUNCTION("INDIRECT(""'收支紀錄'!O""&amp;TO_TEXT(ROW()-$C$72))"),"")</f>
        <v/>
      </c>
      <c r="P218" s="61" t="str">
        <f>IFERROR(__xludf.DUMMYFUNCTION("INDIRECT(""'收支紀錄'!P""&amp;TO_TEXT(ROW()-$C$72))"),"")</f>
        <v/>
      </c>
      <c r="Q218" s="61" t="str">
        <f>IFERROR(__xludf.DUMMYFUNCTION("INDIRECT(""'收支紀錄'!Q""&amp;TO_TEXT(ROW()-$C$72))"),"")</f>
        <v/>
      </c>
      <c r="R218" s="61" t="str">
        <f>IFERROR(__xludf.DUMMYFUNCTION("INDIRECT(""'收支紀錄'!R""&amp;TO_TEXT(ROW()-$C$72))"),"")</f>
        <v/>
      </c>
      <c r="S218" s="61" t="str">
        <f>IFERROR(__xludf.DUMMYFUNCTION("INDIRECT(""'收支紀錄'!S""&amp;TO_TEXT(ROW()-$C$72))"),"聯邦銀")</f>
        <v>聯邦銀</v>
      </c>
      <c r="T218" s="61" t="str">
        <f>IFERROR(__xludf.DUMMYFUNCTION("INDIRECT(""'收支紀錄'!T""&amp;TO_TEXT(ROW()-$C$72))"),"是")</f>
        <v>是</v>
      </c>
      <c r="U218" s="62" t="str">
        <f>IFERROR(__xludf.DUMMYFUNCTION("IF(T218=""是"",TEXTJOIN("""", TRUE, ""$"", TO_TEXT(C218), S218),"""")"),"$390聯邦銀")</f>
        <v>$390聯邦銀</v>
      </c>
    </row>
    <row r="219">
      <c r="A219" s="58">
        <f>IFERROR(__xludf.DUMMYFUNCTION("INDIRECT(""'收支紀錄'!A""&amp;TO_TEXT(ROW()-$C$72))"),45540.99072771991)</f>
        <v>45540.99073</v>
      </c>
      <c r="B219" s="59">
        <f>IFERROR(__xludf.DUMMYFUNCTION("IF(ISBLANK(D219), """", IF(ISDATE(D219), D219, IF(D219=""今天"", A219, IF(D219=""昨天 (-1 day)"", A219-1, IF(D219=""前天 (-2 days)"", A219-2, IF(D219=""明天 (+1 day)"", A219+1, DATE(LEFT(D219,4), MID(D219,5,2), RIGHT(D219,2))))))))"),45532.0)</f>
        <v>45532</v>
      </c>
      <c r="C219" s="60">
        <f>IFERROR(__xludf.DUMMYFUNCTION("INDIRECT(""'收支紀錄'!C""&amp;TO_TEXT(ROW()-$C$72))"),693.0)</f>
        <v>693</v>
      </c>
      <c r="D219" s="59">
        <f>IFERROR(__xludf.DUMMYFUNCTION("INDIRECT(""'收支紀錄'!D""&amp;TO_TEXT(ROW()-$C$72))"),45532.0)</f>
        <v>45532</v>
      </c>
      <c r="E219" s="61" t="str">
        <f>IFERROR(__xludf.DUMMYFUNCTION("INDIRECT(""'收支紀錄'!E""&amp;TO_TEXT(ROW()-$C$72))"),"其他業外")</f>
        <v>其他業外</v>
      </c>
      <c r="F219" s="61" t="str">
        <f>IFERROR(__xludf.DUMMYFUNCTION("INDIRECT(""'收支紀錄'!F""&amp;TO_TEXT(ROW()-$C$72))"),"")</f>
        <v/>
      </c>
      <c r="G219" s="61" t="str">
        <f>IFERROR(__xludf.DUMMYFUNCTION("INDIRECT(""'收支紀錄'!G""&amp;TO_TEXT(ROW()-$C$72))"),"股票配息")</f>
        <v>股票配息</v>
      </c>
      <c r="H219" s="61" t="str">
        <f>IFERROR(__xludf.DUMMYFUNCTION("INDIRECT(""'收支紀錄'!H""&amp;TO_TEXT(ROW()-$C$72))"),"")</f>
        <v/>
      </c>
      <c r="I219" s="61" t="str">
        <f>IFERROR(__xludf.DUMMYFUNCTION("INDIRECT(""'收支紀錄'!I""&amp;TO_TEXT(ROW()-$C$72))"),"")</f>
        <v/>
      </c>
      <c r="J219" s="61" t="str">
        <f>IFERROR(__xludf.DUMMYFUNCTION("INDIRECT(""'收支紀錄'!J""&amp;TO_TEXT(ROW()-$C$72))"),"")</f>
        <v/>
      </c>
      <c r="K219" s="61" t="str">
        <f>IFERROR(__xludf.DUMMYFUNCTION("INDIRECT(""'收支紀錄'!K""&amp;TO_TEXT(ROW()-$C$72))"),"")</f>
        <v/>
      </c>
      <c r="L219" s="61" t="str">
        <f>IFERROR(__xludf.DUMMYFUNCTION("INDIRECT(""'收支紀錄'!L""&amp;TO_TEXT(ROW()-$C$72))"),"")</f>
        <v/>
      </c>
      <c r="M219" s="61" t="str">
        <f>IFERROR(__xludf.DUMMYFUNCTION("INDIRECT(""'收支紀錄'!M""&amp;TO_TEXT(ROW()-$C$72))"),"")</f>
        <v/>
      </c>
      <c r="N219" s="61" t="str">
        <f>IFERROR(__xludf.DUMMYFUNCTION("INDIRECT(""'收支紀錄'!N""&amp;TO_TEXT(ROW()-$C$72))"),"")</f>
        <v/>
      </c>
      <c r="O219" s="61" t="str">
        <f>IFERROR(__xludf.DUMMYFUNCTION("INDIRECT(""'收支紀錄'!O""&amp;TO_TEXT(ROW()-$C$72))"),"")</f>
        <v/>
      </c>
      <c r="P219" s="61" t="str">
        <f>IFERROR(__xludf.DUMMYFUNCTION("INDIRECT(""'收支紀錄'!P""&amp;TO_TEXT(ROW()-$C$72))"),"")</f>
        <v/>
      </c>
      <c r="Q219" s="61" t="str">
        <f>IFERROR(__xludf.DUMMYFUNCTION("INDIRECT(""'收支紀錄'!Q""&amp;TO_TEXT(ROW()-$C$72))"),"")</f>
        <v/>
      </c>
      <c r="R219" s="61" t="str">
        <f>IFERROR(__xludf.DUMMYFUNCTION("INDIRECT(""'收支紀錄'!R""&amp;TO_TEXT(ROW()-$C$72))"),"")</f>
        <v/>
      </c>
      <c r="S219" s="61" t="str">
        <f>IFERROR(__xludf.DUMMYFUNCTION("INDIRECT(""'收支紀錄'!S""&amp;TO_TEXT(ROW()-$C$72))"),"中鋼")</f>
        <v>中鋼</v>
      </c>
      <c r="T219" s="61" t="str">
        <f>IFERROR(__xludf.DUMMYFUNCTION("INDIRECT(""'收支紀錄'!T""&amp;TO_TEXT(ROW()-$C$72))"),"是")</f>
        <v>是</v>
      </c>
      <c r="U219" s="62" t="str">
        <f>IFERROR(__xludf.DUMMYFUNCTION("IF(T219=""是"",TEXTJOIN("""", TRUE, ""$"", TO_TEXT(C219), S219),"""")"),"$693中鋼")</f>
        <v>$693中鋼</v>
      </c>
    </row>
    <row r="220">
      <c r="A220" s="58">
        <f>IFERROR(__xludf.DUMMYFUNCTION("INDIRECT(""'收支紀錄'!A""&amp;TO_TEXT(ROW()-$C$72))"),45540.992503692134)</f>
        <v>45540.9925</v>
      </c>
      <c r="B220" s="59">
        <f>IFERROR(__xludf.DUMMYFUNCTION("IF(ISBLANK(D220), """", IF(ISDATE(D220), D220, IF(D220=""今天"", A220, IF(D220=""昨天 (-1 day)"", A220-1, IF(D220=""前天 (-2 days)"", A220-2, IF(D220=""明天 (+1 day)"", A220+1, DATE(LEFT(D220,4), MID(D220,5,2), RIGHT(D220,2))))))))"),45525.0)</f>
        <v>45525</v>
      </c>
      <c r="C220" s="60">
        <f>IFERROR(__xludf.DUMMYFUNCTION("INDIRECT(""'收支紀錄'!C""&amp;TO_TEXT(ROW()-$C$72))"),973.0)</f>
        <v>973</v>
      </c>
      <c r="D220" s="59">
        <f>IFERROR(__xludf.DUMMYFUNCTION("INDIRECT(""'收支紀錄'!D""&amp;TO_TEXT(ROW()-$C$72))"),45525.0)</f>
        <v>45525</v>
      </c>
      <c r="E220" s="61" t="str">
        <f>IFERROR(__xludf.DUMMYFUNCTION("INDIRECT(""'收支紀錄'!E""&amp;TO_TEXT(ROW()-$C$72))"),"其他業外")</f>
        <v>其他業外</v>
      </c>
      <c r="F220" s="61" t="str">
        <f>IFERROR(__xludf.DUMMYFUNCTION("INDIRECT(""'收支紀錄'!F""&amp;TO_TEXT(ROW()-$C$72))"),"")</f>
        <v/>
      </c>
      <c r="G220" s="61" t="str">
        <f>IFERROR(__xludf.DUMMYFUNCTION("INDIRECT(""'收支紀錄'!G""&amp;TO_TEXT(ROW()-$C$72))"),"股票配息")</f>
        <v>股票配息</v>
      </c>
      <c r="H220" s="61" t="str">
        <f>IFERROR(__xludf.DUMMYFUNCTION("INDIRECT(""'收支紀錄'!H""&amp;TO_TEXT(ROW()-$C$72))"),"")</f>
        <v/>
      </c>
      <c r="I220" s="61" t="str">
        <f>IFERROR(__xludf.DUMMYFUNCTION("INDIRECT(""'收支紀錄'!I""&amp;TO_TEXT(ROW()-$C$72))"),"")</f>
        <v/>
      </c>
      <c r="J220" s="61" t="str">
        <f>IFERROR(__xludf.DUMMYFUNCTION("INDIRECT(""'收支紀錄'!J""&amp;TO_TEXT(ROW()-$C$72))"),"")</f>
        <v/>
      </c>
      <c r="K220" s="61" t="str">
        <f>IFERROR(__xludf.DUMMYFUNCTION("INDIRECT(""'收支紀錄'!K""&amp;TO_TEXT(ROW()-$C$72))"),"")</f>
        <v/>
      </c>
      <c r="L220" s="61" t="str">
        <f>IFERROR(__xludf.DUMMYFUNCTION("INDIRECT(""'收支紀錄'!L""&amp;TO_TEXT(ROW()-$C$72))"),"")</f>
        <v/>
      </c>
      <c r="M220" s="61" t="str">
        <f>IFERROR(__xludf.DUMMYFUNCTION("INDIRECT(""'收支紀錄'!M""&amp;TO_TEXT(ROW()-$C$72))"),"")</f>
        <v/>
      </c>
      <c r="N220" s="61" t="str">
        <f>IFERROR(__xludf.DUMMYFUNCTION("INDIRECT(""'收支紀錄'!N""&amp;TO_TEXT(ROW()-$C$72))"),"")</f>
        <v/>
      </c>
      <c r="O220" s="61" t="str">
        <f>IFERROR(__xludf.DUMMYFUNCTION("INDIRECT(""'收支紀錄'!O""&amp;TO_TEXT(ROW()-$C$72))"),"")</f>
        <v/>
      </c>
      <c r="P220" s="61" t="str">
        <f>IFERROR(__xludf.DUMMYFUNCTION("INDIRECT(""'收支紀錄'!P""&amp;TO_TEXT(ROW()-$C$72))"),"")</f>
        <v/>
      </c>
      <c r="Q220" s="61" t="str">
        <f>IFERROR(__xludf.DUMMYFUNCTION("INDIRECT(""'收支紀錄'!Q""&amp;TO_TEXT(ROW()-$C$72))"),"")</f>
        <v/>
      </c>
      <c r="R220" s="61" t="str">
        <f>IFERROR(__xludf.DUMMYFUNCTION("INDIRECT(""'收支紀錄'!R""&amp;TO_TEXT(ROW()-$C$72))"),"")</f>
        <v/>
      </c>
      <c r="S220" s="61" t="str">
        <f>IFERROR(__xludf.DUMMYFUNCTION("INDIRECT(""'收支紀錄'!S""&amp;TO_TEXT(ROW()-$C$72))"),"台中銀行")</f>
        <v>台中銀行</v>
      </c>
      <c r="T220" s="61" t="str">
        <f>IFERROR(__xludf.DUMMYFUNCTION("INDIRECT(""'收支紀錄'!T""&amp;TO_TEXT(ROW()-$C$72))"),"是")</f>
        <v>是</v>
      </c>
      <c r="U220" s="62" t="str">
        <f>IFERROR(__xludf.DUMMYFUNCTION("IF(T220=""是"",TEXTJOIN("""", TRUE, ""$"", TO_TEXT(C220), S220),"""")"),"$973台中銀行")</f>
        <v>$973台中銀行</v>
      </c>
    </row>
    <row r="221">
      <c r="A221" s="58">
        <f>IFERROR(__xludf.DUMMYFUNCTION("INDIRECT(""'收支紀錄'!A""&amp;TO_TEXT(ROW()-$C$72))"),45540.99286108796)</f>
        <v>45540.99286</v>
      </c>
      <c r="B221" s="59">
        <f>IFERROR(__xludf.DUMMYFUNCTION("IF(ISBLANK(D221), """", IF(ISDATE(D221), D221, IF(D221=""今天"", A221, IF(D221=""昨天 (-1 day)"", A221-1, IF(D221=""前天 (-2 days)"", A221-2, IF(D221=""明天 (+1 day)"", A221+1, DATE(LEFT(D221,4), MID(D221,5,2), RIGHT(D221,2))))))))"),45532.0)</f>
        <v>45532</v>
      </c>
      <c r="C221" s="60">
        <f>IFERROR(__xludf.DUMMYFUNCTION("INDIRECT(""'收支紀錄'!C""&amp;TO_TEXT(ROW()-$C$72))"),1846.0)</f>
        <v>1846</v>
      </c>
      <c r="D221" s="59">
        <f>IFERROR(__xludf.DUMMYFUNCTION("INDIRECT(""'收支紀錄'!D""&amp;TO_TEXT(ROW()-$C$72))"),45532.0)</f>
        <v>45532</v>
      </c>
      <c r="E221" s="61" t="str">
        <f>IFERROR(__xludf.DUMMYFUNCTION("INDIRECT(""'收支紀錄'!E""&amp;TO_TEXT(ROW()-$C$72))"),"其他業外")</f>
        <v>其他業外</v>
      </c>
      <c r="F221" s="61" t="str">
        <f>IFERROR(__xludf.DUMMYFUNCTION("INDIRECT(""'收支紀錄'!F""&amp;TO_TEXT(ROW()-$C$72))"),"")</f>
        <v/>
      </c>
      <c r="G221" s="61" t="str">
        <f>IFERROR(__xludf.DUMMYFUNCTION("INDIRECT(""'收支紀錄'!G""&amp;TO_TEXT(ROW()-$C$72))"),"股票配息")</f>
        <v>股票配息</v>
      </c>
      <c r="H221" s="61" t="str">
        <f>IFERROR(__xludf.DUMMYFUNCTION("INDIRECT(""'收支紀錄'!H""&amp;TO_TEXT(ROW()-$C$72))"),"")</f>
        <v/>
      </c>
      <c r="I221" s="61" t="str">
        <f>IFERROR(__xludf.DUMMYFUNCTION("INDIRECT(""'收支紀錄'!I""&amp;TO_TEXT(ROW()-$C$72))"),"")</f>
        <v/>
      </c>
      <c r="J221" s="61" t="str">
        <f>IFERROR(__xludf.DUMMYFUNCTION("INDIRECT(""'收支紀錄'!J""&amp;TO_TEXT(ROW()-$C$72))"),"")</f>
        <v/>
      </c>
      <c r="K221" s="61" t="str">
        <f>IFERROR(__xludf.DUMMYFUNCTION("INDIRECT(""'收支紀錄'!K""&amp;TO_TEXT(ROW()-$C$72))"),"")</f>
        <v/>
      </c>
      <c r="L221" s="61" t="str">
        <f>IFERROR(__xludf.DUMMYFUNCTION("INDIRECT(""'收支紀錄'!L""&amp;TO_TEXT(ROW()-$C$72))"),"")</f>
        <v/>
      </c>
      <c r="M221" s="61" t="str">
        <f>IFERROR(__xludf.DUMMYFUNCTION("INDIRECT(""'收支紀錄'!M""&amp;TO_TEXT(ROW()-$C$72))"),"")</f>
        <v/>
      </c>
      <c r="N221" s="61" t="str">
        <f>IFERROR(__xludf.DUMMYFUNCTION("INDIRECT(""'收支紀錄'!N""&amp;TO_TEXT(ROW()-$C$72))"),"")</f>
        <v/>
      </c>
      <c r="O221" s="61" t="str">
        <f>IFERROR(__xludf.DUMMYFUNCTION("INDIRECT(""'收支紀錄'!O""&amp;TO_TEXT(ROW()-$C$72))"),"")</f>
        <v/>
      </c>
      <c r="P221" s="61" t="str">
        <f>IFERROR(__xludf.DUMMYFUNCTION("INDIRECT(""'收支紀錄'!P""&amp;TO_TEXT(ROW()-$C$72))"),"")</f>
        <v/>
      </c>
      <c r="Q221" s="61" t="str">
        <f>IFERROR(__xludf.DUMMYFUNCTION("INDIRECT(""'收支紀錄'!Q""&amp;TO_TEXT(ROW()-$C$72))"),"")</f>
        <v/>
      </c>
      <c r="R221" s="61" t="str">
        <f>IFERROR(__xludf.DUMMYFUNCTION("INDIRECT(""'收支紀錄'!R""&amp;TO_TEXT(ROW()-$C$72))"),"")</f>
        <v/>
      </c>
      <c r="S221" s="61" t="str">
        <f>IFERROR(__xludf.DUMMYFUNCTION("INDIRECT(""'收支紀錄'!S""&amp;TO_TEXT(ROW()-$C$72))"),"第一金")</f>
        <v>第一金</v>
      </c>
      <c r="T221" s="61" t="str">
        <f>IFERROR(__xludf.DUMMYFUNCTION("INDIRECT(""'收支紀錄'!T""&amp;TO_TEXT(ROW()-$C$72))"),"是")</f>
        <v>是</v>
      </c>
      <c r="U221" s="62" t="str">
        <f>IFERROR(__xludf.DUMMYFUNCTION("IF(T221=""是"",TEXTJOIN("""", TRUE, ""$"", TO_TEXT(C221), S221),"""")"),"$1846第一金")</f>
        <v>$1846第一金</v>
      </c>
    </row>
    <row r="222">
      <c r="A222" s="58">
        <f>IFERROR(__xludf.DUMMYFUNCTION("INDIRECT(""'收支紀錄'!A""&amp;TO_TEXT(ROW()-$C$72))"),45540.9933028125)</f>
        <v>45540.9933</v>
      </c>
      <c r="B222" s="59">
        <f>IFERROR(__xludf.DUMMYFUNCTION("IF(ISBLANK(D222), """", IF(ISDATE(D222), D222, IF(D222=""今天"", A222, IF(D222=""昨天 (-1 day)"", A222-1, IF(D222=""前天 (-2 days)"", A222-2, IF(D222=""明天 (+1 day)"", A222+1, DATE(LEFT(D222,4), MID(D222,5,2), RIGHT(D222,2))))))))"),45533.0)</f>
        <v>45533</v>
      </c>
      <c r="C222" s="60">
        <f>IFERROR(__xludf.DUMMYFUNCTION("INDIRECT(""'收支紀錄'!C""&amp;TO_TEXT(ROW()-$C$72))"),1642.0)</f>
        <v>1642</v>
      </c>
      <c r="D222" s="59">
        <f>IFERROR(__xludf.DUMMYFUNCTION("INDIRECT(""'收支紀錄'!D""&amp;TO_TEXT(ROW()-$C$72))"),45533.0)</f>
        <v>45533</v>
      </c>
      <c r="E222" s="61" t="str">
        <f>IFERROR(__xludf.DUMMYFUNCTION("INDIRECT(""'收支紀錄'!E""&amp;TO_TEXT(ROW()-$C$72))"),"其他業外")</f>
        <v>其他業外</v>
      </c>
      <c r="F222" s="61" t="str">
        <f>IFERROR(__xludf.DUMMYFUNCTION("INDIRECT(""'收支紀錄'!F""&amp;TO_TEXT(ROW()-$C$72))"),"")</f>
        <v/>
      </c>
      <c r="G222" s="61" t="str">
        <f>IFERROR(__xludf.DUMMYFUNCTION("INDIRECT(""'收支紀錄'!G""&amp;TO_TEXT(ROW()-$C$72))"),"股票配息")</f>
        <v>股票配息</v>
      </c>
      <c r="H222" s="61" t="str">
        <f>IFERROR(__xludf.DUMMYFUNCTION("INDIRECT(""'收支紀錄'!H""&amp;TO_TEXT(ROW()-$C$72))"),"")</f>
        <v/>
      </c>
      <c r="I222" s="61" t="str">
        <f>IFERROR(__xludf.DUMMYFUNCTION("INDIRECT(""'收支紀錄'!I""&amp;TO_TEXT(ROW()-$C$72))"),"")</f>
        <v/>
      </c>
      <c r="J222" s="61" t="str">
        <f>IFERROR(__xludf.DUMMYFUNCTION("INDIRECT(""'收支紀錄'!J""&amp;TO_TEXT(ROW()-$C$72))"),"")</f>
        <v/>
      </c>
      <c r="K222" s="61" t="str">
        <f>IFERROR(__xludf.DUMMYFUNCTION("INDIRECT(""'收支紀錄'!K""&amp;TO_TEXT(ROW()-$C$72))"),"")</f>
        <v/>
      </c>
      <c r="L222" s="61" t="str">
        <f>IFERROR(__xludf.DUMMYFUNCTION("INDIRECT(""'收支紀錄'!L""&amp;TO_TEXT(ROW()-$C$72))"),"")</f>
        <v/>
      </c>
      <c r="M222" s="61" t="str">
        <f>IFERROR(__xludf.DUMMYFUNCTION("INDIRECT(""'收支紀錄'!M""&amp;TO_TEXT(ROW()-$C$72))"),"")</f>
        <v/>
      </c>
      <c r="N222" s="61" t="str">
        <f>IFERROR(__xludf.DUMMYFUNCTION("INDIRECT(""'收支紀錄'!N""&amp;TO_TEXT(ROW()-$C$72))"),"")</f>
        <v/>
      </c>
      <c r="O222" s="61" t="str">
        <f>IFERROR(__xludf.DUMMYFUNCTION("INDIRECT(""'收支紀錄'!O""&amp;TO_TEXT(ROW()-$C$72))"),"")</f>
        <v/>
      </c>
      <c r="P222" s="61" t="str">
        <f>IFERROR(__xludf.DUMMYFUNCTION("INDIRECT(""'收支紀錄'!P""&amp;TO_TEXT(ROW()-$C$72))"),"")</f>
        <v/>
      </c>
      <c r="Q222" s="61" t="str">
        <f>IFERROR(__xludf.DUMMYFUNCTION("INDIRECT(""'收支紀錄'!Q""&amp;TO_TEXT(ROW()-$C$72))"),"")</f>
        <v/>
      </c>
      <c r="R222" s="61" t="str">
        <f>IFERROR(__xludf.DUMMYFUNCTION("INDIRECT(""'收支紀錄'!R""&amp;TO_TEXT(ROW()-$C$72))"),"")</f>
        <v/>
      </c>
      <c r="S222" s="61" t="str">
        <f>IFERROR(__xludf.DUMMYFUNCTION("INDIRECT(""'收支紀錄'!S""&amp;TO_TEXT(ROW()-$C$72))"),"玉山金")</f>
        <v>玉山金</v>
      </c>
      <c r="T222" s="61" t="str">
        <f>IFERROR(__xludf.DUMMYFUNCTION("INDIRECT(""'收支紀錄'!T""&amp;TO_TEXT(ROW()-$C$72))"),"是")</f>
        <v>是</v>
      </c>
      <c r="U222" s="62" t="str">
        <f>IFERROR(__xludf.DUMMYFUNCTION("IF(T222=""是"",TEXTJOIN("""", TRUE, ""$"", TO_TEXT(C222), S222),"""")"),"$1642玉山金")</f>
        <v>$1642玉山金</v>
      </c>
    </row>
    <row r="223">
      <c r="A223" s="58">
        <f>IFERROR(__xludf.DUMMYFUNCTION("INDIRECT(""'收支紀錄'!A""&amp;TO_TEXT(ROW()-$C$72))"),45540.99361128472)</f>
        <v>45540.99361</v>
      </c>
      <c r="B223" s="59">
        <f>IFERROR(__xludf.DUMMYFUNCTION("IF(ISBLANK(D223), """", IF(ISDATE(D223), D223, IF(D223=""今天"", A223, IF(D223=""昨天 (-1 day)"", A223-1, IF(D223=""前天 (-2 days)"", A223-2, IF(D223=""明天 (+1 day)"", A223+1, DATE(LEFT(D223,4), MID(D223,5,2), RIGHT(D223,2))))))))"),45533.0)</f>
        <v>45533</v>
      </c>
      <c r="C223" s="60">
        <f>IFERROR(__xludf.DUMMYFUNCTION("INDIRECT(""'收支紀錄'!C""&amp;TO_TEXT(ROW()-$C$72))"),1845.0)</f>
        <v>1845</v>
      </c>
      <c r="D223" s="59">
        <f>IFERROR(__xludf.DUMMYFUNCTION("INDIRECT(""'收支紀錄'!D""&amp;TO_TEXT(ROW()-$C$72))"),45533.0)</f>
        <v>45533</v>
      </c>
      <c r="E223" s="61" t="str">
        <f>IFERROR(__xludf.DUMMYFUNCTION("INDIRECT(""'收支紀錄'!E""&amp;TO_TEXT(ROW()-$C$72))"),"其他業外")</f>
        <v>其他業外</v>
      </c>
      <c r="F223" s="61" t="str">
        <f>IFERROR(__xludf.DUMMYFUNCTION("INDIRECT(""'收支紀錄'!F""&amp;TO_TEXT(ROW()-$C$72))"),"")</f>
        <v/>
      </c>
      <c r="G223" s="61" t="str">
        <f>IFERROR(__xludf.DUMMYFUNCTION("INDIRECT(""'收支紀錄'!G""&amp;TO_TEXT(ROW()-$C$72))"),"股票配息")</f>
        <v>股票配息</v>
      </c>
      <c r="H223" s="61" t="str">
        <f>IFERROR(__xludf.DUMMYFUNCTION("INDIRECT(""'收支紀錄'!H""&amp;TO_TEXT(ROW()-$C$72))"),"")</f>
        <v/>
      </c>
      <c r="I223" s="61" t="str">
        <f>IFERROR(__xludf.DUMMYFUNCTION("INDIRECT(""'收支紀錄'!I""&amp;TO_TEXT(ROW()-$C$72))"),"")</f>
        <v/>
      </c>
      <c r="J223" s="61" t="str">
        <f>IFERROR(__xludf.DUMMYFUNCTION("INDIRECT(""'收支紀錄'!J""&amp;TO_TEXT(ROW()-$C$72))"),"")</f>
        <v/>
      </c>
      <c r="K223" s="61" t="str">
        <f>IFERROR(__xludf.DUMMYFUNCTION("INDIRECT(""'收支紀錄'!K""&amp;TO_TEXT(ROW()-$C$72))"),"")</f>
        <v/>
      </c>
      <c r="L223" s="61" t="str">
        <f>IFERROR(__xludf.DUMMYFUNCTION("INDIRECT(""'收支紀錄'!L""&amp;TO_TEXT(ROW()-$C$72))"),"")</f>
        <v/>
      </c>
      <c r="M223" s="61" t="str">
        <f>IFERROR(__xludf.DUMMYFUNCTION("INDIRECT(""'收支紀錄'!M""&amp;TO_TEXT(ROW()-$C$72))"),"")</f>
        <v/>
      </c>
      <c r="N223" s="61" t="str">
        <f>IFERROR(__xludf.DUMMYFUNCTION("INDIRECT(""'收支紀錄'!N""&amp;TO_TEXT(ROW()-$C$72))"),"")</f>
        <v/>
      </c>
      <c r="O223" s="61" t="str">
        <f>IFERROR(__xludf.DUMMYFUNCTION("INDIRECT(""'收支紀錄'!O""&amp;TO_TEXT(ROW()-$C$72))"),"")</f>
        <v/>
      </c>
      <c r="P223" s="61" t="str">
        <f>IFERROR(__xludf.DUMMYFUNCTION("INDIRECT(""'收支紀錄'!P""&amp;TO_TEXT(ROW()-$C$72))"),"")</f>
        <v/>
      </c>
      <c r="Q223" s="61" t="str">
        <f>IFERROR(__xludf.DUMMYFUNCTION("INDIRECT(""'收支紀錄'!Q""&amp;TO_TEXT(ROW()-$C$72))"),"")</f>
        <v/>
      </c>
      <c r="R223" s="61" t="str">
        <f>IFERROR(__xludf.DUMMYFUNCTION("INDIRECT(""'收支紀錄'!R""&amp;TO_TEXT(ROW()-$C$72))"),"")</f>
        <v/>
      </c>
      <c r="S223" s="61" t="str">
        <f>IFERROR(__xludf.DUMMYFUNCTION("INDIRECT(""'收支紀錄'!S""&amp;TO_TEXT(ROW()-$C$72))"),"台新金")</f>
        <v>台新金</v>
      </c>
      <c r="T223" s="61" t="str">
        <f>IFERROR(__xludf.DUMMYFUNCTION("INDIRECT(""'收支紀錄'!T""&amp;TO_TEXT(ROW()-$C$72))"),"是")</f>
        <v>是</v>
      </c>
      <c r="U223" s="62" t="str">
        <f>IFERROR(__xludf.DUMMYFUNCTION("IF(T223=""是"",TEXTJOIN("""", TRUE, ""$"", TO_TEXT(C223), S223),"""")"),"$1845台新金")</f>
        <v>$1845台新金</v>
      </c>
    </row>
    <row r="224">
      <c r="A224" s="58">
        <f>IFERROR(__xludf.DUMMYFUNCTION("INDIRECT(""'收支紀錄'!A""&amp;TO_TEXT(ROW()-$C$72))"),45540.99397917824)</f>
        <v>45540.99398</v>
      </c>
      <c r="B224" s="59">
        <f>IFERROR(__xludf.DUMMYFUNCTION("IF(ISBLANK(D224), """", IF(ISDATE(D224), D224, IF(D224=""今天"", A224, IF(D224=""昨天 (-1 day)"", A224-1, IF(D224=""前天 (-2 days)"", A224-2, IF(D224=""明天 (+1 day)"", A224+1, DATE(LEFT(D224,4), MID(D224,5,2), RIGHT(D224,2))))))))"),45534.0)</f>
        <v>45534</v>
      </c>
      <c r="C224" s="60">
        <f>IFERROR(__xludf.DUMMYFUNCTION("INDIRECT(""'收支紀錄'!C""&amp;TO_TEXT(ROW()-$C$72))"),2462.0)</f>
        <v>2462</v>
      </c>
      <c r="D224" s="59">
        <f>IFERROR(__xludf.DUMMYFUNCTION("INDIRECT(""'收支紀錄'!D""&amp;TO_TEXT(ROW()-$C$72))"),45534.0)</f>
        <v>45534</v>
      </c>
      <c r="E224" s="61" t="str">
        <f>IFERROR(__xludf.DUMMYFUNCTION("INDIRECT(""'收支紀錄'!E""&amp;TO_TEXT(ROW()-$C$72))"),"其他業外")</f>
        <v>其他業外</v>
      </c>
      <c r="F224" s="61" t="str">
        <f>IFERROR(__xludf.DUMMYFUNCTION("INDIRECT(""'收支紀錄'!F""&amp;TO_TEXT(ROW()-$C$72))"),"")</f>
        <v/>
      </c>
      <c r="G224" s="61" t="str">
        <f>IFERROR(__xludf.DUMMYFUNCTION("INDIRECT(""'收支紀錄'!G""&amp;TO_TEXT(ROW()-$C$72))"),"股票配息")</f>
        <v>股票配息</v>
      </c>
      <c r="H224" s="61" t="str">
        <f>IFERROR(__xludf.DUMMYFUNCTION("INDIRECT(""'收支紀錄'!H""&amp;TO_TEXT(ROW()-$C$72))"),"")</f>
        <v/>
      </c>
      <c r="I224" s="61" t="str">
        <f>IFERROR(__xludf.DUMMYFUNCTION("INDIRECT(""'收支紀錄'!I""&amp;TO_TEXT(ROW()-$C$72))"),"")</f>
        <v/>
      </c>
      <c r="J224" s="61" t="str">
        <f>IFERROR(__xludf.DUMMYFUNCTION("INDIRECT(""'收支紀錄'!J""&amp;TO_TEXT(ROW()-$C$72))"),"")</f>
        <v/>
      </c>
      <c r="K224" s="61" t="str">
        <f>IFERROR(__xludf.DUMMYFUNCTION("INDIRECT(""'收支紀錄'!K""&amp;TO_TEXT(ROW()-$C$72))"),"")</f>
        <v/>
      </c>
      <c r="L224" s="61" t="str">
        <f>IFERROR(__xludf.DUMMYFUNCTION("INDIRECT(""'收支紀錄'!L""&amp;TO_TEXT(ROW()-$C$72))"),"")</f>
        <v/>
      </c>
      <c r="M224" s="61" t="str">
        <f>IFERROR(__xludf.DUMMYFUNCTION("INDIRECT(""'收支紀錄'!M""&amp;TO_TEXT(ROW()-$C$72))"),"")</f>
        <v/>
      </c>
      <c r="N224" s="61" t="str">
        <f>IFERROR(__xludf.DUMMYFUNCTION("INDIRECT(""'收支紀錄'!N""&amp;TO_TEXT(ROW()-$C$72))"),"")</f>
        <v/>
      </c>
      <c r="O224" s="61" t="str">
        <f>IFERROR(__xludf.DUMMYFUNCTION("INDIRECT(""'收支紀錄'!O""&amp;TO_TEXT(ROW()-$C$72))"),"")</f>
        <v/>
      </c>
      <c r="P224" s="61" t="str">
        <f>IFERROR(__xludf.DUMMYFUNCTION("INDIRECT(""'收支紀錄'!P""&amp;TO_TEXT(ROW()-$C$72))"),"")</f>
        <v/>
      </c>
      <c r="Q224" s="61" t="str">
        <f>IFERROR(__xludf.DUMMYFUNCTION("INDIRECT(""'收支紀錄'!Q""&amp;TO_TEXT(ROW()-$C$72))"),"")</f>
        <v/>
      </c>
      <c r="R224" s="61" t="str">
        <f>IFERROR(__xludf.DUMMYFUNCTION("INDIRECT(""'收支紀錄'!R""&amp;TO_TEXT(ROW()-$C$72))"),"")</f>
        <v/>
      </c>
      <c r="S224" s="61" t="str">
        <f>IFERROR(__xludf.DUMMYFUNCTION("INDIRECT(""'收支紀錄'!S""&amp;TO_TEXT(ROW()-$C$72))"),"華南金")</f>
        <v>華南金</v>
      </c>
      <c r="T224" s="61" t="str">
        <f>IFERROR(__xludf.DUMMYFUNCTION("INDIRECT(""'收支紀錄'!T""&amp;TO_TEXT(ROW()-$C$72))"),"是")</f>
        <v>是</v>
      </c>
      <c r="U224" s="62" t="str">
        <f>IFERROR(__xludf.DUMMYFUNCTION("IF(T224=""是"",TEXTJOIN("""", TRUE, ""$"", TO_TEXT(C224), S224),"""")"),"$2462華南金")</f>
        <v>$2462華南金</v>
      </c>
    </row>
    <row r="225">
      <c r="A225" s="58">
        <f>IFERROR(__xludf.DUMMYFUNCTION("INDIRECT(""'收支紀錄'!A""&amp;TO_TEXT(ROW()-$C$72))"),45541.8391565625)</f>
        <v>45541.83916</v>
      </c>
      <c r="B225" s="59">
        <f>IFERROR(__xludf.DUMMYFUNCTION("IF(ISBLANK(D225), """", IF(ISDATE(D225), D225, IF(D225=""今天"", A225, IF(D225=""昨天 (-1 day)"", A225-1, IF(D225=""前天 (-2 days)"", A225-2, IF(D225=""明天 (+1 day)"", A225+1, DATE(LEFT(D225,4), MID(D225,5,2), RIGHT(D225,2))))))))"),45541.0)</f>
        <v>45541</v>
      </c>
      <c r="C225" s="60">
        <f>IFERROR(__xludf.DUMMYFUNCTION("INDIRECT(""'收支紀錄'!C""&amp;TO_TEXT(ROW()-$C$72))"),253.0)</f>
        <v>253</v>
      </c>
      <c r="D225" s="59">
        <f>IFERROR(__xludf.DUMMYFUNCTION("INDIRECT(""'收支紀錄'!D""&amp;TO_TEXT(ROW()-$C$72))"),45541.0)</f>
        <v>45541</v>
      </c>
      <c r="E225" s="61" t="str">
        <f>IFERROR(__xludf.DUMMYFUNCTION("INDIRECT(""'收支紀錄'!E""&amp;TO_TEXT(ROW()-$C$72))"),"")</f>
        <v/>
      </c>
      <c r="F225" s="61" t="str">
        <f>IFERROR(__xludf.DUMMYFUNCTION("INDIRECT(""'收支紀錄'!F""&amp;TO_TEXT(ROW()-$C$72))"),"")</f>
        <v/>
      </c>
      <c r="G225" s="61" t="str">
        <f>IFERROR(__xludf.DUMMYFUNCTION("INDIRECT(""'收支紀錄'!G""&amp;TO_TEXT(ROW()-$C$72))"),"")</f>
        <v/>
      </c>
      <c r="H225" s="61" t="str">
        <f>IFERROR(__xludf.DUMMYFUNCTION("INDIRECT(""'收支紀錄'!H""&amp;TO_TEXT(ROW()-$C$72))"),"食品酒水")</f>
        <v>食品酒水</v>
      </c>
      <c r="I225" s="61" t="str">
        <f>IFERROR(__xludf.DUMMYFUNCTION("INDIRECT(""'收支紀錄'!I""&amp;TO_TEXT(ROW()-$C$72))"),"晚餐")</f>
        <v>晚餐</v>
      </c>
      <c r="J225" s="61" t="str">
        <f>IFERROR(__xludf.DUMMYFUNCTION("INDIRECT(""'收支紀錄'!J""&amp;TO_TEXT(ROW()-$C$72))"),"")</f>
        <v/>
      </c>
      <c r="K225" s="61" t="str">
        <f>IFERROR(__xludf.DUMMYFUNCTION("INDIRECT(""'收支紀錄'!K""&amp;TO_TEXT(ROW()-$C$72))"),"")</f>
        <v/>
      </c>
      <c r="L225" s="61" t="str">
        <f>IFERROR(__xludf.DUMMYFUNCTION("INDIRECT(""'收支紀錄'!L""&amp;TO_TEXT(ROW()-$C$72))"),"")</f>
        <v/>
      </c>
      <c r="M225" s="61" t="str">
        <f>IFERROR(__xludf.DUMMYFUNCTION("INDIRECT(""'收支紀錄'!M""&amp;TO_TEXT(ROW()-$C$72))"),"")</f>
        <v/>
      </c>
      <c r="N225" s="61" t="str">
        <f>IFERROR(__xludf.DUMMYFUNCTION("INDIRECT(""'收支紀錄'!N""&amp;TO_TEXT(ROW()-$C$72))"),"")</f>
        <v/>
      </c>
      <c r="O225" s="61" t="str">
        <f>IFERROR(__xludf.DUMMYFUNCTION("INDIRECT(""'收支紀錄'!O""&amp;TO_TEXT(ROW()-$C$72))"),"")</f>
        <v/>
      </c>
      <c r="P225" s="61" t="str">
        <f>IFERROR(__xludf.DUMMYFUNCTION("INDIRECT(""'收支紀錄'!P""&amp;TO_TEXT(ROW()-$C$72))"),"")</f>
        <v/>
      </c>
      <c r="Q225" s="61" t="str">
        <f>IFERROR(__xludf.DUMMYFUNCTION("INDIRECT(""'收支紀錄'!Q""&amp;TO_TEXT(ROW()-$C$72))"),"")</f>
        <v/>
      </c>
      <c r="R225" s="61" t="str">
        <f>IFERROR(__xludf.DUMMYFUNCTION("INDIRECT(""'收支紀錄'!R""&amp;TO_TEXT(ROW()-$C$72))"),"")</f>
        <v/>
      </c>
      <c r="S225" s="61" t="str">
        <f>IFERROR(__xludf.DUMMYFUNCTION("INDIRECT(""'收支紀錄'!S""&amp;TO_TEXT(ROW()-$C$72))"),"")</f>
        <v/>
      </c>
      <c r="T225" s="61" t="str">
        <f>IFERROR(__xludf.DUMMYFUNCTION("INDIRECT(""'收支紀錄'!T""&amp;TO_TEXT(ROW()-$C$72))"),"")</f>
        <v/>
      </c>
      <c r="U225" s="62" t="str">
        <f>IFERROR(__xludf.DUMMYFUNCTION("IF(T225=""是"",TEXTJOIN("""", TRUE, ""$"", TO_TEXT(C225), S225),"""")"),"")</f>
        <v/>
      </c>
    </row>
    <row r="226">
      <c r="A226" s="58">
        <f>IFERROR(__xludf.DUMMYFUNCTION("INDIRECT(""'收支紀錄'!A""&amp;TO_TEXT(ROW()-$C$72))"),45542.36320381945)</f>
        <v>45542.3632</v>
      </c>
      <c r="B226" s="59">
        <f>IFERROR(__xludf.DUMMYFUNCTION("IF(ISBLANK(D226), """", IF(ISDATE(D226), D226, IF(D226=""今天"", A226, IF(D226=""昨天 (-1 day)"", A226-1, IF(D226=""前天 (-2 days)"", A226-2, IF(D226=""明天 (+1 day)"", A226+1, DATE(LEFT(D226,4), MID(D226,5,2), RIGHT(D226,2))))))))"),45542.0)</f>
        <v>45542</v>
      </c>
      <c r="C226" s="60">
        <f>IFERROR(__xludf.DUMMYFUNCTION("INDIRECT(""'收支紀錄'!C""&amp;TO_TEXT(ROW()-$C$72))"),6602.0)</f>
        <v>6602</v>
      </c>
      <c r="D226" s="59">
        <f>IFERROR(__xludf.DUMMYFUNCTION("INDIRECT(""'收支紀錄'!D""&amp;TO_TEXT(ROW()-$C$72))"),45542.0)</f>
        <v>45542</v>
      </c>
      <c r="E226" s="61" t="str">
        <f>IFERROR(__xludf.DUMMYFUNCTION("INDIRECT(""'收支紀錄'!E""&amp;TO_TEXT(ROW()-$C$72))"),"")</f>
        <v/>
      </c>
      <c r="F226" s="61" t="str">
        <f>IFERROR(__xludf.DUMMYFUNCTION("INDIRECT(""'收支紀錄'!F""&amp;TO_TEXT(ROW()-$C$72))"),"")</f>
        <v/>
      </c>
      <c r="G226" s="61" t="str">
        <f>IFERROR(__xludf.DUMMYFUNCTION("INDIRECT(""'收支紀錄'!G""&amp;TO_TEXT(ROW()-$C$72))"),"")</f>
        <v/>
      </c>
      <c r="H226" s="61" t="str">
        <f>IFERROR(__xludf.DUMMYFUNCTION("INDIRECT(""'收支紀錄'!H""&amp;TO_TEXT(ROW()-$C$72))"),"房屋支出")</f>
        <v>房屋支出</v>
      </c>
      <c r="I226" s="61" t="str">
        <f>IFERROR(__xludf.DUMMYFUNCTION("INDIRECT(""'收支紀錄'!I""&amp;TO_TEXT(ROW()-$C$72))"),"")</f>
        <v/>
      </c>
      <c r="J226" s="61" t="str">
        <f>IFERROR(__xludf.DUMMYFUNCTION("INDIRECT(""'收支紀錄'!J""&amp;TO_TEXT(ROW()-$C$72))"),"")</f>
        <v/>
      </c>
      <c r="K226" s="61" t="str">
        <f>IFERROR(__xludf.DUMMYFUNCTION("INDIRECT(""'收支紀錄'!K""&amp;TO_TEXT(ROW()-$C$72))"),"管理費")</f>
        <v>管理費</v>
      </c>
      <c r="L226" s="61" t="str">
        <f>IFERROR(__xludf.DUMMYFUNCTION("INDIRECT(""'收支紀錄'!L""&amp;TO_TEXT(ROW()-$C$72))"),"")</f>
        <v/>
      </c>
      <c r="M226" s="61" t="str">
        <f>IFERROR(__xludf.DUMMYFUNCTION("INDIRECT(""'收支紀錄'!M""&amp;TO_TEXT(ROW()-$C$72))"),"")</f>
        <v/>
      </c>
      <c r="N226" s="61" t="str">
        <f>IFERROR(__xludf.DUMMYFUNCTION("INDIRECT(""'收支紀錄'!N""&amp;TO_TEXT(ROW()-$C$72))"),"")</f>
        <v/>
      </c>
      <c r="O226" s="61" t="str">
        <f>IFERROR(__xludf.DUMMYFUNCTION("INDIRECT(""'收支紀錄'!O""&amp;TO_TEXT(ROW()-$C$72))"),"")</f>
        <v/>
      </c>
      <c r="P226" s="61" t="str">
        <f>IFERROR(__xludf.DUMMYFUNCTION("INDIRECT(""'收支紀錄'!P""&amp;TO_TEXT(ROW()-$C$72))"),"")</f>
        <v/>
      </c>
      <c r="Q226" s="61" t="str">
        <f>IFERROR(__xludf.DUMMYFUNCTION("INDIRECT(""'收支紀錄'!Q""&amp;TO_TEXT(ROW()-$C$72))"),"")</f>
        <v/>
      </c>
      <c r="R226" s="61" t="str">
        <f>IFERROR(__xludf.DUMMYFUNCTION("INDIRECT(""'收支紀錄'!R""&amp;TO_TEXT(ROW()-$C$72))"),"")</f>
        <v/>
      </c>
      <c r="S226" s="61" t="str">
        <f>IFERROR(__xludf.DUMMYFUNCTION("INDIRECT(""'收支紀錄'!S""&amp;TO_TEXT(ROW()-$C$72))"),"")</f>
        <v/>
      </c>
      <c r="T226" s="61" t="str">
        <f>IFERROR(__xludf.DUMMYFUNCTION("INDIRECT(""'收支紀錄'!T""&amp;TO_TEXT(ROW()-$C$72))"),"")</f>
        <v/>
      </c>
      <c r="U226" s="62" t="str">
        <f>IFERROR(__xludf.DUMMYFUNCTION("IF(T226=""是"",TEXTJOIN("""", TRUE, ""$"", TO_TEXT(C226), S226),"""")"),"")</f>
        <v/>
      </c>
    </row>
    <row r="227">
      <c r="A227" s="58">
        <f>IFERROR(__xludf.DUMMYFUNCTION("INDIRECT(""'收支紀錄'!A""&amp;TO_TEXT(ROW()-$C$72))"),45542.93906269676)</f>
        <v>45542.93906</v>
      </c>
      <c r="B227" s="59">
        <f>IFERROR(__xludf.DUMMYFUNCTION("IF(ISBLANK(D227), """", IF(ISDATE(D227), D227, IF(D227=""今天"", A227, IF(D227=""昨天 (-1 day)"", A227-1, IF(D227=""前天 (-2 days)"", A227-2, IF(D227=""明天 (+1 day)"", A227+1, DATE(LEFT(D227,4), MID(D227,5,2), RIGHT(D227,2))))))))"),45542.0)</f>
        <v>45542</v>
      </c>
      <c r="C227" s="60">
        <f>IFERROR(__xludf.DUMMYFUNCTION("INDIRECT(""'收支紀錄'!C""&amp;TO_TEXT(ROW()-$C$72))"),230.0)</f>
        <v>230</v>
      </c>
      <c r="D227" s="59">
        <f>IFERROR(__xludf.DUMMYFUNCTION("INDIRECT(""'收支紀錄'!D""&amp;TO_TEXT(ROW()-$C$72))"),45542.0)</f>
        <v>45542</v>
      </c>
      <c r="E227" s="61" t="str">
        <f>IFERROR(__xludf.DUMMYFUNCTION("INDIRECT(""'收支紀錄'!E""&amp;TO_TEXT(ROW()-$C$72))"),"")</f>
        <v/>
      </c>
      <c r="F227" s="61" t="str">
        <f>IFERROR(__xludf.DUMMYFUNCTION("INDIRECT(""'收支紀錄'!F""&amp;TO_TEXT(ROW()-$C$72))"),"")</f>
        <v/>
      </c>
      <c r="G227" s="61" t="str">
        <f>IFERROR(__xludf.DUMMYFUNCTION("INDIRECT(""'收支紀錄'!G""&amp;TO_TEXT(ROW()-$C$72))"),"")</f>
        <v/>
      </c>
      <c r="H227" s="61" t="str">
        <f>IFERROR(__xludf.DUMMYFUNCTION("INDIRECT(""'收支紀錄'!H""&amp;TO_TEXT(ROW()-$C$72))"),"食品酒水")</f>
        <v>食品酒水</v>
      </c>
      <c r="I227" s="61" t="str">
        <f>IFERROR(__xludf.DUMMYFUNCTION("INDIRECT(""'收支紀錄'!I""&amp;TO_TEXT(ROW()-$C$72))"),"食材")</f>
        <v>食材</v>
      </c>
      <c r="J227" s="61" t="str">
        <f>IFERROR(__xludf.DUMMYFUNCTION("INDIRECT(""'收支紀錄'!J""&amp;TO_TEXT(ROW()-$C$72))"),"")</f>
        <v/>
      </c>
      <c r="K227" s="61" t="str">
        <f>IFERROR(__xludf.DUMMYFUNCTION("INDIRECT(""'收支紀錄'!K""&amp;TO_TEXT(ROW()-$C$72))"),"")</f>
        <v/>
      </c>
      <c r="L227" s="61" t="str">
        <f>IFERROR(__xludf.DUMMYFUNCTION("INDIRECT(""'收支紀錄'!L""&amp;TO_TEXT(ROW()-$C$72))"),"")</f>
        <v/>
      </c>
      <c r="M227" s="61" t="str">
        <f>IFERROR(__xludf.DUMMYFUNCTION("INDIRECT(""'收支紀錄'!M""&amp;TO_TEXT(ROW()-$C$72))"),"")</f>
        <v/>
      </c>
      <c r="N227" s="61" t="str">
        <f>IFERROR(__xludf.DUMMYFUNCTION("INDIRECT(""'收支紀錄'!N""&amp;TO_TEXT(ROW()-$C$72))"),"")</f>
        <v/>
      </c>
      <c r="O227" s="61" t="str">
        <f>IFERROR(__xludf.DUMMYFUNCTION("INDIRECT(""'收支紀錄'!O""&amp;TO_TEXT(ROW()-$C$72))"),"")</f>
        <v/>
      </c>
      <c r="P227" s="61" t="str">
        <f>IFERROR(__xludf.DUMMYFUNCTION("INDIRECT(""'收支紀錄'!P""&amp;TO_TEXT(ROW()-$C$72))"),"")</f>
        <v/>
      </c>
      <c r="Q227" s="61" t="str">
        <f>IFERROR(__xludf.DUMMYFUNCTION("INDIRECT(""'收支紀錄'!Q""&amp;TO_TEXT(ROW()-$C$72))"),"")</f>
        <v/>
      </c>
      <c r="R227" s="61" t="str">
        <f>IFERROR(__xludf.DUMMYFUNCTION("INDIRECT(""'收支紀錄'!R""&amp;TO_TEXT(ROW()-$C$72))"),"")</f>
        <v/>
      </c>
      <c r="S227" s="61" t="str">
        <f>IFERROR(__xludf.DUMMYFUNCTION("INDIRECT(""'收支紀錄'!S""&amp;TO_TEXT(ROW()-$C$72))"),"")</f>
        <v/>
      </c>
      <c r="T227" s="61" t="str">
        <f>IFERROR(__xludf.DUMMYFUNCTION("INDIRECT(""'收支紀錄'!T""&amp;TO_TEXT(ROW()-$C$72))"),"")</f>
        <v/>
      </c>
      <c r="U227" s="62" t="str">
        <f>IFERROR(__xludf.DUMMYFUNCTION("IF(T227=""是"",TEXTJOIN("""", TRUE, ""$"", TO_TEXT(C227), S227),"""")"),"")</f>
        <v/>
      </c>
    </row>
    <row r="228">
      <c r="A228" s="58">
        <f>IFERROR(__xludf.DUMMYFUNCTION("INDIRECT(""'收支紀錄'!A""&amp;TO_TEXT(ROW()-$C$72))"),45542.93947084491)</f>
        <v>45542.93947</v>
      </c>
      <c r="B228" s="59">
        <f>IFERROR(__xludf.DUMMYFUNCTION("IF(ISBLANK(D228), """", IF(ISDATE(D228), D228, IF(D228=""今天"", A228, IF(D228=""昨天 (-1 day)"", A228-1, IF(D228=""前天 (-2 days)"", A228-2, IF(D228=""明天 (+1 day)"", A228+1, DATE(LEFT(D228,4), MID(D228,5,2), RIGHT(D228,2))))))))"),45542.0)</f>
        <v>45542</v>
      </c>
      <c r="C228" s="60">
        <f>IFERROR(__xludf.DUMMYFUNCTION("INDIRECT(""'收支紀錄'!C""&amp;TO_TEXT(ROW()-$C$72))"),500.0)</f>
        <v>500</v>
      </c>
      <c r="D228" s="59">
        <f>IFERROR(__xludf.DUMMYFUNCTION("INDIRECT(""'收支紀錄'!D""&amp;TO_TEXT(ROW()-$C$72))"),45542.0)</f>
        <v>45542</v>
      </c>
      <c r="E228" s="61" t="str">
        <f>IFERROR(__xludf.DUMMYFUNCTION("INDIRECT(""'收支紀錄'!E""&amp;TO_TEXT(ROW()-$C$72))"),"")</f>
        <v/>
      </c>
      <c r="F228" s="61" t="str">
        <f>IFERROR(__xludf.DUMMYFUNCTION("INDIRECT(""'收支紀錄'!F""&amp;TO_TEXT(ROW()-$C$72))"),"")</f>
        <v/>
      </c>
      <c r="G228" s="61" t="str">
        <f>IFERROR(__xludf.DUMMYFUNCTION("INDIRECT(""'收支紀錄'!G""&amp;TO_TEXT(ROW()-$C$72))"),"")</f>
        <v/>
      </c>
      <c r="H228" s="61" t="str">
        <f>IFERROR(__xludf.DUMMYFUNCTION("INDIRECT(""'收支紀錄'!H""&amp;TO_TEXT(ROW()-$C$72))"),"休閒娛樂")</f>
        <v>休閒娛樂</v>
      </c>
      <c r="I228" s="61" t="str">
        <f>IFERROR(__xludf.DUMMYFUNCTION("INDIRECT(""'收支紀錄'!I""&amp;TO_TEXT(ROW()-$C$72))"),"")</f>
        <v/>
      </c>
      <c r="J228" s="61" t="str">
        <f>IFERROR(__xludf.DUMMYFUNCTION("INDIRECT(""'收支紀錄'!J""&amp;TO_TEXT(ROW()-$C$72))"),"")</f>
        <v/>
      </c>
      <c r="K228" s="61" t="str">
        <f>IFERROR(__xludf.DUMMYFUNCTION("INDIRECT(""'收支紀錄'!K""&amp;TO_TEXT(ROW()-$C$72))"),"")</f>
        <v/>
      </c>
      <c r="L228" s="61" t="str">
        <f>IFERROR(__xludf.DUMMYFUNCTION("INDIRECT(""'收支紀錄'!L""&amp;TO_TEXT(ROW()-$C$72))"),"")</f>
        <v/>
      </c>
      <c r="M228" s="61" t="str">
        <f>IFERROR(__xludf.DUMMYFUNCTION("INDIRECT(""'收支紀錄'!M""&amp;TO_TEXT(ROW()-$C$72))"),"衣物鞋帽")</f>
        <v>衣物鞋帽</v>
      </c>
      <c r="N228" s="61" t="str">
        <f>IFERROR(__xludf.DUMMYFUNCTION("INDIRECT(""'收支紀錄'!N""&amp;TO_TEXT(ROW()-$C$72))"),"")</f>
        <v/>
      </c>
      <c r="O228" s="61" t="str">
        <f>IFERROR(__xludf.DUMMYFUNCTION("INDIRECT(""'收支紀錄'!O""&amp;TO_TEXT(ROW()-$C$72))"),"")</f>
        <v/>
      </c>
      <c r="P228" s="61" t="str">
        <f>IFERROR(__xludf.DUMMYFUNCTION("INDIRECT(""'收支紀錄'!P""&amp;TO_TEXT(ROW()-$C$72))"),"")</f>
        <v/>
      </c>
      <c r="Q228" s="61" t="str">
        <f>IFERROR(__xludf.DUMMYFUNCTION("INDIRECT(""'收支紀錄'!Q""&amp;TO_TEXT(ROW()-$C$72))"),"")</f>
        <v/>
      </c>
      <c r="R228" s="61" t="str">
        <f>IFERROR(__xludf.DUMMYFUNCTION("INDIRECT(""'收支紀錄'!R""&amp;TO_TEXT(ROW()-$C$72))"),"")</f>
        <v/>
      </c>
      <c r="S228" s="61" t="str">
        <f>IFERROR(__xludf.DUMMYFUNCTION("INDIRECT(""'收支紀錄'!S""&amp;TO_TEXT(ROW()-$C$72))"),"")</f>
        <v/>
      </c>
      <c r="T228" s="61" t="str">
        <f>IFERROR(__xludf.DUMMYFUNCTION("INDIRECT(""'收支紀錄'!T""&amp;TO_TEXT(ROW()-$C$72))"),"")</f>
        <v/>
      </c>
      <c r="U228" s="62" t="str">
        <f>IFERROR(__xludf.DUMMYFUNCTION("IF(T228=""是"",TEXTJOIN("""", TRUE, ""$"", TO_TEXT(C228), S228),"""")"),"")</f>
        <v/>
      </c>
    </row>
    <row r="229">
      <c r="A229" s="58">
        <f>IFERROR(__xludf.DUMMYFUNCTION("INDIRECT(""'收支紀錄'!A""&amp;TO_TEXT(ROW()-$C$72))"),45542.94003438657)</f>
        <v>45542.94003</v>
      </c>
      <c r="B229" s="59">
        <f>IFERROR(__xludf.DUMMYFUNCTION("IF(ISBLANK(D229), """", IF(ISDATE(D229), D229, IF(D229=""今天"", A229, IF(D229=""昨天 (-1 day)"", A229-1, IF(D229=""前天 (-2 days)"", A229-2, IF(D229=""明天 (+1 day)"", A229+1, DATE(LEFT(D229,4), MID(D229,5,2), RIGHT(D229,2))))))))"),45542.0)</f>
        <v>45542</v>
      </c>
      <c r="C229" s="60">
        <f>IFERROR(__xludf.DUMMYFUNCTION("INDIRECT(""'收支紀錄'!C""&amp;TO_TEXT(ROW()-$C$72))"),126.0)</f>
        <v>126</v>
      </c>
      <c r="D229" s="59">
        <f>IFERROR(__xludf.DUMMYFUNCTION("INDIRECT(""'收支紀錄'!D""&amp;TO_TEXT(ROW()-$C$72))"),45542.0)</f>
        <v>45542</v>
      </c>
      <c r="E229" s="61" t="str">
        <f>IFERROR(__xludf.DUMMYFUNCTION("INDIRECT(""'收支紀錄'!E""&amp;TO_TEXT(ROW()-$C$72))"),"")</f>
        <v/>
      </c>
      <c r="F229" s="61" t="str">
        <f>IFERROR(__xludf.DUMMYFUNCTION("INDIRECT(""'收支紀錄'!F""&amp;TO_TEXT(ROW()-$C$72))"),"")</f>
        <v/>
      </c>
      <c r="G229" s="61" t="str">
        <f>IFERROR(__xludf.DUMMYFUNCTION("INDIRECT(""'收支紀錄'!G""&amp;TO_TEXT(ROW()-$C$72))"),"")</f>
        <v/>
      </c>
      <c r="H229" s="61" t="str">
        <f>IFERROR(__xludf.DUMMYFUNCTION("INDIRECT(""'收支紀錄'!H""&amp;TO_TEXT(ROW()-$C$72))"),"食品酒水")</f>
        <v>食品酒水</v>
      </c>
      <c r="I229" s="61" t="str">
        <f>IFERROR(__xludf.DUMMYFUNCTION("INDIRECT(""'收支紀錄'!I""&amp;TO_TEXT(ROW()-$C$72))"),"下午茶")</f>
        <v>下午茶</v>
      </c>
      <c r="J229" s="61" t="str">
        <f>IFERROR(__xludf.DUMMYFUNCTION("INDIRECT(""'收支紀錄'!J""&amp;TO_TEXT(ROW()-$C$72))"),"")</f>
        <v/>
      </c>
      <c r="K229" s="61" t="str">
        <f>IFERROR(__xludf.DUMMYFUNCTION("INDIRECT(""'收支紀錄'!K""&amp;TO_TEXT(ROW()-$C$72))"),"")</f>
        <v/>
      </c>
      <c r="L229" s="61" t="str">
        <f>IFERROR(__xludf.DUMMYFUNCTION("INDIRECT(""'收支紀錄'!L""&amp;TO_TEXT(ROW()-$C$72))"),"")</f>
        <v/>
      </c>
      <c r="M229" s="61" t="str">
        <f>IFERROR(__xludf.DUMMYFUNCTION("INDIRECT(""'收支紀錄'!M""&amp;TO_TEXT(ROW()-$C$72))"),"")</f>
        <v/>
      </c>
      <c r="N229" s="61" t="str">
        <f>IFERROR(__xludf.DUMMYFUNCTION("INDIRECT(""'收支紀錄'!N""&amp;TO_TEXT(ROW()-$C$72))"),"")</f>
        <v/>
      </c>
      <c r="O229" s="61" t="str">
        <f>IFERROR(__xludf.DUMMYFUNCTION("INDIRECT(""'收支紀錄'!O""&amp;TO_TEXT(ROW()-$C$72))"),"")</f>
        <v/>
      </c>
      <c r="P229" s="61" t="str">
        <f>IFERROR(__xludf.DUMMYFUNCTION("INDIRECT(""'收支紀錄'!P""&amp;TO_TEXT(ROW()-$C$72))"),"")</f>
        <v/>
      </c>
      <c r="Q229" s="61" t="str">
        <f>IFERROR(__xludf.DUMMYFUNCTION("INDIRECT(""'收支紀錄'!Q""&amp;TO_TEXT(ROW()-$C$72))"),"")</f>
        <v/>
      </c>
      <c r="R229" s="61" t="str">
        <f>IFERROR(__xludf.DUMMYFUNCTION("INDIRECT(""'收支紀錄'!R""&amp;TO_TEXT(ROW()-$C$72))"),"")</f>
        <v/>
      </c>
      <c r="S229" s="61" t="str">
        <f>IFERROR(__xludf.DUMMYFUNCTION("INDIRECT(""'收支紀錄'!S""&amp;TO_TEXT(ROW()-$C$72))"),"")</f>
        <v/>
      </c>
      <c r="T229" s="61" t="str">
        <f>IFERROR(__xludf.DUMMYFUNCTION("INDIRECT(""'收支紀錄'!T""&amp;TO_TEXT(ROW()-$C$72))"),"")</f>
        <v/>
      </c>
      <c r="U229" s="62" t="str">
        <f>IFERROR(__xludf.DUMMYFUNCTION("IF(T229=""是"",TEXTJOIN("""", TRUE, ""$"", TO_TEXT(C229), S229),"""")"),"")</f>
        <v/>
      </c>
    </row>
    <row r="230">
      <c r="A230" s="58">
        <f>IFERROR(__xludf.DUMMYFUNCTION("INDIRECT(""'收支紀錄'!A""&amp;TO_TEXT(ROW()-$C$72))"),45542.94039699074)</f>
        <v>45542.9404</v>
      </c>
      <c r="B230" s="59">
        <f>IFERROR(__xludf.DUMMYFUNCTION("IF(ISBLANK(D230), """", IF(ISDATE(D230), D230, IF(D230=""今天"", A230, IF(D230=""昨天 (-1 day)"", A230-1, IF(D230=""前天 (-2 days)"", A230-2, IF(D230=""明天 (+1 day)"", A230+1, DATE(LEFT(D230,4), MID(D230,5,2), RIGHT(D230,2))))))))"),45542.0)</f>
        <v>45542</v>
      </c>
      <c r="C230" s="60">
        <f>IFERROR(__xludf.DUMMYFUNCTION("INDIRECT(""'收支紀錄'!C""&amp;TO_TEXT(ROW()-$C$72))"),75.0)</f>
        <v>75</v>
      </c>
      <c r="D230" s="59">
        <f>IFERROR(__xludf.DUMMYFUNCTION("INDIRECT(""'收支紀錄'!D""&amp;TO_TEXT(ROW()-$C$72))"),45542.0)</f>
        <v>45542</v>
      </c>
      <c r="E230" s="61" t="str">
        <f>IFERROR(__xludf.DUMMYFUNCTION("INDIRECT(""'收支紀錄'!E""&amp;TO_TEXT(ROW()-$C$72))"),"")</f>
        <v/>
      </c>
      <c r="F230" s="61" t="str">
        <f>IFERROR(__xludf.DUMMYFUNCTION("INDIRECT(""'收支紀錄'!F""&amp;TO_TEXT(ROW()-$C$72))"),"")</f>
        <v/>
      </c>
      <c r="G230" s="61" t="str">
        <f>IFERROR(__xludf.DUMMYFUNCTION("INDIRECT(""'收支紀錄'!G""&amp;TO_TEXT(ROW()-$C$72))"),"")</f>
        <v/>
      </c>
      <c r="H230" s="61" t="str">
        <f>IFERROR(__xludf.DUMMYFUNCTION("INDIRECT(""'收支紀錄'!H""&amp;TO_TEXT(ROW()-$C$72))"),"行車交通")</f>
        <v>行車交通</v>
      </c>
      <c r="I230" s="61" t="str">
        <f>IFERROR(__xludf.DUMMYFUNCTION("INDIRECT(""'收支紀錄'!I""&amp;TO_TEXT(ROW()-$C$72))"),"")</f>
        <v/>
      </c>
      <c r="J230" s="61" t="str">
        <f>IFERROR(__xludf.DUMMYFUNCTION("INDIRECT(""'收支紀錄'!J""&amp;TO_TEXT(ROW()-$C$72))"),"")</f>
        <v/>
      </c>
      <c r="K230" s="61" t="str">
        <f>IFERROR(__xludf.DUMMYFUNCTION("INDIRECT(""'收支紀錄'!K""&amp;TO_TEXT(ROW()-$C$72))"),"")</f>
        <v/>
      </c>
      <c r="L230" s="61" t="str">
        <f>IFERROR(__xludf.DUMMYFUNCTION("INDIRECT(""'收支紀錄'!L""&amp;TO_TEXT(ROW()-$C$72))"),"停車")</f>
        <v>停車</v>
      </c>
      <c r="M230" s="61" t="str">
        <f>IFERROR(__xludf.DUMMYFUNCTION("INDIRECT(""'收支紀錄'!M""&amp;TO_TEXT(ROW()-$C$72))"),"")</f>
        <v/>
      </c>
      <c r="N230" s="61" t="str">
        <f>IFERROR(__xludf.DUMMYFUNCTION("INDIRECT(""'收支紀錄'!N""&amp;TO_TEXT(ROW()-$C$72))"),"")</f>
        <v/>
      </c>
      <c r="O230" s="61" t="str">
        <f>IFERROR(__xludf.DUMMYFUNCTION("INDIRECT(""'收支紀錄'!O""&amp;TO_TEXT(ROW()-$C$72))"),"")</f>
        <v/>
      </c>
      <c r="P230" s="61" t="str">
        <f>IFERROR(__xludf.DUMMYFUNCTION("INDIRECT(""'收支紀錄'!P""&amp;TO_TEXT(ROW()-$C$72))"),"")</f>
        <v/>
      </c>
      <c r="Q230" s="61" t="str">
        <f>IFERROR(__xludf.DUMMYFUNCTION("INDIRECT(""'收支紀錄'!Q""&amp;TO_TEXT(ROW()-$C$72))"),"")</f>
        <v/>
      </c>
      <c r="R230" s="61" t="str">
        <f>IFERROR(__xludf.DUMMYFUNCTION("INDIRECT(""'收支紀錄'!R""&amp;TO_TEXT(ROW()-$C$72))"),"")</f>
        <v/>
      </c>
      <c r="S230" s="61" t="str">
        <f>IFERROR(__xludf.DUMMYFUNCTION("INDIRECT(""'收支紀錄'!S""&amp;TO_TEXT(ROW()-$C$72))"),"")</f>
        <v/>
      </c>
      <c r="T230" s="61" t="str">
        <f>IFERROR(__xludf.DUMMYFUNCTION("INDIRECT(""'收支紀錄'!T""&amp;TO_TEXT(ROW()-$C$72))"),"")</f>
        <v/>
      </c>
      <c r="U230" s="62" t="str">
        <f>IFERROR(__xludf.DUMMYFUNCTION("IF(T230=""是"",TEXTJOIN("""", TRUE, ""$"", TO_TEXT(C230), S230),"""")"),"")</f>
        <v/>
      </c>
    </row>
    <row r="231">
      <c r="A231" s="58">
        <f>IFERROR(__xludf.DUMMYFUNCTION("INDIRECT(""'收支紀錄'!A""&amp;TO_TEXT(ROW()-$C$72))"),45542.940640057874)</f>
        <v>45542.94064</v>
      </c>
      <c r="B231" s="59">
        <f>IFERROR(__xludf.DUMMYFUNCTION("IF(ISBLANK(D231), """", IF(ISDATE(D231), D231, IF(D231=""今天"", A231, IF(D231=""昨天 (-1 day)"", A231-1, IF(D231=""前天 (-2 days)"", A231-2, IF(D231=""明天 (+1 day)"", A231+1, DATE(LEFT(D231,4), MID(D231,5,2), RIGHT(D231,2))))))))"),45542.0)</f>
        <v>45542</v>
      </c>
      <c r="C231" s="60">
        <f>IFERROR(__xludf.DUMMYFUNCTION("INDIRECT(""'收支紀錄'!C""&amp;TO_TEXT(ROW()-$C$72))"),15.0)</f>
        <v>15</v>
      </c>
      <c r="D231" s="59">
        <f>IFERROR(__xludf.DUMMYFUNCTION("INDIRECT(""'收支紀錄'!D""&amp;TO_TEXT(ROW()-$C$72))"),45542.0)</f>
        <v>45542</v>
      </c>
      <c r="E231" s="61" t="str">
        <f>IFERROR(__xludf.DUMMYFUNCTION("INDIRECT(""'收支紀錄'!E""&amp;TO_TEXT(ROW()-$C$72))"),"")</f>
        <v/>
      </c>
      <c r="F231" s="61" t="str">
        <f>IFERROR(__xludf.DUMMYFUNCTION("INDIRECT(""'收支紀錄'!F""&amp;TO_TEXT(ROW()-$C$72))"),"")</f>
        <v/>
      </c>
      <c r="G231" s="61" t="str">
        <f>IFERROR(__xludf.DUMMYFUNCTION("INDIRECT(""'收支紀錄'!G""&amp;TO_TEXT(ROW()-$C$72))"),"")</f>
        <v/>
      </c>
      <c r="H231" s="61" t="str">
        <f>IFERROR(__xludf.DUMMYFUNCTION("INDIRECT(""'收支紀錄'!H""&amp;TO_TEXT(ROW()-$C$72))"),"行車交通")</f>
        <v>行車交通</v>
      </c>
      <c r="I231" s="61" t="str">
        <f>IFERROR(__xludf.DUMMYFUNCTION("INDIRECT(""'收支紀錄'!I""&amp;TO_TEXT(ROW()-$C$72))"),"")</f>
        <v/>
      </c>
      <c r="J231" s="61" t="str">
        <f>IFERROR(__xludf.DUMMYFUNCTION("INDIRECT(""'收支紀錄'!J""&amp;TO_TEXT(ROW()-$C$72))"),"")</f>
        <v/>
      </c>
      <c r="K231" s="61" t="str">
        <f>IFERROR(__xludf.DUMMYFUNCTION("INDIRECT(""'收支紀錄'!K""&amp;TO_TEXT(ROW()-$C$72))"),"")</f>
        <v/>
      </c>
      <c r="L231" s="61" t="str">
        <f>IFERROR(__xludf.DUMMYFUNCTION("INDIRECT(""'收支紀錄'!L""&amp;TO_TEXT(ROW()-$C$72))"),"停車")</f>
        <v>停車</v>
      </c>
      <c r="M231" s="61" t="str">
        <f>IFERROR(__xludf.DUMMYFUNCTION("INDIRECT(""'收支紀錄'!M""&amp;TO_TEXT(ROW()-$C$72))"),"")</f>
        <v/>
      </c>
      <c r="N231" s="61" t="str">
        <f>IFERROR(__xludf.DUMMYFUNCTION("INDIRECT(""'收支紀錄'!N""&amp;TO_TEXT(ROW()-$C$72))"),"")</f>
        <v/>
      </c>
      <c r="O231" s="61" t="str">
        <f>IFERROR(__xludf.DUMMYFUNCTION("INDIRECT(""'收支紀錄'!O""&amp;TO_TEXT(ROW()-$C$72))"),"")</f>
        <v/>
      </c>
      <c r="P231" s="61" t="str">
        <f>IFERROR(__xludf.DUMMYFUNCTION("INDIRECT(""'收支紀錄'!P""&amp;TO_TEXT(ROW()-$C$72))"),"")</f>
        <v/>
      </c>
      <c r="Q231" s="61" t="str">
        <f>IFERROR(__xludf.DUMMYFUNCTION("INDIRECT(""'收支紀錄'!Q""&amp;TO_TEXT(ROW()-$C$72))"),"")</f>
        <v/>
      </c>
      <c r="R231" s="61" t="str">
        <f>IFERROR(__xludf.DUMMYFUNCTION("INDIRECT(""'收支紀錄'!R""&amp;TO_TEXT(ROW()-$C$72))"),"")</f>
        <v/>
      </c>
      <c r="S231" s="61" t="str">
        <f>IFERROR(__xludf.DUMMYFUNCTION("INDIRECT(""'收支紀錄'!S""&amp;TO_TEXT(ROW()-$C$72))"),"")</f>
        <v/>
      </c>
      <c r="T231" s="61" t="str">
        <f>IFERROR(__xludf.DUMMYFUNCTION("INDIRECT(""'收支紀錄'!T""&amp;TO_TEXT(ROW()-$C$72))"),"")</f>
        <v/>
      </c>
      <c r="U231" s="62" t="str">
        <f>IFERROR(__xludf.DUMMYFUNCTION("IF(T231=""是"",TEXTJOIN("""", TRUE, ""$"", TO_TEXT(C231), S231),"""")"),"")</f>
        <v/>
      </c>
    </row>
    <row r="232">
      <c r="A232" s="58">
        <f>IFERROR(__xludf.DUMMYFUNCTION("INDIRECT(""'收支紀錄'!A""&amp;TO_TEXT(ROW()-$C$72))"),45542.94088570602)</f>
        <v>45542.94089</v>
      </c>
      <c r="B232" s="59">
        <f>IFERROR(__xludf.DUMMYFUNCTION("IF(ISBLANK(D232), """", IF(ISDATE(D232), D232, IF(D232=""今天"", A232, IF(D232=""昨天 (-1 day)"", A232-1, IF(D232=""前天 (-2 days)"", A232-2, IF(D232=""明天 (+1 day)"", A232+1, DATE(LEFT(D232,4), MID(D232,5,2), RIGHT(D232,2))))))))"),45542.0)</f>
        <v>45542</v>
      </c>
      <c r="C232" s="60">
        <f>IFERROR(__xludf.DUMMYFUNCTION("INDIRECT(""'收支紀錄'!C""&amp;TO_TEXT(ROW()-$C$72))"),814.0)</f>
        <v>814</v>
      </c>
      <c r="D232" s="59">
        <f>IFERROR(__xludf.DUMMYFUNCTION("INDIRECT(""'收支紀錄'!D""&amp;TO_TEXT(ROW()-$C$72))"),45542.0)</f>
        <v>45542</v>
      </c>
      <c r="E232" s="61" t="str">
        <f>IFERROR(__xludf.DUMMYFUNCTION("INDIRECT(""'收支紀錄'!E""&amp;TO_TEXT(ROW()-$C$72))"),"")</f>
        <v/>
      </c>
      <c r="F232" s="61" t="str">
        <f>IFERROR(__xludf.DUMMYFUNCTION("INDIRECT(""'收支紀錄'!F""&amp;TO_TEXT(ROW()-$C$72))"),"")</f>
        <v/>
      </c>
      <c r="G232" s="61" t="str">
        <f>IFERROR(__xludf.DUMMYFUNCTION("INDIRECT(""'收支紀錄'!G""&amp;TO_TEXT(ROW()-$C$72))"),"")</f>
        <v/>
      </c>
      <c r="H232" s="61" t="str">
        <f>IFERROR(__xludf.DUMMYFUNCTION("INDIRECT(""'收支紀錄'!H""&amp;TO_TEXT(ROW()-$C$72))"),"行車交通")</f>
        <v>行車交通</v>
      </c>
      <c r="I232" s="61" t="str">
        <f>IFERROR(__xludf.DUMMYFUNCTION("INDIRECT(""'收支紀錄'!I""&amp;TO_TEXT(ROW()-$C$72))"),"")</f>
        <v/>
      </c>
      <c r="J232" s="61" t="str">
        <f>IFERROR(__xludf.DUMMYFUNCTION("INDIRECT(""'收支紀錄'!J""&amp;TO_TEXT(ROW()-$C$72))"),"")</f>
        <v/>
      </c>
      <c r="K232" s="61" t="str">
        <f>IFERROR(__xludf.DUMMYFUNCTION("INDIRECT(""'收支紀錄'!K""&amp;TO_TEXT(ROW()-$C$72))"),"")</f>
        <v/>
      </c>
      <c r="L232" s="61" t="str">
        <f>IFERROR(__xludf.DUMMYFUNCTION("INDIRECT(""'收支紀錄'!L""&amp;TO_TEXT(ROW()-$C$72))"),"加油")</f>
        <v>加油</v>
      </c>
      <c r="M232" s="61" t="str">
        <f>IFERROR(__xludf.DUMMYFUNCTION("INDIRECT(""'收支紀錄'!M""&amp;TO_TEXT(ROW()-$C$72))"),"")</f>
        <v/>
      </c>
      <c r="N232" s="61" t="str">
        <f>IFERROR(__xludf.DUMMYFUNCTION("INDIRECT(""'收支紀錄'!N""&amp;TO_TEXT(ROW()-$C$72))"),"")</f>
        <v/>
      </c>
      <c r="O232" s="61" t="str">
        <f>IFERROR(__xludf.DUMMYFUNCTION("INDIRECT(""'收支紀錄'!O""&amp;TO_TEXT(ROW()-$C$72))"),"")</f>
        <v/>
      </c>
      <c r="P232" s="61" t="str">
        <f>IFERROR(__xludf.DUMMYFUNCTION("INDIRECT(""'收支紀錄'!P""&amp;TO_TEXT(ROW()-$C$72))"),"")</f>
        <v/>
      </c>
      <c r="Q232" s="61" t="str">
        <f>IFERROR(__xludf.DUMMYFUNCTION("INDIRECT(""'收支紀錄'!Q""&amp;TO_TEXT(ROW()-$C$72))"),"")</f>
        <v/>
      </c>
      <c r="R232" s="61" t="str">
        <f>IFERROR(__xludf.DUMMYFUNCTION("INDIRECT(""'收支紀錄'!R""&amp;TO_TEXT(ROW()-$C$72))"),"")</f>
        <v/>
      </c>
      <c r="S232" s="61" t="str">
        <f>IFERROR(__xludf.DUMMYFUNCTION("INDIRECT(""'收支紀錄'!S""&amp;TO_TEXT(ROW()-$C$72))"),"")</f>
        <v/>
      </c>
      <c r="T232" s="61" t="str">
        <f>IFERROR(__xludf.DUMMYFUNCTION("INDIRECT(""'收支紀錄'!T""&amp;TO_TEXT(ROW()-$C$72))"),"")</f>
        <v/>
      </c>
      <c r="U232" s="62" t="str">
        <f>IFERROR(__xludf.DUMMYFUNCTION("IF(T232=""是"",TEXTJOIN("""", TRUE, ""$"", TO_TEXT(C232), S232),"""")"),"")</f>
        <v/>
      </c>
    </row>
    <row r="233">
      <c r="A233" s="58">
        <f>IFERROR(__xludf.DUMMYFUNCTION("INDIRECT(""'收支紀錄'!A""&amp;TO_TEXT(ROW()-$C$72))"),45542.94126140046)</f>
        <v>45542.94126</v>
      </c>
      <c r="B233" s="59">
        <f>IFERROR(__xludf.DUMMYFUNCTION("IF(ISBLANK(D233), """", IF(ISDATE(D233), D233, IF(D233=""今天"", A233, IF(D233=""昨天 (-1 day)"", A233-1, IF(D233=""前天 (-2 days)"", A233-2, IF(D233=""明天 (+1 day)"", A233+1, DATE(LEFT(D233,4), MID(D233,5,2), RIGHT(D233,2))))))))"),45542.0)</f>
        <v>45542</v>
      </c>
      <c r="C233" s="60">
        <f>IFERROR(__xludf.DUMMYFUNCTION("INDIRECT(""'收支紀錄'!C""&amp;TO_TEXT(ROW()-$C$72))"),589.0)</f>
        <v>589</v>
      </c>
      <c r="D233" s="59">
        <f>IFERROR(__xludf.DUMMYFUNCTION("INDIRECT(""'收支紀錄'!D""&amp;TO_TEXT(ROW()-$C$72))"),45542.0)</f>
        <v>45542</v>
      </c>
      <c r="E233" s="61" t="str">
        <f>IFERROR(__xludf.DUMMYFUNCTION("INDIRECT(""'收支紀錄'!E""&amp;TO_TEXT(ROW()-$C$72))"),"")</f>
        <v/>
      </c>
      <c r="F233" s="61" t="str">
        <f>IFERROR(__xludf.DUMMYFUNCTION("INDIRECT(""'收支紀錄'!F""&amp;TO_TEXT(ROW()-$C$72))"),"")</f>
        <v/>
      </c>
      <c r="G233" s="61" t="str">
        <f>IFERROR(__xludf.DUMMYFUNCTION("INDIRECT(""'收支紀錄'!G""&amp;TO_TEXT(ROW()-$C$72))"),"")</f>
        <v/>
      </c>
      <c r="H233" s="61" t="str">
        <f>IFERROR(__xludf.DUMMYFUNCTION("INDIRECT(""'收支紀錄'!H""&amp;TO_TEXT(ROW()-$C$72))"),"食品酒水")</f>
        <v>食品酒水</v>
      </c>
      <c r="I233" s="61" t="str">
        <f>IFERROR(__xludf.DUMMYFUNCTION("INDIRECT(""'收支紀錄'!I""&amp;TO_TEXT(ROW()-$C$72))"),"食材")</f>
        <v>食材</v>
      </c>
      <c r="J233" s="61" t="str">
        <f>IFERROR(__xludf.DUMMYFUNCTION("INDIRECT(""'收支紀錄'!J""&amp;TO_TEXT(ROW()-$C$72))"),"")</f>
        <v/>
      </c>
      <c r="K233" s="61" t="str">
        <f>IFERROR(__xludf.DUMMYFUNCTION("INDIRECT(""'收支紀錄'!K""&amp;TO_TEXT(ROW()-$C$72))"),"")</f>
        <v/>
      </c>
      <c r="L233" s="61" t="str">
        <f>IFERROR(__xludf.DUMMYFUNCTION("INDIRECT(""'收支紀錄'!L""&amp;TO_TEXT(ROW()-$C$72))"),"")</f>
        <v/>
      </c>
      <c r="M233" s="61" t="str">
        <f>IFERROR(__xludf.DUMMYFUNCTION("INDIRECT(""'收支紀錄'!M""&amp;TO_TEXT(ROW()-$C$72))"),"")</f>
        <v/>
      </c>
      <c r="N233" s="61" t="str">
        <f>IFERROR(__xludf.DUMMYFUNCTION("INDIRECT(""'收支紀錄'!N""&amp;TO_TEXT(ROW()-$C$72))"),"")</f>
        <v/>
      </c>
      <c r="O233" s="61" t="str">
        <f>IFERROR(__xludf.DUMMYFUNCTION("INDIRECT(""'收支紀錄'!O""&amp;TO_TEXT(ROW()-$C$72))"),"")</f>
        <v/>
      </c>
      <c r="P233" s="61" t="str">
        <f>IFERROR(__xludf.DUMMYFUNCTION("INDIRECT(""'收支紀錄'!P""&amp;TO_TEXT(ROW()-$C$72))"),"")</f>
        <v/>
      </c>
      <c r="Q233" s="61" t="str">
        <f>IFERROR(__xludf.DUMMYFUNCTION("INDIRECT(""'收支紀錄'!Q""&amp;TO_TEXT(ROW()-$C$72))"),"")</f>
        <v/>
      </c>
      <c r="R233" s="61" t="str">
        <f>IFERROR(__xludf.DUMMYFUNCTION("INDIRECT(""'收支紀錄'!R""&amp;TO_TEXT(ROW()-$C$72))"),"")</f>
        <v/>
      </c>
      <c r="S233" s="61" t="str">
        <f>IFERROR(__xludf.DUMMYFUNCTION("INDIRECT(""'收支紀錄'!S""&amp;TO_TEXT(ROW()-$C$72))"),"")</f>
        <v/>
      </c>
      <c r="T233" s="61" t="str">
        <f>IFERROR(__xludf.DUMMYFUNCTION("INDIRECT(""'收支紀錄'!T""&amp;TO_TEXT(ROW()-$C$72))"),"")</f>
        <v/>
      </c>
      <c r="U233" s="62" t="str">
        <f>IFERROR(__xludf.DUMMYFUNCTION("IF(T233=""是"",TEXTJOIN("""", TRUE, ""$"", TO_TEXT(C233), S233),"""")"),"")</f>
        <v/>
      </c>
    </row>
    <row r="234">
      <c r="A234" s="58">
        <f>IFERROR(__xludf.DUMMYFUNCTION("INDIRECT(""'收支紀錄'!A""&amp;TO_TEXT(ROW()-$C$72))"),45543.62069997685)</f>
        <v>45543.6207</v>
      </c>
      <c r="B234" s="59">
        <f>IFERROR(__xludf.DUMMYFUNCTION("IF(ISBLANK(D234), """", IF(ISDATE(D234), D234, IF(D234=""今天"", A234, IF(D234=""昨天 (-1 day)"", A234-1, IF(D234=""前天 (-2 days)"", A234-2, IF(D234=""明天 (+1 day)"", A234+1, DATE(LEFT(D234,4), MID(D234,5,2), RIGHT(D234,2))))))))"),45543.0)</f>
        <v>45543</v>
      </c>
      <c r="C234" s="60">
        <f>IFERROR(__xludf.DUMMYFUNCTION("INDIRECT(""'收支紀錄'!C""&amp;TO_TEXT(ROW()-$C$72))"),600.0)</f>
        <v>600</v>
      </c>
      <c r="D234" s="59">
        <f>IFERROR(__xludf.DUMMYFUNCTION("INDIRECT(""'收支紀錄'!D""&amp;TO_TEXT(ROW()-$C$72))"),45543.0)</f>
        <v>45543</v>
      </c>
      <c r="E234" s="61" t="str">
        <f>IFERROR(__xludf.DUMMYFUNCTION("INDIRECT(""'收支紀錄'!E""&amp;TO_TEXT(ROW()-$C$72))"),"")</f>
        <v/>
      </c>
      <c r="F234" s="61" t="str">
        <f>IFERROR(__xludf.DUMMYFUNCTION("INDIRECT(""'收支紀錄'!F""&amp;TO_TEXT(ROW()-$C$72))"),"")</f>
        <v/>
      </c>
      <c r="G234" s="61" t="str">
        <f>IFERROR(__xludf.DUMMYFUNCTION("INDIRECT(""'收支紀錄'!G""&amp;TO_TEXT(ROW()-$C$72))"),"")</f>
        <v/>
      </c>
      <c r="H234" s="61" t="str">
        <f>IFERROR(__xludf.DUMMYFUNCTION("INDIRECT(""'收支紀錄'!H""&amp;TO_TEXT(ROW()-$C$72))"),"休閒娛樂")</f>
        <v>休閒娛樂</v>
      </c>
      <c r="I234" s="61" t="str">
        <f>IFERROR(__xludf.DUMMYFUNCTION("INDIRECT(""'收支紀錄'!I""&amp;TO_TEXT(ROW()-$C$72))"),"")</f>
        <v/>
      </c>
      <c r="J234" s="61" t="str">
        <f>IFERROR(__xludf.DUMMYFUNCTION("INDIRECT(""'收支紀錄'!J""&amp;TO_TEXT(ROW()-$C$72))"),"")</f>
        <v/>
      </c>
      <c r="K234" s="61" t="str">
        <f>IFERROR(__xludf.DUMMYFUNCTION("INDIRECT(""'收支紀錄'!K""&amp;TO_TEXT(ROW()-$C$72))"),"")</f>
        <v/>
      </c>
      <c r="L234" s="61" t="str">
        <f>IFERROR(__xludf.DUMMYFUNCTION("INDIRECT(""'收支紀錄'!L""&amp;TO_TEXT(ROW()-$C$72))"),"")</f>
        <v/>
      </c>
      <c r="M234" s="61" t="str">
        <f>IFERROR(__xludf.DUMMYFUNCTION("INDIRECT(""'收支紀錄'!M""&amp;TO_TEXT(ROW()-$C$72))"),"剪髮")</f>
        <v>剪髮</v>
      </c>
      <c r="N234" s="61" t="str">
        <f>IFERROR(__xludf.DUMMYFUNCTION("INDIRECT(""'收支紀錄'!N""&amp;TO_TEXT(ROW()-$C$72))"),"")</f>
        <v/>
      </c>
      <c r="O234" s="61" t="str">
        <f>IFERROR(__xludf.DUMMYFUNCTION("INDIRECT(""'收支紀錄'!O""&amp;TO_TEXT(ROW()-$C$72))"),"")</f>
        <v/>
      </c>
      <c r="P234" s="61" t="str">
        <f>IFERROR(__xludf.DUMMYFUNCTION("INDIRECT(""'收支紀錄'!P""&amp;TO_TEXT(ROW()-$C$72))"),"")</f>
        <v/>
      </c>
      <c r="Q234" s="61" t="str">
        <f>IFERROR(__xludf.DUMMYFUNCTION("INDIRECT(""'收支紀錄'!Q""&amp;TO_TEXT(ROW()-$C$72))"),"")</f>
        <v/>
      </c>
      <c r="R234" s="61" t="str">
        <f>IFERROR(__xludf.DUMMYFUNCTION("INDIRECT(""'收支紀錄'!R""&amp;TO_TEXT(ROW()-$C$72))"),"")</f>
        <v/>
      </c>
      <c r="S234" s="61" t="str">
        <f>IFERROR(__xludf.DUMMYFUNCTION("INDIRECT(""'收支紀錄'!S""&amp;TO_TEXT(ROW()-$C$72))"),"")</f>
        <v/>
      </c>
      <c r="T234" s="61" t="str">
        <f>IFERROR(__xludf.DUMMYFUNCTION("INDIRECT(""'收支紀錄'!T""&amp;TO_TEXT(ROW()-$C$72))"),"")</f>
        <v/>
      </c>
      <c r="U234" s="62" t="str">
        <f>IFERROR(__xludf.DUMMYFUNCTION("IF(T234=""是"",TEXTJOIN("""", TRUE, ""$"", TO_TEXT(C234), S234),"""")"),"")</f>
        <v/>
      </c>
    </row>
    <row r="235">
      <c r="A235" s="58">
        <f>IFERROR(__xludf.DUMMYFUNCTION("INDIRECT(""'收支紀錄'!A""&amp;TO_TEXT(ROW()-$C$72))"),45543.984974872685)</f>
        <v>45543.98497</v>
      </c>
      <c r="B235" s="59">
        <f>IFERROR(__xludf.DUMMYFUNCTION("IF(ISBLANK(D235), """", IF(ISDATE(D235), D235, IF(D235=""今天"", A235, IF(D235=""昨天 (-1 day)"", A235-1, IF(D235=""前天 (-2 days)"", A235-2, IF(D235=""明天 (+1 day)"", A235+1, DATE(LEFT(D235,4), MID(D235,5,2), RIGHT(D235,2))))))))"),45543.0)</f>
        <v>45543</v>
      </c>
      <c r="C235" s="60">
        <f>IFERROR(__xludf.DUMMYFUNCTION("INDIRECT(""'收支紀錄'!C""&amp;TO_TEXT(ROW()-$C$72))"),50.0)</f>
        <v>50</v>
      </c>
      <c r="D235" s="59">
        <f>IFERROR(__xludf.DUMMYFUNCTION("INDIRECT(""'收支紀錄'!D""&amp;TO_TEXT(ROW()-$C$72))"),45543.0)</f>
        <v>45543</v>
      </c>
      <c r="E235" s="61" t="str">
        <f>IFERROR(__xludf.DUMMYFUNCTION("INDIRECT(""'收支紀錄'!E""&amp;TO_TEXT(ROW()-$C$72))"),"")</f>
        <v/>
      </c>
      <c r="F235" s="61" t="str">
        <f>IFERROR(__xludf.DUMMYFUNCTION("INDIRECT(""'收支紀錄'!F""&amp;TO_TEXT(ROW()-$C$72))"),"")</f>
        <v/>
      </c>
      <c r="G235" s="61" t="str">
        <f>IFERROR(__xludf.DUMMYFUNCTION("INDIRECT(""'收支紀錄'!G""&amp;TO_TEXT(ROW()-$C$72))"),"")</f>
        <v/>
      </c>
      <c r="H235" s="61" t="str">
        <f>IFERROR(__xludf.DUMMYFUNCTION("INDIRECT(""'收支紀錄'!H""&amp;TO_TEXT(ROW()-$C$72))"),"休閒娛樂")</f>
        <v>休閒娛樂</v>
      </c>
      <c r="I235" s="61" t="str">
        <f>IFERROR(__xludf.DUMMYFUNCTION("INDIRECT(""'收支紀錄'!I""&amp;TO_TEXT(ROW()-$C$72))"),"")</f>
        <v/>
      </c>
      <c r="J235" s="61" t="str">
        <f>IFERROR(__xludf.DUMMYFUNCTION("INDIRECT(""'收支紀錄'!J""&amp;TO_TEXT(ROW()-$C$72))"),"")</f>
        <v/>
      </c>
      <c r="K235" s="61" t="str">
        <f>IFERROR(__xludf.DUMMYFUNCTION("INDIRECT(""'收支紀錄'!K""&amp;TO_TEXT(ROW()-$C$72))"),"")</f>
        <v/>
      </c>
      <c r="L235" s="61" t="str">
        <f>IFERROR(__xludf.DUMMYFUNCTION("INDIRECT(""'收支紀錄'!L""&amp;TO_TEXT(ROW()-$C$72))"),"")</f>
        <v/>
      </c>
      <c r="M235" s="61" t="str">
        <f>IFERROR(__xludf.DUMMYFUNCTION("INDIRECT(""'收支紀錄'!M""&amp;TO_TEXT(ROW()-$C$72))"),"運動健身")</f>
        <v>運動健身</v>
      </c>
      <c r="N235" s="61" t="str">
        <f>IFERROR(__xludf.DUMMYFUNCTION("INDIRECT(""'收支紀錄'!N""&amp;TO_TEXT(ROW()-$C$72))"),"")</f>
        <v/>
      </c>
      <c r="O235" s="61" t="str">
        <f>IFERROR(__xludf.DUMMYFUNCTION("INDIRECT(""'收支紀錄'!O""&amp;TO_TEXT(ROW()-$C$72))"),"")</f>
        <v/>
      </c>
      <c r="P235" s="61" t="str">
        <f>IFERROR(__xludf.DUMMYFUNCTION("INDIRECT(""'收支紀錄'!P""&amp;TO_TEXT(ROW()-$C$72))"),"")</f>
        <v/>
      </c>
      <c r="Q235" s="61" t="str">
        <f>IFERROR(__xludf.DUMMYFUNCTION("INDIRECT(""'收支紀錄'!Q""&amp;TO_TEXT(ROW()-$C$72))"),"")</f>
        <v/>
      </c>
      <c r="R235" s="61" t="str">
        <f>IFERROR(__xludf.DUMMYFUNCTION("INDIRECT(""'收支紀錄'!R""&amp;TO_TEXT(ROW()-$C$72))"),"")</f>
        <v/>
      </c>
      <c r="S235" s="61" t="str">
        <f>IFERROR(__xludf.DUMMYFUNCTION("INDIRECT(""'收支紀錄'!S""&amp;TO_TEXT(ROW()-$C$72))"),"")</f>
        <v/>
      </c>
      <c r="T235" s="61" t="str">
        <f>IFERROR(__xludf.DUMMYFUNCTION("INDIRECT(""'收支紀錄'!T""&amp;TO_TEXT(ROW()-$C$72))"),"")</f>
        <v/>
      </c>
      <c r="U235" s="62" t="str">
        <f>IFERROR(__xludf.DUMMYFUNCTION("IF(T235=""是"",TEXTJOIN("""", TRUE, ""$"", TO_TEXT(C235), S235),"""")"),"")</f>
        <v/>
      </c>
    </row>
    <row r="236">
      <c r="A236" s="58">
        <f>IFERROR(__xludf.DUMMYFUNCTION("INDIRECT(""'收支紀錄'!A""&amp;TO_TEXT(ROW()-$C$72))"),45543.98532648148)</f>
        <v>45543.98533</v>
      </c>
      <c r="B236" s="59">
        <f>IFERROR(__xludf.DUMMYFUNCTION("IF(ISBLANK(D236), """", IF(ISDATE(D236), D236, IF(D236=""今天"", A236, IF(D236=""昨天 (-1 day)"", A236-1, IF(D236=""前天 (-2 days)"", A236-2, IF(D236=""明天 (+1 day)"", A236+1, DATE(LEFT(D236,4), MID(D236,5,2), RIGHT(D236,2))))))))"),45543.0)</f>
        <v>45543</v>
      </c>
      <c r="C236" s="60">
        <f>IFERROR(__xludf.DUMMYFUNCTION("INDIRECT(""'收支紀錄'!C""&amp;TO_TEXT(ROW()-$C$72))"),1905.0)</f>
        <v>1905</v>
      </c>
      <c r="D236" s="59">
        <f>IFERROR(__xludf.DUMMYFUNCTION("INDIRECT(""'收支紀錄'!D""&amp;TO_TEXT(ROW()-$C$72))"),45543.0)</f>
        <v>45543</v>
      </c>
      <c r="E236" s="61" t="str">
        <f>IFERROR(__xludf.DUMMYFUNCTION("INDIRECT(""'收支紀錄'!E""&amp;TO_TEXT(ROW()-$C$72))"),"")</f>
        <v/>
      </c>
      <c r="F236" s="61" t="str">
        <f>IFERROR(__xludf.DUMMYFUNCTION("INDIRECT(""'收支紀錄'!F""&amp;TO_TEXT(ROW()-$C$72))"),"")</f>
        <v/>
      </c>
      <c r="G236" s="61" t="str">
        <f>IFERROR(__xludf.DUMMYFUNCTION("INDIRECT(""'收支紀錄'!G""&amp;TO_TEXT(ROW()-$C$72))"),"")</f>
        <v/>
      </c>
      <c r="H236" s="61" t="str">
        <f>IFERROR(__xludf.DUMMYFUNCTION("INDIRECT(""'收支紀錄'!H""&amp;TO_TEXT(ROW()-$C$72))"),"食品酒水")</f>
        <v>食品酒水</v>
      </c>
      <c r="I236" s="61" t="str">
        <f>IFERROR(__xludf.DUMMYFUNCTION("INDIRECT(""'收支紀錄'!I""&amp;TO_TEXT(ROW()-$C$72))"),"食材")</f>
        <v>食材</v>
      </c>
      <c r="J236" s="61" t="str">
        <f>IFERROR(__xludf.DUMMYFUNCTION("INDIRECT(""'收支紀錄'!J""&amp;TO_TEXT(ROW()-$C$72))"),"")</f>
        <v/>
      </c>
      <c r="K236" s="61" t="str">
        <f>IFERROR(__xludf.DUMMYFUNCTION("INDIRECT(""'收支紀錄'!K""&amp;TO_TEXT(ROW()-$C$72))"),"")</f>
        <v/>
      </c>
      <c r="L236" s="61" t="str">
        <f>IFERROR(__xludf.DUMMYFUNCTION("INDIRECT(""'收支紀錄'!L""&amp;TO_TEXT(ROW()-$C$72))"),"")</f>
        <v/>
      </c>
      <c r="M236" s="61" t="str">
        <f>IFERROR(__xludf.DUMMYFUNCTION("INDIRECT(""'收支紀錄'!M""&amp;TO_TEXT(ROW()-$C$72))"),"")</f>
        <v/>
      </c>
      <c r="N236" s="61" t="str">
        <f>IFERROR(__xludf.DUMMYFUNCTION("INDIRECT(""'收支紀錄'!N""&amp;TO_TEXT(ROW()-$C$72))"),"")</f>
        <v/>
      </c>
      <c r="O236" s="61" t="str">
        <f>IFERROR(__xludf.DUMMYFUNCTION("INDIRECT(""'收支紀錄'!O""&amp;TO_TEXT(ROW()-$C$72))"),"")</f>
        <v/>
      </c>
      <c r="P236" s="61" t="str">
        <f>IFERROR(__xludf.DUMMYFUNCTION("INDIRECT(""'收支紀錄'!P""&amp;TO_TEXT(ROW()-$C$72))"),"")</f>
        <v/>
      </c>
      <c r="Q236" s="61" t="str">
        <f>IFERROR(__xludf.DUMMYFUNCTION("INDIRECT(""'收支紀錄'!Q""&amp;TO_TEXT(ROW()-$C$72))"),"")</f>
        <v/>
      </c>
      <c r="R236" s="61" t="str">
        <f>IFERROR(__xludf.DUMMYFUNCTION("INDIRECT(""'收支紀錄'!R""&amp;TO_TEXT(ROW()-$C$72))"),"")</f>
        <v/>
      </c>
      <c r="S236" s="61" t="str">
        <f>IFERROR(__xludf.DUMMYFUNCTION("INDIRECT(""'收支紀錄'!S""&amp;TO_TEXT(ROW()-$C$72))"),"好市多")</f>
        <v>好市多</v>
      </c>
      <c r="T236" s="61" t="str">
        <f>IFERROR(__xludf.DUMMYFUNCTION("INDIRECT(""'收支紀錄'!T""&amp;TO_TEXT(ROW()-$C$72))"),"")</f>
        <v/>
      </c>
      <c r="U236" s="62" t="str">
        <f>IFERROR(__xludf.DUMMYFUNCTION("IF(T236=""是"",TEXTJOIN("""", TRUE, ""$"", TO_TEXT(C236), S236),"""")"),"")</f>
        <v/>
      </c>
    </row>
    <row r="237">
      <c r="A237" s="58">
        <f>IFERROR(__xludf.DUMMYFUNCTION("INDIRECT(""'收支紀錄'!A""&amp;TO_TEXT(ROW()-$C$72))"),45544.29248233796)</f>
        <v>45544.29248</v>
      </c>
      <c r="B237" s="59">
        <f>IFERROR(__xludf.DUMMYFUNCTION("IF(ISBLANK(D237), """", IF(ISDATE(D237), D237, IF(D237=""今天"", A237, IF(D237=""昨天 (-1 day)"", A237-1, IF(D237=""前天 (-2 days)"", A237-2, IF(D237=""明天 (+1 day)"", A237+1, DATE(LEFT(D237,4), MID(D237,5,2), RIGHT(D237,2))))))))"),45544.0)</f>
        <v>45544</v>
      </c>
      <c r="C237" s="60">
        <f>IFERROR(__xludf.DUMMYFUNCTION("INDIRECT(""'收支紀錄'!C""&amp;TO_TEXT(ROW()-$C$72))"),160.0)</f>
        <v>160</v>
      </c>
      <c r="D237" s="59">
        <f>IFERROR(__xludf.DUMMYFUNCTION("INDIRECT(""'收支紀錄'!D""&amp;TO_TEXT(ROW()-$C$72))"),45544.0)</f>
        <v>45544</v>
      </c>
      <c r="E237" s="61" t="str">
        <f>IFERROR(__xludf.DUMMYFUNCTION("INDIRECT(""'收支紀錄'!E""&amp;TO_TEXT(ROW()-$C$72))"),"")</f>
        <v/>
      </c>
      <c r="F237" s="61" t="str">
        <f>IFERROR(__xludf.DUMMYFUNCTION("INDIRECT(""'收支紀錄'!F""&amp;TO_TEXT(ROW()-$C$72))"),"")</f>
        <v/>
      </c>
      <c r="G237" s="61" t="str">
        <f>IFERROR(__xludf.DUMMYFUNCTION("INDIRECT(""'收支紀錄'!G""&amp;TO_TEXT(ROW()-$C$72))"),"")</f>
        <v/>
      </c>
      <c r="H237" s="61" t="str">
        <f>IFERROR(__xludf.DUMMYFUNCTION("INDIRECT(""'收支紀錄'!H""&amp;TO_TEXT(ROW()-$C$72))"),"日常生活")</f>
        <v>日常生活</v>
      </c>
      <c r="I237" s="61" t="str">
        <f>IFERROR(__xludf.DUMMYFUNCTION("INDIRECT(""'收支紀錄'!I""&amp;TO_TEXT(ROW()-$C$72))"),"")</f>
        <v/>
      </c>
      <c r="J237" s="61" t="str">
        <f>IFERROR(__xludf.DUMMYFUNCTION("INDIRECT(""'收支紀錄'!J""&amp;TO_TEXT(ROW()-$C$72))"),"日常用品")</f>
        <v>日常用品</v>
      </c>
      <c r="K237" s="61" t="str">
        <f>IFERROR(__xludf.DUMMYFUNCTION("INDIRECT(""'收支紀錄'!K""&amp;TO_TEXT(ROW()-$C$72))"),"")</f>
        <v/>
      </c>
      <c r="L237" s="61" t="str">
        <f>IFERROR(__xludf.DUMMYFUNCTION("INDIRECT(""'收支紀錄'!L""&amp;TO_TEXT(ROW()-$C$72))"),"")</f>
        <v/>
      </c>
      <c r="M237" s="61" t="str">
        <f>IFERROR(__xludf.DUMMYFUNCTION("INDIRECT(""'收支紀錄'!M""&amp;TO_TEXT(ROW()-$C$72))"),"")</f>
        <v/>
      </c>
      <c r="N237" s="61" t="str">
        <f>IFERROR(__xludf.DUMMYFUNCTION("INDIRECT(""'收支紀錄'!N""&amp;TO_TEXT(ROW()-$C$72))"),"")</f>
        <v/>
      </c>
      <c r="O237" s="61" t="str">
        <f>IFERROR(__xludf.DUMMYFUNCTION("INDIRECT(""'收支紀錄'!O""&amp;TO_TEXT(ROW()-$C$72))"),"")</f>
        <v/>
      </c>
      <c r="P237" s="61" t="str">
        <f>IFERROR(__xludf.DUMMYFUNCTION("INDIRECT(""'收支紀錄'!P""&amp;TO_TEXT(ROW()-$C$72))"),"")</f>
        <v/>
      </c>
      <c r="Q237" s="61" t="str">
        <f>IFERROR(__xludf.DUMMYFUNCTION("INDIRECT(""'收支紀錄'!Q""&amp;TO_TEXT(ROW()-$C$72))"),"")</f>
        <v/>
      </c>
      <c r="R237" s="61" t="str">
        <f>IFERROR(__xludf.DUMMYFUNCTION("INDIRECT(""'收支紀錄'!R""&amp;TO_TEXT(ROW()-$C$72))"),"")</f>
        <v/>
      </c>
      <c r="S237" s="61" t="str">
        <f>IFERROR(__xludf.DUMMYFUNCTION("INDIRECT(""'收支紀錄'!S""&amp;TO_TEXT(ROW()-$C$72))"),"蝦皮冷氣遙控器")</f>
        <v>蝦皮冷氣遙控器</v>
      </c>
      <c r="T237" s="61" t="str">
        <f>IFERROR(__xludf.DUMMYFUNCTION("INDIRECT(""'收支紀錄'!T""&amp;TO_TEXT(ROW()-$C$72))"),"")</f>
        <v/>
      </c>
      <c r="U237" s="62" t="str">
        <f>IFERROR(__xludf.DUMMYFUNCTION("IF(T237=""是"",TEXTJOIN("""", TRUE, ""$"", TO_TEXT(C237), S237),"""")"),"")</f>
        <v/>
      </c>
    </row>
    <row r="238">
      <c r="A238" s="58">
        <f>IFERROR(__xludf.DUMMYFUNCTION("INDIRECT(""'收支紀錄'!A""&amp;TO_TEXT(ROW()-$C$72))"),45544.292850983795)</f>
        <v>45544.29285</v>
      </c>
      <c r="B238" s="59">
        <f>IFERROR(__xludf.DUMMYFUNCTION("IF(ISBLANK(D238), """", IF(ISDATE(D238), D238, IF(D238=""今天"", A238, IF(D238=""昨天 (-1 day)"", A238-1, IF(D238=""前天 (-2 days)"", A238-2, IF(D238=""明天 (+1 day)"", A238+1, DATE(LEFT(D238,4), MID(D238,5,2), RIGHT(D238,2))))))))"),45544.0)</f>
        <v>45544</v>
      </c>
      <c r="C238" s="60">
        <f>IFERROR(__xludf.DUMMYFUNCTION("INDIRECT(""'收支紀錄'!C""&amp;TO_TEXT(ROW()-$C$72))"),116.0)</f>
        <v>116</v>
      </c>
      <c r="D238" s="59">
        <f>IFERROR(__xludf.DUMMYFUNCTION("INDIRECT(""'收支紀錄'!D""&amp;TO_TEXT(ROW()-$C$72))"),45544.0)</f>
        <v>45544</v>
      </c>
      <c r="E238" s="61" t="str">
        <f>IFERROR(__xludf.DUMMYFUNCTION("INDIRECT(""'收支紀錄'!E""&amp;TO_TEXT(ROW()-$C$72))"),"")</f>
        <v/>
      </c>
      <c r="F238" s="61" t="str">
        <f>IFERROR(__xludf.DUMMYFUNCTION("INDIRECT(""'收支紀錄'!F""&amp;TO_TEXT(ROW()-$C$72))"),"")</f>
        <v/>
      </c>
      <c r="G238" s="61" t="str">
        <f>IFERROR(__xludf.DUMMYFUNCTION("INDIRECT(""'收支紀錄'!G""&amp;TO_TEXT(ROW()-$C$72))"),"")</f>
        <v/>
      </c>
      <c r="H238" s="61" t="str">
        <f>IFERROR(__xludf.DUMMYFUNCTION("INDIRECT(""'收支紀錄'!H""&amp;TO_TEXT(ROW()-$C$72))"),"日常生活")</f>
        <v>日常生活</v>
      </c>
      <c r="I238" s="61" t="str">
        <f>IFERROR(__xludf.DUMMYFUNCTION("INDIRECT(""'收支紀錄'!I""&amp;TO_TEXT(ROW()-$C$72))"),"")</f>
        <v/>
      </c>
      <c r="J238" s="61" t="str">
        <f>IFERROR(__xludf.DUMMYFUNCTION("INDIRECT(""'收支紀錄'!J""&amp;TO_TEXT(ROW()-$C$72))"),"日常用品")</f>
        <v>日常用品</v>
      </c>
      <c r="K238" s="61" t="str">
        <f>IFERROR(__xludf.DUMMYFUNCTION("INDIRECT(""'收支紀錄'!K""&amp;TO_TEXT(ROW()-$C$72))"),"")</f>
        <v/>
      </c>
      <c r="L238" s="61" t="str">
        <f>IFERROR(__xludf.DUMMYFUNCTION("INDIRECT(""'收支紀錄'!L""&amp;TO_TEXT(ROW()-$C$72))"),"")</f>
        <v/>
      </c>
      <c r="M238" s="61" t="str">
        <f>IFERROR(__xludf.DUMMYFUNCTION("INDIRECT(""'收支紀錄'!M""&amp;TO_TEXT(ROW()-$C$72))"),"")</f>
        <v/>
      </c>
      <c r="N238" s="61" t="str">
        <f>IFERROR(__xludf.DUMMYFUNCTION("INDIRECT(""'收支紀錄'!N""&amp;TO_TEXT(ROW()-$C$72))"),"")</f>
        <v/>
      </c>
      <c r="O238" s="61" t="str">
        <f>IFERROR(__xludf.DUMMYFUNCTION("INDIRECT(""'收支紀錄'!O""&amp;TO_TEXT(ROW()-$C$72))"),"")</f>
        <v/>
      </c>
      <c r="P238" s="61" t="str">
        <f>IFERROR(__xludf.DUMMYFUNCTION("INDIRECT(""'收支紀錄'!P""&amp;TO_TEXT(ROW()-$C$72))"),"")</f>
        <v/>
      </c>
      <c r="Q238" s="61" t="str">
        <f>IFERROR(__xludf.DUMMYFUNCTION("INDIRECT(""'收支紀錄'!Q""&amp;TO_TEXT(ROW()-$C$72))"),"")</f>
        <v/>
      </c>
      <c r="R238" s="61" t="str">
        <f>IFERROR(__xludf.DUMMYFUNCTION("INDIRECT(""'收支紀錄'!R""&amp;TO_TEXT(ROW()-$C$72))"),"")</f>
        <v/>
      </c>
      <c r="S238" s="61" t="str">
        <f>IFERROR(__xludf.DUMMYFUNCTION("INDIRECT(""'收支紀錄'!S""&amp;TO_TEXT(ROW()-$C$72))"),"蝦皮鍋蓋")</f>
        <v>蝦皮鍋蓋</v>
      </c>
      <c r="T238" s="61" t="str">
        <f>IFERROR(__xludf.DUMMYFUNCTION("INDIRECT(""'收支紀錄'!T""&amp;TO_TEXT(ROW()-$C$72))"),"")</f>
        <v/>
      </c>
      <c r="U238" s="62" t="str">
        <f>IFERROR(__xludf.DUMMYFUNCTION("IF(T238=""是"",TEXTJOIN("""", TRUE, ""$"", TO_TEXT(C238), S238),"""")"),"")</f>
        <v/>
      </c>
    </row>
    <row r="239">
      <c r="A239" s="58">
        <f>IFERROR(__xludf.DUMMYFUNCTION("INDIRECT(""'收支紀錄'!A""&amp;TO_TEXT(ROW()-$C$72))"),45544.29756304398)</f>
        <v>45544.29756</v>
      </c>
      <c r="B239" s="59">
        <f>IFERROR(__xludf.DUMMYFUNCTION("IF(ISBLANK(D239), """", IF(ISDATE(D239), D239, IF(D239=""今天"", A239, IF(D239=""昨天 (-1 day)"", A239-1, IF(D239=""前天 (-2 days)"", A239-2, IF(D239=""明天 (+1 day)"", A239+1, DATE(LEFT(D239,4), MID(D239,5,2), RIGHT(D239,2))))))))"),45544.0)</f>
        <v>45544</v>
      </c>
      <c r="C239" s="60">
        <f>IFERROR(__xludf.DUMMYFUNCTION("INDIRECT(""'收支紀錄'!C""&amp;TO_TEXT(ROW()-$C$72))"),1385.0)</f>
        <v>1385</v>
      </c>
      <c r="D239" s="59">
        <f>IFERROR(__xludf.DUMMYFUNCTION("INDIRECT(""'收支紀錄'!D""&amp;TO_TEXT(ROW()-$C$72))"),45544.0)</f>
        <v>45544</v>
      </c>
      <c r="E239" s="61" t="str">
        <f>IFERROR(__xludf.DUMMYFUNCTION("INDIRECT(""'收支紀錄'!E""&amp;TO_TEXT(ROW()-$C$72))"),"")</f>
        <v/>
      </c>
      <c r="F239" s="61" t="str">
        <f>IFERROR(__xludf.DUMMYFUNCTION("INDIRECT(""'收支紀錄'!F""&amp;TO_TEXT(ROW()-$C$72))"),"")</f>
        <v/>
      </c>
      <c r="G239" s="61" t="str">
        <f>IFERROR(__xludf.DUMMYFUNCTION("INDIRECT(""'收支紀錄'!G""&amp;TO_TEXT(ROW()-$C$72))"),"")</f>
        <v/>
      </c>
      <c r="H239" s="61" t="str">
        <f>IFERROR(__xludf.DUMMYFUNCTION("INDIRECT(""'收支紀錄'!H""&amp;TO_TEXT(ROW()-$C$72))"),"日常生活")</f>
        <v>日常生活</v>
      </c>
      <c r="I239" s="61" t="str">
        <f>IFERROR(__xludf.DUMMYFUNCTION("INDIRECT(""'收支紀錄'!I""&amp;TO_TEXT(ROW()-$C$72))"),"")</f>
        <v/>
      </c>
      <c r="J239" s="61" t="str">
        <f>IFERROR(__xludf.DUMMYFUNCTION("INDIRECT(""'收支紀錄'!J""&amp;TO_TEXT(ROW()-$C$72))"),"日常用品")</f>
        <v>日常用品</v>
      </c>
      <c r="K239" s="61" t="str">
        <f>IFERROR(__xludf.DUMMYFUNCTION("INDIRECT(""'收支紀錄'!K""&amp;TO_TEXT(ROW()-$C$72))"),"")</f>
        <v/>
      </c>
      <c r="L239" s="61" t="str">
        <f>IFERROR(__xludf.DUMMYFUNCTION("INDIRECT(""'收支紀錄'!L""&amp;TO_TEXT(ROW()-$C$72))"),"")</f>
        <v/>
      </c>
      <c r="M239" s="61" t="str">
        <f>IFERROR(__xludf.DUMMYFUNCTION("INDIRECT(""'收支紀錄'!M""&amp;TO_TEXT(ROW()-$C$72))"),"")</f>
        <v/>
      </c>
      <c r="N239" s="61" t="str">
        <f>IFERROR(__xludf.DUMMYFUNCTION("INDIRECT(""'收支紀錄'!N""&amp;TO_TEXT(ROW()-$C$72))"),"")</f>
        <v/>
      </c>
      <c r="O239" s="61" t="str">
        <f>IFERROR(__xludf.DUMMYFUNCTION("INDIRECT(""'收支紀錄'!O""&amp;TO_TEXT(ROW()-$C$72))"),"")</f>
        <v/>
      </c>
      <c r="P239" s="61" t="str">
        <f>IFERROR(__xludf.DUMMYFUNCTION("INDIRECT(""'收支紀錄'!P""&amp;TO_TEXT(ROW()-$C$72))"),"")</f>
        <v/>
      </c>
      <c r="Q239" s="61" t="str">
        <f>IFERROR(__xludf.DUMMYFUNCTION("INDIRECT(""'收支紀錄'!Q""&amp;TO_TEXT(ROW()-$C$72))"),"")</f>
        <v/>
      </c>
      <c r="R239" s="61" t="str">
        <f>IFERROR(__xludf.DUMMYFUNCTION("INDIRECT(""'收支紀錄'!R""&amp;TO_TEXT(ROW()-$C$72))"),"")</f>
        <v/>
      </c>
      <c r="S239" s="61" t="str">
        <f>IFERROR(__xludf.DUMMYFUNCTION("INDIRECT(""'收支紀錄'!S""&amp;TO_TEXT(ROW()-$C$72))"),"蝦皮 置物架")</f>
        <v>蝦皮 置物架</v>
      </c>
      <c r="T239" s="61" t="str">
        <f>IFERROR(__xludf.DUMMYFUNCTION("INDIRECT(""'收支紀錄'!T""&amp;TO_TEXT(ROW()-$C$72))"),"")</f>
        <v/>
      </c>
      <c r="U239" s="62" t="str">
        <f>IFERROR(__xludf.DUMMYFUNCTION("IF(T239=""是"",TEXTJOIN("""", TRUE, ""$"", TO_TEXT(C239), S239),"""")"),"")</f>
        <v/>
      </c>
    </row>
    <row r="240">
      <c r="A240" s="58">
        <f>IFERROR(__xludf.DUMMYFUNCTION("INDIRECT(""'收支紀錄'!A""&amp;TO_TEXT(ROW()-$C$72))"),45544.96494626158)</f>
        <v>45544.96495</v>
      </c>
      <c r="B240" s="59">
        <f>IFERROR(__xludf.DUMMYFUNCTION("IF(ISBLANK(D240), """", IF(ISDATE(D240), D240, IF(D240=""今天"", A240, IF(D240=""昨天 (-1 day)"", A240-1, IF(D240=""前天 (-2 days)"", A240-2, IF(D240=""明天 (+1 day)"", A240+1, DATE(LEFT(D240,4), MID(D240,5,2), RIGHT(D240,2))))))))"),45544.0)</f>
        <v>45544</v>
      </c>
      <c r="C240" s="60">
        <f>IFERROR(__xludf.DUMMYFUNCTION("INDIRECT(""'收支紀錄'!C""&amp;TO_TEXT(ROW()-$C$72))"),580.0)</f>
        <v>580</v>
      </c>
      <c r="D240" s="59">
        <f>IFERROR(__xludf.DUMMYFUNCTION("INDIRECT(""'收支紀錄'!D""&amp;TO_TEXT(ROW()-$C$72))"),45544.0)</f>
        <v>45544</v>
      </c>
      <c r="E240" s="61" t="str">
        <f>IFERROR(__xludf.DUMMYFUNCTION("INDIRECT(""'收支紀錄'!E""&amp;TO_TEXT(ROW()-$C$72))"),"")</f>
        <v/>
      </c>
      <c r="F240" s="61" t="str">
        <f>IFERROR(__xludf.DUMMYFUNCTION("INDIRECT(""'收支紀錄'!F""&amp;TO_TEXT(ROW()-$C$72))"),"")</f>
        <v/>
      </c>
      <c r="G240" s="61" t="str">
        <f>IFERROR(__xludf.DUMMYFUNCTION("INDIRECT(""'收支紀錄'!G""&amp;TO_TEXT(ROW()-$C$72))"),"")</f>
        <v/>
      </c>
      <c r="H240" s="61" t="str">
        <f>IFERROR(__xludf.DUMMYFUNCTION("INDIRECT(""'收支紀錄'!H""&amp;TO_TEXT(ROW()-$C$72))"),"食品酒水")</f>
        <v>食品酒水</v>
      </c>
      <c r="I240" s="61" t="str">
        <f>IFERROR(__xludf.DUMMYFUNCTION("INDIRECT(""'收支紀錄'!I""&amp;TO_TEXT(ROW()-$C$72))"),"餐飲票券")</f>
        <v>餐飲票券</v>
      </c>
      <c r="J240" s="61" t="str">
        <f>IFERROR(__xludf.DUMMYFUNCTION("INDIRECT(""'收支紀錄'!J""&amp;TO_TEXT(ROW()-$C$72))"),"")</f>
        <v/>
      </c>
      <c r="K240" s="61" t="str">
        <f>IFERROR(__xludf.DUMMYFUNCTION("INDIRECT(""'收支紀錄'!K""&amp;TO_TEXT(ROW()-$C$72))"),"")</f>
        <v/>
      </c>
      <c r="L240" s="61" t="str">
        <f>IFERROR(__xludf.DUMMYFUNCTION("INDIRECT(""'收支紀錄'!L""&amp;TO_TEXT(ROW()-$C$72))"),"")</f>
        <v/>
      </c>
      <c r="M240" s="61" t="str">
        <f>IFERROR(__xludf.DUMMYFUNCTION("INDIRECT(""'收支紀錄'!M""&amp;TO_TEXT(ROW()-$C$72))"),"")</f>
        <v/>
      </c>
      <c r="N240" s="61" t="str">
        <f>IFERROR(__xludf.DUMMYFUNCTION("INDIRECT(""'收支紀錄'!N""&amp;TO_TEXT(ROW()-$C$72))"),"")</f>
        <v/>
      </c>
      <c r="O240" s="61" t="str">
        <f>IFERROR(__xludf.DUMMYFUNCTION("INDIRECT(""'收支紀錄'!O""&amp;TO_TEXT(ROW()-$C$72))"),"")</f>
        <v/>
      </c>
      <c r="P240" s="61" t="str">
        <f>IFERROR(__xludf.DUMMYFUNCTION("INDIRECT(""'收支紀錄'!P""&amp;TO_TEXT(ROW()-$C$72))"),"")</f>
        <v/>
      </c>
      <c r="Q240" s="61" t="str">
        <f>IFERROR(__xludf.DUMMYFUNCTION("INDIRECT(""'收支紀錄'!Q""&amp;TO_TEXT(ROW()-$C$72))"),"")</f>
        <v/>
      </c>
      <c r="R240" s="61" t="str">
        <f>IFERROR(__xludf.DUMMYFUNCTION("INDIRECT(""'收支紀錄'!R""&amp;TO_TEXT(ROW()-$C$72))"),"")</f>
        <v/>
      </c>
      <c r="S240" s="61" t="str">
        <f>IFERROR(__xludf.DUMMYFUNCTION("INDIRECT(""'收支紀錄'!S""&amp;TO_TEXT(ROW()-$C$72))"),"蝦皮：豬肉滿福堡+4雞塊*10")</f>
        <v>蝦皮：豬肉滿福堡+4雞塊*10</v>
      </c>
      <c r="T240" s="61" t="str">
        <f>IFERROR(__xludf.DUMMYFUNCTION("INDIRECT(""'收支紀錄'!T""&amp;TO_TEXT(ROW()-$C$72))"),"")</f>
        <v/>
      </c>
      <c r="U240" s="62" t="str">
        <f>IFERROR(__xludf.DUMMYFUNCTION("IF(T240=""是"",TEXTJOIN("""", TRUE, ""$"", TO_TEXT(C240), S240),"""")"),"")</f>
        <v/>
      </c>
    </row>
    <row r="241">
      <c r="A241" s="58">
        <f>IFERROR(__xludf.DUMMYFUNCTION("INDIRECT(""'收支紀錄'!A""&amp;TO_TEXT(ROW()-$C$72))"),45545.52043671296)</f>
        <v>45545.52044</v>
      </c>
      <c r="B241" s="59">
        <f>IFERROR(__xludf.DUMMYFUNCTION("IF(ISBLANK(D241), """", IF(ISDATE(D241), D241, IF(D241=""今天"", A241, IF(D241=""昨天 (-1 day)"", A241-1, IF(D241=""前天 (-2 days)"", A241-2, IF(D241=""明天 (+1 day)"", A241+1, DATE(LEFT(D241,4), MID(D241,5,2), RIGHT(D241,2))))))))"),45545.0)</f>
        <v>45545</v>
      </c>
      <c r="C241" s="60">
        <f>IFERROR(__xludf.DUMMYFUNCTION("INDIRECT(""'收支紀錄'!C""&amp;TO_TEXT(ROW()-$C$72))"),286.0)</f>
        <v>286</v>
      </c>
      <c r="D241" s="59">
        <f>IFERROR(__xludf.DUMMYFUNCTION("INDIRECT(""'收支紀錄'!D""&amp;TO_TEXT(ROW()-$C$72))"),45545.0)</f>
        <v>45545</v>
      </c>
      <c r="E241" s="61" t="str">
        <f>IFERROR(__xludf.DUMMYFUNCTION("INDIRECT(""'收支紀錄'!E""&amp;TO_TEXT(ROW()-$C$72))"),"")</f>
        <v/>
      </c>
      <c r="F241" s="61" t="str">
        <f>IFERROR(__xludf.DUMMYFUNCTION("INDIRECT(""'收支紀錄'!F""&amp;TO_TEXT(ROW()-$C$72))"),"")</f>
        <v/>
      </c>
      <c r="G241" s="61" t="str">
        <f>IFERROR(__xludf.DUMMYFUNCTION("INDIRECT(""'收支紀錄'!G""&amp;TO_TEXT(ROW()-$C$72))"),"")</f>
        <v/>
      </c>
      <c r="H241" s="61" t="str">
        <f>IFERROR(__xludf.DUMMYFUNCTION("INDIRECT(""'收支紀錄'!H""&amp;TO_TEXT(ROW()-$C$72))"),"進修學習")</f>
        <v>進修學習</v>
      </c>
      <c r="I241" s="61" t="str">
        <f>IFERROR(__xludf.DUMMYFUNCTION("INDIRECT(""'收支紀錄'!I""&amp;TO_TEXT(ROW()-$C$72))"),"")</f>
        <v/>
      </c>
      <c r="J241" s="61" t="str">
        <f>IFERROR(__xludf.DUMMYFUNCTION("INDIRECT(""'收支紀錄'!J""&amp;TO_TEXT(ROW()-$C$72))"),"")</f>
        <v/>
      </c>
      <c r="K241" s="61" t="str">
        <f>IFERROR(__xludf.DUMMYFUNCTION("INDIRECT(""'收支紀錄'!K""&amp;TO_TEXT(ROW()-$C$72))"),"")</f>
        <v/>
      </c>
      <c r="L241" s="61" t="str">
        <f>IFERROR(__xludf.DUMMYFUNCTION("INDIRECT(""'收支紀錄'!L""&amp;TO_TEXT(ROW()-$C$72))"),"")</f>
        <v/>
      </c>
      <c r="M241" s="61" t="str">
        <f>IFERROR(__xludf.DUMMYFUNCTION("INDIRECT(""'收支紀錄'!M""&amp;TO_TEXT(ROW()-$C$72))"),"")</f>
        <v/>
      </c>
      <c r="N241" s="61" t="str">
        <f>IFERROR(__xludf.DUMMYFUNCTION("INDIRECT(""'收支紀錄'!N""&amp;TO_TEXT(ROW()-$C$72))"),"")</f>
        <v/>
      </c>
      <c r="O241" s="61" t="str">
        <f>IFERROR(__xludf.DUMMYFUNCTION("INDIRECT(""'收支紀錄'!O""&amp;TO_TEXT(ROW()-$C$72))"),"")</f>
        <v/>
      </c>
      <c r="P241" s="61" t="str">
        <f>IFERROR(__xludf.DUMMYFUNCTION("INDIRECT(""'收支紀錄'!P""&amp;TO_TEXT(ROW()-$C$72))"),"書報雜誌")</f>
        <v>書報雜誌</v>
      </c>
      <c r="Q241" s="61" t="str">
        <f>IFERROR(__xludf.DUMMYFUNCTION("INDIRECT(""'收支紀錄'!Q""&amp;TO_TEXT(ROW()-$C$72))"),"")</f>
        <v/>
      </c>
      <c r="R241" s="61" t="str">
        <f>IFERROR(__xludf.DUMMYFUNCTION("INDIRECT(""'收支紀錄'!R""&amp;TO_TEXT(ROW()-$C$72))"),"")</f>
        <v/>
      </c>
      <c r="S241" s="61" t="str">
        <f>IFERROR(__xludf.DUMMYFUNCTION("INDIRECT(""'收支紀錄'!S""&amp;TO_TEXT(ROW()-$C$72))"),"Friday購物 世界大局用錢解讀")</f>
        <v>Friday購物 世界大局用錢解讀</v>
      </c>
      <c r="T241" s="61" t="str">
        <f>IFERROR(__xludf.DUMMYFUNCTION("INDIRECT(""'收支紀錄'!T""&amp;TO_TEXT(ROW()-$C$72))"),"")</f>
        <v/>
      </c>
      <c r="U241" s="62" t="str">
        <f>IFERROR(__xludf.DUMMYFUNCTION("IF(T241=""是"",TEXTJOIN("""", TRUE, ""$"", TO_TEXT(C241), S241),"""")"),"")</f>
        <v/>
      </c>
    </row>
    <row r="242">
      <c r="A242" s="58">
        <f>IFERROR(__xludf.DUMMYFUNCTION("INDIRECT(""'收支紀錄'!A""&amp;TO_TEXT(ROW()-$C$72))"),45547.0260658912)</f>
        <v>45547.02607</v>
      </c>
      <c r="B242" s="59">
        <f>IFERROR(__xludf.DUMMYFUNCTION("IF(ISBLANK(D242), """", IF(ISDATE(D242), D242, IF(D242=""今天"", A242, IF(D242=""昨天 (-1 day)"", A242-1, IF(D242=""前天 (-2 days)"", A242-2, IF(D242=""明天 (+1 day)"", A242+1, DATE(LEFT(D242,4), MID(D242,5,2), RIGHT(D242,2))))))))"),45551.0)</f>
        <v>45551</v>
      </c>
      <c r="C242" s="60">
        <f>IFERROR(__xludf.DUMMYFUNCTION("INDIRECT(""'收支紀錄'!C""&amp;TO_TEXT(ROW()-$C$72))"),621.0)</f>
        <v>621</v>
      </c>
      <c r="D242" s="59">
        <f>IFERROR(__xludf.DUMMYFUNCTION("INDIRECT(""'收支紀錄'!D""&amp;TO_TEXT(ROW()-$C$72))"),45551.0)</f>
        <v>45551</v>
      </c>
      <c r="E242" s="61" t="str">
        <f>IFERROR(__xludf.DUMMYFUNCTION("INDIRECT(""'收支紀錄'!E""&amp;TO_TEXT(ROW()-$C$72))"),"")</f>
        <v/>
      </c>
      <c r="F242" s="61" t="str">
        <f>IFERROR(__xludf.DUMMYFUNCTION("INDIRECT(""'收支紀錄'!F""&amp;TO_TEXT(ROW()-$C$72))"),"")</f>
        <v/>
      </c>
      <c r="G242" s="61" t="str">
        <f>IFERROR(__xludf.DUMMYFUNCTION("INDIRECT(""'收支紀錄'!G""&amp;TO_TEXT(ROW()-$C$72))"),"")</f>
        <v/>
      </c>
      <c r="H242" s="61" t="str">
        <f>IFERROR(__xludf.DUMMYFUNCTION("INDIRECT(""'收支紀錄'!H""&amp;TO_TEXT(ROW()-$C$72))"),"行車交通")</f>
        <v>行車交通</v>
      </c>
      <c r="I242" s="61" t="str">
        <f>IFERROR(__xludf.DUMMYFUNCTION("INDIRECT(""'收支紀錄'!I""&amp;TO_TEXT(ROW()-$C$72))"),"")</f>
        <v/>
      </c>
      <c r="J242" s="61" t="str">
        <f>IFERROR(__xludf.DUMMYFUNCTION("INDIRECT(""'收支紀錄'!J""&amp;TO_TEXT(ROW()-$C$72))"),"")</f>
        <v/>
      </c>
      <c r="K242" s="61" t="str">
        <f>IFERROR(__xludf.DUMMYFUNCTION("INDIRECT(""'收支紀錄'!K""&amp;TO_TEXT(ROW()-$C$72))"),"")</f>
        <v/>
      </c>
      <c r="L242" s="61" t="str">
        <f>IFERROR(__xludf.DUMMYFUNCTION("INDIRECT(""'收支紀錄'!L""&amp;TO_TEXT(ROW()-$C$72))"),"火車費")</f>
        <v>火車費</v>
      </c>
      <c r="M242" s="61" t="str">
        <f>IFERROR(__xludf.DUMMYFUNCTION("INDIRECT(""'收支紀錄'!M""&amp;TO_TEXT(ROW()-$C$72))"),"")</f>
        <v/>
      </c>
      <c r="N242" s="61" t="str">
        <f>IFERROR(__xludf.DUMMYFUNCTION("INDIRECT(""'收支紀錄'!N""&amp;TO_TEXT(ROW()-$C$72))"),"")</f>
        <v/>
      </c>
      <c r="O242" s="61" t="str">
        <f>IFERROR(__xludf.DUMMYFUNCTION("INDIRECT(""'收支紀錄'!O""&amp;TO_TEXT(ROW()-$C$72))"),"")</f>
        <v/>
      </c>
      <c r="P242" s="61" t="str">
        <f>IFERROR(__xludf.DUMMYFUNCTION("INDIRECT(""'收支紀錄'!P""&amp;TO_TEXT(ROW()-$C$72))"),"")</f>
        <v/>
      </c>
      <c r="Q242" s="61" t="str">
        <f>IFERROR(__xludf.DUMMYFUNCTION("INDIRECT(""'收支紀錄'!Q""&amp;TO_TEXT(ROW()-$C$72))"),"")</f>
        <v/>
      </c>
      <c r="R242" s="61" t="str">
        <f>IFERROR(__xludf.DUMMYFUNCTION("INDIRECT(""'收支紀錄'!R""&amp;TO_TEXT(ROW()-$C$72))"),"")</f>
        <v/>
      </c>
      <c r="S242" s="61" t="str">
        <f>IFERROR(__xludf.DUMMYFUNCTION("INDIRECT(""'收支紀錄'!S""&amp;TO_TEXT(ROW()-$C$72))"),"")</f>
        <v/>
      </c>
      <c r="T242" s="61" t="str">
        <f>IFERROR(__xludf.DUMMYFUNCTION("INDIRECT(""'收支紀錄'!T""&amp;TO_TEXT(ROW()-$C$72))"),"")</f>
        <v/>
      </c>
      <c r="U242" s="62" t="str">
        <f>IFERROR(__xludf.DUMMYFUNCTION("IF(T242=""是"",TEXTJOIN("""", TRUE, ""$"", TO_TEXT(C242), S242),"""")"),"")</f>
        <v/>
      </c>
    </row>
    <row r="243">
      <c r="A243" s="58">
        <f>IFERROR(__xludf.DUMMYFUNCTION("INDIRECT(""'收支紀錄'!A""&amp;TO_TEXT(ROW()-$C$72))"),45549.6893737037)</f>
        <v>45549.68937</v>
      </c>
      <c r="B243" s="59">
        <f>IFERROR(__xludf.DUMMYFUNCTION("IF(ISBLANK(D243), """", IF(ISDATE(D243), D243, IF(D243=""今天"", A243, IF(D243=""昨天 (-1 day)"", A243-1, IF(D243=""前天 (-2 days)"", A243-2, IF(D243=""明天 (+1 day)"", A243+1, DATE(LEFT(D243,4), MID(D243,5,2), RIGHT(D243,2))))))))"),45548.0)</f>
        <v>45548</v>
      </c>
      <c r="C243" s="60">
        <f>IFERROR(__xludf.DUMMYFUNCTION("INDIRECT(""'收支紀錄'!C""&amp;TO_TEXT(ROW()-$C$72))"),467.0)</f>
        <v>467</v>
      </c>
      <c r="D243" s="59">
        <f>IFERROR(__xludf.DUMMYFUNCTION("INDIRECT(""'收支紀錄'!D""&amp;TO_TEXT(ROW()-$C$72))"),45548.0)</f>
        <v>45548</v>
      </c>
      <c r="E243" s="61" t="str">
        <f>IFERROR(__xludf.DUMMYFUNCTION("INDIRECT(""'收支紀錄'!E""&amp;TO_TEXT(ROW()-$C$72))"),"")</f>
        <v/>
      </c>
      <c r="F243" s="61" t="str">
        <f>IFERROR(__xludf.DUMMYFUNCTION("INDIRECT(""'收支紀錄'!F""&amp;TO_TEXT(ROW()-$C$72))"),"")</f>
        <v/>
      </c>
      <c r="G243" s="61" t="str">
        <f>IFERROR(__xludf.DUMMYFUNCTION("INDIRECT(""'收支紀錄'!G""&amp;TO_TEXT(ROW()-$C$72))"),"")</f>
        <v/>
      </c>
      <c r="H243" s="61" t="str">
        <f>IFERROR(__xludf.DUMMYFUNCTION("INDIRECT(""'收支紀錄'!H""&amp;TO_TEXT(ROW()-$C$72))"),"食品酒水")</f>
        <v>食品酒水</v>
      </c>
      <c r="I243" s="61" t="str">
        <f>IFERROR(__xludf.DUMMYFUNCTION("INDIRECT(""'收支紀錄'!I""&amp;TO_TEXT(ROW()-$C$72))"),"晚餐")</f>
        <v>晚餐</v>
      </c>
      <c r="J243" s="61" t="str">
        <f>IFERROR(__xludf.DUMMYFUNCTION("INDIRECT(""'收支紀錄'!J""&amp;TO_TEXT(ROW()-$C$72))"),"")</f>
        <v/>
      </c>
      <c r="K243" s="61" t="str">
        <f>IFERROR(__xludf.DUMMYFUNCTION("INDIRECT(""'收支紀錄'!K""&amp;TO_TEXT(ROW()-$C$72))"),"")</f>
        <v/>
      </c>
      <c r="L243" s="61" t="str">
        <f>IFERROR(__xludf.DUMMYFUNCTION("INDIRECT(""'收支紀錄'!L""&amp;TO_TEXT(ROW()-$C$72))"),"")</f>
        <v/>
      </c>
      <c r="M243" s="61" t="str">
        <f>IFERROR(__xludf.DUMMYFUNCTION("INDIRECT(""'收支紀錄'!M""&amp;TO_TEXT(ROW()-$C$72))"),"")</f>
        <v/>
      </c>
      <c r="N243" s="61" t="str">
        <f>IFERROR(__xludf.DUMMYFUNCTION("INDIRECT(""'收支紀錄'!N""&amp;TO_TEXT(ROW()-$C$72))"),"")</f>
        <v/>
      </c>
      <c r="O243" s="61" t="str">
        <f>IFERROR(__xludf.DUMMYFUNCTION("INDIRECT(""'收支紀錄'!O""&amp;TO_TEXT(ROW()-$C$72))"),"")</f>
        <v/>
      </c>
      <c r="P243" s="61" t="str">
        <f>IFERROR(__xludf.DUMMYFUNCTION("INDIRECT(""'收支紀錄'!P""&amp;TO_TEXT(ROW()-$C$72))"),"")</f>
        <v/>
      </c>
      <c r="Q243" s="61" t="str">
        <f>IFERROR(__xludf.DUMMYFUNCTION("INDIRECT(""'收支紀錄'!Q""&amp;TO_TEXT(ROW()-$C$72))"),"")</f>
        <v/>
      </c>
      <c r="R243" s="61" t="str">
        <f>IFERROR(__xludf.DUMMYFUNCTION("INDIRECT(""'收支紀錄'!R""&amp;TO_TEXT(ROW()-$C$72))"),"")</f>
        <v/>
      </c>
      <c r="S243" s="61" t="str">
        <f>IFERROR(__xludf.DUMMYFUNCTION("INDIRECT(""'收支紀錄'!S""&amp;TO_TEXT(ROW()-$C$72))"),"")</f>
        <v/>
      </c>
      <c r="T243" s="61" t="str">
        <f>IFERROR(__xludf.DUMMYFUNCTION("INDIRECT(""'收支紀錄'!T""&amp;TO_TEXT(ROW()-$C$72))"),"")</f>
        <v/>
      </c>
      <c r="U243" s="62" t="str">
        <f>IFERROR(__xludf.DUMMYFUNCTION("IF(T243=""是"",TEXTJOIN("""", TRUE, ""$"", TO_TEXT(C243), S243),"""")"),"")</f>
        <v/>
      </c>
    </row>
    <row r="244">
      <c r="A244" s="58">
        <f>IFERROR(__xludf.DUMMYFUNCTION("INDIRECT(""'收支紀錄'!A""&amp;TO_TEXT(ROW()-$C$72))"),45549.68968565972)</f>
        <v>45549.68969</v>
      </c>
      <c r="B244" s="59">
        <f>IFERROR(__xludf.DUMMYFUNCTION("IF(ISBLANK(D244), """", IF(ISDATE(D244), D244, IF(D244=""今天"", A244, IF(D244=""昨天 (-1 day)"", A244-1, IF(D244=""前天 (-2 days)"", A244-2, IF(D244=""明天 (+1 day)"", A244+1, DATE(LEFT(D244,4), MID(D244,5,2), RIGHT(D244,2))))))))"),45549.0)</f>
        <v>45549</v>
      </c>
      <c r="C244" s="60">
        <f>IFERROR(__xludf.DUMMYFUNCTION("INDIRECT(""'收支紀錄'!C""&amp;TO_TEXT(ROW()-$C$72))"),645.0)</f>
        <v>645</v>
      </c>
      <c r="D244" s="59">
        <f>IFERROR(__xludf.DUMMYFUNCTION("INDIRECT(""'收支紀錄'!D""&amp;TO_TEXT(ROW()-$C$72))"),45549.0)</f>
        <v>45549</v>
      </c>
      <c r="E244" s="61" t="str">
        <f>IFERROR(__xludf.DUMMYFUNCTION("INDIRECT(""'收支紀錄'!E""&amp;TO_TEXT(ROW()-$C$72))"),"")</f>
        <v/>
      </c>
      <c r="F244" s="61" t="str">
        <f>IFERROR(__xludf.DUMMYFUNCTION("INDIRECT(""'收支紀錄'!F""&amp;TO_TEXT(ROW()-$C$72))"),"")</f>
        <v/>
      </c>
      <c r="G244" s="61" t="str">
        <f>IFERROR(__xludf.DUMMYFUNCTION("INDIRECT(""'收支紀錄'!G""&amp;TO_TEXT(ROW()-$C$72))"),"")</f>
        <v/>
      </c>
      <c r="H244" s="61" t="str">
        <f>IFERROR(__xludf.DUMMYFUNCTION("INDIRECT(""'收支紀錄'!H""&amp;TO_TEXT(ROW()-$C$72))"),"行車交通")</f>
        <v>行車交通</v>
      </c>
      <c r="I244" s="61" t="str">
        <f>IFERROR(__xludf.DUMMYFUNCTION("INDIRECT(""'收支紀錄'!I""&amp;TO_TEXT(ROW()-$C$72))"),"")</f>
        <v/>
      </c>
      <c r="J244" s="61" t="str">
        <f>IFERROR(__xludf.DUMMYFUNCTION("INDIRECT(""'收支紀錄'!J""&amp;TO_TEXT(ROW()-$C$72))"),"")</f>
        <v/>
      </c>
      <c r="K244" s="61" t="str">
        <f>IFERROR(__xludf.DUMMYFUNCTION("INDIRECT(""'收支紀錄'!K""&amp;TO_TEXT(ROW()-$C$72))"),"")</f>
        <v/>
      </c>
      <c r="L244" s="61" t="str">
        <f>IFERROR(__xludf.DUMMYFUNCTION("INDIRECT(""'收支紀錄'!L""&amp;TO_TEXT(ROW()-$C$72))"),"高鐵")</f>
        <v>高鐵</v>
      </c>
      <c r="M244" s="61" t="str">
        <f>IFERROR(__xludf.DUMMYFUNCTION("INDIRECT(""'收支紀錄'!M""&amp;TO_TEXT(ROW()-$C$72))"),"")</f>
        <v/>
      </c>
      <c r="N244" s="61" t="str">
        <f>IFERROR(__xludf.DUMMYFUNCTION("INDIRECT(""'收支紀錄'!N""&amp;TO_TEXT(ROW()-$C$72))"),"")</f>
        <v/>
      </c>
      <c r="O244" s="61" t="str">
        <f>IFERROR(__xludf.DUMMYFUNCTION("INDIRECT(""'收支紀錄'!O""&amp;TO_TEXT(ROW()-$C$72))"),"")</f>
        <v/>
      </c>
      <c r="P244" s="61" t="str">
        <f>IFERROR(__xludf.DUMMYFUNCTION("INDIRECT(""'收支紀錄'!P""&amp;TO_TEXT(ROW()-$C$72))"),"")</f>
        <v/>
      </c>
      <c r="Q244" s="61" t="str">
        <f>IFERROR(__xludf.DUMMYFUNCTION("INDIRECT(""'收支紀錄'!Q""&amp;TO_TEXT(ROW()-$C$72))"),"")</f>
        <v/>
      </c>
      <c r="R244" s="61" t="str">
        <f>IFERROR(__xludf.DUMMYFUNCTION("INDIRECT(""'收支紀錄'!R""&amp;TO_TEXT(ROW()-$C$72))"),"")</f>
        <v/>
      </c>
      <c r="S244" s="61" t="str">
        <f>IFERROR(__xludf.DUMMYFUNCTION("INDIRECT(""'收支紀錄'!S""&amp;TO_TEXT(ROW()-$C$72))"),"")</f>
        <v/>
      </c>
      <c r="T244" s="61" t="str">
        <f>IFERROR(__xludf.DUMMYFUNCTION("INDIRECT(""'收支紀錄'!T""&amp;TO_TEXT(ROW()-$C$72))"),"")</f>
        <v/>
      </c>
      <c r="U244" s="62" t="str">
        <f>IFERROR(__xludf.DUMMYFUNCTION("IF(T244=""是"",TEXTJOIN("""", TRUE, ""$"", TO_TEXT(C244), S244),"""")"),"")</f>
        <v/>
      </c>
    </row>
    <row r="245">
      <c r="A245" s="58">
        <f>IFERROR(__xludf.DUMMYFUNCTION("INDIRECT(""'收支紀錄'!A""&amp;TO_TEXT(ROW()-$C$72))"),45549.690070682875)</f>
        <v>45549.69007</v>
      </c>
      <c r="B245" s="59">
        <f>IFERROR(__xludf.DUMMYFUNCTION("IF(ISBLANK(D245), """", IF(ISDATE(D245), D245, IF(D245=""今天"", A245, IF(D245=""昨天 (-1 day)"", A245-1, IF(D245=""前天 (-2 days)"", A245-2, IF(D245=""明天 (+1 day)"", A245+1, DATE(LEFT(D245,4), MID(D245,5,2), RIGHT(D245,2))))))))"),45549.0)</f>
        <v>45549</v>
      </c>
      <c r="C245" s="60">
        <f>IFERROR(__xludf.DUMMYFUNCTION("INDIRECT(""'收支紀錄'!C""&amp;TO_TEXT(ROW()-$C$72))"),5000.0)</f>
        <v>5000</v>
      </c>
      <c r="D245" s="59">
        <f>IFERROR(__xludf.DUMMYFUNCTION("INDIRECT(""'收支紀錄'!D""&amp;TO_TEXT(ROW()-$C$72))"),45549.0)</f>
        <v>45549</v>
      </c>
      <c r="E245" s="61" t="str">
        <f>IFERROR(__xludf.DUMMYFUNCTION("INDIRECT(""'收支紀錄'!E""&amp;TO_TEXT(ROW()-$C$72))"),"")</f>
        <v/>
      </c>
      <c r="F245" s="61" t="str">
        <f>IFERROR(__xludf.DUMMYFUNCTION("INDIRECT(""'收支紀錄'!F""&amp;TO_TEXT(ROW()-$C$72))"),"")</f>
        <v/>
      </c>
      <c r="G245" s="61" t="str">
        <f>IFERROR(__xludf.DUMMYFUNCTION("INDIRECT(""'收支紀錄'!G""&amp;TO_TEXT(ROW()-$C$72))"),"")</f>
        <v/>
      </c>
      <c r="H245" s="61" t="str">
        <f>IFERROR(__xludf.DUMMYFUNCTION("INDIRECT(""'收支紀錄'!H""&amp;TO_TEXT(ROW()-$C$72))"),"人情往來")</f>
        <v>人情往來</v>
      </c>
      <c r="I245" s="61" t="str">
        <f>IFERROR(__xludf.DUMMYFUNCTION("INDIRECT(""'收支紀錄'!I""&amp;TO_TEXT(ROW()-$C$72))"),"")</f>
        <v/>
      </c>
      <c r="J245" s="61" t="str">
        <f>IFERROR(__xludf.DUMMYFUNCTION("INDIRECT(""'收支紀錄'!J""&amp;TO_TEXT(ROW()-$C$72))"),"")</f>
        <v/>
      </c>
      <c r="K245" s="61" t="str">
        <f>IFERROR(__xludf.DUMMYFUNCTION("INDIRECT(""'收支紀錄'!K""&amp;TO_TEXT(ROW()-$C$72))"),"")</f>
        <v/>
      </c>
      <c r="L245" s="61" t="str">
        <f>IFERROR(__xludf.DUMMYFUNCTION("INDIRECT(""'收支紀錄'!L""&amp;TO_TEXT(ROW()-$C$72))"),"")</f>
        <v/>
      </c>
      <c r="M245" s="61" t="str">
        <f>IFERROR(__xludf.DUMMYFUNCTION("INDIRECT(""'收支紀錄'!M""&amp;TO_TEXT(ROW()-$C$72))"),"")</f>
        <v/>
      </c>
      <c r="N245" s="61" t="str">
        <f>IFERROR(__xludf.DUMMYFUNCTION("INDIRECT(""'收支紀錄'!N""&amp;TO_TEXT(ROW()-$C$72))"),"")</f>
        <v/>
      </c>
      <c r="O245" s="61" t="str">
        <f>IFERROR(__xludf.DUMMYFUNCTION("INDIRECT(""'收支紀錄'!O""&amp;TO_TEXT(ROW()-$C$72))"),"")</f>
        <v/>
      </c>
      <c r="P245" s="61" t="str">
        <f>IFERROR(__xludf.DUMMYFUNCTION("INDIRECT(""'收支紀錄'!P""&amp;TO_TEXT(ROW()-$C$72))"),"")</f>
        <v/>
      </c>
      <c r="Q245" s="61" t="str">
        <f>IFERROR(__xludf.DUMMYFUNCTION("INDIRECT(""'收支紀錄'!Q""&amp;TO_TEXT(ROW()-$C$72))"),"送禮請客")</f>
        <v>送禮請客</v>
      </c>
      <c r="R245" s="61" t="str">
        <f>IFERROR(__xludf.DUMMYFUNCTION("INDIRECT(""'收支紀錄'!R""&amp;TO_TEXT(ROW()-$C$72))"),"")</f>
        <v/>
      </c>
      <c r="S245" s="61" t="str">
        <f>IFERROR(__xludf.DUMMYFUNCTION("INDIRECT(""'收支紀錄'!S""&amp;TO_TEXT(ROW()-$C$72))"),"培揚婚禮兩人")</f>
        <v>培揚婚禮兩人</v>
      </c>
      <c r="T245" s="61" t="str">
        <f>IFERROR(__xludf.DUMMYFUNCTION("INDIRECT(""'收支紀錄'!T""&amp;TO_TEXT(ROW()-$C$72))"),"是")</f>
        <v>是</v>
      </c>
      <c r="U245" s="62" t="str">
        <f>IFERROR(__xludf.DUMMYFUNCTION("IF(T245=""是"",TEXTJOIN("""", TRUE, ""$"", TO_TEXT(C245), S245),"""")"),"$5000培揚婚禮兩人")</f>
        <v>$5000培揚婚禮兩人</v>
      </c>
    </row>
    <row r="246">
      <c r="A246" s="58">
        <f>IFERROR(__xludf.DUMMYFUNCTION("INDIRECT(""'收支紀錄'!A""&amp;TO_TEXT(ROW()-$C$72))"),45549.744472129634)</f>
        <v>45549.74447</v>
      </c>
      <c r="B246" s="59">
        <f>IFERROR(__xludf.DUMMYFUNCTION("IF(ISBLANK(D246), """", IF(ISDATE(D246), D246, IF(D246=""今天"", A246, IF(D246=""昨天 (-1 day)"", A246-1, IF(D246=""前天 (-2 days)"", A246-2, IF(D246=""明天 (+1 day)"", A246+1, DATE(LEFT(D246,4), MID(D246,5,2), RIGHT(D246,2))))))))"),45549.0)</f>
        <v>45549</v>
      </c>
      <c r="C246" s="60">
        <f>IFERROR(__xludf.DUMMYFUNCTION("INDIRECT(""'收支紀錄'!C""&amp;TO_TEXT(ROW()-$C$72))"),30.0)</f>
        <v>30</v>
      </c>
      <c r="D246" s="59">
        <f>IFERROR(__xludf.DUMMYFUNCTION("INDIRECT(""'收支紀錄'!D""&amp;TO_TEXT(ROW()-$C$72))"),45549.0)</f>
        <v>45549</v>
      </c>
      <c r="E246" s="61" t="str">
        <f>IFERROR(__xludf.DUMMYFUNCTION("INDIRECT(""'收支紀錄'!E""&amp;TO_TEXT(ROW()-$C$72))"),"")</f>
        <v/>
      </c>
      <c r="F246" s="61" t="str">
        <f>IFERROR(__xludf.DUMMYFUNCTION("INDIRECT(""'收支紀錄'!F""&amp;TO_TEXT(ROW()-$C$72))"),"")</f>
        <v/>
      </c>
      <c r="G246" s="61" t="str">
        <f>IFERROR(__xludf.DUMMYFUNCTION("INDIRECT(""'收支紀錄'!G""&amp;TO_TEXT(ROW()-$C$72))"),"")</f>
        <v/>
      </c>
      <c r="H246" s="61" t="str">
        <f>IFERROR(__xludf.DUMMYFUNCTION("INDIRECT(""'收支紀錄'!H""&amp;TO_TEXT(ROW()-$C$72))"),"行車交通")</f>
        <v>行車交通</v>
      </c>
      <c r="I246" s="61" t="str">
        <f>IFERROR(__xludf.DUMMYFUNCTION("INDIRECT(""'收支紀錄'!I""&amp;TO_TEXT(ROW()-$C$72))"),"")</f>
        <v/>
      </c>
      <c r="J246" s="61" t="str">
        <f>IFERROR(__xludf.DUMMYFUNCTION("INDIRECT(""'收支紀錄'!J""&amp;TO_TEXT(ROW()-$C$72))"),"")</f>
        <v/>
      </c>
      <c r="K246" s="61" t="str">
        <f>IFERROR(__xludf.DUMMYFUNCTION("INDIRECT(""'收支紀錄'!K""&amp;TO_TEXT(ROW()-$C$72))"),"")</f>
        <v/>
      </c>
      <c r="L246" s="61" t="str">
        <f>IFERROR(__xludf.DUMMYFUNCTION("INDIRECT(""'收支紀錄'!L""&amp;TO_TEXT(ROW()-$C$72))"),"捷運費")</f>
        <v>捷運費</v>
      </c>
      <c r="M246" s="61" t="str">
        <f>IFERROR(__xludf.DUMMYFUNCTION("INDIRECT(""'收支紀錄'!M""&amp;TO_TEXT(ROW()-$C$72))"),"")</f>
        <v/>
      </c>
      <c r="N246" s="61" t="str">
        <f>IFERROR(__xludf.DUMMYFUNCTION("INDIRECT(""'收支紀錄'!N""&amp;TO_TEXT(ROW()-$C$72))"),"")</f>
        <v/>
      </c>
      <c r="O246" s="61" t="str">
        <f>IFERROR(__xludf.DUMMYFUNCTION("INDIRECT(""'收支紀錄'!O""&amp;TO_TEXT(ROW()-$C$72))"),"")</f>
        <v/>
      </c>
      <c r="P246" s="61" t="str">
        <f>IFERROR(__xludf.DUMMYFUNCTION("INDIRECT(""'收支紀錄'!P""&amp;TO_TEXT(ROW()-$C$72))"),"")</f>
        <v/>
      </c>
      <c r="Q246" s="61" t="str">
        <f>IFERROR(__xludf.DUMMYFUNCTION("INDIRECT(""'收支紀錄'!Q""&amp;TO_TEXT(ROW()-$C$72))"),"")</f>
        <v/>
      </c>
      <c r="R246" s="61" t="str">
        <f>IFERROR(__xludf.DUMMYFUNCTION("INDIRECT(""'收支紀錄'!R""&amp;TO_TEXT(ROW()-$C$72))"),"")</f>
        <v/>
      </c>
      <c r="S246" s="61" t="str">
        <f>IFERROR(__xludf.DUMMYFUNCTION("INDIRECT(""'收支紀錄'!S""&amp;TO_TEXT(ROW()-$C$72))"),"")</f>
        <v/>
      </c>
      <c r="T246" s="61" t="str">
        <f>IFERROR(__xludf.DUMMYFUNCTION("INDIRECT(""'收支紀錄'!T""&amp;TO_TEXT(ROW()-$C$72))"),"")</f>
        <v/>
      </c>
      <c r="U246" s="62" t="str">
        <f>IFERROR(__xludf.DUMMYFUNCTION("IF(T246=""是"",TEXTJOIN("""", TRUE, ""$"", TO_TEXT(C246), S246),"""")"),"")</f>
        <v/>
      </c>
    </row>
    <row r="247">
      <c r="A247" s="58">
        <f>IFERROR(__xludf.DUMMYFUNCTION("INDIRECT(""'收支紀錄'!A""&amp;TO_TEXT(ROW()-$C$72))"),45550.8685768287)</f>
        <v>45550.86858</v>
      </c>
      <c r="B247" s="59">
        <f>IFERROR(__xludf.DUMMYFUNCTION("IF(ISBLANK(D247), """", IF(ISDATE(D247), D247, IF(D247=""今天"", A247, IF(D247=""昨天 (-1 day)"", A247-1, IF(D247=""前天 (-2 days)"", A247-2, IF(D247=""明天 (+1 day)"", A247+1, DATE(LEFT(D247,4), MID(D247,5,2), RIGHT(D247,2))))))))"),45550.0)</f>
        <v>45550</v>
      </c>
      <c r="C247" s="60">
        <f>IFERROR(__xludf.DUMMYFUNCTION("INDIRECT(""'收支紀錄'!C""&amp;TO_TEXT(ROW()-$C$72))"),220.0)</f>
        <v>220</v>
      </c>
      <c r="D247" s="59">
        <f>IFERROR(__xludf.DUMMYFUNCTION("INDIRECT(""'收支紀錄'!D""&amp;TO_TEXT(ROW()-$C$72))"),45550.0)</f>
        <v>45550</v>
      </c>
      <c r="E247" s="61" t="str">
        <f>IFERROR(__xludf.DUMMYFUNCTION("INDIRECT(""'收支紀錄'!E""&amp;TO_TEXT(ROW()-$C$72))"),"")</f>
        <v/>
      </c>
      <c r="F247" s="61" t="str">
        <f>IFERROR(__xludf.DUMMYFUNCTION("INDIRECT(""'收支紀錄'!F""&amp;TO_TEXT(ROW()-$C$72))"),"")</f>
        <v/>
      </c>
      <c r="G247" s="61" t="str">
        <f>IFERROR(__xludf.DUMMYFUNCTION("INDIRECT(""'收支紀錄'!G""&amp;TO_TEXT(ROW()-$C$72))"),"")</f>
        <v/>
      </c>
      <c r="H247" s="61" t="str">
        <f>IFERROR(__xludf.DUMMYFUNCTION("INDIRECT(""'收支紀錄'!H""&amp;TO_TEXT(ROW()-$C$72))"),"日常生活")</f>
        <v>日常生活</v>
      </c>
      <c r="I247" s="61" t="str">
        <f>IFERROR(__xludf.DUMMYFUNCTION("INDIRECT(""'收支紀錄'!I""&amp;TO_TEXT(ROW()-$C$72))"),"")</f>
        <v/>
      </c>
      <c r="J247" s="61" t="str">
        <f>IFERROR(__xludf.DUMMYFUNCTION("INDIRECT(""'收支紀錄'!J""&amp;TO_TEXT(ROW()-$C$72))"),"日常用品")</f>
        <v>日常用品</v>
      </c>
      <c r="K247" s="61" t="str">
        <f>IFERROR(__xludf.DUMMYFUNCTION("INDIRECT(""'收支紀錄'!K""&amp;TO_TEXT(ROW()-$C$72))"),"")</f>
        <v/>
      </c>
      <c r="L247" s="61" t="str">
        <f>IFERROR(__xludf.DUMMYFUNCTION("INDIRECT(""'收支紀錄'!L""&amp;TO_TEXT(ROW()-$C$72))"),"")</f>
        <v/>
      </c>
      <c r="M247" s="61" t="str">
        <f>IFERROR(__xludf.DUMMYFUNCTION("INDIRECT(""'收支紀錄'!M""&amp;TO_TEXT(ROW()-$C$72))"),"")</f>
        <v/>
      </c>
      <c r="N247" s="61" t="str">
        <f>IFERROR(__xludf.DUMMYFUNCTION("INDIRECT(""'收支紀錄'!N""&amp;TO_TEXT(ROW()-$C$72))"),"")</f>
        <v/>
      </c>
      <c r="O247" s="61" t="str">
        <f>IFERROR(__xludf.DUMMYFUNCTION("INDIRECT(""'收支紀錄'!O""&amp;TO_TEXT(ROW()-$C$72))"),"")</f>
        <v/>
      </c>
      <c r="P247" s="61" t="str">
        <f>IFERROR(__xludf.DUMMYFUNCTION("INDIRECT(""'收支紀錄'!P""&amp;TO_TEXT(ROW()-$C$72))"),"")</f>
        <v/>
      </c>
      <c r="Q247" s="61" t="str">
        <f>IFERROR(__xludf.DUMMYFUNCTION("INDIRECT(""'收支紀錄'!Q""&amp;TO_TEXT(ROW()-$C$72))"),"")</f>
        <v/>
      </c>
      <c r="R247" s="61" t="str">
        <f>IFERROR(__xludf.DUMMYFUNCTION("INDIRECT(""'收支紀錄'!R""&amp;TO_TEXT(ROW()-$C$72))"),"")</f>
        <v/>
      </c>
      <c r="S247" s="61" t="str">
        <f>IFERROR(__xludf.DUMMYFUNCTION("INDIRECT(""'收支紀錄'!S""&amp;TO_TEXT(ROW()-$C$72))"),"")</f>
        <v/>
      </c>
      <c r="T247" s="61" t="str">
        <f>IFERROR(__xludf.DUMMYFUNCTION("INDIRECT(""'收支紀錄'!T""&amp;TO_TEXT(ROW()-$C$72))"),"")</f>
        <v/>
      </c>
      <c r="U247" s="62" t="str">
        <f>IFERROR(__xludf.DUMMYFUNCTION("IF(T247=""是"",TEXTJOIN("""", TRUE, ""$"", TO_TEXT(C247), S247),"""")"),"")</f>
        <v/>
      </c>
    </row>
    <row r="248">
      <c r="A248" s="58">
        <f>IFERROR(__xludf.DUMMYFUNCTION("INDIRECT(""'收支紀錄'!A""&amp;TO_TEXT(ROW()-$C$72))"),45550.86905255787)</f>
        <v>45550.86905</v>
      </c>
      <c r="B248" s="59">
        <f>IFERROR(__xludf.DUMMYFUNCTION("IF(ISBLANK(D248), """", IF(ISDATE(D248), D248, IF(D248=""今天"", A248, IF(D248=""昨天 (-1 day)"", A248-1, IF(D248=""前天 (-2 days)"", A248-2, IF(D248=""明天 (+1 day)"", A248+1, DATE(LEFT(D248,4), MID(D248,5,2), RIGHT(D248,2))))))))"),45550.0)</f>
        <v>45550</v>
      </c>
      <c r="C248" s="60">
        <f>IFERROR(__xludf.DUMMYFUNCTION("INDIRECT(""'收支紀錄'!C""&amp;TO_TEXT(ROW()-$C$72))"),753.0)</f>
        <v>753</v>
      </c>
      <c r="D248" s="59">
        <f>IFERROR(__xludf.DUMMYFUNCTION("INDIRECT(""'收支紀錄'!D""&amp;TO_TEXT(ROW()-$C$72))"),45550.0)</f>
        <v>45550</v>
      </c>
      <c r="E248" s="61" t="str">
        <f>IFERROR(__xludf.DUMMYFUNCTION("INDIRECT(""'收支紀錄'!E""&amp;TO_TEXT(ROW()-$C$72))"),"")</f>
        <v/>
      </c>
      <c r="F248" s="61" t="str">
        <f>IFERROR(__xludf.DUMMYFUNCTION("INDIRECT(""'收支紀錄'!F""&amp;TO_TEXT(ROW()-$C$72))"),"")</f>
        <v/>
      </c>
      <c r="G248" s="61" t="str">
        <f>IFERROR(__xludf.DUMMYFUNCTION("INDIRECT(""'收支紀錄'!G""&amp;TO_TEXT(ROW()-$C$72))"),"")</f>
        <v/>
      </c>
      <c r="H248" s="61" t="str">
        <f>IFERROR(__xludf.DUMMYFUNCTION("INDIRECT(""'收支紀錄'!H""&amp;TO_TEXT(ROW()-$C$72))"),"食品酒水")</f>
        <v>食品酒水</v>
      </c>
      <c r="I248" s="61" t="str">
        <f>IFERROR(__xludf.DUMMYFUNCTION("INDIRECT(""'收支紀錄'!I""&amp;TO_TEXT(ROW()-$C$72))"),"晚餐")</f>
        <v>晚餐</v>
      </c>
      <c r="J248" s="61" t="str">
        <f>IFERROR(__xludf.DUMMYFUNCTION("INDIRECT(""'收支紀錄'!J""&amp;TO_TEXT(ROW()-$C$72))"),"")</f>
        <v/>
      </c>
      <c r="K248" s="61" t="str">
        <f>IFERROR(__xludf.DUMMYFUNCTION("INDIRECT(""'收支紀錄'!K""&amp;TO_TEXT(ROW()-$C$72))"),"")</f>
        <v/>
      </c>
      <c r="L248" s="61" t="str">
        <f>IFERROR(__xludf.DUMMYFUNCTION("INDIRECT(""'收支紀錄'!L""&amp;TO_TEXT(ROW()-$C$72))"),"")</f>
        <v/>
      </c>
      <c r="M248" s="61" t="str">
        <f>IFERROR(__xludf.DUMMYFUNCTION("INDIRECT(""'收支紀錄'!M""&amp;TO_TEXT(ROW()-$C$72))"),"")</f>
        <v/>
      </c>
      <c r="N248" s="61" t="str">
        <f>IFERROR(__xludf.DUMMYFUNCTION("INDIRECT(""'收支紀錄'!N""&amp;TO_TEXT(ROW()-$C$72))"),"")</f>
        <v/>
      </c>
      <c r="O248" s="61" t="str">
        <f>IFERROR(__xludf.DUMMYFUNCTION("INDIRECT(""'收支紀錄'!O""&amp;TO_TEXT(ROW()-$C$72))"),"")</f>
        <v/>
      </c>
      <c r="P248" s="61" t="str">
        <f>IFERROR(__xludf.DUMMYFUNCTION("INDIRECT(""'收支紀錄'!P""&amp;TO_TEXT(ROW()-$C$72))"),"")</f>
        <v/>
      </c>
      <c r="Q248" s="61" t="str">
        <f>IFERROR(__xludf.DUMMYFUNCTION("INDIRECT(""'收支紀錄'!Q""&amp;TO_TEXT(ROW()-$C$72))"),"")</f>
        <v/>
      </c>
      <c r="R248" s="61" t="str">
        <f>IFERROR(__xludf.DUMMYFUNCTION("INDIRECT(""'收支紀錄'!R""&amp;TO_TEXT(ROW()-$C$72))"),"")</f>
        <v/>
      </c>
      <c r="S248" s="61" t="str">
        <f>IFERROR(__xludf.DUMMYFUNCTION("INDIRECT(""'收支紀錄'!S""&amp;TO_TEXT(ROW()-$C$72))"),"")</f>
        <v/>
      </c>
      <c r="T248" s="61" t="str">
        <f>IFERROR(__xludf.DUMMYFUNCTION("INDIRECT(""'收支紀錄'!T""&amp;TO_TEXT(ROW()-$C$72))"),"")</f>
        <v/>
      </c>
      <c r="U248" s="62" t="str">
        <f>IFERROR(__xludf.DUMMYFUNCTION("IF(T248=""是"",TEXTJOIN("""", TRUE, ""$"", TO_TEXT(C248), S248),"""")"),"")</f>
        <v/>
      </c>
    </row>
    <row r="249">
      <c r="A249" s="58">
        <f>IFERROR(__xludf.DUMMYFUNCTION("INDIRECT(""'收支紀錄'!A""&amp;TO_TEXT(ROW()-$C$72))"),45551.29302783565)</f>
        <v>45551.29303</v>
      </c>
      <c r="B249" s="59">
        <f>IFERROR(__xludf.DUMMYFUNCTION("IF(ISBLANK(D249), """", IF(ISDATE(D249), D249, IF(D249=""今天"", A249, IF(D249=""昨天 (-1 day)"", A249-1, IF(D249=""前天 (-2 days)"", A249-2, IF(D249=""明天 (+1 day)"", A249+1, DATE(LEFT(D249,4), MID(D249,5,2), RIGHT(D249,2))))))))"),45551.0)</f>
        <v>45551</v>
      </c>
      <c r="C249" s="60">
        <f>IFERROR(__xludf.DUMMYFUNCTION("INDIRECT(""'收支紀錄'!C""&amp;TO_TEXT(ROW()-$C$72))"),1000.0)</f>
        <v>1000</v>
      </c>
      <c r="D249" s="59">
        <f>IFERROR(__xludf.DUMMYFUNCTION("INDIRECT(""'收支紀錄'!D""&amp;TO_TEXT(ROW()-$C$72))"),45551.0)</f>
        <v>45551</v>
      </c>
      <c r="E249" s="61" t="str">
        <f>IFERROR(__xludf.DUMMYFUNCTION("INDIRECT(""'收支紀錄'!E""&amp;TO_TEXT(ROW()-$C$72))"),"工作")</f>
        <v>工作</v>
      </c>
      <c r="F249" s="61" t="str">
        <f>IFERROR(__xludf.DUMMYFUNCTION("INDIRECT(""'收支紀錄'!F""&amp;TO_TEXT(ROW()-$C$72))"),"加班/津貼")</f>
        <v>加班/津貼</v>
      </c>
      <c r="G249" s="61" t="str">
        <f>IFERROR(__xludf.DUMMYFUNCTION("INDIRECT(""'收支紀錄'!G""&amp;TO_TEXT(ROW()-$C$72))"),"")</f>
        <v/>
      </c>
      <c r="H249" s="61" t="str">
        <f>IFERROR(__xludf.DUMMYFUNCTION("INDIRECT(""'收支紀錄'!H""&amp;TO_TEXT(ROW()-$C$72))"),"")</f>
        <v/>
      </c>
      <c r="I249" s="61" t="str">
        <f>IFERROR(__xludf.DUMMYFUNCTION("INDIRECT(""'收支紀錄'!I""&amp;TO_TEXT(ROW()-$C$72))"),"")</f>
        <v/>
      </c>
      <c r="J249" s="61" t="str">
        <f>IFERROR(__xludf.DUMMYFUNCTION("INDIRECT(""'收支紀錄'!J""&amp;TO_TEXT(ROW()-$C$72))"),"")</f>
        <v/>
      </c>
      <c r="K249" s="61" t="str">
        <f>IFERROR(__xludf.DUMMYFUNCTION("INDIRECT(""'收支紀錄'!K""&amp;TO_TEXT(ROW()-$C$72))"),"")</f>
        <v/>
      </c>
      <c r="L249" s="61" t="str">
        <f>IFERROR(__xludf.DUMMYFUNCTION("INDIRECT(""'收支紀錄'!L""&amp;TO_TEXT(ROW()-$C$72))"),"")</f>
        <v/>
      </c>
      <c r="M249" s="61" t="str">
        <f>IFERROR(__xludf.DUMMYFUNCTION("INDIRECT(""'收支紀錄'!M""&amp;TO_TEXT(ROW()-$C$72))"),"")</f>
        <v/>
      </c>
      <c r="N249" s="61" t="str">
        <f>IFERROR(__xludf.DUMMYFUNCTION("INDIRECT(""'收支紀錄'!N""&amp;TO_TEXT(ROW()-$C$72))"),"")</f>
        <v/>
      </c>
      <c r="O249" s="61" t="str">
        <f>IFERROR(__xludf.DUMMYFUNCTION("INDIRECT(""'收支紀錄'!O""&amp;TO_TEXT(ROW()-$C$72))"),"")</f>
        <v/>
      </c>
      <c r="P249" s="61" t="str">
        <f>IFERROR(__xludf.DUMMYFUNCTION("INDIRECT(""'收支紀錄'!P""&amp;TO_TEXT(ROW()-$C$72))"),"")</f>
        <v/>
      </c>
      <c r="Q249" s="61" t="str">
        <f>IFERROR(__xludf.DUMMYFUNCTION("INDIRECT(""'收支紀錄'!Q""&amp;TO_TEXT(ROW()-$C$72))"),"")</f>
        <v/>
      </c>
      <c r="R249" s="61" t="str">
        <f>IFERROR(__xludf.DUMMYFUNCTION("INDIRECT(""'收支紀錄'!R""&amp;TO_TEXT(ROW()-$C$72))"),"")</f>
        <v/>
      </c>
      <c r="S249" s="61" t="str">
        <f>IFERROR(__xludf.DUMMYFUNCTION("INDIRECT(""'收支紀錄'!S""&amp;TO_TEXT(ROW()-$C$72))"),"中秋獎金")</f>
        <v>中秋獎金</v>
      </c>
      <c r="T249" s="61" t="str">
        <f>IFERROR(__xludf.DUMMYFUNCTION("INDIRECT(""'收支紀錄'!T""&amp;TO_TEXT(ROW()-$C$72))"),"是")</f>
        <v>是</v>
      </c>
      <c r="U249" s="62" t="str">
        <f>IFERROR(__xludf.DUMMYFUNCTION("IF(T249=""是"",TEXTJOIN("""", TRUE, ""$"", TO_TEXT(C249), S249),"""")"),"$1000中秋獎金")</f>
        <v>$1000中秋獎金</v>
      </c>
    </row>
    <row r="250">
      <c r="A250" s="58">
        <f>IFERROR(__xludf.DUMMYFUNCTION("INDIRECT(""'收支紀錄'!A""&amp;TO_TEXT(ROW()-$C$72))"),45552.72567777778)</f>
        <v>45552.72568</v>
      </c>
      <c r="B250" s="59">
        <f>IFERROR(__xludf.DUMMYFUNCTION("IF(ISBLANK(D250), """", IF(ISDATE(D250), D250, IF(D250=""今天"", A250, IF(D250=""昨天 (-1 day)"", A250-1, IF(D250=""前天 (-2 days)"", A250-2, IF(D250=""明天 (+1 day)"", A250+1, DATE(LEFT(D250,4), MID(D250,5,2), RIGHT(D250,2))))))))"),45551.0)</f>
        <v>45551</v>
      </c>
      <c r="C250" s="60">
        <f>IFERROR(__xludf.DUMMYFUNCTION("INDIRECT(""'收支紀錄'!C""&amp;TO_TEXT(ROW()-$C$72))"),99.0)</f>
        <v>99</v>
      </c>
      <c r="D250" s="59">
        <f>IFERROR(__xludf.DUMMYFUNCTION("INDIRECT(""'收支紀錄'!D""&amp;TO_TEXT(ROW()-$C$72))"),45551.0)</f>
        <v>45551</v>
      </c>
      <c r="E250" s="61" t="str">
        <f>IFERROR(__xludf.DUMMYFUNCTION("INDIRECT(""'收支紀錄'!E""&amp;TO_TEXT(ROW()-$C$72))"),"")</f>
        <v/>
      </c>
      <c r="F250" s="61" t="str">
        <f>IFERROR(__xludf.DUMMYFUNCTION("INDIRECT(""'收支紀錄'!F""&amp;TO_TEXT(ROW()-$C$72))"),"")</f>
        <v/>
      </c>
      <c r="G250" s="61" t="str">
        <f>IFERROR(__xludf.DUMMYFUNCTION("INDIRECT(""'收支紀錄'!G""&amp;TO_TEXT(ROW()-$C$72))"),"")</f>
        <v/>
      </c>
      <c r="H250" s="61" t="str">
        <f>IFERROR(__xludf.DUMMYFUNCTION("INDIRECT(""'收支紀錄'!H""&amp;TO_TEXT(ROW()-$C$72))"),"行車交通")</f>
        <v>行車交通</v>
      </c>
      <c r="I250" s="61" t="str">
        <f>IFERROR(__xludf.DUMMYFUNCTION("INDIRECT(""'收支紀錄'!I""&amp;TO_TEXT(ROW()-$C$72))"),"")</f>
        <v/>
      </c>
      <c r="J250" s="61" t="str">
        <f>IFERROR(__xludf.DUMMYFUNCTION("INDIRECT(""'收支紀錄'!J""&amp;TO_TEXT(ROW()-$C$72))"),"")</f>
        <v/>
      </c>
      <c r="K250" s="61" t="str">
        <f>IFERROR(__xludf.DUMMYFUNCTION("INDIRECT(""'收支紀錄'!K""&amp;TO_TEXT(ROW()-$C$72))"),"")</f>
        <v/>
      </c>
      <c r="L250" s="61" t="str">
        <f>IFERROR(__xludf.DUMMYFUNCTION("INDIRECT(""'收支紀錄'!L""&amp;TO_TEXT(ROW()-$C$72))"),"火車費")</f>
        <v>火車費</v>
      </c>
      <c r="M250" s="61" t="str">
        <f>IFERROR(__xludf.DUMMYFUNCTION("INDIRECT(""'收支紀錄'!M""&amp;TO_TEXT(ROW()-$C$72))"),"")</f>
        <v/>
      </c>
      <c r="N250" s="61" t="str">
        <f>IFERROR(__xludf.DUMMYFUNCTION("INDIRECT(""'收支紀錄'!N""&amp;TO_TEXT(ROW()-$C$72))"),"")</f>
        <v/>
      </c>
      <c r="O250" s="61" t="str">
        <f>IFERROR(__xludf.DUMMYFUNCTION("INDIRECT(""'收支紀錄'!O""&amp;TO_TEXT(ROW()-$C$72))"),"")</f>
        <v/>
      </c>
      <c r="P250" s="61" t="str">
        <f>IFERROR(__xludf.DUMMYFUNCTION("INDIRECT(""'收支紀錄'!P""&amp;TO_TEXT(ROW()-$C$72))"),"")</f>
        <v/>
      </c>
      <c r="Q250" s="61" t="str">
        <f>IFERROR(__xludf.DUMMYFUNCTION("INDIRECT(""'收支紀錄'!Q""&amp;TO_TEXT(ROW()-$C$72))"),"")</f>
        <v/>
      </c>
      <c r="R250" s="61" t="str">
        <f>IFERROR(__xludf.DUMMYFUNCTION("INDIRECT(""'收支紀錄'!R""&amp;TO_TEXT(ROW()-$C$72))"),"")</f>
        <v/>
      </c>
      <c r="S250" s="61" t="str">
        <f>IFERROR(__xludf.DUMMYFUNCTION("INDIRECT(""'收支紀錄'!S""&amp;TO_TEXT(ROW()-$C$72))"),"")</f>
        <v/>
      </c>
      <c r="T250" s="61" t="str">
        <f>IFERROR(__xludf.DUMMYFUNCTION("INDIRECT(""'收支紀錄'!T""&amp;TO_TEXT(ROW()-$C$72))"),"")</f>
        <v/>
      </c>
      <c r="U250" s="62" t="str">
        <f>IFERROR(__xludf.DUMMYFUNCTION("IF(T250=""是"",TEXTJOIN("""", TRUE, ""$"", TO_TEXT(C250), S250),"""")"),"")</f>
        <v/>
      </c>
    </row>
    <row r="251">
      <c r="A251" s="58">
        <f>IFERROR(__xludf.DUMMYFUNCTION("INDIRECT(""'收支紀錄'!A""&amp;TO_TEXT(ROW()-$C$72))"),45552.78406111111)</f>
        <v>45552.78406</v>
      </c>
      <c r="B251" s="59">
        <f>IFERROR(__xludf.DUMMYFUNCTION("IF(ISBLANK(D251), """", IF(ISDATE(D251), D251, IF(D251=""今天"", A251, IF(D251=""昨天 (-1 day)"", A251-1, IF(D251=""前天 (-2 days)"", A251-2, IF(D251=""明天 (+1 day)"", A251+1, DATE(LEFT(D251,4), MID(D251,5,2), RIGHT(D251,2))))))))"),45551.0)</f>
        <v>45551</v>
      </c>
      <c r="C251" s="60">
        <f>IFERROR(__xludf.DUMMYFUNCTION("INDIRECT(""'收支紀錄'!C""&amp;TO_TEXT(ROW()-$C$72))"),44.0)</f>
        <v>44</v>
      </c>
      <c r="D251" s="59">
        <f>IFERROR(__xludf.DUMMYFUNCTION("INDIRECT(""'收支紀錄'!D""&amp;TO_TEXT(ROW()-$C$72))"),45551.0)</f>
        <v>45551</v>
      </c>
      <c r="E251" s="61" t="str">
        <f>IFERROR(__xludf.DUMMYFUNCTION("INDIRECT(""'收支紀錄'!E""&amp;TO_TEXT(ROW()-$C$72))"),"")</f>
        <v/>
      </c>
      <c r="F251" s="61" t="str">
        <f>IFERROR(__xludf.DUMMYFUNCTION("INDIRECT(""'收支紀錄'!F""&amp;TO_TEXT(ROW()-$C$72))"),"")</f>
        <v/>
      </c>
      <c r="G251" s="61" t="str">
        <f>IFERROR(__xludf.DUMMYFUNCTION("INDIRECT(""'收支紀錄'!G""&amp;TO_TEXT(ROW()-$C$72))"),"")</f>
        <v/>
      </c>
      <c r="H251" s="61" t="str">
        <f>IFERROR(__xludf.DUMMYFUNCTION("INDIRECT(""'收支紀錄'!H""&amp;TO_TEXT(ROW()-$C$72))"),"行車交通")</f>
        <v>行車交通</v>
      </c>
      <c r="I251" s="61" t="str">
        <f>IFERROR(__xludf.DUMMYFUNCTION("INDIRECT(""'收支紀錄'!I""&amp;TO_TEXT(ROW()-$C$72))"),"")</f>
        <v/>
      </c>
      <c r="J251" s="61" t="str">
        <f>IFERROR(__xludf.DUMMYFUNCTION("INDIRECT(""'收支紀錄'!J""&amp;TO_TEXT(ROW()-$C$72))"),"")</f>
        <v/>
      </c>
      <c r="K251" s="61" t="str">
        <f>IFERROR(__xludf.DUMMYFUNCTION("INDIRECT(""'收支紀錄'!K""&amp;TO_TEXT(ROW()-$C$72))"),"")</f>
        <v/>
      </c>
      <c r="L251" s="61" t="str">
        <f>IFERROR(__xludf.DUMMYFUNCTION("INDIRECT(""'收支紀錄'!L""&amp;TO_TEXT(ROW()-$C$72))"),"租車")</f>
        <v>租車</v>
      </c>
      <c r="M251" s="61" t="str">
        <f>IFERROR(__xludf.DUMMYFUNCTION("INDIRECT(""'收支紀錄'!M""&amp;TO_TEXT(ROW()-$C$72))"),"")</f>
        <v/>
      </c>
      <c r="N251" s="61" t="str">
        <f>IFERROR(__xludf.DUMMYFUNCTION("INDIRECT(""'收支紀錄'!N""&amp;TO_TEXT(ROW()-$C$72))"),"")</f>
        <v/>
      </c>
      <c r="O251" s="61" t="str">
        <f>IFERROR(__xludf.DUMMYFUNCTION("INDIRECT(""'收支紀錄'!O""&amp;TO_TEXT(ROW()-$C$72))"),"")</f>
        <v/>
      </c>
      <c r="P251" s="61" t="str">
        <f>IFERROR(__xludf.DUMMYFUNCTION("INDIRECT(""'收支紀錄'!P""&amp;TO_TEXT(ROW()-$C$72))"),"")</f>
        <v/>
      </c>
      <c r="Q251" s="61" t="str">
        <f>IFERROR(__xludf.DUMMYFUNCTION("INDIRECT(""'收支紀錄'!Q""&amp;TO_TEXT(ROW()-$C$72))"),"")</f>
        <v/>
      </c>
      <c r="R251" s="61" t="str">
        <f>IFERROR(__xludf.DUMMYFUNCTION("INDIRECT(""'收支紀錄'!R""&amp;TO_TEXT(ROW()-$C$72))"),"")</f>
        <v/>
      </c>
      <c r="S251" s="61" t="str">
        <f>IFERROR(__xludf.DUMMYFUNCTION("INDIRECT(""'收支紀錄'!S""&amp;TO_TEXT(ROW()-$C$72))"),"")</f>
        <v/>
      </c>
      <c r="T251" s="61" t="str">
        <f>IFERROR(__xludf.DUMMYFUNCTION("INDIRECT(""'收支紀錄'!T""&amp;TO_TEXT(ROW()-$C$72))"),"")</f>
        <v/>
      </c>
      <c r="U251" s="62" t="str">
        <f>IFERROR(__xludf.DUMMYFUNCTION("IF(T251=""是"",TEXTJOIN("""", TRUE, ""$"", TO_TEXT(C251), S251),"""")"),"")</f>
        <v/>
      </c>
    </row>
    <row r="252">
      <c r="A252" s="58">
        <f>IFERROR(__xludf.DUMMYFUNCTION("INDIRECT(""'收支紀錄'!A""&amp;TO_TEXT(ROW()-$C$72))"),45552.78434773148)</f>
        <v>45552.78435</v>
      </c>
      <c r="B252" s="59">
        <f>IFERROR(__xludf.DUMMYFUNCTION("IF(ISBLANK(D252), """", IF(ISDATE(D252), D252, IF(D252=""今天"", A252, IF(D252=""昨天 (-1 day)"", A252-1, IF(D252=""前天 (-2 days)"", A252-2, IF(D252=""明天 (+1 day)"", A252+1, DATE(LEFT(D252,4), MID(D252,5,2), RIGHT(D252,2))))))))"),45552.0)</f>
        <v>45552</v>
      </c>
      <c r="C252" s="60">
        <f>IFERROR(__xludf.DUMMYFUNCTION("INDIRECT(""'收支紀錄'!C""&amp;TO_TEXT(ROW()-$C$72))"),50.0)</f>
        <v>50</v>
      </c>
      <c r="D252" s="59">
        <f>IFERROR(__xludf.DUMMYFUNCTION("INDIRECT(""'收支紀錄'!D""&amp;TO_TEXT(ROW()-$C$72))"),45552.0)</f>
        <v>45552</v>
      </c>
      <c r="E252" s="61" t="str">
        <f>IFERROR(__xludf.DUMMYFUNCTION("INDIRECT(""'收支紀錄'!E""&amp;TO_TEXT(ROW()-$C$72))"),"")</f>
        <v/>
      </c>
      <c r="F252" s="61" t="str">
        <f>IFERROR(__xludf.DUMMYFUNCTION("INDIRECT(""'收支紀錄'!F""&amp;TO_TEXT(ROW()-$C$72))"),"")</f>
        <v/>
      </c>
      <c r="G252" s="61" t="str">
        <f>IFERROR(__xludf.DUMMYFUNCTION("INDIRECT(""'收支紀錄'!G""&amp;TO_TEXT(ROW()-$C$72))"),"")</f>
        <v/>
      </c>
      <c r="H252" s="61" t="str">
        <f>IFERROR(__xludf.DUMMYFUNCTION("INDIRECT(""'收支紀錄'!H""&amp;TO_TEXT(ROW()-$C$72))"),"休閒娛樂")</f>
        <v>休閒娛樂</v>
      </c>
      <c r="I252" s="61" t="str">
        <f>IFERROR(__xludf.DUMMYFUNCTION("INDIRECT(""'收支紀錄'!I""&amp;TO_TEXT(ROW()-$C$72))"),"")</f>
        <v/>
      </c>
      <c r="J252" s="61" t="str">
        <f>IFERROR(__xludf.DUMMYFUNCTION("INDIRECT(""'收支紀錄'!J""&amp;TO_TEXT(ROW()-$C$72))"),"")</f>
        <v/>
      </c>
      <c r="K252" s="61" t="str">
        <f>IFERROR(__xludf.DUMMYFUNCTION("INDIRECT(""'收支紀錄'!K""&amp;TO_TEXT(ROW()-$C$72))"),"")</f>
        <v/>
      </c>
      <c r="L252" s="61" t="str">
        <f>IFERROR(__xludf.DUMMYFUNCTION("INDIRECT(""'收支紀錄'!L""&amp;TO_TEXT(ROW()-$C$72))"),"")</f>
        <v/>
      </c>
      <c r="M252" s="61" t="str">
        <f>IFERROR(__xludf.DUMMYFUNCTION("INDIRECT(""'收支紀錄'!M""&amp;TO_TEXT(ROW()-$C$72))"),"運動健身")</f>
        <v>運動健身</v>
      </c>
      <c r="N252" s="61" t="str">
        <f>IFERROR(__xludf.DUMMYFUNCTION("INDIRECT(""'收支紀錄'!N""&amp;TO_TEXT(ROW()-$C$72))"),"")</f>
        <v/>
      </c>
      <c r="O252" s="61" t="str">
        <f>IFERROR(__xludf.DUMMYFUNCTION("INDIRECT(""'收支紀錄'!O""&amp;TO_TEXT(ROW()-$C$72))"),"")</f>
        <v/>
      </c>
      <c r="P252" s="61" t="str">
        <f>IFERROR(__xludf.DUMMYFUNCTION("INDIRECT(""'收支紀錄'!P""&amp;TO_TEXT(ROW()-$C$72))"),"")</f>
        <v/>
      </c>
      <c r="Q252" s="61" t="str">
        <f>IFERROR(__xludf.DUMMYFUNCTION("INDIRECT(""'收支紀錄'!Q""&amp;TO_TEXT(ROW()-$C$72))"),"")</f>
        <v/>
      </c>
      <c r="R252" s="61" t="str">
        <f>IFERROR(__xludf.DUMMYFUNCTION("INDIRECT(""'收支紀錄'!R""&amp;TO_TEXT(ROW()-$C$72))"),"")</f>
        <v/>
      </c>
      <c r="S252" s="61" t="str">
        <f>IFERROR(__xludf.DUMMYFUNCTION("INDIRECT(""'收支紀錄'!S""&amp;TO_TEXT(ROW()-$C$72))"),"")</f>
        <v/>
      </c>
      <c r="T252" s="61" t="str">
        <f>IFERROR(__xludf.DUMMYFUNCTION("INDIRECT(""'收支紀錄'!T""&amp;TO_TEXT(ROW()-$C$72))"),"")</f>
        <v/>
      </c>
      <c r="U252" s="62" t="str">
        <f>IFERROR(__xludf.DUMMYFUNCTION("IF(T252=""是"",TEXTJOIN("""", TRUE, ""$"", TO_TEXT(C252), S252),"""")"),"")</f>
        <v/>
      </c>
    </row>
    <row r="253">
      <c r="A253" s="58">
        <f>IFERROR(__xludf.DUMMYFUNCTION("INDIRECT(""'收支紀錄'!A""&amp;TO_TEXT(ROW()-$C$72))"),45552.78475373842)</f>
        <v>45552.78475</v>
      </c>
      <c r="B253" s="59">
        <f>IFERROR(__xludf.DUMMYFUNCTION("IF(ISBLANK(D253), """", IF(ISDATE(D253), D253, IF(D253=""今天"", A253, IF(D253=""昨天 (-1 day)"", A253-1, IF(D253=""前天 (-2 days)"", A253-2, IF(D253=""明天 (+1 day)"", A253+1, DATE(LEFT(D253,4), MID(D253,5,2), RIGHT(D253,2))))))))"),45552.0)</f>
        <v>45552</v>
      </c>
      <c r="C253" s="60">
        <f>IFERROR(__xludf.DUMMYFUNCTION("INDIRECT(""'收支紀錄'!C""&amp;TO_TEXT(ROW()-$C$72))"),654.0)</f>
        <v>654</v>
      </c>
      <c r="D253" s="59">
        <f>IFERROR(__xludf.DUMMYFUNCTION("INDIRECT(""'收支紀錄'!D""&amp;TO_TEXT(ROW()-$C$72))"),45552.0)</f>
        <v>45552</v>
      </c>
      <c r="E253" s="61" t="str">
        <f>IFERROR(__xludf.DUMMYFUNCTION("INDIRECT(""'收支紀錄'!E""&amp;TO_TEXT(ROW()-$C$72))"),"")</f>
        <v/>
      </c>
      <c r="F253" s="61" t="str">
        <f>IFERROR(__xludf.DUMMYFUNCTION("INDIRECT(""'收支紀錄'!F""&amp;TO_TEXT(ROW()-$C$72))"),"")</f>
        <v/>
      </c>
      <c r="G253" s="61" t="str">
        <f>IFERROR(__xludf.DUMMYFUNCTION("INDIRECT(""'收支紀錄'!G""&amp;TO_TEXT(ROW()-$C$72))"),"")</f>
        <v/>
      </c>
      <c r="H253" s="61" t="str">
        <f>IFERROR(__xludf.DUMMYFUNCTION("INDIRECT(""'收支紀錄'!H""&amp;TO_TEXT(ROW()-$C$72))"),"行車交通")</f>
        <v>行車交通</v>
      </c>
      <c r="I253" s="61" t="str">
        <f>IFERROR(__xludf.DUMMYFUNCTION("INDIRECT(""'收支紀錄'!I""&amp;TO_TEXT(ROW()-$C$72))"),"")</f>
        <v/>
      </c>
      <c r="J253" s="61" t="str">
        <f>IFERROR(__xludf.DUMMYFUNCTION("INDIRECT(""'收支紀錄'!J""&amp;TO_TEXT(ROW()-$C$72))"),"")</f>
        <v/>
      </c>
      <c r="K253" s="61" t="str">
        <f>IFERROR(__xludf.DUMMYFUNCTION("INDIRECT(""'收支紀錄'!K""&amp;TO_TEXT(ROW()-$C$72))"),"")</f>
        <v/>
      </c>
      <c r="L253" s="61" t="str">
        <f>IFERROR(__xludf.DUMMYFUNCTION("INDIRECT(""'收支紀錄'!L""&amp;TO_TEXT(ROW()-$C$72))"),"加油")</f>
        <v>加油</v>
      </c>
      <c r="M253" s="61" t="str">
        <f>IFERROR(__xludf.DUMMYFUNCTION("INDIRECT(""'收支紀錄'!M""&amp;TO_TEXT(ROW()-$C$72))"),"")</f>
        <v/>
      </c>
      <c r="N253" s="61" t="str">
        <f>IFERROR(__xludf.DUMMYFUNCTION("INDIRECT(""'收支紀錄'!N""&amp;TO_TEXT(ROW()-$C$72))"),"")</f>
        <v/>
      </c>
      <c r="O253" s="61" t="str">
        <f>IFERROR(__xludf.DUMMYFUNCTION("INDIRECT(""'收支紀錄'!O""&amp;TO_TEXT(ROW()-$C$72))"),"")</f>
        <v/>
      </c>
      <c r="P253" s="61" t="str">
        <f>IFERROR(__xludf.DUMMYFUNCTION("INDIRECT(""'收支紀錄'!P""&amp;TO_TEXT(ROW()-$C$72))"),"")</f>
        <v/>
      </c>
      <c r="Q253" s="61" t="str">
        <f>IFERROR(__xludf.DUMMYFUNCTION("INDIRECT(""'收支紀錄'!Q""&amp;TO_TEXT(ROW()-$C$72))"),"")</f>
        <v/>
      </c>
      <c r="R253" s="61" t="str">
        <f>IFERROR(__xludf.DUMMYFUNCTION("INDIRECT(""'收支紀錄'!R""&amp;TO_TEXT(ROW()-$C$72))"),"")</f>
        <v/>
      </c>
      <c r="S253" s="61" t="str">
        <f>IFERROR(__xludf.DUMMYFUNCTION("INDIRECT(""'收支紀錄'!S""&amp;TO_TEXT(ROW()-$C$72))"),"")</f>
        <v/>
      </c>
      <c r="T253" s="61" t="str">
        <f>IFERROR(__xludf.DUMMYFUNCTION("INDIRECT(""'收支紀錄'!T""&amp;TO_TEXT(ROW()-$C$72))"),"")</f>
        <v/>
      </c>
      <c r="U253" s="62" t="str">
        <f>IFERROR(__xludf.DUMMYFUNCTION("IF(T253=""是"",TEXTJOIN("""", TRUE, ""$"", TO_TEXT(C253), S253),"""")"),"")</f>
        <v/>
      </c>
    </row>
    <row r="254">
      <c r="A254" s="58">
        <f>IFERROR(__xludf.DUMMYFUNCTION("INDIRECT(""'收支紀錄'!A""&amp;TO_TEXT(ROW()-$C$72))"),45552.7851547801)</f>
        <v>45552.78515</v>
      </c>
      <c r="B254" s="59">
        <f>IFERROR(__xludf.DUMMYFUNCTION("IF(ISBLANK(D254), """", IF(ISDATE(D254), D254, IF(D254=""今天"", A254, IF(D254=""昨天 (-1 day)"", A254-1, IF(D254=""前天 (-2 days)"", A254-2, IF(D254=""明天 (+1 day)"", A254+1, DATE(LEFT(D254,4), MID(D254,5,2), RIGHT(D254,2))))))))"),45552.0)</f>
        <v>45552</v>
      </c>
      <c r="C254" s="60">
        <f>IFERROR(__xludf.DUMMYFUNCTION("INDIRECT(""'收支紀錄'!C""&amp;TO_TEXT(ROW()-$C$72))"),794.0)</f>
        <v>794</v>
      </c>
      <c r="D254" s="59">
        <f>IFERROR(__xludf.DUMMYFUNCTION("INDIRECT(""'收支紀錄'!D""&amp;TO_TEXT(ROW()-$C$72))"),45552.0)</f>
        <v>45552</v>
      </c>
      <c r="E254" s="61" t="str">
        <f>IFERROR(__xludf.DUMMYFUNCTION("INDIRECT(""'收支紀錄'!E""&amp;TO_TEXT(ROW()-$C$72))"),"")</f>
        <v/>
      </c>
      <c r="F254" s="61" t="str">
        <f>IFERROR(__xludf.DUMMYFUNCTION("INDIRECT(""'收支紀錄'!F""&amp;TO_TEXT(ROW()-$C$72))"),"")</f>
        <v/>
      </c>
      <c r="G254" s="61" t="str">
        <f>IFERROR(__xludf.DUMMYFUNCTION("INDIRECT(""'收支紀錄'!G""&amp;TO_TEXT(ROW()-$C$72))"),"")</f>
        <v/>
      </c>
      <c r="H254" s="61" t="str">
        <f>IFERROR(__xludf.DUMMYFUNCTION("INDIRECT(""'收支紀錄'!H""&amp;TO_TEXT(ROW()-$C$72))"),"食品酒水")</f>
        <v>食品酒水</v>
      </c>
      <c r="I254" s="61" t="str">
        <f>IFERROR(__xludf.DUMMYFUNCTION("INDIRECT(""'收支紀錄'!I""&amp;TO_TEXT(ROW()-$C$72))"),"食材")</f>
        <v>食材</v>
      </c>
      <c r="J254" s="61" t="str">
        <f>IFERROR(__xludf.DUMMYFUNCTION("INDIRECT(""'收支紀錄'!J""&amp;TO_TEXT(ROW()-$C$72))"),"")</f>
        <v/>
      </c>
      <c r="K254" s="61" t="str">
        <f>IFERROR(__xludf.DUMMYFUNCTION("INDIRECT(""'收支紀錄'!K""&amp;TO_TEXT(ROW()-$C$72))"),"")</f>
        <v/>
      </c>
      <c r="L254" s="61" t="str">
        <f>IFERROR(__xludf.DUMMYFUNCTION("INDIRECT(""'收支紀錄'!L""&amp;TO_TEXT(ROW()-$C$72))"),"")</f>
        <v/>
      </c>
      <c r="M254" s="61" t="str">
        <f>IFERROR(__xludf.DUMMYFUNCTION("INDIRECT(""'收支紀錄'!M""&amp;TO_TEXT(ROW()-$C$72))"),"")</f>
        <v/>
      </c>
      <c r="N254" s="61" t="str">
        <f>IFERROR(__xludf.DUMMYFUNCTION("INDIRECT(""'收支紀錄'!N""&amp;TO_TEXT(ROW()-$C$72))"),"")</f>
        <v/>
      </c>
      <c r="O254" s="61" t="str">
        <f>IFERROR(__xludf.DUMMYFUNCTION("INDIRECT(""'收支紀錄'!O""&amp;TO_TEXT(ROW()-$C$72))"),"")</f>
        <v/>
      </c>
      <c r="P254" s="61" t="str">
        <f>IFERROR(__xludf.DUMMYFUNCTION("INDIRECT(""'收支紀錄'!P""&amp;TO_TEXT(ROW()-$C$72))"),"")</f>
        <v/>
      </c>
      <c r="Q254" s="61" t="str">
        <f>IFERROR(__xludf.DUMMYFUNCTION("INDIRECT(""'收支紀錄'!Q""&amp;TO_TEXT(ROW()-$C$72))"),"")</f>
        <v/>
      </c>
      <c r="R254" s="61" t="str">
        <f>IFERROR(__xludf.DUMMYFUNCTION("INDIRECT(""'收支紀錄'!R""&amp;TO_TEXT(ROW()-$C$72))"),"")</f>
        <v/>
      </c>
      <c r="S254" s="61" t="str">
        <f>IFERROR(__xludf.DUMMYFUNCTION("INDIRECT(""'收支紀錄'!S""&amp;TO_TEXT(ROW()-$C$72))"),"")</f>
        <v/>
      </c>
      <c r="T254" s="61" t="str">
        <f>IFERROR(__xludf.DUMMYFUNCTION("INDIRECT(""'收支紀錄'!T""&amp;TO_TEXT(ROW()-$C$72))"),"")</f>
        <v/>
      </c>
      <c r="U254" s="62" t="str">
        <f>IFERROR(__xludf.DUMMYFUNCTION("IF(T254=""是"",TEXTJOIN("""", TRUE, ""$"", TO_TEXT(C254), S254),"""")"),"")</f>
        <v/>
      </c>
    </row>
    <row r="255">
      <c r="A255" s="58">
        <f>IFERROR(__xludf.DUMMYFUNCTION("INDIRECT(""'收支紀錄'!A""&amp;TO_TEXT(ROW()-$C$72))"),45552.93311493055)</f>
        <v>45552.93311</v>
      </c>
      <c r="B255" s="59">
        <f>IFERROR(__xludf.DUMMYFUNCTION("IF(ISBLANK(D255), """", IF(ISDATE(D255), D255, IF(D255=""今天"", A255, IF(D255=""昨天 (-1 day)"", A255-1, IF(D255=""前天 (-2 days)"", A255-2, IF(D255=""明天 (+1 day)"", A255+1, DATE(LEFT(D255,4), MID(D255,5,2), RIGHT(D255,2))))))))"),45552.0)</f>
        <v>45552</v>
      </c>
      <c r="C255" s="60">
        <f>IFERROR(__xludf.DUMMYFUNCTION("INDIRECT(""'收支紀錄'!C""&amp;TO_TEXT(ROW()-$C$72))"),686.0)</f>
        <v>686</v>
      </c>
      <c r="D255" s="59">
        <f>IFERROR(__xludf.DUMMYFUNCTION("INDIRECT(""'收支紀錄'!D""&amp;TO_TEXT(ROW()-$C$72))"),45552.0)</f>
        <v>45552</v>
      </c>
      <c r="E255" s="61" t="str">
        <f>IFERROR(__xludf.DUMMYFUNCTION("INDIRECT(""'收支紀錄'!E""&amp;TO_TEXT(ROW()-$C$72))"),"")</f>
        <v/>
      </c>
      <c r="F255" s="61" t="str">
        <f>IFERROR(__xludf.DUMMYFUNCTION("INDIRECT(""'收支紀錄'!F""&amp;TO_TEXT(ROW()-$C$72))"),"")</f>
        <v/>
      </c>
      <c r="G255" s="61" t="str">
        <f>IFERROR(__xludf.DUMMYFUNCTION("INDIRECT(""'收支紀錄'!G""&amp;TO_TEXT(ROW()-$C$72))"),"")</f>
        <v/>
      </c>
      <c r="H255" s="61" t="str">
        <f>IFERROR(__xludf.DUMMYFUNCTION("INDIRECT(""'收支紀錄'!H""&amp;TO_TEXT(ROW()-$C$72))"),"食品酒水")</f>
        <v>食品酒水</v>
      </c>
      <c r="I255" s="61" t="str">
        <f>IFERROR(__xludf.DUMMYFUNCTION("INDIRECT(""'收支紀錄'!I""&amp;TO_TEXT(ROW()-$C$72))"),"晚餐")</f>
        <v>晚餐</v>
      </c>
      <c r="J255" s="61" t="str">
        <f>IFERROR(__xludf.DUMMYFUNCTION("INDIRECT(""'收支紀錄'!J""&amp;TO_TEXT(ROW()-$C$72))"),"")</f>
        <v/>
      </c>
      <c r="K255" s="61" t="str">
        <f>IFERROR(__xludf.DUMMYFUNCTION("INDIRECT(""'收支紀錄'!K""&amp;TO_TEXT(ROW()-$C$72))"),"")</f>
        <v/>
      </c>
      <c r="L255" s="61" t="str">
        <f>IFERROR(__xludf.DUMMYFUNCTION("INDIRECT(""'收支紀錄'!L""&amp;TO_TEXT(ROW()-$C$72))"),"")</f>
        <v/>
      </c>
      <c r="M255" s="61" t="str">
        <f>IFERROR(__xludf.DUMMYFUNCTION("INDIRECT(""'收支紀錄'!M""&amp;TO_TEXT(ROW()-$C$72))"),"")</f>
        <v/>
      </c>
      <c r="N255" s="61" t="str">
        <f>IFERROR(__xludf.DUMMYFUNCTION("INDIRECT(""'收支紀錄'!N""&amp;TO_TEXT(ROW()-$C$72))"),"")</f>
        <v/>
      </c>
      <c r="O255" s="61" t="str">
        <f>IFERROR(__xludf.DUMMYFUNCTION("INDIRECT(""'收支紀錄'!O""&amp;TO_TEXT(ROW()-$C$72))"),"")</f>
        <v/>
      </c>
      <c r="P255" s="61" t="str">
        <f>IFERROR(__xludf.DUMMYFUNCTION("INDIRECT(""'收支紀錄'!P""&amp;TO_TEXT(ROW()-$C$72))"),"")</f>
        <v/>
      </c>
      <c r="Q255" s="61" t="str">
        <f>IFERROR(__xludf.DUMMYFUNCTION("INDIRECT(""'收支紀錄'!Q""&amp;TO_TEXT(ROW()-$C$72))"),"")</f>
        <v/>
      </c>
      <c r="R255" s="61" t="str">
        <f>IFERROR(__xludf.DUMMYFUNCTION("INDIRECT(""'收支紀錄'!R""&amp;TO_TEXT(ROW()-$C$72))"),"")</f>
        <v/>
      </c>
      <c r="S255" s="61" t="str">
        <f>IFERROR(__xludf.DUMMYFUNCTION("INDIRECT(""'收支紀錄'!S""&amp;TO_TEXT(ROW()-$C$72))"),"")</f>
        <v/>
      </c>
      <c r="T255" s="61" t="str">
        <f>IFERROR(__xludf.DUMMYFUNCTION("INDIRECT(""'收支紀錄'!T""&amp;TO_TEXT(ROW()-$C$72))"),"")</f>
        <v/>
      </c>
      <c r="U255" s="62" t="str">
        <f>IFERROR(__xludf.DUMMYFUNCTION("IF(T255=""是"",TEXTJOIN("""", TRUE, ""$"", TO_TEXT(C255), S255),"""")"),"")</f>
        <v/>
      </c>
    </row>
    <row r="256">
      <c r="A256" s="58">
        <f>IFERROR(__xludf.DUMMYFUNCTION("INDIRECT(""'收支紀錄'!A""&amp;TO_TEXT(ROW()-$C$72))"),45554.56259613426)</f>
        <v>45554.5626</v>
      </c>
      <c r="B256" s="59">
        <f>IFERROR(__xludf.DUMMYFUNCTION("IF(ISBLANK(D256), """", IF(ISDATE(D256), D256, IF(D256=""今天"", A256, IF(D256=""昨天 (-1 day)"", A256-1, IF(D256=""前天 (-2 days)"", A256-2, IF(D256=""明天 (+1 day)"", A256+1, DATE(LEFT(D256,4), MID(D256,5,2), RIGHT(D256,2))))))))"),45554.0)</f>
        <v>45554</v>
      </c>
      <c r="C256" s="60">
        <f>IFERROR(__xludf.DUMMYFUNCTION("INDIRECT(""'收支紀錄'!C""&amp;TO_TEXT(ROW()-$C$72))"),305.0)</f>
        <v>305</v>
      </c>
      <c r="D256" s="59">
        <f>IFERROR(__xludf.DUMMYFUNCTION("INDIRECT(""'收支紀錄'!D""&amp;TO_TEXT(ROW()-$C$72))"),45554.0)</f>
        <v>45554</v>
      </c>
      <c r="E256" s="61" t="str">
        <f>IFERROR(__xludf.DUMMYFUNCTION("INDIRECT(""'收支紀錄'!E""&amp;TO_TEXT(ROW()-$C$72))"),"")</f>
        <v/>
      </c>
      <c r="F256" s="61" t="str">
        <f>IFERROR(__xludf.DUMMYFUNCTION("INDIRECT(""'收支紀錄'!F""&amp;TO_TEXT(ROW()-$C$72))"),"")</f>
        <v/>
      </c>
      <c r="G256" s="61" t="str">
        <f>IFERROR(__xludf.DUMMYFUNCTION("INDIRECT(""'收支紀錄'!G""&amp;TO_TEXT(ROW()-$C$72))"),"")</f>
        <v/>
      </c>
      <c r="H256" s="61" t="str">
        <f>IFERROR(__xludf.DUMMYFUNCTION("INDIRECT(""'收支紀錄'!H""&amp;TO_TEXT(ROW()-$C$72))"),"房屋支出")</f>
        <v>房屋支出</v>
      </c>
      <c r="I256" s="61" t="str">
        <f>IFERROR(__xludf.DUMMYFUNCTION("INDIRECT(""'收支紀錄'!I""&amp;TO_TEXT(ROW()-$C$72))"),"")</f>
        <v/>
      </c>
      <c r="J256" s="61" t="str">
        <f>IFERROR(__xludf.DUMMYFUNCTION("INDIRECT(""'收支紀錄'!J""&amp;TO_TEXT(ROW()-$C$72))"),"")</f>
        <v/>
      </c>
      <c r="K256" s="61" t="str">
        <f>IFERROR(__xludf.DUMMYFUNCTION("INDIRECT(""'收支紀錄'!K""&amp;TO_TEXT(ROW()-$C$72))"),"瓦斯費")</f>
        <v>瓦斯費</v>
      </c>
      <c r="L256" s="61" t="str">
        <f>IFERROR(__xludf.DUMMYFUNCTION("INDIRECT(""'收支紀錄'!L""&amp;TO_TEXT(ROW()-$C$72))"),"")</f>
        <v/>
      </c>
      <c r="M256" s="61" t="str">
        <f>IFERROR(__xludf.DUMMYFUNCTION("INDIRECT(""'收支紀錄'!M""&amp;TO_TEXT(ROW()-$C$72))"),"")</f>
        <v/>
      </c>
      <c r="N256" s="61" t="str">
        <f>IFERROR(__xludf.DUMMYFUNCTION("INDIRECT(""'收支紀錄'!N""&amp;TO_TEXT(ROW()-$C$72))"),"")</f>
        <v/>
      </c>
      <c r="O256" s="61" t="str">
        <f>IFERROR(__xludf.DUMMYFUNCTION("INDIRECT(""'收支紀錄'!O""&amp;TO_TEXT(ROW()-$C$72))"),"")</f>
        <v/>
      </c>
      <c r="P256" s="61" t="str">
        <f>IFERROR(__xludf.DUMMYFUNCTION("INDIRECT(""'收支紀錄'!P""&amp;TO_TEXT(ROW()-$C$72))"),"")</f>
        <v/>
      </c>
      <c r="Q256" s="61" t="str">
        <f>IFERROR(__xludf.DUMMYFUNCTION("INDIRECT(""'收支紀錄'!Q""&amp;TO_TEXT(ROW()-$C$72))"),"")</f>
        <v/>
      </c>
      <c r="R256" s="61" t="str">
        <f>IFERROR(__xludf.DUMMYFUNCTION("INDIRECT(""'收支紀錄'!R""&amp;TO_TEXT(ROW()-$C$72))"),"")</f>
        <v/>
      </c>
      <c r="S256" s="61" t="str">
        <f>IFERROR(__xludf.DUMMYFUNCTION("INDIRECT(""'收支紀錄'!S""&amp;TO_TEXT(ROW()-$C$72))"),"")</f>
        <v/>
      </c>
      <c r="T256" s="61" t="str">
        <f>IFERROR(__xludf.DUMMYFUNCTION("INDIRECT(""'收支紀錄'!T""&amp;TO_TEXT(ROW()-$C$72))"),"")</f>
        <v/>
      </c>
      <c r="U256" s="62" t="str">
        <f>IFERROR(__xludf.DUMMYFUNCTION("IF(T256=""是"",TEXTJOIN("""", TRUE, ""$"", TO_TEXT(C256), S256),"""")"),"")</f>
        <v/>
      </c>
    </row>
    <row r="257">
      <c r="A257" s="58">
        <f>IFERROR(__xludf.DUMMYFUNCTION("INDIRECT(""'收支紀錄'!A""&amp;TO_TEXT(ROW()-$C$72))"),45554.68003447917)</f>
        <v>45554.68003</v>
      </c>
      <c r="B257" s="59">
        <f>IFERROR(__xludf.DUMMYFUNCTION("IF(ISBLANK(D257), """", IF(ISDATE(D257), D257, IF(D257=""今天"", A257, IF(D257=""昨天 (-1 day)"", A257-1, IF(D257=""前天 (-2 days)"", A257-2, IF(D257=""明天 (+1 day)"", A257+1, DATE(LEFT(D257,4), MID(D257,5,2), RIGHT(D257,2))))))))"),45552.0)</f>
        <v>45552</v>
      </c>
      <c r="C257" s="60">
        <f>IFERROR(__xludf.DUMMYFUNCTION("INDIRECT(""'收支紀錄'!C""&amp;TO_TEXT(ROW()-$C$72))"),98.0)</f>
        <v>98</v>
      </c>
      <c r="D257" s="59">
        <f>IFERROR(__xludf.DUMMYFUNCTION("INDIRECT(""'收支紀錄'!D""&amp;TO_TEXT(ROW()-$C$72))"),45552.0)</f>
        <v>45552</v>
      </c>
      <c r="E257" s="61" t="str">
        <f>IFERROR(__xludf.DUMMYFUNCTION("INDIRECT(""'收支紀錄'!E""&amp;TO_TEXT(ROW()-$C$72))"),"")</f>
        <v/>
      </c>
      <c r="F257" s="61" t="str">
        <f>IFERROR(__xludf.DUMMYFUNCTION("INDIRECT(""'收支紀錄'!F""&amp;TO_TEXT(ROW()-$C$72))"),"")</f>
        <v/>
      </c>
      <c r="G257" s="61" t="str">
        <f>IFERROR(__xludf.DUMMYFUNCTION("INDIRECT(""'收支紀錄'!G""&amp;TO_TEXT(ROW()-$C$72))"),"")</f>
        <v/>
      </c>
      <c r="H257" s="61" t="str">
        <f>IFERROR(__xludf.DUMMYFUNCTION("INDIRECT(""'收支紀錄'!H""&amp;TO_TEXT(ROW()-$C$72))"),"日常生活")</f>
        <v>日常生活</v>
      </c>
      <c r="I257" s="61" t="str">
        <f>IFERROR(__xludf.DUMMYFUNCTION("INDIRECT(""'收支紀錄'!I""&amp;TO_TEXT(ROW()-$C$72))"),"")</f>
        <v/>
      </c>
      <c r="J257" s="61" t="str">
        <f>IFERROR(__xludf.DUMMYFUNCTION("INDIRECT(""'收支紀錄'!J""&amp;TO_TEXT(ROW()-$C$72))"),"日常用品")</f>
        <v>日常用品</v>
      </c>
      <c r="K257" s="61" t="str">
        <f>IFERROR(__xludf.DUMMYFUNCTION("INDIRECT(""'收支紀錄'!K""&amp;TO_TEXT(ROW()-$C$72))"),"")</f>
        <v/>
      </c>
      <c r="L257" s="61" t="str">
        <f>IFERROR(__xludf.DUMMYFUNCTION("INDIRECT(""'收支紀錄'!L""&amp;TO_TEXT(ROW()-$C$72))"),"")</f>
        <v/>
      </c>
      <c r="M257" s="61" t="str">
        <f>IFERROR(__xludf.DUMMYFUNCTION("INDIRECT(""'收支紀錄'!M""&amp;TO_TEXT(ROW()-$C$72))"),"")</f>
        <v/>
      </c>
      <c r="N257" s="61" t="str">
        <f>IFERROR(__xludf.DUMMYFUNCTION("INDIRECT(""'收支紀錄'!N""&amp;TO_TEXT(ROW()-$C$72))"),"")</f>
        <v/>
      </c>
      <c r="O257" s="61" t="str">
        <f>IFERROR(__xludf.DUMMYFUNCTION("INDIRECT(""'收支紀錄'!O""&amp;TO_TEXT(ROW()-$C$72))"),"")</f>
        <v/>
      </c>
      <c r="P257" s="61" t="str">
        <f>IFERROR(__xludf.DUMMYFUNCTION("INDIRECT(""'收支紀錄'!P""&amp;TO_TEXT(ROW()-$C$72))"),"")</f>
        <v/>
      </c>
      <c r="Q257" s="61" t="str">
        <f>IFERROR(__xludf.DUMMYFUNCTION("INDIRECT(""'收支紀錄'!Q""&amp;TO_TEXT(ROW()-$C$72))"),"")</f>
        <v/>
      </c>
      <c r="R257" s="61" t="str">
        <f>IFERROR(__xludf.DUMMYFUNCTION("INDIRECT(""'收支紀錄'!R""&amp;TO_TEXT(ROW()-$C$72))"),"")</f>
        <v/>
      </c>
      <c r="S257" s="61" t="str">
        <f>IFERROR(__xludf.DUMMYFUNCTION("INDIRECT(""'收支紀錄'!S""&amp;TO_TEXT(ROW()-$C$72))"),"")</f>
        <v/>
      </c>
      <c r="T257" s="61" t="str">
        <f>IFERROR(__xludf.DUMMYFUNCTION("INDIRECT(""'收支紀錄'!T""&amp;TO_TEXT(ROW()-$C$72))"),"")</f>
        <v/>
      </c>
      <c r="U257" s="62" t="str">
        <f>IFERROR(__xludf.DUMMYFUNCTION("IF(T257=""是"",TEXTJOIN("""", TRUE, ""$"", TO_TEXT(C257), S257),"""")"),"")</f>
        <v/>
      </c>
    </row>
    <row r="258">
      <c r="A258" s="58">
        <f>IFERROR(__xludf.DUMMYFUNCTION("INDIRECT(""'收支紀錄'!A""&amp;TO_TEXT(ROW()-$C$72))"),45556.50660167824)</f>
        <v>45556.5066</v>
      </c>
      <c r="B258" s="59">
        <f>IFERROR(__xludf.DUMMYFUNCTION("IF(ISBLANK(D258), """", IF(ISDATE(D258), D258, IF(D258=""今天"", A258, IF(D258=""昨天 (-1 day)"", A258-1, IF(D258=""前天 (-2 days)"", A258-2, IF(D258=""明天 (+1 day)"", A258+1, DATE(LEFT(D258,4), MID(D258,5,2), RIGHT(D258,2))))))))"),45556.0)</f>
        <v>45556</v>
      </c>
      <c r="C258" s="60">
        <f>IFERROR(__xludf.DUMMYFUNCTION("INDIRECT(""'收支紀錄'!C""&amp;TO_TEXT(ROW()-$C$72))"),88.0)</f>
        <v>88</v>
      </c>
      <c r="D258" s="59">
        <f>IFERROR(__xludf.DUMMYFUNCTION("INDIRECT(""'收支紀錄'!D""&amp;TO_TEXT(ROW()-$C$72))"),45556.0)</f>
        <v>45556</v>
      </c>
      <c r="E258" s="61" t="str">
        <f>IFERROR(__xludf.DUMMYFUNCTION("INDIRECT(""'收支紀錄'!E""&amp;TO_TEXT(ROW()-$C$72))"),"")</f>
        <v/>
      </c>
      <c r="F258" s="61" t="str">
        <f>IFERROR(__xludf.DUMMYFUNCTION("INDIRECT(""'收支紀錄'!F""&amp;TO_TEXT(ROW()-$C$72))"),"")</f>
        <v/>
      </c>
      <c r="G258" s="61" t="str">
        <f>IFERROR(__xludf.DUMMYFUNCTION("INDIRECT(""'收支紀錄'!G""&amp;TO_TEXT(ROW()-$C$72))"),"")</f>
        <v/>
      </c>
      <c r="H258" s="61" t="str">
        <f>IFERROR(__xludf.DUMMYFUNCTION("INDIRECT(""'收支紀錄'!H""&amp;TO_TEXT(ROW()-$C$72))"),"食品酒水")</f>
        <v>食品酒水</v>
      </c>
      <c r="I258" s="61" t="str">
        <f>IFERROR(__xludf.DUMMYFUNCTION("INDIRECT(""'收支紀錄'!I""&amp;TO_TEXT(ROW()-$C$72))"),"早餐")</f>
        <v>早餐</v>
      </c>
      <c r="J258" s="61" t="str">
        <f>IFERROR(__xludf.DUMMYFUNCTION("INDIRECT(""'收支紀錄'!J""&amp;TO_TEXT(ROW()-$C$72))"),"")</f>
        <v/>
      </c>
      <c r="K258" s="61" t="str">
        <f>IFERROR(__xludf.DUMMYFUNCTION("INDIRECT(""'收支紀錄'!K""&amp;TO_TEXT(ROW()-$C$72))"),"")</f>
        <v/>
      </c>
      <c r="L258" s="61" t="str">
        <f>IFERROR(__xludf.DUMMYFUNCTION("INDIRECT(""'收支紀錄'!L""&amp;TO_TEXT(ROW()-$C$72))"),"")</f>
        <v/>
      </c>
      <c r="M258" s="61" t="str">
        <f>IFERROR(__xludf.DUMMYFUNCTION("INDIRECT(""'收支紀錄'!M""&amp;TO_TEXT(ROW()-$C$72))"),"")</f>
        <v/>
      </c>
      <c r="N258" s="61" t="str">
        <f>IFERROR(__xludf.DUMMYFUNCTION("INDIRECT(""'收支紀錄'!N""&amp;TO_TEXT(ROW()-$C$72))"),"")</f>
        <v/>
      </c>
      <c r="O258" s="61" t="str">
        <f>IFERROR(__xludf.DUMMYFUNCTION("INDIRECT(""'收支紀錄'!O""&amp;TO_TEXT(ROW()-$C$72))"),"")</f>
        <v/>
      </c>
      <c r="P258" s="61" t="str">
        <f>IFERROR(__xludf.DUMMYFUNCTION("INDIRECT(""'收支紀錄'!P""&amp;TO_TEXT(ROW()-$C$72))"),"")</f>
        <v/>
      </c>
      <c r="Q258" s="61" t="str">
        <f>IFERROR(__xludf.DUMMYFUNCTION("INDIRECT(""'收支紀錄'!Q""&amp;TO_TEXT(ROW()-$C$72))"),"")</f>
        <v/>
      </c>
      <c r="R258" s="61" t="str">
        <f>IFERROR(__xludf.DUMMYFUNCTION("INDIRECT(""'收支紀錄'!R""&amp;TO_TEXT(ROW()-$C$72))"),"")</f>
        <v/>
      </c>
      <c r="S258" s="61" t="str">
        <f>IFERROR(__xludf.DUMMYFUNCTION("INDIRECT(""'收支紀錄'!S""&amp;TO_TEXT(ROW()-$C$72))"),"")</f>
        <v/>
      </c>
      <c r="T258" s="61" t="str">
        <f>IFERROR(__xludf.DUMMYFUNCTION("INDIRECT(""'收支紀錄'!T""&amp;TO_TEXT(ROW()-$C$72))"),"")</f>
        <v/>
      </c>
      <c r="U258" s="62" t="str">
        <f>IFERROR(__xludf.DUMMYFUNCTION("IF(T258=""是"",TEXTJOIN("""", TRUE, ""$"", TO_TEXT(C258), S258),"""")"),"")</f>
        <v/>
      </c>
    </row>
    <row r="259">
      <c r="A259" s="58">
        <f>IFERROR(__xludf.DUMMYFUNCTION("INDIRECT(""'收支紀錄'!A""&amp;TO_TEXT(ROW()-$C$72))"),45556.50689017361)</f>
        <v>45556.50689</v>
      </c>
      <c r="B259" s="59">
        <f>IFERROR(__xludf.DUMMYFUNCTION("IF(ISBLANK(D259), """", IF(ISDATE(D259), D259, IF(D259=""今天"", A259, IF(D259=""昨天 (-1 day)"", A259-1, IF(D259=""前天 (-2 days)"", A259-2, IF(D259=""明天 (+1 day)"", A259+1, DATE(LEFT(D259,4), MID(D259,5,2), RIGHT(D259,2))))))))"),45556.0)</f>
        <v>45556</v>
      </c>
      <c r="C259" s="60">
        <f>IFERROR(__xludf.DUMMYFUNCTION("INDIRECT(""'收支紀錄'!C""&amp;TO_TEXT(ROW()-$C$72))"),20.0)</f>
        <v>20</v>
      </c>
      <c r="D259" s="59">
        <f>IFERROR(__xludf.DUMMYFUNCTION("INDIRECT(""'收支紀錄'!D""&amp;TO_TEXT(ROW()-$C$72))"),45556.0)</f>
        <v>45556</v>
      </c>
      <c r="E259" s="61" t="str">
        <f>IFERROR(__xludf.DUMMYFUNCTION("INDIRECT(""'收支紀錄'!E""&amp;TO_TEXT(ROW()-$C$72))"),"")</f>
        <v/>
      </c>
      <c r="F259" s="61" t="str">
        <f>IFERROR(__xludf.DUMMYFUNCTION("INDIRECT(""'收支紀錄'!F""&amp;TO_TEXT(ROW()-$C$72))"),"")</f>
        <v/>
      </c>
      <c r="G259" s="61" t="str">
        <f>IFERROR(__xludf.DUMMYFUNCTION("INDIRECT(""'收支紀錄'!G""&amp;TO_TEXT(ROW()-$C$72))"),"")</f>
        <v/>
      </c>
      <c r="H259" s="61" t="str">
        <f>IFERROR(__xludf.DUMMYFUNCTION("INDIRECT(""'收支紀錄'!H""&amp;TO_TEXT(ROW()-$C$72))"),"行車交通")</f>
        <v>行車交通</v>
      </c>
      <c r="I259" s="61" t="str">
        <f>IFERROR(__xludf.DUMMYFUNCTION("INDIRECT(""'收支紀錄'!I""&amp;TO_TEXT(ROW()-$C$72))"),"")</f>
        <v/>
      </c>
      <c r="J259" s="61" t="str">
        <f>IFERROR(__xludf.DUMMYFUNCTION("INDIRECT(""'收支紀錄'!J""&amp;TO_TEXT(ROW()-$C$72))"),"")</f>
        <v/>
      </c>
      <c r="K259" s="61" t="str">
        <f>IFERROR(__xludf.DUMMYFUNCTION("INDIRECT(""'收支紀錄'!K""&amp;TO_TEXT(ROW()-$C$72))"),"")</f>
        <v/>
      </c>
      <c r="L259" s="61" t="str">
        <f>IFERROR(__xludf.DUMMYFUNCTION("INDIRECT(""'收支紀錄'!L""&amp;TO_TEXT(ROW()-$C$72))"),"停車")</f>
        <v>停車</v>
      </c>
      <c r="M259" s="61" t="str">
        <f>IFERROR(__xludf.DUMMYFUNCTION("INDIRECT(""'收支紀錄'!M""&amp;TO_TEXT(ROW()-$C$72))"),"")</f>
        <v/>
      </c>
      <c r="N259" s="61" t="str">
        <f>IFERROR(__xludf.DUMMYFUNCTION("INDIRECT(""'收支紀錄'!N""&amp;TO_TEXT(ROW()-$C$72))"),"")</f>
        <v/>
      </c>
      <c r="O259" s="61" t="str">
        <f>IFERROR(__xludf.DUMMYFUNCTION("INDIRECT(""'收支紀錄'!O""&amp;TO_TEXT(ROW()-$C$72))"),"")</f>
        <v/>
      </c>
      <c r="P259" s="61" t="str">
        <f>IFERROR(__xludf.DUMMYFUNCTION("INDIRECT(""'收支紀錄'!P""&amp;TO_TEXT(ROW()-$C$72))"),"")</f>
        <v/>
      </c>
      <c r="Q259" s="61" t="str">
        <f>IFERROR(__xludf.DUMMYFUNCTION("INDIRECT(""'收支紀錄'!Q""&amp;TO_TEXT(ROW()-$C$72))"),"")</f>
        <v/>
      </c>
      <c r="R259" s="61" t="str">
        <f>IFERROR(__xludf.DUMMYFUNCTION("INDIRECT(""'收支紀錄'!R""&amp;TO_TEXT(ROW()-$C$72))"),"")</f>
        <v/>
      </c>
      <c r="S259" s="61" t="str">
        <f>IFERROR(__xludf.DUMMYFUNCTION("INDIRECT(""'收支紀錄'!S""&amp;TO_TEXT(ROW()-$C$72))"),"")</f>
        <v/>
      </c>
      <c r="T259" s="61" t="str">
        <f>IFERROR(__xludf.DUMMYFUNCTION("INDIRECT(""'收支紀錄'!T""&amp;TO_TEXT(ROW()-$C$72))"),"")</f>
        <v/>
      </c>
      <c r="U259" s="62" t="str">
        <f>IFERROR(__xludf.DUMMYFUNCTION("IF(T259=""是"",TEXTJOIN("""", TRUE, ""$"", TO_TEXT(C259), S259),"""")"),"")</f>
        <v/>
      </c>
    </row>
    <row r="260">
      <c r="A260" s="58">
        <f>IFERROR(__xludf.DUMMYFUNCTION("INDIRECT(""'收支紀錄'!A""&amp;TO_TEXT(ROW()-$C$72))"),45556.629231122686)</f>
        <v>45556.62923</v>
      </c>
      <c r="B260" s="59">
        <f>IFERROR(__xludf.DUMMYFUNCTION("IF(ISBLANK(D260), """", IF(ISDATE(D260), D260, IF(D260=""今天"", A260, IF(D260=""昨天 (-1 day)"", A260-1, IF(D260=""前天 (-2 days)"", A260-2, IF(D260=""明天 (+1 day)"", A260+1, DATE(LEFT(D260,4), MID(D260,5,2), RIGHT(D260,2))))))))"),45556.0)</f>
        <v>45556</v>
      </c>
      <c r="C260" s="60">
        <f>IFERROR(__xludf.DUMMYFUNCTION("INDIRECT(""'收支紀錄'!C""&amp;TO_TEXT(ROW()-$C$72))"),60.0)</f>
        <v>60</v>
      </c>
      <c r="D260" s="59">
        <f>IFERROR(__xludf.DUMMYFUNCTION("INDIRECT(""'收支紀錄'!D""&amp;TO_TEXT(ROW()-$C$72))"),45556.0)</f>
        <v>45556</v>
      </c>
      <c r="E260" s="61" t="str">
        <f>IFERROR(__xludf.DUMMYFUNCTION("INDIRECT(""'收支紀錄'!E""&amp;TO_TEXT(ROW()-$C$72))"),"")</f>
        <v/>
      </c>
      <c r="F260" s="61" t="str">
        <f>IFERROR(__xludf.DUMMYFUNCTION("INDIRECT(""'收支紀錄'!F""&amp;TO_TEXT(ROW()-$C$72))"),"")</f>
        <v/>
      </c>
      <c r="G260" s="61" t="str">
        <f>IFERROR(__xludf.DUMMYFUNCTION("INDIRECT(""'收支紀錄'!G""&amp;TO_TEXT(ROW()-$C$72))"),"")</f>
        <v/>
      </c>
      <c r="H260" s="61" t="str">
        <f>IFERROR(__xludf.DUMMYFUNCTION("INDIRECT(""'收支紀錄'!H""&amp;TO_TEXT(ROW()-$C$72))"),"行車交通")</f>
        <v>行車交通</v>
      </c>
      <c r="I260" s="61" t="str">
        <f>IFERROR(__xludf.DUMMYFUNCTION("INDIRECT(""'收支紀錄'!I""&amp;TO_TEXT(ROW()-$C$72))"),"")</f>
        <v/>
      </c>
      <c r="J260" s="61" t="str">
        <f>IFERROR(__xludf.DUMMYFUNCTION("INDIRECT(""'收支紀錄'!J""&amp;TO_TEXT(ROW()-$C$72))"),"")</f>
        <v/>
      </c>
      <c r="K260" s="61" t="str">
        <f>IFERROR(__xludf.DUMMYFUNCTION("INDIRECT(""'收支紀錄'!K""&amp;TO_TEXT(ROW()-$C$72))"),"")</f>
        <v/>
      </c>
      <c r="L260" s="61" t="str">
        <f>IFERROR(__xludf.DUMMYFUNCTION("INDIRECT(""'收支紀錄'!L""&amp;TO_TEXT(ROW()-$C$72))"),"停車")</f>
        <v>停車</v>
      </c>
      <c r="M260" s="61" t="str">
        <f>IFERROR(__xludf.DUMMYFUNCTION("INDIRECT(""'收支紀錄'!M""&amp;TO_TEXT(ROW()-$C$72))"),"")</f>
        <v/>
      </c>
      <c r="N260" s="61" t="str">
        <f>IFERROR(__xludf.DUMMYFUNCTION("INDIRECT(""'收支紀錄'!N""&amp;TO_TEXT(ROW()-$C$72))"),"")</f>
        <v/>
      </c>
      <c r="O260" s="61" t="str">
        <f>IFERROR(__xludf.DUMMYFUNCTION("INDIRECT(""'收支紀錄'!O""&amp;TO_TEXT(ROW()-$C$72))"),"")</f>
        <v/>
      </c>
      <c r="P260" s="61" t="str">
        <f>IFERROR(__xludf.DUMMYFUNCTION("INDIRECT(""'收支紀錄'!P""&amp;TO_TEXT(ROW()-$C$72))"),"")</f>
        <v/>
      </c>
      <c r="Q260" s="61" t="str">
        <f>IFERROR(__xludf.DUMMYFUNCTION("INDIRECT(""'收支紀錄'!Q""&amp;TO_TEXT(ROW()-$C$72))"),"")</f>
        <v/>
      </c>
      <c r="R260" s="61" t="str">
        <f>IFERROR(__xludf.DUMMYFUNCTION("INDIRECT(""'收支紀錄'!R""&amp;TO_TEXT(ROW()-$C$72))"),"")</f>
        <v/>
      </c>
      <c r="S260" s="61" t="str">
        <f>IFERROR(__xludf.DUMMYFUNCTION("INDIRECT(""'收支紀錄'!S""&amp;TO_TEXT(ROW()-$C$72))"),"")</f>
        <v/>
      </c>
      <c r="T260" s="61" t="str">
        <f>IFERROR(__xludf.DUMMYFUNCTION("INDIRECT(""'收支紀錄'!T""&amp;TO_TEXT(ROW()-$C$72))"),"")</f>
        <v/>
      </c>
      <c r="U260" s="62" t="str">
        <f>IFERROR(__xludf.DUMMYFUNCTION("IF(T260=""是"",TEXTJOIN("""", TRUE, ""$"", TO_TEXT(C260), S260),"""")"),"")</f>
        <v/>
      </c>
    </row>
    <row r="261">
      <c r="A261" s="58">
        <f>IFERROR(__xludf.DUMMYFUNCTION("INDIRECT(""'收支紀錄'!A""&amp;TO_TEXT(ROW()-$C$72))"),45556.963266666666)</f>
        <v>45556.96327</v>
      </c>
      <c r="B261" s="59">
        <f>IFERROR(__xludf.DUMMYFUNCTION("IF(ISBLANK(D261), """", IF(ISDATE(D261), D261, IF(D261=""今天"", A261, IF(D261=""昨天 (-1 day)"", A261-1, IF(D261=""前天 (-2 days)"", A261-2, IF(D261=""明天 (+1 day)"", A261+1, DATE(LEFT(D261,4), MID(D261,5,2), RIGHT(D261,2))))))))"),45556.0)</f>
        <v>45556</v>
      </c>
      <c r="C261" s="60">
        <f>IFERROR(__xludf.DUMMYFUNCTION("INDIRECT(""'收支紀錄'!C""&amp;TO_TEXT(ROW()-$C$72))"),170.0)</f>
        <v>170</v>
      </c>
      <c r="D261" s="59">
        <f>IFERROR(__xludf.DUMMYFUNCTION("INDIRECT(""'收支紀錄'!D""&amp;TO_TEXT(ROW()-$C$72))"),45556.0)</f>
        <v>45556</v>
      </c>
      <c r="E261" s="61" t="str">
        <f>IFERROR(__xludf.DUMMYFUNCTION("INDIRECT(""'收支紀錄'!E""&amp;TO_TEXT(ROW()-$C$72))"),"")</f>
        <v/>
      </c>
      <c r="F261" s="61" t="str">
        <f>IFERROR(__xludf.DUMMYFUNCTION("INDIRECT(""'收支紀錄'!F""&amp;TO_TEXT(ROW()-$C$72))"),"")</f>
        <v/>
      </c>
      <c r="G261" s="61" t="str">
        <f>IFERROR(__xludf.DUMMYFUNCTION("INDIRECT(""'收支紀錄'!G""&amp;TO_TEXT(ROW()-$C$72))"),"")</f>
        <v/>
      </c>
      <c r="H261" s="61" t="str">
        <f>IFERROR(__xludf.DUMMYFUNCTION("INDIRECT(""'收支紀錄'!H""&amp;TO_TEXT(ROW()-$C$72))"),"食品酒水")</f>
        <v>食品酒水</v>
      </c>
      <c r="I261" s="61" t="str">
        <f>IFERROR(__xludf.DUMMYFUNCTION("INDIRECT(""'收支紀錄'!I""&amp;TO_TEXT(ROW()-$C$72))"),"晚餐")</f>
        <v>晚餐</v>
      </c>
      <c r="J261" s="61" t="str">
        <f>IFERROR(__xludf.DUMMYFUNCTION("INDIRECT(""'收支紀錄'!J""&amp;TO_TEXT(ROW()-$C$72))"),"")</f>
        <v/>
      </c>
      <c r="K261" s="61" t="str">
        <f>IFERROR(__xludf.DUMMYFUNCTION("INDIRECT(""'收支紀錄'!K""&amp;TO_TEXT(ROW()-$C$72))"),"")</f>
        <v/>
      </c>
      <c r="L261" s="61" t="str">
        <f>IFERROR(__xludf.DUMMYFUNCTION("INDIRECT(""'收支紀錄'!L""&amp;TO_TEXT(ROW()-$C$72))"),"")</f>
        <v/>
      </c>
      <c r="M261" s="61" t="str">
        <f>IFERROR(__xludf.DUMMYFUNCTION("INDIRECT(""'收支紀錄'!M""&amp;TO_TEXT(ROW()-$C$72))"),"")</f>
        <v/>
      </c>
      <c r="N261" s="61" t="str">
        <f>IFERROR(__xludf.DUMMYFUNCTION("INDIRECT(""'收支紀錄'!N""&amp;TO_TEXT(ROW()-$C$72))"),"")</f>
        <v/>
      </c>
      <c r="O261" s="61" t="str">
        <f>IFERROR(__xludf.DUMMYFUNCTION("INDIRECT(""'收支紀錄'!O""&amp;TO_TEXT(ROW()-$C$72))"),"")</f>
        <v/>
      </c>
      <c r="P261" s="61" t="str">
        <f>IFERROR(__xludf.DUMMYFUNCTION("INDIRECT(""'收支紀錄'!P""&amp;TO_TEXT(ROW()-$C$72))"),"")</f>
        <v/>
      </c>
      <c r="Q261" s="61" t="str">
        <f>IFERROR(__xludf.DUMMYFUNCTION("INDIRECT(""'收支紀錄'!Q""&amp;TO_TEXT(ROW()-$C$72))"),"")</f>
        <v/>
      </c>
      <c r="R261" s="61" t="str">
        <f>IFERROR(__xludf.DUMMYFUNCTION("INDIRECT(""'收支紀錄'!R""&amp;TO_TEXT(ROW()-$C$72))"),"")</f>
        <v/>
      </c>
      <c r="S261" s="61" t="str">
        <f>IFERROR(__xludf.DUMMYFUNCTION("INDIRECT(""'收支紀錄'!S""&amp;TO_TEXT(ROW()-$C$72))"),"")</f>
        <v/>
      </c>
      <c r="T261" s="61" t="str">
        <f>IFERROR(__xludf.DUMMYFUNCTION("INDIRECT(""'收支紀錄'!T""&amp;TO_TEXT(ROW()-$C$72))"),"")</f>
        <v/>
      </c>
      <c r="U261" s="62" t="str">
        <f>IFERROR(__xludf.DUMMYFUNCTION("IF(T261=""是"",TEXTJOIN("""", TRUE, ""$"", TO_TEXT(C261), S261),"""")"),"")</f>
        <v/>
      </c>
    </row>
    <row r="262">
      <c r="A262" s="58">
        <f>IFERROR(__xludf.DUMMYFUNCTION("INDIRECT(""'收支紀錄'!A""&amp;TO_TEXT(ROW()-$C$72))"),45556.96356325231)</f>
        <v>45556.96356</v>
      </c>
      <c r="B262" s="59">
        <f>IFERROR(__xludf.DUMMYFUNCTION("IF(ISBLANK(D262), """", IF(ISDATE(D262), D262, IF(D262=""今天"", A262, IF(D262=""昨天 (-1 day)"", A262-1, IF(D262=""前天 (-2 days)"", A262-2, IF(D262=""明天 (+1 day)"", A262+1, DATE(LEFT(D262,4), MID(D262,5,2), RIGHT(D262,2))))))))"),45556.0)</f>
        <v>45556</v>
      </c>
      <c r="C262" s="60">
        <f>IFERROR(__xludf.DUMMYFUNCTION("INDIRECT(""'收支紀錄'!C""&amp;TO_TEXT(ROW()-$C$72))"),226.0)</f>
        <v>226</v>
      </c>
      <c r="D262" s="59">
        <f>IFERROR(__xludf.DUMMYFUNCTION("INDIRECT(""'收支紀錄'!D""&amp;TO_TEXT(ROW()-$C$72))"),45556.0)</f>
        <v>45556</v>
      </c>
      <c r="E262" s="61" t="str">
        <f>IFERROR(__xludf.DUMMYFUNCTION("INDIRECT(""'收支紀錄'!E""&amp;TO_TEXT(ROW()-$C$72))"),"")</f>
        <v/>
      </c>
      <c r="F262" s="61" t="str">
        <f>IFERROR(__xludf.DUMMYFUNCTION("INDIRECT(""'收支紀錄'!F""&amp;TO_TEXT(ROW()-$C$72))"),"")</f>
        <v/>
      </c>
      <c r="G262" s="61" t="str">
        <f>IFERROR(__xludf.DUMMYFUNCTION("INDIRECT(""'收支紀錄'!G""&amp;TO_TEXT(ROW()-$C$72))"),"")</f>
        <v/>
      </c>
      <c r="H262" s="61" t="str">
        <f>IFERROR(__xludf.DUMMYFUNCTION("INDIRECT(""'收支紀錄'!H""&amp;TO_TEXT(ROW()-$C$72))"),"食品酒水")</f>
        <v>食品酒水</v>
      </c>
      <c r="I262" s="61" t="str">
        <f>IFERROR(__xludf.DUMMYFUNCTION("INDIRECT(""'收支紀錄'!I""&amp;TO_TEXT(ROW()-$C$72))"),"宵夜")</f>
        <v>宵夜</v>
      </c>
      <c r="J262" s="61" t="str">
        <f>IFERROR(__xludf.DUMMYFUNCTION("INDIRECT(""'收支紀錄'!J""&amp;TO_TEXT(ROW()-$C$72))"),"")</f>
        <v/>
      </c>
      <c r="K262" s="61" t="str">
        <f>IFERROR(__xludf.DUMMYFUNCTION("INDIRECT(""'收支紀錄'!K""&amp;TO_TEXT(ROW()-$C$72))"),"")</f>
        <v/>
      </c>
      <c r="L262" s="61" t="str">
        <f>IFERROR(__xludf.DUMMYFUNCTION("INDIRECT(""'收支紀錄'!L""&amp;TO_TEXT(ROW()-$C$72))"),"")</f>
        <v/>
      </c>
      <c r="M262" s="61" t="str">
        <f>IFERROR(__xludf.DUMMYFUNCTION("INDIRECT(""'收支紀錄'!M""&amp;TO_TEXT(ROW()-$C$72))"),"")</f>
        <v/>
      </c>
      <c r="N262" s="61" t="str">
        <f>IFERROR(__xludf.DUMMYFUNCTION("INDIRECT(""'收支紀錄'!N""&amp;TO_TEXT(ROW()-$C$72))"),"")</f>
        <v/>
      </c>
      <c r="O262" s="61" t="str">
        <f>IFERROR(__xludf.DUMMYFUNCTION("INDIRECT(""'收支紀錄'!O""&amp;TO_TEXT(ROW()-$C$72))"),"")</f>
        <v/>
      </c>
      <c r="P262" s="61" t="str">
        <f>IFERROR(__xludf.DUMMYFUNCTION("INDIRECT(""'收支紀錄'!P""&amp;TO_TEXT(ROW()-$C$72))"),"")</f>
        <v/>
      </c>
      <c r="Q262" s="61" t="str">
        <f>IFERROR(__xludf.DUMMYFUNCTION("INDIRECT(""'收支紀錄'!Q""&amp;TO_TEXT(ROW()-$C$72))"),"")</f>
        <v/>
      </c>
      <c r="R262" s="61" t="str">
        <f>IFERROR(__xludf.DUMMYFUNCTION("INDIRECT(""'收支紀錄'!R""&amp;TO_TEXT(ROW()-$C$72))"),"")</f>
        <v/>
      </c>
      <c r="S262" s="61" t="str">
        <f>IFERROR(__xludf.DUMMYFUNCTION("INDIRECT(""'收支紀錄'!S""&amp;TO_TEXT(ROW()-$C$72))"),"")</f>
        <v/>
      </c>
      <c r="T262" s="61" t="str">
        <f>IFERROR(__xludf.DUMMYFUNCTION("INDIRECT(""'收支紀錄'!T""&amp;TO_TEXT(ROW()-$C$72))"),"")</f>
        <v/>
      </c>
      <c r="U262" s="62" t="str">
        <f>IFERROR(__xludf.DUMMYFUNCTION("IF(T262=""是"",TEXTJOIN("""", TRUE, ""$"", TO_TEXT(C262), S262),"""")"),"")</f>
        <v/>
      </c>
    </row>
    <row r="263">
      <c r="A263" s="58">
        <f>IFERROR(__xludf.DUMMYFUNCTION("INDIRECT(""'收支紀錄'!A""&amp;TO_TEXT(ROW()-$C$72))"),45556.963825231476)</f>
        <v>45556.96383</v>
      </c>
      <c r="B263" s="59">
        <f>IFERROR(__xludf.DUMMYFUNCTION("IF(ISBLANK(D263), """", IF(ISDATE(D263), D263, IF(D263=""今天"", A263, IF(D263=""昨天 (-1 day)"", A263-1, IF(D263=""前天 (-2 days)"", A263-2, IF(D263=""明天 (+1 day)"", A263+1, DATE(LEFT(D263,4), MID(D263,5,2), RIGHT(D263,2))))))))"),45556.0)</f>
        <v>45556</v>
      </c>
      <c r="C263" s="60">
        <f>IFERROR(__xludf.DUMMYFUNCTION("INDIRECT(""'收支紀錄'!C""&amp;TO_TEXT(ROW()-$C$72))"),50.0)</f>
        <v>50</v>
      </c>
      <c r="D263" s="59">
        <f>IFERROR(__xludf.DUMMYFUNCTION("INDIRECT(""'收支紀錄'!D""&amp;TO_TEXT(ROW()-$C$72))"),45556.0)</f>
        <v>45556</v>
      </c>
      <c r="E263" s="61" t="str">
        <f>IFERROR(__xludf.DUMMYFUNCTION("INDIRECT(""'收支紀錄'!E""&amp;TO_TEXT(ROW()-$C$72))"),"")</f>
        <v/>
      </c>
      <c r="F263" s="61" t="str">
        <f>IFERROR(__xludf.DUMMYFUNCTION("INDIRECT(""'收支紀錄'!F""&amp;TO_TEXT(ROW()-$C$72))"),"")</f>
        <v/>
      </c>
      <c r="G263" s="61" t="str">
        <f>IFERROR(__xludf.DUMMYFUNCTION("INDIRECT(""'收支紀錄'!G""&amp;TO_TEXT(ROW()-$C$72))"),"")</f>
        <v/>
      </c>
      <c r="H263" s="61" t="str">
        <f>IFERROR(__xludf.DUMMYFUNCTION("INDIRECT(""'收支紀錄'!H""&amp;TO_TEXT(ROW()-$C$72))"),"行車交通")</f>
        <v>行車交通</v>
      </c>
      <c r="I263" s="61" t="str">
        <f>IFERROR(__xludf.DUMMYFUNCTION("INDIRECT(""'收支紀錄'!I""&amp;TO_TEXT(ROW()-$C$72))"),"")</f>
        <v/>
      </c>
      <c r="J263" s="61" t="str">
        <f>IFERROR(__xludf.DUMMYFUNCTION("INDIRECT(""'收支紀錄'!J""&amp;TO_TEXT(ROW()-$C$72))"),"")</f>
        <v/>
      </c>
      <c r="K263" s="61" t="str">
        <f>IFERROR(__xludf.DUMMYFUNCTION("INDIRECT(""'收支紀錄'!K""&amp;TO_TEXT(ROW()-$C$72))"),"")</f>
        <v/>
      </c>
      <c r="L263" s="61" t="str">
        <f>IFERROR(__xludf.DUMMYFUNCTION("INDIRECT(""'收支紀錄'!L""&amp;TO_TEXT(ROW()-$C$72))"),"停車")</f>
        <v>停車</v>
      </c>
      <c r="M263" s="61" t="str">
        <f>IFERROR(__xludf.DUMMYFUNCTION("INDIRECT(""'收支紀錄'!M""&amp;TO_TEXT(ROW()-$C$72))"),"")</f>
        <v/>
      </c>
      <c r="N263" s="61" t="str">
        <f>IFERROR(__xludf.DUMMYFUNCTION("INDIRECT(""'收支紀錄'!N""&amp;TO_TEXT(ROW()-$C$72))"),"")</f>
        <v/>
      </c>
      <c r="O263" s="61" t="str">
        <f>IFERROR(__xludf.DUMMYFUNCTION("INDIRECT(""'收支紀錄'!O""&amp;TO_TEXT(ROW()-$C$72))"),"")</f>
        <v/>
      </c>
      <c r="P263" s="61" t="str">
        <f>IFERROR(__xludf.DUMMYFUNCTION("INDIRECT(""'收支紀錄'!P""&amp;TO_TEXT(ROW()-$C$72))"),"")</f>
        <v/>
      </c>
      <c r="Q263" s="61" t="str">
        <f>IFERROR(__xludf.DUMMYFUNCTION("INDIRECT(""'收支紀錄'!Q""&amp;TO_TEXT(ROW()-$C$72))"),"")</f>
        <v/>
      </c>
      <c r="R263" s="61" t="str">
        <f>IFERROR(__xludf.DUMMYFUNCTION("INDIRECT(""'收支紀錄'!R""&amp;TO_TEXT(ROW()-$C$72))"),"")</f>
        <v/>
      </c>
      <c r="S263" s="61" t="str">
        <f>IFERROR(__xludf.DUMMYFUNCTION("INDIRECT(""'收支紀錄'!S""&amp;TO_TEXT(ROW()-$C$72))"),"")</f>
        <v/>
      </c>
      <c r="T263" s="61" t="str">
        <f>IFERROR(__xludf.DUMMYFUNCTION("INDIRECT(""'收支紀錄'!T""&amp;TO_TEXT(ROW()-$C$72))"),"")</f>
        <v/>
      </c>
      <c r="U263" s="62" t="str">
        <f>IFERROR(__xludf.DUMMYFUNCTION("IF(T263=""是"",TEXTJOIN("""", TRUE, ""$"", TO_TEXT(C263), S263),"""")"),"")</f>
        <v/>
      </c>
    </row>
    <row r="264">
      <c r="A264" s="58">
        <f>IFERROR(__xludf.DUMMYFUNCTION("INDIRECT(""'收支紀錄'!A""&amp;TO_TEXT(ROW()-$C$72))"),45556.96493417824)</f>
        <v>45556.96493</v>
      </c>
      <c r="B264" s="59">
        <f>IFERROR(__xludf.DUMMYFUNCTION("IF(ISBLANK(D264), """", IF(ISDATE(D264), D264, IF(D264=""今天"", A264, IF(D264=""昨天 (-1 day)"", A264-1, IF(D264=""前天 (-2 days)"", A264-2, IF(D264=""明天 (+1 day)"", A264+1, DATE(LEFT(D264,4), MID(D264,5,2), RIGHT(D264,2))))))))"),45557.0)</f>
        <v>45557</v>
      </c>
      <c r="C264" s="60">
        <f>IFERROR(__xludf.DUMMYFUNCTION("INDIRECT(""'收支紀錄'!C""&amp;TO_TEXT(ROW()-$C$72))"),230.0)</f>
        <v>230</v>
      </c>
      <c r="D264" s="59">
        <f>IFERROR(__xludf.DUMMYFUNCTION("INDIRECT(""'收支紀錄'!D""&amp;TO_TEXT(ROW()-$C$72))"),45557.0)</f>
        <v>45557</v>
      </c>
      <c r="E264" s="61" t="str">
        <f>IFERROR(__xludf.DUMMYFUNCTION("INDIRECT(""'收支紀錄'!E""&amp;TO_TEXT(ROW()-$C$72))"),"")</f>
        <v/>
      </c>
      <c r="F264" s="61" t="str">
        <f>IFERROR(__xludf.DUMMYFUNCTION("INDIRECT(""'收支紀錄'!F""&amp;TO_TEXT(ROW()-$C$72))"),"")</f>
        <v/>
      </c>
      <c r="G264" s="61" t="str">
        <f>IFERROR(__xludf.DUMMYFUNCTION("INDIRECT(""'收支紀錄'!G""&amp;TO_TEXT(ROW()-$C$72))"),"")</f>
        <v/>
      </c>
      <c r="H264" s="61" t="str">
        <f>IFERROR(__xludf.DUMMYFUNCTION("INDIRECT(""'收支紀錄'!H""&amp;TO_TEXT(ROW()-$C$72))"),"休閒娛樂")</f>
        <v>休閒娛樂</v>
      </c>
      <c r="I264" s="61" t="str">
        <f>IFERROR(__xludf.DUMMYFUNCTION("INDIRECT(""'收支紀錄'!I""&amp;TO_TEXT(ROW()-$C$72))"),"")</f>
        <v/>
      </c>
      <c r="J264" s="61" t="str">
        <f>IFERROR(__xludf.DUMMYFUNCTION("INDIRECT(""'收支紀錄'!J""&amp;TO_TEXT(ROW()-$C$72))"),"")</f>
        <v/>
      </c>
      <c r="K264" s="61" t="str">
        <f>IFERROR(__xludf.DUMMYFUNCTION("INDIRECT(""'收支紀錄'!K""&amp;TO_TEXT(ROW()-$C$72))"),"")</f>
        <v/>
      </c>
      <c r="L264" s="61" t="str">
        <f>IFERROR(__xludf.DUMMYFUNCTION("INDIRECT(""'收支紀錄'!L""&amp;TO_TEXT(ROW()-$C$72))"),"")</f>
        <v/>
      </c>
      <c r="M264" s="61" t="str">
        <f>IFERROR(__xludf.DUMMYFUNCTION("INDIRECT(""'收支紀錄'!M""&amp;TO_TEXT(ROW()-$C$72))"),"運動健身")</f>
        <v>運動健身</v>
      </c>
      <c r="N264" s="61" t="str">
        <f>IFERROR(__xludf.DUMMYFUNCTION("INDIRECT(""'收支紀錄'!N""&amp;TO_TEXT(ROW()-$C$72))"),"")</f>
        <v/>
      </c>
      <c r="O264" s="61" t="str">
        <f>IFERROR(__xludf.DUMMYFUNCTION("INDIRECT(""'收支紀錄'!O""&amp;TO_TEXT(ROW()-$C$72))"),"")</f>
        <v/>
      </c>
      <c r="P264" s="61" t="str">
        <f>IFERROR(__xludf.DUMMYFUNCTION("INDIRECT(""'收支紀錄'!P""&amp;TO_TEXT(ROW()-$C$72))"),"")</f>
        <v/>
      </c>
      <c r="Q264" s="61" t="str">
        <f>IFERROR(__xludf.DUMMYFUNCTION("INDIRECT(""'收支紀錄'!Q""&amp;TO_TEXT(ROW()-$C$72))"),"")</f>
        <v/>
      </c>
      <c r="R264" s="61" t="str">
        <f>IFERROR(__xludf.DUMMYFUNCTION("INDIRECT(""'收支紀錄'!R""&amp;TO_TEXT(ROW()-$C$72))"),"")</f>
        <v/>
      </c>
      <c r="S264" s="61" t="str">
        <f>IFERROR(__xludf.DUMMYFUNCTION("INDIRECT(""'收支紀錄'!S""&amp;TO_TEXT(ROW()-$C$72))"),"")</f>
        <v/>
      </c>
      <c r="T264" s="61" t="str">
        <f>IFERROR(__xludf.DUMMYFUNCTION("INDIRECT(""'收支紀錄'!T""&amp;TO_TEXT(ROW()-$C$72))"),"")</f>
        <v/>
      </c>
      <c r="U264" s="62" t="str">
        <f>IFERROR(__xludf.DUMMYFUNCTION("IF(T264=""是"",TEXTJOIN("""", TRUE, ""$"", TO_TEXT(C264), S264),"""")"),"")</f>
        <v/>
      </c>
    </row>
    <row r="265">
      <c r="A265" s="58">
        <f>IFERROR(__xludf.DUMMYFUNCTION("INDIRECT(""'收支紀錄'!A""&amp;TO_TEXT(ROW()-$C$72))"),45556.96634515046)</f>
        <v>45556.96635</v>
      </c>
      <c r="B265" s="59">
        <f>IFERROR(__xludf.DUMMYFUNCTION("IF(ISBLANK(D265), """", IF(ISDATE(D265), D265, IF(D265=""今天"", A265, IF(D265=""昨天 (-1 day)"", A265-1, IF(D265=""前天 (-2 days)"", A265-2, IF(D265=""明天 (+1 day)"", A265+1, DATE(LEFT(D265,4), MID(D265,5,2), RIGHT(D265,2))))))))"),45563.0)</f>
        <v>45563</v>
      </c>
      <c r="C265" s="60">
        <f>IFERROR(__xludf.DUMMYFUNCTION("INDIRECT(""'收支紀錄'!C""&amp;TO_TEXT(ROW()-$C$72))"),3010.0)</f>
        <v>3010</v>
      </c>
      <c r="D265" s="59">
        <f>IFERROR(__xludf.DUMMYFUNCTION("INDIRECT(""'收支紀錄'!D""&amp;TO_TEXT(ROW()-$C$72))"),45563.0)</f>
        <v>45563</v>
      </c>
      <c r="E265" s="61" t="str">
        <f>IFERROR(__xludf.DUMMYFUNCTION("INDIRECT(""'收支紀錄'!E""&amp;TO_TEXT(ROW()-$C$72))"),"")</f>
        <v/>
      </c>
      <c r="F265" s="61" t="str">
        <f>IFERROR(__xludf.DUMMYFUNCTION("INDIRECT(""'收支紀錄'!F""&amp;TO_TEXT(ROW()-$C$72))"),"")</f>
        <v/>
      </c>
      <c r="G265" s="61" t="str">
        <f>IFERROR(__xludf.DUMMYFUNCTION("INDIRECT(""'收支紀錄'!G""&amp;TO_TEXT(ROW()-$C$72))"),"")</f>
        <v/>
      </c>
      <c r="H265" s="61" t="str">
        <f>IFERROR(__xludf.DUMMYFUNCTION("INDIRECT(""'收支紀錄'!H""&amp;TO_TEXT(ROW()-$C$72))"),"休閒娛樂")</f>
        <v>休閒娛樂</v>
      </c>
      <c r="I265" s="61" t="str">
        <f>IFERROR(__xludf.DUMMYFUNCTION("INDIRECT(""'收支紀錄'!I""&amp;TO_TEXT(ROW()-$C$72))"),"")</f>
        <v/>
      </c>
      <c r="J265" s="61" t="str">
        <f>IFERROR(__xludf.DUMMYFUNCTION("INDIRECT(""'收支紀錄'!J""&amp;TO_TEXT(ROW()-$C$72))"),"")</f>
        <v/>
      </c>
      <c r="K265" s="61" t="str">
        <f>IFERROR(__xludf.DUMMYFUNCTION("INDIRECT(""'收支紀錄'!K""&amp;TO_TEXT(ROW()-$C$72))"),"")</f>
        <v/>
      </c>
      <c r="L265" s="61" t="str">
        <f>IFERROR(__xludf.DUMMYFUNCTION("INDIRECT(""'收支紀錄'!L""&amp;TO_TEXT(ROW()-$C$72))"),"")</f>
        <v/>
      </c>
      <c r="M265" s="61" t="str">
        <f>IFERROR(__xludf.DUMMYFUNCTION("INDIRECT(""'收支紀錄'!M""&amp;TO_TEXT(ROW()-$C$72))"),"旅遊度假")</f>
        <v>旅遊度假</v>
      </c>
      <c r="N265" s="61" t="str">
        <f>IFERROR(__xludf.DUMMYFUNCTION("INDIRECT(""'收支紀錄'!N""&amp;TO_TEXT(ROW()-$C$72))"),"")</f>
        <v/>
      </c>
      <c r="O265" s="61" t="str">
        <f>IFERROR(__xludf.DUMMYFUNCTION("INDIRECT(""'收支紀錄'!O""&amp;TO_TEXT(ROW()-$C$72))"),"")</f>
        <v/>
      </c>
      <c r="P265" s="61" t="str">
        <f>IFERROR(__xludf.DUMMYFUNCTION("INDIRECT(""'收支紀錄'!P""&amp;TO_TEXT(ROW()-$C$72))"),"")</f>
        <v/>
      </c>
      <c r="Q265" s="61" t="str">
        <f>IFERROR(__xludf.DUMMYFUNCTION("INDIRECT(""'收支紀錄'!Q""&amp;TO_TEXT(ROW()-$C$72))"),"")</f>
        <v/>
      </c>
      <c r="R265" s="61" t="str">
        <f>IFERROR(__xludf.DUMMYFUNCTION("INDIRECT(""'收支紀錄'!R""&amp;TO_TEXT(ROW()-$C$72))"),"")</f>
        <v/>
      </c>
      <c r="S265" s="61" t="str">
        <f>IFERROR(__xludf.DUMMYFUNCTION("INDIRECT(""'收支紀錄'!S""&amp;TO_TEXT(ROW()-$C$72))"),"高雄寒軒")</f>
        <v>高雄寒軒</v>
      </c>
      <c r="T265" s="61" t="str">
        <f>IFERROR(__xludf.DUMMYFUNCTION("INDIRECT(""'收支紀錄'!T""&amp;TO_TEXT(ROW()-$C$72))"),"是")</f>
        <v>是</v>
      </c>
      <c r="U265" s="62" t="str">
        <f>IFERROR(__xludf.DUMMYFUNCTION("IF(T265=""是"",TEXTJOIN("""", TRUE, ""$"", TO_TEXT(C265), S265),"""")"),"$3010高雄寒軒")</f>
        <v>$3010高雄寒軒</v>
      </c>
    </row>
    <row r="266">
      <c r="A266" s="58">
        <f>IFERROR(__xludf.DUMMYFUNCTION("INDIRECT(""'收支紀錄'!A""&amp;TO_TEXT(ROW()-$C$72))"),45557.81544298611)</f>
        <v>45557.81544</v>
      </c>
      <c r="B266" s="59">
        <f>IFERROR(__xludf.DUMMYFUNCTION("IF(ISBLANK(D266), """", IF(ISDATE(D266), D266, IF(D266=""今天"", A266, IF(D266=""昨天 (-1 day)"", A266-1, IF(D266=""前天 (-2 days)"", A266-2, IF(D266=""明天 (+1 day)"", A266+1, DATE(LEFT(D266,4), MID(D266,5,2), RIGHT(D266,2))))))))"),45557.0)</f>
        <v>45557</v>
      </c>
      <c r="C266" s="60">
        <f>IFERROR(__xludf.DUMMYFUNCTION("INDIRECT(""'收支紀錄'!C""&amp;TO_TEXT(ROW()-$C$72))"),23.0)</f>
        <v>23</v>
      </c>
      <c r="D266" s="59">
        <f>IFERROR(__xludf.DUMMYFUNCTION("INDIRECT(""'收支紀錄'!D""&amp;TO_TEXT(ROW()-$C$72))"),45557.0)</f>
        <v>45557</v>
      </c>
      <c r="E266" s="61" t="str">
        <f>IFERROR(__xludf.DUMMYFUNCTION("INDIRECT(""'收支紀錄'!E""&amp;TO_TEXT(ROW()-$C$72))"),"")</f>
        <v/>
      </c>
      <c r="F266" s="61" t="str">
        <f>IFERROR(__xludf.DUMMYFUNCTION("INDIRECT(""'收支紀錄'!F""&amp;TO_TEXT(ROW()-$C$72))"),"")</f>
        <v/>
      </c>
      <c r="G266" s="61" t="str">
        <f>IFERROR(__xludf.DUMMYFUNCTION("INDIRECT(""'收支紀錄'!G""&amp;TO_TEXT(ROW()-$C$72))"),"")</f>
        <v/>
      </c>
      <c r="H266" s="61" t="str">
        <f>IFERROR(__xludf.DUMMYFUNCTION("INDIRECT(""'收支紀錄'!H""&amp;TO_TEXT(ROW()-$C$72))"),"食品酒水")</f>
        <v>食品酒水</v>
      </c>
      <c r="I266" s="61" t="str">
        <f>IFERROR(__xludf.DUMMYFUNCTION("INDIRECT(""'收支紀錄'!I""&amp;TO_TEXT(ROW()-$C$72))"),"早餐")</f>
        <v>早餐</v>
      </c>
      <c r="J266" s="61" t="str">
        <f>IFERROR(__xludf.DUMMYFUNCTION("INDIRECT(""'收支紀錄'!J""&amp;TO_TEXT(ROW()-$C$72))"),"")</f>
        <v/>
      </c>
      <c r="K266" s="61" t="str">
        <f>IFERROR(__xludf.DUMMYFUNCTION("INDIRECT(""'收支紀錄'!K""&amp;TO_TEXT(ROW()-$C$72))"),"")</f>
        <v/>
      </c>
      <c r="L266" s="61" t="str">
        <f>IFERROR(__xludf.DUMMYFUNCTION("INDIRECT(""'收支紀錄'!L""&amp;TO_TEXT(ROW()-$C$72))"),"")</f>
        <v/>
      </c>
      <c r="M266" s="61" t="str">
        <f>IFERROR(__xludf.DUMMYFUNCTION("INDIRECT(""'收支紀錄'!M""&amp;TO_TEXT(ROW()-$C$72))"),"")</f>
        <v/>
      </c>
      <c r="N266" s="61" t="str">
        <f>IFERROR(__xludf.DUMMYFUNCTION("INDIRECT(""'收支紀錄'!N""&amp;TO_TEXT(ROW()-$C$72))"),"")</f>
        <v/>
      </c>
      <c r="O266" s="61" t="str">
        <f>IFERROR(__xludf.DUMMYFUNCTION("INDIRECT(""'收支紀錄'!O""&amp;TO_TEXT(ROW()-$C$72))"),"")</f>
        <v/>
      </c>
      <c r="P266" s="61" t="str">
        <f>IFERROR(__xludf.DUMMYFUNCTION("INDIRECT(""'收支紀錄'!P""&amp;TO_TEXT(ROW()-$C$72))"),"")</f>
        <v/>
      </c>
      <c r="Q266" s="61" t="str">
        <f>IFERROR(__xludf.DUMMYFUNCTION("INDIRECT(""'收支紀錄'!Q""&amp;TO_TEXT(ROW()-$C$72))"),"")</f>
        <v/>
      </c>
      <c r="R266" s="61" t="str">
        <f>IFERROR(__xludf.DUMMYFUNCTION("INDIRECT(""'收支紀錄'!R""&amp;TO_TEXT(ROW()-$C$72))"),"")</f>
        <v/>
      </c>
      <c r="S266" s="61" t="str">
        <f>IFERROR(__xludf.DUMMYFUNCTION("INDIRECT(""'收支紀錄'!S""&amp;TO_TEXT(ROW()-$C$72))"),"")</f>
        <v/>
      </c>
      <c r="T266" s="61" t="str">
        <f>IFERROR(__xludf.DUMMYFUNCTION("INDIRECT(""'收支紀錄'!T""&amp;TO_TEXT(ROW()-$C$72))"),"")</f>
        <v/>
      </c>
      <c r="U266" s="62" t="str">
        <f>IFERROR(__xludf.DUMMYFUNCTION("IF(T266=""是"",TEXTJOIN("""", TRUE, ""$"", TO_TEXT(C266), S266),"""")"),"")</f>
        <v/>
      </c>
    </row>
    <row r="267">
      <c r="A267" s="58">
        <f>IFERROR(__xludf.DUMMYFUNCTION("INDIRECT(""'收支紀錄'!A""&amp;TO_TEXT(ROW()-$C$72))"),45561.89536443287)</f>
        <v>45561.89536</v>
      </c>
      <c r="B267" s="59">
        <f>IFERROR(__xludf.DUMMYFUNCTION("IF(ISBLANK(D267), """", IF(ISDATE(D267), D267, IF(D267=""今天"", A267, IF(D267=""昨天 (-1 day)"", A267-1, IF(D267=""前天 (-2 days)"", A267-2, IF(D267=""明天 (+1 day)"", A267+1, DATE(LEFT(D267,4), MID(D267,5,2), RIGHT(D267,2))))))))"),45561.0)</f>
        <v>45561</v>
      </c>
      <c r="C267" s="60">
        <f>IFERROR(__xludf.DUMMYFUNCTION("INDIRECT(""'收支紀錄'!C""&amp;TO_TEXT(ROW()-$C$72))"),100.0)</f>
        <v>100</v>
      </c>
      <c r="D267" s="59">
        <f>IFERROR(__xludf.DUMMYFUNCTION("INDIRECT(""'收支紀錄'!D""&amp;TO_TEXT(ROW()-$C$72))"),45561.0)</f>
        <v>45561</v>
      </c>
      <c r="E267" s="61" t="str">
        <f>IFERROR(__xludf.DUMMYFUNCTION("INDIRECT(""'收支紀錄'!E""&amp;TO_TEXT(ROW()-$C$72))"),"")</f>
        <v/>
      </c>
      <c r="F267" s="61" t="str">
        <f>IFERROR(__xludf.DUMMYFUNCTION("INDIRECT(""'收支紀錄'!F""&amp;TO_TEXT(ROW()-$C$72))"),"")</f>
        <v/>
      </c>
      <c r="G267" s="61" t="str">
        <f>IFERROR(__xludf.DUMMYFUNCTION("INDIRECT(""'收支紀錄'!G""&amp;TO_TEXT(ROW()-$C$72))"),"")</f>
        <v/>
      </c>
      <c r="H267" s="61" t="str">
        <f>IFERROR(__xludf.DUMMYFUNCTION("INDIRECT(""'收支紀錄'!H""&amp;TO_TEXT(ROW()-$C$72))"),"休閒娛樂")</f>
        <v>休閒娛樂</v>
      </c>
      <c r="I267" s="61" t="str">
        <f>IFERROR(__xludf.DUMMYFUNCTION("INDIRECT(""'收支紀錄'!I""&amp;TO_TEXT(ROW()-$C$72))"),"")</f>
        <v/>
      </c>
      <c r="J267" s="61" t="str">
        <f>IFERROR(__xludf.DUMMYFUNCTION("INDIRECT(""'收支紀錄'!J""&amp;TO_TEXT(ROW()-$C$72))"),"")</f>
        <v/>
      </c>
      <c r="K267" s="61" t="str">
        <f>IFERROR(__xludf.DUMMYFUNCTION("INDIRECT(""'收支紀錄'!K""&amp;TO_TEXT(ROW()-$C$72))"),"")</f>
        <v/>
      </c>
      <c r="L267" s="61" t="str">
        <f>IFERROR(__xludf.DUMMYFUNCTION("INDIRECT(""'收支紀錄'!L""&amp;TO_TEXT(ROW()-$C$72))"),"")</f>
        <v/>
      </c>
      <c r="M267" s="61" t="str">
        <f>IFERROR(__xludf.DUMMYFUNCTION("INDIRECT(""'收支紀錄'!M""&amp;TO_TEXT(ROW()-$C$72))"),"運動健身")</f>
        <v>運動健身</v>
      </c>
      <c r="N267" s="61" t="str">
        <f>IFERROR(__xludf.DUMMYFUNCTION("INDIRECT(""'收支紀錄'!N""&amp;TO_TEXT(ROW()-$C$72))"),"")</f>
        <v/>
      </c>
      <c r="O267" s="61" t="str">
        <f>IFERROR(__xludf.DUMMYFUNCTION("INDIRECT(""'收支紀錄'!O""&amp;TO_TEXT(ROW()-$C$72))"),"")</f>
        <v/>
      </c>
      <c r="P267" s="61" t="str">
        <f>IFERROR(__xludf.DUMMYFUNCTION("INDIRECT(""'收支紀錄'!P""&amp;TO_TEXT(ROW()-$C$72))"),"")</f>
        <v/>
      </c>
      <c r="Q267" s="61" t="str">
        <f>IFERROR(__xludf.DUMMYFUNCTION("INDIRECT(""'收支紀錄'!Q""&amp;TO_TEXT(ROW()-$C$72))"),"")</f>
        <v/>
      </c>
      <c r="R267" s="61" t="str">
        <f>IFERROR(__xludf.DUMMYFUNCTION("INDIRECT(""'收支紀錄'!R""&amp;TO_TEXT(ROW()-$C$72))"),"")</f>
        <v/>
      </c>
      <c r="S267" s="61" t="str">
        <f>IFERROR(__xludf.DUMMYFUNCTION("INDIRECT(""'收支紀錄'!S""&amp;TO_TEXT(ROW()-$C$72))"),"")</f>
        <v/>
      </c>
      <c r="T267" s="61" t="str">
        <f>IFERROR(__xludf.DUMMYFUNCTION("INDIRECT(""'收支紀錄'!T""&amp;TO_TEXT(ROW()-$C$72))"),"")</f>
        <v/>
      </c>
      <c r="U267" s="62" t="str">
        <f>IFERROR(__xludf.DUMMYFUNCTION("IF(T267=""是"",TEXTJOIN("""", TRUE, ""$"", TO_TEXT(C267), S267),"""")"),"")</f>
        <v/>
      </c>
    </row>
    <row r="268">
      <c r="A268" s="58">
        <f>IFERROR(__xludf.DUMMYFUNCTION("INDIRECT(""'收支紀錄'!A""&amp;TO_TEXT(ROW()-$C$72))"),45562.89613302083)</f>
        <v>45562.89613</v>
      </c>
      <c r="B268" s="59">
        <f>IFERROR(__xludf.DUMMYFUNCTION("IF(ISBLANK(D268), """", IF(ISDATE(D268), D268, IF(D268=""今天"", A268, IF(D268=""昨天 (-1 day)"", A268-1, IF(D268=""前天 (-2 days)"", A268-2, IF(D268=""明天 (+1 day)"", A268+1, DATE(LEFT(D268,4), MID(D268,5,2), RIGHT(D268,2))))))))"),45562.0)</f>
        <v>45562</v>
      </c>
      <c r="C268" s="60">
        <f>IFERROR(__xludf.DUMMYFUNCTION("INDIRECT(""'收支紀錄'!C""&amp;TO_TEXT(ROW()-$C$72))"),248.0)</f>
        <v>248</v>
      </c>
      <c r="D268" s="59">
        <f>IFERROR(__xludf.DUMMYFUNCTION("INDIRECT(""'收支紀錄'!D""&amp;TO_TEXT(ROW()-$C$72))"),45562.0)</f>
        <v>45562</v>
      </c>
      <c r="E268" s="61" t="str">
        <f>IFERROR(__xludf.DUMMYFUNCTION("INDIRECT(""'收支紀錄'!E""&amp;TO_TEXT(ROW()-$C$72))"),"")</f>
        <v/>
      </c>
      <c r="F268" s="61" t="str">
        <f>IFERROR(__xludf.DUMMYFUNCTION("INDIRECT(""'收支紀錄'!F""&amp;TO_TEXT(ROW()-$C$72))"),"")</f>
        <v/>
      </c>
      <c r="G268" s="61" t="str">
        <f>IFERROR(__xludf.DUMMYFUNCTION("INDIRECT(""'收支紀錄'!G""&amp;TO_TEXT(ROW()-$C$72))"),"")</f>
        <v/>
      </c>
      <c r="H268" s="61" t="str">
        <f>IFERROR(__xludf.DUMMYFUNCTION("INDIRECT(""'收支紀錄'!H""&amp;TO_TEXT(ROW()-$C$72))"),"食品酒水")</f>
        <v>食品酒水</v>
      </c>
      <c r="I268" s="61" t="str">
        <f>IFERROR(__xludf.DUMMYFUNCTION("INDIRECT(""'收支紀錄'!I""&amp;TO_TEXT(ROW()-$C$72))"),"晚餐")</f>
        <v>晚餐</v>
      </c>
      <c r="J268" s="61" t="str">
        <f>IFERROR(__xludf.DUMMYFUNCTION("INDIRECT(""'收支紀錄'!J""&amp;TO_TEXT(ROW()-$C$72))"),"")</f>
        <v/>
      </c>
      <c r="K268" s="61" t="str">
        <f>IFERROR(__xludf.DUMMYFUNCTION("INDIRECT(""'收支紀錄'!K""&amp;TO_TEXT(ROW()-$C$72))"),"")</f>
        <v/>
      </c>
      <c r="L268" s="61" t="str">
        <f>IFERROR(__xludf.DUMMYFUNCTION("INDIRECT(""'收支紀錄'!L""&amp;TO_TEXT(ROW()-$C$72))"),"")</f>
        <v/>
      </c>
      <c r="M268" s="61" t="str">
        <f>IFERROR(__xludf.DUMMYFUNCTION("INDIRECT(""'收支紀錄'!M""&amp;TO_TEXT(ROW()-$C$72))"),"")</f>
        <v/>
      </c>
      <c r="N268" s="61" t="str">
        <f>IFERROR(__xludf.DUMMYFUNCTION("INDIRECT(""'收支紀錄'!N""&amp;TO_TEXT(ROW()-$C$72))"),"")</f>
        <v/>
      </c>
      <c r="O268" s="61" t="str">
        <f>IFERROR(__xludf.DUMMYFUNCTION("INDIRECT(""'收支紀錄'!O""&amp;TO_TEXT(ROW()-$C$72))"),"")</f>
        <v/>
      </c>
      <c r="P268" s="61" t="str">
        <f>IFERROR(__xludf.DUMMYFUNCTION("INDIRECT(""'收支紀錄'!P""&amp;TO_TEXT(ROW()-$C$72))"),"")</f>
        <v/>
      </c>
      <c r="Q268" s="61" t="str">
        <f>IFERROR(__xludf.DUMMYFUNCTION("INDIRECT(""'收支紀錄'!Q""&amp;TO_TEXT(ROW()-$C$72))"),"")</f>
        <v/>
      </c>
      <c r="R268" s="61" t="str">
        <f>IFERROR(__xludf.DUMMYFUNCTION("INDIRECT(""'收支紀錄'!R""&amp;TO_TEXT(ROW()-$C$72))"),"")</f>
        <v/>
      </c>
      <c r="S268" s="61" t="str">
        <f>IFERROR(__xludf.DUMMYFUNCTION("INDIRECT(""'收支紀錄'!S""&amp;TO_TEXT(ROW()-$C$72))"),"")</f>
        <v/>
      </c>
      <c r="T268" s="61" t="str">
        <f>IFERROR(__xludf.DUMMYFUNCTION("INDIRECT(""'收支紀錄'!T""&amp;TO_TEXT(ROW()-$C$72))"),"")</f>
        <v/>
      </c>
      <c r="U268" s="62" t="str">
        <f>IFERROR(__xludf.DUMMYFUNCTION("IF(T268=""是"",TEXTJOIN("""", TRUE, ""$"", TO_TEXT(C268), S268),"""")"),"")</f>
        <v/>
      </c>
    </row>
    <row r="269">
      <c r="A269" s="58">
        <f>IFERROR(__xludf.DUMMYFUNCTION("INDIRECT(""'收支紀錄'!A""&amp;TO_TEXT(ROW()-$C$72))"),45563.36391901621)</f>
        <v>45563.36392</v>
      </c>
      <c r="B269" s="59">
        <f>IFERROR(__xludf.DUMMYFUNCTION("IF(ISBLANK(D269), """", IF(ISDATE(D269), D269, IF(D269=""今天"", A269, IF(D269=""昨天 (-1 day)"", A269-1, IF(D269=""前天 (-2 days)"", A269-2, IF(D269=""明天 (+1 day)"", A269+1, DATE(LEFT(D269,4), MID(D269,5,2), RIGHT(D269,2))))))))"),45563.0)</f>
        <v>45563</v>
      </c>
      <c r="C269" s="60">
        <f>IFERROR(__xludf.DUMMYFUNCTION("INDIRECT(""'收支紀錄'!C""&amp;TO_TEXT(ROW()-$C$72))"),2006.0)</f>
        <v>2006</v>
      </c>
      <c r="D269" s="59">
        <f>IFERROR(__xludf.DUMMYFUNCTION("INDIRECT(""'收支紀錄'!D""&amp;TO_TEXT(ROW()-$C$72))"),45563.0)</f>
        <v>45563</v>
      </c>
      <c r="E269" s="61" t="str">
        <f>IFERROR(__xludf.DUMMYFUNCTION("INDIRECT(""'收支紀錄'!E""&amp;TO_TEXT(ROW()-$C$72))"),"")</f>
        <v/>
      </c>
      <c r="F269" s="61" t="str">
        <f>IFERROR(__xludf.DUMMYFUNCTION("INDIRECT(""'收支紀錄'!F""&amp;TO_TEXT(ROW()-$C$72))"),"")</f>
        <v/>
      </c>
      <c r="G269" s="61" t="str">
        <f>IFERROR(__xludf.DUMMYFUNCTION("INDIRECT(""'收支紀錄'!G""&amp;TO_TEXT(ROW()-$C$72))"),"")</f>
        <v/>
      </c>
      <c r="H269" s="61" t="str">
        <f>IFERROR(__xludf.DUMMYFUNCTION("INDIRECT(""'收支紀錄'!H""&amp;TO_TEXT(ROW()-$C$72))"),"人情往來")</f>
        <v>人情往來</v>
      </c>
      <c r="I269" s="61" t="str">
        <f>IFERROR(__xludf.DUMMYFUNCTION("INDIRECT(""'收支紀錄'!I""&amp;TO_TEXT(ROW()-$C$72))"),"")</f>
        <v/>
      </c>
      <c r="J269" s="61" t="str">
        <f>IFERROR(__xludf.DUMMYFUNCTION("INDIRECT(""'收支紀錄'!J""&amp;TO_TEXT(ROW()-$C$72))"),"")</f>
        <v/>
      </c>
      <c r="K269" s="61" t="str">
        <f>IFERROR(__xludf.DUMMYFUNCTION("INDIRECT(""'收支紀錄'!K""&amp;TO_TEXT(ROW()-$C$72))"),"")</f>
        <v/>
      </c>
      <c r="L269" s="61" t="str">
        <f>IFERROR(__xludf.DUMMYFUNCTION("INDIRECT(""'收支紀錄'!L""&amp;TO_TEXT(ROW()-$C$72))"),"")</f>
        <v/>
      </c>
      <c r="M269" s="61" t="str">
        <f>IFERROR(__xludf.DUMMYFUNCTION("INDIRECT(""'收支紀錄'!M""&amp;TO_TEXT(ROW()-$C$72))"),"")</f>
        <v/>
      </c>
      <c r="N269" s="61" t="str">
        <f>IFERROR(__xludf.DUMMYFUNCTION("INDIRECT(""'收支紀錄'!N""&amp;TO_TEXT(ROW()-$C$72))"),"")</f>
        <v/>
      </c>
      <c r="O269" s="61" t="str">
        <f>IFERROR(__xludf.DUMMYFUNCTION("INDIRECT(""'收支紀錄'!O""&amp;TO_TEXT(ROW()-$C$72))"),"")</f>
        <v/>
      </c>
      <c r="P269" s="61" t="str">
        <f>IFERROR(__xludf.DUMMYFUNCTION("INDIRECT(""'收支紀錄'!P""&amp;TO_TEXT(ROW()-$C$72))"),"")</f>
        <v/>
      </c>
      <c r="Q269" s="61" t="str">
        <f>IFERROR(__xludf.DUMMYFUNCTION("INDIRECT(""'收支紀錄'!Q""&amp;TO_TEXT(ROW()-$C$72))"),"送禮請客")</f>
        <v>送禮請客</v>
      </c>
      <c r="R269" s="61" t="str">
        <f>IFERROR(__xludf.DUMMYFUNCTION("INDIRECT(""'收支紀錄'!R""&amp;TO_TEXT(ROW()-$C$72))"),"")</f>
        <v/>
      </c>
      <c r="S269" s="61" t="str">
        <f>IFERROR(__xludf.DUMMYFUNCTION("INDIRECT(""'收支紀錄'!S""&amp;TO_TEXT(ROW()-$C$72))"),"")</f>
        <v/>
      </c>
      <c r="T269" s="61" t="str">
        <f>IFERROR(__xludf.DUMMYFUNCTION("INDIRECT(""'收支紀錄'!T""&amp;TO_TEXT(ROW()-$C$72))"),"")</f>
        <v/>
      </c>
      <c r="U269" s="62" t="str">
        <f>IFERROR(__xludf.DUMMYFUNCTION("IF(T269=""是"",TEXTJOIN("""", TRUE, ""$"", TO_TEXT(C269), S269),"""")"),"")</f>
        <v/>
      </c>
    </row>
    <row r="270">
      <c r="A270" s="58">
        <f>IFERROR(__xludf.DUMMYFUNCTION("INDIRECT(""'收支紀錄'!A""&amp;TO_TEXT(ROW()-$C$72))"),45563.36422109954)</f>
        <v>45563.36422</v>
      </c>
      <c r="B270" s="59">
        <f>IFERROR(__xludf.DUMMYFUNCTION("IF(ISBLANK(D270), """", IF(ISDATE(D270), D270, IF(D270=""今天"", A270, IF(D270=""昨天 (-1 day)"", A270-1, IF(D270=""前天 (-2 days)"", A270-2, IF(D270=""明天 (+1 day)"", A270+1, DATE(LEFT(D270,4), MID(D270,5,2), RIGHT(D270,2))))))))"),45563.0)</f>
        <v>45563</v>
      </c>
      <c r="C270" s="60">
        <f>IFERROR(__xludf.DUMMYFUNCTION("INDIRECT(""'收支紀錄'!C""&amp;TO_TEXT(ROW()-$C$72))"),608.0)</f>
        <v>608</v>
      </c>
      <c r="D270" s="59">
        <f>IFERROR(__xludf.DUMMYFUNCTION("INDIRECT(""'收支紀錄'!D""&amp;TO_TEXT(ROW()-$C$72))"),45563.0)</f>
        <v>45563</v>
      </c>
      <c r="E270" s="61" t="str">
        <f>IFERROR(__xludf.DUMMYFUNCTION("INDIRECT(""'收支紀錄'!E""&amp;TO_TEXT(ROW()-$C$72))"),"")</f>
        <v/>
      </c>
      <c r="F270" s="61" t="str">
        <f>IFERROR(__xludf.DUMMYFUNCTION("INDIRECT(""'收支紀錄'!F""&amp;TO_TEXT(ROW()-$C$72))"),"")</f>
        <v/>
      </c>
      <c r="G270" s="61" t="str">
        <f>IFERROR(__xludf.DUMMYFUNCTION("INDIRECT(""'收支紀錄'!G""&amp;TO_TEXT(ROW()-$C$72))"),"")</f>
        <v/>
      </c>
      <c r="H270" s="61" t="str">
        <f>IFERROR(__xludf.DUMMYFUNCTION("INDIRECT(""'收支紀錄'!H""&amp;TO_TEXT(ROW()-$C$72))"),"進修學習")</f>
        <v>進修學習</v>
      </c>
      <c r="I270" s="61" t="str">
        <f>IFERROR(__xludf.DUMMYFUNCTION("INDIRECT(""'收支紀錄'!I""&amp;TO_TEXT(ROW()-$C$72))"),"")</f>
        <v/>
      </c>
      <c r="J270" s="61" t="str">
        <f>IFERROR(__xludf.DUMMYFUNCTION("INDIRECT(""'收支紀錄'!J""&amp;TO_TEXT(ROW()-$C$72))"),"")</f>
        <v/>
      </c>
      <c r="K270" s="61" t="str">
        <f>IFERROR(__xludf.DUMMYFUNCTION("INDIRECT(""'收支紀錄'!K""&amp;TO_TEXT(ROW()-$C$72))"),"")</f>
        <v/>
      </c>
      <c r="L270" s="61" t="str">
        <f>IFERROR(__xludf.DUMMYFUNCTION("INDIRECT(""'收支紀錄'!L""&amp;TO_TEXT(ROW()-$C$72))"),"")</f>
        <v/>
      </c>
      <c r="M270" s="61" t="str">
        <f>IFERROR(__xludf.DUMMYFUNCTION("INDIRECT(""'收支紀錄'!M""&amp;TO_TEXT(ROW()-$C$72))"),"")</f>
        <v/>
      </c>
      <c r="N270" s="61" t="str">
        <f>IFERROR(__xludf.DUMMYFUNCTION("INDIRECT(""'收支紀錄'!N""&amp;TO_TEXT(ROW()-$C$72))"),"")</f>
        <v/>
      </c>
      <c r="O270" s="61" t="str">
        <f>IFERROR(__xludf.DUMMYFUNCTION("INDIRECT(""'收支紀錄'!O""&amp;TO_TEXT(ROW()-$C$72))"),"")</f>
        <v/>
      </c>
      <c r="P270" s="61" t="str">
        <f>IFERROR(__xludf.DUMMYFUNCTION("INDIRECT(""'收支紀錄'!P""&amp;TO_TEXT(ROW()-$C$72))"),"書報雜誌")</f>
        <v>書報雜誌</v>
      </c>
      <c r="Q270" s="61" t="str">
        <f>IFERROR(__xludf.DUMMYFUNCTION("INDIRECT(""'收支紀錄'!Q""&amp;TO_TEXT(ROW()-$C$72))"),"")</f>
        <v/>
      </c>
      <c r="R270" s="61" t="str">
        <f>IFERROR(__xludf.DUMMYFUNCTION("INDIRECT(""'收支紀錄'!R""&amp;TO_TEXT(ROW()-$C$72))"),"")</f>
        <v/>
      </c>
      <c r="S270" s="61" t="str">
        <f>IFERROR(__xludf.DUMMYFUNCTION("INDIRECT(""'收支紀錄'!S""&amp;TO_TEXT(ROW()-$C$72))"),"")</f>
        <v/>
      </c>
      <c r="T270" s="61" t="str">
        <f>IFERROR(__xludf.DUMMYFUNCTION("INDIRECT(""'收支紀錄'!T""&amp;TO_TEXT(ROW()-$C$72))"),"")</f>
        <v/>
      </c>
      <c r="U270" s="62" t="str">
        <f>IFERROR(__xludf.DUMMYFUNCTION("IF(T270=""是"",TEXTJOIN("""", TRUE, ""$"", TO_TEXT(C270), S270),"""")"),"")</f>
        <v/>
      </c>
    </row>
    <row r="271">
      <c r="A271" s="58">
        <f>IFERROR(__xludf.DUMMYFUNCTION("INDIRECT(""'收支紀錄'!A""&amp;TO_TEXT(ROW()-$C$72))"),45563.371189375)</f>
        <v>45563.37119</v>
      </c>
      <c r="B271" s="59">
        <f>IFERROR(__xludf.DUMMYFUNCTION("IF(ISBLANK(D271), """", IF(ISDATE(D271), D271, IF(D271=""今天"", A271, IF(D271=""昨天 (-1 day)"", A271-1, IF(D271=""前天 (-2 days)"", A271-2, IF(D271=""明天 (+1 day)"", A271+1, DATE(LEFT(D271,4), MID(D271,5,2), RIGHT(D271,2))))))))"),45563.0)</f>
        <v>45563</v>
      </c>
      <c r="C271" s="60">
        <f>IFERROR(__xludf.DUMMYFUNCTION("INDIRECT(""'收支紀錄'!C""&amp;TO_TEXT(ROW()-$C$72))"),484.0)</f>
        <v>484</v>
      </c>
      <c r="D271" s="59">
        <f>IFERROR(__xludf.DUMMYFUNCTION("INDIRECT(""'收支紀錄'!D""&amp;TO_TEXT(ROW()-$C$72))"),45563.0)</f>
        <v>45563</v>
      </c>
      <c r="E271" s="61" t="str">
        <f>IFERROR(__xludf.DUMMYFUNCTION("INDIRECT(""'收支紀錄'!E""&amp;TO_TEXT(ROW()-$C$72))"),"")</f>
        <v/>
      </c>
      <c r="F271" s="61" t="str">
        <f>IFERROR(__xludf.DUMMYFUNCTION("INDIRECT(""'收支紀錄'!F""&amp;TO_TEXT(ROW()-$C$72))"),"")</f>
        <v/>
      </c>
      <c r="G271" s="61" t="str">
        <f>IFERROR(__xludf.DUMMYFUNCTION("INDIRECT(""'收支紀錄'!G""&amp;TO_TEXT(ROW()-$C$72))"),"")</f>
        <v/>
      </c>
      <c r="H271" s="61" t="str">
        <f>IFERROR(__xludf.DUMMYFUNCTION("INDIRECT(""'收支紀錄'!H""&amp;TO_TEXT(ROW()-$C$72))"),"日常生活")</f>
        <v>日常生活</v>
      </c>
      <c r="I271" s="61" t="str">
        <f>IFERROR(__xludf.DUMMYFUNCTION("INDIRECT(""'收支紀錄'!I""&amp;TO_TEXT(ROW()-$C$72))"),"")</f>
        <v/>
      </c>
      <c r="J271" s="61" t="str">
        <f>IFERROR(__xludf.DUMMYFUNCTION("INDIRECT(""'收支紀錄'!J""&amp;TO_TEXT(ROW()-$C$72))"),"日常用品")</f>
        <v>日常用品</v>
      </c>
      <c r="K271" s="61" t="str">
        <f>IFERROR(__xludf.DUMMYFUNCTION("INDIRECT(""'收支紀錄'!K""&amp;TO_TEXT(ROW()-$C$72))"),"")</f>
        <v/>
      </c>
      <c r="L271" s="61" t="str">
        <f>IFERROR(__xludf.DUMMYFUNCTION("INDIRECT(""'收支紀錄'!L""&amp;TO_TEXT(ROW()-$C$72))"),"")</f>
        <v/>
      </c>
      <c r="M271" s="61" t="str">
        <f>IFERROR(__xludf.DUMMYFUNCTION("INDIRECT(""'收支紀錄'!M""&amp;TO_TEXT(ROW()-$C$72))"),"")</f>
        <v/>
      </c>
      <c r="N271" s="61" t="str">
        <f>IFERROR(__xludf.DUMMYFUNCTION("INDIRECT(""'收支紀錄'!N""&amp;TO_TEXT(ROW()-$C$72))"),"")</f>
        <v/>
      </c>
      <c r="O271" s="61" t="str">
        <f>IFERROR(__xludf.DUMMYFUNCTION("INDIRECT(""'收支紀錄'!O""&amp;TO_TEXT(ROW()-$C$72))"),"")</f>
        <v/>
      </c>
      <c r="P271" s="61" t="str">
        <f>IFERROR(__xludf.DUMMYFUNCTION("INDIRECT(""'收支紀錄'!P""&amp;TO_TEXT(ROW()-$C$72))"),"")</f>
        <v/>
      </c>
      <c r="Q271" s="61" t="str">
        <f>IFERROR(__xludf.DUMMYFUNCTION("INDIRECT(""'收支紀錄'!Q""&amp;TO_TEXT(ROW()-$C$72))"),"")</f>
        <v/>
      </c>
      <c r="R271" s="61" t="str">
        <f>IFERROR(__xludf.DUMMYFUNCTION("INDIRECT(""'收支紀錄'!R""&amp;TO_TEXT(ROW()-$C$72))"),"")</f>
        <v/>
      </c>
      <c r="S271" s="61" t="str">
        <f>IFERROR(__xludf.DUMMYFUNCTION("INDIRECT(""'收支紀錄'!S""&amp;TO_TEXT(ROW()-$C$72))"),"竹南電費")</f>
        <v>竹南電費</v>
      </c>
      <c r="T271" s="61" t="str">
        <f>IFERROR(__xludf.DUMMYFUNCTION("INDIRECT(""'收支紀錄'!T""&amp;TO_TEXT(ROW()-$C$72))"),"")</f>
        <v/>
      </c>
      <c r="U271" s="62" t="str">
        <f>IFERROR(__xludf.DUMMYFUNCTION("IF(T271=""是"",TEXTJOIN("""", TRUE, ""$"", TO_TEXT(C271), S271),"""")"),"")</f>
        <v/>
      </c>
    </row>
    <row r="272">
      <c r="A272" s="58">
        <f>IFERROR(__xludf.DUMMYFUNCTION("INDIRECT(""'收支紀錄'!A""&amp;TO_TEXT(ROW()-$C$72))"),45564.357009687505)</f>
        <v>45564.35701</v>
      </c>
      <c r="B272" s="59">
        <f>IFERROR(__xludf.DUMMYFUNCTION("IF(ISBLANK(D272), """", IF(ISDATE(D272), D272, IF(D272=""今天"", A272, IF(D272=""昨天 (-1 day)"", A272-1, IF(D272=""前天 (-2 days)"", A272-2, IF(D272=""明天 (+1 day)"", A272+1, DATE(LEFT(D272,4), MID(D272,5,2), RIGHT(D272,2))))))))"),45563.0)</f>
        <v>45563</v>
      </c>
      <c r="C272" s="60">
        <f>IFERROR(__xludf.DUMMYFUNCTION("INDIRECT(""'收支紀錄'!C""&amp;TO_TEXT(ROW()-$C$72))"),170.0)</f>
        <v>170</v>
      </c>
      <c r="D272" s="59">
        <f>IFERROR(__xludf.DUMMYFUNCTION("INDIRECT(""'收支紀錄'!D""&amp;TO_TEXT(ROW()-$C$72))"),45563.0)</f>
        <v>45563</v>
      </c>
      <c r="E272" s="61" t="str">
        <f>IFERROR(__xludf.DUMMYFUNCTION("INDIRECT(""'收支紀錄'!E""&amp;TO_TEXT(ROW()-$C$72))"),"")</f>
        <v/>
      </c>
      <c r="F272" s="61" t="str">
        <f>IFERROR(__xludf.DUMMYFUNCTION("INDIRECT(""'收支紀錄'!F""&amp;TO_TEXT(ROW()-$C$72))"),"")</f>
        <v/>
      </c>
      <c r="G272" s="61" t="str">
        <f>IFERROR(__xludf.DUMMYFUNCTION("INDIRECT(""'收支紀錄'!G""&amp;TO_TEXT(ROW()-$C$72))"),"")</f>
        <v/>
      </c>
      <c r="H272" s="61" t="str">
        <f>IFERROR(__xludf.DUMMYFUNCTION("INDIRECT(""'收支紀錄'!H""&amp;TO_TEXT(ROW()-$C$72))"),"食品酒水")</f>
        <v>食品酒水</v>
      </c>
      <c r="I272" s="61" t="str">
        <f>IFERROR(__xludf.DUMMYFUNCTION("INDIRECT(""'收支紀錄'!I""&amp;TO_TEXT(ROW()-$C$72))"),"午餐")</f>
        <v>午餐</v>
      </c>
      <c r="J272" s="61" t="str">
        <f>IFERROR(__xludf.DUMMYFUNCTION("INDIRECT(""'收支紀錄'!J""&amp;TO_TEXT(ROW()-$C$72))"),"")</f>
        <v/>
      </c>
      <c r="K272" s="61" t="str">
        <f>IFERROR(__xludf.DUMMYFUNCTION("INDIRECT(""'收支紀錄'!K""&amp;TO_TEXT(ROW()-$C$72))"),"")</f>
        <v/>
      </c>
      <c r="L272" s="61" t="str">
        <f>IFERROR(__xludf.DUMMYFUNCTION("INDIRECT(""'收支紀錄'!L""&amp;TO_TEXT(ROW()-$C$72))"),"")</f>
        <v/>
      </c>
      <c r="M272" s="61" t="str">
        <f>IFERROR(__xludf.DUMMYFUNCTION("INDIRECT(""'收支紀錄'!M""&amp;TO_TEXT(ROW()-$C$72))"),"")</f>
        <v/>
      </c>
      <c r="N272" s="61" t="str">
        <f>IFERROR(__xludf.DUMMYFUNCTION("INDIRECT(""'收支紀錄'!N""&amp;TO_TEXT(ROW()-$C$72))"),"")</f>
        <v/>
      </c>
      <c r="O272" s="61" t="str">
        <f>IFERROR(__xludf.DUMMYFUNCTION("INDIRECT(""'收支紀錄'!O""&amp;TO_TEXT(ROW()-$C$72))"),"")</f>
        <v/>
      </c>
      <c r="P272" s="61" t="str">
        <f>IFERROR(__xludf.DUMMYFUNCTION("INDIRECT(""'收支紀錄'!P""&amp;TO_TEXT(ROW()-$C$72))"),"")</f>
        <v/>
      </c>
      <c r="Q272" s="61" t="str">
        <f>IFERROR(__xludf.DUMMYFUNCTION("INDIRECT(""'收支紀錄'!Q""&amp;TO_TEXT(ROW()-$C$72))"),"")</f>
        <v/>
      </c>
      <c r="R272" s="61" t="str">
        <f>IFERROR(__xludf.DUMMYFUNCTION("INDIRECT(""'收支紀錄'!R""&amp;TO_TEXT(ROW()-$C$72))"),"")</f>
        <v/>
      </c>
      <c r="S272" s="61" t="str">
        <f>IFERROR(__xludf.DUMMYFUNCTION("INDIRECT(""'收支紀錄'!S""&amp;TO_TEXT(ROW()-$C$72))"),"")</f>
        <v/>
      </c>
      <c r="T272" s="61" t="str">
        <f>IFERROR(__xludf.DUMMYFUNCTION("INDIRECT(""'收支紀錄'!T""&amp;TO_TEXT(ROW()-$C$72))"),"")</f>
        <v/>
      </c>
      <c r="U272" s="62" t="str">
        <f>IFERROR(__xludf.DUMMYFUNCTION("IF(T272=""是"",TEXTJOIN("""", TRUE, ""$"", TO_TEXT(C272), S272),"""")"),"")</f>
        <v/>
      </c>
    </row>
    <row r="273">
      <c r="A273" s="58">
        <f>IFERROR(__xludf.DUMMYFUNCTION("INDIRECT(""'收支紀錄'!A""&amp;TO_TEXT(ROW()-$C$72))"),45564.35726842593)</f>
        <v>45564.35727</v>
      </c>
      <c r="B273" s="59">
        <f>IFERROR(__xludf.DUMMYFUNCTION("IF(ISBLANK(D273), """", IF(ISDATE(D273), D273, IF(D273=""今天"", A273, IF(D273=""昨天 (-1 day)"", A273-1, IF(D273=""前天 (-2 days)"", A273-2, IF(D273=""明天 (+1 day)"", A273+1, DATE(LEFT(D273,4), MID(D273,5,2), RIGHT(D273,2))))))))"),45563.0)</f>
        <v>45563</v>
      </c>
      <c r="C273" s="60">
        <f>IFERROR(__xludf.DUMMYFUNCTION("INDIRECT(""'收支紀錄'!C""&amp;TO_TEXT(ROW()-$C$72))"),350.0)</f>
        <v>350</v>
      </c>
      <c r="D273" s="59">
        <f>IFERROR(__xludf.DUMMYFUNCTION("INDIRECT(""'收支紀錄'!D""&amp;TO_TEXT(ROW()-$C$72))"),45563.0)</f>
        <v>45563</v>
      </c>
      <c r="E273" s="61" t="str">
        <f>IFERROR(__xludf.DUMMYFUNCTION("INDIRECT(""'收支紀錄'!E""&amp;TO_TEXT(ROW()-$C$72))"),"")</f>
        <v/>
      </c>
      <c r="F273" s="61" t="str">
        <f>IFERROR(__xludf.DUMMYFUNCTION("INDIRECT(""'收支紀錄'!F""&amp;TO_TEXT(ROW()-$C$72))"),"")</f>
        <v/>
      </c>
      <c r="G273" s="61" t="str">
        <f>IFERROR(__xludf.DUMMYFUNCTION("INDIRECT(""'收支紀錄'!G""&amp;TO_TEXT(ROW()-$C$72))"),"")</f>
        <v/>
      </c>
      <c r="H273" s="61" t="str">
        <f>IFERROR(__xludf.DUMMYFUNCTION("INDIRECT(""'收支紀錄'!H""&amp;TO_TEXT(ROW()-$C$72))"),"食品酒水")</f>
        <v>食品酒水</v>
      </c>
      <c r="I273" s="61" t="str">
        <f>IFERROR(__xludf.DUMMYFUNCTION("INDIRECT(""'收支紀錄'!I""&amp;TO_TEXT(ROW()-$C$72))"),"伴手禮")</f>
        <v>伴手禮</v>
      </c>
      <c r="J273" s="61" t="str">
        <f>IFERROR(__xludf.DUMMYFUNCTION("INDIRECT(""'收支紀錄'!J""&amp;TO_TEXT(ROW()-$C$72))"),"")</f>
        <v/>
      </c>
      <c r="K273" s="61" t="str">
        <f>IFERROR(__xludf.DUMMYFUNCTION("INDIRECT(""'收支紀錄'!K""&amp;TO_TEXT(ROW()-$C$72))"),"")</f>
        <v/>
      </c>
      <c r="L273" s="61" t="str">
        <f>IFERROR(__xludf.DUMMYFUNCTION("INDIRECT(""'收支紀錄'!L""&amp;TO_TEXT(ROW()-$C$72))"),"")</f>
        <v/>
      </c>
      <c r="M273" s="61" t="str">
        <f>IFERROR(__xludf.DUMMYFUNCTION("INDIRECT(""'收支紀錄'!M""&amp;TO_TEXT(ROW()-$C$72))"),"")</f>
        <v/>
      </c>
      <c r="N273" s="61" t="str">
        <f>IFERROR(__xludf.DUMMYFUNCTION("INDIRECT(""'收支紀錄'!N""&amp;TO_TEXT(ROW()-$C$72))"),"")</f>
        <v/>
      </c>
      <c r="O273" s="61" t="str">
        <f>IFERROR(__xludf.DUMMYFUNCTION("INDIRECT(""'收支紀錄'!O""&amp;TO_TEXT(ROW()-$C$72))"),"")</f>
        <v/>
      </c>
      <c r="P273" s="61" t="str">
        <f>IFERROR(__xludf.DUMMYFUNCTION("INDIRECT(""'收支紀錄'!P""&amp;TO_TEXT(ROW()-$C$72))"),"")</f>
        <v/>
      </c>
      <c r="Q273" s="61" t="str">
        <f>IFERROR(__xludf.DUMMYFUNCTION("INDIRECT(""'收支紀錄'!Q""&amp;TO_TEXT(ROW()-$C$72))"),"")</f>
        <v/>
      </c>
      <c r="R273" s="61" t="str">
        <f>IFERROR(__xludf.DUMMYFUNCTION("INDIRECT(""'收支紀錄'!R""&amp;TO_TEXT(ROW()-$C$72))"),"")</f>
        <v/>
      </c>
      <c r="S273" s="61" t="str">
        <f>IFERROR(__xludf.DUMMYFUNCTION("INDIRECT(""'收支紀錄'!S""&amp;TO_TEXT(ROW()-$C$72))"),"")</f>
        <v/>
      </c>
      <c r="T273" s="61" t="str">
        <f>IFERROR(__xludf.DUMMYFUNCTION("INDIRECT(""'收支紀錄'!T""&amp;TO_TEXT(ROW()-$C$72))"),"")</f>
        <v/>
      </c>
      <c r="U273" s="62" t="str">
        <f>IFERROR(__xludf.DUMMYFUNCTION("IF(T273=""是"",TEXTJOIN("""", TRUE, ""$"", TO_TEXT(C273), S273),"""")"),"")</f>
        <v/>
      </c>
    </row>
    <row r="274">
      <c r="A274" s="58">
        <f>IFERROR(__xludf.DUMMYFUNCTION("INDIRECT(""'收支紀錄'!A""&amp;TO_TEXT(ROW()-$C$72))"),45564.35768378472)</f>
        <v>45564.35768</v>
      </c>
      <c r="B274" s="59">
        <f>IFERROR(__xludf.DUMMYFUNCTION("IF(ISBLANK(D274), """", IF(ISDATE(D274), D274, IF(D274=""今天"", A274, IF(D274=""昨天 (-1 day)"", A274-1, IF(D274=""前天 (-2 days)"", A274-2, IF(D274=""明天 (+1 day)"", A274+1, DATE(LEFT(D274,4), MID(D274,5,2), RIGHT(D274,2))))))))"),45563.0)</f>
        <v>45563</v>
      </c>
      <c r="C274" s="60">
        <f>IFERROR(__xludf.DUMMYFUNCTION("INDIRECT(""'收支紀錄'!C""&amp;TO_TEXT(ROW()-$C$72))"),179.0)</f>
        <v>179</v>
      </c>
      <c r="D274" s="59">
        <f>IFERROR(__xludf.DUMMYFUNCTION("INDIRECT(""'收支紀錄'!D""&amp;TO_TEXT(ROW()-$C$72))"),45563.0)</f>
        <v>45563</v>
      </c>
      <c r="E274" s="61" t="str">
        <f>IFERROR(__xludf.DUMMYFUNCTION("INDIRECT(""'收支紀錄'!E""&amp;TO_TEXT(ROW()-$C$72))"),"")</f>
        <v/>
      </c>
      <c r="F274" s="61" t="str">
        <f>IFERROR(__xludf.DUMMYFUNCTION("INDIRECT(""'收支紀錄'!F""&amp;TO_TEXT(ROW()-$C$72))"),"")</f>
        <v/>
      </c>
      <c r="G274" s="61" t="str">
        <f>IFERROR(__xludf.DUMMYFUNCTION("INDIRECT(""'收支紀錄'!G""&amp;TO_TEXT(ROW()-$C$72))"),"")</f>
        <v/>
      </c>
      <c r="H274" s="61" t="str">
        <f>IFERROR(__xludf.DUMMYFUNCTION("INDIRECT(""'收支紀錄'!H""&amp;TO_TEXT(ROW()-$C$72))"),"食品酒水")</f>
        <v>食品酒水</v>
      </c>
      <c r="I274" s="61" t="str">
        <f>IFERROR(__xludf.DUMMYFUNCTION("INDIRECT(""'收支紀錄'!I""&amp;TO_TEXT(ROW()-$C$72))"),"飲料酒水")</f>
        <v>飲料酒水</v>
      </c>
      <c r="J274" s="61" t="str">
        <f>IFERROR(__xludf.DUMMYFUNCTION("INDIRECT(""'收支紀錄'!J""&amp;TO_TEXT(ROW()-$C$72))"),"")</f>
        <v/>
      </c>
      <c r="K274" s="61" t="str">
        <f>IFERROR(__xludf.DUMMYFUNCTION("INDIRECT(""'收支紀錄'!K""&amp;TO_TEXT(ROW()-$C$72))"),"")</f>
        <v/>
      </c>
      <c r="L274" s="61" t="str">
        <f>IFERROR(__xludf.DUMMYFUNCTION("INDIRECT(""'收支紀錄'!L""&amp;TO_TEXT(ROW()-$C$72))"),"")</f>
        <v/>
      </c>
      <c r="M274" s="61" t="str">
        <f>IFERROR(__xludf.DUMMYFUNCTION("INDIRECT(""'收支紀錄'!M""&amp;TO_TEXT(ROW()-$C$72))"),"")</f>
        <v/>
      </c>
      <c r="N274" s="61" t="str">
        <f>IFERROR(__xludf.DUMMYFUNCTION("INDIRECT(""'收支紀錄'!N""&amp;TO_TEXT(ROW()-$C$72))"),"")</f>
        <v/>
      </c>
      <c r="O274" s="61" t="str">
        <f>IFERROR(__xludf.DUMMYFUNCTION("INDIRECT(""'收支紀錄'!O""&amp;TO_TEXT(ROW()-$C$72))"),"")</f>
        <v/>
      </c>
      <c r="P274" s="61" t="str">
        <f>IFERROR(__xludf.DUMMYFUNCTION("INDIRECT(""'收支紀錄'!P""&amp;TO_TEXT(ROW()-$C$72))"),"")</f>
        <v/>
      </c>
      <c r="Q274" s="61" t="str">
        <f>IFERROR(__xludf.DUMMYFUNCTION("INDIRECT(""'收支紀錄'!Q""&amp;TO_TEXT(ROW()-$C$72))"),"")</f>
        <v/>
      </c>
      <c r="R274" s="61" t="str">
        <f>IFERROR(__xludf.DUMMYFUNCTION("INDIRECT(""'收支紀錄'!R""&amp;TO_TEXT(ROW()-$C$72))"),"")</f>
        <v/>
      </c>
      <c r="S274" s="61" t="str">
        <f>IFERROR(__xludf.DUMMYFUNCTION("INDIRECT(""'收支紀錄'!S""&amp;TO_TEXT(ROW()-$C$72))"),"")</f>
        <v/>
      </c>
      <c r="T274" s="61" t="str">
        <f>IFERROR(__xludf.DUMMYFUNCTION("INDIRECT(""'收支紀錄'!T""&amp;TO_TEXT(ROW()-$C$72))"),"")</f>
        <v/>
      </c>
      <c r="U274" s="62" t="str">
        <f>IFERROR(__xludf.DUMMYFUNCTION("IF(T274=""是"",TEXTJOIN("""", TRUE, ""$"", TO_TEXT(C274), S274),"""")"),"")</f>
        <v/>
      </c>
    </row>
    <row r="275">
      <c r="A275" s="58">
        <f>IFERROR(__xludf.DUMMYFUNCTION("INDIRECT(""'收支紀錄'!A""&amp;TO_TEXT(ROW()-$C$72))"),45564.35824822917)</f>
        <v>45564.35825</v>
      </c>
      <c r="B275" s="59">
        <f>IFERROR(__xludf.DUMMYFUNCTION("IF(ISBLANK(D275), """", IF(ISDATE(D275), D275, IF(D275=""今天"", A275, IF(D275=""昨天 (-1 day)"", A275-1, IF(D275=""前天 (-2 days)"", A275-2, IF(D275=""明天 (+1 day)"", A275+1, DATE(LEFT(D275,4), MID(D275,5,2), RIGHT(D275,2))))))))"),45563.0)</f>
        <v>45563</v>
      </c>
      <c r="C275" s="60">
        <f>IFERROR(__xludf.DUMMYFUNCTION("INDIRECT(""'收支紀錄'!C""&amp;TO_TEXT(ROW()-$C$72))"),35.0)</f>
        <v>35</v>
      </c>
      <c r="D275" s="59">
        <f>IFERROR(__xludf.DUMMYFUNCTION("INDIRECT(""'收支紀錄'!D""&amp;TO_TEXT(ROW()-$C$72))"),45563.0)</f>
        <v>45563</v>
      </c>
      <c r="E275" s="61" t="str">
        <f>IFERROR(__xludf.DUMMYFUNCTION("INDIRECT(""'收支紀錄'!E""&amp;TO_TEXT(ROW()-$C$72))"),"")</f>
        <v/>
      </c>
      <c r="F275" s="61" t="str">
        <f>IFERROR(__xludf.DUMMYFUNCTION("INDIRECT(""'收支紀錄'!F""&amp;TO_TEXT(ROW()-$C$72))"),"")</f>
        <v/>
      </c>
      <c r="G275" s="61" t="str">
        <f>IFERROR(__xludf.DUMMYFUNCTION("INDIRECT(""'收支紀錄'!G""&amp;TO_TEXT(ROW()-$C$72))"),"")</f>
        <v/>
      </c>
      <c r="H275" s="61" t="str">
        <f>IFERROR(__xludf.DUMMYFUNCTION("INDIRECT(""'收支紀錄'!H""&amp;TO_TEXT(ROW()-$C$72))"),"行車交通")</f>
        <v>行車交通</v>
      </c>
      <c r="I275" s="61" t="str">
        <f>IFERROR(__xludf.DUMMYFUNCTION("INDIRECT(""'收支紀錄'!I""&amp;TO_TEXT(ROW()-$C$72))"),"")</f>
        <v/>
      </c>
      <c r="J275" s="61" t="str">
        <f>IFERROR(__xludf.DUMMYFUNCTION("INDIRECT(""'收支紀錄'!J""&amp;TO_TEXT(ROW()-$C$72))"),"")</f>
        <v/>
      </c>
      <c r="K275" s="61" t="str">
        <f>IFERROR(__xludf.DUMMYFUNCTION("INDIRECT(""'收支紀錄'!K""&amp;TO_TEXT(ROW()-$C$72))"),"")</f>
        <v/>
      </c>
      <c r="L275" s="61" t="str">
        <f>IFERROR(__xludf.DUMMYFUNCTION("INDIRECT(""'收支紀錄'!L""&amp;TO_TEXT(ROW()-$C$72))"),"租車")</f>
        <v>租車</v>
      </c>
      <c r="M275" s="61" t="str">
        <f>IFERROR(__xludf.DUMMYFUNCTION("INDIRECT(""'收支紀錄'!M""&amp;TO_TEXT(ROW()-$C$72))"),"")</f>
        <v/>
      </c>
      <c r="N275" s="61" t="str">
        <f>IFERROR(__xludf.DUMMYFUNCTION("INDIRECT(""'收支紀錄'!N""&amp;TO_TEXT(ROW()-$C$72))"),"")</f>
        <v/>
      </c>
      <c r="O275" s="61" t="str">
        <f>IFERROR(__xludf.DUMMYFUNCTION("INDIRECT(""'收支紀錄'!O""&amp;TO_TEXT(ROW()-$C$72))"),"")</f>
        <v/>
      </c>
      <c r="P275" s="61" t="str">
        <f>IFERROR(__xludf.DUMMYFUNCTION("INDIRECT(""'收支紀錄'!P""&amp;TO_TEXT(ROW()-$C$72))"),"")</f>
        <v/>
      </c>
      <c r="Q275" s="61" t="str">
        <f>IFERROR(__xludf.DUMMYFUNCTION("INDIRECT(""'收支紀錄'!Q""&amp;TO_TEXT(ROW()-$C$72))"),"")</f>
        <v/>
      </c>
      <c r="R275" s="61" t="str">
        <f>IFERROR(__xludf.DUMMYFUNCTION("INDIRECT(""'收支紀錄'!R""&amp;TO_TEXT(ROW()-$C$72))"),"")</f>
        <v/>
      </c>
      <c r="S275" s="61" t="str">
        <f>IFERROR(__xludf.DUMMYFUNCTION("INDIRECT(""'收支紀錄'!S""&amp;TO_TEXT(ROW()-$C$72))"),"")</f>
        <v/>
      </c>
      <c r="T275" s="61" t="str">
        <f>IFERROR(__xludf.DUMMYFUNCTION("INDIRECT(""'收支紀錄'!T""&amp;TO_TEXT(ROW()-$C$72))"),"")</f>
        <v/>
      </c>
      <c r="U275" s="62" t="str">
        <f>IFERROR(__xludf.DUMMYFUNCTION("IF(T275=""是"",TEXTJOIN("""", TRUE, ""$"", TO_TEXT(C275), S275),"""")"),"")</f>
        <v/>
      </c>
    </row>
    <row r="276">
      <c r="A276" s="58">
        <f>IFERROR(__xludf.DUMMYFUNCTION("INDIRECT(""'收支紀錄'!A""&amp;TO_TEXT(ROW()-$C$72))"),45564.3586490625)</f>
        <v>45564.35865</v>
      </c>
      <c r="B276" s="59">
        <f>IFERROR(__xludf.DUMMYFUNCTION("IF(ISBLANK(D276), """", IF(ISDATE(D276), D276, IF(D276=""今天"", A276, IF(D276=""昨天 (-1 day)"", A276-1, IF(D276=""前天 (-2 days)"", A276-2, IF(D276=""明天 (+1 day)"", A276+1, DATE(LEFT(D276,4), MID(D276,5,2), RIGHT(D276,2))))))))"),45564.0)</f>
        <v>45564</v>
      </c>
      <c r="C276" s="60">
        <f>IFERROR(__xludf.DUMMYFUNCTION("INDIRECT(""'收支紀錄'!C""&amp;TO_TEXT(ROW()-$C$72))"),28.0)</f>
        <v>28</v>
      </c>
      <c r="D276" s="59">
        <f>IFERROR(__xludf.DUMMYFUNCTION("INDIRECT(""'收支紀錄'!D""&amp;TO_TEXT(ROW()-$C$72))"),45564.0)</f>
        <v>45564</v>
      </c>
      <c r="E276" s="61" t="str">
        <f>IFERROR(__xludf.DUMMYFUNCTION("INDIRECT(""'收支紀錄'!E""&amp;TO_TEXT(ROW()-$C$72))"),"")</f>
        <v/>
      </c>
      <c r="F276" s="61" t="str">
        <f>IFERROR(__xludf.DUMMYFUNCTION("INDIRECT(""'收支紀錄'!F""&amp;TO_TEXT(ROW()-$C$72))"),"")</f>
        <v/>
      </c>
      <c r="G276" s="61" t="str">
        <f>IFERROR(__xludf.DUMMYFUNCTION("INDIRECT(""'收支紀錄'!G""&amp;TO_TEXT(ROW()-$C$72))"),"")</f>
        <v/>
      </c>
      <c r="H276" s="61" t="str">
        <f>IFERROR(__xludf.DUMMYFUNCTION("INDIRECT(""'收支紀錄'!H""&amp;TO_TEXT(ROW()-$C$72))"),"行車交通")</f>
        <v>行車交通</v>
      </c>
      <c r="I276" s="61" t="str">
        <f>IFERROR(__xludf.DUMMYFUNCTION("INDIRECT(""'收支紀錄'!I""&amp;TO_TEXT(ROW()-$C$72))"),"")</f>
        <v/>
      </c>
      <c r="J276" s="61" t="str">
        <f>IFERROR(__xludf.DUMMYFUNCTION("INDIRECT(""'收支紀錄'!J""&amp;TO_TEXT(ROW()-$C$72))"),"")</f>
        <v/>
      </c>
      <c r="K276" s="61" t="str">
        <f>IFERROR(__xludf.DUMMYFUNCTION("INDIRECT(""'收支紀錄'!K""&amp;TO_TEXT(ROW()-$C$72))"),"")</f>
        <v/>
      </c>
      <c r="L276" s="61" t="str">
        <f>IFERROR(__xludf.DUMMYFUNCTION("INDIRECT(""'收支紀錄'!L""&amp;TO_TEXT(ROW()-$C$72))"),"租車")</f>
        <v>租車</v>
      </c>
      <c r="M276" s="61" t="str">
        <f>IFERROR(__xludf.DUMMYFUNCTION("INDIRECT(""'收支紀錄'!M""&amp;TO_TEXT(ROW()-$C$72))"),"")</f>
        <v/>
      </c>
      <c r="N276" s="61" t="str">
        <f>IFERROR(__xludf.DUMMYFUNCTION("INDIRECT(""'收支紀錄'!N""&amp;TO_TEXT(ROW()-$C$72))"),"")</f>
        <v/>
      </c>
      <c r="O276" s="61" t="str">
        <f>IFERROR(__xludf.DUMMYFUNCTION("INDIRECT(""'收支紀錄'!O""&amp;TO_TEXT(ROW()-$C$72))"),"")</f>
        <v/>
      </c>
      <c r="P276" s="61" t="str">
        <f>IFERROR(__xludf.DUMMYFUNCTION("INDIRECT(""'收支紀錄'!P""&amp;TO_TEXT(ROW()-$C$72))"),"")</f>
        <v/>
      </c>
      <c r="Q276" s="61" t="str">
        <f>IFERROR(__xludf.DUMMYFUNCTION("INDIRECT(""'收支紀錄'!Q""&amp;TO_TEXT(ROW()-$C$72))"),"")</f>
        <v/>
      </c>
      <c r="R276" s="61" t="str">
        <f>IFERROR(__xludf.DUMMYFUNCTION("INDIRECT(""'收支紀錄'!R""&amp;TO_TEXT(ROW()-$C$72))"),"")</f>
        <v/>
      </c>
      <c r="S276" s="61" t="str">
        <f>IFERROR(__xludf.DUMMYFUNCTION("INDIRECT(""'收支紀錄'!S""&amp;TO_TEXT(ROW()-$C$72))"),"")</f>
        <v/>
      </c>
      <c r="T276" s="61" t="str">
        <f>IFERROR(__xludf.DUMMYFUNCTION("INDIRECT(""'收支紀錄'!T""&amp;TO_TEXT(ROW()-$C$72))"),"")</f>
        <v/>
      </c>
      <c r="U276" s="62" t="str">
        <f>IFERROR(__xludf.DUMMYFUNCTION("IF(T276=""是"",TEXTJOIN("""", TRUE, ""$"", TO_TEXT(C276), S276),"""")"),"")</f>
        <v/>
      </c>
    </row>
    <row r="277">
      <c r="A277" s="58">
        <f>IFERROR(__xludf.DUMMYFUNCTION("INDIRECT(""'收支紀錄'!A""&amp;TO_TEXT(ROW()-$C$72))"),45564.7221853588)</f>
        <v>45564.72219</v>
      </c>
      <c r="B277" s="59">
        <f>IFERROR(__xludf.DUMMYFUNCTION("IF(ISBLANK(D277), """", IF(ISDATE(D277), D277, IF(D277=""今天"", A277, IF(D277=""昨天 (-1 day)"", A277-1, IF(D277=""前天 (-2 days)"", A277-2, IF(D277=""明天 (+1 day)"", A277+1, DATE(LEFT(D277,4), MID(D277,5,2), RIGHT(D277,2))))))))"),45564.0)</f>
        <v>45564</v>
      </c>
      <c r="C277" s="60">
        <f>IFERROR(__xludf.DUMMYFUNCTION("INDIRECT(""'收支紀錄'!C""&amp;TO_TEXT(ROW()-$C$72))"),585.0)</f>
        <v>585</v>
      </c>
      <c r="D277" s="59">
        <f>IFERROR(__xludf.DUMMYFUNCTION("INDIRECT(""'收支紀錄'!D""&amp;TO_TEXT(ROW()-$C$72))"),45564.0)</f>
        <v>45564</v>
      </c>
      <c r="E277" s="61" t="str">
        <f>IFERROR(__xludf.DUMMYFUNCTION("INDIRECT(""'收支紀錄'!E""&amp;TO_TEXT(ROW()-$C$72))"),"")</f>
        <v/>
      </c>
      <c r="F277" s="61" t="str">
        <f>IFERROR(__xludf.DUMMYFUNCTION("INDIRECT(""'收支紀錄'!F""&amp;TO_TEXT(ROW()-$C$72))"),"")</f>
        <v/>
      </c>
      <c r="G277" s="61" t="str">
        <f>IFERROR(__xludf.DUMMYFUNCTION("INDIRECT(""'收支紀錄'!G""&amp;TO_TEXT(ROW()-$C$72))"),"")</f>
        <v/>
      </c>
      <c r="H277" s="61" t="str">
        <f>IFERROR(__xludf.DUMMYFUNCTION("INDIRECT(""'收支紀錄'!H""&amp;TO_TEXT(ROW()-$C$72))"),"行車交通")</f>
        <v>行車交通</v>
      </c>
      <c r="I277" s="61" t="str">
        <f>IFERROR(__xludf.DUMMYFUNCTION("INDIRECT(""'收支紀錄'!I""&amp;TO_TEXT(ROW()-$C$72))"),"")</f>
        <v/>
      </c>
      <c r="J277" s="61" t="str">
        <f>IFERROR(__xludf.DUMMYFUNCTION("INDIRECT(""'收支紀錄'!J""&amp;TO_TEXT(ROW()-$C$72))"),"")</f>
        <v/>
      </c>
      <c r="K277" s="61" t="str">
        <f>IFERROR(__xludf.DUMMYFUNCTION("INDIRECT(""'收支紀錄'!K""&amp;TO_TEXT(ROW()-$C$72))"),"")</f>
        <v/>
      </c>
      <c r="L277" s="61" t="str">
        <f>IFERROR(__xludf.DUMMYFUNCTION("INDIRECT(""'收支紀錄'!L""&amp;TO_TEXT(ROW()-$C$72))"),"加油")</f>
        <v>加油</v>
      </c>
      <c r="M277" s="61" t="str">
        <f>IFERROR(__xludf.DUMMYFUNCTION("INDIRECT(""'收支紀錄'!M""&amp;TO_TEXT(ROW()-$C$72))"),"")</f>
        <v/>
      </c>
      <c r="N277" s="61" t="str">
        <f>IFERROR(__xludf.DUMMYFUNCTION("INDIRECT(""'收支紀錄'!N""&amp;TO_TEXT(ROW()-$C$72))"),"")</f>
        <v/>
      </c>
      <c r="O277" s="61" t="str">
        <f>IFERROR(__xludf.DUMMYFUNCTION("INDIRECT(""'收支紀錄'!O""&amp;TO_TEXT(ROW()-$C$72))"),"")</f>
        <v/>
      </c>
      <c r="P277" s="61" t="str">
        <f>IFERROR(__xludf.DUMMYFUNCTION("INDIRECT(""'收支紀錄'!P""&amp;TO_TEXT(ROW()-$C$72))"),"")</f>
        <v/>
      </c>
      <c r="Q277" s="61" t="str">
        <f>IFERROR(__xludf.DUMMYFUNCTION("INDIRECT(""'收支紀錄'!Q""&amp;TO_TEXT(ROW()-$C$72))"),"")</f>
        <v/>
      </c>
      <c r="R277" s="61" t="str">
        <f>IFERROR(__xludf.DUMMYFUNCTION("INDIRECT(""'收支紀錄'!R""&amp;TO_TEXT(ROW()-$C$72))"),"")</f>
        <v/>
      </c>
      <c r="S277" s="61" t="str">
        <f>IFERROR(__xludf.DUMMYFUNCTION("INDIRECT(""'收支紀錄'!S""&amp;TO_TEXT(ROW()-$C$72))"),"")</f>
        <v/>
      </c>
      <c r="T277" s="61" t="str">
        <f>IFERROR(__xludf.DUMMYFUNCTION("INDIRECT(""'收支紀錄'!T""&amp;TO_TEXT(ROW()-$C$72))"),"")</f>
        <v/>
      </c>
      <c r="U277" s="62" t="str">
        <f>IFERROR(__xludf.DUMMYFUNCTION("IF(T277=""是"",TEXTJOIN("""", TRUE, ""$"", TO_TEXT(C277), S277),"""")"),"")</f>
        <v/>
      </c>
    </row>
    <row r="278">
      <c r="A278" s="58">
        <f>IFERROR(__xludf.DUMMYFUNCTION("INDIRECT(""'收支紀錄'!A""&amp;TO_TEXT(ROW()-$C$72))"),45567.9421777199)</f>
        <v>45567.94218</v>
      </c>
      <c r="B278" s="59">
        <f>IFERROR(__xludf.DUMMYFUNCTION("IF(ISBLANK(D278), """", IF(ISDATE(D278), D278, IF(D278=""今天"", A278, IF(D278=""昨天 (-1 day)"", A278-1, IF(D278=""前天 (-2 days)"", A278-2, IF(D278=""明天 (+1 day)"", A278+1, DATE(LEFT(D278,4), MID(D278,5,2), RIGHT(D278,2))))))))"),45566.9421777199)</f>
        <v>45566.94218</v>
      </c>
      <c r="C278" s="60">
        <f>IFERROR(__xludf.DUMMYFUNCTION("INDIRECT(""'收支紀錄'!C""&amp;TO_TEXT(ROW()-$C$72))"),804.0)</f>
        <v>804</v>
      </c>
      <c r="D278" s="59" t="str">
        <f>IFERROR(__xludf.DUMMYFUNCTION("INDIRECT(""'收支紀錄'!D""&amp;TO_TEXT(ROW()-$C$72))"),"昨天 (-1 day)")</f>
        <v>昨天 (-1 day)</v>
      </c>
      <c r="E278" s="61" t="str">
        <f>IFERROR(__xludf.DUMMYFUNCTION("INDIRECT(""'收支紀錄'!E""&amp;TO_TEXT(ROW()-$C$72))"),"")</f>
        <v/>
      </c>
      <c r="F278" s="61" t="str">
        <f>IFERROR(__xludf.DUMMYFUNCTION("INDIRECT(""'收支紀錄'!F""&amp;TO_TEXT(ROW()-$C$72))"),"")</f>
        <v/>
      </c>
      <c r="G278" s="61" t="str">
        <f>IFERROR(__xludf.DUMMYFUNCTION("INDIRECT(""'收支紀錄'!G""&amp;TO_TEXT(ROW()-$C$72))"),"")</f>
        <v/>
      </c>
      <c r="H278" s="61" t="str">
        <f>IFERROR(__xludf.DUMMYFUNCTION("INDIRECT(""'收支紀錄'!H""&amp;TO_TEXT(ROW()-$C$72))"),"行車交通")</f>
        <v>行車交通</v>
      </c>
      <c r="I278" s="61" t="str">
        <f>IFERROR(__xludf.DUMMYFUNCTION("INDIRECT(""'收支紀錄'!I""&amp;TO_TEXT(ROW()-$C$72))"),"")</f>
        <v/>
      </c>
      <c r="J278" s="61" t="str">
        <f>IFERROR(__xludf.DUMMYFUNCTION("INDIRECT(""'收支紀錄'!J""&amp;TO_TEXT(ROW()-$C$72))"),"")</f>
        <v/>
      </c>
      <c r="K278" s="61" t="str">
        <f>IFERROR(__xludf.DUMMYFUNCTION("INDIRECT(""'收支紀錄'!K""&amp;TO_TEXT(ROW()-$C$72))"),"")</f>
        <v/>
      </c>
      <c r="L278" s="61" t="str">
        <f>IFERROR(__xludf.DUMMYFUNCTION("INDIRECT(""'收支紀錄'!L""&amp;TO_TEXT(ROW()-$C$72))"),"加油")</f>
        <v>加油</v>
      </c>
      <c r="M278" s="61" t="str">
        <f>IFERROR(__xludf.DUMMYFUNCTION("INDIRECT(""'收支紀錄'!M""&amp;TO_TEXT(ROW()-$C$72))"),"")</f>
        <v/>
      </c>
      <c r="N278" s="61" t="str">
        <f>IFERROR(__xludf.DUMMYFUNCTION("INDIRECT(""'收支紀錄'!N""&amp;TO_TEXT(ROW()-$C$72))"),"")</f>
        <v/>
      </c>
      <c r="O278" s="61" t="str">
        <f>IFERROR(__xludf.DUMMYFUNCTION("INDIRECT(""'收支紀錄'!O""&amp;TO_TEXT(ROW()-$C$72))"),"")</f>
        <v/>
      </c>
      <c r="P278" s="61" t="str">
        <f>IFERROR(__xludf.DUMMYFUNCTION("INDIRECT(""'收支紀錄'!P""&amp;TO_TEXT(ROW()-$C$72))"),"")</f>
        <v/>
      </c>
      <c r="Q278" s="61" t="str">
        <f>IFERROR(__xludf.DUMMYFUNCTION("INDIRECT(""'收支紀錄'!Q""&amp;TO_TEXT(ROW()-$C$72))"),"")</f>
        <v/>
      </c>
      <c r="R278" s="61" t="str">
        <f>IFERROR(__xludf.DUMMYFUNCTION("INDIRECT(""'收支紀錄'!R""&amp;TO_TEXT(ROW()-$C$72))"),"")</f>
        <v/>
      </c>
      <c r="S278" s="61" t="str">
        <f>IFERROR(__xludf.DUMMYFUNCTION("INDIRECT(""'收支紀錄'!S""&amp;TO_TEXT(ROW()-$C$72))"),"")</f>
        <v/>
      </c>
      <c r="T278" s="61" t="str">
        <f>IFERROR(__xludf.DUMMYFUNCTION("INDIRECT(""'收支紀錄'!T""&amp;TO_TEXT(ROW()-$C$72))"),"")</f>
        <v/>
      </c>
      <c r="U278" s="62" t="str">
        <f>IFERROR(__xludf.DUMMYFUNCTION("IF(T278=""是"",TEXTJOIN("""", TRUE, ""$"", TO_TEXT(C278), S278),"""")"),"")</f>
        <v/>
      </c>
    </row>
    <row r="279">
      <c r="A279" s="58">
        <f>IFERROR(__xludf.DUMMYFUNCTION("INDIRECT(""'收支紀錄'!A""&amp;TO_TEXT(ROW()-$C$72))"),45567.9427941551)</f>
        <v>45567.94279</v>
      </c>
      <c r="B279" s="59">
        <f>IFERROR(__xludf.DUMMYFUNCTION("IF(ISBLANK(D279), """", IF(ISDATE(D279), D279, IF(D279=""今天"", A279, IF(D279=""昨天 (-1 day)"", A279-1, IF(D279=""前天 (-2 days)"", A279-2, IF(D279=""明天 (+1 day)"", A279+1, DATE(LEFT(D279,4), MID(D279,5,2), RIGHT(D279,2))))))))"),45567.9427941551)</f>
        <v>45567.94279</v>
      </c>
      <c r="C279" s="60">
        <f>IFERROR(__xludf.DUMMYFUNCTION("INDIRECT(""'收支紀錄'!C""&amp;TO_TEXT(ROW()-$C$72))"),69.0)</f>
        <v>69</v>
      </c>
      <c r="D279" s="63" t="str">
        <f>IFERROR(__xludf.DUMMYFUNCTION("INDIRECT(""'收支紀錄'!D""&amp;TO_TEXT(ROW()-$C$72))"),"今天")</f>
        <v>今天</v>
      </c>
      <c r="E279" s="61" t="str">
        <f>IFERROR(__xludf.DUMMYFUNCTION("INDIRECT(""'收支紀錄'!E""&amp;TO_TEXT(ROW()-$C$72))"),"")</f>
        <v/>
      </c>
      <c r="F279" s="61" t="str">
        <f>IFERROR(__xludf.DUMMYFUNCTION("INDIRECT(""'收支紀錄'!F""&amp;TO_TEXT(ROW()-$C$72))"),"")</f>
        <v/>
      </c>
      <c r="G279" s="61" t="str">
        <f>IFERROR(__xludf.DUMMYFUNCTION("INDIRECT(""'收支紀錄'!G""&amp;TO_TEXT(ROW()-$C$72))"),"")</f>
        <v/>
      </c>
      <c r="H279" s="61" t="str">
        <f>IFERROR(__xludf.DUMMYFUNCTION("INDIRECT(""'收支紀錄'!H""&amp;TO_TEXT(ROW()-$C$72))"),"日常生活")</f>
        <v>日常生活</v>
      </c>
      <c r="I279" s="61" t="str">
        <f>IFERROR(__xludf.DUMMYFUNCTION("INDIRECT(""'收支紀錄'!I""&amp;TO_TEXT(ROW()-$C$72))"),"")</f>
        <v/>
      </c>
      <c r="J279" s="61" t="str">
        <f>IFERROR(__xludf.DUMMYFUNCTION("INDIRECT(""'收支紀錄'!J""&amp;TO_TEXT(ROW()-$C$72))"),"日常用品")</f>
        <v>日常用品</v>
      </c>
      <c r="K279" s="61" t="str">
        <f>IFERROR(__xludf.DUMMYFUNCTION("INDIRECT(""'收支紀錄'!K""&amp;TO_TEXT(ROW()-$C$72))"),"")</f>
        <v/>
      </c>
      <c r="L279" s="61" t="str">
        <f>IFERROR(__xludf.DUMMYFUNCTION("INDIRECT(""'收支紀錄'!L""&amp;TO_TEXT(ROW()-$C$72))"),"")</f>
        <v/>
      </c>
      <c r="M279" s="61" t="str">
        <f>IFERROR(__xludf.DUMMYFUNCTION("INDIRECT(""'收支紀錄'!M""&amp;TO_TEXT(ROW()-$C$72))"),"")</f>
        <v/>
      </c>
      <c r="N279" s="61" t="str">
        <f>IFERROR(__xludf.DUMMYFUNCTION("INDIRECT(""'收支紀錄'!N""&amp;TO_TEXT(ROW()-$C$72))"),"")</f>
        <v/>
      </c>
      <c r="O279" s="61" t="str">
        <f>IFERROR(__xludf.DUMMYFUNCTION("INDIRECT(""'收支紀錄'!O""&amp;TO_TEXT(ROW()-$C$72))"),"")</f>
        <v/>
      </c>
      <c r="P279" s="61" t="str">
        <f>IFERROR(__xludf.DUMMYFUNCTION("INDIRECT(""'收支紀錄'!P""&amp;TO_TEXT(ROW()-$C$72))"),"")</f>
        <v/>
      </c>
      <c r="Q279" s="61" t="str">
        <f>IFERROR(__xludf.DUMMYFUNCTION("INDIRECT(""'收支紀錄'!Q""&amp;TO_TEXT(ROW()-$C$72))"),"")</f>
        <v/>
      </c>
      <c r="R279" s="61" t="str">
        <f>IFERROR(__xludf.DUMMYFUNCTION("INDIRECT(""'收支紀錄'!R""&amp;TO_TEXT(ROW()-$C$72))"),"")</f>
        <v/>
      </c>
      <c r="S279" s="61" t="str">
        <f>IFERROR(__xludf.DUMMYFUNCTION("INDIRECT(""'收支紀錄'!S""&amp;TO_TEXT(ROW()-$C$72))"),"")</f>
        <v/>
      </c>
      <c r="T279" s="61" t="str">
        <f>IFERROR(__xludf.DUMMYFUNCTION("INDIRECT(""'收支紀錄'!T""&amp;TO_TEXT(ROW()-$C$72))"),"")</f>
        <v/>
      </c>
      <c r="U279" s="62" t="str">
        <f>IFERROR(__xludf.DUMMYFUNCTION("IF(T279=""是"",TEXTJOIN("""", TRUE, ""$"", TO_TEXT(C279), S279),"""")"),"")</f>
        <v/>
      </c>
    </row>
    <row r="280">
      <c r="A280" s="58">
        <f>IFERROR(__xludf.DUMMYFUNCTION("INDIRECT(""'收支紀錄'!A""&amp;TO_TEXT(ROW()-$C$72))"),45567.94296490741)</f>
        <v>45567.94296</v>
      </c>
      <c r="B280" s="59">
        <f>IFERROR(__xludf.DUMMYFUNCTION("IF(ISBLANK(D280), """", IF(ISDATE(D280), D280, IF(D280=""今天"", A280, IF(D280=""昨天 (-1 day)"", A280-1, IF(D280=""前天 (-2 days)"", A280-2, IF(D280=""明天 (+1 day)"", A280+1, DATE(LEFT(D280,4), MID(D280,5,2), RIGHT(D280,2))))))))"),45567.94296490741)</f>
        <v>45567.94296</v>
      </c>
      <c r="C280" s="60">
        <f>IFERROR(__xludf.DUMMYFUNCTION("INDIRECT(""'收支紀錄'!C""&amp;TO_TEXT(ROW()-$C$72))"),225.0)</f>
        <v>225</v>
      </c>
      <c r="D280" s="63" t="str">
        <f>IFERROR(__xludf.DUMMYFUNCTION("INDIRECT(""'收支紀錄'!D""&amp;TO_TEXT(ROW()-$C$72))"),"今天")</f>
        <v>今天</v>
      </c>
      <c r="E280" s="61" t="str">
        <f>IFERROR(__xludf.DUMMYFUNCTION("INDIRECT(""'收支紀錄'!E""&amp;TO_TEXT(ROW()-$C$72))"),"")</f>
        <v/>
      </c>
      <c r="F280" s="61" t="str">
        <f>IFERROR(__xludf.DUMMYFUNCTION("INDIRECT(""'收支紀錄'!F""&amp;TO_TEXT(ROW()-$C$72))"),"")</f>
        <v/>
      </c>
      <c r="G280" s="61" t="str">
        <f>IFERROR(__xludf.DUMMYFUNCTION("INDIRECT(""'收支紀錄'!G""&amp;TO_TEXT(ROW()-$C$72))"),"")</f>
        <v/>
      </c>
      <c r="H280" s="61" t="str">
        <f>IFERROR(__xludf.DUMMYFUNCTION("INDIRECT(""'收支紀錄'!H""&amp;TO_TEXT(ROW()-$C$72))"),"食品酒水")</f>
        <v>食品酒水</v>
      </c>
      <c r="I280" s="61" t="str">
        <f>IFERROR(__xludf.DUMMYFUNCTION("INDIRECT(""'收支紀錄'!I""&amp;TO_TEXT(ROW()-$C$72))"),"食材")</f>
        <v>食材</v>
      </c>
      <c r="J280" s="61" t="str">
        <f>IFERROR(__xludf.DUMMYFUNCTION("INDIRECT(""'收支紀錄'!J""&amp;TO_TEXT(ROW()-$C$72))"),"")</f>
        <v/>
      </c>
      <c r="K280" s="61" t="str">
        <f>IFERROR(__xludf.DUMMYFUNCTION("INDIRECT(""'收支紀錄'!K""&amp;TO_TEXT(ROW()-$C$72))"),"")</f>
        <v/>
      </c>
      <c r="L280" s="61" t="str">
        <f>IFERROR(__xludf.DUMMYFUNCTION("INDIRECT(""'收支紀錄'!L""&amp;TO_TEXT(ROW()-$C$72))"),"")</f>
        <v/>
      </c>
      <c r="M280" s="61" t="str">
        <f>IFERROR(__xludf.DUMMYFUNCTION("INDIRECT(""'收支紀錄'!M""&amp;TO_TEXT(ROW()-$C$72))"),"")</f>
        <v/>
      </c>
      <c r="N280" s="61" t="str">
        <f>IFERROR(__xludf.DUMMYFUNCTION("INDIRECT(""'收支紀錄'!N""&amp;TO_TEXT(ROW()-$C$72))"),"")</f>
        <v/>
      </c>
      <c r="O280" s="61" t="str">
        <f>IFERROR(__xludf.DUMMYFUNCTION("INDIRECT(""'收支紀錄'!O""&amp;TO_TEXT(ROW()-$C$72))"),"")</f>
        <v/>
      </c>
      <c r="P280" s="61" t="str">
        <f>IFERROR(__xludf.DUMMYFUNCTION("INDIRECT(""'收支紀錄'!P""&amp;TO_TEXT(ROW()-$C$72))"),"")</f>
        <v/>
      </c>
      <c r="Q280" s="61" t="str">
        <f>IFERROR(__xludf.DUMMYFUNCTION("INDIRECT(""'收支紀錄'!Q""&amp;TO_TEXT(ROW()-$C$72))"),"")</f>
        <v/>
      </c>
      <c r="R280" s="61" t="str">
        <f>IFERROR(__xludf.DUMMYFUNCTION("INDIRECT(""'收支紀錄'!R""&amp;TO_TEXT(ROW()-$C$72))"),"")</f>
        <v/>
      </c>
      <c r="S280" s="61" t="str">
        <f>IFERROR(__xludf.DUMMYFUNCTION("INDIRECT(""'收支紀錄'!S""&amp;TO_TEXT(ROW()-$C$72))"),"")</f>
        <v/>
      </c>
      <c r="T280" s="61" t="str">
        <f>IFERROR(__xludf.DUMMYFUNCTION("INDIRECT(""'收支紀錄'!T""&amp;TO_TEXT(ROW()-$C$72))"),"")</f>
        <v/>
      </c>
      <c r="U280" s="62" t="str">
        <f>IFERROR(__xludf.DUMMYFUNCTION("IF(T280=""是"",TEXTJOIN("""", TRUE, ""$"", TO_TEXT(C280), S280),"""")"),"")</f>
        <v/>
      </c>
    </row>
    <row r="281">
      <c r="A281" s="58">
        <f>IFERROR(__xludf.DUMMYFUNCTION("INDIRECT(""'收支紀錄'!A""&amp;TO_TEXT(ROW()-$C$72))"),45567.94316797453)</f>
        <v>45567.94317</v>
      </c>
      <c r="B281" s="59">
        <f>IFERROR(__xludf.DUMMYFUNCTION("IF(ISBLANK(D281), """", IF(ISDATE(D281), D281, IF(D281=""今天"", A281, IF(D281=""昨天 (-1 day)"", A281-1, IF(D281=""前天 (-2 days)"", A281-2, IF(D281=""明天 (+1 day)"", A281+1, DATE(LEFT(D281,4), MID(D281,5,2), RIGHT(D281,2))))))))"),45567.94316797453)</f>
        <v>45567.94317</v>
      </c>
      <c r="C281" s="60">
        <f>IFERROR(__xludf.DUMMYFUNCTION("INDIRECT(""'收支紀錄'!C""&amp;TO_TEXT(ROW()-$C$72))"),80.0)</f>
        <v>80</v>
      </c>
      <c r="D281" s="63" t="str">
        <f>IFERROR(__xludf.DUMMYFUNCTION("INDIRECT(""'收支紀錄'!D""&amp;TO_TEXT(ROW()-$C$72))"),"今天")</f>
        <v>今天</v>
      </c>
      <c r="E281" s="61" t="str">
        <f>IFERROR(__xludf.DUMMYFUNCTION("INDIRECT(""'收支紀錄'!E""&amp;TO_TEXT(ROW()-$C$72))"),"")</f>
        <v/>
      </c>
      <c r="F281" s="61" t="str">
        <f>IFERROR(__xludf.DUMMYFUNCTION("INDIRECT(""'收支紀錄'!F""&amp;TO_TEXT(ROW()-$C$72))"),"")</f>
        <v/>
      </c>
      <c r="G281" s="61" t="str">
        <f>IFERROR(__xludf.DUMMYFUNCTION("INDIRECT(""'收支紀錄'!G""&amp;TO_TEXT(ROW()-$C$72))"),"")</f>
        <v/>
      </c>
      <c r="H281" s="61" t="str">
        <f>IFERROR(__xludf.DUMMYFUNCTION("INDIRECT(""'收支紀錄'!H""&amp;TO_TEXT(ROW()-$C$72))"),"食品酒水")</f>
        <v>食品酒水</v>
      </c>
      <c r="I281" s="61" t="str">
        <f>IFERROR(__xludf.DUMMYFUNCTION("INDIRECT(""'收支紀錄'!I""&amp;TO_TEXT(ROW()-$C$72))"),"食材")</f>
        <v>食材</v>
      </c>
      <c r="J281" s="61" t="str">
        <f>IFERROR(__xludf.DUMMYFUNCTION("INDIRECT(""'收支紀錄'!J""&amp;TO_TEXT(ROW()-$C$72))"),"")</f>
        <v/>
      </c>
      <c r="K281" s="61" t="str">
        <f>IFERROR(__xludf.DUMMYFUNCTION("INDIRECT(""'收支紀錄'!K""&amp;TO_TEXT(ROW()-$C$72))"),"")</f>
        <v/>
      </c>
      <c r="L281" s="61" t="str">
        <f>IFERROR(__xludf.DUMMYFUNCTION("INDIRECT(""'收支紀錄'!L""&amp;TO_TEXT(ROW()-$C$72))"),"")</f>
        <v/>
      </c>
      <c r="M281" s="61" t="str">
        <f>IFERROR(__xludf.DUMMYFUNCTION("INDIRECT(""'收支紀錄'!M""&amp;TO_TEXT(ROW()-$C$72))"),"")</f>
        <v/>
      </c>
      <c r="N281" s="61" t="str">
        <f>IFERROR(__xludf.DUMMYFUNCTION("INDIRECT(""'收支紀錄'!N""&amp;TO_TEXT(ROW()-$C$72))"),"")</f>
        <v/>
      </c>
      <c r="O281" s="61" t="str">
        <f>IFERROR(__xludf.DUMMYFUNCTION("INDIRECT(""'收支紀錄'!O""&amp;TO_TEXT(ROW()-$C$72))"),"")</f>
        <v/>
      </c>
      <c r="P281" s="61" t="str">
        <f>IFERROR(__xludf.DUMMYFUNCTION("INDIRECT(""'收支紀錄'!P""&amp;TO_TEXT(ROW()-$C$72))"),"")</f>
        <v/>
      </c>
      <c r="Q281" s="61" t="str">
        <f>IFERROR(__xludf.DUMMYFUNCTION("INDIRECT(""'收支紀錄'!Q""&amp;TO_TEXT(ROW()-$C$72))"),"")</f>
        <v/>
      </c>
      <c r="R281" s="61" t="str">
        <f>IFERROR(__xludf.DUMMYFUNCTION("INDIRECT(""'收支紀錄'!R""&amp;TO_TEXT(ROW()-$C$72))"),"")</f>
        <v/>
      </c>
      <c r="S281" s="61" t="str">
        <f>IFERROR(__xludf.DUMMYFUNCTION("INDIRECT(""'收支紀錄'!S""&amp;TO_TEXT(ROW()-$C$72))"),"")</f>
        <v/>
      </c>
      <c r="T281" s="61" t="str">
        <f>IFERROR(__xludf.DUMMYFUNCTION("INDIRECT(""'收支紀錄'!T""&amp;TO_TEXT(ROW()-$C$72))"),"")</f>
        <v/>
      </c>
      <c r="U281" s="62" t="str">
        <f>IFERROR(__xludf.DUMMYFUNCTION("IF(T281=""是"",TEXTJOIN("""", TRUE, ""$"", TO_TEXT(C281), S281),"""")"),"")</f>
        <v/>
      </c>
    </row>
    <row r="282">
      <c r="A282" s="58">
        <f>IFERROR(__xludf.DUMMYFUNCTION("INDIRECT(""'收支紀錄'!A""&amp;TO_TEXT(ROW()-$C$72))"),45567.943356689815)</f>
        <v>45567.94336</v>
      </c>
      <c r="B282" s="59">
        <f>IFERROR(__xludf.DUMMYFUNCTION("IF(ISBLANK(D282), """", IF(ISDATE(D282), D282, IF(D282=""今天"", A282, IF(D282=""昨天 (-1 day)"", A282-1, IF(D282=""前天 (-2 days)"", A282-2, IF(D282=""明天 (+1 day)"", A282+1, DATE(LEFT(D282,4), MID(D282,5,2), RIGHT(D282,2))))))))"),45567.943356689815)</f>
        <v>45567.94336</v>
      </c>
      <c r="C282" s="60">
        <f>IFERROR(__xludf.DUMMYFUNCTION("INDIRECT(""'收支紀錄'!C""&amp;TO_TEXT(ROW()-$C$72))"),298.0)</f>
        <v>298</v>
      </c>
      <c r="D282" s="63" t="str">
        <f>IFERROR(__xludf.DUMMYFUNCTION("INDIRECT(""'收支紀錄'!D""&amp;TO_TEXT(ROW()-$C$72))"),"今天")</f>
        <v>今天</v>
      </c>
      <c r="E282" s="61" t="str">
        <f>IFERROR(__xludf.DUMMYFUNCTION("INDIRECT(""'收支紀錄'!E""&amp;TO_TEXT(ROW()-$C$72))"),"")</f>
        <v/>
      </c>
      <c r="F282" s="61" t="str">
        <f>IFERROR(__xludf.DUMMYFUNCTION("INDIRECT(""'收支紀錄'!F""&amp;TO_TEXT(ROW()-$C$72))"),"")</f>
        <v/>
      </c>
      <c r="G282" s="61" t="str">
        <f>IFERROR(__xludf.DUMMYFUNCTION("INDIRECT(""'收支紀錄'!G""&amp;TO_TEXT(ROW()-$C$72))"),"")</f>
        <v/>
      </c>
      <c r="H282" s="61" t="str">
        <f>IFERROR(__xludf.DUMMYFUNCTION("INDIRECT(""'收支紀錄'!H""&amp;TO_TEXT(ROW()-$C$72))"),"食品酒水")</f>
        <v>食品酒水</v>
      </c>
      <c r="I282" s="61" t="str">
        <f>IFERROR(__xludf.DUMMYFUNCTION("INDIRECT(""'收支紀錄'!I""&amp;TO_TEXT(ROW()-$C$72))"),"食材")</f>
        <v>食材</v>
      </c>
      <c r="J282" s="61" t="str">
        <f>IFERROR(__xludf.DUMMYFUNCTION("INDIRECT(""'收支紀錄'!J""&amp;TO_TEXT(ROW()-$C$72))"),"")</f>
        <v/>
      </c>
      <c r="K282" s="61" t="str">
        <f>IFERROR(__xludf.DUMMYFUNCTION("INDIRECT(""'收支紀錄'!K""&amp;TO_TEXT(ROW()-$C$72))"),"")</f>
        <v/>
      </c>
      <c r="L282" s="61" t="str">
        <f>IFERROR(__xludf.DUMMYFUNCTION("INDIRECT(""'收支紀錄'!L""&amp;TO_TEXT(ROW()-$C$72))"),"")</f>
        <v/>
      </c>
      <c r="M282" s="61" t="str">
        <f>IFERROR(__xludf.DUMMYFUNCTION("INDIRECT(""'收支紀錄'!M""&amp;TO_TEXT(ROW()-$C$72))"),"")</f>
        <v/>
      </c>
      <c r="N282" s="61" t="str">
        <f>IFERROR(__xludf.DUMMYFUNCTION("INDIRECT(""'收支紀錄'!N""&amp;TO_TEXT(ROW()-$C$72))"),"")</f>
        <v/>
      </c>
      <c r="O282" s="61" t="str">
        <f>IFERROR(__xludf.DUMMYFUNCTION("INDIRECT(""'收支紀錄'!O""&amp;TO_TEXT(ROW()-$C$72))"),"")</f>
        <v/>
      </c>
      <c r="P282" s="61" t="str">
        <f>IFERROR(__xludf.DUMMYFUNCTION("INDIRECT(""'收支紀錄'!P""&amp;TO_TEXT(ROW()-$C$72))"),"")</f>
        <v/>
      </c>
      <c r="Q282" s="61" t="str">
        <f>IFERROR(__xludf.DUMMYFUNCTION("INDIRECT(""'收支紀錄'!Q""&amp;TO_TEXT(ROW()-$C$72))"),"")</f>
        <v/>
      </c>
      <c r="R282" s="61" t="str">
        <f>IFERROR(__xludf.DUMMYFUNCTION("INDIRECT(""'收支紀錄'!R""&amp;TO_TEXT(ROW()-$C$72))"),"")</f>
        <v/>
      </c>
      <c r="S282" s="61" t="str">
        <f>IFERROR(__xludf.DUMMYFUNCTION("INDIRECT(""'收支紀錄'!S""&amp;TO_TEXT(ROW()-$C$72))"),"")</f>
        <v/>
      </c>
      <c r="T282" s="61" t="str">
        <f>IFERROR(__xludf.DUMMYFUNCTION("INDIRECT(""'收支紀錄'!T""&amp;TO_TEXT(ROW()-$C$72))"),"")</f>
        <v/>
      </c>
      <c r="U282" s="62" t="str">
        <f>IFERROR(__xludf.DUMMYFUNCTION("IF(T282=""是"",TEXTJOIN("""", TRUE, ""$"", TO_TEXT(C282), S282),"""")"),"")</f>
        <v/>
      </c>
    </row>
    <row r="283">
      <c r="A283" s="58">
        <f>IFERROR(__xludf.DUMMYFUNCTION("INDIRECT(""'收支紀錄'!A""&amp;TO_TEXT(ROW()-$C$72))"),45567.943562291664)</f>
        <v>45567.94356</v>
      </c>
      <c r="B283" s="59">
        <f>IFERROR(__xludf.DUMMYFUNCTION("IF(ISBLANK(D283), """", IF(ISDATE(D283), D283, IF(D283=""今天"", A283, IF(D283=""昨天 (-1 day)"", A283-1, IF(D283=""前天 (-2 days)"", A283-2, IF(D283=""明天 (+1 day)"", A283+1, DATE(LEFT(D283,4), MID(D283,5,2), RIGHT(D283,2))))))))"),45567.943562291664)</f>
        <v>45567.94356</v>
      </c>
      <c r="C283" s="60">
        <f>IFERROR(__xludf.DUMMYFUNCTION("INDIRECT(""'收支紀錄'!C""&amp;TO_TEXT(ROW()-$C$72))"),50.0)</f>
        <v>50</v>
      </c>
      <c r="D283" s="63" t="str">
        <f>IFERROR(__xludf.DUMMYFUNCTION("INDIRECT(""'收支紀錄'!D""&amp;TO_TEXT(ROW()-$C$72))"),"今天")</f>
        <v>今天</v>
      </c>
      <c r="E283" s="61" t="str">
        <f>IFERROR(__xludf.DUMMYFUNCTION("INDIRECT(""'收支紀錄'!E""&amp;TO_TEXT(ROW()-$C$72))"),"")</f>
        <v/>
      </c>
      <c r="F283" s="61" t="str">
        <f>IFERROR(__xludf.DUMMYFUNCTION("INDIRECT(""'收支紀錄'!F""&amp;TO_TEXT(ROW()-$C$72))"),"")</f>
        <v/>
      </c>
      <c r="G283" s="61" t="str">
        <f>IFERROR(__xludf.DUMMYFUNCTION("INDIRECT(""'收支紀錄'!G""&amp;TO_TEXT(ROW()-$C$72))"),"")</f>
        <v/>
      </c>
      <c r="H283" s="61" t="str">
        <f>IFERROR(__xludf.DUMMYFUNCTION("INDIRECT(""'收支紀錄'!H""&amp;TO_TEXT(ROW()-$C$72))"),"行車交通")</f>
        <v>行車交通</v>
      </c>
      <c r="I283" s="61" t="str">
        <f>IFERROR(__xludf.DUMMYFUNCTION("INDIRECT(""'收支紀錄'!I""&amp;TO_TEXT(ROW()-$C$72))"),"")</f>
        <v/>
      </c>
      <c r="J283" s="61" t="str">
        <f>IFERROR(__xludf.DUMMYFUNCTION("INDIRECT(""'收支紀錄'!J""&amp;TO_TEXT(ROW()-$C$72))"),"")</f>
        <v/>
      </c>
      <c r="K283" s="61" t="str">
        <f>IFERROR(__xludf.DUMMYFUNCTION("INDIRECT(""'收支紀錄'!K""&amp;TO_TEXT(ROW()-$C$72))"),"")</f>
        <v/>
      </c>
      <c r="L283" s="61" t="str">
        <f>IFERROR(__xludf.DUMMYFUNCTION("INDIRECT(""'收支紀錄'!L""&amp;TO_TEXT(ROW()-$C$72))"),"停車")</f>
        <v>停車</v>
      </c>
      <c r="M283" s="61" t="str">
        <f>IFERROR(__xludf.DUMMYFUNCTION("INDIRECT(""'收支紀錄'!M""&amp;TO_TEXT(ROW()-$C$72))"),"")</f>
        <v/>
      </c>
      <c r="N283" s="61" t="str">
        <f>IFERROR(__xludf.DUMMYFUNCTION("INDIRECT(""'收支紀錄'!N""&amp;TO_TEXT(ROW()-$C$72))"),"")</f>
        <v/>
      </c>
      <c r="O283" s="61" t="str">
        <f>IFERROR(__xludf.DUMMYFUNCTION("INDIRECT(""'收支紀錄'!O""&amp;TO_TEXT(ROW()-$C$72))"),"")</f>
        <v/>
      </c>
      <c r="P283" s="61" t="str">
        <f>IFERROR(__xludf.DUMMYFUNCTION("INDIRECT(""'收支紀錄'!P""&amp;TO_TEXT(ROW()-$C$72))"),"")</f>
        <v/>
      </c>
      <c r="Q283" s="61" t="str">
        <f>IFERROR(__xludf.DUMMYFUNCTION("INDIRECT(""'收支紀錄'!Q""&amp;TO_TEXT(ROW()-$C$72))"),"")</f>
        <v/>
      </c>
      <c r="R283" s="61" t="str">
        <f>IFERROR(__xludf.DUMMYFUNCTION("INDIRECT(""'收支紀錄'!R""&amp;TO_TEXT(ROW()-$C$72))"),"")</f>
        <v/>
      </c>
      <c r="S283" s="61" t="str">
        <f>IFERROR(__xludf.DUMMYFUNCTION("INDIRECT(""'收支紀錄'!S""&amp;TO_TEXT(ROW()-$C$72))"),"")</f>
        <v/>
      </c>
      <c r="T283" s="61" t="str">
        <f>IFERROR(__xludf.DUMMYFUNCTION("INDIRECT(""'收支紀錄'!T""&amp;TO_TEXT(ROW()-$C$72))"),"")</f>
        <v/>
      </c>
      <c r="U283" s="62" t="str">
        <f>IFERROR(__xludf.DUMMYFUNCTION("IF(T283=""是"",TEXTJOIN("""", TRUE, ""$"", TO_TEXT(C283), S283),"""")"),"")</f>
        <v/>
      </c>
    </row>
    <row r="284">
      <c r="A284" s="58">
        <f>IFERROR(__xludf.DUMMYFUNCTION("INDIRECT(""'收支紀錄'!A""&amp;TO_TEXT(ROW()-$C$72))"),45567.94414619213)</f>
        <v>45567.94415</v>
      </c>
      <c r="B284" s="59">
        <f>IFERROR(__xludf.DUMMYFUNCTION("IF(ISBLANK(D284), """", IF(ISDATE(D284), D284, IF(D284=""今天"", A284, IF(D284=""昨天 (-1 day)"", A284-1, IF(D284=""前天 (-2 days)"", A284-2, IF(D284=""明天 (+1 day)"", A284+1, DATE(LEFT(D284,4), MID(D284,5,2), RIGHT(D284,2))))))))"),45576.0)</f>
        <v>45576</v>
      </c>
      <c r="C284" s="60">
        <f>IFERROR(__xludf.DUMMYFUNCTION("INDIRECT(""'收支紀錄'!C""&amp;TO_TEXT(ROW()-$C$72))"),5700.0)</f>
        <v>5700</v>
      </c>
      <c r="D284" s="63">
        <f>IFERROR(__xludf.DUMMYFUNCTION("INDIRECT(""'收支紀錄'!D""&amp;TO_TEXT(ROW()-$C$72))"),2.0241011E7)</f>
        <v>20241011</v>
      </c>
      <c r="E284" s="61" t="str">
        <f>IFERROR(__xludf.DUMMYFUNCTION("INDIRECT(""'收支紀錄'!E""&amp;TO_TEXT(ROW()-$C$72))"),"")</f>
        <v/>
      </c>
      <c r="F284" s="61" t="str">
        <f>IFERROR(__xludf.DUMMYFUNCTION("INDIRECT(""'收支紀錄'!F""&amp;TO_TEXT(ROW()-$C$72))"),"")</f>
        <v/>
      </c>
      <c r="G284" s="61" t="str">
        <f>IFERROR(__xludf.DUMMYFUNCTION("INDIRECT(""'收支紀錄'!G""&amp;TO_TEXT(ROW()-$C$72))"),"")</f>
        <v/>
      </c>
      <c r="H284" s="61" t="str">
        <f>IFERROR(__xludf.DUMMYFUNCTION("INDIRECT(""'收支紀錄'!H""&amp;TO_TEXT(ROW()-$C$72))"),"休閒娛樂")</f>
        <v>休閒娛樂</v>
      </c>
      <c r="I284" s="61" t="str">
        <f>IFERROR(__xludf.DUMMYFUNCTION("INDIRECT(""'收支紀錄'!I""&amp;TO_TEXT(ROW()-$C$72))"),"")</f>
        <v/>
      </c>
      <c r="J284" s="61" t="str">
        <f>IFERROR(__xludf.DUMMYFUNCTION("INDIRECT(""'收支紀錄'!J""&amp;TO_TEXT(ROW()-$C$72))"),"")</f>
        <v/>
      </c>
      <c r="K284" s="61" t="str">
        <f>IFERROR(__xludf.DUMMYFUNCTION("INDIRECT(""'收支紀錄'!K""&amp;TO_TEXT(ROW()-$C$72))"),"")</f>
        <v/>
      </c>
      <c r="L284" s="61" t="str">
        <f>IFERROR(__xludf.DUMMYFUNCTION("INDIRECT(""'收支紀錄'!L""&amp;TO_TEXT(ROW()-$C$72))"),"")</f>
        <v/>
      </c>
      <c r="M284" s="61" t="str">
        <f>IFERROR(__xludf.DUMMYFUNCTION("INDIRECT(""'收支紀錄'!M""&amp;TO_TEXT(ROW()-$C$72))"),"旅遊度假")</f>
        <v>旅遊度假</v>
      </c>
      <c r="N284" s="61" t="str">
        <f>IFERROR(__xludf.DUMMYFUNCTION("INDIRECT(""'收支紀錄'!N""&amp;TO_TEXT(ROW()-$C$72))"),"")</f>
        <v/>
      </c>
      <c r="O284" s="61" t="str">
        <f>IFERROR(__xludf.DUMMYFUNCTION("INDIRECT(""'收支紀錄'!O""&amp;TO_TEXT(ROW()-$C$72))"),"")</f>
        <v/>
      </c>
      <c r="P284" s="61" t="str">
        <f>IFERROR(__xludf.DUMMYFUNCTION("INDIRECT(""'收支紀錄'!P""&amp;TO_TEXT(ROW()-$C$72))"),"")</f>
        <v/>
      </c>
      <c r="Q284" s="61" t="str">
        <f>IFERROR(__xludf.DUMMYFUNCTION("INDIRECT(""'收支紀錄'!Q""&amp;TO_TEXT(ROW()-$C$72))"),"")</f>
        <v/>
      </c>
      <c r="R284" s="61" t="str">
        <f>IFERROR(__xludf.DUMMYFUNCTION("INDIRECT(""'收支紀錄'!R""&amp;TO_TEXT(ROW()-$C$72))"),"")</f>
        <v/>
      </c>
      <c r="S284" s="61" t="str">
        <f>IFERROR(__xludf.DUMMYFUNCTION("INDIRECT(""'收支紀錄'!S""&amp;TO_TEXT(ROW()-$C$72))"),"溪頭米堤飯店訂金")</f>
        <v>溪頭米堤飯店訂金</v>
      </c>
      <c r="T284" s="61" t="str">
        <f>IFERROR(__xludf.DUMMYFUNCTION("INDIRECT(""'收支紀錄'!T""&amp;TO_TEXT(ROW()-$C$72))"),"是")</f>
        <v>是</v>
      </c>
      <c r="U284" s="62" t="str">
        <f>IFERROR(__xludf.DUMMYFUNCTION("IF(T284=""是"",TEXTJOIN("""", TRUE, ""$"", TO_TEXT(C284), S284),"""")"),"$5700溪頭米堤飯店訂金")</f>
        <v>$5700溪頭米堤飯店訂金</v>
      </c>
    </row>
    <row r="285">
      <c r="A285" s="58">
        <f>IFERROR(__xludf.DUMMYFUNCTION("INDIRECT(""'收支紀錄'!A""&amp;TO_TEXT(ROW()-$C$72))"),45568.47959033565)</f>
        <v>45568.47959</v>
      </c>
      <c r="B285" s="59">
        <f>IFERROR(__xludf.DUMMYFUNCTION("IF(ISBLANK(D285), """", IF(ISDATE(D285), D285, IF(D285=""今天"", A285, IF(D285=""昨天 (-1 day)"", A285-1, IF(D285=""前天 (-2 days)"", A285-2, IF(D285=""明天 (+1 day)"", A285+1, DATE(LEFT(D285,4), MID(D285,5,2), RIGHT(D285,2))))))))"),45568.47959033565)</f>
        <v>45568.47959</v>
      </c>
      <c r="C285" s="60">
        <f>IFERROR(__xludf.DUMMYFUNCTION("INDIRECT(""'收支紀錄'!C""&amp;TO_TEXT(ROW()-$C$72))"),135.0)</f>
        <v>135</v>
      </c>
      <c r="D285" s="63" t="str">
        <f>IFERROR(__xludf.DUMMYFUNCTION("INDIRECT(""'收支紀錄'!D""&amp;TO_TEXT(ROW()-$C$72))"),"今天")</f>
        <v>今天</v>
      </c>
      <c r="E285" s="61" t="str">
        <f>IFERROR(__xludf.DUMMYFUNCTION("INDIRECT(""'收支紀錄'!E""&amp;TO_TEXT(ROW()-$C$72))"),"")</f>
        <v/>
      </c>
      <c r="F285" s="61" t="str">
        <f>IFERROR(__xludf.DUMMYFUNCTION("INDIRECT(""'收支紀錄'!F""&amp;TO_TEXT(ROW()-$C$72))"),"")</f>
        <v/>
      </c>
      <c r="G285" s="61" t="str">
        <f>IFERROR(__xludf.DUMMYFUNCTION("INDIRECT(""'收支紀錄'!G""&amp;TO_TEXT(ROW()-$C$72))"),"")</f>
        <v/>
      </c>
      <c r="H285" s="61" t="str">
        <f>IFERROR(__xludf.DUMMYFUNCTION("INDIRECT(""'收支紀錄'!H""&amp;TO_TEXT(ROW()-$C$72))"),"食品酒水")</f>
        <v>食品酒水</v>
      </c>
      <c r="I285" s="61" t="str">
        <f>IFERROR(__xludf.DUMMYFUNCTION("INDIRECT(""'收支紀錄'!I""&amp;TO_TEXT(ROW()-$C$72))"),"午餐")</f>
        <v>午餐</v>
      </c>
      <c r="J285" s="61" t="str">
        <f>IFERROR(__xludf.DUMMYFUNCTION("INDIRECT(""'收支紀錄'!J""&amp;TO_TEXT(ROW()-$C$72))"),"")</f>
        <v/>
      </c>
      <c r="K285" s="61" t="str">
        <f>IFERROR(__xludf.DUMMYFUNCTION("INDIRECT(""'收支紀錄'!K""&amp;TO_TEXT(ROW()-$C$72))"),"")</f>
        <v/>
      </c>
      <c r="L285" s="61" t="str">
        <f>IFERROR(__xludf.DUMMYFUNCTION("INDIRECT(""'收支紀錄'!L""&amp;TO_TEXT(ROW()-$C$72))"),"")</f>
        <v/>
      </c>
      <c r="M285" s="61" t="str">
        <f>IFERROR(__xludf.DUMMYFUNCTION("INDIRECT(""'收支紀錄'!M""&amp;TO_TEXT(ROW()-$C$72))"),"")</f>
        <v/>
      </c>
      <c r="N285" s="61" t="str">
        <f>IFERROR(__xludf.DUMMYFUNCTION("INDIRECT(""'收支紀錄'!N""&amp;TO_TEXT(ROW()-$C$72))"),"")</f>
        <v/>
      </c>
      <c r="O285" s="61" t="str">
        <f>IFERROR(__xludf.DUMMYFUNCTION("INDIRECT(""'收支紀錄'!O""&amp;TO_TEXT(ROW()-$C$72))"),"")</f>
        <v/>
      </c>
      <c r="P285" s="61" t="str">
        <f>IFERROR(__xludf.DUMMYFUNCTION("INDIRECT(""'收支紀錄'!P""&amp;TO_TEXT(ROW()-$C$72))"),"")</f>
        <v/>
      </c>
      <c r="Q285" s="61" t="str">
        <f>IFERROR(__xludf.DUMMYFUNCTION("INDIRECT(""'收支紀錄'!Q""&amp;TO_TEXT(ROW()-$C$72))"),"")</f>
        <v/>
      </c>
      <c r="R285" s="61" t="str">
        <f>IFERROR(__xludf.DUMMYFUNCTION("INDIRECT(""'收支紀錄'!R""&amp;TO_TEXT(ROW()-$C$72))"),"")</f>
        <v/>
      </c>
      <c r="S285" s="61" t="str">
        <f>IFERROR(__xludf.DUMMYFUNCTION("INDIRECT(""'收支紀錄'!S""&amp;TO_TEXT(ROW()-$C$72))"),"")</f>
        <v/>
      </c>
      <c r="T285" s="61" t="str">
        <f>IFERROR(__xludf.DUMMYFUNCTION("INDIRECT(""'收支紀錄'!T""&amp;TO_TEXT(ROW()-$C$72))"),"")</f>
        <v/>
      </c>
      <c r="U285" s="62" t="str">
        <f>IFERROR(__xludf.DUMMYFUNCTION("IF(T285=""是"",TEXTJOIN("""", TRUE, ""$"", TO_TEXT(C285), S285),"""")"),"")</f>
        <v/>
      </c>
    </row>
    <row r="286">
      <c r="A286" s="58">
        <f>IFERROR(__xludf.DUMMYFUNCTION("INDIRECT(""'收支紀錄'!A""&amp;TO_TEXT(ROW()-$C$72))"),45570.36452030092)</f>
        <v>45570.36452</v>
      </c>
      <c r="B286" s="59">
        <f>IFERROR(__xludf.DUMMYFUNCTION("IF(ISBLANK(D286), """", IF(ISDATE(D286), D286, IF(D286=""今天"", A286, IF(D286=""昨天 (-1 day)"", A286-1, IF(D286=""前天 (-2 days)"", A286-2, IF(D286=""明天 (+1 day)"", A286+1, DATE(LEFT(D286,4), MID(D286,5,2), RIGHT(D286,2))))))))"),45570.36452030092)</f>
        <v>45570.36452</v>
      </c>
      <c r="C286" s="60">
        <f>IFERROR(__xludf.DUMMYFUNCTION("INDIRECT(""'收支紀錄'!C""&amp;TO_TEXT(ROW()-$C$72))"),114.0)</f>
        <v>114</v>
      </c>
      <c r="D286" s="63" t="str">
        <f>IFERROR(__xludf.DUMMYFUNCTION("INDIRECT(""'收支紀錄'!D""&amp;TO_TEXT(ROW()-$C$72))"),"今天")</f>
        <v>今天</v>
      </c>
      <c r="E286" s="61" t="str">
        <f>IFERROR(__xludf.DUMMYFUNCTION("INDIRECT(""'收支紀錄'!E""&amp;TO_TEXT(ROW()-$C$72))"),"")</f>
        <v/>
      </c>
      <c r="F286" s="61" t="str">
        <f>IFERROR(__xludf.DUMMYFUNCTION("INDIRECT(""'收支紀錄'!F""&amp;TO_TEXT(ROW()-$C$72))"),"")</f>
        <v/>
      </c>
      <c r="G286" s="61" t="str">
        <f>IFERROR(__xludf.DUMMYFUNCTION("INDIRECT(""'收支紀錄'!G""&amp;TO_TEXT(ROW()-$C$72))"),"")</f>
        <v/>
      </c>
      <c r="H286" s="61" t="str">
        <f>IFERROR(__xludf.DUMMYFUNCTION("INDIRECT(""'收支紀錄'!H""&amp;TO_TEXT(ROW()-$C$72))"),"食品酒水")</f>
        <v>食品酒水</v>
      </c>
      <c r="I286" s="61" t="str">
        <f>IFERROR(__xludf.DUMMYFUNCTION("INDIRECT(""'收支紀錄'!I""&amp;TO_TEXT(ROW()-$C$72))"),"早餐")</f>
        <v>早餐</v>
      </c>
      <c r="J286" s="61" t="str">
        <f>IFERROR(__xludf.DUMMYFUNCTION("INDIRECT(""'收支紀錄'!J""&amp;TO_TEXT(ROW()-$C$72))"),"")</f>
        <v/>
      </c>
      <c r="K286" s="61" t="str">
        <f>IFERROR(__xludf.DUMMYFUNCTION("INDIRECT(""'收支紀錄'!K""&amp;TO_TEXT(ROW()-$C$72))"),"")</f>
        <v/>
      </c>
      <c r="L286" s="61" t="str">
        <f>IFERROR(__xludf.DUMMYFUNCTION("INDIRECT(""'收支紀錄'!L""&amp;TO_TEXT(ROW()-$C$72))"),"")</f>
        <v/>
      </c>
      <c r="M286" s="61" t="str">
        <f>IFERROR(__xludf.DUMMYFUNCTION("INDIRECT(""'收支紀錄'!M""&amp;TO_TEXT(ROW()-$C$72))"),"")</f>
        <v/>
      </c>
      <c r="N286" s="61" t="str">
        <f>IFERROR(__xludf.DUMMYFUNCTION("INDIRECT(""'收支紀錄'!N""&amp;TO_TEXT(ROW()-$C$72))"),"")</f>
        <v/>
      </c>
      <c r="O286" s="61" t="str">
        <f>IFERROR(__xludf.DUMMYFUNCTION("INDIRECT(""'收支紀錄'!O""&amp;TO_TEXT(ROW()-$C$72))"),"")</f>
        <v/>
      </c>
      <c r="P286" s="61" t="str">
        <f>IFERROR(__xludf.DUMMYFUNCTION("INDIRECT(""'收支紀錄'!P""&amp;TO_TEXT(ROW()-$C$72))"),"")</f>
        <v/>
      </c>
      <c r="Q286" s="61" t="str">
        <f>IFERROR(__xludf.DUMMYFUNCTION("INDIRECT(""'收支紀錄'!Q""&amp;TO_TEXT(ROW()-$C$72))"),"")</f>
        <v/>
      </c>
      <c r="R286" s="61" t="str">
        <f>IFERROR(__xludf.DUMMYFUNCTION("INDIRECT(""'收支紀錄'!R""&amp;TO_TEXT(ROW()-$C$72))"),"")</f>
        <v/>
      </c>
      <c r="S286" s="61" t="str">
        <f>IFERROR(__xludf.DUMMYFUNCTION("INDIRECT(""'收支紀錄'!S""&amp;TO_TEXT(ROW()-$C$72))"),"")</f>
        <v/>
      </c>
      <c r="T286" s="61" t="str">
        <f>IFERROR(__xludf.DUMMYFUNCTION("INDIRECT(""'收支紀錄'!T""&amp;TO_TEXT(ROW()-$C$72))"),"")</f>
        <v/>
      </c>
      <c r="U286" s="62" t="str">
        <f>IFERROR(__xludf.DUMMYFUNCTION("IF(T286=""是"",TEXTJOIN("""", TRUE, ""$"", TO_TEXT(C286), S286),"""")"),"")</f>
        <v/>
      </c>
    </row>
    <row r="287">
      <c r="A287" s="58">
        <f>IFERROR(__xludf.DUMMYFUNCTION("INDIRECT(""'收支紀錄'!A""&amp;TO_TEXT(ROW()-$C$72))"),45570.56713768518)</f>
        <v>45570.56714</v>
      </c>
      <c r="B287" s="59">
        <f>IFERROR(__xludf.DUMMYFUNCTION("IF(ISBLANK(D287), """", IF(ISDATE(D287), D287, IF(D287=""今天"", A287, IF(D287=""昨天 (-1 day)"", A287-1, IF(D287=""前天 (-2 days)"", A287-2, IF(D287=""明天 (+1 day)"", A287+1, DATE(LEFT(D287,4), MID(D287,5,2), RIGHT(D287,2))))))))"),45570.56713768518)</f>
        <v>45570.56714</v>
      </c>
      <c r="C287" s="60">
        <f>IFERROR(__xludf.DUMMYFUNCTION("INDIRECT(""'收支紀錄'!C""&amp;TO_TEXT(ROW()-$C$72))"),1375.0)</f>
        <v>1375</v>
      </c>
      <c r="D287" s="63" t="str">
        <f>IFERROR(__xludf.DUMMYFUNCTION("INDIRECT(""'收支紀錄'!D""&amp;TO_TEXT(ROW()-$C$72))"),"今天")</f>
        <v>今天</v>
      </c>
      <c r="E287" s="61" t="str">
        <f>IFERROR(__xludf.DUMMYFUNCTION("INDIRECT(""'收支紀錄'!E""&amp;TO_TEXT(ROW()-$C$72))"),"")</f>
        <v/>
      </c>
      <c r="F287" s="61" t="str">
        <f>IFERROR(__xludf.DUMMYFUNCTION("INDIRECT(""'收支紀錄'!F""&amp;TO_TEXT(ROW()-$C$72))"),"")</f>
        <v/>
      </c>
      <c r="G287" s="61" t="str">
        <f>IFERROR(__xludf.DUMMYFUNCTION("INDIRECT(""'收支紀錄'!G""&amp;TO_TEXT(ROW()-$C$72))"),"")</f>
        <v/>
      </c>
      <c r="H287" s="61" t="str">
        <f>IFERROR(__xludf.DUMMYFUNCTION("INDIRECT(""'收支紀錄'!H""&amp;TO_TEXT(ROW()-$C$72))"),"食品酒水")</f>
        <v>食品酒水</v>
      </c>
      <c r="I287" s="61" t="str">
        <f>IFERROR(__xludf.DUMMYFUNCTION("INDIRECT(""'收支紀錄'!I""&amp;TO_TEXT(ROW()-$C$72))"),"午餐")</f>
        <v>午餐</v>
      </c>
      <c r="J287" s="61" t="str">
        <f>IFERROR(__xludf.DUMMYFUNCTION("INDIRECT(""'收支紀錄'!J""&amp;TO_TEXT(ROW()-$C$72))"),"")</f>
        <v/>
      </c>
      <c r="K287" s="61" t="str">
        <f>IFERROR(__xludf.DUMMYFUNCTION("INDIRECT(""'收支紀錄'!K""&amp;TO_TEXT(ROW()-$C$72))"),"")</f>
        <v/>
      </c>
      <c r="L287" s="61" t="str">
        <f>IFERROR(__xludf.DUMMYFUNCTION("INDIRECT(""'收支紀錄'!L""&amp;TO_TEXT(ROW()-$C$72))"),"")</f>
        <v/>
      </c>
      <c r="M287" s="61" t="str">
        <f>IFERROR(__xludf.DUMMYFUNCTION("INDIRECT(""'收支紀錄'!M""&amp;TO_TEXT(ROW()-$C$72))"),"")</f>
        <v/>
      </c>
      <c r="N287" s="61" t="str">
        <f>IFERROR(__xludf.DUMMYFUNCTION("INDIRECT(""'收支紀錄'!N""&amp;TO_TEXT(ROW()-$C$72))"),"")</f>
        <v/>
      </c>
      <c r="O287" s="61" t="str">
        <f>IFERROR(__xludf.DUMMYFUNCTION("INDIRECT(""'收支紀錄'!O""&amp;TO_TEXT(ROW()-$C$72))"),"")</f>
        <v/>
      </c>
      <c r="P287" s="61" t="str">
        <f>IFERROR(__xludf.DUMMYFUNCTION("INDIRECT(""'收支紀錄'!P""&amp;TO_TEXT(ROW()-$C$72))"),"")</f>
        <v/>
      </c>
      <c r="Q287" s="61" t="str">
        <f>IFERROR(__xludf.DUMMYFUNCTION("INDIRECT(""'收支紀錄'!Q""&amp;TO_TEXT(ROW()-$C$72))"),"")</f>
        <v/>
      </c>
      <c r="R287" s="61" t="str">
        <f>IFERROR(__xludf.DUMMYFUNCTION("INDIRECT(""'收支紀錄'!R""&amp;TO_TEXT(ROW()-$C$72))"),"")</f>
        <v/>
      </c>
      <c r="S287" s="61" t="str">
        <f>IFERROR(__xludf.DUMMYFUNCTION("INDIRECT(""'收支紀錄'!S""&amp;TO_TEXT(ROW()-$C$72))"),"")</f>
        <v/>
      </c>
      <c r="T287" s="61" t="str">
        <f>IFERROR(__xludf.DUMMYFUNCTION("INDIRECT(""'收支紀錄'!T""&amp;TO_TEXT(ROW()-$C$72))"),"")</f>
        <v/>
      </c>
      <c r="U287" s="62" t="str">
        <f>IFERROR(__xludf.DUMMYFUNCTION("IF(T287=""是"",TEXTJOIN("""", TRUE, ""$"", TO_TEXT(C287), S287),"""")"),"")</f>
        <v/>
      </c>
    </row>
    <row r="288">
      <c r="A288" s="58">
        <f>IFERROR(__xludf.DUMMYFUNCTION("INDIRECT(""'收支紀錄'!A""&amp;TO_TEXT(ROW()-$C$72))"),45570.71968659722)</f>
        <v>45570.71969</v>
      </c>
      <c r="B288" s="59">
        <f>IFERROR(__xludf.DUMMYFUNCTION("IF(ISBLANK(D288), """", IF(ISDATE(D288), D288, IF(D288=""今天"", A288, IF(D288=""昨天 (-1 day)"", A288-1, IF(D288=""前天 (-2 days)"", A288-2, IF(D288=""明天 (+1 day)"", A288+1, DATE(LEFT(D288,4), MID(D288,5,2), RIGHT(D288,2))))))))"),45570.71968659722)</f>
        <v>45570.71969</v>
      </c>
      <c r="C288" s="60">
        <f>IFERROR(__xludf.DUMMYFUNCTION("INDIRECT(""'收支紀錄'!C""&amp;TO_TEXT(ROW()-$C$72))"),125.0)</f>
        <v>125</v>
      </c>
      <c r="D288" s="63" t="str">
        <f>IFERROR(__xludf.DUMMYFUNCTION("INDIRECT(""'收支紀錄'!D""&amp;TO_TEXT(ROW()-$C$72))"),"今天")</f>
        <v>今天</v>
      </c>
      <c r="E288" s="61" t="str">
        <f>IFERROR(__xludf.DUMMYFUNCTION("INDIRECT(""'收支紀錄'!E""&amp;TO_TEXT(ROW()-$C$72))"),"")</f>
        <v/>
      </c>
      <c r="F288" s="61" t="str">
        <f>IFERROR(__xludf.DUMMYFUNCTION("INDIRECT(""'收支紀錄'!F""&amp;TO_TEXT(ROW()-$C$72))"),"")</f>
        <v/>
      </c>
      <c r="G288" s="61" t="str">
        <f>IFERROR(__xludf.DUMMYFUNCTION("INDIRECT(""'收支紀錄'!G""&amp;TO_TEXT(ROW()-$C$72))"),"")</f>
        <v/>
      </c>
      <c r="H288" s="61" t="str">
        <f>IFERROR(__xludf.DUMMYFUNCTION("INDIRECT(""'收支紀錄'!H""&amp;TO_TEXT(ROW()-$C$72))"),"行車交通")</f>
        <v>行車交通</v>
      </c>
      <c r="I288" s="61" t="str">
        <f>IFERROR(__xludf.DUMMYFUNCTION("INDIRECT(""'收支紀錄'!I""&amp;TO_TEXT(ROW()-$C$72))"),"")</f>
        <v/>
      </c>
      <c r="J288" s="61" t="str">
        <f>IFERROR(__xludf.DUMMYFUNCTION("INDIRECT(""'收支紀錄'!J""&amp;TO_TEXT(ROW()-$C$72))"),"")</f>
        <v/>
      </c>
      <c r="K288" s="61" t="str">
        <f>IFERROR(__xludf.DUMMYFUNCTION("INDIRECT(""'收支紀錄'!K""&amp;TO_TEXT(ROW()-$C$72))"),"")</f>
        <v/>
      </c>
      <c r="L288" s="61" t="str">
        <f>IFERROR(__xludf.DUMMYFUNCTION("INDIRECT(""'收支紀錄'!L""&amp;TO_TEXT(ROW()-$C$72))"),"停車")</f>
        <v>停車</v>
      </c>
      <c r="M288" s="61" t="str">
        <f>IFERROR(__xludf.DUMMYFUNCTION("INDIRECT(""'收支紀錄'!M""&amp;TO_TEXT(ROW()-$C$72))"),"")</f>
        <v/>
      </c>
      <c r="N288" s="61" t="str">
        <f>IFERROR(__xludf.DUMMYFUNCTION("INDIRECT(""'收支紀錄'!N""&amp;TO_TEXT(ROW()-$C$72))"),"")</f>
        <v/>
      </c>
      <c r="O288" s="61" t="str">
        <f>IFERROR(__xludf.DUMMYFUNCTION("INDIRECT(""'收支紀錄'!O""&amp;TO_TEXT(ROW()-$C$72))"),"")</f>
        <v/>
      </c>
      <c r="P288" s="61" t="str">
        <f>IFERROR(__xludf.DUMMYFUNCTION("INDIRECT(""'收支紀錄'!P""&amp;TO_TEXT(ROW()-$C$72))"),"")</f>
        <v/>
      </c>
      <c r="Q288" s="61" t="str">
        <f>IFERROR(__xludf.DUMMYFUNCTION("INDIRECT(""'收支紀錄'!Q""&amp;TO_TEXT(ROW()-$C$72))"),"")</f>
        <v/>
      </c>
      <c r="R288" s="61" t="str">
        <f>IFERROR(__xludf.DUMMYFUNCTION("INDIRECT(""'收支紀錄'!R""&amp;TO_TEXT(ROW()-$C$72))"),"")</f>
        <v/>
      </c>
      <c r="S288" s="61" t="str">
        <f>IFERROR(__xludf.DUMMYFUNCTION("INDIRECT(""'收支紀錄'!S""&amp;TO_TEXT(ROW()-$C$72))"),"")</f>
        <v/>
      </c>
      <c r="T288" s="61" t="str">
        <f>IFERROR(__xludf.DUMMYFUNCTION("INDIRECT(""'收支紀錄'!T""&amp;TO_TEXT(ROW()-$C$72))"),"")</f>
        <v/>
      </c>
      <c r="U288" s="62" t="str">
        <f>IFERROR(__xludf.DUMMYFUNCTION("IF(T288=""是"",TEXTJOIN("""", TRUE, ""$"", TO_TEXT(C288), S288),"""")"),"")</f>
        <v/>
      </c>
    </row>
    <row r="289">
      <c r="A289" s="58">
        <f>IFERROR(__xludf.DUMMYFUNCTION("INDIRECT(""'收支紀錄'!A""&amp;TO_TEXT(ROW()-$C$72))"),45570.72000753472)</f>
        <v>45570.72001</v>
      </c>
      <c r="B289" s="59">
        <f>IFERROR(__xludf.DUMMYFUNCTION("IF(ISBLANK(D289), """", IF(ISDATE(D289), D289, IF(D289=""今天"", A289, IF(D289=""昨天 (-1 day)"", A289-1, IF(D289=""前天 (-2 days)"", A289-2, IF(D289=""明天 (+1 day)"", A289+1, DATE(LEFT(D289,4), MID(D289,5,2), RIGHT(D289,2))))))))"),45570.72000753472)</f>
        <v>45570.72001</v>
      </c>
      <c r="C289" s="60">
        <f>IFERROR(__xludf.DUMMYFUNCTION("INDIRECT(""'收支紀錄'!C""&amp;TO_TEXT(ROW()-$C$72))"),70.0)</f>
        <v>70</v>
      </c>
      <c r="D289" s="63" t="str">
        <f>IFERROR(__xludf.DUMMYFUNCTION("INDIRECT(""'收支紀錄'!D""&amp;TO_TEXT(ROW()-$C$72))"),"今天")</f>
        <v>今天</v>
      </c>
      <c r="E289" s="61" t="str">
        <f>IFERROR(__xludf.DUMMYFUNCTION("INDIRECT(""'收支紀錄'!E""&amp;TO_TEXT(ROW()-$C$72))"),"")</f>
        <v/>
      </c>
      <c r="F289" s="61" t="str">
        <f>IFERROR(__xludf.DUMMYFUNCTION("INDIRECT(""'收支紀錄'!F""&amp;TO_TEXT(ROW()-$C$72))"),"")</f>
        <v/>
      </c>
      <c r="G289" s="61" t="str">
        <f>IFERROR(__xludf.DUMMYFUNCTION("INDIRECT(""'收支紀錄'!G""&amp;TO_TEXT(ROW()-$C$72))"),"")</f>
        <v/>
      </c>
      <c r="H289" s="61" t="str">
        <f>IFERROR(__xludf.DUMMYFUNCTION("INDIRECT(""'收支紀錄'!H""&amp;TO_TEXT(ROW()-$C$72))"),"食品酒水")</f>
        <v>食品酒水</v>
      </c>
      <c r="I289" s="61" t="str">
        <f>IFERROR(__xludf.DUMMYFUNCTION("INDIRECT(""'收支紀錄'!I""&amp;TO_TEXT(ROW()-$C$72))"),"下午茶")</f>
        <v>下午茶</v>
      </c>
      <c r="J289" s="61" t="str">
        <f>IFERROR(__xludf.DUMMYFUNCTION("INDIRECT(""'收支紀錄'!J""&amp;TO_TEXT(ROW()-$C$72))"),"")</f>
        <v/>
      </c>
      <c r="K289" s="61" t="str">
        <f>IFERROR(__xludf.DUMMYFUNCTION("INDIRECT(""'收支紀錄'!K""&amp;TO_TEXT(ROW()-$C$72))"),"")</f>
        <v/>
      </c>
      <c r="L289" s="61" t="str">
        <f>IFERROR(__xludf.DUMMYFUNCTION("INDIRECT(""'收支紀錄'!L""&amp;TO_TEXT(ROW()-$C$72))"),"")</f>
        <v/>
      </c>
      <c r="M289" s="61" t="str">
        <f>IFERROR(__xludf.DUMMYFUNCTION("INDIRECT(""'收支紀錄'!M""&amp;TO_TEXT(ROW()-$C$72))"),"")</f>
        <v/>
      </c>
      <c r="N289" s="61" t="str">
        <f>IFERROR(__xludf.DUMMYFUNCTION("INDIRECT(""'收支紀錄'!N""&amp;TO_TEXT(ROW()-$C$72))"),"")</f>
        <v/>
      </c>
      <c r="O289" s="61" t="str">
        <f>IFERROR(__xludf.DUMMYFUNCTION("INDIRECT(""'收支紀錄'!O""&amp;TO_TEXT(ROW()-$C$72))"),"")</f>
        <v/>
      </c>
      <c r="P289" s="61" t="str">
        <f>IFERROR(__xludf.DUMMYFUNCTION("INDIRECT(""'收支紀錄'!P""&amp;TO_TEXT(ROW()-$C$72))"),"")</f>
        <v/>
      </c>
      <c r="Q289" s="61" t="str">
        <f>IFERROR(__xludf.DUMMYFUNCTION("INDIRECT(""'收支紀錄'!Q""&amp;TO_TEXT(ROW()-$C$72))"),"")</f>
        <v/>
      </c>
      <c r="R289" s="61" t="str">
        <f>IFERROR(__xludf.DUMMYFUNCTION("INDIRECT(""'收支紀錄'!R""&amp;TO_TEXT(ROW()-$C$72))"),"")</f>
        <v/>
      </c>
      <c r="S289" s="61" t="str">
        <f>IFERROR(__xludf.DUMMYFUNCTION("INDIRECT(""'收支紀錄'!S""&amp;TO_TEXT(ROW()-$C$72))"),"")</f>
        <v/>
      </c>
      <c r="T289" s="61" t="str">
        <f>IFERROR(__xludf.DUMMYFUNCTION("INDIRECT(""'收支紀錄'!T""&amp;TO_TEXT(ROW()-$C$72))"),"")</f>
        <v/>
      </c>
      <c r="U289" s="62" t="str">
        <f>IFERROR(__xludf.DUMMYFUNCTION("IF(T289=""是"",TEXTJOIN("""", TRUE, ""$"", TO_TEXT(C289), S289),"""")"),"")</f>
        <v/>
      </c>
    </row>
    <row r="290">
      <c r="A290" s="58">
        <f>IFERROR(__xludf.DUMMYFUNCTION("INDIRECT(""'收支紀錄'!A""&amp;TO_TEXT(ROW()-$C$72))"),45572.302066226854)</f>
        <v>45572.30207</v>
      </c>
      <c r="B290" s="59">
        <f>IFERROR(__xludf.DUMMYFUNCTION("IF(ISBLANK(D290), """", IF(ISDATE(D290), D290, IF(D290=""今天"", A290, IF(D290=""昨天 (-1 day)"", A290-1, IF(D290=""前天 (-2 days)"", A290-2, IF(D290=""明天 (+1 day)"", A290+1, DATE(LEFT(D290,4), MID(D290,5,2), RIGHT(D290,2))))))))"),45571.302066226854)</f>
        <v>45571.30207</v>
      </c>
      <c r="C290" s="60">
        <f>IFERROR(__xludf.DUMMYFUNCTION("INDIRECT(""'收支紀錄'!C""&amp;TO_TEXT(ROW()-$C$72))"),30.0)</f>
        <v>30</v>
      </c>
      <c r="D290" s="63" t="str">
        <f>IFERROR(__xludf.DUMMYFUNCTION("INDIRECT(""'收支紀錄'!D""&amp;TO_TEXT(ROW()-$C$72))"),"昨天 (-1 day)")</f>
        <v>昨天 (-1 day)</v>
      </c>
      <c r="E290" s="61" t="str">
        <f>IFERROR(__xludf.DUMMYFUNCTION("INDIRECT(""'收支紀錄'!E""&amp;TO_TEXT(ROW()-$C$72))"),"")</f>
        <v/>
      </c>
      <c r="F290" s="61" t="str">
        <f>IFERROR(__xludf.DUMMYFUNCTION("INDIRECT(""'收支紀錄'!F""&amp;TO_TEXT(ROW()-$C$72))"),"")</f>
        <v/>
      </c>
      <c r="G290" s="61" t="str">
        <f>IFERROR(__xludf.DUMMYFUNCTION("INDIRECT(""'收支紀錄'!G""&amp;TO_TEXT(ROW()-$C$72))"),"")</f>
        <v/>
      </c>
      <c r="H290" s="61" t="str">
        <f>IFERROR(__xludf.DUMMYFUNCTION("INDIRECT(""'收支紀錄'!H""&amp;TO_TEXT(ROW()-$C$72))"),"行車交通")</f>
        <v>行車交通</v>
      </c>
      <c r="I290" s="61" t="str">
        <f>IFERROR(__xludf.DUMMYFUNCTION("INDIRECT(""'收支紀錄'!I""&amp;TO_TEXT(ROW()-$C$72))"),"")</f>
        <v/>
      </c>
      <c r="J290" s="61" t="str">
        <f>IFERROR(__xludf.DUMMYFUNCTION("INDIRECT(""'收支紀錄'!J""&amp;TO_TEXT(ROW()-$C$72))"),"")</f>
        <v/>
      </c>
      <c r="K290" s="61" t="str">
        <f>IFERROR(__xludf.DUMMYFUNCTION("INDIRECT(""'收支紀錄'!K""&amp;TO_TEXT(ROW()-$C$72))"),"")</f>
        <v/>
      </c>
      <c r="L290" s="61" t="str">
        <f>IFERROR(__xludf.DUMMYFUNCTION("INDIRECT(""'收支紀錄'!L""&amp;TO_TEXT(ROW()-$C$72))"),"Ubike")</f>
        <v>Ubike</v>
      </c>
      <c r="M290" s="61" t="str">
        <f>IFERROR(__xludf.DUMMYFUNCTION("INDIRECT(""'收支紀錄'!M""&amp;TO_TEXT(ROW()-$C$72))"),"")</f>
        <v/>
      </c>
      <c r="N290" s="61" t="str">
        <f>IFERROR(__xludf.DUMMYFUNCTION("INDIRECT(""'收支紀錄'!N""&amp;TO_TEXT(ROW()-$C$72))"),"")</f>
        <v/>
      </c>
      <c r="O290" s="61" t="str">
        <f>IFERROR(__xludf.DUMMYFUNCTION("INDIRECT(""'收支紀錄'!O""&amp;TO_TEXT(ROW()-$C$72))"),"")</f>
        <v/>
      </c>
      <c r="P290" s="61" t="str">
        <f>IFERROR(__xludf.DUMMYFUNCTION("INDIRECT(""'收支紀錄'!P""&amp;TO_TEXT(ROW()-$C$72))"),"")</f>
        <v/>
      </c>
      <c r="Q290" s="61" t="str">
        <f>IFERROR(__xludf.DUMMYFUNCTION("INDIRECT(""'收支紀錄'!Q""&amp;TO_TEXT(ROW()-$C$72))"),"")</f>
        <v/>
      </c>
      <c r="R290" s="61" t="str">
        <f>IFERROR(__xludf.DUMMYFUNCTION("INDIRECT(""'收支紀錄'!R""&amp;TO_TEXT(ROW()-$C$72))"),"")</f>
        <v/>
      </c>
      <c r="S290" s="61" t="str">
        <f>IFERROR(__xludf.DUMMYFUNCTION("INDIRECT(""'收支紀錄'!S""&amp;TO_TEXT(ROW()-$C$72))"),"")</f>
        <v/>
      </c>
      <c r="T290" s="61" t="str">
        <f>IFERROR(__xludf.DUMMYFUNCTION("INDIRECT(""'收支紀錄'!T""&amp;TO_TEXT(ROW()-$C$72))"),"")</f>
        <v/>
      </c>
      <c r="U290" s="62" t="str">
        <f>IFERROR(__xludf.DUMMYFUNCTION("IF(T290=""是"",TEXTJOIN("""", TRUE, ""$"", TO_TEXT(C290), S290),"""")"),"")</f>
        <v/>
      </c>
    </row>
    <row r="291">
      <c r="A291" s="58">
        <f>IFERROR(__xludf.DUMMYFUNCTION("INDIRECT(""'收支紀錄'!A""&amp;TO_TEXT(ROW()-$C$72))"),45572.30232)</f>
        <v>45572.30232</v>
      </c>
      <c r="B291" s="59">
        <f>IFERROR(__xludf.DUMMYFUNCTION("IF(ISBLANK(D291), """", IF(ISDATE(D291), D291, IF(D291=""今天"", A291, IF(D291=""昨天 (-1 day)"", A291-1, IF(D291=""前天 (-2 days)"", A291-2, IF(D291=""明天 (+1 day)"", A291+1, DATE(LEFT(D291,4), MID(D291,5,2), RIGHT(D291,2))))))))"),45571.30232)</f>
        <v>45571.30232</v>
      </c>
      <c r="C291" s="60">
        <f>IFERROR(__xludf.DUMMYFUNCTION("INDIRECT(""'收支紀錄'!C""&amp;TO_TEXT(ROW()-$C$72))"),135.0)</f>
        <v>135</v>
      </c>
      <c r="D291" s="63" t="str">
        <f>IFERROR(__xludf.DUMMYFUNCTION("INDIRECT(""'收支紀錄'!D""&amp;TO_TEXT(ROW()-$C$72))"),"昨天 (-1 day)")</f>
        <v>昨天 (-1 day)</v>
      </c>
      <c r="E291" s="61" t="str">
        <f>IFERROR(__xludf.DUMMYFUNCTION("INDIRECT(""'收支紀錄'!E""&amp;TO_TEXT(ROW()-$C$72))"),"")</f>
        <v/>
      </c>
      <c r="F291" s="61" t="str">
        <f>IFERROR(__xludf.DUMMYFUNCTION("INDIRECT(""'收支紀錄'!F""&amp;TO_TEXT(ROW()-$C$72))"),"")</f>
        <v/>
      </c>
      <c r="G291" s="61" t="str">
        <f>IFERROR(__xludf.DUMMYFUNCTION("INDIRECT(""'收支紀錄'!G""&amp;TO_TEXT(ROW()-$C$72))"),"")</f>
        <v/>
      </c>
      <c r="H291" s="61" t="str">
        <f>IFERROR(__xludf.DUMMYFUNCTION("INDIRECT(""'收支紀錄'!H""&amp;TO_TEXT(ROW()-$C$72))"),"食品酒水")</f>
        <v>食品酒水</v>
      </c>
      <c r="I291" s="61" t="str">
        <f>IFERROR(__xludf.DUMMYFUNCTION("INDIRECT(""'收支紀錄'!I""&amp;TO_TEXT(ROW()-$C$72))"),"食材")</f>
        <v>食材</v>
      </c>
      <c r="J291" s="61" t="str">
        <f>IFERROR(__xludf.DUMMYFUNCTION("INDIRECT(""'收支紀錄'!J""&amp;TO_TEXT(ROW()-$C$72))"),"")</f>
        <v/>
      </c>
      <c r="K291" s="61" t="str">
        <f>IFERROR(__xludf.DUMMYFUNCTION("INDIRECT(""'收支紀錄'!K""&amp;TO_TEXT(ROW()-$C$72))"),"")</f>
        <v/>
      </c>
      <c r="L291" s="61" t="str">
        <f>IFERROR(__xludf.DUMMYFUNCTION("INDIRECT(""'收支紀錄'!L""&amp;TO_TEXT(ROW()-$C$72))"),"")</f>
        <v/>
      </c>
      <c r="M291" s="61" t="str">
        <f>IFERROR(__xludf.DUMMYFUNCTION("INDIRECT(""'收支紀錄'!M""&amp;TO_TEXT(ROW()-$C$72))"),"")</f>
        <v/>
      </c>
      <c r="N291" s="61" t="str">
        <f>IFERROR(__xludf.DUMMYFUNCTION("INDIRECT(""'收支紀錄'!N""&amp;TO_TEXT(ROW()-$C$72))"),"")</f>
        <v/>
      </c>
      <c r="O291" s="61" t="str">
        <f>IFERROR(__xludf.DUMMYFUNCTION("INDIRECT(""'收支紀錄'!O""&amp;TO_TEXT(ROW()-$C$72))"),"")</f>
        <v/>
      </c>
      <c r="P291" s="61" t="str">
        <f>IFERROR(__xludf.DUMMYFUNCTION("INDIRECT(""'收支紀錄'!P""&amp;TO_TEXT(ROW()-$C$72))"),"")</f>
        <v/>
      </c>
      <c r="Q291" s="61" t="str">
        <f>IFERROR(__xludf.DUMMYFUNCTION("INDIRECT(""'收支紀錄'!Q""&amp;TO_TEXT(ROW()-$C$72))"),"")</f>
        <v/>
      </c>
      <c r="R291" s="61" t="str">
        <f>IFERROR(__xludf.DUMMYFUNCTION("INDIRECT(""'收支紀錄'!R""&amp;TO_TEXT(ROW()-$C$72))"),"")</f>
        <v/>
      </c>
      <c r="S291" s="61" t="str">
        <f>IFERROR(__xludf.DUMMYFUNCTION("INDIRECT(""'收支紀錄'!S""&amp;TO_TEXT(ROW()-$C$72))"),"")</f>
        <v/>
      </c>
      <c r="T291" s="61" t="str">
        <f>IFERROR(__xludf.DUMMYFUNCTION("INDIRECT(""'收支紀錄'!T""&amp;TO_TEXT(ROW()-$C$72))"),"")</f>
        <v/>
      </c>
      <c r="U291" s="62" t="str">
        <f>IFERROR(__xludf.DUMMYFUNCTION("IF(T291=""是"",TEXTJOIN("""", TRUE, ""$"", TO_TEXT(C291), S291),"""")"),"")</f>
        <v/>
      </c>
    </row>
    <row r="292">
      <c r="A292" s="58">
        <f>IFERROR(__xludf.DUMMYFUNCTION("INDIRECT(""'收支紀錄'!A""&amp;TO_TEXT(ROW()-$C$72))"),45572.302497638884)</f>
        <v>45572.3025</v>
      </c>
      <c r="B292" s="59">
        <f>IFERROR(__xludf.DUMMYFUNCTION("IF(ISBLANK(D292), """", IF(ISDATE(D292), D292, IF(D292=""今天"", A292, IF(D292=""昨天 (-1 day)"", A292-1, IF(D292=""前天 (-2 days)"", A292-2, IF(D292=""明天 (+1 day)"", A292+1, DATE(LEFT(D292,4), MID(D292,5,2), RIGHT(D292,2))))))))"),45571.302497638884)</f>
        <v>45571.3025</v>
      </c>
      <c r="C292" s="60">
        <f>IFERROR(__xludf.DUMMYFUNCTION("INDIRECT(""'收支紀錄'!C""&amp;TO_TEXT(ROW()-$C$72))"),100.0)</f>
        <v>100</v>
      </c>
      <c r="D292" s="63" t="str">
        <f>IFERROR(__xludf.DUMMYFUNCTION("INDIRECT(""'收支紀錄'!D""&amp;TO_TEXT(ROW()-$C$72))"),"昨天 (-1 day)")</f>
        <v>昨天 (-1 day)</v>
      </c>
      <c r="E292" s="61" t="str">
        <f>IFERROR(__xludf.DUMMYFUNCTION("INDIRECT(""'收支紀錄'!E""&amp;TO_TEXT(ROW()-$C$72))"),"")</f>
        <v/>
      </c>
      <c r="F292" s="61" t="str">
        <f>IFERROR(__xludf.DUMMYFUNCTION("INDIRECT(""'收支紀錄'!F""&amp;TO_TEXT(ROW()-$C$72))"),"")</f>
        <v/>
      </c>
      <c r="G292" s="61" t="str">
        <f>IFERROR(__xludf.DUMMYFUNCTION("INDIRECT(""'收支紀錄'!G""&amp;TO_TEXT(ROW()-$C$72))"),"")</f>
        <v/>
      </c>
      <c r="H292" s="61" t="str">
        <f>IFERROR(__xludf.DUMMYFUNCTION("INDIRECT(""'收支紀錄'!H""&amp;TO_TEXT(ROW()-$C$72))"),"行車交通")</f>
        <v>行車交通</v>
      </c>
      <c r="I292" s="61" t="str">
        <f>IFERROR(__xludf.DUMMYFUNCTION("INDIRECT(""'收支紀錄'!I""&amp;TO_TEXT(ROW()-$C$72))"),"")</f>
        <v/>
      </c>
      <c r="J292" s="61" t="str">
        <f>IFERROR(__xludf.DUMMYFUNCTION("INDIRECT(""'收支紀錄'!J""&amp;TO_TEXT(ROW()-$C$72))"),"")</f>
        <v/>
      </c>
      <c r="K292" s="61" t="str">
        <f>IFERROR(__xludf.DUMMYFUNCTION("INDIRECT(""'收支紀錄'!K""&amp;TO_TEXT(ROW()-$C$72))"),"")</f>
        <v/>
      </c>
      <c r="L292" s="61" t="str">
        <f>IFERROR(__xludf.DUMMYFUNCTION("INDIRECT(""'收支紀錄'!L""&amp;TO_TEXT(ROW()-$C$72))"),"停車")</f>
        <v>停車</v>
      </c>
      <c r="M292" s="61" t="str">
        <f>IFERROR(__xludf.DUMMYFUNCTION("INDIRECT(""'收支紀錄'!M""&amp;TO_TEXT(ROW()-$C$72))"),"")</f>
        <v/>
      </c>
      <c r="N292" s="61" t="str">
        <f>IFERROR(__xludf.DUMMYFUNCTION("INDIRECT(""'收支紀錄'!N""&amp;TO_TEXT(ROW()-$C$72))"),"")</f>
        <v/>
      </c>
      <c r="O292" s="61" t="str">
        <f>IFERROR(__xludf.DUMMYFUNCTION("INDIRECT(""'收支紀錄'!O""&amp;TO_TEXT(ROW()-$C$72))"),"")</f>
        <v/>
      </c>
      <c r="P292" s="61" t="str">
        <f>IFERROR(__xludf.DUMMYFUNCTION("INDIRECT(""'收支紀錄'!P""&amp;TO_TEXT(ROW()-$C$72))"),"")</f>
        <v/>
      </c>
      <c r="Q292" s="61" t="str">
        <f>IFERROR(__xludf.DUMMYFUNCTION("INDIRECT(""'收支紀錄'!Q""&amp;TO_TEXT(ROW()-$C$72))"),"")</f>
        <v/>
      </c>
      <c r="R292" s="61" t="str">
        <f>IFERROR(__xludf.DUMMYFUNCTION("INDIRECT(""'收支紀錄'!R""&amp;TO_TEXT(ROW()-$C$72))"),"")</f>
        <v/>
      </c>
      <c r="S292" s="61" t="str">
        <f>IFERROR(__xludf.DUMMYFUNCTION("INDIRECT(""'收支紀錄'!S""&amp;TO_TEXT(ROW()-$C$72))"),"")</f>
        <v/>
      </c>
      <c r="T292" s="61" t="str">
        <f>IFERROR(__xludf.DUMMYFUNCTION("INDIRECT(""'收支紀錄'!T""&amp;TO_TEXT(ROW()-$C$72))"),"")</f>
        <v/>
      </c>
      <c r="U292" s="62" t="str">
        <f>IFERROR(__xludf.DUMMYFUNCTION("IF(T292=""是"",TEXTJOIN("""", TRUE, ""$"", TO_TEXT(C292), S292),"""")"),"")</f>
        <v/>
      </c>
    </row>
    <row r="293">
      <c r="A293" s="58">
        <f>IFERROR(__xludf.DUMMYFUNCTION("INDIRECT(""'收支紀錄'!A""&amp;TO_TEXT(ROW()-$C$72))"),45572.30275688657)</f>
        <v>45572.30276</v>
      </c>
      <c r="B293" s="59">
        <f>IFERROR(__xludf.DUMMYFUNCTION("IF(ISBLANK(D293), """", IF(ISDATE(D293), D293, IF(D293=""今天"", A293, IF(D293=""昨天 (-1 day)"", A293-1, IF(D293=""前天 (-2 days)"", A293-2, IF(D293=""明天 (+1 day)"", A293+1, DATE(LEFT(D293,4), MID(D293,5,2), RIGHT(D293,2))))))))"),45571.30275688657)</f>
        <v>45571.30276</v>
      </c>
      <c r="C293" s="60">
        <f>IFERROR(__xludf.DUMMYFUNCTION("INDIRECT(""'收支紀錄'!C""&amp;TO_TEXT(ROW()-$C$72))"),1250.0)</f>
        <v>1250</v>
      </c>
      <c r="D293" s="63" t="str">
        <f>IFERROR(__xludf.DUMMYFUNCTION("INDIRECT(""'收支紀錄'!D""&amp;TO_TEXT(ROW()-$C$72))"),"昨天 (-1 day)")</f>
        <v>昨天 (-1 day)</v>
      </c>
      <c r="E293" s="61" t="str">
        <f>IFERROR(__xludf.DUMMYFUNCTION("INDIRECT(""'收支紀錄'!E""&amp;TO_TEXT(ROW()-$C$72))"),"")</f>
        <v/>
      </c>
      <c r="F293" s="61" t="str">
        <f>IFERROR(__xludf.DUMMYFUNCTION("INDIRECT(""'收支紀錄'!F""&amp;TO_TEXT(ROW()-$C$72))"),"")</f>
        <v/>
      </c>
      <c r="G293" s="61" t="str">
        <f>IFERROR(__xludf.DUMMYFUNCTION("INDIRECT(""'收支紀錄'!G""&amp;TO_TEXT(ROW()-$C$72))"),"")</f>
        <v/>
      </c>
      <c r="H293" s="61" t="str">
        <f>IFERROR(__xludf.DUMMYFUNCTION("INDIRECT(""'收支紀錄'!H""&amp;TO_TEXT(ROW()-$C$72))"),"食品酒水")</f>
        <v>食品酒水</v>
      </c>
      <c r="I293" s="61" t="str">
        <f>IFERROR(__xludf.DUMMYFUNCTION("INDIRECT(""'收支紀錄'!I""&amp;TO_TEXT(ROW()-$C$72))"),"午餐")</f>
        <v>午餐</v>
      </c>
      <c r="J293" s="61" t="str">
        <f>IFERROR(__xludf.DUMMYFUNCTION("INDIRECT(""'收支紀錄'!J""&amp;TO_TEXT(ROW()-$C$72))"),"")</f>
        <v/>
      </c>
      <c r="K293" s="61" t="str">
        <f>IFERROR(__xludf.DUMMYFUNCTION("INDIRECT(""'收支紀錄'!K""&amp;TO_TEXT(ROW()-$C$72))"),"")</f>
        <v/>
      </c>
      <c r="L293" s="61" t="str">
        <f>IFERROR(__xludf.DUMMYFUNCTION("INDIRECT(""'收支紀錄'!L""&amp;TO_TEXT(ROW()-$C$72))"),"")</f>
        <v/>
      </c>
      <c r="M293" s="61" t="str">
        <f>IFERROR(__xludf.DUMMYFUNCTION("INDIRECT(""'收支紀錄'!M""&amp;TO_TEXT(ROW()-$C$72))"),"")</f>
        <v/>
      </c>
      <c r="N293" s="61" t="str">
        <f>IFERROR(__xludf.DUMMYFUNCTION("INDIRECT(""'收支紀錄'!N""&amp;TO_TEXT(ROW()-$C$72))"),"")</f>
        <v/>
      </c>
      <c r="O293" s="61" t="str">
        <f>IFERROR(__xludf.DUMMYFUNCTION("INDIRECT(""'收支紀錄'!O""&amp;TO_TEXT(ROW()-$C$72))"),"")</f>
        <v/>
      </c>
      <c r="P293" s="61" t="str">
        <f>IFERROR(__xludf.DUMMYFUNCTION("INDIRECT(""'收支紀錄'!P""&amp;TO_TEXT(ROW()-$C$72))"),"")</f>
        <v/>
      </c>
      <c r="Q293" s="61" t="str">
        <f>IFERROR(__xludf.DUMMYFUNCTION("INDIRECT(""'收支紀錄'!Q""&amp;TO_TEXT(ROW()-$C$72))"),"")</f>
        <v/>
      </c>
      <c r="R293" s="61" t="str">
        <f>IFERROR(__xludf.DUMMYFUNCTION("INDIRECT(""'收支紀錄'!R""&amp;TO_TEXT(ROW()-$C$72))"),"")</f>
        <v/>
      </c>
      <c r="S293" s="61" t="str">
        <f>IFERROR(__xludf.DUMMYFUNCTION("INDIRECT(""'收支紀錄'!S""&amp;TO_TEXT(ROW()-$C$72))"),"")</f>
        <v/>
      </c>
      <c r="T293" s="61" t="str">
        <f>IFERROR(__xludf.DUMMYFUNCTION("INDIRECT(""'收支紀錄'!T""&amp;TO_TEXT(ROW()-$C$72))"),"")</f>
        <v/>
      </c>
      <c r="U293" s="62" t="str">
        <f>IFERROR(__xludf.DUMMYFUNCTION("IF(T293=""是"",TEXTJOIN("""", TRUE, ""$"", TO_TEXT(C293), S293),"""")"),"")</f>
        <v/>
      </c>
    </row>
    <row r="294">
      <c r="A294" s="58">
        <f>IFERROR(__xludf.DUMMYFUNCTION("INDIRECT(""'收支紀錄'!A""&amp;TO_TEXT(ROW()-$C$72))"),45572.3030469213)</f>
        <v>45572.30305</v>
      </c>
      <c r="B294" s="59">
        <f>IFERROR(__xludf.DUMMYFUNCTION("IF(ISBLANK(D294), """", IF(ISDATE(D294), D294, IF(D294=""今天"", A294, IF(D294=""昨天 (-1 day)"", A294-1, IF(D294=""前天 (-2 days)"", A294-2, IF(D294=""明天 (+1 day)"", A294+1, DATE(LEFT(D294,4), MID(D294,5,2), RIGHT(D294,2))))))))"),45571.3030469213)</f>
        <v>45571.30305</v>
      </c>
      <c r="C294" s="60">
        <f>IFERROR(__xludf.DUMMYFUNCTION("INDIRECT(""'收支紀錄'!C""&amp;TO_TEXT(ROW()-$C$72))"),25.0)</f>
        <v>25</v>
      </c>
      <c r="D294" s="63" t="str">
        <f>IFERROR(__xludf.DUMMYFUNCTION("INDIRECT(""'收支紀錄'!D""&amp;TO_TEXT(ROW()-$C$72))"),"昨天 (-1 day)")</f>
        <v>昨天 (-1 day)</v>
      </c>
      <c r="E294" s="61" t="str">
        <f>IFERROR(__xludf.DUMMYFUNCTION("INDIRECT(""'收支紀錄'!E""&amp;TO_TEXT(ROW()-$C$72))"),"")</f>
        <v/>
      </c>
      <c r="F294" s="61" t="str">
        <f>IFERROR(__xludf.DUMMYFUNCTION("INDIRECT(""'收支紀錄'!F""&amp;TO_TEXT(ROW()-$C$72))"),"")</f>
        <v/>
      </c>
      <c r="G294" s="61" t="str">
        <f>IFERROR(__xludf.DUMMYFUNCTION("INDIRECT(""'收支紀錄'!G""&amp;TO_TEXT(ROW()-$C$72))"),"")</f>
        <v/>
      </c>
      <c r="H294" s="61" t="str">
        <f>IFERROR(__xludf.DUMMYFUNCTION("INDIRECT(""'收支紀錄'!H""&amp;TO_TEXT(ROW()-$C$72))"),"行車交通")</f>
        <v>行車交通</v>
      </c>
      <c r="I294" s="61" t="str">
        <f>IFERROR(__xludf.DUMMYFUNCTION("INDIRECT(""'收支紀錄'!I""&amp;TO_TEXT(ROW()-$C$72))"),"")</f>
        <v/>
      </c>
      <c r="J294" s="61" t="str">
        <f>IFERROR(__xludf.DUMMYFUNCTION("INDIRECT(""'收支紀錄'!J""&amp;TO_TEXT(ROW()-$C$72))"),"")</f>
        <v/>
      </c>
      <c r="K294" s="61" t="str">
        <f>IFERROR(__xludf.DUMMYFUNCTION("INDIRECT(""'收支紀錄'!K""&amp;TO_TEXT(ROW()-$C$72))"),"")</f>
        <v/>
      </c>
      <c r="L294" s="61" t="str">
        <f>IFERROR(__xludf.DUMMYFUNCTION("INDIRECT(""'收支紀錄'!L""&amp;TO_TEXT(ROW()-$C$72))"),"停車")</f>
        <v>停車</v>
      </c>
      <c r="M294" s="61" t="str">
        <f>IFERROR(__xludf.DUMMYFUNCTION("INDIRECT(""'收支紀錄'!M""&amp;TO_TEXT(ROW()-$C$72))"),"")</f>
        <v/>
      </c>
      <c r="N294" s="61" t="str">
        <f>IFERROR(__xludf.DUMMYFUNCTION("INDIRECT(""'收支紀錄'!N""&amp;TO_TEXT(ROW()-$C$72))"),"")</f>
        <v/>
      </c>
      <c r="O294" s="61" t="str">
        <f>IFERROR(__xludf.DUMMYFUNCTION("INDIRECT(""'收支紀錄'!O""&amp;TO_TEXT(ROW()-$C$72))"),"")</f>
        <v/>
      </c>
      <c r="P294" s="61" t="str">
        <f>IFERROR(__xludf.DUMMYFUNCTION("INDIRECT(""'收支紀錄'!P""&amp;TO_TEXT(ROW()-$C$72))"),"")</f>
        <v/>
      </c>
      <c r="Q294" s="61" t="str">
        <f>IFERROR(__xludf.DUMMYFUNCTION("INDIRECT(""'收支紀錄'!Q""&amp;TO_TEXT(ROW()-$C$72))"),"")</f>
        <v/>
      </c>
      <c r="R294" s="61" t="str">
        <f>IFERROR(__xludf.DUMMYFUNCTION("INDIRECT(""'收支紀錄'!R""&amp;TO_TEXT(ROW()-$C$72))"),"")</f>
        <v/>
      </c>
      <c r="S294" s="61" t="str">
        <f>IFERROR(__xludf.DUMMYFUNCTION("INDIRECT(""'收支紀錄'!S""&amp;TO_TEXT(ROW()-$C$72))"),"")</f>
        <v/>
      </c>
      <c r="T294" s="61" t="str">
        <f>IFERROR(__xludf.DUMMYFUNCTION("INDIRECT(""'收支紀錄'!T""&amp;TO_TEXT(ROW()-$C$72))"),"")</f>
        <v/>
      </c>
      <c r="U294" s="62" t="str">
        <f>IFERROR(__xludf.DUMMYFUNCTION("IF(T294=""是"",TEXTJOIN("""", TRUE, ""$"", TO_TEXT(C294), S294),"""")"),"")</f>
        <v/>
      </c>
    </row>
    <row r="295">
      <c r="A295" s="58">
        <f>IFERROR(__xludf.DUMMYFUNCTION("INDIRECT(""'收支紀錄'!A""&amp;TO_TEXT(ROW()-$C$72))"),45573.872737094905)</f>
        <v>45573.87274</v>
      </c>
      <c r="B295" s="59">
        <f>IFERROR(__xludf.DUMMYFUNCTION("IF(ISBLANK(D295), """", IF(ISDATE(D295), D295, IF(D295=""今天"", A295, IF(D295=""昨天 (-1 day)"", A295-1, IF(D295=""前天 (-2 days)"", A295-2, IF(D295=""明天 (+1 day)"", A295+1, DATE(LEFT(D295,4), MID(D295,5,2), RIGHT(D295,2))))))))"),45573.872737094905)</f>
        <v>45573.87274</v>
      </c>
      <c r="C295" s="60">
        <f>IFERROR(__xludf.DUMMYFUNCTION("INDIRECT(""'收支紀錄'!C""&amp;TO_TEXT(ROW()-$C$72))"),32.0)</f>
        <v>32</v>
      </c>
      <c r="D295" s="63" t="str">
        <f>IFERROR(__xludf.DUMMYFUNCTION("INDIRECT(""'收支紀錄'!D""&amp;TO_TEXT(ROW()-$C$72))"),"今天")</f>
        <v>今天</v>
      </c>
      <c r="E295" s="61" t="str">
        <f>IFERROR(__xludf.DUMMYFUNCTION("INDIRECT(""'收支紀錄'!E""&amp;TO_TEXT(ROW()-$C$72))"),"")</f>
        <v/>
      </c>
      <c r="F295" s="61" t="str">
        <f>IFERROR(__xludf.DUMMYFUNCTION("INDIRECT(""'收支紀錄'!F""&amp;TO_TEXT(ROW()-$C$72))"),"")</f>
        <v/>
      </c>
      <c r="G295" s="61" t="str">
        <f>IFERROR(__xludf.DUMMYFUNCTION("INDIRECT(""'收支紀錄'!G""&amp;TO_TEXT(ROW()-$C$72))"),"")</f>
        <v/>
      </c>
      <c r="H295" s="61" t="str">
        <f>IFERROR(__xludf.DUMMYFUNCTION("INDIRECT(""'收支紀錄'!H""&amp;TO_TEXT(ROW()-$C$72))"),"食品酒水")</f>
        <v>食品酒水</v>
      </c>
      <c r="I295" s="61" t="str">
        <f>IFERROR(__xludf.DUMMYFUNCTION("INDIRECT(""'收支紀錄'!I""&amp;TO_TEXT(ROW()-$C$72))"),"宵夜")</f>
        <v>宵夜</v>
      </c>
      <c r="J295" s="61" t="str">
        <f>IFERROR(__xludf.DUMMYFUNCTION("INDIRECT(""'收支紀錄'!J""&amp;TO_TEXT(ROW()-$C$72))"),"")</f>
        <v/>
      </c>
      <c r="K295" s="61" t="str">
        <f>IFERROR(__xludf.DUMMYFUNCTION("INDIRECT(""'收支紀錄'!K""&amp;TO_TEXT(ROW()-$C$72))"),"")</f>
        <v/>
      </c>
      <c r="L295" s="61" t="str">
        <f>IFERROR(__xludf.DUMMYFUNCTION("INDIRECT(""'收支紀錄'!L""&amp;TO_TEXT(ROW()-$C$72))"),"")</f>
        <v/>
      </c>
      <c r="M295" s="61" t="str">
        <f>IFERROR(__xludf.DUMMYFUNCTION("INDIRECT(""'收支紀錄'!M""&amp;TO_TEXT(ROW()-$C$72))"),"")</f>
        <v/>
      </c>
      <c r="N295" s="61" t="str">
        <f>IFERROR(__xludf.DUMMYFUNCTION("INDIRECT(""'收支紀錄'!N""&amp;TO_TEXT(ROW()-$C$72))"),"")</f>
        <v/>
      </c>
      <c r="O295" s="61" t="str">
        <f>IFERROR(__xludf.DUMMYFUNCTION("INDIRECT(""'收支紀錄'!O""&amp;TO_TEXT(ROW()-$C$72))"),"")</f>
        <v/>
      </c>
      <c r="P295" s="61" t="str">
        <f>IFERROR(__xludf.DUMMYFUNCTION("INDIRECT(""'收支紀錄'!P""&amp;TO_TEXT(ROW()-$C$72))"),"")</f>
        <v/>
      </c>
      <c r="Q295" s="61" t="str">
        <f>IFERROR(__xludf.DUMMYFUNCTION("INDIRECT(""'收支紀錄'!Q""&amp;TO_TEXT(ROW()-$C$72))"),"")</f>
        <v/>
      </c>
      <c r="R295" s="61" t="str">
        <f>IFERROR(__xludf.DUMMYFUNCTION("INDIRECT(""'收支紀錄'!R""&amp;TO_TEXT(ROW()-$C$72))"),"")</f>
        <v/>
      </c>
      <c r="S295" s="61" t="str">
        <f>IFERROR(__xludf.DUMMYFUNCTION("INDIRECT(""'收支紀錄'!S""&amp;TO_TEXT(ROW()-$C$72))"),"")</f>
        <v/>
      </c>
      <c r="T295" s="61" t="str">
        <f>IFERROR(__xludf.DUMMYFUNCTION("INDIRECT(""'收支紀錄'!T""&amp;TO_TEXT(ROW()-$C$72))"),"")</f>
        <v/>
      </c>
      <c r="U295" s="62" t="str">
        <f>IFERROR(__xludf.DUMMYFUNCTION("IF(T295=""是"",TEXTJOIN("""", TRUE, ""$"", TO_TEXT(C295), S295),"""")"),"")</f>
        <v/>
      </c>
    </row>
    <row r="296">
      <c r="A296" s="58">
        <f>IFERROR(__xludf.DUMMYFUNCTION("INDIRECT(""'收支紀錄'!A""&amp;TO_TEXT(ROW()-$C$72))"),45573.874202245366)</f>
        <v>45573.8742</v>
      </c>
      <c r="B296" s="59">
        <f>IFERROR(__xludf.DUMMYFUNCTION("IF(ISBLANK(D296), """", IF(ISDATE(D296), D296, IF(D296=""今天"", A296, IF(D296=""昨天 (-1 day)"", A296-1, IF(D296=""前天 (-2 days)"", A296-2, IF(D296=""明天 (+1 day)"", A296+1, DATE(LEFT(D296,4), MID(D296,5,2), RIGHT(D296,2))))))))"),45565.0)</f>
        <v>45565</v>
      </c>
      <c r="C296" s="60">
        <f>IFERROR(__xludf.DUMMYFUNCTION("INDIRECT(""'收支紀錄'!C""&amp;TO_TEXT(ROW()-$C$72))"),102900.0)</f>
        <v>102900</v>
      </c>
      <c r="D296" s="63">
        <f>IFERROR(__xludf.DUMMYFUNCTION("INDIRECT(""'收支紀錄'!D""&amp;TO_TEXT(ROW()-$C$72))"),2.024093E7)</f>
        <v>20240930</v>
      </c>
      <c r="E296" s="61" t="str">
        <f>IFERROR(__xludf.DUMMYFUNCTION("INDIRECT(""'收支紀錄'!E""&amp;TO_TEXT(ROW()-$C$72))"),"工作")</f>
        <v>工作</v>
      </c>
      <c r="F296" s="61" t="str">
        <f>IFERROR(__xludf.DUMMYFUNCTION("INDIRECT(""'收支紀錄'!F""&amp;TO_TEXT(ROW()-$C$72))"),"底薪")</f>
        <v>底薪</v>
      </c>
      <c r="G296" s="61" t="str">
        <f>IFERROR(__xludf.DUMMYFUNCTION("INDIRECT(""'收支紀錄'!G""&amp;TO_TEXT(ROW()-$C$72))"),"")</f>
        <v/>
      </c>
      <c r="H296" s="61" t="str">
        <f>IFERROR(__xludf.DUMMYFUNCTION("INDIRECT(""'收支紀錄'!H""&amp;TO_TEXT(ROW()-$C$72))"),"")</f>
        <v/>
      </c>
      <c r="I296" s="61" t="str">
        <f>IFERROR(__xludf.DUMMYFUNCTION("INDIRECT(""'收支紀錄'!I""&amp;TO_TEXT(ROW()-$C$72))"),"")</f>
        <v/>
      </c>
      <c r="J296" s="61" t="str">
        <f>IFERROR(__xludf.DUMMYFUNCTION("INDIRECT(""'收支紀錄'!J""&amp;TO_TEXT(ROW()-$C$72))"),"")</f>
        <v/>
      </c>
      <c r="K296" s="61" t="str">
        <f>IFERROR(__xludf.DUMMYFUNCTION("INDIRECT(""'收支紀錄'!K""&amp;TO_TEXT(ROW()-$C$72))"),"")</f>
        <v/>
      </c>
      <c r="L296" s="61" t="str">
        <f>IFERROR(__xludf.DUMMYFUNCTION("INDIRECT(""'收支紀錄'!L""&amp;TO_TEXT(ROW()-$C$72))"),"")</f>
        <v/>
      </c>
      <c r="M296" s="61" t="str">
        <f>IFERROR(__xludf.DUMMYFUNCTION("INDIRECT(""'收支紀錄'!M""&amp;TO_TEXT(ROW()-$C$72))"),"")</f>
        <v/>
      </c>
      <c r="N296" s="61" t="str">
        <f>IFERROR(__xludf.DUMMYFUNCTION("INDIRECT(""'收支紀錄'!N""&amp;TO_TEXT(ROW()-$C$72))"),"")</f>
        <v/>
      </c>
      <c r="O296" s="61" t="str">
        <f>IFERROR(__xludf.DUMMYFUNCTION("INDIRECT(""'收支紀錄'!O""&amp;TO_TEXT(ROW()-$C$72))"),"")</f>
        <v/>
      </c>
      <c r="P296" s="61" t="str">
        <f>IFERROR(__xludf.DUMMYFUNCTION("INDIRECT(""'收支紀錄'!P""&amp;TO_TEXT(ROW()-$C$72))"),"")</f>
        <v/>
      </c>
      <c r="Q296" s="61" t="str">
        <f>IFERROR(__xludf.DUMMYFUNCTION("INDIRECT(""'收支紀錄'!Q""&amp;TO_TEXT(ROW()-$C$72))"),"")</f>
        <v/>
      </c>
      <c r="R296" s="61" t="str">
        <f>IFERROR(__xludf.DUMMYFUNCTION("INDIRECT(""'收支紀錄'!R""&amp;TO_TEXT(ROW()-$C$72))"),"")</f>
        <v/>
      </c>
      <c r="S296" s="61" t="str">
        <f>IFERROR(__xludf.DUMMYFUNCTION("INDIRECT(""'收支紀錄'!S""&amp;TO_TEXT(ROW()-$C$72))"),"")</f>
        <v/>
      </c>
      <c r="T296" s="61" t="str">
        <f>IFERROR(__xludf.DUMMYFUNCTION("INDIRECT(""'收支紀錄'!T""&amp;TO_TEXT(ROW()-$C$72))"),"")</f>
        <v/>
      </c>
      <c r="U296" s="62" t="str">
        <f>IFERROR(__xludf.DUMMYFUNCTION("IF(T296=""是"",TEXTJOIN("""", TRUE, ""$"", TO_TEXT(C296), S296),"""")"),"")</f>
        <v/>
      </c>
    </row>
    <row r="297">
      <c r="A297" s="58">
        <f>IFERROR(__xludf.DUMMYFUNCTION("INDIRECT(""'收支紀錄'!A""&amp;TO_TEXT(ROW()-$C$72))"),45573.87529519676)</f>
        <v>45573.8753</v>
      </c>
      <c r="B297" s="59">
        <f>IFERROR(__xludf.DUMMYFUNCTION("IF(ISBLANK(D297), """", IF(ISDATE(D297), D297, IF(D297=""今天"", A297, IF(D297=""昨天 (-1 day)"", A297-1, IF(D297=""前天 (-2 days)"", A297-2, IF(D297=""明天 (+1 day)"", A297+1, DATE(LEFT(D297,4), MID(D297,5,2), RIGHT(D297,2))))))))"),45565.0)</f>
        <v>45565</v>
      </c>
      <c r="C297" s="60">
        <f>IFERROR(__xludf.DUMMYFUNCTION("INDIRECT(""'收支紀錄'!C""&amp;TO_TEXT(ROW()-$C$72))"),3087.0)</f>
        <v>3087</v>
      </c>
      <c r="D297" s="63">
        <f>IFERROR(__xludf.DUMMYFUNCTION("INDIRECT(""'收支紀錄'!D""&amp;TO_TEXT(ROW()-$C$72))"),2.024093E7)</f>
        <v>20240930</v>
      </c>
      <c r="E297" s="61" t="str">
        <f>IFERROR(__xludf.DUMMYFUNCTION("INDIRECT(""'收支紀錄'!E""&amp;TO_TEXT(ROW()-$C$72))"),"")</f>
        <v/>
      </c>
      <c r="F297" s="61" t="str">
        <f>IFERROR(__xludf.DUMMYFUNCTION("INDIRECT(""'收支紀錄'!F""&amp;TO_TEXT(ROW()-$C$72))"),"")</f>
        <v/>
      </c>
      <c r="G297" s="61" t="str">
        <f>IFERROR(__xludf.DUMMYFUNCTION("INDIRECT(""'收支紀錄'!G""&amp;TO_TEXT(ROW()-$C$72))"),"")</f>
        <v/>
      </c>
      <c r="H297" s="61" t="str">
        <f>IFERROR(__xludf.DUMMYFUNCTION("INDIRECT(""'收支紀錄'!H""&amp;TO_TEXT(ROW()-$C$72))"),"投資及其他")</f>
        <v>投資及其他</v>
      </c>
      <c r="I297" s="61" t="str">
        <f>IFERROR(__xludf.DUMMYFUNCTION("INDIRECT(""'收支紀錄'!I""&amp;TO_TEXT(ROW()-$C$72))"),"")</f>
        <v/>
      </c>
      <c r="J297" s="61" t="str">
        <f>IFERROR(__xludf.DUMMYFUNCTION("INDIRECT(""'收支紀錄'!J""&amp;TO_TEXT(ROW()-$C$72))"),"")</f>
        <v/>
      </c>
      <c r="K297" s="61" t="str">
        <f>IFERROR(__xludf.DUMMYFUNCTION("INDIRECT(""'收支紀錄'!K""&amp;TO_TEXT(ROW()-$C$72))"),"")</f>
        <v/>
      </c>
      <c r="L297" s="61" t="str">
        <f>IFERROR(__xludf.DUMMYFUNCTION("INDIRECT(""'收支紀錄'!L""&amp;TO_TEXT(ROW()-$C$72))"),"")</f>
        <v/>
      </c>
      <c r="M297" s="61" t="str">
        <f>IFERROR(__xludf.DUMMYFUNCTION("INDIRECT(""'收支紀錄'!M""&amp;TO_TEXT(ROW()-$C$72))"),"")</f>
        <v/>
      </c>
      <c r="N297" s="61" t="str">
        <f>IFERROR(__xludf.DUMMYFUNCTION("INDIRECT(""'收支紀錄'!N""&amp;TO_TEXT(ROW()-$C$72))"),"")</f>
        <v/>
      </c>
      <c r="O297" s="61" t="str">
        <f>IFERROR(__xludf.DUMMYFUNCTION("INDIRECT(""'收支紀錄'!O""&amp;TO_TEXT(ROW()-$C$72))"),"")</f>
        <v/>
      </c>
      <c r="P297" s="61" t="str">
        <f>IFERROR(__xludf.DUMMYFUNCTION("INDIRECT(""'收支紀錄'!P""&amp;TO_TEXT(ROW()-$C$72))"),"")</f>
        <v/>
      </c>
      <c r="Q297" s="61" t="str">
        <f>IFERROR(__xludf.DUMMYFUNCTION("INDIRECT(""'收支紀錄'!Q""&amp;TO_TEXT(ROW()-$C$72))"),"")</f>
        <v/>
      </c>
      <c r="R297" s="61" t="str">
        <f>IFERROR(__xludf.DUMMYFUNCTION("INDIRECT(""'收支紀錄'!R""&amp;TO_TEXT(ROW()-$C$72))"),"公司認股")</f>
        <v>公司認股</v>
      </c>
      <c r="S297" s="61" t="str">
        <f>IFERROR(__xludf.DUMMYFUNCTION("INDIRECT(""'收支紀錄'!S""&amp;TO_TEXT(ROW()-$C$72))"),"")</f>
        <v/>
      </c>
      <c r="T297" s="61" t="str">
        <f>IFERROR(__xludf.DUMMYFUNCTION("INDIRECT(""'收支紀錄'!T""&amp;TO_TEXT(ROW()-$C$72))"),"")</f>
        <v/>
      </c>
      <c r="U297" s="62" t="str">
        <f>IFERROR(__xludf.DUMMYFUNCTION("IF(T297=""是"",TEXTJOIN("""", TRUE, ""$"", TO_TEXT(C297), S297),"""")"),"")</f>
        <v/>
      </c>
    </row>
    <row r="298">
      <c r="A298" s="58">
        <f>IFERROR(__xludf.DUMMYFUNCTION("INDIRECT(""'收支紀錄'!A""&amp;TO_TEXT(ROW()-$C$72))"),45573.87576646991)</f>
        <v>45573.87577</v>
      </c>
      <c r="B298" s="59">
        <f>IFERROR(__xludf.DUMMYFUNCTION("IF(ISBLANK(D298), """", IF(ISDATE(D298), D298, IF(D298=""今天"", A298, IF(D298=""昨天 (-1 day)"", A298-1, IF(D298=""前天 (-2 days)"", A298-2, IF(D298=""明天 (+1 day)"", A298+1, DATE(LEFT(D298,4), MID(D298,5,2), RIGHT(D298,2))))))))"),45573.87576646991)</f>
        <v>45573.87577</v>
      </c>
      <c r="C298" s="60">
        <f>IFERROR(__xludf.DUMMYFUNCTION("INDIRECT(""'收支紀錄'!C""&amp;TO_TEXT(ROW()-$C$72))"),1899.0)</f>
        <v>1899</v>
      </c>
      <c r="D298" s="63" t="str">
        <f>IFERROR(__xludf.DUMMYFUNCTION("INDIRECT(""'收支紀錄'!D""&amp;TO_TEXT(ROW()-$C$72))"),"今天")</f>
        <v>今天</v>
      </c>
      <c r="E298" s="61" t="str">
        <f>IFERROR(__xludf.DUMMYFUNCTION("INDIRECT(""'收支紀錄'!E""&amp;TO_TEXT(ROW()-$C$72))"),"")</f>
        <v/>
      </c>
      <c r="F298" s="61" t="str">
        <f>IFERROR(__xludf.DUMMYFUNCTION("INDIRECT(""'收支紀錄'!F""&amp;TO_TEXT(ROW()-$C$72))"),"")</f>
        <v/>
      </c>
      <c r="G298" s="61" t="str">
        <f>IFERROR(__xludf.DUMMYFUNCTION("INDIRECT(""'收支紀錄'!G""&amp;TO_TEXT(ROW()-$C$72))"),"")</f>
        <v/>
      </c>
      <c r="H298" s="61" t="str">
        <f>IFERROR(__xludf.DUMMYFUNCTION("INDIRECT(""'收支紀錄'!H""&amp;TO_TEXT(ROW()-$C$72))"),"食品酒水")</f>
        <v>食品酒水</v>
      </c>
      <c r="I298" s="61" t="str">
        <f>IFERROR(__xludf.DUMMYFUNCTION("INDIRECT(""'收支紀錄'!I""&amp;TO_TEXT(ROW()-$C$72))"),"前月公司餐費扣款")</f>
        <v>前月公司餐費扣款</v>
      </c>
      <c r="J298" s="61" t="str">
        <f>IFERROR(__xludf.DUMMYFUNCTION("INDIRECT(""'收支紀錄'!J""&amp;TO_TEXT(ROW()-$C$72))"),"")</f>
        <v/>
      </c>
      <c r="K298" s="61" t="str">
        <f>IFERROR(__xludf.DUMMYFUNCTION("INDIRECT(""'收支紀錄'!K""&amp;TO_TEXT(ROW()-$C$72))"),"")</f>
        <v/>
      </c>
      <c r="L298" s="61" t="str">
        <f>IFERROR(__xludf.DUMMYFUNCTION("INDIRECT(""'收支紀錄'!L""&amp;TO_TEXT(ROW()-$C$72))"),"")</f>
        <v/>
      </c>
      <c r="M298" s="61" t="str">
        <f>IFERROR(__xludf.DUMMYFUNCTION("INDIRECT(""'收支紀錄'!M""&amp;TO_TEXT(ROW()-$C$72))"),"")</f>
        <v/>
      </c>
      <c r="N298" s="61" t="str">
        <f>IFERROR(__xludf.DUMMYFUNCTION("INDIRECT(""'收支紀錄'!N""&amp;TO_TEXT(ROW()-$C$72))"),"")</f>
        <v/>
      </c>
      <c r="O298" s="61" t="str">
        <f>IFERROR(__xludf.DUMMYFUNCTION("INDIRECT(""'收支紀錄'!O""&amp;TO_TEXT(ROW()-$C$72))"),"")</f>
        <v/>
      </c>
      <c r="P298" s="61" t="str">
        <f>IFERROR(__xludf.DUMMYFUNCTION("INDIRECT(""'收支紀錄'!P""&amp;TO_TEXT(ROW()-$C$72))"),"")</f>
        <v/>
      </c>
      <c r="Q298" s="61" t="str">
        <f>IFERROR(__xludf.DUMMYFUNCTION("INDIRECT(""'收支紀錄'!Q""&amp;TO_TEXT(ROW()-$C$72))"),"")</f>
        <v/>
      </c>
      <c r="R298" s="61" t="str">
        <f>IFERROR(__xludf.DUMMYFUNCTION("INDIRECT(""'收支紀錄'!R""&amp;TO_TEXT(ROW()-$C$72))"),"")</f>
        <v/>
      </c>
      <c r="S298" s="61" t="str">
        <f>IFERROR(__xludf.DUMMYFUNCTION("INDIRECT(""'收支紀錄'!S""&amp;TO_TEXT(ROW()-$C$72))"),"")</f>
        <v/>
      </c>
      <c r="T298" s="61" t="str">
        <f>IFERROR(__xludf.DUMMYFUNCTION("INDIRECT(""'收支紀錄'!T""&amp;TO_TEXT(ROW()-$C$72))"),"")</f>
        <v/>
      </c>
      <c r="U298" s="62" t="str">
        <f>IFERROR(__xludf.DUMMYFUNCTION("IF(T298=""是"",TEXTJOIN("""", TRUE, ""$"", TO_TEXT(C298), S298),"""")"),"")</f>
        <v/>
      </c>
    </row>
    <row r="299">
      <c r="A299" s="58">
        <f>IFERROR(__xludf.DUMMYFUNCTION("INDIRECT(""'收支紀錄'!A""&amp;TO_TEXT(ROW()-$C$72))"),45573.87677645833)</f>
        <v>45573.87678</v>
      </c>
      <c r="B299" s="59">
        <f>IFERROR(__xludf.DUMMYFUNCTION("IF(ISBLANK(D299), """", IF(ISDATE(D299), D299, IF(D299=""今天"", A299, IF(D299=""昨天 (-1 day)"", A299-1, IF(D299=""前天 (-2 days)"", A299-2, IF(D299=""明天 (+1 day)"", A299+1, DATE(LEFT(D299,4), MID(D299,5,2), RIGHT(D299,2))))))))"),45565.0)</f>
        <v>45565</v>
      </c>
      <c r="C299" s="60">
        <f>IFERROR(__xludf.DUMMYFUNCTION("INDIRECT(""'收支紀錄'!C""&amp;TO_TEXT(ROW()-$C$72))"),2771.0)</f>
        <v>2771</v>
      </c>
      <c r="D299" s="63">
        <f>IFERROR(__xludf.DUMMYFUNCTION("INDIRECT(""'收支紀錄'!D""&amp;TO_TEXT(ROW()-$C$72))"),2.024093E7)</f>
        <v>20240930</v>
      </c>
      <c r="E299" s="61" t="str">
        <f>IFERROR(__xludf.DUMMYFUNCTION("INDIRECT(""'收支紀錄'!E""&amp;TO_TEXT(ROW()-$C$72))"),"")</f>
        <v/>
      </c>
      <c r="F299" s="61" t="str">
        <f>IFERROR(__xludf.DUMMYFUNCTION("INDIRECT(""'收支紀錄'!F""&amp;TO_TEXT(ROW()-$C$72))"),"")</f>
        <v/>
      </c>
      <c r="G299" s="61" t="str">
        <f>IFERROR(__xludf.DUMMYFUNCTION("INDIRECT(""'收支紀錄'!G""&amp;TO_TEXT(ROW()-$C$72))"),"")</f>
        <v/>
      </c>
      <c r="H299" s="61" t="str">
        <f>IFERROR(__xludf.DUMMYFUNCTION("INDIRECT(""'收支紀錄'!H""&amp;TO_TEXT(ROW()-$C$72))"),"稅金保險")</f>
        <v>稅金保險</v>
      </c>
      <c r="I299" s="61" t="str">
        <f>IFERROR(__xludf.DUMMYFUNCTION("INDIRECT(""'收支紀錄'!I""&amp;TO_TEXT(ROW()-$C$72))"),"")</f>
        <v/>
      </c>
      <c r="J299" s="61" t="str">
        <f>IFERROR(__xludf.DUMMYFUNCTION("INDIRECT(""'收支紀錄'!J""&amp;TO_TEXT(ROW()-$C$72))"),"")</f>
        <v/>
      </c>
      <c r="K299" s="61" t="str">
        <f>IFERROR(__xludf.DUMMYFUNCTION("INDIRECT(""'收支紀錄'!K""&amp;TO_TEXT(ROW()-$C$72))"),"")</f>
        <v/>
      </c>
      <c r="L299" s="61" t="str">
        <f>IFERROR(__xludf.DUMMYFUNCTION("INDIRECT(""'收支紀錄'!L""&amp;TO_TEXT(ROW()-$C$72))"),"")</f>
        <v/>
      </c>
      <c r="M299" s="61" t="str">
        <f>IFERROR(__xludf.DUMMYFUNCTION("INDIRECT(""'收支紀錄'!M""&amp;TO_TEXT(ROW()-$C$72))"),"")</f>
        <v/>
      </c>
      <c r="N299" s="61" t="str">
        <f>IFERROR(__xludf.DUMMYFUNCTION("INDIRECT(""'收支紀錄'!N""&amp;TO_TEXT(ROW()-$C$72))"),"勞健保")</f>
        <v>勞健保</v>
      </c>
      <c r="O299" s="61" t="str">
        <f>IFERROR(__xludf.DUMMYFUNCTION("INDIRECT(""'收支紀錄'!O""&amp;TO_TEXT(ROW()-$C$72))"),"")</f>
        <v/>
      </c>
      <c r="P299" s="61" t="str">
        <f>IFERROR(__xludf.DUMMYFUNCTION("INDIRECT(""'收支紀錄'!P""&amp;TO_TEXT(ROW()-$C$72))"),"")</f>
        <v/>
      </c>
      <c r="Q299" s="61" t="str">
        <f>IFERROR(__xludf.DUMMYFUNCTION("INDIRECT(""'收支紀錄'!Q""&amp;TO_TEXT(ROW()-$C$72))"),"")</f>
        <v/>
      </c>
      <c r="R299" s="61" t="str">
        <f>IFERROR(__xludf.DUMMYFUNCTION("INDIRECT(""'收支紀錄'!R""&amp;TO_TEXT(ROW()-$C$72))"),"")</f>
        <v/>
      </c>
      <c r="S299" s="61" t="str">
        <f>IFERROR(__xludf.DUMMYFUNCTION("INDIRECT(""'收支紀錄'!S""&amp;TO_TEXT(ROW()-$C$72))"),"")</f>
        <v/>
      </c>
      <c r="T299" s="61" t="str">
        <f>IFERROR(__xludf.DUMMYFUNCTION("INDIRECT(""'收支紀錄'!T""&amp;TO_TEXT(ROW()-$C$72))"),"")</f>
        <v/>
      </c>
      <c r="U299" s="62" t="str">
        <f>IFERROR(__xludf.DUMMYFUNCTION("IF(T299=""是"",TEXTJOIN("""", TRUE, ""$"", TO_TEXT(C299), S299),"""")"),"")</f>
        <v/>
      </c>
    </row>
    <row r="300">
      <c r="A300" s="58">
        <f>IFERROR(__xludf.DUMMYFUNCTION("INDIRECT(""'收支紀錄'!A""&amp;TO_TEXT(ROW()-$C$72))"),45573.877140173616)</f>
        <v>45573.87714</v>
      </c>
      <c r="B300" s="59">
        <f>IFERROR(__xludf.DUMMYFUNCTION("IF(ISBLANK(D300), """", IF(ISDATE(D300), D300, IF(D300=""今天"", A300, IF(D300=""昨天 (-1 day)"", A300-1, IF(D300=""前天 (-2 days)"", A300-2, IF(D300=""明天 (+1 day)"", A300+1, DATE(LEFT(D300,4), MID(D300,5,2), RIGHT(D300,2))))))))"),45573.877140173616)</f>
        <v>45573.87714</v>
      </c>
      <c r="C300" s="60">
        <f>IFERROR(__xludf.DUMMYFUNCTION("INDIRECT(""'收支紀錄'!C""&amp;TO_TEXT(ROW()-$C$72))"),515.0)</f>
        <v>515</v>
      </c>
      <c r="D300" s="63" t="str">
        <f>IFERROR(__xludf.DUMMYFUNCTION("INDIRECT(""'收支紀錄'!D""&amp;TO_TEXT(ROW()-$C$72))"),"今天")</f>
        <v>今天</v>
      </c>
      <c r="E300" s="61" t="str">
        <f>IFERROR(__xludf.DUMMYFUNCTION("INDIRECT(""'收支紀錄'!E""&amp;TO_TEXT(ROW()-$C$72))"),"")</f>
        <v/>
      </c>
      <c r="F300" s="61" t="str">
        <f>IFERROR(__xludf.DUMMYFUNCTION("INDIRECT(""'收支紀錄'!F""&amp;TO_TEXT(ROW()-$C$72))"),"")</f>
        <v/>
      </c>
      <c r="G300" s="61" t="str">
        <f>IFERROR(__xludf.DUMMYFUNCTION("INDIRECT(""'收支紀錄'!G""&amp;TO_TEXT(ROW()-$C$72))"),"")</f>
        <v/>
      </c>
      <c r="H300" s="61" t="str">
        <f>IFERROR(__xludf.DUMMYFUNCTION("INDIRECT(""'收支紀錄'!H""&amp;TO_TEXT(ROW()-$C$72))"),"休閒娛樂")</f>
        <v>休閒娛樂</v>
      </c>
      <c r="I300" s="61" t="str">
        <f>IFERROR(__xludf.DUMMYFUNCTION("INDIRECT(""'收支紀錄'!I""&amp;TO_TEXT(ROW()-$C$72))"),"")</f>
        <v/>
      </c>
      <c r="J300" s="61" t="str">
        <f>IFERROR(__xludf.DUMMYFUNCTION("INDIRECT(""'收支紀錄'!J""&amp;TO_TEXT(ROW()-$C$72))"),"")</f>
        <v/>
      </c>
      <c r="K300" s="61" t="str">
        <f>IFERROR(__xludf.DUMMYFUNCTION("INDIRECT(""'收支紀錄'!K""&amp;TO_TEXT(ROW()-$C$72))"),"")</f>
        <v/>
      </c>
      <c r="L300" s="61" t="str">
        <f>IFERROR(__xludf.DUMMYFUNCTION("INDIRECT(""'收支紀錄'!L""&amp;TO_TEXT(ROW()-$C$72))"),"")</f>
        <v/>
      </c>
      <c r="M300" s="61" t="str">
        <f>IFERROR(__xludf.DUMMYFUNCTION("INDIRECT(""'收支紀錄'!M""&amp;TO_TEXT(ROW()-$C$72))"),"公司福利金")</f>
        <v>公司福利金</v>
      </c>
      <c r="N300" s="61" t="str">
        <f>IFERROR(__xludf.DUMMYFUNCTION("INDIRECT(""'收支紀錄'!N""&amp;TO_TEXT(ROW()-$C$72))"),"")</f>
        <v/>
      </c>
      <c r="O300" s="61" t="str">
        <f>IFERROR(__xludf.DUMMYFUNCTION("INDIRECT(""'收支紀錄'!O""&amp;TO_TEXT(ROW()-$C$72))"),"")</f>
        <v/>
      </c>
      <c r="P300" s="61" t="str">
        <f>IFERROR(__xludf.DUMMYFUNCTION("INDIRECT(""'收支紀錄'!P""&amp;TO_TEXT(ROW()-$C$72))"),"")</f>
        <v/>
      </c>
      <c r="Q300" s="61" t="str">
        <f>IFERROR(__xludf.DUMMYFUNCTION("INDIRECT(""'收支紀錄'!Q""&amp;TO_TEXT(ROW()-$C$72))"),"")</f>
        <v/>
      </c>
      <c r="R300" s="61" t="str">
        <f>IFERROR(__xludf.DUMMYFUNCTION("INDIRECT(""'收支紀錄'!R""&amp;TO_TEXT(ROW()-$C$72))"),"")</f>
        <v/>
      </c>
      <c r="S300" s="61" t="str">
        <f>IFERROR(__xludf.DUMMYFUNCTION("INDIRECT(""'收支紀錄'!S""&amp;TO_TEXT(ROW()-$C$72))"),"")</f>
        <v/>
      </c>
      <c r="T300" s="61" t="str">
        <f>IFERROR(__xludf.DUMMYFUNCTION("INDIRECT(""'收支紀錄'!T""&amp;TO_TEXT(ROW()-$C$72))"),"")</f>
        <v/>
      </c>
      <c r="U300" s="62" t="str">
        <f>IFERROR(__xludf.DUMMYFUNCTION("IF(T300=""是"",TEXTJOIN("""", TRUE, ""$"", TO_TEXT(C300), S300),"""")"),"")</f>
        <v/>
      </c>
    </row>
    <row r="301">
      <c r="A301" s="58">
        <f>IFERROR(__xludf.DUMMYFUNCTION("INDIRECT(""'收支紀錄'!A""&amp;TO_TEXT(ROW()-$C$72))"),45573.87776037037)</f>
        <v>45573.87776</v>
      </c>
      <c r="B301" s="59">
        <f>IFERROR(__xludf.DUMMYFUNCTION("IF(ISBLANK(D301), """", IF(ISDATE(D301), D301, IF(D301=""今天"", A301, IF(D301=""昨天 (-1 day)"", A301-1, IF(D301=""前天 (-2 days)"", A301-2, IF(D301=""明天 (+1 day)"", A301+1, DATE(LEFT(D301,4), MID(D301,5,2), RIGHT(D301,2))))))))"),45565.0)</f>
        <v>45565</v>
      </c>
      <c r="C301" s="60">
        <f>IFERROR(__xludf.DUMMYFUNCTION("INDIRECT(""'收支紀錄'!C""&amp;TO_TEXT(ROW()-$C$72))"),3260.0)</f>
        <v>3260</v>
      </c>
      <c r="D301" s="63">
        <f>IFERROR(__xludf.DUMMYFUNCTION("INDIRECT(""'收支紀錄'!D""&amp;TO_TEXT(ROW()-$C$72))"),2.024093E7)</f>
        <v>20240930</v>
      </c>
      <c r="E301" s="61" t="str">
        <f>IFERROR(__xludf.DUMMYFUNCTION("INDIRECT(""'收支紀錄'!E""&amp;TO_TEXT(ROW()-$C$72))"),"")</f>
        <v/>
      </c>
      <c r="F301" s="61" t="str">
        <f>IFERROR(__xludf.DUMMYFUNCTION("INDIRECT(""'收支紀錄'!F""&amp;TO_TEXT(ROW()-$C$72))"),"")</f>
        <v/>
      </c>
      <c r="G301" s="61" t="str">
        <f>IFERROR(__xludf.DUMMYFUNCTION("INDIRECT(""'收支紀錄'!G""&amp;TO_TEXT(ROW()-$C$72))"),"")</f>
        <v/>
      </c>
      <c r="H301" s="61" t="str">
        <f>IFERROR(__xludf.DUMMYFUNCTION("INDIRECT(""'收支紀錄'!H""&amp;TO_TEXT(ROW()-$C$72))"),"稅金保險")</f>
        <v>稅金保險</v>
      </c>
      <c r="I301" s="61" t="str">
        <f>IFERROR(__xludf.DUMMYFUNCTION("INDIRECT(""'收支紀錄'!I""&amp;TO_TEXT(ROW()-$C$72))"),"")</f>
        <v/>
      </c>
      <c r="J301" s="61" t="str">
        <f>IFERROR(__xludf.DUMMYFUNCTION("INDIRECT(""'收支紀錄'!J""&amp;TO_TEXT(ROW()-$C$72))"),"")</f>
        <v/>
      </c>
      <c r="K301" s="61" t="str">
        <f>IFERROR(__xludf.DUMMYFUNCTION("INDIRECT(""'收支紀錄'!K""&amp;TO_TEXT(ROW()-$C$72))"),"")</f>
        <v/>
      </c>
      <c r="L301" s="61" t="str">
        <f>IFERROR(__xludf.DUMMYFUNCTION("INDIRECT(""'收支紀錄'!L""&amp;TO_TEXT(ROW()-$C$72))"),"")</f>
        <v/>
      </c>
      <c r="M301" s="61" t="str">
        <f>IFERROR(__xludf.DUMMYFUNCTION("INDIRECT(""'收支紀錄'!M""&amp;TO_TEXT(ROW()-$C$72))"),"")</f>
        <v/>
      </c>
      <c r="N301" s="61" t="str">
        <f>IFERROR(__xludf.DUMMYFUNCTION("INDIRECT(""'收支紀錄'!N""&amp;TO_TEXT(ROW()-$C$72))"),"稅金")</f>
        <v>稅金</v>
      </c>
      <c r="O301" s="61" t="str">
        <f>IFERROR(__xludf.DUMMYFUNCTION("INDIRECT(""'收支紀錄'!O""&amp;TO_TEXT(ROW()-$C$72))"),"")</f>
        <v/>
      </c>
      <c r="P301" s="61" t="str">
        <f>IFERROR(__xludf.DUMMYFUNCTION("INDIRECT(""'收支紀錄'!P""&amp;TO_TEXT(ROW()-$C$72))"),"")</f>
        <v/>
      </c>
      <c r="Q301" s="61" t="str">
        <f>IFERROR(__xludf.DUMMYFUNCTION("INDIRECT(""'收支紀錄'!Q""&amp;TO_TEXT(ROW()-$C$72))"),"")</f>
        <v/>
      </c>
      <c r="R301" s="61" t="str">
        <f>IFERROR(__xludf.DUMMYFUNCTION("INDIRECT(""'收支紀錄'!R""&amp;TO_TEXT(ROW()-$C$72))"),"")</f>
        <v/>
      </c>
      <c r="S301" s="61" t="str">
        <f>IFERROR(__xludf.DUMMYFUNCTION("INDIRECT(""'收支紀錄'!S""&amp;TO_TEXT(ROW()-$C$72))"),"")</f>
        <v/>
      </c>
      <c r="T301" s="61" t="str">
        <f>IFERROR(__xludf.DUMMYFUNCTION("INDIRECT(""'收支紀錄'!T""&amp;TO_TEXT(ROW()-$C$72))"),"")</f>
        <v/>
      </c>
      <c r="U301" s="62" t="str">
        <f>IFERROR(__xludf.DUMMYFUNCTION("IF(T301=""是"",TEXTJOIN("""", TRUE, ""$"", TO_TEXT(C301), S301),"""")"),"")</f>
        <v/>
      </c>
    </row>
    <row r="302">
      <c r="A302" s="58">
        <f>IFERROR(__xludf.DUMMYFUNCTION("INDIRECT(""'收支紀錄'!A""&amp;TO_TEXT(ROW()-$C$72))"),45573.89001378472)</f>
        <v>45573.89001</v>
      </c>
      <c r="B302" s="59">
        <f>IFERROR(__xludf.DUMMYFUNCTION("IF(ISBLANK(D302), """", IF(ISDATE(D302), D302, IF(D302=""今天"", A302, IF(D302=""昨天 (-1 day)"", A302-1, IF(D302=""前天 (-2 days)"", A302-2, IF(D302=""明天 (+1 day)"", A302+1, DATE(LEFT(D302,4), MID(D302,5,2), RIGHT(D302,2))))))))"),45565.0)</f>
        <v>45565</v>
      </c>
      <c r="C302" s="60">
        <f>IFERROR(__xludf.DUMMYFUNCTION("INDIRECT(""'收支紀錄'!C""&amp;TO_TEXT(ROW()-$C$72))"),20000.0)</f>
        <v>20000</v>
      </c>
      <c r="D302" s="63">
        <f>IFERROR(__xludf.DUMMYFUNCTION("INDIRECT(""'收支紀錄'!D""&amp;TO_TEXT(ROW()-$C$72))"),2.024093E7)</f>
        <v>20240930</v>
      </c>
      <c r="E302" s="61" t="str">
        <f>IFERROR(__xludf.DUMMYFUNCTION("INDIRECT(""'收支紀錄'!E""&amp;TO_TEXT(ROW()-$C$72))"),"")</f>
        <v/>
      </c>
      <c r="F302" s="61" t="str">
        <f>IFERROR(__xludf.DUMMYFUNCTION("INDIRECT(""'收支紀錄'!F""&amp;TO_TEXT(ROW()-$C$72))"),"")</f>
        <v/>
      </c>
      <c r="G302" s="61" t="str">
        <f>IFERROR(__xludf.DUMMYFUNCTION("INDIRECT(""'收支紀錄'!G""&amp;TO_TEXT(ROW()-$C$72))"),"")</f>
        <v/>
      </c>
      <c r="H302" s="61" t="str">
        <f>IFERROR(__xludf.DUMMYFUNCTION("INDIRECT(""'收支紀錄'!H""&amp;TO_TEXT(ROW()-$C$72))"),"房屋支出")</f>
        <v>房屋支出</v>
      </c>
      <c r="I302" s="61" t="str">
        <f>IFERROR(__xludf.DUMMYFUNCTION("INDIRECT(""'收支紀錄'!I""&amp;TO_TEXT(ROW()-$C$72))"),"")</f>
        <v/>
      </c>
      <c r="J302" s="61" t="str">
        <f>IFERROR(__xludf.DUMMYFUNCTION("INDIRECT(""'收支紀錄'!J""&amp;TO_TEXT(ROW()-$C$72))"),"")</f>
        <v/>
      </c>
      <c r="K302" s="61" t="str">
        <f>IFERROR(__xludf.DUMMYFUNCTION("INDIRECT(""'收支紀錄'!K""&amp;TO_TEXT(ROW()-$C$72))"),"文心1房貸代繳")</f>
        <v>文心1房貸代繳</v>
      </c>
      <c r="L302" s="61" t="str">
        <f>IFERROR(__xludf.DUMMYFUNCTION("INDIRECT(""'收支紀錄'!L""&amp;TO_TEXT(ROW()-$C$72))"),"")</f>
        <v/>
      </c>
      <c r="M302" s="61" t="str">
        <f>IFERROR(__xludf.DUMMYFUNCTION("INDIRECT(""'收支紀錄'!M""&amp;TO_TEXT(ROW()-$C$72))"),"")</f>
        <v/>
      </c>
      <c r="N302" s="61" t="str">
        <f>IFERROR(__xludf.DUMMYFUNCTION("INDIRECT(""'收支紀錄'!N""&amp;TO_TEXT(ROW()-$C$72))"),"")</f>
        <v/>
      </c>
      <c r="O302" s="61" t="str">
        <f>IFERROR(__xludf.DUMMYFUNCTION("INDIRECT(""'收支紀錄'!O""&amp;TO_TEXT(ROW()-$C$72))"),"")</f>
        <v/>
      </c>
      <c r="P302" s="61" t="str">
        <f>IFERROR(__xludf.DUMMYFUNCTION("INDIRECT(""'收支紀錄'!P""&amp;TO_TEXT(ROW()-$C$72))"),"")</f>
        <v/>
      </c>
      <c r="Q302" s="61" t="str">
        <f>IFERROR(__xludf.DUMMYFUNCTION("INDIRECT(""'收支紀錄'!Q""&amp;TO_TEXT(ROW()-$C$72))"),"")</f>
        <v/>
      </c>
      <c r="R302" s="61" t="str">
        <f>IFERROR(__xludf.DUMMYFUNCTION("INDIRECT(""'收支紀錄'!R""&amp;TO_TEXT(ROW()-$C$72))"),"")</f>
        <v/>
      </c>
      <c r="S302" s="61" t="str">
        <f>IFERROR(__xludf.DUMMYFUNCTION("INDIRECT(""'收支紀錄'!S""&amp;TO_TEXT(ROW()-$C$72))"),"")</f>
        <v/>
      </c>
      <c r="T302" s="61" t="str">
        <f>IFERROR(__xludf.DUMMYFUNCTION("INDIRECT(""'收支紀錄'!T""&amp;TO_TEXT(ROW()-$C$72))"),"")</f>
        <v/>
      </c>
      <c r="U302" s="62" t="str">
        <f>IFERROR(__xludf.DUMMYFUNCTION("IF(T302=""是"",TEXTJOIN("""", TRUE, ""$"", TO_TEXT(C302), S302),"""")"),"")</f>
        <v/>
      </c>
    </row>
    <row r="303">
      <c r="A303" s="58">
        <f>IFERROR(__xludf.DUMMYFUNCTION("INDIRECT(""'收支紀錄'!A""&amp;TO_TEXT(ROW()-$C$72))"),45573.89025038194)</f>
        <v>45573.89025</v>
      </c>
      <c r="B303" s="59">
        <f>IFERROR(__xludf.DUMMYFUNCTION("IF(ISBLANK(D303), """", IF(ISDATE(D303), D303, IF(D303=""今天"", A303, IF(D303=""昨天 (-1 day)"", A303-1, IF(D303=""前天 (-2 days)"", A303-2, IF(D303=""明天 (+1 day)"", A303+1, DATE(LEFT(D303,4), MID(D303,5,2), RIGHT(D303,2))))))))"),45565.0)</f>
        <v>45565</v>
      </c>
      <c r="C303" s="60">
        <f>IFERROR(__xludf.DUMMYFUNCTION("INDIRECT(""'收支紀錄'!C""&amp;TO_TEXT(ROW()-$C$72))"),6000.0)</f>
        <v>6000</v>
      </c>
      <c r="D303" s="63">
        <f>IFERROR(__xludf.DUMMYFUNCTION("INDIRECT(""'收支紀錄'!D""&amp;TO_TEXT(ROW()-$C$72))"),2.024093E7)</f>
        <v>20240930</v>
      </c>
      <c r="E303" s="61" t="str">
        <f>IFERROR(__xludf.DUMMYFUNCTION("INDIRECT(""'收支紀錄'!E""&amp;TO_TEXT(ROW()-$C$72))"),"")</f>
        <v/>
      </c>
      <c r="F303" s="61" t="str">
        <f>IFERROR(__xludf.DUMMYFUNCTION("INDIRECT(""'收支紀錄'!F""&amp;TO_TEXT(ROW()-$C$72))"),"")</f>
        <v/>
      </c>
      <c r="G303" s="61" t="str">
        <f>IFERROR(__xludf.DUMMYFUNCTION("INDIRECT(""'收支紀錄'!G""&amp;TO_TEXT(ROW()-$C$72))"),"")</f>
        <v/>
      </c>
      <c r="H303" s="61" t="str">
        <f>IFERROR(__xludf.DUMMYFUNCTION("INDIRECT(""'收支紀錄'!H""&amp;TO_TEXT(ROW()-$C$72))"),"房屋支出")</f>
        <v>房屋支出</v>
      </c>
      <c r="I303" s="61" t="str">
        <f>IFERROR(__xludf.DUMMYFUNCTION("INDIRECT(""'收支紀錄'!I""&amp;TO_TEXT(ROW()-$C$72))"),"")</f>
        <v/>
      </c>
      <c r="J303" s="61" t="str">
        <f>IFERROR(__xludf.DUMMYFUNCTION("INDIRECT(""'收支紀錄'!J""&amp;TO_TEXT(ROW()-$C$72))"),"")</f>
        <v/>
      </c>
      <c r="K303" s="61" t="str">
        <f>IFERROR(__xludf.DUMMYFUNCTION("INDIRECT(""'收支紀錄'!K""&amp;TO_TEXT(ROW()-$C$72))"),"租屋")</f>
        <v>租屋</v>
      </c>
      <c r="L303" s="61" t="str">
        <f>IFERROR(__xludf.DUMMYFUNCTION("INDIRECT(""'收支紀錄'!L""&amp;TO_TEXT(ROW()-$C$72))"),"")</f>
        <v/>
      </c>
      <c r="M303" s="61" t="str">
        <f>IFERROR(__xludf.DUMMYFUNCTION("INDIRECT(""'收支紀錄'!M""&amp;TO_TEXT(ROW()-$C$72))"),"")</f>
        <v/>
      </c>
      <c r="N303" s="61" t="str">
        <f>IFERROR(__xludf.DUMMYFUNCTION("INDIRECT(""'收支紀錄'!N""&amp;TO_TEXT(ROW()-$C$72))"),"")</f>
        <v/>
      </c>
      <c r="O303" s="61" t="str">
        <f>IFERROR(__xludf.DUMMYFUNCTION("INDIRECT(""'收支紀錄'!O""&amp;TO_TEXT(ROW()-$C$72))"),"")</f>
        <v/>
      </c>
      <c r="P303" s="61" t="str">
        <f>IFERROR(__xludf.DUMMYFUNCTION("INDIRECT(""'收支紀錄'!P""&amp;TO_TEXT(ROW()-$C$72))"),"")</f>
        <v/>
      </c>
      <c r="Q303" s="61" t="str">
        <f>IFERROR(__xludf.DUMMYFUNCTION("INDIRECT(""'收支紀錄'!Q""&amp;TO_TEXT(ROW()-$C$72))"),"")</f>
        <v/>
      </c>
      <c r="R303" s="61" t="str">
        <f>IFERROR(__xludf.DUMMYFUNCTION("INDIRECT(""'收支紀錄'!R""&amp;TO_TEXT(ROW()-$C$72))"),"")</f>
        <v/>
      </c>
      <c r="S303" s="61" t="str">
        <f>IFERROR(__xludf.DUMMYFUNCTION("INDIRECT(""'收支紀錄'!S""&amp;TO_TEXT(ROW()-$C$72))"),"")</f>
        <v/>
      </c>
      <c r="T303" s="61" t="str">
        <f>IFERROR(__xludf.DUMMYFUNCTION("INDIRECT(""'收支紀錄'!T""&amp;TO_TEXT(ROW()-$C$72))"),"")</f>
        <v/>
      </c>
      <c r="U303" s="62" t="str">
        <f>IFERROR(__xludf.DUMMYFUNCTION("IF(T303=""是"",TEXTJOIN("""", TRUE, ""$"", TO_TEXT(C303), S303),"""")"),"")</f>
        <v/>
      </c>
    </row>
    <row r="304">
      <c r="A304" s="58">
        <f>IFERROR(__xludf.DUMMYFUNCTION("INDIRECT(""'收支紀錄'!A""&amp;TO_TEXT(ROW()-$C$72))"),45573.896913379634)</f>
        <v>45573.89691</v>
      </c>
      <c r="B304" s="59">
        <f>IFERROR(__xludf.DUMMYFUNCTION("IF(ISBLANK(D304), """", IF(ISDATE(D304), D304, IF(D304=""今天"", A304, IF(D304=""昨天 (-1 day)"", A304-1, IF(D304=""前天 (-2 days)"", A304-2, IF(D304=""明天 (+1 day)"", A304+1, DATE(LEFT(D304,4), MID(D304,5,2), RIGHT(D304,2))))))))"),45551.0)</f>
        <v>45551</v>
      </c>
      <c r="C304" s="60">
        <f>IFERROR(__xludf.DUMMYFUNCTION("INDIRECT(""'收支紀錄'!C""&amp;TO_TEXT(ROW()-$C$72))"),798.0)</f>
        <v>798</v>
      </c>
      <c r="D304" s="63">
        <f>IFERROR(__xludf.DUMMYFUNCTION("INDIRECT(""'收支紀錄'!D""&amp;TO_TEXT(ROW()-$C$72))"),2.0240916E7)</f>
        <v>20240916</v>
      </c>
      <c r="E304" s="61" t="str">
        <f>IFERROR(__xludf.DUMMYFUNCTION("INDIRECT(""'收支紀錄'!E""&amp;TO_TEXT(ROW()-$C$72))"),"")</f>
        <v/>
      </c>
      <c r="F304" s="61" t="str">
        <f>IFERROR(__xludf.DUMMYFUNCTION("INDIRECT(""'收支紀錄'!F""&amp;TO_TEXT(ROW()-$C$72))"),"")</f>
        <v/>
      </c>
      <c r="G304" s="61" t="str">
        <f>IFERROR(__xludf.DUMMYFUNCTION("INDIRECT(""'收支紀錄'!G""&amp;TO_TEXT(ROW()-$C$72))"),"")</f>
        <v/>
      </c>
      <c r="H304" s="61" t="str">
        <f>IFERROR(__xludf.DUMMYFUNCTION("INDIRECT(""'收支紀錄'!H""&amp;TO_TEXT(ROW()-$C$72))"),"日常生活")</f>
        <v>日常生活</v>
      </c>
      <c r="I304" s="61" t="str">
        <f>IFERROR(__xludf.DUMMYFUNCTION("INDIRECT(""'收支紀錄'!I""&amp;TO_TEXT(ROW()-$C$72))"),"")</f>
        <v/>
      </c>
      <c r="J304" s="61" t="str">
        <f>IFERROR(__xludf.DUMMYFUNCTION("INDIRECT(""'收支紀錄'!J""&amp;TO_TEXT(ROW()-$C$72))"),"電話費")</f>
        <v>電話費</v>
      </c>
      <c r="K304" s="61" t="str">
        <f>IFERROR(__xludf.DUMMYFUNCTION("INDIRECT(""'收支紀錄'!K""&amp;TO_TEXT(ROW()-$C$72))"),"")</f>
        <v/>
      </c>
      <c r="L304" s="61" t="str">
        <f>IFERROR(__xludf.DUMMYFUNCTION("INDIRECT(""'收支紀錄'!L""&amp;TO_TEXT(ROW()-$C$72))"),"")</f>
        <v/>
      </c>
      <c r="M304" s="61" t="str">
        <f>IFERROR(__xludf.DUMMYFUNCTION("INDIRECT(""'收支紀錄'!M""&amp;TO_TEXT(ROW()-$C$72))"),"")</f>
        <v/>
      </c>
      <c r="N304" s="61" t="str">
        <f>IFERROR(__xludf.DUMMYFUNCTION("INDIRECT(""'收支紀錄'!N""&amp;TO_TEXT(ROW()-$C$72))"),"")</f>
        <v/>
      </c>
      <c r="O304" s="61" t="str">
        <f>IFERROR(__xludf.DUMMYFUNCTION("INDIRECT(""'收支紀錄'!O""&amp;TO_TEXT(ROW()-$C$72))"),"")</f>
        <v/>
      </c>
      <c r="P304" s="61" t="str">
        <f>IFERROR(__xludf.DUMMYFUNCTION("INDIRECT(""'收支紀錄'!P""&amp;TO_TEXT(ROW()-$C$72))"),"")</f>
        <v/>
      </c>
      <c r="Q304" s="61" t="str">
        <f>IFERROR(__xludf.DUMMYFUNCTION("INDIRECT(""'收支紀錄'!Q""&amp;TO_TEXT(ROW()-$C$72))"),"")</f>
        <v/>
      </c>
      <c r="R304" s="61" t="str">
        <f>IFERROR(__xludf.DUMMYFUNCTION("INDIRECT(""'收支紀錄'!R""&amp;TO_TEXT(ROW()-$C$72))"),"")</f>
        <v/>
      </c>
      <c r="S304" s="61" t="str">
        <f>IFERROR(__xludf.DUMMYFUNCTION("INDIRECT(""'收支紀錄'!S""&amp;TO_TEXT(ROW()-$C$72))"),"")</f>
        <v/>
      </c>
      <c r="T304" s="61" t="str">
        <f>IFERROR(__xludf.DUMMYFUNCTION("INDIRECT(""'收支紀錄'!T""&amp;TO_TEXT(ROW()-$C$72))"),"")</f>
        <v/>
      </c>
      <c r="U304" s="62" t="str">
        <f>IFERROR(__xludf.DUMMYFUNCTION("IF(T304=""是"",TEXTJOIN("""", TRUE, ""$"", TO_TEXT(C304), S304),"""")"),"")</f>
        <v/>
      </c>
    </row>
    <row r="305">
      <c r="A305" s="58">
        <f>IFERROR(__xludf.DUMMYFUNCTION("INDIRECT(""'收支紀錄'!A""&amp;TO_TEXT(ROW()-$C$72))"),45573.904461909726)</f>
        <v>45573.90446</v>
      </c>
      <c r="B305" s="59">
        <f>IFERROR(__xludf.DUMMYFUNCTION("IF(ISBLANK(D305), """", IF(ISDATE(D305), D305, IF(D305=""今天"", A305, IF(D305=""昨天 (-1 day)"", A305-1, IF(D305=""前天 (-2 days)"", A305-2, IF(D305=""明天 (+1 day)"", A305+1, DATE(LEFT(D305,4), MID(D305,5,2), RIGHT(D305,2))))))))"),45547.0)</f>
        <v>45547</v>
      </c>
      <c r="C305" s="60">
        <f>IFERROR(__xludf.DUMMYFUNCTION("INDIRECT(""'收支紀錄'!C""&amp;TO_TEXT(ROW()-$C$72))"),3440.0)</f>
        <v>3440</v>
      </c>
      <c r="D305" s="63">
        <f>IFERROR(__xludf.DUMMYFUNCTION("INDIRECT(""'收支紀錄'!D""&amp;TO_TEXT(ROW()-$C$72))"),2.0240912E7)</f>
        <v>20240912</v>
      </c>
      <c r="E305" s="61" t="str">
        <f>IFERROR(__xludf.DUMMYFUNCTION("INDIRECT(""'收支紀錄'!E""&amp;TO_TEXT(ROW()-$C$72))"),"其他業外")</f>
        <v>其他業外</v>
      </c>
      <c r="F305" s="61" t="str">
        <f>IFERROR(__xludf.DUMMYFUNCTION("INDIRECT(""'收支紀錄'!F""&amp;TO_TEXT(ROW()-$C$72))"),"")</f>
        <v/>
      </c>
      <c r="G305" s="61" t="str">
        <f>IFERROR(__xludf.DUMMYFUNCTION("INDIRECT(""'收支紀錄'!G""&amp;TO_TEXT(ROW()-$C$72))"),"股票配息")</f>
        <v>股票配息</v>
      </c>
      <c r="H305" s="61" t="str">
        <f>IFERROR(__xludf.DUMMYFUNCTION("INDIRECT(""'收支紀錄'!H""&amp;TO_TEXT(ROW()-$C$72))"),"")</f>
        <v/>
      </c>
      <c r="I305" s="61" t="str">
        <f>IFERROR(__xludf.DUMMYFUNCTION("INDIRECT(""'收支紀錄'!I""&amp;TO_TEXT(ROW()-$C$72))"),"")</f>
        <v/>
      </c>
      <c r="J305" s="61" t="str">
        <f>IFERROR(__xludf.DUMMYFUNCTION("INDIRECT(""'收支紀錄'!J""&amp;TO_TEXT(ROW()-$C$72))"),"")</f>
        <v/>
      </c>
      <c r="K305" s="61" t="str">
        <f>IFERROR(__xludf.DUMMYFUNCTION("INDIRECT(""'收支紀錄'!K""&amp;TO_TEXT(ROW()-$C$72))"),"")</f>
        <v/>
      </c>
      <c r="L305" s="61" t="str">
        <f>IFERROR(__xludf.DUMMYFUNCTION("INDIRECT(""'收支紀錄'!L""&amp;TO_TEXT(ROW()-$C$72))"),"")</f>
        <v/>
      </c>
      <c r="M305" s="61" t="str">
        <f>IFERROR(__xludf.DUMMYFUNCTION("INDIRECT(""'收支紀錄'!M""&amp;TO_TEXT(ROW()-$C$72))"),"")</f>
        <v/>
      </c>
      <c r="N305" s="61" t="str">
        <f>IFERROR(__xludf.DUMMYFUNCTION("INDIRECT(""'收支紀錄'!N""&amp;TO_TEXT(ROW()-$C$72))"),"")</f>
        <v/>
      </c>
      <c r="O305" s="61" t="str">
        <f>IFERROR(__xludf.DUMMYFUNCTION("INDIRECT(""'收支紀錄'!O""&amp;TO_TEXT(ROW()-$C$72))"),"")</f>
        <v/>
      </c>
      <c r="P305" s="61" t="str">
        <f>IFERROR(__xludf.DUMMYFUNCTION("INDIRECT(""'收支紀錄'!P""&amp;TO_TEXT(ROW()-$C$72))"),"")</f>
        <v/>
      </c>
      <c r="Q305" s="61" t="str">
        <f>IFERROR(__xludf.DUMMYFUNCTION("INDIRECT(""'收支紀錄'!Q""&amp;TO_TEXT(ROW()-$C$72))"),"")</f>
        <v/>
      </c>
      <c r="R305" s="61" t="str">
        <f>IFERROR(__xludf.DUMMYFUNCTION("INDIRECT(""'收支紀錄'!R""&amp;TO_TEXT(ROW()-$C$72))"),"")</f>
        <v/>
      </c>
      <c r="S305" s="61" t="str">
        <f>IFERROR(__xludf.DUMMYFUNCTION("INDIRECT(""'收支紀錄'!S""&amp;TO_TEXT(ROW()-$C$72))"),"元大美債")</f>
        <v>元大美債</v>
      </c>
      <c r="T305" s="61" t="str">
        <f>IFERROR(__xludf.DUMMYFUNCTION("INDIRECT(""'收支紀錄'!T""&amp;TO_TEXT(ROW()-$C$72))"),"是")</f>
        <v>是</v>
      </c>
      <c r="U305" s="62" t="str">
        <f>IFERROR(__xludf.DUMMYFUNCTION("IF(T305=""是"",TEXTJOIN("""", TRUE, ""$"", TO_TEXT(C305), S305),"""")"),"$3440元大美債")</f>
        <v>$3440元大美債</v>
      </c>
    </row>
    <row r="306">
      <c r="A306" s="58">
        <f>IFERROR(__xludf.DUMMYFUNCTION("INDIRECT(""'收支紀錄'!A""&amp;TO_TEXT(ROW()-$C$72))"),45573.905114918976)</f>
        <v>45573.90511</v>
      </c>
      <c r="B306" s="59">
        <f>IFERROR(__xludf.DUMMYFUNCTION("IF(ISBLANK(D306), """", IF(ISDATE(D306), D306, IF(D306=""今天"", A306, IF(D306=""昨天 (-1 day)"", A306-1, IF(D306=""前天 (-2 days)"", A306-2, IF(D306=""明天 (+1 day)"", A306+1, DATE(LEFT(D306,4), MID(D306,5,2), RIGHT(D306,2))))))))"),45548.0)</f>
        <v>45548</v>
      </c>
      <c r="C306" s="60">
        <f>IFERROR(__xludf.DUMMYFUNCTION("INDIRECT(""'收支紀錄'!C""&amp;TO_TEXT(ROW()-$C$72))"),2291.0)</f>
        <v>2291</v>
      </c>
      <c r="D306" s="63">
        <f>IFERROR(__xludf.DUMMYFUNCTION("INDIRECT(""'收支紀錄'!D""&amp;TO_TEXT(ROW()-$C$72))"),2.0240913E7)</f>
        <v>20240913</v>
      </c>
      <c r="E306" s="61" t="str">
        <f>IFERROR(__xludf.DUMMYFUNCTION("INDIRECT(""'收支紀錄'!E""&amp;TO_TEXT(ROW()-$C$72))"),"其他業外")</f>
        <v>其他業外</v>
      </c>
      <c r="F306" s="61" t="str">
        <f>IFERROR(__xludf.DUMMYFUNCTION("INDIRECT(""'收支紀錄'!F""&amp;TO_TEXT(ROW()-$C$72))"),"")</f>
        <v/>
      </c>
      <c r="G306" s="61" t="str">
        <f>IFERROR(__xludf.DUMMYFUNCTION("INDIRECT(""'收支紀錄'!G""&amp;TO_TEXT(ROW()-$C$72))"),"股票配息")</f>
        <v>股票配息</v>
      </c>
      <c r="H306" s="61" t="str">
        <f>IFERROR(__xludf.DUMMYFUNCTION("INDIRECT(""'收支紀錄'!H""&amp;TO_TEXT(ROW()-$C$72))"),"")</f>
        <v/>
      </c>
      <c r="I306" s="61" t="str">
        <f>IFERROR(__xludf.DUMMYFUNCTION("INDIRECT(""'收支紀錄'!I""&amp;TO_TEXT(ROW()-$C$72))"),"")</f>
        <v/>
      </c>
      <c r="J306" s="61" t="str">
        <f>IFERROR(__xludf.DUMMYFUNCTION("INDIRECT(""'收支紀錄'!J""&amp;TO_TEXT(ROW()-$C$72))"),"")</f>
        <v/>
      </c>
      <c r="K306" s="61" t="str">
        <f>IFERROR(__xludf.DUMMYFUNCTION("INDIRECT(""'收支紀錄'!K""&amp;TO_TEXT(ROW()-$C$72))"),"")</f>
        <v/>
      </c>
      <c r="L306" s="61" t="str">
        <f>IFERROR(__xludf.DUMMYFUNCTION("INDIRECT(""'收支紀錄'!L""&amp;TO_TEXT(ROW()-$C$72))"),"")</f>
        <v/>
      </c>
      <c r="M306" s="61" t="str">
        <f>IFERROR(__xludf.DUMMYFUNCTION("INDIRECT(""'收支紀錄'!M""&amp;TO_TEXT(ROW()-$C$72))"),"")</f>
        <v/>
      </c>
      <c r="N306" s="61" t="str">
        <f>IFERROR(__xludf.DUMMYFUNCTION("INDIRECT(""'收支紀錄'!N""&amp;TO_TEXT(ROW()-$C$72))"),"")</f>
        <v/>
      </c>
      <c r="O306" s="61" t="str">
        <f>IFERROR(__xludf.DUMMYFUNCTION("INDIRECT(""'收支紀錄'!O""&amp;TO_TEXT(ROW()-$C$72))"),"")</f>
        <v/>
      </c>
      <c r="P306" s="61" t="str">
        <f>IFERROR(__xludf.DUMMYFUNCTION("INDIRECT(""'收支紀錄'!P""&amp;TO_TEXT(ROW()-$C$72))"),"")</f>
        <v/>
      </c>
      <c r="Q306" s="61" t="str">
        <f>IFERROR(__xludf.DUMMYFUNCTION("INDIRECT(""'收支紀錄'!Q""&amp;TO_TEXT(ROW()-$C$72))"),"")</f>
        <v/>
      </c>
      <c r="R306" s="61" t="str">
        <f>IFERROR(__xludf.DUMMYFUNCTION("INDIRECT(""'收支紀錄'!R""&amp;TO_TEXT(ROW()-$C$72))"),"")</f>
        <v/>
      </c>
      <c r="S306" s="61" t="str">
        <f>IFERROR(__xludf.DUMMYFUNCTION("INDIRECT(""'收支紀錄'!S""&amp;TO_TEXT(ROW()-$C$72))"),"台企銀")</f>
        <v>台企銀</v>
      </c>
      <c r="T306" s="61" t="str">
        <f>IFERROR(__xludf.DUMMYFUNCTION("INDIRECT(""'收支紀錄'!T""&amp;TO_TEXT(ROW()-$C$72))"),"是")</f>
        <v>是</v>
      </c>
      <c r="U306" s="62" t="str">
        <f>IFERROR(__xludf.DUMMYFUNCTION("IF(T306=""是"",TEXTJOIN("""", TRUE, ""$"", TO_TEXT(C306), S306),"""")"),"$2291台企銀")</f>
        <v>$2291台企銀</v>
      </c>
    </row>
    <row r="307">
      <c r="A307" s="58">
        <f>IFERROR(__xludf.DUMMYFUNCTION("INDIRECT(""'收支紀錄'!A""&amp;TO_TEXT(ROW()-$C$72))"),45573.90559733796)</f>
        <v>45573.9056</v>
      </c>
      <c r="B307" s="59">
        <f>IFERROR(__xludf.DUMMYFUNCTION("IF(ISBLANK(D307), """", IF(ISDATE(D307), D307, IF(D307=""今天"", A307, IF(D307=""昨天 (-1 day)"", A307-1, IF(D307=""前天 (-2 days)"", A307-2, IF(D307=""明天 (+1 day)"", A307+1, DATE(LEFT(D307,4), MID(D307,5,2), RIGHT(D307,2))))))))"),45548.0)</f>
        <v>45548</v>
      </c>
      <c r="C307" s="60">
        <f>IFERROR(__xludf.DUMMYFUNCTION("INDIRECT(""'收支紀錄'!C""&amp;TO_TEXT(ROW()-$C$72))"),1653.0)</f>
        <v>1653</v>
      </c>
      <c r="D307" s="63">
        <f>IFERROR(__xludf.DUMMYFUNCTION("INDIRECT(""'收支紀錄'!D""&amp;TO_TEXT(ROW()-$C$72))"),2.0240913E7)</f>
        <v>20240913</v>
      </c>
      <c r="E307" s="61" t="str">
        <f>IFERROR(__xludf.DUMMYFUNCTION("INDIRECT(""'收支紀錄'!E""&amp;TO_TEXT(ROW()-$C$72))"),"其他業外")</f>
        <v>其他業外</v>
      </c>
      <c r="F307" s="61" t="str">
        <f>IFERROR(__xludf.DUMMYFUNCTION("INDIRECT(""'收支紀錄'!F""&amp;TO_TEXT(ROW()-$C$72))"),"")</f>
        <v/>
      </c>
      <c r="G307" s="61" t="str">
        <f>IFERROR(__xludf.DUMMYFUNCTION("INDIRECT(""'收支紀錄'!G""&amp;TO_TEXT(ROW()-$C$72))"),"股票配息")</f>
        <v>股票配息</v>
      </c>
      <c r="H307" s="61" t="str">
        <f>IFERROR(__xludf.DUMMYFUNCTION("INDIRECT(""'收支紀錄'!H""&amp;TO_TEXT(ROW()-$C$72))"),"")</f>
        <v/>
      </c>
      <c r="I307" s="61" t="str">
        <f>IFERROR(__xludf.DUMMYFUNCTION("INDIRECT(""'收支紀錄'!I""&amp;TO_TEXT(ROW()-$C$72))"),"")</f>
        <v/>
      </c>
      <c r="J307" s="61" t="str">
        <f>IFERROR(__xludf.DUMMYFUNCTION("INDIRECT(""'收支紀錄'!J""&amp;TO_TEXT(ROW()-$C$72))"),"")</f>
        <v/>
      </c>
      <c r="K307" s="61" t="str">
        <f>IFERROR(__xludf.DUMMYFUNCTION("INDIRECT(""'收支紀錄'!K""&amp;TO_TEXT(ROW()-$C$72))"),"")</f>
        <v/>
      </c>
      <c r="L307" s="61" t="str">
        <f>IFERROR(__xludf.DUMMYFUNCTION("INDIRECT(""'收支紀錄'!L""&amp;TO_TEXT(ROW()-$C$72))"),"")</f>
        <v/>
      </c>
      <c r="M307" s="61" t="str">
        <f>IFERROR(__xludf.DUMMYFUNCTION("INDIRECT(""'收支紀錄'!M""&amp;TO_TEXT(ROW()-$C$72))"),"")</f>
        <v/>
      </c>
      <c r="N307" s="61" t="str">
        <f>IFERROR(__xludf.DUMMYFUNCTION("INDIRECT(""'收支紀錄'!N""&amp;TO_TEXT(ROW()-$C$72))"),"")</f>
        <v/>
      </c>
      <c r="O307" s="61" t="str">
        <f>IFERROR(__xludf.DUMMYFUNCTION("INDIRECT(""'收支紀錄'!O""&amp;TO_TEXT(ROW()-$C$72))"),"")</f>
        <v/>
      </c>
      <c r="P307" s="61" t="str">
        <f>IFERROR(__xludf.DUMMYFUNCTION("INDIRECT(""'收支紀錄'!P""&amp;TO_TEXT(ROW()-$C$72))"),"")</f>
        <v/>
      </c>
      <c r="Q307" s="61" t="str">
        <f>IFERROR(__xludf.DUMMYFUNCTION("INDIRECT(""'收支紀錄'!Q""&amp;TO_TEXT(ROW()-$C$72))"),"")</f>
        <v/>
      </c>
      <c r="R307" s="61" t="str">
        <f>IFERROR(__xludf.DUMMYFUNCTION("INDIRECT(""'收支紀錄'!R""&amp;TO_TEXT(ROW()-$C$72))"),"")</f>
        <v/>
      </c>
      <c r="S307" s="61" t="str">
        <f>IFERROR(__xludf.DUMMYFUNCTION("INDIRECT(""'收支紀錄'!S""&amp;TO_TEXT(ROW()-$C$72))"),"兆豐金")</f>
        <v>兆豐金</v>
      </c>
      <c r="T307" s="61" t="str">
        <f>IFERROR(__xludf.DUMMYFUNCTION("INDIRECT(""'收支紀錄'!T""&amp;TO_TEXT(ROW()-$C$72))"),"是")</f>
        <v>是</v>
      </c>
      <c r="U307" s="62" t="str">
        <f>IFERROR(__xludf.DUMMYFUNCTION("IF(T307=""是"",TEXTJOIN("""", TRUE, ""$"", TO_TEXT(C307), S307),"""")"),"$1653兆豐金")</f>
        <v>$1653兆豐金</v>
      </c>
    </row>
    <row r="308">
      <c r="A308" s="58">
        <f>IFERROR(__xludf.DUMMYFUNCTION("INDIRECT(""'收支紀錄'!A""&amp;TO_TEXT(ROW()-$C$72))"),45573.906069502314)</f>
        <v>45573.90607</v>
      </c>
      <c r="B308" s="59">
        <f>IFERROR(__xludf.DUMMYFUNCTION("IF(ISBLANK(D308), """", IF(ISDATE(D308), D308, IF(D308=""今天"", A308, IF(D308=""昨天 (-1 day)"", A308-1, IF(D308=""前天 (-2 days)"", A308-2, IF(D308=""明天 (+1 day)"", A308+1, DATE(LEFT(D308,4), MID(D308,5,2), RIGHT(D308,2))))))))"),45551.0)</f>
        <v>45551</v>
      </c>
      <c r="C308" s="60">
        <f>IFERROR(__xludf.DUMMYFUNCTION("INDIRECT(""'收支紀錄'!C""&amp;TO_TEXT(ROW()-$C$72))"),2590.0)</f>
        <v>2590</v>
      </c>
      <c r="D308" s="63">
        <f>IFERROR(__xludf.DUMMYFUNCTION("INDIRECT(""'收支紀錄'!D""&amp;TO_TEXT(ROW()-$C$72))"),2.0240916E7)</f>
        <v>20240916</v>
      </c>
      <c r="E308" s="61" t="str">
        <f>IFERROR(__xludf.DUMMYFUNCTION("INDIRECT(""'收支紀錄'!E""&amp;TO_TEXT(ROW()-$C$72))"),"其他業外")</f>
        <v>其他業外</v>
      </c>
      <c r="F308" s="61" t="str">
        <f>IFERROR(__xludf.DUMMYFUNCTION("INDIRECT(""'收支紀錄'!F""&amp;TO_TEXT(ROW()-$C$72))"),"")</f>
        <v/>
      </c>
      <c r="G308" s="61" t="str">
        <f>IFERROR(__xludf.DUMMYFUNCTION("INDIRECT(""'收支紀錄'!G""&amp;TO_TEXT(ROW()-$C$72))"),"股票配息")</f>
        <v>股票配息</v>
      </c>
      <c r="H308" s="61" t="str">
        <f>IFERROR(__xludf.DUMMYFUNCTION("INDIRECT(""'收支紀錄'!H""&amp;TO_TEXT(ROW()-$C$72))"),"")</f>
        <v/>
      </c>
      <c r="I308" s="61" t="str">
        <f>IFERROR(__xludf.DUMMYFUNCTION("INDIRECT(""'收支紀錄'!I""&amp;TO_TEXT(ROW()-$C$72))"),"")</f>
        <v/>
      </c>
      <c r="J308" s="61" t="str">
        <f>IFERROR(__xludf.DUMMYFUNCTION("INDIRECT(""'收支紀錄'!J""&amp;TO_TEXT(ROW()-$C$72))"),"")</f>
        <v/>
      </c>
      <c r="K308" s="61" t="str">
        <f>IFERROR(__xludf.DUMMYFUNCTION("INDIRECT(""'收支紀錄'!K""&amp;TO_TEXT(ROW()-$C$72))"),"")</f>
        <v/>
      </c>
      <c r="L308" s="61" t="str">
        <f>IFERROR(__xludf.DUMMYFUNCTION("INDIRECT(""'收支紀錄'!L""&amp;TO_TEXT(ROW()-$C$72))"),"")</f>
        <v/>
      </c>
      <c r="M308" s="61" t="str">
        <f>IFERROR(__xludf.DUMMYFUNCTION("INDIRECT(""'收支紀錄'!M""&amp;TO_TEXT(ROW()-$C$72))"),"")</f>
        <v/>
      </c>
      <c r="N308" s="61" t="str">
        <f>IFERROR(__xludf.DUMMYFUNCTION("INDIRECT(""'收支紀錄'!N""&amp;TO_TEXT(ROW()-$C$72))"),"")</f>
        <v/>
      </c>
      <c r="O308" s="61" t="str">
        <f>IFERROR(__xludf.DUMMYFUNCTION("INDIRECT(""'收支紀錄'!O""&amp;TO_TEXT(ROW()-$C$72))"),"")</f>
        <v/>
      </c>
      <c r="P308" s="61" t="str">
        <f>IFERROR(__xludf.DUMMYFUNCTION("INDIRECT(""'收支紀錄'!P""&amp;TO_TEXT(ROW()-$C$72))"),"")</f>
        <v/>
      </c>
      <c r="Q308" s="61" t="str">
        <f>IFERROR(__xludf.DUMMYFUNCTION("INDIRECT(""'收支紀錄'!Q""&amp;TO_TEXT(ROW()-$C$72))"),"")</f>
        <v/>
      </c>
      <c r="R308" s="61" t="str">
        <f>IFERROR(__xludf.DUMMYFUNCTION("INDIRECT(""'收支紀錄'!R""&amp;TO_TEXT(ROW()-$C$72))"),"")</f>
        <v/>
      </c>
      <c r="S308" s="61" t="str">
        <f>IFERROR(__xludf.DUMMYFUNCTION("INDIRECT(""'收支紀錄'!S""&amp;TO_TEXT(ROW()-$C$72))"),"合庫金")</f>
        <v>合庫金</v>
      </c>
      <c r="T308" s="61" t="str">
        <f>IFERROR(__xludf.DUMMYFUNCTION("INDIRECT(""'收支紀錄'!T""&amp;TO_TEXT(ROW()-$C$72))"),"是")</f>
        <v>是</v>
      </c>
      <c r="U308" s="62" t="str">
        <f>IFERROR(__xludf.DUMMYFUNCTION("IF(T308=""是"",TEXTJOIN("""", TRUE, ""$"", TO_TEXT(C308), S308),"""")"),"$2590合庫金")</f>
        <v>$2590合庫金</v>
      </c>
    </row>
    <row r="309">
      <c r="A309" s="58">
        <f>IFERROR(__xludf.DUMMYFUNCTION("INDIRECT(""'收支紀錄'!A""&amp;TO_TEXT(ROW()-$C$72))"),45573.90651324074)</f>
        <v>45573.90651</v>
      </c>
      <c r="B309" s="59">
        <f>IFERROR(__xludf.DUMMYFUNCTION("IF(ISBLANK(D309), """", IF(ISDATE(D309), D309, IF(D309=""今天"", A309, IF(D309=""昨天 (-1 day)"", A309-1, IF(D309=""前天 (-2 days)"", A309-2, IF(D309=""明天 (+1 day)"", A309+1, DATE(LEFT(D309,4), MID(D309,5,2), RIGHT(D309,2))))))))"),45553.0)</f>
        <v>45553</v>
      </c>
      <c r="C309" s="60">
        <f>IFERROR(__xludf.DUMMYFUNCTION("INDIRECT(""'收支紀錄'!C""&amp;TO_TEXT(ROW()-$C$72))"),890.0)</f>
        <v>890</v>
      </c>
      <c r="D309" s="63">
        <f>IFERROR(__xludf.DUMMYFUNCTION("INDIRECT(""'收支紀錄'!D""&amp;TO_TEXT(ROW()-$C$72))"),2.0240918E7)</f>
        <v>20240918</v>
      </c>
      <c r="E309" s="61" t="str">
        <f>IFERROR(__xludf.DUMMYFUNCTION("INDIRECT(""'收支紀錄'!E""&amp;TO_TEXT(ROW()-$C$72))"),"其他業外")</f>
        <v>其他業外</v>
      </c>
      <c r="F309" s="61" t="str">
        <f>IFERROR(__xludf.DUMMYFUNCTION("INDIRECT(""'收支紀錄'!F""&amp;TO_TEXT(ROW()-$C$72))"),"")</f>
        <v/>
      </c>
      <c r="G309" s="61" t="str">
        <f>IFERROR(__xludf.DUMMYFUNCTION("INDIRECT(""'收支紀錄'!G""&amp;TO_TEXT(ROW()-$C$72))"),"股票配息")</f>
        <v>股票配息</v>
      </c>
      <c r="H309" s="61" t="str">
        <f>IFERROR(__xludf.DUMMYFUNCTION("INDIRECT(""'收支紀錄'!H""&amp;TO_TEXT(ROW()-$C$72))"),"")</f>
        <v/>
      </c>
      <c r="I309" s="61" t="str">
        <f>IFERROR(__xludf.DUMMYFUNCTION("INDIRECT(""'收支紀錄'!I""&amp;TO_TEXT(ROW()-$C$72))"),"")</f>
        <v/>
      </c>
      <c r="J309" s="61" t="str">
        <f>IFERROR(__xludf.DUMMYFUNCTION("INDIRECT(""'收支紀錄'!J""&amp;TO_TEXT(ROW()-$C$72))"),"")</f>
        <v/>
      </c>
      <c r="K309" s="61" t="str">
        <f>IFERROR(__xludf.DUMMYFUNCTION("INDIRECT(""'收支紀錄'!K""&amp;TO_TEXT(ROW()-$C$72))"),"")</f>
        <v/>
      </c>
      <c r="L309" s="61" t="str">
        <f>IFERROR(__xludf.DUMMYFUNCTION("INDIRECT(""'收支紀錄'!L""&amp;TO_TEXT(ROW()-$C$72))"),"")</f>
        <v/>
      </c>
      <c r="M309" s="61" t="str">
        <f>IFERROR(__xludf.DUMMYFUNCTION("INDIRECT(""'收支紀錄'!M""&amp;TO_TEXT(ROW()-$C$72))"),"")</f>
        <v/>
      </c>
      <c r="N309" s="61" t="str">
        <f>IFERROR(__xludf.DUMMYFUNCTION("INDIRECT(""'收支紀錄'!N""&amp;TO_TEXT(ROW()-$C$72))"),"")</f>
        <v/>
      </c>
      <c r="O309" s="61" t="str">
        <f>IFERROR(__xludf.DUMMYFUNCTION("INDIRECT(""'收支紀錄'!O""&amp;TO_TEXT(ROW()-$C$72))"),"")</f>
        <v/>
      </c>
      <c r="P309" s="61" t="str">
        <f>IFERROR(__xludf.DUMMYFUNCTION("INDIRECT(""'收支紀錄'!P""&amp;TO_TEXT(ROW()-$C$72))"),"")</f>
        <v/>
      </c>
      <c r="Q309" s="61" t="str">
        <f>IFERROR(__xludf.DUMMYFUNCTION("INDIRECT(""'收支紀錄'!Q""&amp;TO_TEXT(ROW()-$C$72))"),"")</f>
        <v/>
      </c>
      <c r="R309" s="61" t="str">
        <f>IFERROR(__xludf.DUMMYFUNCTION("INDIRECT(""'收支紀錄'!R""&amp;TO_TEXT(ROW()-$C$72))"),"")</f>
        <v/>
      </c>
      <c r="S309" s="61" t="str">
        <f>IFERROR(__xludf.DUMMYFUNCTION("INDIRECT(""'收支紀錄'!S""&amp;TO_TEXT(ROW()-$C$72))"),"高雄銀")</f>
        <v>高雄銀</v>
      </c>
      <c r="T309" s="61" t="str">
        <f>IFERROR(__xludf.DUMMYFUNCTION("INDIRECT(""'收支紀錄'!T""&amp;TO_TEXT(ROW()-$C$72))"),"是")</f>
        <v>是</v>
      </c>
      <c r="U309" s="62" t="str">
        <f>IFERROR(__xludf.DUMMYFUNCTION("IF(T309=""是"",TEXTJOIN("""", TRUE, ""$"", TO_TEXT(C309), S309),"""")"),"$890高雄銀")</f>
        <v>$890高雄銀</v>
      </c>
    </row>
    <row r="310">
      <c r="A310" s="58">
        <f>IFERROR(__xludf.DUMMYFUNCTION("INDIRECT(""'收支紀錄'!A""&amp;TO_TEXT(ROW()-$C$72))"),45573.90689201389)</f>
        <v>45573.90689</v>
      </c>
      <c r="B310" s="59">
        <f>IFERROR(__xludf.DUMMYFUNCTION("IF(ISBLANK(D310), """", IF(ISDATE(D310), D310, IF(D310=""今天"", A310, IF(D310=""昨天 (-1 day)"", A310-1, IF(D310=""前天 (-2 days)"", A310-2, IF(D310=""明天 (+1 day)"", A310+1, DATE(LEFT(D310,4), MID(D310,5,2), RIGHT(D310,2))))))))"),45554.0)</f>
        <v>45554</v>
      </c>
      <c r="C310" s="60">
        <f>IFERROR(__xludf.DUMMYFUNCTION("INDIRECT(""'收支紀錄'!C""&amp;TO_TEXT(ROW()-$C$72))"),1690.0)</f>
        <v>1690</v>
      </c>
      <c r="D310" s="63">
        <f>IFERROR(__xludf.DUMMYFUNCTION("INDIRECT(""'收支紀錄'!D""&amp;TO_TEXT(ROW()-$C$72))"),2.0240919E7)</f>
        <v>20240919</v>
      </c>
      <c r="E310" s="61" t="str">
        <f>IFERROR(__xludf.DUMMYFUNCTION("INDIRECT(""'收支紀錄'!E""&amp;TO_TEXT(ROW()-$C$72))"),"其他業外")</f>
        <v>其他業外</v>
      </c>
      <c r="F310" s="61" t="str">
        <f>IFERROR(__xludf.DUMMYFUNCTION("INDIRECT(""'收支紀錄'!F""&amp;TO_TEXT(ROW()-$C$72))"),"")</f>
        <v/>
      </c>
      <c r="G310" s="61" t="str">
        <f>IFERROR(__xludf.DUMMYFUNCTION("INDIRECT(""'收支紀錄'!G""&amp;TO_TEXT(ROW()-$C$72))"),"股票配息")</f>
        <v>股票配息</v>
      </c>
      <c r="H310" s="61" t="str">
        <f>IFERROR(__xludf.DUMMYFUNCTION("INDIRECT(""'收支紀錄'!H""&amp;TO_TEXT(ROW()-$C$72))"),"")</f>
        <v/>
      </c>
      <c r="I310" s="61" t="str">
        <f>IFERROR(__xludf.DUMMYFUNCTION("INDIRECT(""'收支紀錄'!I""&amp;TO_TEXT(ROW()-$C$72))"),"")</f>
        <v/>
      </c>
      <c r="J310" s="61" t="str">
        <f>IFERROR(__xludf.DUMMYFUNCTION("INDIRECT(""'收支紀錄'!J""&amp;TO_TEXT(ROW()-$C$72))"),"")</f>
        <v/>
      </c>
      <c r="K310" s="61" t="str">
        <f>IFERROR(__xludf.DUMMYFUNCTION("INDIRECT(""'收支紀錄'!K""&amp;TO_TEXT(ROW()-$C$72))"),"")</f>
        <v/>
      </c>
      <c r="L310" s="61" t="str">
        <f>IFERROR(__xludf.DUMMYFUNCTION("INDIRECT(""'收支紀錄'!L""&amp;TO_TEXT(ROW()-$C$72))"),"")</f>
        <v/>
      </c>
      <c r="M310" s="61" t="str">
        <f>IFERROR(__xludf.DUMMYFUNCTION("INDIRECT(""'收支紀錄'!M""&amp;TO_TEXT(ROW()-$C$72))"),"")</f>
        <v/>
      </c>
      <c r="N310" s="61" t="str">
        <f>IFERROR(__xludf.DUMMYFUNCTION("INDIRECT(""'收支紀錄'!N""&amp;TO_TEXT(ROW()-$C$72))"),"")</f>
        <v/>
      </c>
      <c r="O310" s="61" t="str">
        <f>IFERROR(__xludf.DUMMYFUNCTION("INDIRECT(""'收支紀錄'!O""&amp;TO_TEXT(ROW()-$C$72))"),"")</f>
        <v/>
      </c>
      <c r="P310" s="61" t="str">
        <f>IFERROR(__xludf.DUMMYFUNCTION("INDIRECT(""'收支紀錄'!P""&amp;TO_TEXT(ROW()-$C$72))"),"")</f>
        <v/>
      </c>
      <c r="Q310" s="61" t="str">
        <f>IFERROR(__xludf.DUMMYFUNCTION("INDIRECT(""'收支紀錄'!Q""&amp;TO_TEXT(ROW()-$C$72))"),"")</f>
        <v/>
      </c>
      <c r="R310" s="61" t="str">
        <f>IFERROR(__xludf.DUMMYFUNCTION("INDIRECT(""'收支紀錄'!R""&amp;TO_TEXT(ROW()-$C$72))"),"")</f>
        <v/>
      </c>
      <c r="S310" s="61" t="str">
        <f>IFERROR(__xludf.DUMMYFUNCTION("INDIRECT(""'收支紀錄'!S""&amp;TO_TEXT(ROW()-$C$72))"),"彰銀")</f>
        <v>彰銀</v>
      </c>
      <c r="T310" s="61" t="str">
        <f>IFERROR(__xludf.DUMMYFUNCTION("INDIRECT(""'收支紀錄'!T""&amp;TO_TEXT(ROW()-$C$72))"),"是")</f>
        <v>是</v>
      </c>
      <c r="U310" s="62" t="str">
        <f>IFERROR(__xludf.DUMMYFUNCTION("IF(T310=""是"",TEXTJOIN("""", TRUE, ""$"", TO_TEXT(C310), S310),"""")"),"$1690彰銀")</f>
        <v>$1690彰銀</v>
      </c>
    </row>
    <row r="311">
      <c r="A311" s="58">
        <f>IFERROR(__xludf.DUMMYFUNCTION("INDIRECT(""'收支紀錄'!A""&amp;TO_TEXT(ROW()-$C$72))"),45573.90745142361)</f>
        <v>45573.90745</v>
      </c>
      <c r="B311" s="59">
        <f>IFERROR(__xludf.DUMMYFUNCTION("IF(ISBLANK(D311), """", IF(ISDATE(D311), D311, IF(D311=""今天"", A311, IF(D311=""昨天 (-1 day)"", A311-1, IF(D311=""前天 (-2 days)"", A311-2, IF(D311=""明天 (+1 day)"", A311+1, DATE(LEFT(D311,4), MID(D311,5,2), RIGHT(D311,2))))))))"),45561.0)</f>
        <v>45561</v>
      </c>
      <c r="C311" s="60">
        <f>IFERROR(__xludf.DUMMYFUNCTION("INDIRECT(""'收支紀錄'!C""&amp;TO_TEXT(ROW()-$C$72))"),3990.0)</f>
        <v>3990</v>
      </c>
      <c r="D311" s="63">
        <f>IFERROR(__xludf.DUMMYFUNCTION("INDIRECT(""'收支紀錄'!D""&amp;TO_TEXT(ROW()-$C$72))"),2.0240926E7)</f>
        <v>20240926</v>
      </c>
      <c r="E311" s="61" t="str">
        <f>IFERROR(__xludf.DUMMYFUNCTION("INDIRECT(""'收支紀錄'!E""&amp;TO_TEXT(ROW()-$C$72))"),"其他業外")</f>
        <v>其他業外</v>
      </c>
      <c r="F311" s="61" t="str">
        <f>IFERROR(__xludf.DUMMYFUNCTION("INDIRECT(""'收支紀錄'!F""&amp;TO_TEXT(ROW()-$C$72))"),"")</f>
        <v/>
      </c>
      <c r="G311" s="61" t="str">
        <f>IFERROR(__xludf.DUMMYFUNCTION("INDIRECT(""'收支紀錄'!G""&amp;TO_TEXT(ROW()-$C$72))"),"股票配息")</f>
        <v>股票配息</v>
      </c>
      <c r="H311" s="61" t="str">
        <f>IFERROR(__xludf.DUMMYFUNCTION("INDIRECT(""'收支紀錄'!H""&amp;TO_TEXT(ROW()-$C$72))"),"")</f>
        <v/>
      </c>
      <c r="I311" s="61" t="str">
        <f>IFERROR(__xludf.DUMMYFUNCTION("INDIRECT(""'收支紀錄'!I""&amp;TO_TEXT(ROW()-$C$72))"),"")</f>
        <v/>
      </c>
      <c r="J311" s="61" t="str">
        <f>IFERROR(__xludf.DUMMYFUNCTION("INDIRECT(""'收支紀錄'!J""&amp;TO_TEXT(ROW()-$C$72))"),"")</f>
        <v/>
      </c>
      <c r="K311" s="61" t="str">
        <f>IFERROR(__xludf.DUMMYFUNCTION("INDIRECT(""'收支紀錄'!K""&amp;TO_TEXT(ROW()-$C$72))"),"")</f>
        <v/>
      </c>
      <c r="L311" s="61" t="str">
        <f>IFERROR(__xludf.DUMMYFUNCTION("INDIRECT(""'收支紀錄'!L""&amp;TO_TEXT(ROW()-$C$72))"),"")</f>
        <v/>
      </c>
      <c r="M311" s="61" t="str">
        <f>IFERROR(__xludf.DUMMYFUNCTION("INDIRECT(""'收支紀錄'!M""&amp;TO_TEXT(ROW()-$C$72))"),"")</f>
        <v/>
      </c>
      <c r="N311" s="61" t="str">
        <f>IFERROR(__xludf.DUMMYFUNCTION("INDIRECT(""'收支紀錄'!N""&amp;TO_TEXT(ROW()-$C$72))"),"")</f>
        <v/>
      </c>
      <c r="O311" s="61" t="str">
        <f>IFERROR(__xludf.DUMMYFUNCTION("INDIRECT(""'收支紀錄'!O""&amp;TO_TEXT(ROW()-$C$72))"),"")</f>
        <v/>
      </c>
      <c r="P311" s="61" t="str">
        <f>IFERROR(__xludf.DUMMYFUNCTION("INDIRECT(""'收支紀錄'!P""&amp;TO_TEXT(ROW()-$C$72))"),"")</f>
        <v/>
      </c>
      <c r="Q311" s="61" t="str">
        <f>IFERROR(__xludf.DUMMYFUNCTION("INDIRECT(""'收支紀錄'!Q""&amp;TO_TEXT(ROW()-$C$72))"),"")</f>
        <v/>
      </c>
      <c r="R311" s="61" t="str">
        <f>IFERROR(__xludf.DUMMYFUNCTION("INDIRECT(""'收支紀錄'!R""&amp;TO_TEXT(ROW()-$C$72))"),"")</f>
        <v/>
      </c>
      <c r="S311" s="61" t="str">
        <f>IFERROR(__xludf.DUMMYFUNCTION("INDIRECT(""'收支紀錄'!S""&amp;TO_TEXT(ROW()-$C$72))"),"禾聯碩")</f>
        <v>禾聯碩</v>
      </c>
      <c r="T311" s="61" t="str">
        <f>IFERROR(__xludf.DUMMYFUNCTION("INDIRECT(""'收支紀錄'!T""&amp;TO_TEXT(ROW()-$C$72))"),"是")</f>
        <v>是</v>
      </c>
      <c r="U311" s="62" t="str">
        <f>IFERROR(__xludf.DUMMYFUNCTION("IF(T311=""是"",TEXTJOIN("""", TRUE, ""$"", TO_TEXT(C311), S311),"""")"),"$3990禾聯碩")</f>
        <v>$3990禾聯碩</v>
      </c>
    </row>
    <row r="312">
      <c r="A312" s="58">
        <f>IFERROR(__xludf.DUMMYFUNCTION("INDIRECT(""'收支紀錄'!A""&amp;TO_TEXT(ROW()-$C$72))"),45573.90948659722)</f>
        <v>45573.90949</v>
      </c>
      <c r="B312" s="59">
        <f>IFERROR(__xludf.DUMMYFUNCTION("IF(ISBLANK(D312), """", IF(ISDATE(D312), D312, IF(D312=""今天"", A312, IF(D312=""昨天 (-1 day)"", A312-1, IF(D312=""前天 (-2 days)"", A312-2, IF(D312=""明天 (+1 day)"", A312+1, DATE(LEFT(D312,4), MID(D312,5,2), RIGHT(D312,2))))))))"),45573.90948659722)</f>
        <v>45573.90949</v>
      </c>
      <c r="C312" s="60">
        <f>IFERROR(__xludf.DUMMYFUNCTION("INDIRECT(""'收支紀錄'!C""&amp;TO_TEXT(ROW()-$C$72))"),5000.0)</f>
        <v>5000</v>
      </c>
      <c r="D312" s="63" t="str">
        <f>IFERROR(__xludf.DUMMYFUNCTION("INDIRECT(""'收支紀錄'!D""&amp;TO_TEXT(ROW()-$C$72))"),"今天")</f>
        <v>今天</v>
      </c>
      <c r="E312" s="61" t="str">
        <f>IFERROR(__xludf.DUMMYFUNCTION("INDIRECT(""'收支紀錄'!E""&amp;TO_TEXT(ROW()-$C$72))"),"其他業外")</f>
        <v>其他業外</v>
      </c>
      <c r="F312" s="61" t="str">
        <f>IFERROR(__xludf.DUMMYFUNCTION("INDIRECT(""'收支紀錄'!F""&amp;TO_TEXT(ROW()-$C$72))"),"")</f>
        <v/>
      </c>
      <c r="G312" s="61" t="str">
        <f>IFERROR(__xludf.DUMMYFUNCTION("INDIRECT(""'收支紀錄'!G""&amp;TO_TEXT(ROW()-$C$72))"),"房屋補貼")</f>
        <v>房屋補貼</v>
      </c>
      <c r="H312" s="61" t="str">
        <f>IFERROR(__xludf.DUMMYFUNCTION("INDIRECT(""'收支紀錄'!H""&amp;TO_TEXT(ROW()-$C$72))"),"")</f>
        <v/>
      </c>
      <c r="I312" s="61" t="str">
        <f>IFERROR(__xludf.DUMMYFUNCTION("INDIRECT(""'收支紀錄'!I""&amp;TO_TEXT(ROW()-$C$72))"),"")</f>
        <v/>
      </c>
      <c r="J312" s="61" t="str">
        <f>IFERROR(__xludf.DUMMYFUNCTION("INDIRECT(""'收支紀錄'!J""&amp;TO_TEXT(ROW()-$C$72))"),"")</f>
        <v/>
      </c>
      <c r="K312" s="61" t="str">
        <f>IFERROR(__xludf.DUMMYFUNCTION("INDIRECT(""'收支紀錄'!K""&amp;TO_TEXT(ROW()-$C$72))"),"")</f>
        <v/>
      </c>
      <c r="L312" s="61" t="str">
        <f>IFERROR(__xludf.DUMMYFUNCTION("INDIRECT(""'收支紀錄'!L""&amp;TO_TEXT(ROW()-$C$72))"),"")</f>
        <v/>
      </c>
      <c r="M312" s="61" t="str">
        <f>IFERROR(__xludf.DUMMYFUNCTION("INDIRECT(""'收支紀錄'!M""&amp;TO_TEXT(ROW()-$C$72))"),"")</f>
        <v/>
      </c>
      <c r="N312" s="61" t="str">
        <f>IFERROR(__xludf.DUMMYFUNCTION("INDIRECT(""'收支紀錄'!N""&amp;TO_TEXT(ROW()-$C$72))"),"")</f>
        <v/>
      </c>
      <c r="O312" s="61" t="str">
        <f>IFERROR(__xludf.DUMMYFUNCTION("INDIRECT(""'收支紀錄'!O""&amp;TO_TEXT(ROW()-$C$72))"),"")</f>
        <v/>
      </c>
      <c r="P312" s="61" t="str">
        <f>IFERROR(__xludf.DUMMYFUNCTION("INDIRECT(""'收支紀錄'!P""&amp;TO_TEXT(ROW()-$C$72))"),"")</f>
        <v/>
      </c>
      <c r="Q312" s="61" t="str">
        <f>IFERROR(__xludf.DUMMYFUNCTION("INDIRECT(""'收支紀錄'!Q""&amp;TO_TEXT(ROW()-$C$72))"),"")</f>
        <v/>
      </c>
      <c r="R312" s="61" t="str">
        <f>IFERROR(__xludf.DUMMYFUNCTION("INDIRECT(""'收支紀錄'!R""&amp;TO_TEXT(ROW()-$C$72))"),"")</f>
        <v/>
      </c>
      <c r="S312" s="61" t="str">
        <f>IFERROR(__xludf.DUMMYFUNCTION("INDIRECT(""'收支紀錄'!S""&amp;TO_TEXT(ROW()-$C$72))"),"文心1")</f>
        <v>文心1</v>
      </c>
      <c r="T312" s="61" t="str">
        <f>IFERROR(__xludf.DUMMYFUNCTION("INDIRECT(""'收支紀錄'!T""&amp;TO_TEXT(ROW()-$C$72))"),"是")</f>
        <v>是</v>
      </c>
      <c r="U312" s="62" t="str">
        <f>IFERROR(__xludf.DUMMYFUNCTION("IF(T312=""是"",TEXTJOIN("""", TRUE, ""$"", TO_TEXT(C312), S312),"""")"),"$5000文心1")</f>
        <v>$5000文心1</v>
      </c>
    </row>
    <row r="313">
      <c r="A313" s="58">
        <f>IFERROR(__xludf.DUMMYFUNCTION("INDIRECT(""'收支紀錄'!A""&amp;TO_TEXT(ROW()-$C$72))"),45575.456712060186)</f>
        <v>45575.45671</v>
      </c>
      <c r="B313" s="59">
        <f>IFERROR(__xludf.DUMMYFUNCTION("IF(ISBLANK(D313), """", IF(ISDATE(D313), D313, IF(D313=""今天"", A313, IF(D313=""昨天 (-1 day)"", A313-1, IF(D313=""前天 (-2 days)"", A313-2, IF(D313=""明天 (+1 day)"", A313+1, DATE(LEFT(D313,4), MID(D313,5,2), RIGHT(D313,2))))))))"),45575.456712060186)</f>
        <v>45575.45671</v>
      </c>
      <c r="C313" s="60">
        <f>IFERROR(__xludf.DUMMYFUNCTION("INDIRECT(""'收支紀錄'!C""&amp;TO_TEXT(ROW()-$C$72))"),858.0)</f>
        <v>858</v>
      </c>
      <c r="D313" s="63" t="str">
        <f>IFERROR(__xludf.DUMMYFUNCTION("INDIRECT(""'收支紀錄'!D""&amp;TO_TEXT(ROW()-$C$72))"),"今天")</f>
        <v>今天</v>
      </c>
      <c r="E313" s="61" t="str">
        <f>IFERROR(__xludf.DUMMYFUNCTION("INDIRECT(""'收支紀錄'!E""&amp;TO_TEXT(ROW()-$C$72))"),"")</f>
        <v/>
      </c>
      <c r="F313" s="61" t="str">
        <f>IFERROR(__xludf.DUMMYFUNCTION("INDIRECT(""'收支紀錄'!F""&amp;TO_TEXT(ROW()-$C$72))"),"")</f>
        <v/>
      </c>
      <c r="G313" s="61" t="str">
        <f>IFERROR(__xludf.DUMMYFUNCTION("INDIRECT(""'收支紀錄'!G""&amp;TO_TEXT(ROW()-$C$72))"),"")</f>
        <v/>
      </c>
      <c r="H313" s="61" t="str">
        <f>IFERROR(__xludf.DUMMYFUNCTION("INDIRECT(""'收支紀錄'!H""&amp;TO_TEXT(ROW()-$C$72))"),"行車交通")</f>
        <v>行車交通</v>
      </c>
      <c r="I313" s="61" t="str">
        <f>IFERROR(__xludf.DUMMYFUNCTION("INDIRECT(""'收支紀錄'!I""&amp;TO_TEXT(ROW()-$C$72))"),"")</f>
        <v/>
      </c>
      <c r="J313" s="61" t="str">
        <f>IFERROR(__xludf.DUMMYFUNCTION("INDIRECT(""'收支紀錄'!J""&amp;TO_TEXT(ROW()-$C$72))"),"")</f>
        <v/>
      </c>
      <c r="K313" s="61" t="str">
        <f>IFERROR(__xludf.DUMMYFUNCTION("INDIRECT(""'收支紀錄'!K""&amp;TO_TEXT(ROW()-$C$72))"),"")</f>
        <v/>
      </c>
      <c r="L313" s="61" t="str">
        <f>IFERROR(__xludf.DUMMYFUNCTION("INDIRECT(""'收支紀錄'!L""&amp;TO_TEXT(ROW()-$C$72))"),"加油")</f>
        <v>加油</v>
      </c>
      <c r="M313" s="61" t="str">
        <f>IFERROR(__xludf.DUMMYFUNCTION("INDIRECT(""'收支紀錄'!M""&amp;TO_TEXT(ROW()-$C$72))"),"")</f>
        <v/>
      </c>
      <c r="N313" s="61" t="str">
        <f>IFERROR(__xludf.DUMMYFUNCTION("INDIRECT(""'收支紀錄'!N""&amp;TO_TEXT(ROW()-$C$72))"),"")</f>
        <v/>
      </c>
      <c r="O313" s="61" t="str">
        <f>IFERROR(__xludf.DUMMYFUNCTION("INDIRECT(""'收支紀錄'!O""&amp;TO_TEXT(ROW()-$C$72))"),"")</f>
        <v/>
      </c>
      <c r="P313" s="61" t="str">
        <f>IFERROR(__xludf.DUMMYFUNCTION("INDIRECT(""'收支紀錄'!P""&amp;TO_TEXT(ROW()-$C$72))"),"")</f>
        <v/>
      </c>
      <c r="Q313" s="61" t="str">
        <f>IFERROR(__xludf.DUMMYFUNCTION("INDIRECT(""'收支紀錄'!Q""&amp;TO_TEXT(ROW()-$C$72))"),"")</f>
        <v/>
      </c>
      <c r="R313" s="61" t="str">
        <f>IFERROR(__xludf.DUMMYFUNCTION("INDIRECT(""'收支紀錄'!R""&amp;TO_TEXT(ROW()-$C$72))"),"")</f>
        <v/>
      </c>
      <c r="S313" s="61" t="str">
        <f>IFERROR(__xludf.DUMMYFUNCTION("INDIRECT(""'收支紀錄'!S""&amp;TO_TEXT(ROW()-$C$72))"),"")</f>
        <v/>
      </c>
      <c r="T313" s="61" t="str">
        <f>IFERROR(__xludf.DUMMYFUNCTION("INDIRECT(""'收支紀錄'!T""&amp;TO_TEXT(ROW()-$C$72))"),"")</f>
        <v/>
      </c>
      <c r="U313" s="62" t="str">
        <f>IFERROR(__xludf.DUMMYFUNCTION("IF(T313=""是"",TEXTJOIN("""", TRUE, ""$"", TO_TEXT(C313), S313),"""")"),"")</f>
        <v/>
      </c>
    </row>
    <row r="314">
      <c r="A314" s="58">
        <f>IFERROR(__xludf.DUMMYFUNCTION("INDIRECT(""'收支紀錄'!A""&amp;TO_TEXT(ROW()-$C$72))"),45575.45721709491)</f>
        <v>45575.45722</v>
      </c>
      <c r="B314" s="59">
        <f>IFERROR(__xludf.DUMMYFUNCTION("IF(ISBLANK(D314), """", IF(ISDATE(D314), D314, IF(D314=""今天"", A314, IF(D314=""昨天 (-1 day)"", A314-1, IF(D314=""前天 (-2 days)"", A314-2, IF(D314=""明天 (+1 day)"", A314+1, DATE(LEFT(D314,4), MID(D314,5,2), RIGHT(D314,2))))))))"),45575.45721709491)</f>
        <v>45575.45722</v>
      </c>
      <c r="C314" s="60">
        <f>IFERROR(__xludf.DUMMYFUNCTION("INDIRECT(""'收支紀錄'!C""&amp;TO_TEXT(ROW()-$C$72))"),320.0)</f>
        <v>320</v>
      </c>
      <c r="D314" s="63" t="str">
        <f>IFERROR(__xludf.DUMMYFUNCTION("INDIRECT(""'收支紀錄'!D""&amp;TO_TEXT(ROW()-$C$72))"),"今天")</f>
        <v>今天</v>
      </c>
      <c r="E314" s="61" t="str">
        <f>IFERROR(__xludf.DUMMYFUNCTION("INDIRECT(""'收支紀錄'!E""&amp;TO_TEXT(ROW()-$C$72))"),"")</f>
        <v/>
      </c>
      <c r="F314" s="61" t="str">
        <f>IFERROR(__xludf.DUMMYFUNCTION("INDIRECT(""'收支紀錄'!F""&amp;TO_TEXT(ROW()-$C$72))"),"")</f>
        <v/>
      </c>
      <c r="G314" s="61" t="str">
        <f>IFERROR(__xludf.DUMMYFUNCTION("INDIRECT(""'收支紀錄'!G""&amp;TO_TEXT(ROW()-$C$72))"),"")</f>
        <v/>
      </c>
      <c r="H314" s="61" t="str">
        <f>IFERROR(__xludf.DUMMYFUNCTION("INDIRECT(""'收支紀錄'!H""&amp;TO_TEXT(ROW()-$C$72))"),"日常生活")</f>
        <v>日常生活</v>
      </c>
      <c r="I314" s="61" t="str">
        <f>IFERROR(__xludf.DUMMYFUNCTION("INDIRECT(""'收支紀錄'!I""&amp;TO_TEXT(ROW()-$C$72))"),"")</f>
        <v/>
      </c>
      <c r="J314" s="61" t="str">
        <f>IFERROR(__xludf.DUMMYFUNCTION("INDIRECT(""'收支紀錄'!J""&amp;TO_TEXT(ROW()-$C$72))"),"日常用品")</f>
        <v>日常用品</v>
      </c>
      <c r="K314" s="61" t="str">
        <f>IFERROR(__xludf.DUMMYFUNCTION("INDIRECT(""'收支紀錄'!K""&amp;TO_TEXT(ROW()-$C$72))"),"")</f>
        <v/>
      </c>
      <c r="L314" s="61" t="str">
        <f>IFERROR(__xludf.DUMMYFUNCTION("INDIRECT(""'收支紀錄'!L""&amp;TO_TEXT(ROW()-$C$72))"),"")</f>
        <v/>
      </c>
      <c r="M314" s="61" t="str">
        <f>IFERROR(__xludf.DUMMYFUNCTION("INDIRECT(""'收支紀錄'!M""&amp;TO_TEXT(ROW()-$C$72))"),"")</f>
        <v/>
      </c>
      <c r="N314" s="61" t="str">
        <f>IFERROR(__xludf.DUMMYFUNCTION("INDIRECT(""'收支紀錄'!N""&amp;TO_TEXT(ROW()-$C$72))"),"")</f>
        <v/>
      </c>
      <c r="O314" s="61" t="str">
        <f>IFERROR(__xludf.DUMMYFUNCTION("INDIRECT(""'收支紀錄'!O""&amp;TO_TEXT(ROW()-$C$72))"),"")</f>
        <v/>
      </c>
      <c r="P314" s="61" t="str">
        <f>IFERROR(__xludf.DUMMYFUNCTION("INDIRECT(""'收支紀錄'!P""&amp;TO_TEXT(ROW()-$C$72))"),"")</f>
        <v/>
      </c>
      <c r="Q314" s="61" t="str">
        <f>IFERROR(__xludf.DUMMYFUNCTION("INDIRECT(""'收支紀錄'!Q""&amp;TO_TEXT(ROW()-$C$72))"),"")</f>
        <v/>
      </c>
      <c r="R314" s="61" t="str">
        <f>IFERROR(__xludf.DUMMYFUNCTION("INDIRECT(""'收支紀錄'!R""&amp;TO_TEXT(ROW()-$C$72))"),"")</f>
        <v/>
      </c>
      <c r="S314" s="61" t="str">
        <f>IFERROR(__xludf.DUMMYFUNCTION("INDIRECT(""'收支紀錄'!S""&amp;TO_TEXT(ROW()-$C$72))"),"")</f>
        <v/>
      </c>
      <c r="T314" s="61" t="str">
        <f>IFERROR(__xludf.DUMMYFUNCTION("INDIRECT(""'收支紀錄'!T""&amp;TO_TEXT(ROW()-$C$72))"),"")</f>
        <v/>
      </c>
      <c r="U314" s="62" t="str">
        <f>IFERROR(__xludf.DUMMYFUNCTION("IF(T314=""是"",TEXTJOIN("""", TRUE, ""$"", TO_TEXT(C314), S314),"""")"),"")</f>
        <v/>
      </c>
    </row>
    <row r="315">
      <c r="A315" s="58">
        <f>IFERROR(__xludf.DUMMYFUNCTION("INDIRECT(""'收支紀錄'!A""&amp;TO_TEXT(ROW()-$C$72))"),45576.34882142361)</f>
        <v>45576.34882</v>
      </c>
      <c r="B315" s="59">
        <f>IFERROR(__xludf.DUMMYFUNCTION("IF(ISBLANK(D315), """", IF(ISDATE(D315), D315, IF(D315=""今天"", A315, IF(D315=""昨天 (-1 day)"", A315-1, IF(D315=""前天 (-2 days)"", A315-2, IF(D315=""明天 (+1 day)"", A315+1, DATE(LEFT(D315,4), MID(D315,5,2), RIGHT(D315,2))))))))"),45574.34882142361)</f>
        <v>45574.34882</v>
      </c>
      <c r="C315" s="60">
        <f>IFERROR(__xludf.DUMMYFUNCTION("INDIRECT(""'收支紀錄'!C""&amp;TO_TEXT(ROW()-$C$72))"),200.0)</f>
        <v>200</v>
      </c>
      <c r="D315" s="63" t="str">
        <f>IFERROR(__xludf.DUMMYFUNCTION("INDIRECT(""'收支紀錄'!D""&amp;TO_TEXT(ROW()-$C$72))"),"前天 (-2 days)")</f>
        <v>前天 (-2 days)</v>
      </c>
      <c r="E315" s="61" t="str">
        <f>IFERROR(__xludf.DUMMYFUNCTION("INDIRECT(""'收支紀錄'!E""&amp;TO_TEXT(ROW()-$C$72))"),"")</f>
        <v/>
      </c>
      <c r="F315" s="61" t="str">
        <f>IFERROR(__xludf.DUMMYFUNCTION("INDIRECT(""'收支紀錄'!F""&amp;TO_TEXT(ROW()-$C$72))"),"")</f>
        <v/>
      </c>
      <c r="G315" s="61" t="str">
        <f>IFERROR(__xludf.DUMMYFUNCTION("INDIRECT(""'收支紀錄'!G""&amp;TO_TEXT(ROW()-$C$72))"),"")</f>
        <v/>
      </c>
      <c r="H315" s="61" t="str">
        <f>IFERROR(__xludf.DUMMYFUNCTION("INDIRECT(""'收支紀錄'!H""&amp;TO_TEXT(ROW()-$C$72))"),"行車交通")</f>
        <v>行車交通</v>
      </c>
      <c r="I315" s="61" t="str">
        <f>IFERROR(__xludf.DUMMYFUNCTION("INDIRECT(""'收支紀錄'!I""&amp;TO_TEXT(ROW()-$C$72))"),"")</f>
        <v/>
      </c>
      <c r="J315" s="61" t="str">
        <f>IFERROR(__xludf.DUMMYFUNCTION("INDIRECT(""'收支紀錄'!J""&amp;TO_TEXT(ROW()-$C$72))"),"")</f>
        <v/>
      </c>
      <c r="K315" s="61" t="str">
        <f>IFERROR(__xludf.DUMMYFUNCTION("INDIRECT(""'收支紀錄'!K""&amp;TO_TEXT(ROW()-$C$72))"),"")</f>
        <v/>
      </c>
      <c r="L315" s="61" t="str">
        <f>IFERROR(__xludf.DUMMYFUNCTION("INDIRECT(""'收支紀錄'!L""&amp;TO_TEXT(ROW()-$C$72))"),"加油")</f>
        <v>加油</v>
      </c>
      <c r="M315" s="61" t="str">
        <f>IFERROR(__xludf.DUMMYFUNCTION("INDIRECT(""'收支紀錄'!M""&amp;TO_TEXT(ROW()-$C$72))"),"")</f>
        <v/>
      </c>
      <c r="N315" s="61" t="str">
        <f>IFERROR(__xludf.DUMMYFUNCTION("INDIRECT(""'收支紀錄'!N""&amp;TO_TEXT(ROW()-$C$72))"),"")</f>
        <v/>
      </c>
      <c r="O315" s="61" t="str">
        <f>IFERROR(__xludf.DUMMYFUNCTION("INDIRECT(""'收支紀錄'!O""&amp;TO_TEXT(ROW()-$C$72))"),"")</f>
        <v/>
      </c>
      <c r="P315" s="61" t="str">
        <f>IFERROR(__xludf.DUMMYFUNCTION("INDIRECT(""'收支紀錄'!P""&amp;TO_TEXT(ROW()-$C$72))"),"")</f>
        <v/>
      </c>
      <c r="Q315" s="61" t="str">
        <f>IFERROR(__xludf.DUMMYFUNCTION("INDIRECT(""'收支紀錄'!Q""&amp;TO_TEXT(ROW()-$C$72))"),"")</f>
        <v/>
      </c>
      <c r="R315" s="61" t="str">
        <f>IFERROR(__xludf.DUMMYFUNCTION("INDIRECT(""'收支紀錄'!R""&amp;TO_TEXT(ROW()-$C$72))"),"")</f>
        <v/>
      </c>
      <c r="S315" s="61" t="str">
        <f>IFERROR(__xludf.DUMMYFUNCTION("INDIRECT(""'收支紀錄'!S""&amp;TO_TEXT(ROW()-$C$72))"),"")</f>
        <v/>
      </c>
      <c r="T315" s="61" t="str">
        <f>IFERROR(__xludf.DUMMYFUNCTION("INDIRECT(""'收支紀錄'!T""&amp;TO_TEXT(ROW()-$C$72))"),"")</f>
        <v/>
      </c>
      <c r="U315" s="62" t="str">
        <f>IFERROR(__xludf.DUMMYFUNCTION("IF(T315=""是"",TEXTJOIN("""", TRUE, ""$"", TO_TEXT(C315), S315),"""")"),"")</f>
        <v/>
      </c>
    </row>
    <row r="316">
      <c r="A316" s="58">
        <f>IFERROR(__xludf.DUMMYFUNCTION("INDIRECT(""'收支紀錄'!A""&amp;TO_TEXT(ROW()-$C$72))"),45576.348973831016)</f>
        <v>45576.34897</v>
      </c>
      <c r="B316" s="59">
        <f>IFERROR(__xludf.DUMMYFUNCTION("IF(ISBLANK(D316), """", IF(ISDATE(D316), D316, IF(D316=""今天"", A316, IF(D316=""昨天 (-1 day)"", A316-1, IF(D316=""前天 (-2 days)"", A316-2, IF(D316=""明天 (+1 day)"", A316+1, DATE(LEFT(D316,4), MID(D316,5,2), RIGHT(D316,2))))))))"),45575.348973831016)</f>
        <v>45575.34897</v>
      </c>
      <c r="C316" s="60">
        <f>IFERROR(__xludf.DUMMYFUNCTION("INDIRECT(""'收支紀錄'!C""&amp;TO_TEXT(ROW()-$C$72))"),20.0)</f>
        <v>20</v>
      </c>
      <c r="D316" s="63" t="str">
        <f>IFERROR(__xludf.DUMMYFUNCTION("INDIRECT(""'收支紀錄'!D""&amp;TO_TEXT(ROW()-$C$72))"),"昨天 (-1 day)")</f>
        <v>昨天 (-1 day)</v>
      </c>
      <c r="E316" s="61" t="str">
        <f>IFERROR(__xludf.DUMMYFUNCTION("INDIRECT(""'收支紀錄'!E""&amp;TO_TEXT(ROW()-$C$72))"),"")</f>
        <v/>
      </c>
      <c r="F316" s="61" t="str">
        <f>IFERROR(__xludf.DUMMYFUNCTION("INDIRECT(""'收支紀錄'!F""&amp;TO_TEXT(ROW()-$C$72))"),"")</f>
        <v/>
      </c>
      <c r="G316" s="61" t="str">
        <f>IFERROR(__xludf.DUMMYFUNCTION("INDIRECT(""'收支紀錄'!G""&amp;TO_TEXT(ROW()-$C$72))"),"")</f>
        <v/>
      </c>
      <c r="H316" s="61" t="str">
        <f>IFERROR(__xludf.DUMMYFUNCTION("INDIRECT(""'收支紀錄'!H""&amp;TO_TEXT(ROW()-$C$72))"),"行車交通")</f>
        <v>行車交通</v>
      </c>
      <c r="I316" s="61" t="str">
        <f>IFERROR(__xludf.DUMMYFUNCTION("INDIRECT(""'收支紀錄'!I""&amp;TO_TEXT(ROW()-$C$72))"),"")</f>
        <v/>
      </c>
      <c r="J316" s="61" t="str">
        <f>IFERROR(__xludf.DUMMYFUNCTION("INDIRECT(""'收支紀錄'!J""&amp;TO_TEXT(ROW()-$C$72))"),"")</f>
        <v/>
      </c>
      <c r="K316" s="61" t="str">
        <f>IFERROR(__xludf.DUMMYFUNCTION("INDIRECT(""'收支紀錄'!K""&amp;TO_TEXT(ROW()-$C$72))"),"")</f>
        <v/>
      </c>
      <c r="L316" s="61" t="str">
        <f>IFERROR(__xludf.DUMMYFUNCTION("INDIRECT(""'收支紀錄'!L""&amp;TO_TEXT(ROW()-$C$72))"),"捷運費")</f>
        <v>捷運費</v>
      </c>
      <c r="M316" s="61" t="str">
        <f>IFERROR(__xludf.DUMMYFUNCTION("INDIRECT(""'收支紀錄'!M""&amp;TO_TEXT(ROW()-$C$72))"),"")</f>
        <v/>
      </c>
      <c r="N316" s="61" t="str">
        <f>IFERROR(__xludf.DUMMYFUNCTION("INDIRECT(""'收支紀錄'!N""&amp;TO_TEXT(ROW()-$C$72))"),"")</f>
        <v/>
      </c>
      <c r="O316" s="61" t="str">
        <f>IFERROR(__xludf.DUMMYFUNCTION("INDIRECT(""'收支紀錄'!O""&amp;TO_TEXT(ROW()-$C$72))"),"")</f>
        <v/>
      </c>
      <c r="P316" s="61" t="str">
        <f>IFERROR(__xludf.DUMMYFUNCTION("INDIRECT(""'收支紀錄'!P""&amp;TO_TEXT(ROW()-$C$72))"),"")</f>
        <v/>
      </c>
      <c r="Q316" s="61" t="str">
        <f>IFERROR(__xludf.DUMMYFUNCTION("INDIRECT(""'收支紀錄'!Q""&amp;TO_TEXT(ROW()-$C$72))"),"")</f>
        <v/>
      </c>
      <c r="R316" s="61" t="str">
        <f>IFERROR(__xludf.DUMMYFUNCTION("INDIRECT(""'收支紀錄'!R""&amp;TO_TEXT(ROW()-$C$72))"),"")</f>
        <v/>
      </c>
      <c r="S316" s="61" t="str">
        <f>IFERROR(__xludf.DUMMYFUNCTION("INDIRECT(""'收支紀錄'!S""&amp;TO_TEXT(ROW()-$C$72))"),"")</f>
        <v/>
      </c>
      <c r="T316" s="61" t="str">
        <f>IFERROR(__xludf.DUMMYFUNCTION("INDIRECT(""'收支紀錄'!T""&amp;TO_TEXT(ROW()-$C$72))"),"")</f>
        <v/>
      </c>
      <c r="U316" s="62" t="str">
        <f>IFERROR(__xludf.DUMMYFUNCTION("IF(T316=""是"",TEXTJOIN("""", TRUE, ""$"", TO_TEXT(C316), S316),"""")"),"")</f>
        <v/>
      </c>
    </row>
    <row r="317">
      <c r="A317" s="58">
        <f>IFERROR(__xludf.DUMMYFUNCTION("INDIRECT(""'收支紀錄'!A""&amp;TO_TEXT(ROW()-$C$72))"),45576.470233217595)</f>
        <v>45576.47023</v>
      </c>
      <c r="B317" s="59">
        <f>IFERROR(__xludf.DUMMYFUNCTION("IF(ISBLANK(D317), """", IF(ISDATE(D317), D317, IF(D317=""今天"", A317, IF(D317=""昨天 (-1 day)"", A317-1, IF(D317=""前天 (-2 days)"", A317-2, IF(D317=""明天 (+1 day)"", A317+1, DATE(LEFT(D317,4), MID(D317,5,2), RIGHT(D317,2))))))))"),45576.470233217595)</f>
        <v>45576.47023</v>
      </c>
      <c r="C317" s="60">
        <f>IFERROR(__xludf.DUMMYFUNCTION("INDIRECT(""'收支紀錄'!C""&amp;TO_TEXT(ROW()-$C$72))"),125.0)</f>
        <v>125</v>
      </c>
      <c r="D317" s="63" t="str">
        <f>IFERROR(__xludf.DUMMYFUNCTION("INDIRECT(""'收支紀錄'!D""&amp;TO_TEXT(ROW()-$C$72))"),"今天")</f>
        <v>今天</v>
      </c>
      <c r="E317" s="61" t="str">
        <f>IFERROR(__xludf.DUMMYFUNCTION("INDIRECT(""'收支紀錄'!E""&amp;TO_TEXT(ROW()-$C$72))"),"")</f>
        <v/>
      </c>
      <c r="F317" s="61" t="str">
        <f>IFERROR(__xludf.DUMMYFUNCTION("INDIRECT(""'收支紀錄'!F""&amp;TO_TEXT(ROW()-$C$72))"),"")</f>
        <v/>
      </c>
      <c r="G317" s="61" t="str">
        <f>IFERROR(__xludf.DUMMYFUNCTION("INDIRECT(""'收支紀錄'!G""&amp;TO_TEXT(ROW()-$C$72))"),"")</f>
        <v/>
      </c>
      <c r="H317" s="61" t="str">
        <f>IFERROR(__xludf.DUMMYFUNCTION("INDIRECT(""'收支紀錄'!H""&amp;TO_TEXT(ROW()-$C$72))"),"日常生活")</f>
        <v>日常生活</v>
      </c>
      <c r="I317" s="61" t="str">
        <f>IFERROR(__xludf.DUMMYFUNCTION("INDIRECT(""'收支紀錄'!I""&amp;TO_TEXT(ROW()-$C$72))"),"")</f>
        <v/>
      </c>
      <c r="J317" s="61" t="str">
        <f>IFERROR(__xludf.DUMMYFUNCTION("INDIRECT(""'收支紀錄'!J""&amp;TO_TEXT(ROW()-$C$72))"),"日常用品")</f>
        <v>日常用品</v>
      </c>
      <c r="K317" s="61" t="str">
        <f>IFERROR(__xludf.DUMMYFUNCTION("INDIRECT(""'收支紀錄'!K""&amp;TO_TEXT(ROW()-$C$72))"),"")</f>
        <v/>
      </c>
      <c r="L317" s="61" t="str">
        <f>IFERROR(__xludf.DUMMYFUNCTION("INDIRECT(""'收支紀錄'!L""&amp;TO_TEXT(ROW()-$C$72))"),"")</f>
        <v/>
      </c>
      <c r="M317" s="61" t="str">
        <f>IFERROR(__xludf.DUMMYFUNCTION("INDIRECT(""'收支紀錄'!M""&amp;TO_TEXT(ROW()-$C$72))"),"")</f>
        <v/>
      </c>
      <c r="N317" s="61" t="str">
        <f>IFERROR(__xludf.DUMMYFUNCTION("INDIRECT(""'收支紀錄'!N""&amp;TO_TEXT(ROW()-$C$72))"),"")</f>
        <v/>
      </c>
      <c r="O317" s="61" t="str">
        <f>IFERROR(__xludf.DUMMYFUNCTION("INDIRECT(""'收支紀錄'!O""&amp;TO_TEXT(ROW()-$C$72))"),"")</f>
        <v/>
      </c>
      <c r="P317" s="61" t="str">
        <f>IFERROR(__xludf.DUMMYFUNCTION("INDIRECT(""'收支紀錄'!P""&amp;TO_TEXT(ROW()-$C$72))"),"")</f>
        <v/>
      </c>
      <c r="Q317" s="61" t="str">
        <f>IFERROR(__xludf.DUMMYFUNCTION("INDIRECT(""'收支紀錄'!Q""&amp;TO_TEXT(ROW()-$C$72))"),"")</f>
        <v/>
      </c>
      <c r="R317" s="61" t="str">
        <f>IFERROR(__xludf.DUMMYFUNCTION("INDIRECT(""'收支紀錄'!R""&amp;TO_TEXT(ROW()-$C$72))"),"")</f>
        <v/>
      </c>
      <c r="S317" s="61" t="str">
        <f>IFERROR(__xludf.DUMMYFUNCTION("INDIRECT(""'收支紀錄'!S""&amp;TO_TEXT(ROW()-$C$72))"),"")</f>
        <v/>
      </c>
      <c r="T317" s="61" t="str">
        <f>IFERROR(__xludf.DUMMYFUNCTION("INDIRECT(""'收支紀錄'!T""&amp;TO_TEXT(ROW()-$C$72))"),"")</f>
        <v/>
      </c>
      <c r="U317" s="62" t="str">
        <f>IFERROR(__xludf.DUMMYFUNCTION("IF(T317=""是"",TEXTJOIN("""", TRUE, ""$"", TO_TEXT(C317), S317),"""")"),"")</f>
        <v/>
      </c>
    </row>
    <row r="318">
      <c r="A318" s="58">
        <f>IFERROR(__xludf.DUMMYFUNCTION("INDIRECT(""'收支紀錄'!A""&amp;TO_TEXT(ROW()-$C$72))"),45576.47145525463)</f>
        <v>45576.47146</v>
      </c>
      <c r="B318" s="59">
        <f>IFERROR(__xludf.DUMMYFUNCTION("IF(ISBLANK(D318), """", IF(ISDATE(D318), D318, IF(D318=""今天"", A318, IF(D318=""昨天 (-1 day)"", A318-1, IF(D318=""前天 (-2 days)"", A318-2, IF(D318=""明天 (+1 day)"", A318+1, DATE(LEFT(D318,4), MID(D318,5,2), RIGHT(D318,2))))))))"),45576.47145525463)</f>
        <v>45576.47146</v>
      </c>
      <c r="C318" s="60">
        <f>IFERROR(__xludf.DUMMYFUNCTION("INDIRECT(""'收支紀錄'!C""&amp;TO_TEXT(ROW()-$C$72))"),800.0)</f>
        <v>800</v>
      </c>
      <c r="D318" s="63" t="str">
        <f>IFERROR(__xludf.DUMMYFUNCTION("INDIRECT(""'收支紀錄'!D""&amp;TO_TEXT(ROW()-$C$72))"),"今天")</f>
        <v>今天</v>
      </c>
      <c r="E318" s="61" t="str">
        <f>IFERROR(__xludf.DUMMYFUNCTION("INDIRECT(""'收支紀錄'!E""&amp;TO_TEXT(ROW()-$C$72))"),"")</f>
        <v/>
      </c>
      <c r="F318" s="61" t="str">
        <f>IFERROR(__xludf.DUMMYFUNCTION("INDIRECT(""'收支紀錄'!F""&amp;TO_TEXT(ROW()-$C$72))"),"")</f>
        <v/>
      </c>
      <c r="G318" s="61" t="str">
        <f>IFERROR(__xludf.DUMMYFUNCTION("INDIRECT(""'收支紀錄'!G""&amp;TO_TEXT(ROW()-$C$72))"),"")</f>
        <v/>
      </c>
      <c r="H318" s="61" t="str">
        <f>IFERROR(__xludf.DUMMYFUNCTION("INDIRECT(""'收支紀錄'!H""&amp;TO_TEXT(ROW()-$C$72))"),"食品酒水")</f>
        <v>食品酒水</v>
      </c>
      <c r="I318" s="61" t="str">
        <f>IFERROR(__xludf.DUMMYFUNCTION("INDIRECT(""'收支紀錄'!I""&amp;TO_TEXT(ROW()-$C$72))"),"禮券儲值")</f>
        <v>禮券儲值</v>
      </c>
      <c r="J318" s="61" t="str">
        <f>IFERROR(__xludf.DUMMYFUNCTION("INDIRECT(""'收支紀錄'!J""&amp;TO_TEXT(ROW()-$C$72))"),"")</f>
        <v/>
      </c>
      <c r="K318" s="61" t="str">
        <f>IFERROR(__xludf.DUMMYFUNCTION("INDIRECT(""'收支紀錄'!K""&amp;TO_TEXT(ROW()-$C$72))"),"")</f>
        <v/>
      </c>
      <c r="L318" s="61" t="str">
        <f>IFERROR(__xludf.DUMMYFUNCTION("INDIRECT(""'收支紀錄'!L""&amp;TO_TEXT(ROW()-$C$72))"),"")</f>
        <v/>
      </c>
      <c r="M318" s="61" t="str">
        <f>IFERROR(__xludf.DUMMYFUNCTION("INDIRECT(""'收支紀錄'!M""&amp;TO_TEXT(ROW()-$C$72))"),"")</f>
        <v/>
      </c>
      <c r="N318" s="61" t="str">
        <f>IFERROR(__xludf.DUMMYFUNCTION("INDIRECT(""'收支紀錄'!N""&amp;TO_TEXT(ROW()-$C$72))"),"")</f>
        <v/>
      </c>
      <c r="O318" s="61" t="str">
        <f>IFERROR(__xludf.DUMMYFUNCTION("INDIRECT(""'收支紀錄'!O""&amp;TO_TEXT(ROW()-$C$72))"),"")</f>
        <v/>
      </c>
      <c r="P318" s="61" t="str">
        <f>IFERROR(__xludf.DUMMYFUNCTION("INDIRECT(""'收支紀錄'!P""&amp;TO_TEXT(ROW()-$C$72))"),"")</f>
        <v/>
      </c>
      <c r="Q318" s="61" t="str">
        <f>IFERROR(__xludf.DUMMYFUNCTION("INDIRECT(""'收支紀錄'!Q""&amp;TO_TEXT(ROW()-$C$72))"),"")</f>
        <v/>
      </c>
      <c r="R318" s="61" t="str">
        <f>IFERROR(__xludf.DUMMYFUNCTION("INDIRECT(""'收支紀錄'!R""&amp;TO_TEXT(ROW()-$C$72))"),"")</f>
        <v/>
      </c>
      <c r="S318" s="61" t="str">
        <f>IFERROR(__xludf.DUMMYFUNCTION("INDIRECT(""'收支紀錄'!S""&amp;TO_TEXT(ROW()-$C$72))"),"同齊咖啡儲值")</f>
        <v>同齊咖啡儲值</v>
      </c>
      <c r="T318" s="61" t="str">
        <f>IFERROR(__xludf.DUMMYFUNCTION("INDIRECT(""'收支紀錄'!T""&amp;TO_TEXT(ROW()-$C$72))"),"")</f>
        <v/>
      </c>
      <c r="U318" s="62" t="str">
        <f>IFERROR(__xludf.DUMMYFUNCTION("IF(T318=""是"",TEXTJOIN("""", TRUE, ""$"", TO_TEXT(C318), S318),"""")"),"")</f>
        <v/>
      </c>
    </row>
    <row r="319">
      <c r="A319" s="58">
        <f>IFERROR(__xludf.DUMMYFUNCTION("INDIRECT(""'收支紀錄'!A""&amp;TO_TEXT(ROW()-$C$72))"),45576.619508171294)</f>
        <v>45576.61951</v>
      </c>
      <c r="B319" s="59">
        <f>IFERROR(__xludf.DUMMYFUNCTION("IF(ISBLANK(D319), """", IF(ISDATE(D319), D319, IF(D319=""今天"", A319, IF(D319=""昨天 (-1 day)"", A319-1, IF(D319=""前天 (-2 days)"", A319-2, IF(D319=""明天 (+1 day)"", A319+1, DATE(LEFT(D319,4), MID(D319,5,2), RIGHT(D319,2))))))))"),45576.619508171294)</f>
        <v>45576.61951</v>
      </c>
      <c r="C319" s="60">
        <f>IFERROR(__xludf.DUMMYFUNCTION("INDIRECT(""'收支紀錄'!C""&amp;TO_TEXT(ROW()-$C$72))"),20.0)</f>
        <v>20</v>
      </c>
      <c r="D319" s="63" t="str">
        <f>IFERROR(__xludf.DUMMYFUNCTION("INDIRECT(""'收支紀錄'!D""&amp;TO_TEXT(ROW()-$C$72))"),"今天")</f>
        <v>今天</v>
      </c>
      <c r="E319" s="61" t="str">
        <f>IFERROR(__xludf.DUMMYFUNCTION("INDIRECT(""'收支紀錄'!E""&amp;TO_TEXT(ROW()-$C$72))"),"")</f>
        <v/>
      </c>
      <c r="F319" s="61" t="str">
        <f>IFERROR(__xludf.DUMMYFUNCTION("INDIRECT(""'收支紀錄'!F""&amp;TO_TEXT(ROW()-$C$72))"),"")</f>
        <v/>
      </c>
      <c r="G319" s="61" t="str">
        <f>IFERROR(__xludf.DUMMYFUNCTION("INDIRECT(""'收支紀錄'!G""&amp;TO_TEXT(ROW()-$C$72))"),"")</f>
        <v/>
      </c>
      <c r="H319" s="61" t="str">
        <f>IFERROR(__xludf.DUMMYFUNCTION("INDIRECT(""'收支紀錄'!H""&amp;TO_TEXT(ROW()-$C$72))"),"行車交通")</f>
        <v>行車交通</v>
      </c>
      <c r="I319" s="61" t="str">
        <f>IFERROR(__xludf.DUMMYFUNCTION("INDIRECT(""'收支紀錄'!I""&amp;TO_TEXT(ROW()-$C$72))"),"")</f>
        <v/>
      </c>
      <c r="J319" s="61" t="str">
        <f>IFERROR(__xludf.DUMMYFUNCTION("INDIRECT(""'收支紀錄'!J""&amp;TO_TEXT(ROW()-$C$72))"),"")</f>
        <v/>
      </c>
      <c r="K319" s="61" t="str">
        <f>IFERROR(__xludf.DUMMYFUNCTION("INDIRECT(""'收支紀錄'!K""&amp;TO_TEXT(ROW()-$C$72))"),"")</f>
        <v/>
      </c>
      <c r="L319" s="61" t="str">
        <f>IFERROR(__xludf.DUMMYFUNCTION("INDIRECT(""'收支紀錄'!L""&amp;TO_TEXT(ROW()-$C$72))"),"停車")</f>
        <v>停車</v>
      </c>
      <c r="M319" s="61" t="str">
        <f>IFERROR(__xludf.DUMMYFUNCTION("INDIRECT(""'收支紀錄'!M""&amp;TO_TEXT(ROW()-$C$72))"),"")</f>
        <v/>
      </c>
      <c r="N319" s="61" t="str">
        <f>IFERROR(__xludf.DUMMYFUNCTION("INDIRECT(""'收支紀錄'!N""&amp;TO_TEXT(ROW()-$C$72))"),"")</f>
        <v/>
      </c>
      <c r="O319" s="61" t="str">
        <f>IFERROR(__xludf.DUMMYFUNCTION("INDIRECT(""'收支紀錄'!O""&amp;TO_TEXT(ROW()-$C$72))"),"")</f>
        <v/>
      </c>
      <c r="P319" s="61" t="str">
        <f>IFERROR(__xludf.DUMMYFUNCTION("INDIRECT(""'收支紀錄'!P""&amp;TO_TEXT(ROW()-$C$72))"),"")</f>
        <v/>
      </c>
      <c r="Q319" s="61" t="str">
        <f>IFERROR(__xludf.DUMMYFUNCTION("INDIRECT(""'收支紀錄'!Q""&amp;TO_TEXT(ROW()-$C$72))"),"")</f>
        <v/>
      </c>
      <c r="R319" s="61" t="str">
        <f>IFERROR(__xludf.DUMMYFUNCTION("INDIRECT(""'收支紀錄'!R""&amp;TO_TEXT(ROW()-$C$72))"),"")</f>
        <v/>
      </c>
      <c r="S319" s="61" t="str">
        <f>IFERROR(__xludf.DUMMYFUNCTION("INDIRECT(""'收支紀錄'!S""&amp;TO_TEXT(ROW()-$C$72))"),"")</f>
        <v/>
      </c>
      <c r="T319" s="61" t="str">
        <f>IFERROR(__xludf.DUMMYFUNCTION("INDIRECT(""'收支紀錄'!T""&amp;TO_TEXT(ROW()-$C$72))"),"")</f>
        <v/>
      </c>
      <c r="U319" s="62" t="str">
        <f>IFERROR(__xludf.DUMMYFUNCTION("IF(T319=""是"",TEXTJOIN("""", TRUE, ""$"", TO_TEXT(C319), S319),"""")"),"")</f>
        <v/>
      </c>
    </row>
    <row r="320">
      <c r="A320" s="58">
        <f>IFERROR(__xludf.DUMMYFUNCTION("INDIRECT(""'收支紀錄'!A""&amp;TO_TEXT(ROW()-$C$72))"),45577.415552604165)</f>
        <v>45577.41555</v>
      </c>
      <c r="B320" s="59">
        <f>IFERROR(__xludf.DUMMYFUNCTION("IF(ISBLANK(D320), """", IF(ISDATE(D320), D320, IF(D320=""今天"", A320, IF(D320=""昨天 (-1 day)"", A320-1, IF(D320=""前天 (-2 days)"", A320-2, IF(D320=""明天 (+1 day)"", A320+1, DATE(LEFT(D320,4), MID(D320,5,2), RIGHT(D320,2))))))))"),45576.415552604165)</f>
        <v>45576.41555</v>
      </c>
      <c r="C320" s="60">
        <f>IFERROR(__xludf.DUMMYFUNCTION("INDIRECT(""'收支紀錄'!C""&amp;TO_TEXT(ROW()-$C$72))"),13167.0)</f>
        <v>13167</v>
      </c>
      <c r="D320" s="63" t="str">
        <f>IFERROR(__xludf.DUMMYFUNCTION("INDIRECT(""'收支紀錄'!D""&amp;TO_TEXT(ROW()-$C$72))"),"昨天 (-1 day)")</f>
        <v>昨天 (-1 day)</v>
      </c>
      <c r="E320" s="61" t="str">
        <f>IFERROR(__xludf.DUMMYFUNCTION("INDIRECT(""'收支紀錄'!E""&amp;TO_TEXT(ROW()-$C$72))"),"")</f>
        <v/>
      </c>
      <c r="F320" s="61" t="str">
        <f>IFERROR(__xludf.DUMMYFUNCTION("INDIRECT(""'收支紀錄'!F""&amp;TO_TEXT(ROW()-$C$72))"),"")</f>
        <v/>
      </c>
      <c r="G320" s="61" t="str">
        <f>IFERROR(__xludf.DUMMYFUNCTION("INDIRECT(""'收支紀錄'!G""&amp;TO_TEXT(ROW()-$C$72))"),"")</f>
        <v/>
      </c>
      <c r="H320" s="61" t="str">
        <f>IFERROR(__xludf.DUMMYFUNCTION("INDIRECT(""'收支紀錄'!H""&amp;TO_TEXT(ROW()-$C$72))"),"休閒娛樂")</f>
        <v>休閒娛樂</v>
      </c>
      <c r="I320" s="61" t="str">
        <f>IFERROR(__xludf.DUMMYFUNCTION("INDIRECT(""'收支紀錄'!I""&amp;TO_TEXT(ROW()-$C$72))"),"")</f>
        <v/>
      </c>
      <c r="J320" s="61" t="str">
        <f>IFERROR(__xludf.DUMMYFUNCTION("INDIRECT(""'收支紀錄'!J""&amp;TO_TEXT(ROW()-$C$72))"),"")</f>
        <v/>
      </c>
      <c r="K320" s="61" t="str">
        <f>IFERROR(__xludf.DUMMYFUNCTION("INDIRECT(""'收支紀錄'!K""&amp;TO_TEXT(ROW()-$C$72))"),"")</f>
        <v/>
      </c>
      <c r="L320" s="61" t="str">
        <f>IFERROR(__xludf.DUMMYFUNCTION("INDIRECT(""'收支紀錄'!L""&amp;TO_TEXT(ROW()-$C$72))"),"")</f>
        <v/>
      </c>
      <c r="M320" s="61" t="str">
        <f>IFERROR(__xludf.DUMMYFUNCTION("INDIRECT(""'收支紀錄'!M""&amp;TO_TEXT(ROW()-$C$72))"),"旅遊度假")</f>
        <v>旅遊度假</v>
      </c>
      <c r="N320" s="61" t="str">
        <f>IFERROR(__xludf.DUMMYFUNCTION("INDIRECT(""'收支紀錄'!N""&amp;TO_TEXT(ROW()-$C$72))"),"")</f>
        <v/>
      </c>
      <c r="O320" s="61" t="str">
        <f>IFERROR(__xludf.DUMMYFUNCTION("INDIRECT(""'收支紀錄'!O""&amp;TO_TEXT(ROW()-$C$72))"),"")</f>
        <v/>
      </c>
      <c r="P320" s="61" t="str">
        <f>IFERROR(__xludf.DUMMYFUNCTION("INDIRECT(""'收支紀錄'!P""&amp;TO_TEXT(ROW()-$C$72))"),"")</f>
        <v/>
      </c>
      <c r="Q320" s="61" t="str">
        <f>IFERROR(__xludf.DUMMYFUNCTION("INDIRECT(""'收支紀錄'!Q""&amp;TO_TEXT(ROW()-$C$72))"),"")</f>
        <v/>
      </c>
      <c r="R320" s="61" t="str">
        <f>IFERROR(__xludf.DUMMYFUNCTION("INDIRECT(""'收支紀錄'!R""&amp;TO_TEXT(ROW()-$C$72))"),"")</f>
        <v/>
      </c>
      <c r="S320" s="61" t="str">
        <f>IFERROR(__xludf.DUMMYFUNCTION("INDIRECT(""'收支紀錄'!S""&amp;TO_TEXT(ROW()-$C$72))"),"米堤飯店*3間（$6289*3-$5700訂金）")</f>
        <v>米堤飯店*3間（$6289*3-$5700訂金）</v>
      </c>
      <c r="T320" s="61" t="str">
        <f>IFERROR(__xludf.DUMMYFUNCTION("INDIRECT(""'收支紀錄'!T""&amp;TO_TEXT(ROW()-$C$72))"),"是")</f>
        <v>是</v>
      </c>
      <c r="U320" s="62" t="str">
        <f>IFERROR(__xludf.DUMMYFUNCTION("IF(T320=""是"",TEXTJOIN("""", TRUE, ""$"", TO_TEXT(C320), S320),"""")"),"$13167米堤飯店*3間（$6289*3-$5700訂金）")</f>
        <v>$13167米堤飯店*3間（$6289*3-$5700訂金）</v>
      </c>
    </row>
    <row r="321">
      <c r="A321" s="58">
        <f>IFERROR(__xludf.DUMMYFUNCTION("INDIRECT(""'收支紀錄'!A""&amp;TO_TEXT(ROW()-$C$72))"),45577.79795173611)</f>
        <v>45577.79795</v>
      </c>
      <c r="B321" s="59">
        <f>IFERROR(__xludf.DUMMYFUNCTION("IF(ISBLANK(D321), """", IF(ISDATE(D321), D321, IF(D321=""今天"", A321, IF(D321=""昨天 (-1 day)"", A321-1, IF(D321=""前天 (-2 days)"", A321-2, IF(D321=""明天 (+1 day)"", A321+1, DATE(LEFT(D321,4), MID(D321,5,2), RIGHT(D321,2))))))))"),45577.79795173611)</f>
        <v>45577.79795</v>
      </c>
      <c r="C321" s="60">
        <f>IFERROR(__xludf.DUMMYFUNCTION("INDIRECT(""'收支紀錄'!C""&amp;TO_TEXT(ROW()-$C$72))"),400.0)</f>
        <v>400</v>
      </c>
      <c r="D321" s="63" t="str">
        <f>IFERROR(__xludf.DUMMYFUNCTION("INDIRECT(""'收支紀錄'!D""&amp;TO_TEXT(ROW()-$C$72))"),"今天")</f>
        <v>今天</v>
      </c>
      <c r="E321" s="61" t="str">
        <f>IFERROR(__xludf.DUMMYFUNCTION("INDIRECT(""'收支紀錄'!E""&amp;TO_TEXT(ROW()-$C$72))"),"")</f>
        <v/>
      </c>
      <c r="F321" s="61" t="str">
        <f>IFERROR(__xludf.DUMMYFUNCTION("INDIRECT(""'收支紀錄'!F""&amp;TO_TEXT(ROW()-$C$72))"),"")</f>
        <v/>
      </c>
      <c r="G321" s="61" t="str">
        <f>IFERROR(__xludf.DUMMYFUNCTION("INDIRECT(""'收支紀錄'!G""&amp;TO_TEXT(ROW()-$C$72))"),"")</f>
        <v/>
      </c>
      <c r="H321" s="61" t="str">
        <f>IFERROR(__xludf.DUMMYFUNCTION("INDIRECT(""'收支紀錄'!H""&amp;TO_TEXT(ROW()-$C$72))"),"休閒娛樂")</f>
        <v>休閒娛樂</v>
      </c>
      <c r="I321" s="61" t="str">
        <f>IFERROR(__xludf.DUMMYFUNCTION("INDIRECT(""'收支紀錄'!I""&amp;TO_TEXT(ROW()-$C$72))"),"")</f>
        <v/>
      </c>
      <c r="J321" s="61" t="str">
        <f>IFERROR(__xludf.DUMMYFUNCTION("INDIRECT(""'收支紀錄'!J""&amp;TO_TEXT(ROW()-$C$72))"),"")</f>
        <v/>
      </c>
      <c r="K321" s="61" t="str">
        <f>IFERROR(__xludf.DUMMYFUNCTION("INDIRECT(""'收支紀錄'!K""&amp;TO_TEXT(ROW()-$C$72))"),"")</f>
        <v/>
      </c>
      <c r="L321" s="61" t="str">
        <f>IFERROR(__xludf.DUMMYFUNCTION("INDIRECT(""'收支紀錄'!L""&amp;TO_TEXT(ROW()-$C$72))"),"")</f>
        <v/>
      </c>
      <c r="M321" s="61" t="str">
        <f>IFERROR(__xludf.DUMMYFUNCTION("INDIRECT(""'收支紀錄'!M""&amp;TO_TEXT(ROW()-$C$72))"),"旅遊度假")</f>
        <v>旅遊度假</v>
      </c>
      <c r="N321" s="61" t="str">
        <f>IFERROR(__xludf.DUMMYFUNCTION("INDIRECT(""'收支紀錄'!N""&amp;TO_TEXT(ROW()-$C$72))"),"")</f>
        <v/>
      </c>
      <c r="O321" s="61" t="str">
        <f>IFERROR(__xludf.DUMMYFUNCTION("INDIRECT(""'收支紀錄'!O""&amp;TO_TEXT(ROW()-$C$72))"),"")</f>
        <v/>
      </c>
      <c r="P321" s="61" t="str">
        <f>IFERROR(__xludf.DUMMYFUNCTION("INDIRECT(""'收支紀錄'!P""&amp;TO_TEXT(ROW()-$C$72))"),"")</f>
        <v/>
      </c>
      <c r="Q321" s="61" t="str">
        <f>IFERROR(__xludf.DUMMYFUNCTION("INDIRECT(""'收支紀錄'!Q""&amp;TO_TEXT(ROW()-$C$72))"),"")</f>
        <v/>
      </c>
      <c r="R321" s="61" t="str">
        <f>IFERROR(__xludf.DUMMYFUNCTION("INDIRECT(""'收支紀錄'!R""&amp;TO_TEXT(ROW()-$C$72))"),"")</f>
        <v/>
      </c>
      <c r="S321" s="61" t="str">
        <f>IFERROR(__xludf.DUMMYFUNCTION("INDIRECT(""'收支紀錄'!S""&amp;TO_TEXT(ROW()-$C$72))"),"溪頭門票$180學生+$220全票")</f>
        <v>溪頭門票$180學生+$220全票</v>
      </c>
      <c r="T321" s="61" t="str">
        <f>IFERROR(__xludf.DUMMYFUNCTION("INDIRECT(""'收支紀錄'!T""&amp;TO_TEXT(ROW()-$C$72))"),"否")</f>
        <v>否</v>
      </c>
      <c r="U321" s="62" t="str">
        <f>IFERROR(__xludf.DUMMYFUNCTION("IF(T321=""是"",TEXTJOIN("""", TRUE, ""$"", TO_TEXT(C321), S321),"""")"),"")</f>
        <v/>
      </c>
    </row>
    <row r="322">
      <c r="A322" s="58">
        <f>IFERROR(__xludf.DUMMYFUNCTION("INDIRECT(""'收支紀錄'!A""&amp;TO_TEXT(ROW()-$C$72))"),45577.79817304398)</f>
        <v>45577.79817</v>
      </c>
      <c r="B322" s="59">
        <f>IFERROR(__xludf.DUMMYFUNCTION("IF(ISBLANK(D322), """", IF(ISDATE(D322), D322, IF(D322=""今天"", A322, IF(D322=""昨天 (-1 day)"", A322-1, IF(D322=""前天 (-2 days)"", A322-2, IF(D322=""明天 (+1 day)"", A322+1, DATE(LEFT(D322,4), MID(D322,5,2), RIGHT(D322,2))))))))"),45577.79817304398)</f>
        <v>45577.79817</v>
      </c>
      <c r="C322" s="60">
        <f>IFERROR(__xludf.DUMMYFUNCTION("INDIRECT(""'收支紀錄'!C""&amp;TO_TEXT(ROW()-$C$72))"),300.0)</f>
        <v>300</v>
      </c>
      <c r="D322" s="63" t="str">
        <f>IFERROR(__xludf.DUMMYFUNCTION("INDIRECT(""'收支紀錄'!D""&amp;TO_TEXT(ROW()-$C$72))"),"今天")</f>
        <v>今天</v>
      </c>
      <c r="E322" s="61" t="str">
        <f>IFERROR(__xludf.DUMMYFUNCTION("INDIRECT(""'收支紀錄'!E""&amp;TO_TEXT(ROW()-$C$72))"),"")</f>
        <v/>
      </c>
      <c r="F322" s="61" t="str">
        <f>IFERROR(__xludf.DUMMYFUNCTION("INDIRECT(""'收支紀錄'!F""&amp;TO_TEXT(ROW()-$C$72))"),"")</f>
        <v/>
      </c>
      <c r="G322" s="61" t="str">
        <f>IFERROR(__xludf.DUMMYFUNCTION("INDIRECT(""'收支紀錄'!G""&amp;TO_TEXT(ROW()-$C$72))"),"")</f>
        <v/>
      </c>
      <c r="H322" s="61" t="str">
        <f>IFERROR(__xludf.DUMMYFUNCTION("INDIRECT(""'收支紀錄'!H""&amp;TO_TEXT(ROW()-$C$72))"),"食品酒水")</f>
        <v>食品酒水</v>
      </c>
      <c r="I322" s="61" t="str">
        <f>IFERROR(__xludf.DUMMYFUNCTION("INDIRECT(""'收支紀錄'!I""&amp;TO_TEXT(ROW()-$C$72))"),"食材")</f>
        <v>食材</v>
      </c>
      <c r="J322" s="61" t="str">
        <f>IFERROR(__xludf.DUMMYFUNCTION("INDIRECT(""'收支紀錄'!J""&amp;TO_TEXT(ROW()-$C$72))"),"")</f>
        <v/>
      </c>
      <c r="K322" s="61" t="str">
        <f>IFERROR(__xludf.DUMMYFUNCTION("INDIRECT(""'收支紀錄'!K""&amp;TO_TEXT(ROW()-$C$72))"),"")</f>
        <v/>
      </c>
      <c r="L322" s="61" t="str">
        <f>IFERROR(__xludf.DUMMYFUNCTION("INDIRECT(""'收支紀錄'!L""&amp;TO_TEXT(ROW()-$C$72))"),"")</f>
        <v/>
      </c>
      <c r="M322" s="61" t="str">
        <f>IFERROR(__xludf.DUMMYFUNCTION("INDIRECT(""'收支紀錄'!M""&amp;TO_TEXT(ROW()-$C$72))"),"")</f>
        <v/>
      </c>
      <c r="N322" s="61" t="str">
        <f>IFERROR(__xludf.DUMMYFUNCTION("INDIRECT(""'收支紀錄'!N""&amp;TO_TEXT(ROW()-$C$72))"),"")</f>
        <v/>
      </c>
      <c r="O322" s="61" t="str">
        <f>IFERROR(__xludf.DUMMYFUNCTION("INDIRECT(""'收支紀錄'!O""&amp;TO_TEXT(ROW()-$C$72))"),"")</f>
        <v/>
      </c>
      <c r="P322" s="61" t="str">
        <f>IFERROR(__xludf.DUMMYFUNCTION("INDIRECT(""'收支紀錄'!P""&amp;TO_TEXT(ROW()-$C$72))"),"")</f>
        <v/>
      </c>
      <c r="Q322" s="61" t="str">
        <f>IFERROR(__xludf.DUMMYFUNCTION("INDIRECT(""'收支紀錄'!Q""&amp;TO_TEXT(ROW()-$C$72))"),"")</f>
        <v/>
      </c>
      <c r="R322" s="61" t="str">
        <f>IFERROR(__xludf.DUMMYFUNCTION("INDIRECT(""'收支紀錄'!R""&amp;TO_TEXT(ROW()-$C$72))"),"")</f>
        <v/>
      </c>
      <c r="S322" s="61" t="str">
        <f>IFERROR(__xludf.DUMMYFUNCTION("INDIRECT(""'收支紀錄'!S""&amp;TO_TEXT(ROW()-$C$72))"),"")</f>
        <v/>
      </c>
      <c r="T322" s="61" t="str">
        <f>IFERROR(__xludf.DUMMYFUNCTION("INDIRECT(""'收支紀錄'!T""&amp;TO_TEXT(ROW()-$C$72))"),"")</f>
        <v/>
      </c>
      <c r="U322" s="62" t="str">
        <f>IFERROR(__xludf.DUMMYFUNCTION("IF(T322=""是"",TEXTJOIN("""", TRUE, ""$"", TO_TEXT(C322), S322),"""")"),"")</f>
        <v/>
      </c>
    </row>
    <row r="323">
      <c r="A323" s="58">
        <f>IFERROR(__xludf.DUMMYFUNCTION("INDIRECT(""'收支紀錄'!A""&amp;TO_TEXT(ROW()-$C$72))"),45577.84338572917)</f>
        <v>45577.84339</v>
      </c>
      <c r="B323" s="59">
        <f>IFERROR(__xludf.DUMMYFUNCTION("IF(ISBLANK(D323), """", IF(ISDATE(D323), D323, IF(D323=""今天"", A323, IF(D323=""昨天 (-1 day)"", A323-1, IF(D323=""前天 (-2 days)"", A323-2, IF(D323=""明天 (+1 day)"", A323+1, DATE(LEFT(D323,4), MID(D323,5,2), RIGHT(D323,2))))))))"),45575.84338572917)</f>
        <v>45575.84339</v>
      </c>
      <c r="C323" s="60">
        <f>IFERROR(__xludf.DUMMYFUNCTION("INDIRECT(""'收支紀錄'!C""&amp;TO_TEXT(ROW()-$C$72))"),960.0)</f>
        <v>960</v>
      </c>
      <c r="D323" s="63" t="str">
        <f>IFERROR(__xludf.DUMMYFUNCTION("INDIRECT(""'收支紀錄'!D""&amp;TO_TEXT(ROW()-$C$72))"),"前天 (-2 days)")</f>
        <v>前天 (-2 days)</v>
      </c>
      <c r="E323" s="61" t="str">
        <f>IFERROR(__xludf.DUMMYFUNCTION("INDIRECT(""'收支紀錄'!E""&amp;TO_TEXT(ROW()-$C$72))"),"")</f>
        <v/>
      </c>
      <c r="F323" s="61" t="str">
        <f>IFERROR(__xludf.DUMMYFUNCTION("INDIRECT(""'收支紀錄'!F""&amp;TO_TEXT(ROW()-$C$72))"),"")</f>
        <v/>
      </c>
      <c r="G323" s="61" t="str">
        <f>IFERROR(__xludf.DUMMYFUNCTION("INDIRECT(""'收支紀錄'!G""&amp;TO_TEXT(ROW()-$C$72))"),"")</f>
        <v/>
      </c>
      <c r="H323" s="61" t="str">
        <f>IFERROR(__xludf.DUMMYFUNCTION("INDIRECT(""'收支紀錄'!H""&amp;TO_TEXT(ROW()-$C$72))"),"食品酒水")</f>
        <v>食品酒水</v>
      </c>
      <c r="I323" s="61" t="str">
        <f>IFERROR(__xludf.DUMMYFUNCTION("INDIRECT(""'收支紀錄'!I""&amp;TO_TEXT(ROW()-$C$72))"),"晚餐")</f>
        <v>晚餐</v>
      </c>
      <c r="J323" s="61" t="str">
        <f>IFERROR(__xludf.DUMMYFUNCTION("INDIRECT(""'收支紀錄'!J""&amp;TO_TEXT(ROW()-$C$72))"),"")</f>
        <v/>
      </c>
      <c r="K323" s="61" t="str">
        <f>IFERROR(__xludf.DUMMYFUNCTION("INDIRECT(""'收支紀錄'!K""&amp;TO_TEXT(ROW()-$C$72))"),"")</f>
        <v/>
      </c>
      <c r="L323" s="61" t="str">
        <f>IFERROR(__xludf.DUMMYFUNCTION("INDIRECT(""'收支紀錄'!L""&amp;TO_TEXT(ROW()-$C$72))"),"")</f>
        <v/>
      </c>
      <c r="M323" s="61" t="str">
        <f>IFERROR(__xludf.DUMMYFUNCTION("INDIRECT(""'收支紀錄'!M""&amp;TO_TEXT(ROW()-$C$72))"),"")</f>
        <v/>
      </c>
      <c r="N323" s="61" t="str">
        <f>IFERROR(__xludf.DUMMYFUNCTION("INDIRECT(""'收支紀錄'!N""&amp;TO_TEXT(ROW()-$C$72))"),"")</f>
        <v/>
      </c>
      <c r="O323" s="61" t="str">
        <f>IFERROR(__xludf.DUMMYFUNCTION("INDIRECT(""'收支紀錄'!O""&amp;TO_TEXT(ROW()-$C$72))"),"")</f>
        <v/>
      </c>
      <c r="P323" s="61" t="str">
        <f>IFERROR(__xludf.DUMMYFUNCTION("INDIRECT(""'收支紀錄'!P""&amp;TO_TEXT(ROW()-$C$72))"),"")</f>
        <v/>
      </c>
      <c r="Q323" s="61" t="str">
        <f>IFERROR(__xludf.DUMMYFUNCTION("INDIRECT(""'收支紀錄'!Q""&amp;TO_TEXT(ROW()-$C$72))"),"")</f>
        <v/>
      </c>
      <c r="R323" s="61" t="str">
        <f>IFERROR(__xludf.DUMMYFUNCTION("INDIRECT(""'收支紀錄'!R""&amp;TO_TEXT(ROW()-$C$72))"),"")</f>
        <v/>
      </c>
      <c r="S323" s="61" t="str">
        <f>IFERROR(__xludf.DUMMYFUNCTION("INDIRECT(""'收支紀錄'!S""&amp;TO_TEXT(ROW()-$C$72))"),"成功牛排爸媽三人")</f>
        <v>成功牛排爸媽三人</v>
      </c>
      <c r="T323" s="61" t="str">
        <f>IFERROR(__xludf.DUMMYFUNCTION("INDIRECT(""'收支紀錄'!T""&amp;TO_TEXT(ROW()-$C$72))"),"")</f>
        <v/>
      </c>
      <c r="U323" s="62" t="str">
        <f>IFERROR(__xludf.DUMMYFUNCTION("IF(T323=""是"",TEXTJOIN("""", TRUE, ""$"", TO_TEXT(C323), S323),"""")"),"")</f>
        <v/>
      </c>
    </row>
    <row r="324">
      <c r="A324" s="58">
        <f>IFERROR(__xludf.DUMMYFUNCTION("INDIRECT(""'收支紀錄'!A""&amp;TO_TEXT(ROW()-$C$72))"),45577.888062199076)</f>
        <v>45577.88806</v>
      </c>
      <c r="B324" s="59">
        <f>IFERROR(__xludf.DUMMYFUNCTION("IF(ISBLANK(D324), """", IF(ISDATE(D324), D324, IF(D324=""今天"", A324, IF(D324=""昨天 (-1 day)"", A324-1, IF(D324=""前天 (-2 days)"", A324-2, IF(D324=""明天 (+1 day)"", A324+1, DATE(LEFT(D324,4), MID(D324,5,2), RIGHT(D324,2))))))))"),45577.888062199076)</f>
        <v>45577.88806</v>
      </c>
      <c r="C324" s="60">
        <f>IFERROR(__xludf.DUMMYFUNCTION("INDIRECT(""'收支紀錄'!C""&amp;TO_TEXT(ROW()-$C$72))"),135.0)</f>
        <v>135</v>
      </c>
      <c r="D324" s="63" t="str">
        <f>IFERROR(__xludf.DUMMYFUNCTION("INDIRECT(""'收支紀錄'!D""&amp;TO_TEXT(ROW()-$C$72))"),"今天")</f>
        <v>今天</v>
      </c>
      <c r="E324" s="61" t="str">
        <f>IFERROR(__xludf.DUMMYFUNCTION("INDIRECT(""'收支紀錄'!E""&amp;TO_TEXT(ROW()-$C$72))"),"")</f>
        <v/>
      </c>
      <c r="F324" s="61" t="str">
        <f>IFERROR(__xludf.DUMMYFUNCTION("INDIRECT(""'收支紀錄'!F""&amp;TO_TEXT(ROW()-$C$72))"),"")</f>
        <v/>
      </c>
      <c r="G324" s="61" t="str">
        <f>IFERROR(__xludf.DUMMYFUNCTION("INDIRECT(""'收支紀錄'!G""&amp;TO_TEXT(ROW()-$C$72))"),"")</f>
        <v/>
      </c>
      <c r="H324" s="61" t="str">
        <f>IFERROR(__xludf.DUMMYFUNCTION("INDIRECT(""'收支紀錄'!H""&amp;TO_TEXT(ROW()-$C$72))"),"日常生活")</f>
        <v>日常生活</v>
      </c>
      <c r="I324" s="61" t="str">
        <f>IFERROR(__xludf.DUMMYFUNCTION("INDIRECT(""'收支紀錄'!I""&amp;TO_TEXT(ROW()-$C$72))"),"")</f>
        <v/>
      </c>
      <c r="J324" s="61" t="str">
        <f>IFERROR(__xludf.DUMMYFUNCTION("INDIRECT(""'收支紀錄'!J""&amp;TO_TEXT(ROW()-$C$72))"),"日常用品")</f>
        <v>日常用品</v>
      </c>
      <c r="K324" s="61" t="str">
        <f>IFERROR(__xludf.DUMMYFUNCTION("INDIRECT(""'收支紀錄'!K""&amp;TO_TEXT(ROW()-$C$72))"),"")</f>
        <v/>
      </c>
      <c r="L324" s="61" t="str">
        <f>IFERROR(__xludf.DUMMYFUNCTION("INDIRECT(""'收支紀錄'!L""&amp;TO_TEXT(ROW()-$C$72))"),"")</f>
        <v/>
      </c>
      <c r="M324" s="61" t="str">
        <f>IFERROR(__xludf.DUMMYFUNCTION("INDIRECT(""'收支紀錄'!M""&amp;TO_TEXT(ROW()-$C$72))"),"")</f>
        <v/>
      </c>
      <c r="N324" s="61" t="str">
        <f>IFERROR(__xludf.DUMMYFUNCTION("INDIRECT(""'收支紀錄'!N""&amp;TO_TEXT(ROW()-$C$72))"),"")</f>
        <v/>
      </c>
      <c r="O324" s="61" t="str">
        <f>IFERROR(__xludf.DUMMYFUNCTION("INDIRECT(""'收支紀錄'!O""&amp;TO_TEXT(ROW()-$C$72))"),"")</f>
        <v/>
      </c>
      <c r="P324" s="61" t="str">
        <f>IFERROR(__xludf.DUMMYFUNCTION("INDIRECT(""'收支紀錄'!P""&amp;TO_TEXT(ROW()-$C$72))"),"")</f>
        <v/>
      </c>
      <c r="Q324" s="61" t="str">
        <f>IFERROR(__xludf.DUMMYFUNCTION("INDIRECT(""'收支紀錄'!Q""&amp;TO_TEXT(ROW()-$C$72))"),"")</f>
        <v/>
      </c>
      <c r="R324" s="61" t="str">
        <f>IFERROR(__xludf.DUMMYFUNCTION("INDIRECT(""'收支紀錄'!R""&amp;TO_TEXT(ROW()-$C$72))"),"")</f>
        <v/>
      </c>
      <c r="S324" s="61" t="str">
        <f>IFERROR(__xludf.DUMMYFUNCTION("INDIRECT(""'收支紀錄'!S""&amp;TO_TEXT(ROW()-$C$72))"),"")</f>
        <v/>
      </c>
      <c r="T324" s="61" t="str">
        <f>IFERROR(__xludf.DUMMYFUNCTION("INDIRECT(""'收支紀錄'!T""&amp;TO_TEXT(ROW()-$C$72))"),"")</f>
        <v/>
      </c>
      <c r="U324" s="62" t="str">
        <f>IFERROR(__xludf.DUMMYFUNCTION("IF(T324=""是"",TEXTJOIN("""", TRUE, ""$"", TO_TEXT(C324), S324),"""")"),"")</f>
        <v/>
      </c>
    </row>
    <row r="325">
      <c r="A325" s="58">
        <f>IFERROR(__xludf.DUMMYFUNCTION("INDIRECT(""'收支紀錄'!A""&amp;TO_TEXT(ROW()-$C$72))"),45577.88822603009)</f>
        <v>45577.88823</v>
      </c>
      <c r="B325" s="59">
        <f>IFERROR(__xludf.DUMMYFUNCTION("IF(ISBLANK(D325), """", IF(ISDATE(D325), D325, IF(D325=""今天"", A325, IF(D325=""昨天 (-1 day)"", A325-1, IF(D325=""前天 (-2 days)"", A325-2, IF(D325=""明天 (+1 day)"", A325+1, DATE(LEFT(D325,4), MID(D325,5,2), RIGHT(D325,2))))))))"),45577.88822603009)</f>
        <v>45577.88823</v>
      </c>
      <c r="C325" s="60">
        <f>IFERROR(__xludf.DUMMYFUNCTION("INDIRECT(""'收支紀錄'!C""&amp;TO_TEXT(ROW()-$C$72))"),180.0)</f>
        <v>180</v>
      </c>
      <c r="D325" s="63" t="str">
        <f>IFERROR(__xludf.DUMMYFUNCTION("INDIRECT(""'收支紀錄'!D""&amp;TO_TEXT(ROW()-$C$72))"),"今天")</f>
        <v>今天</v>
      </c>
      <c r="E325" s="61" t="str">
        <f>IFERROR(__xludf.DUMMYFUNCTION("INDIRECT(""'收支紀錄'!E""&amp;TO_TEXT(ROW()-$C$72))"),"")</f>
        <v/>
      </c>
      <c r="F325" s="61" t="str">
        <f>IFERROR(__xludf.DUMMYFUNCTION("INDIRECT(""'收支紀錄'!F""&amp;TO_TEXT(ROW()-$C$72))"),"")</f>
        <v/>
      </c>
      <c r="G325" s="61" t="str">
        <f>IFERROR(__xludf.DUMMYFUNCTION("INDIRECT(""'收支紀錄'!G""&amp;TO_TEXT(ROW()-$C$72))"),"")</f>
        <v/>
      </c>
      <c r="H325" s="61" t="str">
        <f>IFERROR(__xludf.DUMMYFUNCTION("INDIRECT(""'收支紀錄'!H""&amp;TO_TEXT(ROW()-$C$72))"),"日常生活")</f>
        <v>日常生活</v>
      </c>
      <c r="I325" s="61" t="str">
        <f>IFERROR(__xludf.DUMMYFUNCTION("INDIRECT(""'收支紀錄'!I""&amp;TO_TEXT(ROW()-$C$72))"),"")</f>
        <v/>
      </c>
      <c r="J325" s="61" t="str">
        <f>IFERROR(__xludf.DUMMYFUNCTION("INDIRECT(""'收支紀錄'!J""&amp;TO_TEXT(ROW()-$C$72))"),"日常用品")</f>
        <v>日常用品</v>
      </c>
      <c r="K325" s="61" t="str">
        <f>IFERROR(__xludf.DUMMYFUNCTION("INDIRECT(""'收支紀錄'!K""&amp;TO_TEXT(ROW()-$C$72))"),"")</f>
        <v/>
      </c>
      <c r="L325" s="61" t="str">
        <f>IFERROR(__xludf.DUMMYFUNCTION("INDIRECT(""'收支紀錄'!L""&amp;TO_TEXT(ROW()-$C$72))"),"")</f>
        <v/>
      </c>
      <c r="M325" s="61" t="str">
        <f>IFERROR(__xludf.DUMMYFUNCTION("INDIRECT(""'收支紀錄'!M""&amp;TO_TEXT(ROW()-$C$72))"),"")</f>
        <v/>
      </c>
      <c r="N325" s="61" t="str">
        <f>IFERROR(__xludf.DUMMYFUNCTION("INDIRECT(""'收支紀錄'!N""&amp;TO_TEXT(ROW()-$C$72))"),"")</f>
        <v/>
      </c>
      <c r="O325" s="61" t="str">
        <f>IFERROR(__xludf.DUMMYFUNCTION("INDIRECT(""'收支紀錄'!O""&amp;TO_TEXT(ROW()-$C$72))"),"")</f>
        <v/>
      </c>
      <c r="P325" s="61" t="str">
        <f>IFERROR(__xludf.DUMMYFUNCTION("INDIRECT(""'收支紀錄'!P""&amp;TO_TEXT(ROW()-$C$72))"),"")</f>
        <v/>
      </c>
      <c r="Q325" s="61" t="str">
        <f>IFERROR(__xludf.DUMMYFUNCTION("INDIRECT(""'收支紀錄'!Q""&amp;TO_TEXT(ROW()-$C$72))"),"")</f>
        <v/>
      </c>
      <c r="R325" s="61" t="str">
        <f>IFERROR(__xludf.DUMMYFUNCTION("INDIRECT(""'收支紀錄'!R""&amp;TO_TEXT(ROW()-$C$72))"),"")</f>
        <v/>
      </c>
      <c r="S325" s="61" t="str">
        <f>IFERROR(__xludf.DUMMYFUNCTION("INDIRECT(""'收支紀錄'!S""&amp;TO_TEXT(ROW()-$C$72))"),"")</f>
        <v/>
      </c>
      <c r="T325" s="61" t="str">
        <f>IFERROR(__xludf.DUMMYFUNCTION("INDIRECT(""'收支紀錄'!T""&amp;TO_TEXT(ROW()-$C$72))"),"")</f>
        <v/>
      </c>
      <c r="U325" s="62" t="str">
        <f>IFERROR(__xludf.DUMMYFUNCTION("IF(T325=""是"",TEXTJOIN("""", TRUE, ""$"", TO_TEXT(C325), S325),"""")"),"")</f>
        <v/>
      </c>
    </row>
    <row r="326">
      <c r="A326" s="58">
        <f>IFERROR(__xludf.DUMMYFUNCTION("INDIRECT(""'收支紀錄'!A""&amp;TO_TEXT(ROW()-$C$72))"),45577.92127119213)</f>
        <v>45577.92127</v>
      </c>
      <c r="B326" s="59">
        <f>IFERROR(__xludf.DUMMYFUNCTION("IF(ISBLANK(D326), """", IF(ISDATE(D326), D326, IF(D326=""今天"", A326, IF(D326=""昨天 (-1 day)"", A326-1, IF(D326=""前天 (-2 days)"", A326-2, IF(D326=""明天 (+1 day)"", A326+1, DATE(LEFT(D326,4), MID(D326,5,2), RIGHT(D326,2))))))))"),45577.92127119213)</f>
        <v>45577.92127</v>
      </c>
      <c r="C326" s="60">
        <f>IFERROR(__xludf.DUMMYFUNCTION("INDIRECT(""'收支紀錄'!C""&amp;TO_TEXT(ROW()-$C$72))"),66.0)</f>
        <v>66</v>
      </c>
      <c r="D326" s="63" t="str">
        <f>IFERROR(__xludf.DUMMYFUNCTION("INDIRECT(""'收支紀錄'!D""&amp;TO_TEXT(ROW()-$C$72))"),"今天")</f>
        <v>今天</v>
      </c>
      <c r="E326" s="61" t="str">
        <f>IFERROR(__xludf.DUMMYFUNCTION("INDIRECT(""'收支紀錄'!E""&amp;TO_TEXT(ROW()-$C$72))"),"")</f>
        <v/>
      </c>
      <c r="F326" s="61" t="str">
        <f>IFERROR(__xludf.DUMMYFUNCTION("INDIRECT(""'收支紀錄'!F""&amp;TO_TEXT(ROW()-$C$72))"),"")</f>
        <v/>
      </c>
      <c r="G326" s="61" t="str">
        <f>IFERROR(__xludf.DUMMYFUNCTION("INDIRECT(""'收支紀錄'!G""&amp;TO_TEXT(ROW()-$C$72))"),"")</f>
        <v/>
      </c>
      <c r="H326" s="61" t="str">
        <f>IFERROR(__xludf.DUMMYFUNCTION("INDIRECT(""'收支紀錄'!H""&amp;TO_TEXT(ROW()-$C$72))"),"食品酒水")</f>
        <v>食品酒水</v>
      </c>
      <c r="I326" s="61" t="str">
        <f>IFERROR(__xludf.DUMMYFUNCTION("INDIRECT(""'收支紀錄'!I""&amp;TO_TEXT(ROW()-$C$72))"),"宵夜")</f>
        <v>宵夜</v>
      </c>
      <c r="J326" s="61" t="str">
        <f>IFERROR(__xludf.DUMMYFUNCTION("INDIRECT(""'收支紀錄'!J""&amp;TO_TEXT(ROW()-$C$72))"),"")</f>
        <v/>
      </c>
      <c r="K326" s="61" t="str">
        <f>IFERROR(__xludf.DUMMYFUNCTION("INDIRECT(""'收支紀錄'!K""&amp;TO_TEXT(ROW()-$C$72))"),"")</f>
        <v/>
      </c>
      <c r="L326" s="61" t="str">
        <f>IFERROR(__xludf.DUMMYFUNCTION("INDIRECT(""'收支紀錄'!L""&amp;TO_TEXT(ROW()-$C$72))"),"")</f>
        <v/>
      </c>
      <c r="M326" s="61" t="str">
        <f>IFERROR(__xludf.DUMMYFUNCTION("INDIRECT(""'收支紀錄'!M""&amp;TO_TEXT(ROW()-$C$72))"),"")</f>
        <v/>
      </c>
      <c r="N326" s="61" t="str">
        <f>IFERROR(__xludf.DUMMYFUNCTION("INDIRECT(""'收支紀錄'!N""&amp;TO_TEXT(ROW()-$C$72))"),"")</f>
        <v/>
      </c>
      <c r="O326" s="61" t="str">
        <f>IFERROR(__xludf.DUMMYFUNCTION("INDIRECT(""'收支紀錄'!O""&amp;TO_TEXT(ROW()-$C$72))"),"")</f>
        <v/>
      </c>
      <c r="P326" s="61" t="str">
        <f>IFERROR(__xludf.DUMMYFUNCTION("INDIRECT(""'收支紀錄'!P""&amp;TO_TEXT(ROW()-$C$72))"),"")</f>
        <v/>
      </c>
      <c r="Q326" s="61" t="str">
        <f>IFERROR(__xludf.DUMMYFUNCTION("INDIRECT(""'收支紀錄'!Q""&amp;TO_TEXT(ROW()-$C$72))"),"")</f>
        <v/>
      </c>
      <c r="R326" s="61" t="str">
        <f>IFERROR(__xludf.DUMMYFUNCTION("INDIRECT(""'收支紀錄'!R""&amp;TO_TEXT(ROW()-$C$72))"),"")</f>
        <v/>
      </c>
      <c r="S326" s="61" t="str">
        <f>IFERROR(__xludf.DUMMYFUNCTION("INDIRECT(""'收支紀錄'!S""&amp;TO_TEXT(ROW()-$C$72))"),"")</f>
        <v/>
      </c>
      <c r="T326" s="61" t="str">
        <f>IFERROR(__xludf.DUMMYFUNCTION("INDIRECT(""'收支紀錄'!T""&amp;TO_TEXT(ROW()-$C$72))"),"")</f>
        <v/>
      </c>
      <c r="U326" s="62" t="str">
        <f>IFERROR(__xludf.DUMMYFUNCTION("IF(T326=""是"",TEXTJOIN("""", TRUE, ""$"", TO_TEXT(C326), S326),"""")"),"")</f>
        <v/>
      </c>
    </row>
    <row r="327">
      <c r="A327" s="58">
        <f>IFERROR(__xludf.DUMMYFUNCTION("INDIRECT(""'收支紀錄'!A""&amp;TO_TEXT(ROW()-$C$72))"),45578.432891261575)</f>
        <v>45578.43289</v>
      </c>
      <c r="B327" s="59">
        <f>IFERROR(__xludf.DUMMYFUNCTION("IF(ISBLANK(D327), """", IF(ISDATE(D327), D327, IF(D327=""今天"", A327, IF(D327=""昨天 (-1 day)"", A327-1, IF(D327=""前天 (-2 days)"", A327-2, IF(D327=""明天 (+1 day)"", A327+1, DATE(LEFT(D327,4), MID(D327,5,2), RIGHT(D327,2))))))))"),45578.432891261575)</f>
        <v>45578.43289</v>
      </c>
      <c r="C327" s="60">
        <f>IFERROR(__xludf.DUMMYFUNCTION("INDIRECT(""'收支紀錄'!C""&amp;TO_TEXT(ROW()-$C$72))"),50.0)</f>
        <v>50</v>
      </c>
      <c r="D327" s="63" t="str">
        <f>IFERROR(__xludf.DUMMYFUNCTION("INDIRECT(""'收支紀錄'!D""&amp;TO_TEXT(ROW()-$C$72))"),"今天")</f>
        <v>今天</v>
      </c>
      <c r="E327" s="61" t="str">
        <f>IFERROR(__xludf.DUMMYFUNCTION("INDIRECT(""'收支紀錄'!E""&amp;TO_TEXT(ROW()-$C$72))"),"")</f>
        <v/>
      </c>
      <c r="F327" s="61" t="str">
        <f>IFERROR(__xludf.DUMMYFUNCTION("INDIRECT(""'收支紀錄'!F""&amp;TO_TEXT(ROW()-$C$72))"),"")</f>
        <v/>
      </c>
      <c r="G327" s="61" t="str">
        <f>IFERROR(__xludf.DUMMYFUNCTION("INDIRECT(""'收支紀錄'!G""&amp;TO_TEXT(ROW()-$C$72))"),"")</f>
        <v/>
      </c>
      <c r="H327" s="61" t="str">
        <f>IFERROR(__xludf.DUMMYFUNCTION("INDIRECT(""'收支紀錄'!H""&amp;TO_TEXT(ROW()-$C$72))"),"休閒娛樂")</f>
        <v>休閒娛樂</v>
      </c>
      <c r="I327" s="61" t="str">
        <f>IFERROR(__xludf.DUMMYFUNCTION("INDIRECT(""'收支紀錄'!I""&amp;TO_TEXT(ROW()-$C$72))"),"")</f>
        <v/>
      </c>
      <c r="J327" s="61" t="str">
        <f>IFERROR(__xludf.DUMMYFUNCTION("INDIRECT(""'收支紀錄'!J""&amp;TO_TEXT(ROW()-$C$72))"),"")</f>
        <v/>
      </c>
      <c r="K327" s="61" t="str">
        <f>IFERROR(__xludf.DUMMYFUNCTION("INDIRECT(""'收支紀錄'!K""&amp;TO_TEXT(ROW()-$C$72))"),"")</f>
        <v/>
      </c>
      <c r="L327" s="61" t="str">
        <f>IFERROR(__xludf.DUMMYFUNCTION("INDIRECT(""'收支紀錄'!L""&amp;TO_TEXT(ROW()-$C$72))"),"")</f>
        <v/>
      </c>
      <c r="M327" s="61" t="str">
        <f>IFERROR(__xludf.DUMMYFUNCTION("INDIRECT(""'收支紀錄'!M""&amp;TO_TEXT(ROW()-$C$72))"),"運動健身")</f>
        <v>運動健身</v>
      </c>
      <c r="N327" s="61" t="str">
        <f>IFERROR(__xludf.DUMMYFUNCTION("INDIRECT(""'收支紀錄'!N""&amp;TO_TEXT(ROW()-$C$72))"),"")</f>
        <v/>
      </c>
      <c r="O327" s="61" t="str">
        <f>IFERROR(__xludf.DUMMYFUNCTION("INDIRECT(""'收支紀錄'!O""&amp;TO_TEXT(ROW()-$C$72))"),"")</f>
        <v/>
      </c>
      <c r="P327" s="61" t="str">
        <f>IFERROR(__xludf.DUMMYFUNCTION("INDIRECT(""'收支紀錄'!P""&amp;TO_TEXT(ROW()-$C$72))"),"")</f>
        <v/>
      </c>
      <c r="Q327" s="61" t="str">
        <f>IFERROR(__xludf.DUMMYFUNCTION("INDIRECT(""'收支紀錄'!Q""&amp;TO_TEXT(ROW()-$C$72))"),"")</f>
        <v/>
      </c>
      <c r="R327" s="61" t="str">
        <f>IFERROR(__xludf.DUMMYFUNCTION("INDIRECT(""'收支紀錄'!R""&amp;TO_TEXT(ROW()-$C$72))"),"")</f>
        <v/>
      </c>
      <c r="S327" s="61" t="str">
        <f>IFERROR(__xludf.DUMMYFUNCTION("INDIRECT(""'收支紀錄'!S""&amp;TO_TEXT(ROW()-$C$72))"),"")</f>
        <v/>
      </c>
      <c r="T327" s="61" t="str">
        <f>IFERROR(__xludf.DUMMYFUNCTION("INDIRECT(""'收支紀錄'!T""&amp;TO_TEXT(ROW()-$C$72))"),"")</f>
        <v/>
      </c>
      <c r="U327" s="62" t="str">
        <f>IFERROR(__xludf.DUMMYFUNCTION("IF(T327=""是"",TEXTJOIN("""", TRUE, ""$"", TO_TEXT(C327), S327),"""")"),"")</f>
        <v/>
      </c>
    </row>
    <row r="328">
      <c r="A328" s="58">
        <f>IFERROR(__xludf.DUMMYFUNCTION("INDIRECT(""'收支紀錄'!A""&amp;TO_TEXT(ROW()-$C$72))"),45578.43308574074)</f>
        <v>45578.43309</v>
      </c>
      <c r="B328" s="59">
        <f>IFERROR(__xludf.DUMMYFUNCTION("IF(ISBLANK(D328), """", IF(ISDATE(D328), D328, IF(D328=""今天"", A328, IF(D328=""昨天 (-1 day)"", A328-1, IF(D328=""前天 (-2 days)"", A328-2, IF(D328=""明天 (+1 day)"", A328+1, DATE(LEFT(D328,4), MID(D328,5,2), RIGHT(D328,2))))))))"),45578.43308574074)</f>
        <v>45578.43309</v>
      </c>
      <c r="C328" s="60">
        <f>IFERROR(__xludf.DUMMYFUNCTION("INDIRECT(""'收支紀錄'!C""&amp;TO_TEXT(ROW()-$C$72))"),25.0)</f>
        <v>25</v>
      </c>
      <c r="D328" s="63" t="str">
        <f>IFERROR(__xludf.DUMMYFUNCTION("INDIRECT(""'收支紀錄'!D""&amp;TO_TEXT(ROW()-$C$72))"),"今天")</f>
        <v>今天</v>
      </c>
      <c r="E328" s="61" t="str">
        <f>IFERROR(__xludf.DUMMYFUNCTION("INDIRECT(""'收支紀錄'!E""&amp;TO_TEXT(ROW()-$C$72))"),"")</f>
        <v/>
      </c>
      <c r="F328" s="61" t="str">
        <f>IFERROR(__xludf.DUMMYFUNCTION("INDIRECT(""'收支紀錄'!F""&amp;TO_TEXT(ROW()-$C$72))"),"")</f>
        <v/>
      </c>
      <c r="G328" s="61" t="str">
        <f>IFERROR(__xludf.DUMMYFUNCTION("INDIRECT(""'收支紀錄'!G""&amp;TO_TEXT(ROW()-$C$72))"),"")</f>
        <v/>
      </c>
      <c r="H328" s="61" t="str">
        <f>IFERROR(__xludf.DUMMYFUNCTION("INDIRECT(""'收支紀錄'!H""&amp;TO_TEXT(ROW()-$C$72))"),"食品酒水")</f>
        <v>食品酒水</v>
      </c>
      <c r="I328" s="61" t="str">
        <f>IFERROR(__xludf.DUMMYFUNCTION("INDIRECT(""'收支紀錄'!I""&amp;TO_TEXT(ROW()-$C$72))"),"早餐")</f>
        <v>早餐</v>
      </c>
      <c r="J328" s="61" t="str">
        <f>IFERROR(__xludf.DUMMYFUNCTION("INDIRECT(""'收支紀錄'!J""&amp;TO_TEXT(ROW()-$C$72))"),"")</f>
        <v/>
      </c>
      <c r="K328" s="61" t="str">
        <f>IFERROR(__xludf.DUMMYFUNCTION("INDIRECT(""'收支紀錄'!K""&amp;TO_TEXT(ROW()-$C$72))"),"")</f>
        <v/>
      </c>
      <c r="L328" s="61" t="str">
        <f>IFERROR(__xludf.DUMMYFUNCTION("INDIRECT(""'收支紀錄'!L""&amp;TO_TEXT(ROW()-$C$72))"),"")</f>
        <v/>
      </c>
      <c r="M328" s="61" t="str">
        <f>IFERROR(__xludf.DUMMYFUNCTION("INDIRECT(""'收支紀錄'!M""&amp;TO_TEXT(ROW()-$C$72))"),"")</f>
        <v/>
      </c>
      <c r="N328" s="61" t="str">
        <f>IFERROR(__xludf.DUMMYFUNCTION("INDIRECT(""'收支紀錄'!N""&amp;TO_TEXT(ROW()-$C$72))"),"")</f>
        <v/>
      </c>
      <c r="O328" s="61" t="str">
        <f>IFERROR(__xludf.DUMMYFUNCTION("INDIRECT(""'收支紀錄'!O""&amp;TO_TEXT(ROW()-$C$72))"),"")</f>
        <v/>
      </c>
      <c r="P328" s="61" t="str">
        <f>IFERROR(__xludf.DUMMYFUNCTION("INDIRECT(""'收支紀錄'!P""&amp;TO_TEXT(ROW()-$C$72))"),"")</f>
        <v/>
      </c>
      <c r="Q328" s="61" t="str">
        <f>IFERROR(__xludf.DUMMYFUNCTION("INDIRECT(""'收支紀錄'!Q""&amp;TO_TEXT(ROW()-$C$72))"),"")</f>
        <v/>
      </c>
      <c r="R328" s="61" t="str">
        <f>IFERROR(__xludf.DUMMYFUNCTION("INDIRECT(""'收支紀錄'!R""&amp;TO_TEXT(ROW()-$C$72))"),"")</f>
        <v/>
      </c>
      <c r="S328" s="61" t="str">
        <f>IFERROR(__xludf.DUMMYFUNCTION("INDIRECT(""'收支紀錄'!S""&amp;TO_TEXT(ROW()-$C$72))"),"")</f>
        <v/>
      </c>
      <c r="T328" s="61" t="str">
        <f>IFERROR(__xludf.DUMMYFUNCTION("INDIRECT(""'收支紀錄'!T""&amp;TO_TEXT(ROW()-$C$72))"),"")</f>
        <v/>
      </c>
      <c r="U328" s="62" t="str">
        <f>IFERROR(__xludf.DUMMYFUNCTION("IF(T328=""是"",TEXTJOIN("""", TRUE, ""$"", TO_TEXT(C328), S328),"""")"),"")</f>
        <v/>
      </c>
    </row>
    <row r="329">
      <c r="A329" s="58">
        <f>IFERROR(__xludf.DUMMYFUNCTION("INDIRECT(""'收支紀錄'!A""&amp;TO_TEXT(ROW()-$C$72))"),45578.433257743054)</f>
        <v>45578.43326</v>
      </c>
      <c r="B329" s="59">
        <f>IFERROR(__xludf.DUMMYFUNCTION("IF(ISBLANK(D329), """", IF(ISDATE(D329), D329, IF(D329=""今天"", A329, IF(D329=""昨天 (-1 day)"", A329-1, IF(D329=""前天 (-2 days)"", A329-2, IF(D329=""明天 (+1 day)"", A329+1, DATE(LEFT(D329,4), MID(D329,5,2), RIGHT(D329,2))))))))"),45578.433257743054)</f>
        <v>45578.43326</v>
      </c>
      <c r="C329" s="60">
        <f>IFERROR(__xludf.DUMMYFUNCTION("INDIRECT(""'收支紀錄'!C""&amp;TO_TEXT(ROW()-$C$72))"),29.0)</f>
        <v>29</v>
      </c>
      <c r="D329" s="63" t="str">
        <f>IFERROR(__xludf.DUMMYFUNCTION("INDIRECT(""'收支紀錄'!D""&amp;TO_TEXT(ROW()-$C$72))"),"今天")</f>
        <v>今天</v>
      </c>
      <c r="E329" s="61" t="str">
        <f>IFERROR(__xludf.DUMMYFUNCTION("INDIRECT(""'收支紀錄'!E""&amp;TO_TEXT(ROW()-$C$72))"),"")</f>
        <v/>
      </c>
      <c r="F329" s="61" t="str">
        <f>IFERROR(__xludf.DUMMYFUNCTION("INDIRECT(""'收支紀錄'!F""&amp;TO_TEXT(ROW()-$C$72))"),"")</f>
        <v/>
      </c>
      <c r="G329" s="61" t="str">
        <f>IFERROR(__xludf.DUMMYFUNCTION("INDIRECT(""'收支紀錄'!G""&amp;TO_TEXT(ROW()-$C$72))"),"")</f>
        <v/>
      </c>
      <c r="H329" s="61" t="str">
        <f>IFERROR(__xludf.DUMMYFUNCTION("INDIRECT(""'收支紀錄'!H""&amp;TO_TEXT(ROW()-$C$72))"),"日常生活")</f>
        <v>日常生活</v>
      </c>
      <c r="I329" s="61" t="str">
        <f>IFERROR(__xludf.DUMMYFUNCTION("INDIRECT(""'收支紀錄'!I""&amp;TO_TEXT(ROW()-$C$72))"),"")</f>
        <v/>
      </c>
      <c r="J329" s="61" t="str">
        <f>IFERROR(__xludf.DUMMYFUNCTION("INDIRECT(""'收支紀錄'!J""&amp;TO_TEXT(ROW()-$C$72))"),"日常用品")</f>
        <v>日常用品</v>
      </c>
      <c r="K329" s="61" t="str">
        <f>IFERROR(__xludf.DUMMYFUNCTION("INDIRECT(""'收支紀錄'!K""&amp;TO_TEXT(ROW()-$C$72))"),"")</f>
        <v/>
      </c>
      <c r="L329" s="61" t="str">
        <f>IFERROR(__xludf.DUMMYFUNCTION("INDIRECT(""'收支紀錄'!L""&amp;TO_TEXT(ROW()-$C$72))"),"")</f>
        <v/>
      </c>
      <c r="M329" s="61" t="str">
        <f>IFERROR(__xludf.DUMMYFUNCTION("INDIRECT(""'收支紀錄'!M""&amp;TO_TEXT(ROW()-$C$72))"),"")</f>
        <v/>
      </c>
      <c r="N329" s="61" t="str">
        <f>IFERROR(__xludf.DUMMYFUNCTION("INDIRECT(""'收支紀錄'!N""&amp;TO_TEXT(ROW()-$C$72))"),"")</f>
        <v/>
      </c>
      <c r="O329" s="61" t="str">
        <f>IFERROR(__xludf.DUMMYFUNCTION("INDIRECT(""'收支紀錄'!O""&amp;TO_TEXT(ROW()-$C$72))"),"")</f>
        <v/>
      </c>
      <c r="P329" s="61" t="str">
        <f>IFERROR(__xludf.DUMMYFUNCTION("INDIRECT(""'收支紀錄'!P""&amp;TO_TEXT(ROW()-$C$72))"),"")</f>
        <v/>
      </c>
      <c r="Q329" s="61" t="str">
        <f>IFERROR(__xludf.DUMMYFUNCTION("INDIRECT(""'收支紀錄'!Q""&amp;TO_TEXT(ROW()-$C$72))"),"")</f>
        <v/>
      </c>
      <c r="R329" s="61" t="str">
        <f>IFERROR(__xludf.DUMMYFUNCTION("INDIRECT(""'收支紀錄'!R""&amp;TO_TEXT(ROW()-$C$72))"),"")</f>
        <v/>
      </c>
      <c r="S329" s="61" t="str">
        <f>IFERROR(__xludf.DUMMYFUNCTION("INDIRECT(""'收支紀錄'!S""&amp;TO_TEXT(ROW()-$C$72))"),"")</f>
        <v/>
      </c>
      <c r="T329" s="61" t="str">
        <f>IFERROR(__xludf.DUMMYFUNCTION("INDIRECT(""'收支紀錄'!T""&amp;TO_TEXT(ROW()-$C$72))"),"")</f>
        <v/>
      </c>
      <c r="U329" s="62" t="str">
        <f>IFERROR(__xludf.DUMMYFUNCTION("IF(T329=""是"",TEXTJOIN("""", TRUE, ""$"", TO_TEXT(C329), S329),"""")"),"")</f>
        <v/>
      </c>
    </row>
    <row r="330">
      <c r="A330" s="58">
        <f>IFERROR(__xludf.DUMMYFUNCTION("INDIRECT(""'收支紀錄'!A""&amp;TO_TEXT(ROW()-$C$72))"),45578.91779016204)</f>
        <v>45578.91779</v>
      </c>
      <c r="B330" s="59">
        <f>IFERROR(__xludf.DUMMYFUNCTION("IF(ISBLANK(D330), """", IF(ISDATE(D330), D330, IF(D330=""今天"", A330, IF(D330=""昨天 (-1 day)"", A330-1, IF(D330=""前天 (-2 days)"", A330-2, IF(D330=""明天 (+1 day)"", A330+1, DATE(LEFT(D330,4), MID(D330,5,2), RIGHT(D330,2))))))))"),45578.91779016204)</f>
        <v>45578.91779</v>
      </c>
      <c r="C330" s="60">
        <f>IFERROR(__xludf.DUMMYFUNCTION("INDIRECT(""'收支紀錄'!C""&amp;TO_TEXT(ROW()-$C$72))"),251.0)</f>
        <v>251</v>
      </c>
      <c r="D330" s="63" t="str">
        <f>IFERROR(__xludf.DUMMYFUNCTION("INDIRECT(""'收支紀錄'!D""&amp;TO_TEXT(ROW()-$C$72))"),"今天")</f>
        <v>今天</v>
      </c>
      <c r="E330" s="61" t="str">
        <f>IFERROR(__xludf.DUMMYFUNCTION("INDIRECT(""'收支紀錄'!E""&amp;TO_TEXT(ROW()-$C$72))"),"")</f>
        <v/>
      </c>
      <c r="F330" s="61" t="str">
        <f>IFERROR(__xludf.DUMMYFUNCTION("INDIRECT(""'收支紀錄'!F""&amp;TO_TEXT(ROW()-$C$72))"),"")</f>
        <v/>
      </c>
      <c r="G330" s="61" t="str">
        <f>IFERROR(__xludf.DUMMYFUNCTION("INDIRECT(""'收支紀錄'!G""&amp;TO_TEXT(ROW()-$C$72))"),"")</f>
        <v/>
      </c>
      <c r="H330" s="61" t="str">
        <f>IFERROR(__xludf.DUMMYFUNCTION("INDIRECT(""'收支紀錄'!H""&amp;TO_TEXT(ROW()-$C$72))"),"食品酒水")</f>
        <v>食品酒水</v>
      </c>
      <c r="I330" s="61" t="str">
        <f>IFERROR(__xludf.DUMMYFUNCTION("INDIRECT(""'收支紀錄'!I""&amp;TO_TEXT(ROW()-$C$72))"),"食材")</f>
        <v>食材</v>
      </c>
      <c r="J330" s="61" t="str">
        <f>IFERROR(__xludf.DUMMYFUNCTION("INDIRECT(""'收支紀錄'!J""&amp;TO_TEXT(ROW()-$C$72))"),"")</f>
        <v/>
      </c>
      <c r="K330" s="61" t="str">
        <f>IFERROR(__xludf.DUMMYFUNCTION("INDIRECT(""'收支紀錄'!K""&amp;TO_TEXT(ROW()-$C$72))"),"")</f>
        <v/>
      </c>
      <c r="L330" s="61" t="str">
        <f>IFERROR(__xludf.DUMMYFUNCTION("INDIRECT(""'收支紀錄'!L""&amp;TO_TEXT(ROW()-$C$72))"),"")</f>
        <v/>
      </c>
      <c r="M330" s="61" t="str">
        <f>IFERROR(__xludf.DUMMYFUNCTION("INDIRECT(""'收支紀錄'!M""&amp;TO_TEXT(ROW()-$C$72))"),"")</f>
        <v/>
      </c>
      <c r="N330" s="61" t="str">
        <f>IFERROR(__xludf.DUMMYFUNCTION("INDIRECT(""'收支紀錄'!N""&amp;TO_TEXT(ROW()-$C$72))"),"")</f>
        <v/>
      </c>
      <c r="O330" s="61" t="str">
        <f>IFERROR(__xludf.DUMMYFUNCTION("INDIRECT(""'收支紀錄'!O""&amp;TO_TEXT(ROW()-$C$72))"),"")</f>
        <v/>
      </c>
      <c r="P330" s="61" t="str">
        <f>IFERROR(__xludf.DUMMYFUNCTION("INDIRECT(""'收支紀錄'!P""&amp;TO_TEXT(ROW()-$C$72))"),"")</f>
        <v/>
      </c>
      <c r="Q330" s="61" t="str">
        <f>IFERROR(__xludf.DUMMYFUNCTION("INDIRECT(""'收支紀錄'!Q""&amp;TO_TEXT(ROW()-$C$72))"),"")</f>
        <v/>
      </c>
      <c r="R330" s="61" t="str">
        <f>IFERROR(__xludf.DUMMYFUNCTION("INDIRECT(""'收支紀錄'!R""&amp;TO_TEXT(ROW()-$C$72))"),"")</f>
        <v/>
      </c>
      <c r="S330" s="61" t="str">
        <f>IFERROR(__xludf.DUMMYFUNCTION("INDIRECT(""'收支紀錄'!S""&amp;TO_TEXT(ROW()-$C$72))"),"")</f>
        <v/>
      </c>
      <c r="T330" s="61" t="str">
        <f>IFERROR(__xludf.DUMMYFUNCTION("INDIRECT(""'收支紀錄'!T""&amp;TO_TEXT(ROW()-$C$72))"),"")</f>
        <v/>
      </c>
      <c r="U330" s="62" t="str">
        <f>IFERROR(__xludf.DUMMYFUNCTION("IF(T330=""是"",TEXTJOIN("""", TRUE, ""$"", TO_TEXT(C330), S330),"""")"),"")</f>
        <v/>
      </c>
    </row>
    <row r="331">
      <c r="A331" s="58">
        <f>IFERROR(__xludf.DUMMYFUNCTION("INDIRECT(""'收支紀錄'!A""&amp;TO_TEXT(ROW()-$C$72))"),45578.91799111111)</f>
        <v>45578.91799</v>
      </c>
      <c r="B331" s="59">
        <f>IFERROR(__xludf.DUMMYFUNCTION("IF(ISBLANK(D331), """", IF(ISDATE(D331), D331, IF(D331=""今天"", A331, IF(D331=""昨天 (-1 day)"", A331-1, IF(D331=""前天 (-2 days)"", A331-2, IF(D331=""明天 (+1 day)"", A331+1, DATE(LEFT(D331,4), MID(D331,5,2), RIGHT(D331,2))))))))"),45578.91799111111)</f>
        <v>45578.91799</v>
      </c>
      <c r="C331" s="60">
        <f>IFERROR(__xludf.DUMMYFUNCTION("INDIRECT(""'收支紀錄'!C""&amp;TO_TEXT(ROW()-$C$72))"),40.0)</f>
        <v>40</v>
      </c>
      <c r="D331" s="63" t="str">
        <f>IFERROR(__xludf.DUMMYFUNCTION("INDIRECT(""'收支紀錄'!D""&amp;TO_TEXT(ROW()-$C$72))"),"今天")</f>
        <v>今天</v>
      </c>
      <c r="E331" s="61" t="str">
        <f>IFERROR(__xludf.DUMMYFUNCTION("INDIRECT(""'收支紀錄'!E""&amp;TO_TEXT(ROW()-$C$72))"),"")</f>
        <v/>
      </c>
      <c r="F331" s="61" t="str">
        <f>IFERROR(__xludf.DUMMYFUNCTION("INDIRECT(""'收支紀錄'!F""&amp;TO_TEXT(ROW()-$C$72))"),"")</f>
        <v/>
      </c>
      <c r="G331" s="61" t="str">
        <f>IFERROR(__xludf.DUMMYFUNCTION("INDIRECT(""'收支紀錄'!G""&amp;TO_TEXT(ROW()-$C$72))"),"")</f>
        <v/>
      </c>
      <c r="H331" s="61" t="str">
        <f>IFERROR(__xludf.DUMMYFUNCTION("INDIRECT(""'收支紀錄'!H""&amp;TO_TEXT(ROW()-$C$72))"),"行車交通")</f>
        <v>行車交通</v>
      </c>
      <c r="I331" s="61" t="str">
        <f>IFERROR(__xludf.DUMMYFUNCTION("INDIRECT(""'收支紀錄'!I""&amp;TO_TEXT(ROW()-$C$72))"),"")</f>
        <v/>
      </c>
      <c r="J331" s="61" t="str">
        <f>IFERROR(__xludf.DUMMYFUNCTION("INDIRECT(""'收支紀錄'!J""&amp;TO_TEXT(ROW()-$C$72))"),"")</f>
        <v/>
      </c>
      <c r="K331" s="61" t="str">
        <f>IFERROR(__xludf.DUMMYFUNCTION("INDIRECT(""'收支紀錄'!K""&amp;TO_TEXT(ROW()-$C$72))"),"")</f>
        <v/>
      </c>
      <c r="L331" s="61" t="str">
        <f>IFERROR(__xludf.DUMMYFUNCTION("INDIRECT(""'收支紀錄'!L""&amp;TO_TEXT(ROW()-$C$72))"),"停車")</f>
        <v>停車</v>
      </c>
      <c r="M331" s="61" t="str">
        <f>IFERROR(__xludf.DUMMYFUNCTION("INDIRECT(""'收支紀錄'!M""&amp;TO_TEXT(ROW()-$C$72))"),"")</f>
        <v/>
      </c>
      <c r="N331" s="61" t="str">
        <f>IFERROR(__xludf.DUMMYFUNCTION("INDIRECT(""'收支紀錄'!N""&amp;TO_TEXT(ROW()-$C$72))"),"")</f>
        <v/>
      </c>
      <c r="O331" s="61" t="str">
        <f>IFERROR(__xludf.DUMMYFUNCTION("INDIRECT(""'收支紀錄'!O""&amp;TO_TEXT(ROW()-$C$72))"),"")</f>
        <v/>
      </c>
      <c r="P331" s="61" t="str">
        <f>IFERROR(__xludf.DUMMYFUNCTION("INDIRECT(""'收支紀錄'!P""&amp;TO_TEXT(ROW()-$C$72))"),"")</f>
        <v/>
      </c>
      <c r="Q331" s="61" t="str">
        <f>IFERROR(__xludf.DUMMYFUNCTION("INDIRECT(""'收支紀錄'!Q""&amp;TO_TEXT(ROW()-$C$72))"),"")</f>
        <v/>
      </c>
      <c r="R331" s="61" t="str">
        <f>IFERROR(__xludf.DUMMYFUNCTION("INDIRECT(""'收支紀錄'!R""&amp;TO_TEXT(ROW()-$C$72))"),"")</f>
        <v/>
      </c>
      <c r="S331" s="61" t="str">
        <f>IFERROR(__xludf.DUMMYFUNCTION("INDIRECT(""'收支紀錄'!S""&amp;TO_TEXT(ROW()-$C$72))"),"")</f>
        <v/>
      </c>
      <c r="T331" s="61" t="str">
        <f>IFERROR(__xludf.DUMMYFUNCTION("INDIRECT(""'收支紀錄'!T""&amp;TO_TEXT(ROW()-$C$72))"),"")</f>
        <v/>
      </c>
      <c r="U331" s="62" t="str">
        <f>IFERROR(__xludf.DUMMYFUNCTION("IF(T331=""是"",TEXTJOIN("""", TRUE, ""$"", TO_TEXT(C331), S331),"""")"),"")</f>
        <v/>
      </c>
    </row>
    <row r="332">
      <c r="A332" s="58">
        <f>IFERROR(__xludf.DUMMYFUNCTION("INDIRECT(""'收支紀錄'!A""&amp;TO_TEXT(ROW()-$C$72))"),45581.51867710648)</f>
        <v>45581.51868</v>
      </c>
      <c r="B332" s="59">
        <f>IFERROR(__xludf.DUMMYFUNCTION("IF(ISBLANK(D332), """", IF(ISDATE(D332), D332, IF(D332=""今天"", A332, IF(D332=""昨天 (-1 day)"", A332-1, IF(D332=""前天 (-2 days)"", A332-2, IF(D332=""明天 (+1 day)"", A332+1, DATE(LEFT(D332,4), MID(D332,5,2), RIGHT(D332,2))))))))"),45772.0)</f>
        <v>45772</v>
      </c>
      <c r="C332" s="60">
        <f>IFERROR(__xludf.DUMMYFUNCTION("INDIRECT(""'收支紀錄'!C""&amp;TO_TEXT(ROW()-$C$72))"),1100.0)</f>
        <v>1100</v>
      </c>
      <c r="D332" s="63">
        <f>IFERROR(__xludf.DUMMYFUNCTION("INDIRECT(""'收支紀錄'!D""&amp;TO_TEXT(ROW()-$C$72))"),2.0250425E7)</f>
        <v>20250425</v>
      </c>
      <c r="E332" s="61" t="str">
        <f>IFERROR(__xludf.DUMMYFUNCTION("INDIRECT(""'收支紀錄'!E""&amp;TO_TEXT(ROW()-$C$72))"),"")</f>
        <v/>
      </c>
      <c r="F332" s="61" t="str">
        <f>IFERROR(__xludf.DUMMYFUNCTION("INDIRECT(""'收支紀錄'!F""&amp;TO_TEXT(ROW()-$C$72))"),"")</f>
        <v/>
      </c>
      <c r="G332" s="61" t="str">
        <f>IFERROR(__xludf.DUMMYFUNCTION("INDIRECT(""'收支紀錄'!G""&amp;TO_TEXT(ROW()-$C$72))"),"")</f>
        <v/>
      </c>
      <c r="H332" s="61" t="str">
        <f>IFERROR(__xludf.DUMMYFUNCTION("INDIRECT(""'收支紀錄'!H""&amp;TO_TEXT(ROW()-$C$72))"),"休閒娛樂")</f>
        <v>休閒娛樂</v>
      </c>
      <c r="I332" s="61" t="str">
        <f>IFERROR(__xludf.DUMMYFUNCTION("INDIRECT(""'收支紀錄'!I""&amp;TO_TEXT(ROW()-$C$72))"),"")</f>
        <v/>
      </c>
      <c r="J332" s="61" t="str">
        <f>IFERROR(__xludf.DUMMYFUNCTION("INDIRECT(""'收支紀錄'!J""&amp;TO_TEXT(ROW()-$C$72))"),"")</f>
        <v/>
      </c>
      <c r="K332" s="61" t="str">
        <f>IFERROR(__xludf.DUMMYFUNCTION("INDIRECT(""'收支紀錄'!K""&amp;TO_TEXT(ROW()-$C$72))"),"")</f>
        <v/>
      </c>
      <c r="L332" s="61" t="str">
        <f>IFERROR(__xludf.DUMMYFUNCTION("INDIRECT(""'收支紀錄'!L""&amp;TO_TEXT(ROW()-$C$72))"),"")</f>
        <v/>
      </c>
      <c r="M332" s="61" t="str">
        <f>IFERROR(__xludf.DUMMYFUNCTION("INDIRECT(""'收支紀錄'!M""&amp;TO_TEXT(ROW()-$C$72))"),"旅遊度假")</f>
        <v>旅遊度假</v>
      </c>
      <c r="N332" s="61" t="str">
        <f>IFERROR(__xludf.DUMMYFUNCTION("INDIRECT(""'收支紀錄'!N""&amp;TO_TEXT(ROW()-$C$72))"),"")</f>
        <v/>
      </c>
      <c r="O332" s="61" t="str">
        <f>IFERROR(__xludf.DUMMYFUNCTION("INDIRECT(""'收支紀錄'!O""&amp;TO_TEXT(ROW()-$C$72))"),"")</f>
        <v/>
      </c>
      <c r="P332" s="61" t="str">
        <f>IFERROR(__xludf.DUMMYFUNCTION("INDIRECT(""'收支紀錄'!P""&amp;TO_TEXT(ROW()-$C$72))"),"")</f>
        <v/>
      </c>
      <c r="Q332" s="61" t="str">
        <f>IFERROR(__xludf.DUMMYFUNCTION("INDIRECT(""'收支紀錄'!Q""&amp;TO_TEXT(ROW()-$C$72))"),"")</f>
        <v/>
      </c>
      <c r="R332" s="61" t="str">
        <f>IFERROR(__xludf.DUMMYFUNCTION("INDIRECT(""'收支紀錄'!R""&amp;TO_TEXT(ROW()-$C$72))"),"")</f>
        <v/>
      </c>
      <c r="S332" s="61" t="str">
        <f>IFERROR(__xludf.DUMMYFUNCTION("INDIRECT(""'收支紀錄'!S""&amp;TO_TEXT(ROW()-$C$72))"),"三鐵住宿兩晚")</f>
        <v>三鐵住宿兩晚</v>
      </c>
      <c r="T332" s="61" t="str">
        <f>IFERROR(__xludf.DUMMYFUNCTION("INDIRECT(""'收支紀錄'!T""&amp;TO_TEXT(ROW()-$C$72))"),"否")</f>
        <v>否</v>
      </c>
      <c r="U332" s="62" t="str">
        <f>IFERROR(__xludf.DUMMYFUNCTION("IF(T332=""是"",TEXTJOIN("""", TRUE, ""$"", TO_TEXT(C332), S332),"""")"),"")</f>
        <v/>
      </c>
    </row>
    <row r="333">
      <c r="A333" s="58">
        <f>IFERROR(__xludf.DUMMYFUNCTION("INDIRECT(""'收支紀錄'!A""&amp;TO_TEXT(ROW()-$C$72))"),45581.56879628472)</f>
        <v>45581.5688</v>
      </c>
      <c r="B333" s="59">
        <f>IFERROR(__xludf.DUMMYFUNCTION("IF(ISBLANK(D333), """", IF(ISDATE(D333), D333, IF(D333=""今天"", A333, IF(D333=""昨天 (-1 day)"", A333-1, IF(D333=""前天 (-2 days)"", A333-2, IF(D333=""明天 (+1 day)"", A333+1, DATE(LEFT(D333,4), MID(D333,5,2), RIGHT(D333,2))))))))"),45584.0)</f>
        <v>45584</v>
      </c>
      <c r="C333" s="60">
        <f>IFERROR(__xludf.DUMMYFUNCTION("INDIRECT(""'收支紀錄'!C""&amp;TO_TEXT(ROW()-$C$72))"),158.0)</f>
        <v>158</v>
      </c>
      <c r="D333" s="63">
        <f>IFERROR(__xludf.DUMMYFUNCTION("INDIRECT(""'收支紀錄'!D""&amp;TO_TEXT(ROW()-$C$72))"),2.0241019E7)</f>
        <v>20241019</v>
      </c>
      <c r="E333" s="61" t="str">
        <f>IFERROR(__xludf.DUMMYFUNCTION("INDIRECT(""'收支紀錄'!E""&amp;TO_TEXT(ROW()-$C$72))"),"")</f>
        <v/>
      </c>
      <c r="F333" s="61" t="str">
        <f>IFERROR(__xludf.DUMMYFUNCTION("INDIRECT(""'收支紀錄'!F""&amp;TO_TEXT(ROW()-$C$72))"),"")</f>
        <v/>
      </c>
      <c r="G333" s="61" t="str">
        <f>IFERROR(__xludf.DUMMYFUNCTION("INDIRECT(""'收支紀錄'!G""&amp;TO_TEXT(ROW()-$C$72))"),"")</f>
        <v/>
      </c>
      <c r="H333" s="61" t="str">
        <f>IFERROR(__xludf.DUMMYFUNCTION("INDIRECT(""'收支紀錄'!H""&amp;TO_TEXT(ROW()-$C$72))"),"行車交通")</f>
        <v>行車交通</v>
      </c>
      <c r="I333" s="61" t="str">
        <f>IFERROR(__xludf.DUMMYFUNCTION("INDIRECT(""'收支紀錄'!I""&amp;TO_TEXT(ROW()-$C$72))"),"")</f>
        <v/>
      </c>
      <c r="J333" s="61" t="str">
        <f>IFERROR(__xludf.DUMMYFUNCTION("INDIRECT(""'收支紀錄'!J""&amp;TO_TEXT(ROW()-$C$72))"),"")</f>
        <v/>
      </c>
      <c r="K333" s="61" t="str">
        <f>IFERROR(__xludf.DUMMYFUNCTION("INDIRECT(""'收支紀錄'!K""&amp;TO_TEXT(ROW()-$C$72))"),"")</f>
        <v/>
      </c>
      <c r="L333" s="61" t="str">
        <f>IFERROR(__xludf.DUMMYFUNCTION("INDIRECT(""'收支紀錄'!L""&amp;TO_TEXT(ROW()-$C$72))"),"客運費")</f>
        <v>客運費</v>
      </c>
      <c r="M333" s="61" t="str">
        <f>IFERROR(__xludf.DUMMYFUNCTION("INDIRECT(""'收支紀錄'!M""&amp;TO_TEXT(ROW()-$C$72))"),"")</f>
        <v/>
      </c>
      <c r="N333" s="61" t="str">
        <f>IFERROR(__xludf.DUMMYFUNCTION("INDIRECT(""'收支紀錄'!N""&amp;TO_TEXT(ROW()-$C$72))"),"")</f>
        <v/>
      </c>
      <c r="O333" s="61" t="str">
        <f>IFERROR(__xludf.DUMMYFUNCTION("INDIRECT(""'收支紀錄'!O""&amp;TO_TEXT(ROW()-$C$72))"),"")</f>
        <v/>
      </c>
      <c r="P333" s="61" t="str">
        <f>IFERROR(__xludf.DUMMYFUNCTION("INDIRECT(""'收支紀錄'!P""&amp;TO_TEXT(ROW()-$C$72))"),"")</f>
        <v/>
      </c>
      <c r="Q333" s="61" t="str">
        <f>IFERROR(__xludf.DUMMYFUNCTION("INDIRECT(""'收支紀錄'!Q""&amp;TO_TEXT(ROW()-$C$72))"),"")</f>
        <v/>
      </c>
      <c r="R333" s="61" t="str">
        <f>IFERROR(__xludf.DUMMYFUNCTION("INDIRECT(""'收支紀錄'!R""&amp;TO_TEXT(ROW()-$C$72))"),"")</f>
        <v/>
      </c>
      <c r="S333" s="61" t="str">
        <f>IFERROR(__xludf.DUMMYFUNCTION("INDIRECT(""'收支紀錄'!S""&amp;TO_TEXT(ROW()-$C$72))"),"")</f>
        <v/>
      </c>
      <c r="T333" s="61" t="str">
        <f>IFERROR(__xludf.DUMMYFUNCTION("INDIRECT(""'收支紀錄'!T""&amp;TO_TEXT(ROW()-$C$72))"),"")</f>
        <v/>
      </c>
      <c r="U333" s="62" t="str">
        <f>IFERROR(__xludf.DUMMYFUNCTION("IF(T333=""是"",TEXTJOIN("""", TRUE, ""$"", TO_TEXT(C333), S333),"""")"),"")</f>
        <v/>
      </c>
    </row>
    <row r="334">
      <c r="A334" s="58">
        <f>IFERROR(__xludf.DUMMYFUNCTION("INDIRECT(""'收支紀錄'!A""&amp;TO_TEXT(ROW()-$C$72))"),45581.86063390046)</f>
        <v>45581.86063</v>
      </c>
      <c r="B334" s="59">
        <f>IFERROR(__xludf.DUMMYFUNCTION("IF(ISBLANK(D334), """", IF(ISDATE(D334), D334, IF(D334=""今天"", A334, IF(D334=""昨天 (-1 day)"", A334-1, IF(D334=""前天 (-2 days)"", A334-2, IF(D334=""明天 (+1 day)"", A334+1, DATE(LEFT(D334,4), MID(D334,5,2), RIGHT(D334,2))))))))"),45581.86063390046)</f>
        <v>45581.86063</v>
      </c>
      <c r="C334" s="60">
        <f>IFERROR(__xludf.DUMMYFUNCTION("INDIRECT(""'收支紀錄'!C""&amp;TO_TEXT(ROW()-$C$72))"),149.0)</f>
        <v>149</v>
      </c>
      <c r="D334" s="63" t="str">
        <f>IFERROR(__xludf.DUMMYFUNCTION("INDIRECT(""'收支紀錄'!D""&amp;TO_TEXT(ROW()-$C$72))"),"今天")</f>
        <v>今天</v>
      </c>
      <c r="E334" s="61" t="str">
        <f>IFERROR(__xludf.DUMMYFUNCTION("INDIRECT(""'收支紀錄'!E""&amp;TO_TEXT(ROW()-$C$72))"),"")</f>
        <v/>
      </c>
      <c r="F334" s="61" t="str">
        <f>IFERROR(__xludf.DUMMYFUNCTION("INDIRECT(""'收支紀錄'!F""&amp;TO_TEXT(ROW()-$C$72))"),"")</f>
        <v/>
      </c>
      <c r="G334" s="61" t="str">
        <f>IFERROR(__xludf.DUMMYFUNCTION("INDIRECT(""'收支紀錄'!G""&amp;TO_TEXT(ROW()-$C$72))"),"")</f>
        <v/>
      </c>
      <c r="H334" s="61" t="str">
        <f>IFERROR(__xludf.DUMMYFUNCTION("INDIRECT(""'收支紀錄'!H""&amp;TO_TEXT(ROW()-$C$72))"),"行車交通")</f>
        <v>行車交通</v>
      </c>
      <c r="I334" s="61" t="str">
        <f>IFERROR(__xludf.DUMMYFUNCTION("INDIRECT(""'收支紀錄'!I""&amp;TO_TEXT(ROW()-$C$72))"),"")</f>
        <v/>
      </c>
      <c r="J334" s="61" t="str">
        <f>IFERROR(__xludf.DUMMYFUNCTION("INDIRECT(""'收支紀錄'!J""&amp;TO_TEXT(ROW()-$C$72))"),"")</f>
        <v/>
      </c>
      <c r="K334" s="61" t="str">
        <f>IFERROR(__xludf.DUMMYFUNCTION("INDIRECT(""'收支紀錄'!K""&amp;TO_TEXT(ROW()-$C$72))"),"")</f>
        <v/>
      </c>
      <c r="L334" s="61" t="str">
        <f>IFERROR(__xludf.DUMMYFUNCTION("INDIRECT(""'收支紀錄'!L""&amp;TO_TEXT(ROW()-$C$72))"),"加油")</f>
        <v>加油</v>
      </c>
      <c r="M334" s="61" t="str">
        <f>IFERROR(__xludf.DUMMYFUNCTION("INDIRECT(""'收支紀錄'!M""&amp;TO_TEXT(ROW()-$C$72))"),"")</f>
        <v/>
      </c>
      <c r="N334" s="61" t="str">
        <f>IFERROR(__xludf.DUMMYFUNCTION("INDIRECT(""'收支紀錄'!N""&amp;TO_TEXT(ROW()-$C$72))"),"")</f>
        <v/>
      </c>
      <c r="O334" s="61" t="str">
        <f>IFERROR(__xludf.DUMMYFUNCTION("INDIRECT(""'收支紀錄'!O""&amp;TO_TEXT(ROW()-$C$72))"),"")</f>
        <v/>
      </c>
      <c r="P334" s="61" t="str">
        <f>IFERROR(__xludf.DUMMYFUNCTION("INDIRECT(""'收支紀錄'!P""&amp;TO_TEXT(ROW()-$C$72))"),"")</f>
        <v/>
      </c>
      <c r="Q334" s="61" t="str">
        <f>IFERROR(__xludf.DUMMYFUNCTION("INDIRECT(""'收支紀錄'!Q""&amp;TO_TEXT(ROW()-$C$72))"),"")</f>
        <v/>
      </c>
      <c r="R334" s="61" t="str">
        <f>IFERROR(__xludf.DUMMYFUNCTION("INDIRECT(""'收支紀錄'!R""&amp;TO_TEXT(ROW()-$C$72))"),"")</f>
        <v/>
      </c>
      <c r="S334" s="61" t="str">
        <f>IFERROR(__xludf.DUMMYFUNCTION("INDIRECT(""'收支紀錄'!S""&amp;TO_TEXT(ROW()-$C$72))"),"")</f>
        <v/>
      </c>
      <c r="T334" s="61" t="str">
        <f>IFERROR(__xludf.DUMMYFUNCTION("INDIRECT(""'收支紀錄'!T""&amp;TO_TEXT(ROW()-$C$72))"),"")</f>
        <v/>
      </c>
      <c r="U334" s="62" t="str">
        <f>IFERROR(__xludf.DUMMYFUNCTION("IF(T334=""是"",TEXTJOIN("""", TRUE, ""$"", TO_TEXT(C334), S334),"""")"),"")</f>
        <v/>
      </c>
    </row>
    <row r="335">
      <c r="A335" s="58">
        <f>IFERROR(__xludf.DUMMYFUNCTION("INDIRECT(""'收支紀錄'!A""&amp;TO_TEXT(ROW()-$C$72))"),45583.37251987269)</f>
        <v>45583.37252</v>
      </c>
      <c r="B335" s="59">
        <f>IFERROR(__xludf.DUMMYFUNCTION("IF(ISBLANK(D335), """", IF(ISDATE(D335), D335, IF(D335=""今天"", A335, IF(D335=""昨天 (-1 day)"", A335-1, IF(D335=""前天 (-2 days)"", A335-2, IF(D335=""明天 (+1 day)"", A335+1, DATE(LEFT(D335,4), MID(D335,5,2), RIGHT(D335,2))))))))"),45583.37251987269)</f>
        <v>45583.37252</v>
      </c>
      <c r="C335" s="60">
        <f>IFERROR(__xludf.DUMMYFUNCTION("INDIRECT(""'收支紀錄'!C""&amp;TO_TEXT(ROW()-$C$72))"),1444.0)</f>
        <v>1444</v>
      </c>
      <c r="D335" s="63" t="str">
        <f>IFERROR(__xludf.DUMMYFUNCTION("INDIRECT(""'收支紀錄'!D""&amp;TO_TEXT(ROW()-$C$72))"),"今天")</f>
        <v>今天</v>
      </c>
      <c r="E335" s="61" t="str">
        <f>IFERROR(__xludf.DUMMYFUNCTION("INDIRECT(""'收支紀錄'!E""&amp;TO_TEXT(ROW()-$C$72))"),"")</f>
        <v/>
      </c>
      <c r="F335" s="61" t="str">
        <f>IFERROR(__xludf.DUMMYFUNCTION("INDIRECT(""'收支紀錄'!F""&amp;TO_TEXT(ROW()-$C$72))"),"")</f>
        <v/>
      </c>
      <c r="G335" s="61" t="str">
        <f>IFERROR(__xludf.DUMMYFUNCTION("INDIRECT(""'收支紀錄'!G""&amp;TO_TEXT(ROW()-$C$72))"),"")</f>
        <v/>
      </c>
      <c r="H335" s="61" t="str">
        <f>IFERROR(__xludf.DUMMYFUNCTION("INDIRECT(""'收支紀錄'!H""&amp;TO_TEXT(ROW()-$C$72))"),"房屋支出")</f>
        <v>房屋支出</v>
      </c>
      <c r="I335" s="61" t="str">
        <f>IFERROR(__xludf.DUMMYFUNCTION("INDIRECT(""'收支紀錄'!I""&amp;TO_TEXT(ROW()-$C$72))"),"")</f>
        <v/>
      </c>
      <c r="J335" s="61" t="str">
        <f>IFERROR(__xludf.DUMMYFUNCTION("INDIRECT(""'收支紀錄'!J""&amp;TO_TEXT(ROW()-$C$72))"),"")</f>
        <v/>
      </c>
      <c r="K335" s="61" t="str">
        <f>IFERROR(__xludf.DUMMYFUNCTION("INDIRECT(""'收支紀錄'!K""&amp;TO_TEXT(ROW()-$C$72))"),"電費")</f>
        <v>電費</v>
      </c>
      <c r="L335" s="61" t="str">
        <f>IFERROR(__xludf.DUMMYFUNCTION("INDIRECT(""'收支紀錄'!L""&amp;TO_TEXT(ROW()-$C$72))"),"")</f>
        <v/>
      </c>
      <c r="M335" s="61" t="str">
        <f>IFERROR(__xludf.DUMMYFUNCTION("INDIRECT(""'收支紀錄'!M""&amp;TO_TEXT(ROW()-$C$72))"),"")</f>
        <v/>
      </c>
      <c r="N335" s="61" t="str">
        <f>IFERROR(__xludf.DUMMYFUNCTION("INDIRECT(""'收支紀錄'!N""&amp;TO_TEXT(ROW()-$C$72))"),"")</f>
        <v/>
      </c>
      <c r="O335" s="61" t="str">
        <f>IFERROR(__xludf.DUMMYFUNCTION("INDIRECT(""'收支紀錄'!O""&amp;TO_TEXT(ROW()-$C$72))"),"")</f>
        <v/>
      </c>
      <c r="P335" s="61" t="str">
        <f>IFERROR(__xludf.DUMMYFUNCTION("INDIRECT(""'收支紀錄'!P""&amp;TO_TEXT(ROW()-$C$72))"),"")</f>
        <v/>
      </c>
      <c r="Q335" s="61" t="str">
        <f>IFERROR(__xludf.DUMMYFUNCTION("INDIRECT(""'收支紀錄'!Q""&amp;TO_TEXT(ROW()-$C$72))"),"")</f>
        <v/>
      </c>
      <c r="R335" s="61" t="str">
        <f>IFERROR(__xludf.DUMMYFUNCTION("INDIRECT(""'收支紀錄'!R""&amp;TO_TEXT(ROW()-$C$72))"),"")</f>
        <v/>
      </c>
      <c r="S335" s="61" t="str">
        <f>IFERROR(__xludf.DUMMYFUNCTION("INDIRECT(""'收支紀錄'!S""&amp;TO_TEXT(ROW()-$C$72))"),"")</f>
        <v/>
      </c>
      <c r="T335" s="61" t="str">
        <f>IFERROR(__xludf.DUMMYFUNCTION("INDIRECT(""'收支紀錄'!T""&amp;TO_TEXT(ROW()-$C$72))"),"")</f>
        <v/>
      </c>
      <c r="U335" s="62" t="str">
        <f>IFERROR(__xludf.DUMMYFUNCTION("IF(T335=""是"",TEXTJOIN("""", TRUE, ""$"", TO_TEXT(C335), S335),"""")"),"")</f>
        <v/>
      </c>
    </row>
    <row r="336">
      <c r="A336" s="58">
        <f>IFERROR(__xludf.DUMMYFUNCTION("INDIRECT(""'收支紀錄'!A""&amp;TO_TEXT(ROW()-$C$72))"),45583.52080138889)</f>
        <v>45583.5208</v>
      </c>
      <c r="B336" s="59">
        <f>IFERROR(__xludf.DUMMYFUNCTION("IF(ISBLANK(D336), """", IF(ISDATE(D336), D336, IF(D336=""今天"", A336, IF(D336=""昨天 (-1 day)"", A336-1, IF(D336=""前天 (-2 days)"", A336-2, IF(D336=""明天 (+1 day)"", A336+1, DATE(LEFT(D336,4), MID(D336,5,2), RIGHT(D336,2))))))))"),45583.52080138889)</f>
        <v>45583.5208</v>
      </c>
      <c r="C336" s="60">
        <f>IFERROR(__xludf.DUMMYFUNCTION("INDIRECT(""'收支紀錄'!C""&amp;TO_TEXT(ROW()-$C$72))"),86.0)</f>
        <v>86</v>
      </c>
      <c r="D336" s="63" t="str">
        <f>IFERROR(__xludf.DUMMYFUNCTION("INDIRECT(""'收支紀錄'!D""&amp;TO_TEXT(ROW()-$C$72))"),"今天")</f>
        <v>今天</v>
      </c>
      <c r="E336" s="61" t="str">
        <f>IFERROR(__xludf.DUMMYFUNCTION("INDIRECT(""'收支紀錄'!E""&amp;TO_TEXT(ROW()-$C$72))"),"")</f>
        <v/>
      </c>
      <c r="F336" s="61" t="str">
        <f>IFERROR(__xludf.DUMMYFUNCTION("INDIRECT(""'收支紀錄'!F""&amp;TO_TEXT(ROW()-$C$72))"),"")</f>
        <v/>
      </c>
      <c r="G336" s="61" t="str">
        <f>IFERROR(__xludf.DUMMYFUNCTION("INDIRECT(""'收支紀錄'!G""&amp;TO_TEXT(ROW()-$C$72))"),"")</f>
        <v/>
      </c>
      <c r="H336" s="61" t="str">
        <f>IFERROR(__xludf.DUMMYFUNCTION("INDIRECT(""'收支紀錄'!H""&amp;TO_TEXT(ROW()-$C$72))"),"行車交通")</f>
        <v>行車交通</v>
      </c>
      <c r="I336" s="61" t="str">
        <f>IFERROR(__xludf.DUMMYFUNCTION("INDIRECT(""'收支紀錄'!I""&amp;TO_TEXT(ROW()-$C$72))"),"")</f>
        <v/>
      </c>
      <c r="J336" s="61" t="str">
        <f>IFERROR(__xludf.DUMMYFUNCTION("INDIRECT(""'收支紀錄'!J""&amp;TO_TEXT(ROW()-$C$72))"),"")</f>
        <v/>
      </c>
      <c r="K336" s="61" t="str">
        <f>IFERROR(__xludf.DUMMYFUNCTION("INDIRECT(""'收支紀錄'!K""&amp;TO_TEXT(ROW()-$C$72))"),"")</f>
        <v/>
      </c>
      <c r="L336" s="61" t="str">
        <f>IFERROR(__xludf.DUMMYFUNCTION("INDIRECT(""'收支紀錄'!L""&amp;TO_TEXT(ROW()-$C$72))"),"火車費")</f>
        <v>火車費</v>
      </c>
      <c r="M336" s="61" t="str">
        <f>IFERROR(__xludf.DUMMYFUNCTION("INDIRECT(""'收支紀錄'!M""&amp;TO_TEXT(ROW()-$C$72))"),"")</f>
        <v/>
      </c>
      <c r="N336" s="61" t="str">
        <f>IFERROR(__xludf.DUMMYFUNCTION("INDIRECT(""'收支紀錄'!N""&amp;TO_TEXT(ROW()-$C$72))"),"")</f>
        <v/>
      </c>
      <c r="O336" s="61" t="str">
        <f>IFERROR(__xludf.DUMMYFUNCTION("INDIRECT(""'收支紀錄'!O""&amp;TO_TEXT(ROW()-$C$72))"),"")</f>
        <v/>
      </c>
      <c r="P336" s="61" t="str">
        <f>IFERROR(__xludf.DUMMYFUNCTION("INDIRECT(""'收支紀錄'!P""&amp;TO_TEXT(ROW()-$C$72))"),"")</f>
        <v/>
      </c>
      <c r="Q336" s="61" t="str">
        <f>IFERROR(__xludf.DUMMYFUNCTION("INDIRECT(""'收支紀錄'!Q""&amp;TO_TEXT(ROW()-$C$72))"),"")</f>
        <v/>
      </c>
      <c r="R336" s="61" t="str">
        <f>IFERROR(__xludf.DUMMYFUNCTION("INDIRECT(""'收支紀錄'!R""&amp;TO_TEXT(ROW()-$C$72))"),"")</f>
        <v/>
      </c>
      <c r="S336" s="61" t="str">
        <f>IFERROR(__xludf.DUMMYFUNCTION("INDIRECT(""'收支紀錄'!S""&amp;TO_TEXT(ROW()-$C$72))"),"")</f>
        <v/>
      </c>
      <c r="T336" s="61" t="str">
        <f>IFERROR(__xludf.DUMMYFUNCTION("INDIRECT(""'收支紀錄'!T""&amp;TO_TEXT(ROW()-$C$72))"),"")</f>
        <v/>
      </c>
      <c r="U336" s="62" t="str">
        <f>IFERROR(__xludf.DUMMYFUNCTION("IF(T336=""是"",TEXTJOIN("""", TRUE, ""$"", TO_TEXT(C336), S336),"""")"),"")</f>
        <v/>
      </c>
    </row>
    <row r="337">
      <c r="A337" s="58">
        <f>IFERROR(__xludf.DUMMYFUNCTION("INDIRECT(""'收支紀錄'!A""&amp;TO_TEXT(ROW()-$C$72))"),45583.52125829861)</f>
        <v>45583.52126</v>
      </c>
      <c r="B337" s="59">
        <f>IFERROR(__xludf.DUMMYFUNCTION("IF(ISBLANK(D337), """", IF(ISDATE(D337), D337, IF(D337=""今天"", A337, IF(D337=""昨天 (-1 day)"", A337-1, IF(D337=""前天 (-2 days)"", A337-2, IF(D337=""明天 (+1 day)"", A337+1, DATE(LEFT(D337,4), MID(D337,5,2), RIGHT(D337,2))))))))"),45584.52125829861)</f>
        <v>45584.52126</v>
      </c>
      <c r="C337" s="60">
        <f>IFERROR(__xludf.DUMMYFUNCTION("INDIRECT(""'收支紀錄'!C""&amp;TO_TEXT(ROW()-$C$72))"),10.0)</f>
        <v>10</v>
      </c>
      <c r="D337" s="63" t="str">
        <f>IFERROR(__xludf.DUMMYFUNCTION("INDIRECT(""'收支紀錄'!D""&amp;TO_TEXT(ROW()-$C$72))"),"明天 (+1 day)")</f>
        <v>明天 (+1 day)</v>
      </c>
      <c r="E337" s="61" t="str">
        <f>IFERROR(__xludf.DUMMYFUNCTION("INDIRECT(""'收支紀錄'!E""&amp;TO_TEXT(ROW()-$C$72))"),"")</f>
        <v/>
      </c>
      <c r="F337" s="61" t="str">
        <f>IFERROR(__xludf.DUMMYFUNCTION("INDIRECT(""'收支紀錄'!F""&amp;TO_TEXT(ROW()-$C$72))"),"")</f>
        <v/>
      </c>
      <c r="G337" s="61" t="str">
        <f>IFERROR(__xludf.DUMMYFUNCTION("INDIRECT(""'收支紀錄'!G""&amp;TO_TEXT(ROW()-$C$72))"),"")</f>
        <v/>
      </c>
      <c r="H337" s="61" t="str">
        <f>IFERROR(__xludf.DUMMYFUNCTION("INDIRECT(""'收支紀錄'!H""&amp;TO_TEXT(ROW()-$C$72))"),"行車交通")</f>
        <v>行車交通</v>
      </c>
      <c r="I337" s="61" t="str">
        <f>IFERROR(__xludf.DUMMYFUNCTION("INDIRECT(""'收支紀錄'!I""&amp;TO_TEXT(ROW()-$C$72))"),"")</f>
        <v/>
      </c>
      <c r="J337" s="61" t="str">
        <f>IFERROR(__xludf.DUMMYFUNCTION("INDIRECT(""'收支紀錄'!J""&amp;TO_TEXT(ROW()-$C$72))"),"")</f>
        <v/>
      </c>
      <c r="K337" s="61" t="str">
        <f>IFERROR(__xludf.DUMMYFUNCTION("INDIRECT(""'收支紀錄'!K""&amp;TO_TEXT(ROW()-$C$72))"),"")</f>
        <v/>
      </c>
      <c r="L337" s="61" t="str">
        <f>IFERROR(__xludf.DUMMYFUNCTION("INDIRECT(""'收支紀錄'!L""&amp;TO_TEXT(ROW()-$C$72))"),"客運費")</f>
        <v>客運費</v>
      </c>
      <c r="M337" s="61" t="str">
        <f>IFERROR(__xludf.DUMMYFUNCTION("INDIRECT(""'收支紀錄'!M""&amp;TO_TEXT(ROW()-$C$72))"),"")</f>
        <v/>
      </c>
      <c r="N337" s="61" t="str">
        <f>IFERROR(__xludf.DUMMYFUNCTION("INDIRECT(""'收支紀錄'!N""&amp;TO_TEXT(ROW()-$C$72))"),"")</f>
        <v/>
      </c>
      <c r="O337" s="61" t="str">
        <f>IFERROR(__xludf.DUMMYFUNCTION("INDIRECT(""'收支紀錄'!O""&amp;TO_TEXT(ROW()-$C$72))"),"")</f>
        <v/>
      </c>
      <c r="P337" s="61" t="str">
        <f>IFERROR(__xludf.DUMMYFUNCTION("INDIRECT(""'收支紀錄'!P""&amp;TO_TEXT(ROW()-$C$72))"),"")</f>
        <v/>
      </c>
      <c r="Q337" s="61" t="str">
        <f>IFERROR(__xludf.DUMMYFUNCTION("INDIRECT(""'收支紀錄'!Q""&amp;TO_TEXT(ROW()-$C$72))"),"")</f>
        <v/>
      </c>
      <c r="R337" s="61" t="str">
        <f>IFERROR(__xludf.DUMMYFUNCTION("INDIRECT(""'收支紀錄'!R""&amp;TO_TEXT(ROW()-$C$72))"),"")</f>
        <v/>
      </c>
      <c r="S337" s="61" t="str">
        <f>IFERROR(__xludf.DUMMYFUNCTION("INDIRECT(""'收支紀錄'!S""&amp;TO_TEXT(ROW()-$C$72))"),"")</f>
        <v/>
      </c>
      <c r="T337" s="61" t="str">
        <f>IFERROR(__xludf.DUMMYFUNCTION("INDIRECT(""'收支紀錄'!T""&amp;TO_TEXT(ROW()-$C$72))"),"")</f>
        <v/>
      </c>
      <c r="U337" s="62" t="str">
        <f>IFERROR(__xludf.DUMMYFUNCTION("IF(T337=""是"",TEXTJOIN("""", TRUE, ""$"", TO_TEXT(C337), S337),"""")"),"")</f>
        <v/>
      </c>
    </row>
    <row r="338">
      <c r="A338" s="58">
        <f>IFERROR(__xludf.DUMMYFUNCTION("INDIRECT(""'收支紀錄'!A""&amp;TO_TEXT(ROW()-$C$72))"),45584.858700509256)</f>
        <v>45584.8587</v>
      </c>
      <c r="B338" s="59">
        <f>IFERROR(__xludf.DUMMYFUNCTION("IF(ISBLANK(D338), """", IF(ISDATE(D338), D338, IF(D338=""今天"", A338, IF(D338=""昨天 (-1 day)"", A338-1, IF(D338=""前天 (-2 days)"", A338-2, IF(D338=""明天 (+1 day)"", A338+1, DATE(LEFT(D338,4), MID(D338,5,2), RIGHT(D338,2))))))))"),45584.858700509256)</f>
        <v>45584.8587</v>
      </c>
      <c r="C338" s="60">
        <f>IFERROR(__xludf.DUMMYFUNCTION("INDIRECT(""'收支紀錄'!C""&amp;TO_TEXT(ROW()-$C$72))"),20.0)</f>
        <v>20</v>
      </c>
      <c r="D338" s="63" t="str">
        <f>IFERROR(__xludf.DUMMYFUNCTION("INDIRECT(""'收支紀錄'!D""&amp;TO_TEXT(ROW()-$C$72))"),"今天")</f>
        <v>今天</v>
      </c>
      <c r="E338" s="61" t="str">
        <f>IFERROR(__xludf.DUMMYFUNCTION("INDIRECT(""'收支紀錄'!E""&amp;TO_TEXT(ROW()-$C$72))"),"")</f>
        <v/>
      </c>
      <c r="F338" s="61" t="str">
        <f>IFERROR(__xludf.DUMMYFUNCTION("INDIRECT(""'收支紀錄'!F""&amp;TO_TEXT(ROW()-$C$72))"),"")</f>
        <v/>
      </c>
      <c r="G338" s="61" t="str">
        <f>IFERROR(__xludf.DUMMYFUNCTION("INDIRECT(""'收支紀錄'!G""&amp;TO_TEXT(ROW()-$C$72))"),"")</f>
        <v/>
      </c>
      <c r="H338" s="61" t="str">
        <f>IFERROR(__xludf.DUMMYFUNCTION("INDIRECT(""'收支紀錄'!H""&amp;TO_TEXT(ROW()-$C$72))"),"行車交通")</f>
        <v>行車交通</v>
      </c>
      <c r="I338" s="61" t="str">
        <f>IFERROR(__xludf.DUMMYFUNCTION("INDIRECT(""'收支紀錄'!I""&amp;TO_TEXT(ROW()-$C$72))"),"")</f>
        <v/>
      </c>
      <c r="J338" s="61" t="str">
        <f>IFERROR(__xludf.DUMMYFUNCTION("INDIRECT(""'收支紀錄'!J""&amp;TO_TEXT(ROW()-$C$72))"),"")</f>
        <v/>
      </c>
      <c r="K338" s="61" t="str">
        <f>IFERROR(__xludf.DUMMYFUNCTION("INDIRECT(""'收支紀錄'!K""&amp;TO_TEXT(ROW()-$C$72))"),"")</f>
        <v/>
      </c>
      <c r="L338" s="61" t="str">
        <f>IFERROR(__xludf.DUMMYFUNCTION("INDIRECT(""'收支紀錄'!L""&amp;TO_TEXT(ROW()-$C$72))"),"捷運費")</f>
        <v>捷運費</v>
      </c>
      <c r="M338" s="61" t="str">
        <f>IFERROR(__xludf.DUMMYFUNCTION("INDIRECT(""'收支紀錄'!M""&amp;TO_TEXT(ROW()-$C$72))"),"")</f>
        <v/>
      </c>
      <c r="N338" s="61" t="str">
        <f>IFERROR(__xludf.DUMMYFUNCTION("INDIRECT(""'收支紀錄'!N""&amp;TO_TEXT(ROW()-$C$72))"),"")</f>
        <v/>
      </c>
      <c r="O338" s="61" t="str">
        <f>IFERROR(__xludf.DUMMYFUNCTION("INDIRECT(""'收支紀錄'!O""&amp;TO_TEXT(ROW()-$C$72))"),"")</f>
        <v/>
      </c>
      <c r="P338" s="61" t="str">
        <f>IFERROR(__xludf.DUMMYFUNCTION("INDIRECT(""'收支紀錄'!P""&amp;TO_TEXT(ROW()-$C$72))"),"")</f>
        <v/>
      </c>
      <c r="Q338" s="61" t="str">
        <f>IFERROR(__xludf.DUMMYFUNCTION("INDIRECT(""'收支紀錄'!Q""&amp;TO_TEXT(ROW()-$C$72))"),"")</f>
        <v/>
      </c>
      <c r="R338" s="61" t="str">
        <f>IFERROR(__xludf.DUMMYFUNCTION("INDIRECT(""'收支紀錄'!R""&amp;TO_TEXT(ROW()-$C$72))"),"")</f>
        <v/>
      </c>
      <c r="S338" s="61" t="str">
        <f>IFERROR(__xludf.DUMMYFUNCTION("INDIRECT(""'收支紀錄'!S""&amp;TO_TEXT(ROW()-$C$72))"),"")</f>
        <v/>
      </c>
      <c r="T338" s="61" t="str">
        <f>IFERROR(__xludf.DUMMYFUNCTION("INDIRECT(""'收支紀錄'!T""&amp;TO_TEXT(ROW()-$C$72))"),"")</f>
        <v/>
      </c>
      <c r="U338" s="62" t="str">
        <f>IFERROR(__xludf.DUMMYFUNCTION("IF(T338=""是"",TEXTJOIN("""", TRUE, ""$"", TO_TEXT(C338), S338),"""")"),"")</f>
        <v/>
      </c>
    </row>
    <row r="339">
      <c r="A339" s="58">
        <f>IFERROR(__xludf.DUMMYFUNCTION("INDIRECT(""'收支紀錄'!A""&amp;TO_TEXT(ROW()-$C$72))"),45584.85890766204)</f>
        <v>45584.85891</v>
      </c>
      <c r="B339" s="59">
        <f>IFERROR(__xludf.DUMMYFUNCTION("IF(ISBLANK(D339), """", IF(ISDATE(D339), D339, IF(D339=""今天"", A339, IF(D339=""昨天 (-1 day)"", A339-1, IF(D339=""前天 (-2 days)"", A339-2, IF(D339=""明天 (+1 day)"", A339+1, DATE(LEFT(D339,4), MID(D339,5,2), RIGHT(D339,2))))))))"),45584.85890766204)</f>
        <v>45584.85891</v>
      </c>
      <c r="C339" s="60">
        <f>IFERROR(__xludf.DUMMYFUNCTION("INDIRECT(""'收支紀錄'!C""&amp;TO_TEXT(ROW()-$C$72))"),260.0)</f>
        <v>260</v>
      </c>
      <c r="D339" s="63" t="str">
        <f>IFERROR(__xludf.DUMMYFUNCTION("INDIRECT(""'收支紀錄'!D""&amp;TO_TEXT(ROW()-$C$72))"),"今天")</f>
        <v>今天</v>
      </c>
      <c r="E339" s="61" t="str">
        <f>IFERROR(__xludf.DUMMYFUNCTION("INDIRECT(""'收支紀錄'!E""&amp;TO_TEXT(ROW()-$C$72))"),"")</f>
        <v/>
      </c>
      <c r="F339" s="61" t="str">
        <f>IFERROR(__xludf.DUMMYFUNCTION("INDIRECT(""'收支紀錄'!F""&amp;TO_TEXT(ROW()-$C$72))"),"")</f>
        <v/>
      </c>
      <c r="G339" s="61" t="str">
        <f>IFERROR(__xludf.DUMMYFUNCTION("INDIRECT(""'收支紀錄'!G""&amp;TO_TEXT(ROW()-$C$72))"),"")</f>
        <v/>
      </c>
      <c r="H339" s="61" t="str">
        <f>IFERROR(__xludf.DUMMYFUNCTION("INDIRECT(""'收支紀錄'!H""&amp;TO_TEXT(ROW()-$C$72))"),"食品酒水")</f>
        <v>食品酒水</v>
      </c>
      <c r="I339" s="61" t="str">
        <f>IFERROR(__xludf.DUMMYFUNCTION("INDIRECT(""'收支紀錄'!I""&amp;TO_TEXT(ROW()-$C$72))"),"午餐")</f>
        <v>午餐</v>
      </c>
      <c r="J339" s="61" t="str">
        <f>IFERROR(__xludf.DUMMYFUNCTION("INDIRECT(""'收支紀錄'!J""&amp;TO_TEXT(ROW()-$C$72))"),"")</f>
        <v/>
      </c>
      <c r="K339" s="61" t="str">
        <f>IFERROR(__xludf.DUMMYFUNCTION("INDIRECT(""'收支紀錄'!K""&amp;TO_TEXT(ROW()-$C$72))"),"")</f>
        <v/>
      </c>
      <c r="L339" s="61" t="str">
        <f>IFERROR(__xludf.DUMMYFUNCTION("INDIRECT(""'收支紀錄'!L""&amp;TO_TEXT(ROW()-$C$72))"),"")</f>
        <v/>
      </c>
      <c r="M339" s="61" t="str">
        <f>IFERROR(__xludf.DUMMYFUNCTION("INDIRECT(""'收支紀錄'!M""&amp;TO_TEXT(ROW()-$C$72))"),"")</f>
        <v/>
      </c>
      <c r="N339" s="61" t="str">
        <f>IFERROR(__xludf.DUMMYFUNCTION("INDIRECT(""'收支紀錄'!N""&amp;TO_TEXT(ROW()-$C$72))"),"")</f>
        <v/>
      </c>
      <c r="O339" s="61" t="str">
        <f>IFERROR(__xludf.DUMMYFUNCTION("INDIRECT(""'收支紀錄'!O""&amp;TO_TEXT(ROW()-$C$72))"),"")</f>
        <v/>
      </c>
      <c r="P339" s="61" t="str">
        <f>IFERROR(__xludf.DUMMYFUNCTION("INDIRECT(""'收支紀錄'!P""&amp;TO_TEXT(ROW()-$C$72))"),"")</f>
        <v/>
      </c>
      <c r="Q339" s="61" t="str">
        <f>IFERROR(__xludf.DUMMYFUNCTION("INDIRECT(""'收支紀錄'!Q""&amp;TO_TEXT(ROW()-$C$72))"),"")</f>
        <v/>
      </c>
      <c r="R339" s="61" t="str">
        <f>IFERROR(__xludf.DUMMYFUNCTION("INDIRECT(""'收支紀錄'!R""&amp;TO_TEXT(ROW()-$C$72))"),"")</f>
        <v/>
      </c>
      <c r="S339" s="61" t="str">
        <f>IFERROR(__xludf.DUMMYFUNCTION("INDIRECT(""'收支紀錄'!S""&amp;TO_TEXT(ROW()-$C$72))"),"")</f>
        <v/>
      </c>
      <c r="T339" s="61" t="str">
        <f>IFERROR(__xludf.DUMMYFUNCTION("INDIRECT(""'收支紀錄'!T""&amp;TO_TEXT(ROW()-$C$72))"),"")</f>
        <v/>
      </c>
      <c r="U339" s="62" t="str">
        <f>IFERROR(__xludf.DUMMYFUNCTION("IF(T339=""是"",TEXTJOIN("""", TRUE, ""$"", TO_TEXT(C339), S339),"""")"),"")</f>
        <v/>
      </c>
    </row>
    <row r="340">
      <c r="A340" s="58">
        <f>IFERROR(__xludf.DUMMYFUNCTION("INDIRECT(""'收支紀錄'!A""&amp;TO_TEXT(ROW()-$C$72))"),45584.8590596875)</f>
        <v>45584.85906</v>
      </c>
      <c r="B340" s="59">
        <f>IFERROR(__xludf.DUMMYFUNCTION("IF(ISBLANK(D340), """", IF(ISDATE(D340), D340, IF(D340=""今天"", A340, IF(D340=""昨天 (-1 day)"", A340-1, IF(D340=""前天 (-2 days)"", A340-2, IF(D340=""明天 (+1 day)"", A340+1, DATE(LEFT(D340,4), MID(D340,5,2), RIGHT(D340,2))))))))"),45584.8590596875)</f>
        <v>45584.85906</v>
      </c>
      <c r="C340" s="60">
        <f>IFERROR(__xludf.DUMMYFUNCTION("INDIRECT(""'收支紀錄'!C""&amp;TO_TEXT(ROW()-$C$72))"),220.0)</f>
        <v>220</v>
      </c>
      <c r="D340" s="63" t="str">
        <f>IFERROR(__xludf.DUMMYFUNCTION("INDIRECT(""'收支紀錄'!D""&amp;TO_TEXT(ROW()-$C$72))"),"今天")</f>
        <v>今天</v>
      </c>
      <c r="E340" s="61" t="str">
        <f>IFERROR(__xludf.DUMMYFUNCTION("INDIRECT(""'收支紀錄'!E""&amp;TO_TEXT(ROW()-$C$72))"),"")</f>
        <v/>
      </c>
      <c r="F340" s="61" t="str">
        <f>IFERROR(__xludf.DUMMYFUNCTION("INDIRECT(""'收支紀錄'!F""&amp;TO_TEXT(ROW()-$C$72))"),"")</f>
        <v/>
      </c>
      <c r="G340" s="61" t="str">
        <f>IFERROR(__xludf.DUMMYFUNCTION("INDIRECT(""'收支紀錄'!G""&amp;TO_TEXT(ROW()-$C$72))"),"")</f>
        <v/>
      </c>
      <c r="H340" s="61" t="str">
        <f>IFERROR(__xludf.DUMMYFUNCTION("INDIRECT(""'收支紀錄'!H""&amp;TO_TEXT(ROW()-$C$72))"),"食品酒水")</f>
        <v>食品酒水</v>
      </c>
      <c r="I340" s="61" t="str">
        <f>IFERROR(__xludf.DUMMYFUNCTION("INDIRECT(""'收支紀錄'!I""&amp;TO_TEXT(ROW()-$C$72))"),"晚餐")</f>
        <v>晚餐</v>
      </c>
      <c r="J340" s="61" t="str">
        <f>IFERROR(__xludf.DUMMYFUNCTION("INDIRECT(""'收支紀錄'!J""&amp;TO_TEXT(ROW()-$C$72))"),"")</f>
        <v/>
      </c>
      <c r="K340" s="61" t="str">
        <f>IFERROR(__xludf.DUMMYFUNCTION("INDIRECT(""'收支紀錄'!K""&amp;TO_TEXT(ROW()-$C$72))"),"")</f>
        <v/>
      </c>
      <c r="L340" s="61" t="str">
        <f>IFERROR(__xludf.DUMMYFUNCTION("INDIRECT(""'收支紀錄'!L""&amp;TO_TEXT(ROW()-$C$72))"),"")</f>
        <v/>
      </c>
      <c r="M340" s="61" t="str">
        <f>IFERROR(__xludf.DUMMYFUNCTION("INDIRECT(""'收支紀錄'!M""&amp;TO_TEXT(ROW()-$C$72))"),"")</f>
        <v/>
      </c>
      <c r="N340" s="61" t="str">
        <f>IFERROR(__xludf.DUMMYFUNCTION("INDIRECT(""'收支紀錄'!N""&amp;TO_TEXT(ROW()-$C$72))"),"")</f>
        <v/>
      </c>
      <c r="O340" s="61" t="str">
        <f>IFERROR(__xludf.DUMMYFUNCTION("INDIRECT(""'收支紀錄'!O""&amp;TO_TEXT(ROW()-$C$72))"),"")</f>
        <v/>
      </c>
      <c r="P340" s="61" t="str">
        <f>IFERROR(__xludf.DUMMYFUNCTION("INDIRECT(""'收支紀錄'!P""&amp;TO_TEXT(ROW()-$C$72))"),"")</f>
        <v/>
      </c>
      <c r="Q340" s="61" t="str">
        <f>IFERROR(__xludf.DUMMYFUNCTION("INDIRECT(""'收支紀錄'!Q""&amp;TO_TEXT(ROW()-$C$72))"),"")</f>
        <v/>
      </c>
      <c r="R340" s="61" t="str">
        <f>IFERROR(__xludf.DUMMYFUNCTION("INDIRECT(""'收支紀錄'!R""&amp;TO_TEXT(ROW()-$C$72))"),"")</f>
        <v/>
      </c>
      <c r="S340" s="61" t="str">
        <f>IFERROR(__xludf.DUMMYFUNCTION("INDIRECT(""'收支紀錄'!S""&amp;TO_TEXT(ROW()-$C$72))"),"")</f>
        <v/>
      </c>
      <c r="T340" s="61" t="str">
        <f>IFERROR(__xludf.DUMMYFUNCTION("INDIRECT(""'收支紀錄'!T""&amp;TO_TEXT(ROW()-$C$72))"),"")</f>
        <v/>
      </c>
      <c r="U340" s="62" t="str">
        <f>IFERROR(__xludf.DUMMYFUNCTION("IF(T340=""是"",TEXTJOIN("""", TRUE, ""$"", TO_TEXT(C340), S340),"""")"),"")</f>
        <v/>
      </c>
    </row>
    <row r="341">
      <c r="A341" s="58">
        <f>IFERROR(__xludf.DUMMYFUNCTION("INDIRECT(""'收支紀錄'!A""&amp;TO_TEXT(ROW()-$C$72))"),45584.859245740736)</f>
        <v>45584.85925</v>
      </c>
      <c r="B341" s="59">
        <f>IFERROR(__xludf.DUMMYFUNCTION("IF(ISBLANK(D341), """", IF(ISDATE(D341), D341, IF(D341=""今天"", A341, IF(D341=""昨天 (-1 day)"", A341-1, IF(D341=""前天 (-2 days)"", A341-2, IF(D341=""明天 (+1 day)"", A341+1, DATE(LEFT(D341,4), MID(D341,5,2), RIGHT(D341,2))))))))"),45584.859245740736)</f>
        <v>45584.85925</v>
      </c>
      <c r="C341" s="60">
        <f>IFERROR(__xludf.DUMMYFUNCTION("INDIRECT(""'收支紀錄'!C""&amp;TO_TEXT(ROW()-$C$72))"),380.0)</f>
        <v>380</v>
      </c>
      <c r="D341" s="63" t="str">
        <f>IFERROR(__xludf.DUMMYFUNCTION("INDIRECT(""'收支紀錄'!D""&amp;TO_TEXT(ROW()-$C$72))"),"今天")</f>
        <v>今天</v>
      </c>
      <c r="E341" s="61" t="str">
        <f>IFERROR(__xludf.DUMMYFUNCTION("INDIRECT(""'收支紀錄'!E""&amp;TO_TEXT(ROW()-$C$72))"),"")</f>
        <v/>
      </c>
      <c r="F341" s="61" t="str">
        <f>IFERROR(__xludf.DUMMYFUNCTION("INDIRECT(""'收支紀錄'!F""&amp;TO_TEXT(ROW()-$C$72))"),"")</f>
        <v/>
      </c>
      <c r="G341" s="61" t="str">
        <f>IFERROR(__xludf.DUMMYFUNCTION("INDIRECT(""'收支紀錄'!G""&amp;TO_TEXT(ROW()-$C$72))"),"")</f>
        <v/>
      </c>
      <c r="H341" s="61" t="str">
        <f>IFERROR(__xludf.DUMMYFUNCTION("INDIRECT(""'收支紀錄'!H""&amp;TO_TEXT(ROW()-$C$72))"),"食品酒水")</f>
        <v>食品酒水</v>
      </c>
      <c r="I341" s="61" t="str">
        <f>IFERROR(__xludf.DUMMYFUNCTION("INDIRECT(""'收支紀錄'!I""&amp;TO_TEXT(ROW()-$C$72))"),"伴手禮")</f>
        <v>伴手禮</v>
      </c>
      <c r="J341" s="61" t="str">
        <f>IFERROR(__xludf.DUMMYFUNCTION("INDIRECT(""'收支紀錄'!J""&amp;TO_TEXT(ROW()-$C$72))"),"")</f>
        <v/>
      </c>
      <c r="K341" s="61" t="str">
        <f>IFERROR(__xludf.DUMMYFUNCTION("INDIRECT(""'收支紀錄'!K""&amp;TO_TEXT(ROW()-$C$72))"),"")</f>
        <v/>
      </c>
      <c r="L341" s="61" t="str">
        <f>IFERROR(__xludf.DUMMYFUNCTION("INDIRECT(""'收支紀錄'!L""&amp;TO_TEXT(ROW()-$C$72))"),"")</f>
        <v/>
      </c>
      <c r="M341" s="61" t="str">
        <f>IFERROR(__xludf.DUMMYFUNCTION("INDIRECT(""'收支紀錄'!M""&amp;TO_TEXT(ROW()-$C$72))"),"")</f>
        <v/>
      </c>
      <c r="N341" s="61" t="str">
        <f>IFERROR(__xludf.DUMMYFUNCTION("INDIRECT(""'收支紀錄'!N""&amp;TO_TEXT(ROW()-$C$72))"),"")</f>
        <v/>
      </c>
      <c r="O341" s="61" t="str">
        <f>IFERROR(__xludf.DUMMYFUNCTION("INDIRECT(""'收支紀錄'!O""&amp;TO_TEXT(ROW()-$C$72))"),"")</f>
        <v/>
      </c>
      <c r="P341" s="61" t="str">
        <f>IFERROR(__xludf.DUMMYFUNCTION("INDIRECT(""'收支紀錄'!P""&amp;TO_TEXT(ROW()-$C$72))"),"")</f>
        <v/>
      </c>
      <c r="Q341" s="61" t="str">
        <f>IFERROR(__xludf.DUMMYFUNCTION("INDIRECT(""'收支紀錄'!Q""&amp;TO_TEXT(ROW()-$C$72))"),"")</f>
        <v/>
      </c>
      <c r="R341" s="61" t="str">
        <f>IFERROR(__xludf.DUMMYFUNCTION("INDIRECT(""'收支紀錄'!R""&amp;TO_TEXT(ROW()-$C$72))"),"")</f>
        <v/>
      </c>
      <c r="S341" s="61" t="str">
        <f>IFERROR(__xludf.DUMMYFUNCTION("INDIRECT(""'收支紀錄'!S""&amp;TO_TEXT(ROW()-$C$72))"),"")</f>
        <v/>
      </c>
      <c r="T341" s="61" t="str">
        <f>IFERROR(__xludf.DUMMYFUNCTION("INDIRECT(""'收支紀錄'!T""&amp;TO_TEXT(ROW()-$C$72))"),"")</f>
        <v/>
      </c>
      <c r="U341" s="62" t="str">
        <f>IFERROR(__xludf.DUMMYFUNCTION("IF(T341=""是"",TEXTJOIN("""", TRUE, ""$"", TO_TEXT(C341), S341),"""")"),"")</f>
        <v/>
      </c>
    </row>
    <row r="342">
      <c r="A342" s="58">
        <f>IFERROR(__xludf.DUMMYFUNCTION("INDIRECT(""'收支紀錄'!A""&amp;TO_TEXT(ROW()-$C$72))"),45584.85945902778)</f>
        <v>45584.85946</v>
      </c>
      <c r="B342" s="59">
        <f>IFERROR(__xludf.DUMMYFUNCTION("IF(ISBLANK(D342), """", IF(ISDATE(D342), D342, IF(D342=""今天"", A342, IF(D342=""昨天 (-1 day)"", A342-1, IF(D342=""前天 (-2 days)"", A342-2, IF(D342=""明天 (+1 day)"", A342+1, DATE(LEFT(D342,4), MID(D342,5,2), RIGHT(D342,2))))))))"),45584.85945902778)</f>
        <v>45584.85946</v>
      </c>
      <c r="C342" s="60">
        <f>IFERROR(__xludf.DUMMYFUNCTION("INDIRECT(""'收支紀錄'!C""&amp;TO_TEXT(ROW()-$C$72))"),675.0)</f>
        <v>675</v>
      </c>
      <c r="D342" s="63" t="str">
        <f>IFERROR(__xludf.DUMMYFUNCTION("INDIRECT(""'收支紀錄'!D""&amp;TO_TEXT(ROW()-$C$72))"),"今天")</f>
        <v>今天</v>
      </c>
      <c r="E342" s="61" t="str">
        <f>IFERROR(__xludf.DUMMYFUNCTION("INDIRECT(""'收支紀錄'!E""&amp;TO_TEXT(ROW()-$C$72))"),"")</f>
        <v/>
      </c>
      <c r="F342" s="61" t="str">
        <f>IFERROR(__xludf.DUMMYFUNCTION("INDIRECT(""'收支紀錄'!F""&amp;TO_TEXT(ROW()-$C$72))"),"")</f>
        <v/>
      </c>
      <c r="G342" s="61" t="str">
        <f>IFERROR(__xludf.DUMMYFUNCTION("INDIRECT(""'收支紀錄'!G""&amp;TO_TEXT(ROW()-$C$72))"),"")</f>
        <v/>
      </c>
      <c r="H342" s="61" t="str">
        <f>IFERROR(__xludf.DUMMYFUNCTION("INDIRECT(""'收支紀錄'!H""&amp;TO_TEXT(ROW()-$C$72))"),"行車交通")</f>
        <v>行車交通</v>
      </c>
      <c r="I342" s="61" t="str">
        <f>IFERROR(__xludf.DUMMYFUNCTION("INDIRECT(""'收支紀錄'!I""&amp;TO_TEXT(ROW()-$C$72))"),"")</f>
        <v/>
      </c>
      <c r="J342" s="61" t="str">
        <f>IFERROR(__xludf.DUMMYFUNCTION("INDIRECT(""'收支紀錄'!J""&amp;TO_TEXT(ROW()-$C$72))"),"")</f>
        <v/>
      </c>
      <c r="K342" s="61" t="str">
        <f>IFERROR(__xludf.DUMMYFUNCTION("INDIRECT(""'收支紀錄'!K""&amp;TO_TEXT(ROW()-$C$72))"),"")</f>
        <v/>
      </c>
      <c r="L342" s="61" t="str">
        <f>IFERROR(__xludf.DUMMYFUNCTION("INDIRECT(""'收支紀錄'!L""&amp;TO_TEXT(ROW()-$C$72))"),"高鐵")</f>
        <v>高鐵</v>
      </c>
      <c r="M342" s="61" t="str">
        <f>IFERROR(__xludf.DUMMYFUNCTION("INDIRECT(""'收支紀錄'!M""&amp;TO_TEXT(ROW()-$C$72))"),"")</f>
        <v/>
      </c>
      <c r="N342" s="61" t="str">
        <f>IFERROR(__xludf.DUMMYFUNCTION("INDIRECT(""'收支紀錄'!N""&amp;TO_TEXT(ROW()-$C$72))"),"")</f>
        <v/>
      </c>
      <c r="O342" s="61" t="str">
        <f>IFERROR(__xludf.DUMMYFUNCTION("INDIRECT(""'收支紀錄'!O""&amp;TO_TEXT(ROW()-$C$72))"),"")</f>
        <v/>
      </c>
      <c r="P342" s="61" t="str">
        <f>IFERROR(__xludf.DUMMYFUNCTION("INDIRECT(""'收支紀錄'!P""&amp;TO_TEXT(ROW()-$C$72))"),"")</f>
        <v/>
      </c>
      <c r="Q342" s="61" t="str">
        <f>IFERROR(__xludf.DUMMYFUNCTION("INDIRECT(""'收支紀錄'!Q""&amp;TO_TEXT(ROW()-$C$72))"),"")</f>
        <v/>
      </c>
      <c r="R342" s="61" t="str">
        <f>IFERROR(__xludf.DUMMYFUNCTION("INDIRECT(""'收支紀錄'!R""&amp;TO_TEXT(ROW()-$C$72))"),"")</f>
        <v/>
      </c>
      <c r="S342" s="61" t="str">
        <f>IFERROR(__xludf.DUMMYFUNCTION("INDIRECT(""'收支紀錄'!S""&amp;TO_TEXT(ROW()-$C$72))"),"")</f>
        <v/>
      </c>
      <c r="T342" s="61" t="str">
        <f>IFERROR(__xludf.DUMMYFUNCTION("INDIRECT(""'收支紀錄'!T""&amp;TO_TEXT(ROW()-$C$72))"),"")</f>
        <v/>
      </c>
      <c r="U342" s="62" t="str">
        <f>IFERROR(__xludf.DUMMYFUNCTION("IF(T342=""是"",TEXTJOIN("""", TRUE, ""$"", TO_TEXT(C342), S342),"""")"),"")</f>
        <v/>
      </c>
    </row>
    <row r="343">
      <c r="A343" s="58">
        <f>IFERROR(__xludf.DUMMYFUNCTION("INDIRECT(""'收支紀錄'!A""&amp;TO_TEXT(ROW()-$C$72))"),45584.8596768287)</f>
        <v>45584.85968</v>
      </c>
      <c r="B343" s="59">
        <f>IFERROR(__xludf.DUMMYFUNCTION("IF(ISBLANK(D343), """", IF(ISDATE(D343), D343, IF(D343=""今天"", A343, IF(D343=""昨天 (-1 day)"", A343-1, IF(D343=""前天 (-2 days)"", A343-2, IF(D343=""明天 (+1 day)"", A343+1, DATE(LEFT(D343,4), MID(D343,5,2), RIGHT(D343,2))))))))"),45584.8596768287)</f>
        <v>45584.85968</v>
      </c>
      <c r="C343" s="60">
        <f>IFERROR(__xludf.DUMMYFUNCTION("INDIRECT(""'收支紀錄'!C""&amp;TO_TEXT(ROW()-$C$72))"),40.0)</f>
        <v>40</v>
      </c>
      <c r="D343" s="63" t="str">
        <f>IFERROR(__xludf.DUMMYFUNCTION("INDIRECT(""'收支紀錄'!D""&amp;TO_TEXT(ROW()-$C$72))"),"今天")</f>
        <v>今天</v>
      </c>
      <c r="E343" s="61" t="str">
        <f>IFERROR(__xludf.DUMMYFUNCTION("INDIRECT(""'收支紀錄'!E""&amp;TO_TEXT(ROW()-$C$72))"),"")</f>
        <v/>
      </c>
      <c r="F343" s="61" t="str">
        <f>IFERROR(__xludf.DUMMYFUNCTION("INDIRECT(""'收支紀錄'!F""&amp;TO_TEXT(ROW()-$C$72))"),"")</f>
        <v/>
      </c>
      <c r="G343" s="61" t="str">
        <f>IFERROR(__xludf.DUMMYFUNCTION("INDIRECT(""'收支紀錄'!G""&amp;TO_TEXT(ROW()-$C$72))"),"")</f>
        <v/>
      </c>
      <c r="H343" s="61" t="str">
        <f>IFERROR(__xludf.DUMMYFUNCTION("INDIRECT(""'收支紀錄'!H""&amp;TO_TEXT(ROW()-$C$72))"),"行車交通")</f>
        <v>行車交通</v>
      </c>
      <c r="I343" s="61" t="str">
        <f>IFERROR(__xludf.DUMMYFUNCTION("INDIRECT(""'收支紀錄'!I""&amp;TO_TEXT(ROW()-$C$72))"),"")</f>
        <v/>
      </c>
      <c r="J343" s="61" t="str">
        <f>IFERROR(__xludf.DUMMYFUNCTION("INDIRECT(""'收支紀錄'!J""&amp;TO_TEXT(ROW()-$C$72))"),"")</f>
        <v/>
      </c>
      <c r="K343" s="61" t="str">
        <f>IFERROR(__xludf.DUMMYFUNCTION("INDIRECT(""'收支紀錄'!K""&amp;TO_TEXT(ROW()-$C$72))"),"")</f>
        <v/>
      </c>
      <c r="L343" s="61" t="str">
        <f>IFERROR(__xludf.DUMMYFUNCTION("INDIRECT(""'收支紀錄'!L""&amp;TO_TEXT(ROW()-$C$72))"),"捷運費")</f>
        <v>捷運費</v>
      </c>
      <c r="M343" s="61" t="str">
        <f>IFERROR(__xludf.DUMMYFUNCTION("INDIRECT(""'收支紀錄'!M""&amp;TO_TEXT(ROW()-$C$72))"),"")</f>
        <v/>
      </c>
      <c r="N343" s="61" t="str">
        <f>IFERROR(__xludf.DUMMYFUNCTION("INDIRECT(""'收支紀錄'!N""&amp;TO_TEXT(ROW()-$C$72))"),"")</f>
        <v/>
      </c>
      <c r="O343" s="61" t="str">
        <f>IFERROR(__xludf.DUMMYFUNCTION("INDIRECT(""'收支紀錄'!O""&amp;TO_TEXT(ROW()-$C$72))"),"")</f>
        <v/>
      </c>
      <c r="P343" s="61" t="str">
        <f>IFERROR(__xludf.DUMMYFUNCTION("INDIRECT(""'收支紀錄'!P""&amp;TO_TEXT(ROW()-$C$72))"),"")</f>
        <v/>
      </c>
      <c r="Q343" s="61" t="str">
        <f>IFERROR(__xludf.DUMMYFUNCTION("INDIRECT(""'收支紀錄'!Q""&amp;TO_TEXT(ROW()-$C$72))"),"")</f>
        <v/>
      </c>
      <c r="R343" s="61" t="str">
        <f>IFERROR(__xludf.DUMMYFUNCTION("INDIRECT(""'收支紀錄'!R""&amp;TO_TEXT(ROW()-$C$72))"),"")</f>
        <v/>
      </c>
      <c r="S343" s="61" t="str">
        <f>IFERROR(__xludf.DUMMYFUNCTION("INDIRECT(""'收支紀錄'!S""&amp;TO_TEXT(ROW()-$C$72))"),"")</f>
        <v/>
      </c>
      <c r="T343" s="61" t="str">
        <f>IFERROR(__xludf.DUMMYFUNCTION("INDIRECT(""'收支紀錄'!T""&amp;TO_TEXT(ROW()-$C$72))"),"")</f>
        <v/>
      </c>
      <c r="U343" s="62" t="str">
        <f>IFERROR(__xludf.DUMMYFUNCTION("IF(T343=""是"",TEXTJOIN("""", TRUE, ""$"", TO_TEXT(C343), S343),"""")"),"")</f>
        <v/>
      </c>
    </row>
    <row r="344">
      <c r="A344" s="58">
        <f>IFERROR(__xludf.DUMMYFUNCTION("INDIRECT(""'收支紀錄'!A""&amp;TO_TEXT(ROW()-$C$72))"),45585.52674547453)</f>
        <v>45585.52675</v>
      </c>
      <c r="B344" s="59">
        <f>IFERROR(__xludf.DUMMYFUNCTION("IF(ISBLANK(D344), """", IF(ISDATE(D344), D344, IF(D344=""今天"", A344, IF(D344=""昨天 (-1 day)"", A344-1, IF(D344=""前天 (-2 days)"", A344-2, IF(D344=""明天 (+1 day)"", A344+1, DATE(LEFT(D344,4), MID(D344,5,2), RIGHT(D344,2))))))))"),45585.52674547453)</f>
        <v>45585.52675</v>
      </c>
      <c r="C344" s="60">
        <f>IFERROR(__xludf.DUMMYFUNCTION("INDIRECT(""'收支紀錄'!C""&amp;TO_TEXT(ROW()-$C$72))"),35.0)</f>
        <v>35</v>
      </c>
      <c r="D344" s="63" t="str">
        <f>IFERROR(__xludf.DUMMYFUNCTION("INDIRECT(""'收支紀錄'!D""&amp;TO_TEXT(ROW()-$C$72))"),"今天")</f>
        <v>今天</v>
      </c>
      <c r="E344" s="61" t="str">
        <f>IFERROR(__xludf.DUMMYFUNCTION("INDIRECT(""'收支紀錄'!E""&amp;TO_TEXT(ROW()-$C$72))"),"")</f>
        <v/>
      </c>
      <c r="F344" s="61" t="str">
        <f>IFERROR(__xludf.DUMMYFUNCTION("INDIRECT(""'收支紀錄'!F""&amp;TO_TEXT(ROW()-$C$72))"),"")</f>
        <v/>
      </c>
      <c r="G344" s="61" t="str">
        <f>IFERROR(__xludf.DUMMYFUNCTION("INDIRECT(""'收支紀錄'!G""&amp;TO_TEXT(ROW()-$C$72))"),"")</f>
        <v/>
      </c>
      <c r="H344" s="61" t="str">
        <f>IFERROR(__xludf.DUMMYFUNCTION("INDIRECT(""'收支紀錄'!H""&amp;TO_TEXT(ROW()-$C$72))"),"食品酒水")</f>
        <v>食品酒水</v>
      </c>
      <c r="I344" s="61" t="str">
        <f>IFERROR(__xludf.DUMMYFUNCTION("INDIRECT(""'收支紀錄'!I""&amp;TO_TEXT(ROW()-$C$72))"),"食材")</f>
        <v>食材</v>
      </c>
      <c r="J344" s="61" t="str">
        <f>IFERROR(__xludf.DUMMYFUNCTION("INDIRECT(""'收支紀錄'!J""&amp;TO_TEXT(ROW()-$C$72))"),"")</f>
        <v/>
      </c>
      <c r="K344" s="61" t="str">
        <f>IFERROR(__xludf.DUMMYFUNCTION("INDIRECT(""'收支紀錄'!K""&amp;TO_TEXT(ROW()-$C$72))"),"")</f>
        <v/>
      </c>
      <c r="L344" s="61" t="str">
        <f>IFERROR(__xludf.DUMMYFUNCTION("INDIRECT(""'收支紀錄'!L""&amp;TO_TEXT(ROW()-$C$72))"),"")</f>
        <v/>
      </c>
      <c r="M344" s="61" t="str">
        <f>IFERROR(__xludf.DUMMYFUNCTION("INDIRECT(""'收支紀錄'!M""&amp;TO_TEXT(ROW()-$C$72))"),"")</f>
        <v/>
      </c>
      <c r="N344" s="61" t="str">
        <f>IFERROR(__xludf.DUMMYFUNCTION("INDIRECT(""'收支紀錄'!N""&amp;TO_TEXT(ROW()-$C$72))"),"")</f>
        <v/>
      </c>
      <c r="O344" s="61" t="str">
        <f>IFERROR(__xludf.DUMMYFUNCTION("INDIRECT(""'收支紀錄'!O""&amp;TO_TEXT(ROW()-$C$72))"),"")</f>
        <v/>
      </c>
      <c r="P344" s="61" t="str">
        <f>IFERROR(__xludf.DUMMYFUNCTION("INDIRECT(""'收支紀錄'!P""&amp;TO_TEXT(ROW()-$C$72))"),"")</f>
        <v/>
      </c>
      <c r="Q344" s="61" t="str">
        <f>IFERROR(__xludf.DUMMYFUNCTION("INDIRECT(""'收支紀錄'!Q""&amp;TO_TEXT(ROW()-$C$72))"),"")</f>
        <v/>
      </c>
      <c r="R344" s="61" t="str">
        <f>IFERROR(__xludf.DUMMYFUNCTION("INDIRECT(""'收支紀錄'!R""&amp;TO_TEXT(ROW()-$C$72))"),"")</f>
        <v/>
      </c>
      <c r="S344" s="61" t="str">
        <f>IFERROR(__xludf.DUMMYFUNCTION("INDIRECT(""'收支紀錄'!S""&amp;TO_TEXT(ROW()-$C$72))"),"")</f>
        <v/>
      </c>
      <c r="T344" s="61" t="str">
        <f>IFERROR(__xludf.DUMMYFUNCTION("INDIRECT(""'收支紀錄'!T""&amp;TO_TEXT(ROW()-$C$72))"),"")</f>
        <v/>
      </c>
      <c r="U344" s="62" t="str">
        <f>IFERROR(__xludf.DUMMYFUNCTION("IF(T344=""是"",TEXTJOIN("""", TRUE, ""$"", TO_TEXT(C344), S344),"""")"),"")</f>
        <v/>
      </c>
    </row>
    <row r="345">
      <c r="A345" s="58">
        <f>IFERROR(__xludf.DUMMYFUNCTION("INDIRECT(""'收支紀錄'!A""&amp;TO_TEXT(ROW()-$C$72))"),45585.526896180556)</f>
        <v>45585.5269</v>
      </c>
      <c r="B345" s="59">
        <f>IFERROR(__xludf.DUMMYFUNCTION("IF(ISBLANK(D345), """", IF(ISDATE(D345), D345, IF(D345=""今天"", A345, IF(D345=""昨天 (-1 day)"", A345-1, IF(D345=""前天 (-2 days)"", A345-2, IF(D345=""明天 (+1 day)"", A345+1, DATE(LEFT(D345,4), MID(D345,5,2), RIGHT(D345,2))))))))"),45585.526896180556)</f>
        <v>45585.5269</v>
      </c>
      <c r="C345" s="60">
        <f>IFERROR(__xludf.DUMMYFUNCTION("INDIRECT(""'收支紀錄'!C""&amp;TO_TEXT(ROW()-$C$72))"),35.0)</f>
        <v>35</v>
      </c>
      <c r="D345" s="63" t="str">
        <f>IFERROR(__xludf.DUMMYFUNCTION("INDIRECT(""'收支紀錄'!D""&amp;TO_TEXT(ROW()-$C$72))"),"今天")</f>
        <v>今天</v>
      </c>
      <c r="E345" s="61" t="str">
        <f>IFERROR(__xludf.DUMMYFUNCTION("INDIRECT(""'收支紀錄'!E""&amp;TO_TEXT(ROW()-$C$72))"),"")</f>
        <v/>
      </c>
      <c r="F345" s="61" t="str">
        <f>IFERROR(__xludf.DUMMYFUNCTION("INDIRECT(""'收支紀錄'!F""&amp;TO_TEXT(ROW()-$C$72))"),"")</f>
        <v/>
      </c>
      <c r="G345" s="61" t="str">
        <f>IFERROR(__xludf.DUMMYFUNCTION("INDIRECT(""'收支紀錄'!G""&amp;TO_TEXT(ROW()-$C$72))"),"")</f>
        <v/>
      </c>
      <c r="H345" s="61" t="str">
        <f>IFERROR(__xludf.DUMMYFUNCTION("INDIRECT(""'收支紀錄'!H""&amp;TO_TEXT(ROW()-$C$72))"),"食品酒水")</f>
        <v>食品酒水</v>
      </c>
      <c r="I345" s="61" t="str">
        <f>IFERROR(__xludf.DUMMYFUNCTION("INDIRECT(""'收支紀錄'!I""&amp;TO_TEXT(ROW()-$C$72))"),"飲料酒水")</f>
        <v>飲料酒水</v>
      </c>
      <c r="J345" s="61" t="str">
        <f>IFERROR(__xludf.DUMMYFUNCTION("INDIRECT(""'收支紀錄'!J""&amp;TO_TEXT(ROW()-$C$72))"),"")</f>
        <v/>
      </c>
      <c r="K345" s="61" t="str">
        <f>IFERROR(__xludf.DUMMYFUNCTION("INDIRECT(""'收支紀錄'!K""&amp;TO_TEXT(ROW()-$C$72))"),"")</f>
        <v/>
      </c>
      <c r="L345" s="61" t="str">
        <f>IFERROR(__xludf.DUMMYFUNCTION("INDIRECT(""'收支紀錄'!L""&amp;TO_TEXT(ROW()-$C$72))"),"")</f>
        <v/>
      </c>
      <c r="M345" s="61" t="str">
        <f>IFERROR(__xludf.DUMMYFUNCTION("INDIRECT(""'收支紀錄'!M""&amp;TO_TEXT(ROW()-$C$72))"),"")</f>
        <v/>
      </c>
      <c r="N345" s="61" t="str">
        <f>IFERROR(__xludf.DUMMYFUNCTION("INDIRECT(""'收支紀錄'!N""&amp;TO_TEXT(ROW()-$C$72))"),"")</f>
        <v/>
      </c>
      <c r="O345" s="61" t="str">
        <f>IFERROR(__xludf.DUMMYFUNCTION("INDIRECT(""'收支紀錄'!O""&amp;TO_TEXT(ROW()-$C$72))"),"")</f>
        <v/>
      </c>
      <c r="P345" s="61" t="str">
        <f>IFERROR(__xludf.DUMMYFUNCTION("INDIRECT(""'收支紀錄'!P""&amp;TO_TEXT(ROW()-$C$72))"),"")</f>
        <v/>
      </c>
      <c r="Q345" s="61" t="str">
        <f>IFERROR(__xludf.DUMMYFUNCTION("INDIRECT(""'收支紀錄'!Q""&amp;TO_TEXT(ROW()-$C$72))"),"")</f>
        <v/>
      </c>
      <c r="R345" s="61" t="str">
        <f>IFERROR(__xludf.DUMMYFUNCTION("INDIRECT(""'收支紀錄'!R""&amp;TO_TEXT(ROW()-$C$72))"),"")</f>
        <v/>
      </c>
      <c r="S345" s="61" t="str">
        <f>IFERROR(__xludf.DUMMYFUNCTION("INDIRECT(""'收支紀錄'!S""&amp;TO_TEXT(ROW()-$C$72))"),"")</f>
        <v/>
      </c>
      <c r="T345" s="61" t="str">
        <f>IFERROR(__xludf.DUMMYFUNCTION("INDIRECT(""'收支紀錄'!T""&amp;TO_TEXT(ROW()-$C$72))"),"")</f>
        <v/>
      </c>
      <c r="U345" s="62" t="str">
        <f>IFERROR(__xludf.DUMMYFUNCTION("IF(T345=""是"",TEXTJOIN("""", TRUE, ""$"", TO_TEXT(C345), S345),"""")"),"")</f>
        <v/>
      </c>
    </row>
    <row r="346">
      <c r="A346" s="58">
        <f>IFERROR(__xludf.DUMMYFUNCTION("INDIRECT(""'收支紀錄'!A""&amp;TO_TEXT(ROW()-$C$72))"),45586.51355862268)</f>
        <v>45586.51356</v>
      </c>
      <c r="B346" s="59">
        <f>IFERROR(__xludf.DUMMYFUNCTION("IF(ISBLANK(D346), """", IF(ISDATE(D346), D346, IF(D346=""今天"", A346, IF(D346=""昨天 (-1 day)"", A346-1, IF(D346=""前天 (-2 days)"", A346-2, IF(D346=""明天 (+1 day)"", A346+1, DATE(LEFT(D346,4), MID(D346,5,2), RIGHT(D346,2))))))))"),45585.51355862268)</f>
        <v>45585.51356</v>
      </c>
      <c r="C346" s="60">
        <f>IFERROR(__xludf.DUMMYFUNCTION("INDIRECT(""'收支紀錄'!C""&amp;TO_TEXT(ROW()-$C$72))"),70.0)</f>
        <v>70</v>
      </c>
      <c r="D346" s="63" t="str">
        <f>IFERROR(__xludf.DUMMYFUNCTION("INDIRECT(""'收支紀錄'!D""&amp;TO_TEXT(ROW()-$C$72))"),"昨天 (-1 day)")</f>
        <v>昨天 (-1 day)</v>
      </c>
      <c r="E346" s="61" t="str">
        <f>IFERROR(__xludf.DUMMYFUNCTION("INDIRECT(""'收支紀錄'!E""&amp;TO_TEXT(ROW()-$C$72))"),"")</f>
        <v/>
      </c>
      <c r="F346" s="61" t="str">
        <f>IFERROR(__xludf.DUMMYFUNCTION("INDIRECT(""'收支紀錄'!F""&amp;TO_TEXT(ROW()-$C$72))"),"")</f>
        <v/>
      </c>
      <c r="G346" s="61" t="str">
        <f>IFERROR(__xludf.DUMMYFUNCTION("INDIRECT(""'收支紀錄'!G""&amp;TO_TEXT(ROW()-$C$72))"),"")</f>
        <v/>
      </c>
      <c r="H346" s="61" t="str">
        <f>IFERROR(__xludf.DUMMYFUNCTION("INDIRECT(""'收支紀錄'!H""&amp;TO_TEXT(ROW()-$C$72))"),"行車交通")</f>
        <v>行車交通</v>
      </c>
      <c r="I346" s="61" t="str">
        <f>IFERROR(__xludf.DUMMYFUNCTION("INDIRECT(""'收支紀錄'!I""&amp;TO_TEXT(ROW()-$C$72))"),"")</f>
        <v/>
      </c>
      <c r="J346" s="61" t="str">
        <f>IFERROR(__xludf.DUMMYFUNCTION("INDIRECT(""'收支紀錄'!J""&amp;TO_TEXT(ROW()-$C$72))"),"")</f>
        <v/>
      </c>
      <c r="K346" s="61" t="str">
        <f>IFERROR(__xludf.DUMMYFUNCTION("INDIRECT(""'收支紀錄'!K""&amp;TO_TEXT(ROW()-$C$72))"),"")</f>
        <v/>
      </c>
      <c r="L346" s="61" t="str">
        <f>IFERROR(__xludf.DUMMYFUNCTION("INDIRECT(""'收支紀錄'!L""&amp;TO_TEXT(ROW()-$C$72))"),"加油")</f>
        <v>加油</v>
      </c>
      <c r="M346" s="61" t="str">
        <f>IFERROR(__xludf.DUMMYFUNCTION("INDIRECT(""'收支紀錄'!M""&amp;TO_TEXT(ROW()-$C$72))"),"")</f>
        <v/>
      </c>
      <c r="N346" s="61" t="str">
        <f>IFERROR(__xludf.DUMMYFUNCTION("INDIRECT(""'收支紀錄'!N""&amp;TO_TEXT(ROW()-$C$72))"),"")</f>
        <v/>
      </c>
      <c r="O346" s="61" t="str">
        <f>IFERROR(__xludf.DUMMYFUNCTION("INDIRECT(""'收支紀錄'!O""&amp;TO_TEXT(ROW()-$C$72))"),"")</f>
        <v/>
      </c>
      <c r="P346" s="61" t="str">
        <f>IFERROR(__xludf.DUMMYFUNCTION("INDIRECT(""'收支紀錄'!P""&amp;TO_TEXT(ROW()-$C$72))"),"")</f>
        <v/>
      </c>
      <c r="Q346" s="61" t="str">
        <f>IFERROR(__xludf.DUMMYFUNCTION("INDIRECT(""'收支紀錄'!Q""&amp;TO_TEXT(ROW()-$C$72))"),"")</f>
        <v/>
      </c>
      <c r="R346" s="61" t="str">
        <f>IFERROR(__xludf.DUMMYFUNCTION("INDIRECT(""'收支紀錄'!R""&amp;TO_TEXT(ROW()-$C$72))"),"")</f>
        <v/>
      </c>
      <c r="S346" s="61" t="str">
        <f>IFERROR(__xludf.DUMMYFUNCTION("INDIRECT(""'收支紀錄'!S""&amp;TO_TEXT(ROW()-$C$72))"),"")</f>
        <v/>
      </c>
      <c r="T346" s="61" t="str">
        <f>IFERROR(__xludf.DUMMYFUNCTION("INDIRECT(""'收支紀錄'!T""&amp;TO_TEXT(ROW()-$C$72))"),"")</f>
        <v/>
      </c>
      <c r="U346" s="62" t="str">
        <f>IFERROR(__xludf.DUMMYFUNCTION("IF(T346=""是"",TEXTJOIN("""", TRUE, ""$"", TO_TEXT(C346), S346),"""")"),"")</f>
        <v/>
      </c>
    </row>
    <row r="347">
      <c r="A347" s="58">
        <f>IFERROR(__xludf.DUMMYFUNCTION("INDIRECT(""'收支紀錄'!A""&amp;TO_TEXT(ROW()-$C$72))"),45586.51378606481)</f>
        <v>45586.51379</v>
      </c>
      <c r="B347" s="59">
        <f>IFERROR(__xludf.DUMMYFUNCTION("IF(ISBLANK(D347), """", IF(ISDATE(D347), D347, IF(D347=""今天"", A347, IF(D347=""昨天 (-1 day)"", A347-1, IF(D347=""前天 (-2 days)"", A347-2, IF(D347=""明天 (+1 day)"", A347+1, DATE(LEFT(D347,4), MID(D347,5,2), RIGHT(D347,2))))))))"),45585.51378606481)</f>
        <v>45585.51379</v>
      </c>
      <c r="C347" s="60">
        <f>IFERROR(__xludf.DUMMYFUNCTION("INDIRECT(""'收支紀錄'!C""&amp;TO_TEXT(ROW()-$C$72))"),880.0)</f>
        <v>880</v>
      </c>
      <c r="D347" s="63" t="str">
        <f>IFERROR(__xludf.DUMMYFUNCTION("INDIRECT(""'收支紀錄'!D""&amp;TO_TEXT(ROW()-$C$72))"),"昨天 (-1 day)")</f>
        <v>昨天 (-1 day)</v>
      </c>
      <c r="E347" s="61" t="str">
        <f>IFERROR(__xludf.DUMMYFUNCTION("INDIRECT(""'收支紀錄'!E""&amp;TO_TEXT(ROW()-$C$72))"),"")</f>
        <v/>
      </c>
      <c r="F347" s="61" t="str">
        <f>IFERROR(__xludf.DUMMYFUNCTION("INDIRECT(""'收支紀錄'!F""&amp;TO_TEXT(ROW()-$C$72))"),"")</f>
        <v/>
      </c>
      <c r="G347" s="61" t="str">
        <f>IFERROR(__xludf.DUMMYFUNCTION("INDIRECT(""'收支紀錄'!G""&amp;TO_TEXT(ROW()-$C$72))"),"")</f>
        <v/>
      </c>
      <c r="H347" s="61" t="str">
        <f>IFERROR(__xludf.DUMMYFUNCTION("INDIRECT(""'收支紀錄'!H""&amp;TO_TEXT(ROW()-$C$72))"),"行車交通")</f>
        <v>行車交通</v>
      </c>
      <c r="I347" s="61" t="str">
        <f>IFERROR(__xludf.DUMMYFUNCTION("INDIRECT(""'收支紀錄'!I""&amp;TO_TEXT(ROW()-$C$72))"),"")</f>
        <v/>
      </c>
      <c r="J347" s="61" t="str">
        <f>IFERROR(__xludf.DUMMYFUNCTION("INDIRECT(""'收支紀錄'!J""&amp;TO_TEXT(ROW()-$C$72))"),"")</f>
        <v/>
      </c>
      <c r="K347" s="61" t="str">
        <f>IFERROR(__xludf.DUMMYFUNCTION("INDIRECT(""'收支紀錄'!K""&amp;TO_TEXT(ROW()-$C$72))"),"")</f>
        <v/>
      </c>
      <c r="L347" s="61" t="str">
        <f>IFERROR(__xludf.DUMMYFUNCTION("INDIRECT(""'收支紀錄'!L""&amp;TO_TEXT(ROW()-$C$72))"),"加油")</f>
        <v>加油</v>
      </c>
      <c r="M347" s="61" t="str">
        <f>IFERROR(__xludf.DUMMYFUNCTION("INDIRECT(""'收支紀錄'!M""&amp;TO_TEXT(ROW()-$C$72))"),"")</f>
        <v/>
      </c>
      <c r="N347" s="61" t="str">
        <f>IFERROR(__xludf.DUMMYFUNCTION("INDIRECT(""'收支紀錄'!N""&amp;TO_TEXT(ROW()-$C$72))"),"")</f>
        <v/>
      </c>
      <c r="O347" s="61" t="str">
        <f>IFERROR(__xludf.DUMMYFUNCTION("INDIRECT(""'收支紀錄'!O""&amp;TO_TEXT(ROW()-$C$72))"),"")</f>
        <v/>
      </c>
      <c r="P347" s="61" t="str">
        <f>IFERROR(__xludf.DUMMYFUNCTION("INDIRECT(""'收支紀錄'!P""&amp;TO_TEXT(ROW()-$C$72))"),"")</f>
        <v/>
      </c>
      <c r="Q347" s="61" t="str">
        <f>IFERROR(__xludf.DUMMYFUNCTION("INDIRECT(""'收支紀錄'!Q""&amp;TO_TEXT(ROW()-$C$72))"),"")</f>
        <v/>
      </c>
      <c r="R347" s="61" t="str">
        <f>IFERROR(__xludf.DUMMYFUNCTION("INDIRECT(""'收支紀錄'!R""&amp;TO_TEXT(ROW()-$C$72))"),"")</f>
        <v/>
      </c>
      <c r="S347" s="61" t="str">
        <f>IFERROR(__xludf.DUMMYFUNCTION("INDIRECT(""'收支紀錄'!S""&amp;TO_TEXT(ROW()-$C$72))"),"")</f>
        <v/>
      </c>
      <c r="T347" s="61" t="str">
        <f>IFERROR(__xludf.DUMMYFUNCTION("INDIRECT(""'收支紀錄'!T""&amp;TO_TEXT(ROW()-$C$72))"),"")</f>
        <v/>
      </c>
      <c r="U347" s="62" t="str">
        <f>IFERROR(__xludf.DUMMYFUNCTION("IF(T347=""是"",TEXTJOIN("""", TRUE, ""$"", TO_TEXT(C347), S347),"""")"),"")</f>
        <v/>
      </c>
    </row>
    <row r="348">
      <c r="A348" s="58">
        <f>IFERROR(__xludf.DUMMYFUNCTION("INDIRECT(""'收支紀錄'!A""&amp;TO_TEXT(ROW()-$C$72))"),45586.51394883102)</f>
        <v>45586.51395</v>
      </c>
      <c r="B348" s="59">
        <f>IFERROR(__xludf.DUMMYFUNCTION("IF(ISBLANK(D348), """", IF(ISDATE(D348), D348, IF(D348=""今天"", A348, IF(D348=""昨天 (-1 day)"", A348-1, IF(D348=""前天 (-2 days)"", A348-2, IF(D348=""明天 (+1 day)"", A348+1, DATE(LEFT(D348,4), MID(D348,5,2), RIGHT(D348,2))))))))"),45585.51394883102)</f>
        <v>45585.51395</v>
      </c>
      <c r="C348" s="60">
        <f>IFERROR(__xludf.DUMMYFUNCTION("INDIRECT(""'收支紀錄'!C""&amp;TO_TEXT(ROW()-$C$72))"),908.0)</f>
        <v>908</v>
      </c>
      <c r="D348" s="63" t="str">
        <f>IFERROR(__xludf.DUMMYFUNCTION("INDIRECT(""'收支紀錄'!D""&amp;TO_TEXT(ROW()-$C$72))"),"昨天 (-1 day)")</f>
        <v>昨天 (-1 day)</v>
      </c>
      <c r="E348" s="61" t="str">
        <f>IFERROR(__xludf.DUMMYFUNCTION("INDIRECT(""'收支紀錄'!E""&amp;TO_TEXT(ROW()-$C$72))"),"")</f>
        <v/>
      </c>
      <c r="F348" s="61" t="str">
        <f>IFERROR(__xludf.DUMMYFUNCTION("INDIRECT(""'收支紀錄'!F""&amp;TO_TEXT(ROW()-$C$72))"),"")</f>
        <v/>
      </c>
      <c r="G348" s="61" t="str">
        <f>IFERROR(__xludf.DUMMYFUNCTION("INDIRECT(""'收支紀錄'!G""&amp;TO_TEXT(ROW()-$C$72))"),"")</f>
        <v/>
      </c>
      <c r="H348" s="61" t="str">
        <f>IFERROR(__xludf.DUMMYFUNCTION("INDIRECT(""'收支紀錄'!H""&amp;TO_TEXT(ROW()-$C$72))"),"食品酒水")</f>
        <v>食品酒水</v>
      </c>
      <c r="I348" s="61" t="str">
        <f>IFERROR(__xludf.DUMMYFUNCTION("INDIRECT(""'收支紀錄'!I""&amp;TO_TEXT(ROW()-$C$72))"),"食材")</f>
        <v>食材</v>
      </c>
      <c r="J348" s="61" t="str">
        <f>IFERROR(__xludf.DUMMYFUNCTION("INDIRECT(""'收支紀錄'!J""&amp;TO_TEXT(ROW()-$C$72))"),"")</f>
        <v/>
      </c>
      <c r="K348" s="61" t="str">
        <f>IFERROR(__xludf.DUMMYFUNCTION("INDIRECT(""'收支紀錄'!K""&amp;TO_TEXT(ROW()-$C$72))"),"")</f>
        <v/>
      </c>
      <c r="L348" s="61" t="str">
        <f>IFERROR(__xludf.DUMMYFUNCTION("INDIRECT(""'收支紀錄'!L""&amp;TO_TEXT(ROW()-$C$72))"),"")</f>
        <v/>
      </c>
      <c r="M348" s="61" t="str">
        <f>IFERROR(__xludf.DUMMYFUNCTION("INDIRECT(""'收支紀錄'!M""&amp;TO_TEXT(ROW()-$C$72))"),"")</f>
        <v/>
      </c>
      <c r="N348" s="61" t="str">
        <f>IFERROR(__xludf.DUMMYFUNCTION("INDIRECT(""'收支紀錄'!N""&amp;TO_TEXT(ROW()-$C$72))"),"")</f>
        <v/>
      </c>
      <c r="O348" s="61" t="str">
        <f>IFERROR(__xludf.DUMMYFUNCTION("INDIRECT(""'收支紀錄'!O""&amp;TO_TEXT(ROW()-$C$72))"),"")</f>
        <v/>
      </c>
      <c r="P348" s="61" t="str">
        <f>IFERROR(__xludf.DUMMYFUNCTION("INDIRECT(""'收支紀錄'!P""&amp;TO_TEXT(ROW()-$C$72))"),"")</f>
        <v/>
      </c>
      <c r="Q348" s="61" t="str">
        <f>IFERROR(__xludf.DUMMYFUNCTION("INDIRECT(""'收支紀錄'!Q""&amp;TO_TEXT(ROW()-$C$72))"),"")</f>
        <v/>
      </c>
      <c r="R348" s="61" t="str">
        <f>IFERROR(__xludf.DUMMYFUNCTION("INDIRECT(""'收支紀錄'!R""&amp;TO_TEXT(ROW()-$C$72))"),"")</f>
        <v/>
      </c>
      <c r="S348" s="61" t="str">
        <f>IFERROR(__xludf.DUMMYFUNCTION("INDIRECT(""'收支紀錄'!S""&amp;TO_TEXT(ROW()-$C$72))"),"")</f>
        <v/>
      </c>
      <c r="T348" s="61" t="str">
        <f>IFERROR(__xludf.DUMMYFUNCTION("INDIRECT(""'收支紀錄'!T""&amp;TO_TEXT(ROW()-$C$72))"),"")</f>
        <v/>
      </c>
      <c r="U348" s="62" t="str">
        <f>IFERROR(__xludf.DUMMYFUNCTION("IF(T348=""是"",TEXTJOIN("""", TRUE, ""$"", TO_TEXT(C348), S348),"""")"),"")</f>
        <v/>
      </c>
    </row>
    <row r="349">
      <c r="A349" s="58">
        <f>IFERROR(__xludf.DUMMYFUNCTION("INDIRECT(""'收支紀錄'!A""&amp;TO_TEXT(ROW()-$C$72))"),45586.51453172453)</f>
        <v>45586.51453</v>
      </c>
      <c r="B349" s="59">
        <f>IFERROR(__xludf.DUMMYFUNCTION("IF(ISBLANK(D349), """", IF(ISDATE(D349), D349, IF(D349=""今天"", A349, IF(D349=""昨天 (-1 day)"", A349-1, IF(D349=""前天 (-2 days)"", A349-2, IF(D349=""明天 (+1 day)"", A349+1, DATE(LEFT(D349,4), MID(D349,5,2), RIGHT(D349,2))))))))"),45586.51453172453)</f>
        <v>45586.51453</v>
      </c>
      <c r="C349" s="60">
        <f>IFERROR(__xludf.DUMMYFUNCTION("INDIRECT(""'收支紀錄'!C""&amp;TO_TEXT(ROW()-$C$72))"),20.0)</f>
        <v>20</v>
      </c>
      <c r="D349" s="63" t="str">
        <f>IFERROR(__xludf.DUMMYFUNCTION("INDIRECT(""'收支紀錄'!D""&amp;TO_TEXT(ROW()-$C$72))"),"今天")</f>
        <v>今天</v>
      </c>
      <c r="E349" s="61" t="str">
        <f>IFERROR(__xludf.DUMMYFUNCTION("INDIRECT(""'收支紀錄'!E""&amp;TO_TEXT(ROW()-$C$72))"),"")</f>
        <v/>
      </c>
      <c r="F349" s="61" t="str">
        <f>IFERROR(__xludf.DUMMYFUNCTION("INDIRECT(""'收支紀錄'!F""&amp;TO_TEXT(ROW()-$C$72))"),"")</f>
        <v/>
      </c>
      <c r="G349" s="61" t="str">
        <f>IFERROR(__xludf.DUMMYFUNCTION("INDIRECT(""'收支紀錄'!G""&amp;TO_TEXT(ROW()-$C$72))"),"")</f>
        <v/>
      </c>
      <c r="H349" s="61" t="str">
        <f>IFERROR(__xludf.DUMMYFUNCTION("INDIRECT(""'收支紀錄'!H""&amp;TO_TEXT(ROW()-$C$72))"),"行車交通")</f>
        <v>行車交通</v>
      </c>
      <c r="I349" s="61" t="str">
        <f>IFERROR(__xludf.DUMMYFUNCTION("INDIRECT(""'收支紀錄'!I""&amp;TO_TEXT(ROW()-$C$72))"),"")</f>
        <v/>
      </c>
      <c r="J349" s="61" t="str">
        <f>IFERROR(__xludf.DUMMYFUNCTION("INDIRECT(""'收支紀錄'!J""&amp;TO_TEXT(ROW()-$C$72))"),"")</f>
        <v/>
      </c>
      <c r="K349" s="61" t="str">
        <f>IFERROR(__xludf.DUMMYFUNCTION("INDIRECT(""'收支紀錄'!K""&amp;TO_TEXT(ROW()-$C$72))"),"")</f>
        <v/>
      </c>
      <c r="L349" s="61" t="str">
        <f>IFERROR(__xludf.DUMMYFUNCTION("INDIRECT(""'收支紀錄'!L""&amp;TO_TEXT(ROW()-$C$72))"),"捷運費")</f>
        <v>捷運費</v>
      </c>
      <c r="M349" s="61" t="str">
        <f>IFERROR(__xludf.DUMMYFUNCTION("INDIRECT(""'收支紀錄'!M""&amp;TO_TEXT(ROW()-$C$72))"),"")</f>
        <v/>
      </c>
      <c r="N349" s="61" t="str">
        <f>IFERROR(__xludf.DUMMYFUNCTION("INDIRECT(""'收支紀錄'!N""&amp;TO_TEXT(ROW()-$C$72))"),"")</f>
        <v/>
      </c>
      <c r="O349" s="61" t="str">
        <f>IFERROR(__xludf.DUMMYFUNCTION("INDIRECT(""'收支紀錄'!O""&amp;TO_TEXT(ROW()-$C$72))"),"")</f>
        <v/>
      </c>
      <c r="P349" s="61" t="str">
        <f>IFERROR(__xludf.DUMMYFUNCTION("INDIRECT(""'收支紀錄'!P""&amp;TO_TEXT(ROW()-$C$72))"),"")</f>
        <v/>
      </c>
      <c r="Q349" s="61" t="str">
        <f>IFERROR(__xludf.DUMMYFUNCTION("INDIRECT(""'收支紀錄'!Q""&amp;TO_TEXT(ROW()-$C$72))"),"")</f>
        <v/>
      </c>
      <c r="R349" s="61" t="str">
        <f>IFERROR(__xludf.DUMMYFUNCTION("INDIRECT(""'收支紀錄'!R""&amp;TO_TEXT(ROW()-$C$72))"),"")</f>
        <v/>
      </c>
      <c r="S349" s="61" t="str">
        <f>IFERROR(__xludf.DUMMYFUNCTION("INDIRECT(""'收支紀錄'!S""&amp;TO_TEXT(ROW()-$C$72))"),"")</f>
        <v/>
      </c>
      <c r="T349" s="61" t="str">
        <f>IFERROR(__xludf.DUMMYFUNCTION("INDIRECT(""'收支紀錄'!T""&amp;TO_TEXT(ROW()-$C$72))"),"")</f>
        <v/>
      </c>
      <c r="U349" s="62" t="str">
        <f>IFERROR(__xludf.DUMMYFUNCTION("IF(T349=""是"",TEXTJOIN("""", TRUE, ""$"", TO_TEXT(C349), S349),"""")"),"")</f>
        <v/>
      </c>
    </row>
    <row r="350">
      <c r="A350" s="58">
        <f>IFERROR(__xludf.DUMMYFUNCTION("INDIRECT(""'收支紀錄'!A""&amp;TO_TEXT(ROW()-$C$72))"),45586.51467636574)</f>
        <v>45586.51468</v>
      </c>
      <c r="B350" s="59">
        <f>IFERROR(__xludf.DUMMYFUNCTION("IF(ISBLANK(D350), """", IF(ISDATE(D350), D350, IF(D350=""今天"", A350, IF(D350=""昨天 (-1 day)"", A350-1, IF(D350=""前天 (-2 days)"", A350-2, IF(D350=""明天 (+1 day)"", A350+1, DATE(LEFT(D350,4), MID(D350,5,2), RIGHT(D350,2))))))))"),45586.51467636574)</f>
        <v>45586.51468</v>
      </c>
      <c r="C350" s="60">
        <f>IFERROR(__xludf.DUMMYFUNCTION("INDIRECT(""'收支紀錄'!C""&amp;TO_TEXT(ROW()-$C$72))"),91.0)</f>
        <v>91</v>
      </c>
      <c r="D350" s="63" t="str">
        <f>IFERROR(__xludf.DUMMYFUNCTION("INDIRECT(""'收支紀錄'!D""&amp;TO_TEXT(ROW()-$C$72))"),"今天")</f>
        <v>今天</v>
      </c>
      <c r="E350" s="61" t="str">
        <f>IFERROR(__xludf.DUMMYFUNCTION("INDIRECT(""'收支紀錄'!E""&amp;TO_TEXT(ROW()-$C$72))"),"")</f>
        <v/>
      </c>
      <c r="F350" s="61" t="str">
        <f>IFERROR(__xludf.DUMMYFUNCTION("INDIRECT(""'收支紀錄'!F""&amp;TO_TEXT(ROW()-$C$72))"),"")</f>
        <v/>
      </c>
      <c r="G350" s="61" t="str">
        <f>IFERROR(__xludf.DUMMYFUNCTION("INDIRECT(""'收支紀錄'!G""&amp;TO_TEXT(ROW()-$C$72))"),"")</f>
        <v/>
      </c>
      <c r="H350" s="61" t="str">
        <f>IFERROR(__xludf.DUMMYFUNCTION("INDIRECT(""'收支紀錄'!H""&amp;TO_TEXT(ROW()-$C$72))"),"行車交通")</f>
        <v>行車交通</v>
      </c>
      <c r="I350" s="61" t="str">
        <f>IFERROR(__xludf.DUMMYFUNCTION("INDIRECT(""'收支紀錄'!I""&amp;TO_TEXT(ROW()-$C$72))"),"")</f>
        <v/>
      </c>
      <c r="J350" s="61" t="str">
        <f>IFERROR(__xludf.DUMMYFUNCTION("INDIRECT(""'收支紀錄'!J""&amp;TO_TEXT(ROW()-$C$72))"),"")</f>
        <v/>
      </c>
      <c r="K350" s="61" t="str">
        <f>IFERROR(__xludf.DUMMYFUNCTION("INDIRECT(""'收支紀錄'!K""&amp;TO_TEXT(ROW()-$C$72))"),"")</f>
        <v/>
      </c>
      <c r="L350" s="61" t="str">
        <f>IFERROR(__xludf.DUMMYFUNCTION("INDIRECT(""'收支紀錄'!L""&amp;TO_TEXT(ROW()-$C$72))"),"火車費")</f>
        <v>火車費</v>
      </c>
      <c r="M350" s="61" t="str">
        <f>IFERROR(__xludf.DUMMYFUNCTION("INDIRECT(""'收支紀錄'!M""&amp;TO_TEXT(ROW()-$C$72))"),"")</f>
        <v/>
      </c>
      <c r="N350" s="61" t="str">
        <f>IFERROR(__xludf.DUMMYFUNCTION("INDIRECT(""'收支紀錄'!N""&amp;TO_TEXT(ROW()-$C$72))"),"")</f>
        <v/>
      </c>
      <c r="O350" s="61" t="str">
        <f>IFERROR(__xludf.DUMMYFUNCTION("INDIRECT(""'收支紀錄'!O""&amp;TO_TEXT(ROW()-$C$72))"),"")</f>
        <v/>
      </c>
      <c r="P350" s="61" t="str">
        <f>IFERROR(__xludf.DUMMYFUNCTION("INDIRECT(""'收支紀錄'!P""&amp;TO_TEXT(ROW()-$C$72))"),"")</f>
        <v/>
      </c>
      <c r="Q350" s="61" t="str">
        <f>IFERROR(__xludf.DUMMYFUNCTION("INDIRECT(""'收支紀錄'!Q""&amp;TO_TEXT(ROW()-$C$72))"),"")</f>
        <v/>
      </c>
      <c r="R350" s="61" t="str">
        <f>IFERROR(__xludf.DUMMYFUNCTION("INDIRECT(""'收支紀錄'!R""&amp;TO_TEXT(ROW()-$C$72))"),"")</f>
        <v/>
      </c>
      <c r="S350" s="61" t="str">
        <f>IFERROR(__xludf.DUMMYFUNCTION("INDIRECT(""'收支紀錄'!S""&amp;TO_TEXT(ROW()-$C$72))"),"")</f>
        <v/>
      </c>
      <c r="T350" s="61" t="str">
        <f>IFERROR(__xludf.DUMMYFUNCTION("INDIRECT(""'收支紀錄'!T""&amp;TO_TEXT(ROW()-$C$72))"),"")</f>
        <v/>
      </c>
      <c r="U350" s="62" t="str">
        <f>IFERROR(__xludf.DUMMYFUNCTION("IF(T350=""是"",TEXTJOIN("""", TRUE, ""$"", TO_TEXT(C350), S350),"""")"),"")</f>
        <v/>
      </c>
    </row>
    <row r="351">
      <c r="A351" s="58">
        <f>IFERROR(__xludf.DUMMYFUNCTION("INDIRECT(""'收支紀錄'!A""&amp;TO_TEXT(ROW()-$C$72))"),45590.293111875)</f>
        <v>45590.29311</v>
      </c>
      <c r="B351" s="59">
        <f>IFERROR(__xludf.DUMMYFUNCTION("IF(ISBLANK(D351), """", IF(ISDATE(D351), D351, IF(D351=""今天"", A351, IF(D351=""昨天 (-1 day)"", A351-1, IF(D351=""前天 (-2 days)"", A351-2, IF(D351=""明天 (+1 day)"", A351+1, DATE(LEFT(D351,4), MID(D351,5,2), RIGHT(D351,2))))))))"),45589.293111875)</f>
        <v>45589.29311</v>
      </c>
      <c r="C351" s="60">
        <f>IFERROR(__xludf.DUMMYFUNCTION("INDIRECT(""'收支紀錄'!C""&amp;TO_TEXT(ROW()-$C$72))"),91.0)</f>
        <v>91</v>
      </c>
      <c r="D351" s="63" t="str">
        <f>IFERROR(__xludf.DUMMYFUNCTION("INDIRECT(""'收支紀錄'!D""&amp;TO_TEXT(ROW()-$C$72))"),"昨天 (-1 day)")</f>
        <v>昨天 (-1 day)</v>
      </c>
      <c r="E351" s="61" t="str">
        <f>IFERROR(__xludf.DUMMYFUNCTION("INDIRECT(""'收支紀錄'!E""&amp;TO_TEXT(ROW()-$C$72))"),"")</f>
        <v/>
      </c>
      <c r="F351" s="61" t="str">
        <f>IFERROR(__xludf.DUMMYFUNCTION("INDIRECT(""'收支紀錄'!F""&amp;TO_TEXT(ROW()-$C$72))"),"")</f>
        <v/>
      </c>
      <c r="G351" s="61" t="str">
        <f>IFERROR(__xludf.DUMMYFUNCTION("INDIRECT(""'收支紀錄'!G""&amp;TO_TEXT(ROW()-$C$72))"),"")</f>
        <v/>
      </c>
      <c r="H351" s="61" t="str">
        <f>IFERROR(__xludf.DUMMYFUNCTION("INDIRECT(""'收支紀錄'!H""&amp;TO_TEXT(ROW()-$C$72))"),"行車交通")</f>
        <v>行車交通</v>
      </c>
      <c r="I351" s="61" t="str">
        <f>IFERROR(__xludf.DUMMYFUNCTION("INDIRECT(""'收支紀錄'!I""&amp;TO_TEXT(ROW()-$C$72))"),"")</f>
        <v/>
      </c>
      <c r="J351" s="61" t="str">
        <f>IFERROR(__xludf.DUMMYFUNCTION("INDIRECT(""'收支紀錄'!J""&amp;TO_TEXT(ROW()-$C$72))"),"")</f>
        <v/>
      </c>
      <c r="K351" s="61" t="str">
        <f>IFERROR(__xludf.DUMMYFUNCTION("INDIRECT(""'收支紀錄'!K""&amp;TO_TEXT(ROW()-$C$72))"),"")</f>
        <v/>
      </c>
      <c r="L351" s="61" t="str">
        <f>IFERROR(__xludf.DUMMYFUNCTION("INDIRECT(""'收支紀錄'!L""&amp;TO_TEXT(ROW()-$C$72))"),"火車費")</f>
        <v>火車費</v>
      </c>
      <c r="M351" s="61" t="str">
        <f>IFERROR(__xludf.DUMMYFUNCTION("INDIRECT(""'收支紀錄'!M""&amp;TO_TEXT(ROW()-$C$72))"),"")</f>
        <v/>
      </c>
      <c r="N351" s="61" t="str">
        <f>IFERROR(__xludf.DUMMYFUNCTION("INDIRECT(""'收支紀錄'!N""&amp;TO_TEXT(ROW()-$C$72))"),"")</f>
        <v/>
      </c>
      <c r="O351" s="61" t="str">
        <f>IFERROR(__xludf.DUMMYFUNCTION("INDIRECT(""'收支紀錄'!O""&amp;TO_TEXT(ROW()-$C$72))"),"")</f>
        <v/>
      </c>
      <c r="P351" s="61" t="str">
        <f>IFERROR(__xludf.DUMMYFUNCTION("INDIRECT(""'收支紀錄'!P""&amp;TO_TEXT(ROW()-$C$72))"),"")</f>
        <v/>
      </c>
      <c r="Q351" s="61" t="str">
        <f>IFERROR(__xludf.DUMMYFUNCTION("INDIRECT(""'收支紀錄'!Q""&amp;TO_TEXT(ROW()-$C$72))"),"")</f>
        <v/>
      </c>
      <c r="R351" s="61" t="str">
        <f>IFERROR(__xludf.DUMMYFUNCTION("INDIRECT(""'收支紀錄'!R""&amp;TO_TEXT(ROW()-$C$72))"),"")</f>
        <v/>
      </c>
      <c r="S351" s="61" t="str">
        <f>IFERROR(__xludf.DUMMYFUNCTION("INDIRECT(""'收支紀錄'!S""&amp;TO_TEXT(ROW()-$C$72))"),"")</f>
        <v/>
      </c>
      <c r="T351" s="61" t="str">
        <f>IFERROR(__xludf.DUMMYFUNCTION("INDIRECT(""'收支紀錄'!T""&amp;TO_TEXT(ROW()-$C$72))"),"")</f>
        <v/>
      </c>
      <c r="U351" s="62" t="str">
        <f>IFERROR(__xludf.DUMMYFUNCTION("IF(T351=""是"",TEXTJOIN("""", TRUE, ""$"", TO_TEXT(C351), S351),"""")"),"")</f>
        <v/>
      </c>
    </row>
    <row r="352">
      <c r="A352" s="58">
        <f>IFERROR(__xludf.DUMMYFUNCTION("INDIRECT(""'收支紀錄'!A""&amp;TO_TEXT(ROW()-$C$72))"),45590.29326856481)</f>
        <v>45590.29327</v>
      </c>
      <c r="B352" s="59">
        <f>IFERROR(__xludf.DUMMYFUNCTION("IF(ISBLANK(D352), """", IF(ISDATE(D352), D352, IF(D352=""今天"", A352, IF(D352=""昨天 (-1 day)"", A352-1, IF(D352=""前天 (-2 days)"", A352-2, IF(D352=""明天 (+1 day)"", A352+1, DATE(LEFT(D352,4), MID(D352,5,2), RIGHT(D352,2))))))))"),45589.29326856481)</f>
        <v>45589.29327</v>
      </c>
      <c r="C352" s="60">
        <f>IFERROR(__xludf.DUMMYFUNCTION("INDIRECT(""'收支紀錄'!C""&amp;TO_TEXT(ROW()-$C$72))"),20.0)</f>
        <v>20</v>
      </c>
      <c r="D352" s="63" t="str">
        <f>IFERROR(__xludf.DUMMYFUNCTION("INDIRECT(""'收支紀錄'!D""&amp;TO_TEXT(ROW()-$C$72))"),"昨天 (-1 day)")</f>
        <v>昨天 (-1 day)</v>
      </c>
      <c r="E352" s="61" t="str">
        <f>IFERROR(__xludf.DUMMYFUNCTION("INDIRECT(""'收支紀錄'!E""&amp;TO_TEXT(ROW()-$C$72))"),"")</f>
        <v/>
      </c>
      <c r="F352" s="61" t="str">
        <f>IFERROR(__xludf.DUMMYFUNCTION("INDIRECT(""'收支紀錄'!F""&amp;TO_TEXT(ROW()-$C$72))"),"")</f>
        <v/>
      </c>
      <c r="G352" s="61" t="str">
        <f>IFERROR(__xludf.DUMMYFUNCTION("INDIRECT(""'收支紀錄'!G""&amp;TO_TEXT(ROW()-$C$72))"),"")</f>
        <v/>
      </c>
      <c r="H352" s="61" t="str">
        <f>IFERROR(__xludf.DUMMYFUNCTION("INDIRECT(""'收支紀錄'!H""&amp;TO_TEXT(ROW()-$C$72))"),"行車交通")</f>
        <v>行車交通</v>
      </c>
      <c r="I352" s="61" t="str">
        <f>IFERROR(__xludf.DUMMYFUNCTION("INDIRECT(""'收支紀錄'!I""&amp;TO_TEXT(ROW()-$C$72))"),"")</f>
        <v/>
      </c>
      <c r="J352" s="61" t="str">
        <f>IFERROR(__xludf.DUMMYFUNCTION("INDIRECT(""'收支紀錄'!J""&amp;TO_TEXT(ROW()-$C$72))"),"")</f>
        <v/>
      </c>
      <c r="K352" s="61" t="str">
        <f>IFERROR(__xludf.DUMMYFUNCTION("INDIRECT(""'收支紀錄'!K""&amp;TO_TEXT(ROW()-$C$72))"),"")</f>
        <v/>
      </c>
      <c r="L352" s="61" t="str">
        <f>IFERROR(__xludf.DUMMYFUNCTION("INDIRECT(""'收支紀錄'!L""&amp;TO_TEXT(ROW()-$C$72))"),"捷運費")</f>
        <v>捷運費</v>
      </c>
      <c r="M352" s="61" t="str">
        <f>IFERROR(__xludf.DUMMYFUNCTION("INDIRECT(""'收支紀錄'!M""&amp;TO_TEXT(ROW()-$C$72))"),"")</f>
        <v/>
      </c>
      <c r="N352" s="61" t="str">
        <f>IFERROR(__xludf.DUMMYFUNCTION("INDIRECT(""'收支紀錄'!N""&amp;TO_TEXT(ROW()-$C$72))"),"")</f>
        <v/>
      </c>
      <c r="O352" s="61" t="str">
        <f>IFERROR(__xludf.DUMMYFUNCTION("INDIRECT(""'收支紀錄'!O""&amp;TO_TEXT(ROW()-$C$72))"),"")</f>
        <v/>
      </c>
      <c r="P352" s="61" t="str">
        <f>IFERROR(__xludf.DUMMYFUNCTION("INDIRECT(""'收支紀錄'!P""&amp;TO_TEXT(ROW()-$C$72))"),"")</f>
        <v/>
      </c>
      <c r="Q352" s="61" t="str">
        <f>IFERROR(__xludf.DUMMYFUNCTION("INDIRECT(""'收支紀錄'!Q""&amp;TO_TEXT(ROW()-$C$72))"),"")</f>
        <v/>
      </c>
      <c r="R352" s="61" t="str">
        <f>IFERROR(__xludf.DUMMYFUNCTION("INDIRECT(""'收支紀錄'!R""&amp;TO_TEXT(ROW()-$C$72))"),"")</f>
        <v/>
      </c>
      <c r="S352" s="61" t="str">
        <f>IFERROR(__xludf.DUMMYFUNCTION("INDIRECT(""'收支紀錄'!S""&amp;TO_TEXT(ROW()-$C$72))"),"")</f>
        <v/>
      </c>
      <c r="T352" s="61" t="str">
        <f>IFERROR(__xludf.DUMMYFUNCTION("INDIRECT(""'收支紀錄'!T""&amp;TO_TEXT(ROW()-$C$72))"),"")</f>
        <v/>
      </c>
      <c r="U352" s="62" t="str">
        <f>IFERROR(__xludf.DUMMYFUNCTION("IF(T352=""是"",TEXTJOIN("""", TRUE, ""$"", TO_TEXT(C352), S352),"""")"),"")</f>
        <v/>
      </c>
    </row>
    <row r="353">
      <c r="A353" s="58">
        <f>IFERROR(__xludf.DUMMYFUNCTION("INDIRECT(""'收支紀錄'!A""&amp;TO_TEXT(ROW()-$C$72))"),45590.29345090278)</f>
        <v>45590.29345</v>
      </c>
      <c r="B353" s="59">
        <f>IFERROR(__xludf.DUMMYFUNCTION("IF(ISBLANK(D353), """", IF(ISDATE(D353), D353, IF(D353=""今天"", A353, IF(D353=""昨天 (-1 day)"", A353-1, IF(D353=""前天 (-2 days)"", A353-2, IF(D353=""明天 (+1 day)"", A353+1, DATE(LEFT(D353,4), MID(D353,5,2), RIGHT(D353,2))))))))"),45589.29345090278)</f>
        <v>45589.29345</v>
      </c>
      <c r="C353" s="60">
        <f>IFERROR(__xludf.DUMMYFUNCTION("INDIRECT(""'收支紀錄'!C""&amp;TO_TEXT(ROW()-$C$72))"),11.0)</f>
        <v>11</v>
      </c>
      <c r="D353" s="63" t="str">
        <f>IFERROR(__xludf.DUMMYFUNCTION("INDIRECT(""'收支紀錄'!D""&amp;TO_TEXT(ROW()-$C$72))"),"昨天 (-1 day)")</f>
        <v>昨天 (-1 day)</v>
      </c>
      <c r="E353" s="61" t="str">
        <f>IFERROR(__xludf.DUMMYFUNCTION("INDIRECT(""'收支紀錄'!E""&amp;TO_TEXT(ROW()-$C$72))"),"")</f>
        <v/>
      </c>
      <c r="F353" s="61" t="str">
        <f>IFERROR(__xludf.DUMMYFUNCTION("INDIRECT(""'收支紀錄'!F""&amp;TO_TEXT(ROW()-$C$72))"),"")</f>
        <v/>
      </c>
      <c r="G353" s="61" t="str">
        <f>IFERROR(__xludf.DUMMYFUNCTION("INDIRECT(""'收支紀錄'!G""&amp;TO_TEXT(ROW()-$C$72))"),"")</f>
        <v/>
      </c>
      <c r="H353" s="61" t="str">
        <f>IFERROR(__xludf.DUMMYFUNCTION("INDIRECT(""'收支紀錄'!H""&amp;TO_TEXT(ROW()-$C$72))"),"行車交通")</f>
        <v>行車交通</v>
      </c>
      <c r="I353" s="61" t="str">
        <f>IFERROR(__xludf.DUMMYFUNCTION("INDIRECT(""'收支紀錄'!I""&amp;TO_TEXT(ROW()-$C$72))"),"")</f>
        <v/>
      </c>
      <c r="J353" s="61" t="str">
        <f>IFERROR(__xludf.DUMMYFUNCTION("INDIRECT(""'收支紀錄'!J""&amp;TO_TEXT(ROW()-$C$72))"),"")</f>
        <v/>
      </c>
      <c r="K353" s="61" t="str">
        <f>IFERROR(__xludf.DUMMYFUNCTION("INDIRECT(""'收支紀錄'!K""&amp;TO_TEXT(ROW()-$C$72))"),"")</f>
        <v/>
      </c>
      <c r="L353" s="61" t="str">
        <f>IFERROR(__xludf.DUMMYFUNCTION("INDIRECT(""'收支紀錄'!L""&amp;TO_TEXT(ROW()-$C$72))"),"租車")</f>
        <v>租車</v>
      </c>
      <c r="M353" s="61" t="str">
        <f>IFERROR(__xludf.DUMMYFUNCTION("INDIRECT(""'收支紀錄'!M""&amp;TO_TEXT(ROW()-$C$72))"),"")</f>
        <v/>
      </c>
      <c r="N353" s="61" t="str">
        <f>IFERROR(__xludf.DUMMYFUNCTION("INDIRECT(""'收支紀錄'!N""&amp;TO_TEXT(ROW()-$C$72))"),"")</f>
        <v/>
      </c>
      <c r="O353" s="61" t="str">
        <f>IFERROR(__xludf.DUMMYFUNCTION("INDIRECT(""'收支紀錄'!O""&amp;TO_TEXT(ROW()-$C$72))"),"")</f>
        <v/>
      </c>
      <c r="P353" s="61" t="str">
        <f>IFERROR(__xludf.DUMMYFUNCTION("INDIRECT(""'收支紀錄'!P""&amp;TO_TEXT(ROW()-$C$72))"),"")</f>
        <v/>
      </c>
      <c r="Q353" s="61" t="str">
        <f>IFERROR(__xludf.DUMMYFUNCTION("INDIRECT(""'收支紀錄'!Q""&amp;TO_TEXT(ROW()-$C$72))"),"")</f>
        <v/>
      </c>
      <c r="R353" s="61" t="str">
        <f>IFERROR(__xludf.DUMMYFUNCTION("INDIRECT(""'收支紀錄'!R""&amp;TO_TEXT(ROW()-$C$72))"),"")</f>
        <v/>
      </c>
      <c r="S353" s="61" t="str">
        <f>IFERROR(__xludf.DUMMYFUNCTION("INDIRECT(""'收支紀錄'!S""&amp;TO_TEXT(ROW()-$C$72))"),"")</f>
        <v/>
      </c>
      <c r="T353" s="61" t="str">
        <f>IFERROR(__xludf.DUMMYFUNCTION("INDIRECT(""'收支紀錄'!T""&amp;TO_TEXT(ROW()-$C$72))"),"")</f>
        <v/>
      </c>
      <c r="U353" s="62" t="str">
        <f>IFERROR(__xludf.DUMMYFUNCTION("IF(T353=""是"",TEXTJOIN("""", TRUE, ""$"", TO_TEXT(C353), S353),"""")"),"")</f>
        <v/>
      </c>
    </row>
    <row r="354">
      <c r="A354" s="58">
        <f>IFERROR(__xludf.DUMMYFUNCTION("INDIRECT(""'收支紀錄'!A""&amp;TO_TEXT(ROW()-$C$72))"),45590.29382510416)</f>
        <v>45590.29383</v>
      </c>
      <c r="B354" s="59">
        <f>IFERROR(__xludf.DUMMYFUNCTION("IF(ISBLANK(D354), """", IF(ISDATE(D354), D354, IF(D354=""今天"", A354, IF(D354=""昨天 (-1 day)"", A354-1, IF(D354=""前天 (-2 days)"", A354-2, IF(D354=""明天 (+1 day)"", A354+1, DATE(LEFT(D354,4), MID(D354,5,2), RIGHT(D354,2))))))))"),45589.29382510416)</f>
        <v>45589.29383</v>
      </c>
      <c r="C354" s="60">
        <f>IFERROR(__xludf.DUMMYFUNCTION("INDIRECT(""'收支紀錄'!C""&amp;TO_TEXT(ROW()-$C$72))"),650.0)</f>
        <v>650</v>
      </c>
      <c r="D354" s="63" t="str">
        <f>IFERROR(__xludf.DUMMYFUNCTION("INDIRECT(""'收支紀錄'!D""&amp;TO_TEXT(ROW()-$C$72))"),"昨天 (-1 day)")</f>
        <v>昨天 (-1 day)</v>
      </c>
      <c r="E354" s="61" t="str">
        <f>IFERROR(__xludf.DUMMYFUNCTION("INDIRECT(""'收支紀錄'!E""&amp;TO_TEXT(ROW()-$C$72))"),"")</f>
        <v/>
      </c>
      <c r="F354" s="61" t="str">
        <f>IFERROR(__xludf.DUMMYFUNCTION("INDIRECT(""'收支紀錄'!F""&amp;TO_TEXT(ROW()-$C$72))"),"")</f>
        <v/>
      </c>
      <c r="G354" s="61" t="str">
        <f>IFERROR(__xludf.DUMMYFUNCTION("INDIRECT(""'收支紀錄'!G""&amp;TO_TEXT(ROW()-$C$72))"),"")</f>
        <v/>
      </c>
      <c r="H354" s="61" t="str">
        <f>IFERROR(__xludf.DUMMYFUNCTION("INDIRECT(""'收支紀錄'!H""&amp;TO_TEXT(ROW()-$C$72))"),"日常生活")</f>
        <v>日常生活</v>
      </c>
      <c r="I354" s="61" t="str">
        <f>IFERROR(__xludf.DUMMYFUNCTION("INDIRECT(""'收支紀錄'!I""&amp;TO_TEXT(ROW()-$C$72))"),"")</f>
        <v/>
      </c>
      <c r="J354" s="61" t="str">
        <f>IFERROR(__xludf.DUMMYFUNCTION("INDIRECT(""'收支紀錄'!J""&amp;TO_TEXT(ROW()-$C$72))"),"日常用品")</f>
        <v>日常用品</v>
      </c>
      <c r="K354" s="61" t="str">
        <f>IFERROR(__xludf.DUMMYFUNCTION("INDIRECT(""'收支紀錄'!K""&amp;TO_TEXT(ROW()-$C$72))"),"")</f>
        <v/>
      </c>
      <c r="L354" s="61" t="str">
        <f>IFERROR(__xludf.DUMMYFUNCTION("INDIRECT(""'收支紀錄'!L""&amp;TO_TEXT(ROW()-$C$72))"),"")</f>
        <v/>
      </c>
      <c r="M354" s="61" t="str">
        <f>IFERROR(__xludf.DUMMYFUNCTION("INDIRECT(""'收支紀錄'!M""&amp;TO_TEXT(ROW()-$C$72))"),"")</f>
        <v/>
      </c>
      <c r="N354" s="61" t="str">
        <f>IFERROR(__xludf.DUMMYFUNCTION("INDIRECT(""'收支紀錄'!N""&amp;TO_TEXT(ROW()-$C$72))"),"")</f>
        <v/>
      </c>
      <c r="O354" s="61" t="str">
        <f>IFERROR(__xludf.DUMMYFUNCTION("INDIRECT(""'收支紀錄'!O""&amp;TO_TEXT(ROW()-$C$72))"),"")</f>
        <v/>
      </c>
      <c r="P354" s="61" t="str">
        <f>IFERROR(__xludf.DUMMYFUNCTION("INDIRECT(""'收支紀錄'!P""&amp;TO_TEXT(ROW()-$C$72))"),"")</f>
        <v/>
      </c>
      <c r="Q354" s="61" t="str">
        <f>IFERROR(__xludf.DUMMYFUNCTION("INDIRECT(""'收支紀錄'!Q""&amp;TO_TEXT(ROW()-$C$72))"),"")</f>
        <v/>
      </c>
      <c r="R354" s="61" t="str">
        <f>IFERROR(__xludf.DUMMYFUNCTION("INDIRECT(""'收支紀錄'!R""&amp;TO_TEXT(ROW()-$C$72))"),"")</f>
        <v/>
      </c>
      <c r="S354" s="61" t="str">
        <f>IFERROR(__xludf.DUMMYFUNCTION("INDIRECT(""'收支紀錄'!S""&amp;TO_TEXT(ROW()-$C$72))"),"燦坤：Panasonic 國際牌 日製旋轉式刀頭國際電壓充電式刮鬍刀 -(ES-6510-K)")</f>
        <v>燦坤：Panasonic 國際牌 日製旋轉式刀頭國際電壓充電式刮鬍刀 -(ES-6510-K)</v>
      </c>
      <c r="T354" s="61" t="str">
        <f>IFERROR(__xludf.DUMMYFUNCTION("INDIRECT(""'收支紀錄'!T""&amp;TO_TEXT(ROW()-$C$72))"),"")</f>
        <v/>
      </c>
      <c r="U354" s="62" t="str">
        <f>IFERROR(__xludf.DUMMYFUNCTION("IF(T354=""是"",TEXTJOIN("""", TRUE, ""$"", TO_TEXT(C354), S354),"""")"),"")</f>
        <v/>
      </c>
    </row>
    <row r="355">
      <c r="A355" s="58">
        <f>IFERROR(__xludf.DUMMYFUNCTION("INDIRECT(""'收支紀錄'!A""&amp;TO_TEXT(ROW()-$C$72))"),45590.2942396875)</f>
        <v>45590.29424</v>
      </c>
      <c r="B355" s="59">
        <f>IFERROR(__xludf.DUMMYFUNCTION("IF(ISBLANK(D355), """", IF(ISDATE(D355), D355, IF(D355=""今天"", A355, IF(D355=""昨天 (-1 day)"", A355-1, IF(D355=""前天 (-2 days)"", A355-2, IF(D355=""明天 (+1 day)"", A355+1, DATE(LEFT(D355,4), MID(D355,5,2), RIGHT(D355,2))))))))"),45589.2942396875)</f>
        <v>45589.29424</v>
      </c>
      <c r="C355" s="60">
        <f>IFERROR(__xludf.DUMMYFUNCTION("INDIRECT(""'收支紀錄'!C""&amp;TO_TEXT(ROW()-$C$72))"),13180.0)</f>
        <v>13180</v>
      </c>
      <c r="D355" s="63" t="str">
        <f>IFERROR(__xludf.DUMMYFUNCTION("INDIRECT(""'收支紀錄'!D""&amp;TO_TEXT(ROW()-$C$72))"),"昨天 (-1 day)")</f>
        <v>昨天 (-1 day)</v>
      </c>
      <c r="E355" s="61" t="str">
        <f>IFERROR(__xludf.DUMMYFUNCTION("INDIRECT(""'收支紀錄'!E""&amp;TO_TEXT(ROW()-$C$72))"),"")</f>
        <v/>
      </c>
      <c r="F355" s="61" t="str">
        <f>IFERROR(__xludf.DUMMYFUNCTION("INDIRECT(""'收支紀錄'!F""&amp;TO_TEXT(ROW()-$C$72))"),"")</f>
        <v/>
      </c>
      <c r="G355" s="61" t="str">
        <f>IFERROR(__xludf.DUMMYFUNCTION("INDIRECT(""'收支紀錄'!G""&amp;TO_TEXT(ROW()-$C$72))"),"")</f>
        <v/>
      </c>
      <c r="H355" s="61" t="str">
        <f>IFERROR(__xludf.DUMMYFUNCTION("INDIRECT(""'收支紀錄'!H""&amp;TO_TEXT(ROW()-$C$72))"),"日常生活")</f>
        <v>日常生活</v>
      </c>
      <c r="I355" s="61" t="str">
        <f>IFERROR(__xludf.DUMMYFUNCTION("INDIRECT(""'收支紀錄'!I""&amp;TO_TEXT(ROW()-$C$72))"),"")</f>
        <v/>
      </c>
      <c r="J355" s="61" t="str">
        <f>IFERROR(__xludf.DUMMYFUNCTION("INDIRECT(""'收支紀錄'!J""&amp;TO_TEXT(ROW()-$C$72))"),"日常用品")</f>
        <v>日常用品</v>
      </c>
      <c r="K355" s="61" t="str">
        <f>IFERROR(__xludf.DUMMYFUNCTION("INDIRECT(""'收支紀錄'!K""&amp;TO_TEXT(ROW()-$C$72))"),"")</f>
        <v/>
      </c>
      <c r="L355" s="61" t="str">
        <f>IFERROR(__xludf.DUMMYFUNCTION("INDIRECT(""'收支紀錄'!L""&amp;TO_TEXT(ROW()-$C$72))"),"")</f>
        <v/>
      </c>
      <c r="M355" s="61" t="str">
        <f>IFERROR(__xludf.DUMMYFUNCTION("INDIRECT(""'收支紀錄'!M""&amp;TO_TEXT(ROW()-$C$72))"),"")</f>
        <v/>
      </c>
      <c r="N355" s="61" t="str">
        <f>IFERROR(__xludf.DUMMYFUNCTION("INDIRECT(""'收支紀錄'!N""&amp;TO_TEXT(ROW()-$C$72))"),"")</f>
        <v/>
      </c>
      <c r="O355" s="61" t="str">
        <f>IFERROR(__xludf.DUMMYFUNCTION("INDIRECT(""'收支紀錄'!O""&amp;TO_TEXT(ROW()-$C$72))"),"")</f>
        <v/>
      </c>
      <c r="P355" s="61" t="str">
        <f>IFERROR(__xludf.DUMMYFUNCTION("INDIRECT(""'收支紀錄'!P""&amp;TO_TEXT(ROW()-$C$72))"),"")</f>
        <v/>
      </c>
      <c r="Q355" s="61" t="str">
        <f>IFERROR(__xludf.DUMMYFUNCTION("INDIRECT(""'收支紀錄'!Q""&amp;TO_TEXT(ROW()-$C$72))"),"")</f>
        <v/>
      </c>
      <c r="R355" s="61" t="str">
        <f>IFERROR(__xludf.DUMMYFUNCTION("INDIRECT(""'收支紀錄'!R""&amp;TO_TEXT(ROW()-$C$72))"),"")</f>
        <v/>
      </c>
      <c r="S355" s="61" t="str">
        <f>IFERROR(__xludf.DUMMYFUNCTION("INDIRECT(""'收支紀錄'!S""&amp;TO_TEXT(ROW()-$C$72))"),"燦坤AirPods pro2 $6590*2")</f>
        <v>燦坤AirPods pro2 $6590*2</v>
      </c>
      <c r="T355" s="61" t="str">
        <f>IFERROR(__xludf.DUMMYFUNCTION("INDIRECT(""'收支紀錄'!T""&amp;TO_TEXT(ROW()-$C$72))"),"是")</f>
        <v>是</v>
      </c>
      <c r="U355" s="62" t="str">
        <f>IFERROR(__xludf.DUMMYFUNCTION("IF(T355=""是"",TEXTJOIN("""", TRUE, ""$"", TO_TEXT(C355), S355),"""")"),"$13180燦坤AirPods pro2 $6590*2")</f>
        <v>$13180燦坤AirPods pro2 $6590*2</v>
      </c>
    </row>
    <row r="356">
      <c r="A356" s="58">
        <f>IFERROR(__xludf.DUMMYFUNCTION("INDIRECT(""'收支紀錄'!A""&amp;TO_TEXT(ROW()-$C$72))"),45590.29458540509)</f>
        <v>45590.29459</v>
      </c>
      <c r="B356" s="59">
        <f>IFERROR(__xludf.DUMMYFUNCTION("IF(ISBLANK(D356), """", IF(ISDATE(D356), D356, IF(D356=""今天"", A356, IF(D356=""昨天 (-1 day)"", A356-1, IF(D356=""前天 (-2 days)"", A356-2, IF(D356=""明天 (+1 day)"", A356+1, DATE(LEFT(D356,4), MID(D356,5,2), RIGHT(D356,2))))))))"),45589.29458540509)</f>
        <v>45589.29459</v>
      </c>
      <c r="C356" s="60">
        <f>IFERROR(__xludf.DUMMYFUNCTION("INDIRECT(""'收支紀錄'!C""&amp;TO_TEXT(ROW()-$C$72))"),38910.0)</f>
        <v>38910</v>
      </c>
      <c r="D356" s="63" t="str">
        <f>IFERROR(__xludf.DUMMYFUNCTION("INDIRECT(""'收支紀錄'!D""&amp;TO_TEXT(ROW()-$C$72))"),"昨天 (-1 day)")</f>
        <v>昨天 (-1 day)</v>
      </c>
      <c r="E356" s="61" t="str">
        <f>IFERROR(__xludf.DUMMYFUNCTION("INDIRECT(""'收支紀錄'!E""&amp;TO_TEXT(ROW()-$C$72))"),"")</f>
        <v/>
      </c>
      <c r="F356" s="61" t="str">
        <f>IFERROR(__xludf.DUMMYFUNCTION("INDIRECT(""'收支紀錄'!F""&amp;TO_TEXT(ROW()-$C$72))"),"")</f>
        <v/>
      </c>
      <c r="G356" s="61" t="str">
        <f>IFERROR(__xludf.DUMMYFUNCTION("INDIRECT(""'收支紀錄'!G""&amp;TO_TEXT(ROW()-$C$72))"),"")</f>
        <v/>
      </c>
      <c r="H356" s="61" t="str">
        <f>IFERROR(__xludf.DUMMYFUNCTION("INDIRECT(""'收支紀錄'!H""&amp;TO_TEXT(ROW()-$C$72))"),"日常生活")</f>
        <v>日常生活</v>
      </c>
      <c r="I356" s="61" t="str">
        <f>IFERROR(__xludf.DUMMYFUNCTION("INDIRECT(""'收支紀錄'!I""&amp;TO_TEXT(ROW()-$C$72))"),"")</f>
        <v/>
      </c>
      <c r="J356" s="61" t="str">
        <f>IFERROR(__xludf.DUMMYFUNCTION("INDIRECT(""'收支紀錄'!J""&amp;TO_TEXT(ROW()-$C$72))"),"日常用品")</f>
        <v>日常用品</v>
      </c>
      <c r="K356" s="61" t="str">
        <f>IFERROR(__xludf.DUMMYFUNCTION("INDIRECT(""'收支紀錄'!K""&amp;TO_TEXT(ROW()-$C$72))"),"")</f>
        <v/>
      </c>
      <c r="L356" s="61" t="str">
        <f>IFERROR(__xludf.DUMMYFUNCTION("INDIRECT(""'收支紀錄'!L""&amp;TO_TEXT(ROW()-$C$72))"),"")</f>
        <v/>
      </c>
      <c r="M356" s="61" t="str">
        <f>IFERROR(__xludf.DUMMYFUNCTION("INDIRECT(""'收支紀錄'!M""&amp;TO_TEXT(ROW()-$C$72))"),"")</f>
        <v/>
      </c>
      <c r="N356" s="61" t="str">
        <f>IFERROR(__xludf.DUMMYFUNCTION("INDIRECT(""'收支紀錄'!N""&amp;TO_TEXT(ROW()-$C$72))"),"")</f>
        <v/>
      </c>
      <c r="O356" s="61" t="str">
        <f>IFERROR(__xludf.DUMMYFUNCTION("INDIRECT(""'收支紀錄'!O""&amp;TO_TEXT(ROW()-$C$72))"),"")</f>
        <v/>
      </c>
      <c r="P356" s="61" t="str">
        <f>IFERROR(__xludf.DUMMYFUNCTION("INDIRECT(""'收支紀錄'!P""&amp;TO_TEXT(ROW()-$C$72))"),"")</f>
        <v/>
      </c>
      <c r="Q356" s="61" t="str">
        <f>IFERROR(__xludf.DUMMYFUNCTION("INDIRECT(""'收支紀錄'!Q""&amp;TO_TEXT(ROW()-$C$72))"),"")</f>
        <v/>
      </c>
      <c r="R356" s="61" t="str">
        <f>IFERROR(__xludf.DUMMYFUNCTION("INDIRECT(""'收支紀錄'!R""&amp;TO_TEXT(ROW()-$C$72))"),"")</f>
        <v/>
      </c>
      <c r="S356" s="61" t="str">
        <f>IFERROR(__xludf.DUMMYFUNCTION("INDIRECT(""'收支紀錄'!S""&amp;TO_TEXT(ROW()-$C$72))"),"燦坤Panasonic 15公斤熱泵除濕式滾筒衣機&lt;NA-V150RPH-K（夜幕黑）$53910-$15000寶補助")</f>
        <v>燦坤Panasonic 15公斤熱泵除濕式滾筒衣機&lt;NA-V150RPH-K（夜幕黑）$53910-$15000寶補助</v>
      </c>
      <c r="T356" s="61" t="str">
        <f>IFERROR(__xludf.DUMMYFUNCTION("INDIRECT(""'收支紀錄'!T""&amp;TO_TEXT(ROW()-$C$72))"),"是")</f>
        <v>是</v>
      </c>
      <c r="U356" s="62" t="str">
        <f>IFERROR(__xludf.DUMMYFUNCTION("IF(T356=""是"",TEXTJOIN("""", TRUE, ""$"", TO_TEXT(C356), S356),"""")"),"$38910燦坤Panasonic 15公斤熱泵除濕式滾筒衣機&lt;NA-V150RPH-K（夜幕黑）$53910-$15000寶補助")</f>
        <v>$38910燦坤Panasonic 15公斤熱泵除濕式滾筒衣機&lt;NA-V150RPH-K（夜幕黑）$53910-$15000寶補助</v>
      </c>
    </row>
    <row r="357">
      <c r="A357" s="58">
        <f>IFERROR(__xludf.DUMMYFUNCTION("INDIRECT(""'收支紀錄'!A""&amp;TO_TEXT(ROW()-$C$72))"),45590.29501605324)</f>
        <v>45590.29502</v>
      </c>
      <c r="B357" s="59">
        <f>IFERROR(__xludf.DUMMYFUNCTION("IF(ISBLANK(D357), """", IF(ISDATE(D357), D357, IF(D357=""今天"", A357, IF(D357=""昨天 (-1 day)"", A357-1, IF(D357=""前天 (-2 days)"", A357-2, IF(D357=""明天 (+1 day)"", A357+1, DATE(LEFT(D357,4), MID(D357,5,2), RIGHT(D357,2))))))))"),45590.29501605324)</f>
        <v>45590.29502</v>
      </c>
      <c r="C357" s="60">
        <f>IFERROR(__xludf.DUMMYFUNCTION("INDIRECT(""'收支紀錄'!C""&amp;TO_TEXT(ROW()-$C$72))"),91.0)</f>
        <v>91</v>
      </c>
      <c r="D357" s="63" t="str">
        <f>IFERROR(__xludf.DUMMYFUNCTION("INDIRECT(""'收支紀錄'!D""&amp;TO_TEXT(ROW()-$C$72))"),"今天")</f>
        <v>今天</v>
      </c>
      <c r="E357" s="61" t="str">
        <f>IFERROR(__xludf.DUMMYFUNCTION("INDIRECT(""'收支紀錄'!E""&amp;TO_TEXT(ROW()-$C$72))"),"")</f>
        <v/>
      </c>
      <c r="F357" s="61" t="str">
        <f>IFERROR(__xludf.DUMMYFUNCTION("INDIRECT(""'收支紀錄'!F""&amp;TO_TEXT(ROW()-$C$72))"),"")</f>
        <v/>
      </c>
      <c r="G357" s="61" t="str">
        <f>IFERROR(__xludf.DUMMYFUNCTION("INDIRECT(""'收支紀錄'!G""&amp;TO_TEXT(ROW()-$C$72))"),"")</f>
        <v/>
      </c>
      <c r="H357" s="61" t="str">
        <f>IFERROR(__xludf.DUMMYFUNCTION("INDIRECT(""'收支紀錄'!H""&amp;TO_TEXT(ROW()-$C$72))"),"行車交通")</f>
        <v>行車交通</v>
      </c>
      <c r="I357" s="61" t="str">
        <f>IFERROR(__xludf.DUMMYFUNCTION("INDIRECT(""'收支紀錄'!I""&amp;TO_TEXT(ROW()-$C$72))"),"")</f>
        <v/>
      </c>
      <c r="J357" s="61" t="str">
        <f>IFERROR(__xludf.DUMMYFUNCTION("INDIRECT(""'收支紀錄'!J""&amp;TO_TEXT(ROW()-$C$72))"),"")</f>
        <v/>
      </c>
      <c r="K357" s="61" t="str">
        <f>IFERROR(__xludf.DUMMYFUNCTION("INDIRECT(""'收支紀錄'!K""&amp;TO_TEXT(ROW()-$C$72))"),"")</f>
        <v/>
      </c>
      <c r="L357" s="61" t="str">
        <f>IFERROR(__xludf.DUMMYFUNCTION("INDIRECT(""'收支紀錄'!L""&amp;TO_TEXT(ROW()-$C$72))"),"火車費")</f>
        <v>火車費</v>
      </c>
      <c r="M357" s="61" t="str">
        <f>IFERROR(__xludf.DUMMYFUNCTION("INDIRECT(""'收支紀錄'!M""&amp;TO_TEXT(ROW()-$C$72))"),"")</f>
        <v/>
      </c>
      <c r="N357" s="61" t="str">
        <f>IFERROR(__xludf.DUMMYFUNCTION("INDIRECT(""'收支紀錄'!N""&amp;TO_TEXT(ROW()-$C$72))"),"")</f>
        <v/>
      </c>
      <c r="O357" s="61" t="str">
        <f>IFERROR(__xludf.DUMMYFUNCTION("INDIRECT(""'收支紀錄'!O""&amp;TO_TEXT(ROW()-$C$72))"),"")</f>
        <v/>
      </c>
      <c r="P357" s="61" t="str">
        <f>IFERROR(__xludf.DUMMYFUNCTION("INDIRECT(""'收支紀錄'!P""&amp;TO_TEXT(ROW()-$C$72))"),"")</f>
        <v/>
      </c>
      <c r="Q357" s="61" t="str">
        <f>IFERROR(__xludf.DUMMYFUNCTION("INDIRECT(""'收支紀錄'!Q""&amp;TO_TEXT(ROW()-$C$72))"),"")</f>
        <v/>
      </c>
      <c r="R357" s="61" t="str">
        <f>IFERROR(__xludf.DUMMYFUNCTION("INDIRECT(""'收支紀錄'!R""&amp;TO_TEXT(ROW()-$C$72))"),"")</f>
        <v/>
      </c>
      <c r="S357" s="61" t="str">
        <f>IFERROR(__xludf.DUMMYFUNCTION("INDIRECT(""'收支紀錄'!S""&amp;TO_TEXT(ROW()-$C$72))"),"")</f>
        <v/>
      </c>
      <c r="T357" s="61" t="str">
        <f>IFERROR(__xludf.DUMMYFUNCTION("INDIRECT(""'收支紀錄'!T""&amp;TO_TEXT(ROW()-$C$72))"),"")</f>
        <v/>
      </c>
      <c r="U357" s="62" t="str">
        <f>IFERROR(__xludf.DUMMYFUNCTION("IF(T357=""是"",TEXTJOIN("""", TRUE, ""$"", TO_TEXT(C357), S357),"""")"),"")</f>
        <v/>
      </c>
    </row>
    <row r="358">
      <c r="A358" s="58">
        <f>IFERROR(__xludf.DUMMYFUNCTION("INDIRECT(""'收支紀錄'!A""&amp;TO_TEXT(ROW()-$C$72))"),45590.84033943287)</f>
        <v>45590.84034</v>
      </c>
      <c r="B358" s="59">
        <f>IFERROR(__xludf.DUMMYFUNCTION("IF(ISBLANK(D358), """", IF(ISDATE(D358), D358, IF(D358=""今天"", A358, IF(D358=""昨天 (-1 day)"", A358-1, IF(D358=""前天 (-2 days)"", A358-2, IF(D358=""明天 (+1 day)"", A358+1, DATE(LEFT(D358,4), MID(D358,5,2), RIGHT(D358,2))))))))"),45590.84033943287)</f>
        <v>45590.84034</v>
      </c>
      <c r="C358" s="60">
        <f>IFERROR(__xludf.DUMMYFUNCTION("INDIRECT(""'收支紀錄'!C""&amp;TO_TEXT(ROW()-$C$72))"),78.0)</f>
        <v>78</v>
      </c>
      <c r="D358" s="63" t="str">
        <f>IFERROR(__xludf.DUMMYFUNCTION("INDIRECT(""'收支紀錄'!D""&amp;TO_TEXT(ROW()-$C$72))"),"今天")</f>
        <v>今天</v>
      </c>
      <c r="E358" s="61" t="str">
        <f>IFERROR(__xludf.DUMMYFUNCTION("INDIRECT(""'收支紀錄'!E""&amp;TO_TEXT(ROW()-$C$72))"),"")</f>
        <v/>
      </c>
      <c r="F358" s="61" t="str">
        <f>IFERROR(__xludf.DUMMYFUNCTION("INDIRECT(""'收支紀錄'!F""&amp;TO_TEXT(ROW()-$C$72))"),"")</f>
        <v/>
      </c>
      <c r="G358" s="61" t="str">
        <f>IFERROR(__xludf.DUMMYFUNCTION("INDIRECT(""'收支紀錄'!G""&amp;TO_TEXT(ROW()-$C$72))"),"")</f>
        <v/>
      </c>
      <c r="H358" s="61" t="str">
        <f>IFERROR(__xludf.DUMMYFUNCTION("INDIRECT(""'收支紀錄'!H""&amp;TO_TEXT(ROW()-$C$72))"),"行車交通")</f>
        <v>行車交通</v>
      </c>
      <c r="I358" s="61" t="str">
        <f>IFERROR(__xludf.DUMMYFUNCTION("INDIRECT(""'收支紀錄'!I""&amp;TO_TEXT(ROW()-$C$72))"),"")</f>
        <v/>
      </c>
      <c r="J358" s="61" t="str">
        <f>IFERROR(__xludf.DUMMYFUNCTION("INDIRECT(""'收支紀錄'!J""&amp;TO_TEXT(ROW()-$C$72))"),"")</f>
        <v/>
      </c>
      <c r="K358" s="61" t="str">
        <f>IFERROR(__xludf.DUMMYFUNCTION("INDIRECT(""'收支紀錄'!K""&amp;TO_TEXT(ROW()-$C$72))"),"")</f>
        <v/>
      </c>
      <c r="L358" s="61" t="str">
        <f>IFERROR(__xludf.DUMMYFUNCTION("INDIRECT(""'收支紀錄'!L""&amp;TO_TEXT(ROW()-$C$72))"),"火車費")</f>
        <v>火車費</v>
      </c>
      <c r="M358" s="61" t="str">
        <f>IFERROR(__xludf.DUMMYFUNCTION("INDIRECT(""'收支紀錄'!M""&amp;TO_TEXT(ROW()-$C$72))"),"")</f>
        <v/>
      </c>
      <c r="N358" s="61" t="str">
        <f>IFERROR(__xludf.DUMMYFUNCTION("INDIRECT(""'收支紀錄'!N""&amp;TO_TEXT(ROW()-$C$72))"),"")</f>
        <v/>
      </c>
      <c r="O358" s="61" t="str">
        <f>IFERROR(__xludf.DUMMYFUNCTION("INDIRECT(""'收支紀錄'!O""&amp;TO_TEXT(ROW()-$C$72))"),"")</f>
        <v/>
      </c>
      <c r="P358" s="61" t="str">
        <f>IFERROR(__xludf.DUMMYFUNCTION("INDIRECT(""'收支紀錄'!P""&amp;TO_TEXT(ROW()-$C$72))"),"")</f>
        <v/>
      </c>
      <c r="Q358" s="61" t="str">
        <f>IFERROR(__xludf.DUMMYFUNCTION("INDIRECT(""'收支紀錄'!Q""&amp;TO_TEXT(ROW()-$C$72))"),"")</f>
        <v/>
      </c>
      <c r="R358" s="61" t="str">
        <f>IFERROR(__xludf.DUMMYFUNCTION("INDIRECT(""'收支紀錄'!R""&amp;TO_TEXT(ROW()-$C$72))"),"")</f>
        <v/>
      </c>
      <c r="S358" s="61" t="str">
        <f>IFERROR(__xludf.DUMMYFUNCTION("INDIRECT(""'收支紀錄'!S""&amp;TO_TEXT(ROW()-$C$72))"),"")</f>
        <v/>
      </c>
      <c r="T358" s="61" t="str">
        <f>IFERROR(__xludf.DUMMYFUNCTION("INDIRECT(""'收支紀錄'!T""&amp;TO_TEXT(ROW()-$C$72))"),"")</f>
        <v/>
      </c>
      <c r="U358" s="62" t="str">
        <f>IFERROR(__xludf.DUMMYFUNCTION("IF(T358=""是"",TEXTJOIN("""", TRUE, ""$"", TO_TEXT(C358), S358),"""")"),"")</f>
        <v/>
      </c>
    </row>
    <row r="359">
      <c r="A359" s="58">
        <f>IFERROR(__xludf.DUMMYFUNCTION("INDIRECT(""'收支紀錄'!A""&amp;TO_TEXT(ROW()-$C$72))"),45590.840507870365)</f>
        <v>45590.84051</v>
      </c>
      <c r="B359" s="59">
        <f>IFERROR(__xludf.DUMMYFUNCTION("IF(ISBLANK(D359), """", IF(ISDATE(D359), D359, IF(D359=""今天"", A359, IF(D359=""昨天 (-1 day)"", A359-1, IF(D359=""前天 (-2 days)"", A359-2, IF(D359=""明天 (+1 day)"", A359+1, DATE(LEFT(D359,4), MID(D359,5,2), RIGHT(D359,2))))))))"),45590.840507870365)</f>
        <v>45590.84051</v>
      </c>
      <c r="C359" s="60">
        <f>IFERROR(__xludf.DUMMYFUNCTION("INDIRECT(""'收支紀錄'!C""&amp;TO_TEXT(ROW()-$C$72))"),10.0)</f>
        <v>10</v>
      </c>
      <c r="D359" s="63" t="str">
        <f>IFERROR(__xludf.DUMMYFUNCTION("INDIRECT(""'收支紀錄'!D""&amp;TO_TEXT(ROW()-$C$72))"),"今天")</f>
        <v>今天</v>
      </c>
      <c r="E359" s="61" t="str">
        <f>IFERROR(__xludf.DUMMYFUNCTION("INDIRECT(""'收支紀錄'!E""&amp;TO_TEXT(ROW()-$C$72))"),"")</f>
        <v/>
      </c>
      <c r="F359" s="61" t="str">
        <f>IFERROR(__xludf.DUMMYFUNCTION("INDIRECT(""'收支紀錄'!F""&amp;TO_TEXT(ROW()-$C$72))"),"")</f>
        <v/>
      </c>
      <c r="G359" s="61" t="str">
        <f>IFERROR(__xludf.DUMMYFUNCTION("INDIRECT(""'收支紀錄'!G""&amp;TO_TEXT(ROW()-$C$72))"),"")</f>
        <v/>
      </c>
      <c r="H359" s="61" t="str">
        <f>IFERROR(__xludf.DUMMYFUNCTION("INDIRECT(""'收支紀錄'!H""&amp;TO_TEXT(ROW()-$C$72))"),"行車交通")</f>
        <v>行車交通</v>
      </c>
      <c r="I359" s="61" t="str">
        <f>IFERROR(__xludf.DUMMYFUNCTION("INDIRECT(""'收支紀錄'!I""&amp;TO_TEXT(ROW()-$C$72))"),"")</f>
        <v/>
      </c>
      <c r="J359" s="61" t="str">
        <f>IFERROR(__xludf.DUMMYFUNCTION("INDIRECT(""'收支紀錄'!J""&amp;TO_TEXT(ROW()-$C$72))"),"")</f>
        <v/>
      </c>
      <c r="K359" s="61" t="str">
        <f>IFERROR(__xludf.DUMMYFUNCTION("INDIRECT(""'收支紀錄'!K""&amp;TO_TEXT(ROW()-$C$72))"),"")</f>
        <v/>
      </c>
      <c r="L359" s="61" t="str">
        <f>IFERROR(__xludf.DUMMYFUNCTION("INDIRECT(""'收支紀錄'!L""&amp;TO_TEXT(ROW()-$C$72))"),"Ubike")</f>
        <v>Ubike</v>
      </c>
      <c r="M359" s="61" t="str">
        <f>IFERROR(__xludf.DUMMYFUNCTION("INDIRECT(""'收支紀錄'!M""&amp;TO_TEXT(ROW()-$C$72))"),"")</f>
        <v/>
      </c>
      <c r="N359" s="61" t="str">
        <f>IFERROR(__xludf.DUMMYFUNCTION("INDIRECT(""'收支紀錄'!N""&amp;TO_TEXT(ROW()-$C$72))"),"")</f>
        <v/>
      </c>
      <c r="O359" s="61" t="str">
        <f>IFERROR(__xludf.DUMMYFUNCTION("INDIRECT(""'收支紀錄'!O""&amp;TO_TEXT(ROW()-$C$72))"),"")</f>
        <v/>
      </c>
      <c r="P359" s="61" t="str">
        <f>IFERROR(__xludf.DUMMYFUNCTION("INDIRECT(""'收支紀錄'!P""&amp;TO_TEXT(ROW()-$C$72))"),"")</f>
        <v/>
      </c>
      <c r="Q359" s="61" t="str">
        <f>IFERROR(__xludf.DUMMYFUNCTION("INDIRECT(""'收支紀錄'!Q""&amp;TO_TEXT(ROW()-$C$72))"),"")</f>
        <v/>
      </c>
      <c r="R359" s="61" t="str">
        <f>IFERROR(__xludf.DUMMYFUNCTION("INDIRECT(""'收支紀錄'!R""&amp;TO_TEXT(ROW()-$C$72))"),"")</f>
        <v/>
      </c>
      <c r="S359" s="61" t="str">
        <f>IFERROR(__xludf.DUMMYFUNCTION("INDIRECT(""'收支紀錄'!S""&amp;TO_TEXT(ROW()-$C$72))"),"")</f>
        <v/>
      </c>
      <c r="T359" s="61" t="str">
        <f>IFERROR(__xludf.DUMMYFUNCTION("INDIRECT(""'收支紀錄'!T""&amp;TO_TEXT(ROW()-$C$72))"),"")</f>
        <v/>
      </c>
      <c r="U359" s="62" t="str">
        <f>IFERROR(__xludf.DUMMYFUNCTION("IF(T359=""是"",TEXTJOIN("""", TRUE, ""$"", TO_TEXT(C359), S359),"""")"),"")</f>
        <v/>
      </c>
    </row>
    <row r="360">
      <c r="A360" s="58">
        <f>IFERROR(__xludf.DUMMYFUNCTION("INDIRECT(""'收支紀錄'!A""&amp;TO_TEXT(ROW()-$C$72))"),45590.84065302083)</f>
        <v>45590.84065</v>
      </c>
      <c r="B360" s="59">
        <f>IFERROR(__xludf.DUMMYFUNCTION("IF(ISBLANK(D360), """", IF(ISDATE(D360), D360, IF(D360=""今天"", A360, IF(D360=""昨天 (-1 day)"", A360-1, IF(D360=""前天 (-2 days)"", A360-2, IF(D360=""明天 (+1 day)"", A360+1, DATE(LEFT(D360,4), MID(D360,5,2), RIGHT(D360,2))))))))"),45590.84065302083)</f>
        <v>45590.84065</v>
      </c>
      <c r="C360" s="60">
        <f>IFERROR(__xludf.DUMMYFUNCTION("INDIRECT(""'收支紀錄'!C""&amp;TO_TEXT(ROW()-$C$72))"),110.0)</f>
        <v>110</v>
      </c>
      <c r="D360" s="63" t="str">
        <f>IFERROR(__xludf.DUMMYFUNCTION("INDIRECT(""'收支紀錄'!D""&amp;TO_TEXT(ROW()-$C$72))"),"今天")</f>
        <v>今天</v>
      </c>
      <c r="E360" s="61" t="str">
        <f>IFERROR(__xludf.DUMMYFUNCTION("INDIRECT(""'收支紀錄'!E""&amp;TO_TEXT(ROW()-$C$72))"),"")</f>
        <v/>
      </c>
      <c r="F360" s="61" t="str">
        <f>IFERROR(__xludf.DUMMYFUNCTION("INDIRECT(""'收支紀錄'!F""&amp;TO_TEXT(ROW()-$C$72))"),"")</f>
        <v/>
      </c>
      <c r="G360" s="61" t="str">
        <f>IFERROR(__xludf.DUMMYFUNCTION("INDIRECT(""'收支紀錄'!G""&amp;TO_TEXT(ROW()-$C$72))"),"")</f>
        <v/>
      </c>
      <c r="H360" s="61" t="str">
        <f>IFERROR(__xludf.DUMMYFUNCTION("INDIRECT(""'收支紀錄'!H""&amp;TO_TEXT(ROW()-$C$72))"),"食品酒水")</f>
        <v>食品酒水</v>
      </c>
      <c r="I360" s="61" t="str">
        <f>IFERROR(__xludf.DUMMYFUNCTION("INDIRECT(""'收支紀錄'!I""&amp;TO_TEXT(ROW()-$C$72))"),"晚餐")</f>
        <v>晚餐</v>
      </c>
      <c r="J360" s="61" t="str">
        <f>IFERROR(__xludf.DUMMYFUNCTION("INDIRECT(""'收支紀錄'!J""&amp;TO_TEXT(ROW()-$C$72))"),"")</f>
        <v/>
      </c>
      <c r="K360" s="61" t="str">
        <f>IFERROR(__xludf.DUMMYFUNCTION("INDIRECT(""'收支紀錄'!K""&amp;TO_TEXT(ROW()-$C$72))"),"")</f>
        <v/>
      </c>
      <c r="L360" s="61" t="str">
        <f>IFERROR(__xludf.DUMMYFUNCTION("INDIRECT(""'收支紀錄'!L""&amp;TO_TEXT(ROW()-$C$72))"),"")</f>
        <v/>
      </c>
      <c r="M360" s="61" t="str">
        <f>IFERROR(__xludf.DUMMYFUNCTION("INDIRECT(""'收支紀錄'!M""&amp;TO_TEXT(ROW()-$C$72))"),"")</f>
        <v/>
      </c>
      <c r="N360" s="61" t="str">
        <f>IFERROR(__xludf.DUMMYFUNCTION("INDIRECT(""'收支紀錄'!N""&amp;TO_TEXT(ROW()-$C$72))"),"")</f>
        <v/>
      </c>
      <c r="O360" s="61" t="str">
        <f>IFERROR(__xludf.DUMMYFUNCTION("INDIRECT(""'收支紀錄'!O""&amp;TO_TEXT(ROW()-$C$72))"),"")</f>
        <v/>
      </c>
      <c r="P360" s="61" t="str">
        <f>IFERROR(__xludf.DUMMYFUNCTION("INDIRECT(""'收支紀錄'!P""&amp;TO_TEXT(ROW()-$C$72))"),"")</f>
        <v/>
      </c>
      <c r="Q360" s="61" t="str">
        <f>IFERROR(__xludf.DUMMYFUNCTION("INDIRECT(""'收支紀錄'!Q""&amp;TO_TEXT(ROW()-$C$72))"),"")</f>
        <v/>
      </c>
      <c r="R360" s="61" t="str">
        <f>IFERROR(__xludf.DUMMYFUNCTION("INDIRECT(""'收支紀錄'!R""&amp;TO_TEXT(ROW()-$C$72))"),"")</f>
        <v/>
      </c>
      <c r="S360" s="61" t="str">
        <f>IFERROR(__xludf.DUMMYFUNCTION("INDIRECT(""'收支紀錄'!S""&amp;TO_TEXT(ROW()-$C$72))"),"")</f>
        <v/>
      </c>
      <c r="T360" s="61" t="str">
        <f>IFERROR(__xludf.DUMMYFUNCTION("INDIRECT(""'收支紀錄'!T""&amp;TO_TEXT(ROW()-$C$72))"),"")</f>
        <v/>
      </c>
      <c r="U360" s="62" t="str">
        <f>IFERROR(__xludf.DUMMYFUNCTION("IF(T360=""是"",TEXTJOIN("""", TRUE, ""$"", TO_TEXT(C360), S360),"""")"),"")</f>
        <v/>
      </c>
    </row>
    <row r="361">
      <c r="A361" s="58">
        <f>IFERROR(__xludf.DUMMYFUNCTION("INDIRECT(""'收支紀錄'!A""&amp;TO_TEXT(ROW()-$C$72))"),45591.766842349534)</f>
        <v>45591.76684</v>
      </c>
      <c r="B361" s="59">
        <f>IFERROR(__xludf.DUMMYFUNCTION("IF(ISBLANK(D361), """", IF(ISDATE(D361), D361, IF(D361=""今天"", A361, IF(D361=""昨天 (-1 day)"", A361-1, IF(D361=""前天 (-2 days)"", A361-2, IF(D361=""明天 (+1 day)"", A361+1, DATE(LEFT(D361,4), MID(D361,5,2), RIGHT(D361,2))))))))"),45591.766842349534)</f>
        <v>45591.76684</v>
      </c>
      <c r="C361" s="60">
        <f>IFERROR(__xludf.DUMMYFUNCTION("INDIRECT(""'收支紀錄'!C""&amp;TO_TEXT(ROW()-$C$72))"),250.0)</f>
        <v>250</v>
      </c>
      <c r="D361" s="63" t="str">
        <f>IFERROR(__xludf.DUMMYFUNCTION("INDIRECT(""'收支紀錄'!D""&amp;TO_TEXT(ROW()-$C$72))"),"今天")</f>
        <v>今天</v>
      </c>
      <c r="E361" s="61" t="str">
        <f>IFERROR(__xludf.DUMMYFUNCTION("INDIRECT(""'收支紀錄'!E""&amp;TO_TEXT(ROW()-$C$72))"),"")</f>
        <v/>
      </c>
      <c r="F361" s="61" t="str">
        <f>IFERROR(__xludf.DUMMYFUNCTION("INDIRECT(""'收支紀錄'!F""&amp;TO_TEXT(ROW()-$C$72))"),"")</f>
        <v/>
      </c>
      <c r="G361" s="61" t="str">
        <f>IFERROR(__xludf.DUMMYFUNCTION("INDIRECT(""'收支紀錄'!G""&amp;TO_TEXT(ROW()-$C$72))"),"")</f>
        <v/>
      </c>
      <c r="H361" s="61" t="str">
        <f>IFERROR(__xludf.DUMMYFUNCTION("INDIRECT(""'收支紀錄'!H""&amp;TO_TEXT(ROW()-$C$72))"),"醫療費用")</f>
        <v>醫療費用</v>
      </c>
      <c r="I361" s="61" t="str">
        <f>IFERROR(__xludf.DUMMYFUNCTION("INDIRECT(""'收支紀錄'!I""&amp;TO_TEXT(ROW()-$C$72))"),"")</f>
        <v/>
      </c>
      <c r="J361" s="61" t="str">
        <f>IFERROR(__xludf.DUMMYFUNCTION("INDIRECT(""'收支紀錄'!J""&amp;TO_TEXT(ROW()-$C$72))"),"")</f>
        <v/>
      </c>
      <c r="K361" s="61" t="str">
        <f>IFERROR(__xludf.DUMMYFUNCTION("INDIRECT(""'收支紀錄'!K""&amp;TO_TEXT(ROW()-$C$72))"),"")</f>
        <v/>
      </c>
      <c r="L361" s="61" t="str">
        <f>IFERROR(__xludf.DUMMYFUNCTION("INDIRECT(""'收支紀錄'!L""&amp;TO_TEXT(ROW()-$C$72))"),"")</f>
        <v/>
      </c>
      <c r="M361" s="61" t="str">
        <f>IFERROR(__xludf.DUMMYFUNCTION("INDIRECT(""'收支紀錄'!M""&amp;TO_TEXT(ROW()-$C$72))"),"")</f>
        <v/>
      </c>
      <c r="N361" s="61" t="str">
        <f>IFERROR(__xludf.DUMMYFUNCTION("INDIRECT(""'收支紀錄'!N""&amp;TO_TEXT(ROW()-$C$72))"),"")</f>
        <v/>
      </c>
      <c r="O361" s="61" t="str">
        <f>IFERROR(__xludf.DUMMYFUNCTION("INDIRECT(""'收支紀錄'!O""&amp;TO_TEXT(ROW()-$C$72))"),"生病醫療")</f>
        <v>生病醫療</v>
      </c>
      <c r="P361" s="61" t="str">
        <f>IFERROR(__xludf.DUMMYFUNCTION("INDIRECT(""'收支紀錄'!P""&amp;TO_TEXT(ROW()-$C$72))"),"")</f>
        <v/>
      </c>
      <c r="Q361" s="61" t="str">
        <f>IFERROR(__xludf.DUMMYFUNCTION("INDIRECT(""'收支紀錄'!Q""&amp;TO_TEXT(ROW()-$C$72))"),"")</f>
        <v/>
      </c>
      <c r="R361" s="61" t="str">
        <f>IFERROR(__xludf.DUMMYFUNCTION("INDIRECT(""'收支紀錄'!R""&amp;TO_TEXT(ROW()-$C$72))"),"")</f>
        <v/>
      </c>
      <c r="S361" s="61" t="str">
        <f>IFERROR(__xludf.DUMMYFUNCTION("INDIRECT(""'收支紀錄'!S""&amp;TO_TEXT(ROW()-$C$72))"),"")</f>
        <v/>
      </c>
      <c r="T361" s="61" t="str">
        <f>IFERROR(__xludf.DUMMYFUNCTION("INDIRECT(""'收支紀錄'!T""&amp;TO_TEXT(ROW()-$C$72))"),"")</f>
        <v/>
      </c>
      <c r="U361" s="62" t="str">
        <f>IFERROR(__xludf.DUMMYFUNCTION("IF(T361=""是"",TEXTJOIN("""", TRUE, ""$"", TO_TEXT(C361), S361),"""")"),"")</f>
        <v/>
      </c>
    </row>
    <row r="362">
      <c r="A362" s="58">
        <f>IFERROR(__xludf.DUMMYFUNCTION("INDIRECT(""'收支紀錄'!A""&amp;TO_TEXT(ROW()-$C$72))"),45591.766993171295)</f>
        <v>45591.76699</v>
      </c>
      <c r="B362" s="59">
        <f>IFERROR(__xludf.DUMMYFUNCTION("IF(ISBLANK(D362), """", IF(ISDATE(D362), D362, IF(D362=""今天"", A362, IF(D362=""昨天 (-1 day)"", A362-1, IF(D362=""前天 (-2 days)"", A362-2, IF(D362=""明天 (+1 day)"", A362+1, DATE(LEFT(D362,4), MID(D362,5,2), RIGHT(D362,2))))))))"),45591.766993171295)</f>
        <v>45591.76699</v>
      </c>
      <c r="C362" s="60">
        <f>IFERROR(__xludf.DUMMYFUNCTION("INDIRECT(""'收支紀錄'!C""&amp;TO_TEXT(ROW()-$C$72))"),160.0)</f>
        <v>160</v>
      </c>
      <c r="D362" s="63" t="str">
        <f>IFERROR(__xludf.DUMMYFUNCTION("INDIRECT(""'收支紀錄'!D""&amp;TO_TEXT(ROW()-$C$72))"),"今天")</f>
        <v>今天</v>
      </c>
      <c r="E362" s="61" t="str">
        <f>IFERROR(__xludf.DUMMYFUNCTION("INDIRECT(""'收支紀錄'!E""&amp;TO_TEXT(ROW()-$C$72))"),"")</f>
        <v/>
      </c>
      <c r="F362" s="61" t="str">
        <f>IFERROR(__xludf.DUMMYFUNCTION("INDIRECT(""'收支紀錄'!F""&amp;TO_TEXT(ROW()-$C$72))"),"")</f>
        <v/>
      </c>
      <c r="G362" s="61" t="str">
        <f>IFERROR(__xludf.DUMMYFUNCTION("INDIRECT(""'收支紀錄'!G""&amp;TO_TEXT(ROW()-$C$72))"),"")</f>
        <v/>
      </c>
      <c r="H362" s="61" t="str">
        <f>IFERROR(__xludf.DUMMYFUNCTION("INDIRECT(""'收支紀錄'!H""&amp;TO_TEXT(ROW()-$C$72))"),"食品酒水")</f>
        <v>食品酒水</v>
      </c>
      <c r="I362" s="61" t="str">
        <f>IFERROR(__xludf.DUMMYFUNCTION("INDIRECT(""'收支紀錄'!I""&amp;TO_TEXT(ROW()-$C$72))"),"午餐")</f>
        <v>午餐</v>
      </c>
      <c r="J362" s="61" t="str">
        <f>IFERROR(__xludf.DUMMYFUNCTION("INDIRECT(""'收支紀錄'!J""&amp;TO_TEXT(ROW()-$C$72))"),"")</f>
        <v/>
      </c>
      <c r="K362" s="61" t="str">
        <f>IFERROR(__xludf.DUMMYFUNCTION("INDIRECT(""'收支紀錄'!K""&amp;TO_TEXT(ROW()-$C$72))"),"")</f>
        <v/>
      </c>
      <c r="L362" s="61" t="str">
        <f>IFERROR(__xludf.DUMMYFUNCTION("INDIRECT(""'收支紀錄'!L""&amp;TO_TEXT(ROW()-$C$72))"),"")</f>
        <v/>
      </c>
      <c r="M362" s="61" t="str">
        <f>IFERROR(__xludf.DUMMYFUNCTION("INDIRECT(""'收支紀錄'!M""&amp;TO_TEXT(ROW()-$C$72))"),"")</f>
        <v/>
      </c>
      <c r="N362" s="61" t="str">
        <f>IFERROR(__xludf.DUMMYFUNCTION("INDIRECT(""'收支紀錄'!N""&amp;TO_TEXT(ROW()-$C$72))"),"")</f>
        <v/>
      </c>
      <c r="O362" s="61" t="str">
        <f>IFERROR(__xludf.DUMMYFUNCTION("INDIRECT(""'收支紀錄'!O""&amp;TO_TEXT(ROW()-$C$72))"),"")</f>
        <v/>
      </c>
      <c r="P362" s="61" t="str">
        <f>IFERROR(__xludf.DUMMYFUNCTION("INDIRECT(""'收支紀錄'!P""&amp;TO_TEXT(ROW()-$C$72))"),"")</f>
        <v/>
      </c>
      <c r="Q362" s="61" t="str">
        <f>IFERROR(__xludf.DUMMYFUNCTION("INDIRECT(""'收支紀錄'!Q""&amp;TO_TEXT(ROW()-$C$72))"),"")</f>
        <v/>
      </c>
      <c r="R362" s="61" t="str">
        <f>IFERROR(__xludf.DUMMYFUNCTION("INDIRECT(""'收支紀錄'!R""&amp;TO_TEXT(ROW()-$C$72))"),"")</f>
        <v/>
      </c>
      <c r="S362" s="61" t="str">
        <f>IFERROR(__xludf.DUMMYFUNCTION("INDIRECT(""'收支紀錄'!S""&amp;TO_TEXT(ROW()-$C$72))"),"")</f>
        <v/>
      </c>
      <c r="T362" s="61" t="str">
        <f>IFERROR(__xludf.DUMMYFUNCTION("INDIRECT(""'收支紀錄'!T""&amp;TO_TEXT(ROW()-$C$72))"),"")</f>
        <v/>
      </c>
      <c r="U362" s="62" t="str">
        <f>IFERROR(__xludf.DUMMYFUNCTION("IF(T362=""是"",TEXTJOIN("""", TRUE, ""$"", TO_TEXT(C362), S362),"""")"),"")</f>
        <v/>
      </c>
    </row>
    <row r="363">
      <c r="A363" s="58">
        <f>IFERROR(__xludf.DUMMYFUNCTION("INDIRECT(""'收支紀錄'!A""&amp;TO_TEXT(ROW()-$C$72))"),45591.767166412035)</f>
        <v>45591.76717</v>
      </c>
      <c r="B363" s="59">
        <f>IFERROR(__xludf.DUMMYFUNCTION("IF(ISBLANK(D363), """", IF(ISDATE(D363), D363, IF(D363=""今天"", A363, IF(D363=""昨天 (-1 day)"", A363-1, IF(D363=""前天 (-2 days)"", A363-2, IF(D363=""明天 (+1 day)"", A363+1, DATE(LEFT(D363,4), MID(D363,5,2), RIGHT(D363,2))))))))"),45591.767166412035)</f>
        <v>45591.76717</v>
      </c>
      <c r="C363" s="60">
        <f>IFERROR(__xludf.DUMMYFUNCTION("INDIRECT(""'收支紀錄'!C""&amp;TO_TEXT(ROW()-$C$72))"),20.0)</f>
        <v>20</v>
      </c>
      <c r="D363" s="63" t="str">
        <f>IFERROR(__xludf.DUMMYFUNCTION("INDIRECT(""'收支紀錄'!D""&amp;TO_TEXT(ROW()-$C$72))"),"今天")</f>
        <v>今天</v>
      </c>
      <c r="E363" s="61" t="str">
        <f>IFERROR(__xludf.DUMMYFUNCTION("INDIRECT(""'收支紀錄'!E""&amp;TO_TEXT(ROW()-$C$72))"),"")</f>
        <v/>
      </c>
      <c r="F363" s="61" t="str">
        <f>IFERROR(__xludf.DUMMYFUNCTION("INDIRECT(""'收支紀錄'!F""&amp;TO_TEXT(ROW()-$C$72))"),"")</f>
        <v/>
      </c>
      <c r="G363" s="61" t="str">
        <f>IFERROR(__xludf.DUMMYFUNCTION("INDIRECT(""'收支紀錄'!G""&amp;TO_TEXT(ROW()-$C$72))"),"")</f>
        <v/>
      </c>
      <c r="H363" s="61" t="str">
        <f>IFERROR(__xludf.DUMMYFUNCTION("INDIRECT(""'收支紀錄'!H""&amp;TO_TEXT(ROW()-$C$72))"),"行車交通")</f>
        <v>行車交通</v>
      </c>
      <c r="I363" s="61" t="str">
        <f>IFERROR(__xludf.DUMMYFUNCTION("INDIRECT(""'收支紀錄'!I""&amp;TO_TEXT(ROW()-$C$72))"),"")</f>
        <v/>
      </c>
      <c r="J363" s="61" t="str">
        <f>IFERROR(__xludf.DUMMYFUNCTION("INDIRECT(""'收支紀錄'!J""&amp;TO_TEXT(ROW()-$C$72))"),"")</f>
        <v/>
      </c>
      <c r="K363" s="61" t="str">
        <f>IFERROR(__xludf.DUMMYFUNCTION("INDIRECT(""'收支紀錄'!K""&amp;TO_TEXT(ROW()-$C$72))"),"")</f>
        <v/>
      </c>
      <c r="L363" s="61" t="str">
        <f>IFERROR(__xludf.DUMMYFUNCTION("INDIRECT(""'收支紀錄'!L""&amp;TO_TEXT(ROW()-$C$72))"),"捷運費")</f>
        <v>捷運費</v>
      </c>
      <c r="M363" s="61" t="str">
        <f>IFERROR(__xludf.DUMMYFUNCTION("INDIRECT(""'收支紀錄'!M""&amp;TO_TEXT(ROW()-$C$72))"),"")</f>
        <v/>
      </c>
      <c r="N363" s="61" t="str">
        <f>IFERROR(__xludf.DUMMYFUNCTION("INDIRECT(""'收支紀錄'!N""&amp;TO_TEXT(ROW()-$C$72))"),"")</f>
        <v/>
      </c>
      <c r="O363" s="61" t="str">
        <f>IFERROR(__xludf.DUMMYFUNCTION("INDIRECT(""'收支紀錄'!O""&amp;TO_TEXT(ROW()-$C$72))"),"")</f>
        <v/>
      </c>
      <c r="P363" s="61" t="str">
        <f>IFERROR(__xludf.DUMMYFUNCTION("INDIRECT(""'收支紀錄'!P""&amp;TO_TEXT(ROW()-$C$72))"),"")</f>
        <v/>
      </c>
      <c r="Q363" s="61" t="str">
        <f>IFERROR(__xludf.DUMMYFUNCTION("INDIRECT(""'收支紀錄'!Q""&amp;TO_TEXT(ROW()-$C$72))"),"")</f>
        <v/>
      </c>
      <c r="R363" s="61" t="str">
        <f>IFERROR(__xludf.DUMMYFUNCTION("INDIRECT(""'收支紀錄'!R""&amp;TO_TEXT(ROW()-$C$72))"),"")</f>
        <v/>
      </c>
      <c r="S363" s="61" t="str">
        <f>IFERROR(__xludf.DUMMYFUNCTION("INDIRECT(""'收支紀錄'!S""&amp;TO_TEXT(ROW()-$C$72))"),"")</f>
        <v/>
      </c>
      <c r="T363" s="61" t="str">
        <f>IFERROR(__xludf.DUMMYFUNCTION("INDIRECT(""'收支紀錄'!T""&amp;TO_TEXT(ROW()-$C$72))"),"")</f>
        <v/>
      </c>
      <c r="U363" s="62" t="str">
        <f>IFERROR(__xludf.DUMMYFUNCTION("IF(T363=""是"",TEXTJOIN("""", TRUE, ""$"", TO_TEXT(C363), S363),"""")"),"")</f>
        <v/>
      </c>
    </row>
    <row r="364">
      <c r="A364" s="58">
        <f>IFERROR(__xludf.DUMMYFUNCTION("INDIRECT(""'收支紀錄'!A""&amp;TO_TEXT(ROW()-$C$72))"),45591.76737289352)</f>
        <v>45591.76737</v>
      </c>
      <c r="B364" s="59">
        <f>IFERROR(__xludf.DUMMYFUNCTION("IF(ISBLANK(D364), """", IF(ISDATE(D364), D364, IF(D364=""今天"", A364, IF(D364=""昨天 (-1 day)"", A364-1, IF(D364=""前天 (-2 days)"", A364-2, IF(D364=""明天 (+1 day)"", A364+1, DATE(LEFT(D364,4), MID(D364,5,2), RIGHT(D364,2))))))))"),45591.76737289352)</f>
        <v>45591.76737</v>
      </c>
      <c r="C364" s="60">
        <f>IFERROR(__xludf.DUMMYFUNCTION("INDIRECT(""'收支紀錄'!C""&amp;TO_TEXT(ROW()-$C$72))"),38.0)</f>
        <v>38</v>
      </c>
      <c r="D364" s="63" t="str">
        <f>IFERROR(__xludf.DUMMYFUNCTION("INDIRECT(""'收支紀錄'!D""&amp;TO_TEXT(ROW()-$C$72))"),"今天")</f>
        <v>今天</v>
      </c>
      <c r="E364" s="61" t="str">
        <f>IFERROR(__xludf.DUMMYFUNCTION("INDIRECT(""'收支紀錄'!E""&amp;TO_TEXT(ROW()-$C$72))"),"")</f>
        <v/>
      </c>
      <c r="F364" s="61" t="str">
        <f>IFERROR(__xludf.DUMMYFUNCTION("INDIRECT(""'收支紀錄'!F""&amp;TO_TEXT(ROW()-$C$72))"),"")</f>
        <v/>
      </c>
      <c r="G364" s="61" t="str">
        <f>IFERROR(__xludf.DUMMYFUNCTION("INDIRECT(""'收支紀錄'!G""&amp;TO_TEXT(ROW()-$C$72))"),"")</f>
        <v/>
      </c>
      <c r="H364" s="61" t="str">
        <f>IFERROR(__xludf.DUMMYFUNCTION("INDIRECT(""'收支紀錄'!H""&amp;TO_TEXT(ROW()-$C$72))"),"行車交通")</f>
        <v>行車交通</v>
      </c>
      <c r="I364" s="61" t="str">
        <f>IFERROR(__xludf.DUMMYFUNCTION("INDIRECT(""'收支紀錄'!I""&amp;TO_TEXT(ROW()-$C$72))"),"")</f>
        <v/>
      </c>
      <c r="J364" s="61" t="str">
        <f>IFERROR(__xludf.DUMMYFUNCTION("INDIRECT(""'收支紀錄'!J""&amp;TO_TEXT(ROW()-$C$72))"),"")</f>
        <v/>
      </c>
      <c r="K364" s="61" t="str">
        <f>IFERROR(__xludf.DUMMYFUNCTION("INDIRECT(""'收支紀錄'!K""&amp;TO_TEXT(ROW()-$C$72))"),"")</f>
        <v/>
      </c>
      <c r="L364" s="61" t="str">
        <f>IFERROR(__xludf.DUMMYFUNCTION("INDIRECT(""'收支紀錄'!L""&amp;TO_TEXT(ROW()-$C$72))"),"公車")</f>
        <v>公車</v>
      </c>
      <c r="M364" s="61" t="str">
        <f>IFERROR(__xludf.DUMMYFUNCTION("INDIRECT(""'收支紀錄'!M""&amp;TO_TEXT(ROW()-$C$72))"),"")</f>
        <v/>
      </c>
      <c r="N364" s="61" t="str">
        <f>IFERROR(__xludf.DUMMYFUNCTION("INDIRECT(""'收支紀錄'!N""&amp;TO_TEXT(ROW()-$C$72))"),"")</f>
        <v/>
      </c>
      <c r="O364" s="61" t="str">
        <f>IFERROR(__xludf.DUMMYFUNCTION("INDIRECT(""'收支紀錄'!O""&amp;TO_TEXT(ROW()-$C$72))"),"")</f>
        <v/>
      </c>
      <c r="P364" s="61" t="str">
        <f>IFERROR(__xludf.DUMMYFUNCTION("INDIRECT(""'收支紀錄'!P""&amp;TO_TEXT(ROW()-$C$72))"),"")</f>
        <v/>
      </c>
      <c r="Q364" s="61" t="str">
        <f>IFERROR(__xludf.DUMMYFUNCTION("INDIRECT(""'收支紀錄'!Q""&amp;TO_TEXT(ROW()-$C$72))"),"")</f>
        <v/>
      </c>
      <c r="R364" s="61" t="str">
        <f>IFERROR(__xludf.DUMMYFUNCTION("INDIRECT(""'收支紀錄'!R""&amp;TO_TEXT(ROW()-$C$72))"),"")</f>
        <v/>
      </c>
      <c r="S364" s="61" t="str">
        <f>IFERROR(__xludf.DUMMYFUNCTION("INDIRECT(""'收支紀錄'!S""&amp;TO_TEXT(ROW()-$C$72))"),"")</f>
        <v/>
      </c>
      <c r="T364" s="61" t="str">
        <f>IFERROR(__xludf.DUMMYFUNCTION("INDIRECT(""'收支紀錄'!T""&amp;TO_TEXT(ROW()-$C$72))"),"")</f>
        <v/>
      </c>
      <c r="U364" s="62" t="str">
        <f>IFERROR(__xludf.DUMMYFUNCTION("IF(T364=""是"",TEXTJOIN("""", TRUE, ""$"", TO_TEXT(C364), S364),"""")"),"")</f>
        <v/>
      </c>
    </row>
    <row r="365">
      <c r="A365" s="58">
        <f>IFERROR(__xludf.DUMMYFUNCTION("INDIRECT(""'收支紀錄'!A""&amp;TO_TEXT(ROW()-$C$72))"),45591.767643900464)</f>
        <v>45591.76764</v>
      </c>
      <c r="B365" s="59">
        <f>IFERROR(__xludf.DUMMYFUNCTION("IF(ISBLANK(D365), """", IF(ISDATE(D365), D365, IF(D365=""今天"", A365, IF(D365=""昨天 (-1 day)"", A365-1, IF(D365=""前天 (-2 days)"", A365-2, IF(D365=""明天 (+1 day)"", A365+1, DATE(LEFT(D365,4), MID(D365,5,2), RIGHT(D365,2))))))))"),45591.767643900464)</f>
        <v>45591.76764</v>
      </c>
      <c r="C365" s="60">
        <f>IFERROR(__xludf.DUMMYFUNCTION("INDIRECT(""'收支紀錄'!C""&amp;TO_TEXT(ROW()-$C$72))"),590.0)</f>
        <v>590</v>
      </c>
      <c r="D365" s="63" t="str">
        <f>IFERROR(__xludf.DUMMYFUNCTION("INDIRECT(""'收支紀錄'!D""&amp;TO_TEXT(ROW()-$C$72))"),"今天")</f>
        <v>今天</v>
      </c>
      <c r="E365" s="61" t="str">
        <f>IFERROR(__xludf.DUMMYFUNCTION("INDIRECT(""'收支紀錄'!E""&amp;TO_TEXT(ROW()-$C$72))"),"")</f>
        <v/>
      </c>
      <c r="F365" s="61" t="str">
        <f>IFERROR(__xludf.DUMMYFUNCTION("INDIRECT(""'收支紀錄'!F""&amp;TO_TEXT(ROW()-$C$72))"),"")</f>
        <v/>
      </c>
      <c r="G365" s="61" t="str">
        <f>IFERROR(__xludf.DUMMYFUNCTION("INDIRECT(""'收支紀錄'!G""&amp;TO_TEXT(ROW()-$C$72))"),"")</f>
        <v/>
      </c>
      <c r="H365" s="61" t="str">
        <f>IFERROR(__xludf.DUMMYFUNCTION("INDIRECT(""'收支紀錄'!H""&amp;TO_TEXT(ROW()-$C$72))"),"休閒娛樂")</f>
        <v>休閒娛樂</v>
      </c>
      <c r="I365" s="61" t="str">
        <f>IFERROR(__xludf.DUMMYFUNCTION("INDIRECT(""'收支紀錄'!I""&amp;TO_TEXT(ROW()-$C$72))"),"")</f>
        <v/>
      </c>
      <c r="J365" s="61" t="str">
        <f>IFERROR(__xludf.DUMMYFUNCTION("INDIRECT(""'收支紀錄'!J""&amp;TO_TEXT(ROW()-$C$72))"),"")</f>
        <v/>
      </c>
      <c r="K365" s="61" t="str">
        <f>IFERROR(__xludf.DUMMYFUNCTION("INDIRECT(""'收支紀錄'!K""&amp;TO_TEXT(ROW()-$C$72))"),"")</f>
        <v/>
      </c>
      <c r="L365" s="61" t="str">
        <f>IFERROR(__xludf.DUMMYFUNCTION("INDIRECT(""'收支紀錄'!L""&amp;TO_TEXT(ROW()-$C$72))"),"")</f>
        <v/>
      </c>
      <c r="M365" s="61" t="str">
        <f>IFERROR(__xludf.DUMMYFUNCTION("INDIRECT(""'收支紀錄'!M""&amp;TO_TEXT(ROW()-$C$72))"),"衣物鞋帽")</f>
        <v>衣物鞋帽</v>
      </c>
      <c r="N365" s="61" t="str">
        <f>IFERROR(__xludf.DUMMYFUNCTION("INDIRECT(""'收支紀錄'!N""&amp;TO_TEXT(ROW()-$C$72))"),"")</f>
        <v/>
      </c>
      <c r="O365" s="61" t="str">
        <f>IFERROR(__xludf.DUMMYFUNCTION("INDIRECT(""'收支紀錄'!O""&amp;TO_TEXT(ROW()-$C$72))"),"")</f>
        <v/>
      </c>
      <c r="P365" s="61" t="str">
        <f>IFERROR(__xludf.DUMMYFUNCTION("INDIRECT(""'收支紀錄'!P""&amp;TO_TEXT(ROW()-$C$72))"),"")</f>
        <v/>
      </c>
      <c r="Q365" s="61" t="str">
        <f>IFERROR(__xludf.DUMMYFUNCTION("INDIRECT(""'收支紀錄'!Q""&amp;TO_TEXT(ROW()-$C$72))"),"")</f>
        <v/>
      </c>
      <c r="R365" s="61" t="str">
        <f>IFERROR(__xludf.DUMMYFUNCTION("INDIRECT(""'收支紀錄'!R""&amp;TO_TEXT(ROW()-$C$72))"),"")</f>
        <v/>
      </c>
      <c r="S365" s="61" t="str">
        <f>IFERROR(__xludf.DUMMYFUNCTION("INDIRECT(""'收支紀錄'!S""&amp;TO_TEXT(ROW()-$C$72))"),"")</f>
        <v/>
      </c>
      <c r="T365" s="61" t="str">
        <f>IFERROR(__xludf.DUMMYFUNCTION("INDIRECT(""'收支紀錄'!T""&amp;TO_TEXT(ROW()-$C$72))"),"")</f>
        <v/>
      </c>
      <c r="U365" s="62" t="str">
        <f>IFERROR(__xludf.DUMMYFUNCTION("IF(T365=""是"",TEXTJOIN("""", TRUE, ""$"", TO_TEXT(C365), S365),"""")"),"")</f>
        <v/>
      </c>
    </row>
    <row r="366">
      <c r="A366" s="58">
        <f>IFERROR(__xludf.DUMMYFUNCTION("INDIRECT(""'收支紀錄'!A""&amp;TO_TEXT(ROW()-$C$72))"),45591.76803575231)</f>
        <v>45591.76804</v>
      </c>
      <c r="B366" s="59">
        <f>IFERROR(__xludf.DUMMYFUNCTION("IF(ISBLANK(D366), """", IF(ISDATE(D366), D366, IF(D366=""今天"", A366, IF(D366=""昨天 (-1 day)"", A366-1, IF(D366=""前天 (-2 days)"", A366-2, IF(D366=""明天 (+1 day)"", A366+1, DATE(LEFT(D366,4), MID(D366,5,2), RIGHT(D366,2))))))))"),45591.76803575231)</f>
        <v>45591.76804</v>
      </c>
      <c r="C366" s="60">
        <f>IFERROR(__xludf.DUMMYFUNCTION("INDIRECT(""'收支紀錄'!C""&amp;TO_TEXT(ROW()-$C$72))"),3494.0)</f>
        <v>3494</v>
      </c>
      <c r="D366" s="63" t="str">
        <f>IFERROR(__xludf.DUMMYFUNCTION("INDIRECT(""'收支紀錄'!D""&amp;TO_TEXT(ROW()-$C$72))"),"今天")</f>
        <v>今天</v>
      </c>
      <c r="E366" s="61" t="str">
        <f>IFERROR(__xludf.DUMMYFUNCTION("INDIRECT(""'收支紀錄'!E""&amp;TO_TEXT(ROW()-$C$72))"),"")</f>
        <v/>
      </c>
      <c r="F366" s="61" t="str">
        <f>IFERROR(__xludf.DUMMYFUNCTION("INDIRECT(""'收支紀錄'!F""&amp;TO_TEXT(ROW()-$C$72))"),"")</f>
        <v/>
      </c>
      <c r="G366" s="61" t="str">
        <f>IFERROR(__xludf.DUMMYFUNCTION("INDIRECT(""'收支紀錄'!G""&amp;TO_TEXT(ROW()-$C$72))"),"")</f>
        <v/>
      </c>
      <c r="H366" s="61" t="str">
        <f>IFERROR(__xludf.DUMMYFUNCTION("INDIRECT(""'收支紀錄'!H""&amp;TO_TEXT(ROW()-$C$72))"),"休閒娛樂")</f>
        <v>休閒娛樂</v>
      </c>
      <c r="I366" s="61" t="str">
        <f>IFERROR(__xludf.DUMMYFUNCTION("INDIRECT(""'收支紀錄'!I""&amp;TO_TEXT(ROW()-$C$72))"),"")</f>
        <v/>
      </c>
      <c r="J366" s="61" t="str">
        <f>IFERROR(__xludf.DUMMYFUNCTION("INDIRECT(""'收支紀錄'!J""&amp;TO_TEXT(ROW()-$C$72))"),"")</f>
        <v/>
      </c>
      <c r="K366" s="61" t="str">
        <f>IFERROR(__xludf.DUMMYFUNCTION("INDIRECT(""'收支紀錄'!K""&amp;TO_TEXT(ROW()-$C$72))"),"")</f>
        <v/>
      </c>
      <c r="L366" s="61" t="str">
        <f>IFERROR(__xludf.DUMMYFUNCTION("INDIRECT(""'收支紀錄'!L""&amp;TO_TEXT(ROW()-$C$72))"),"")</f>
        <v/>
      </c>
      <c r="M366" s="61" t="str">
        <f>IFERROR(__xludf.DUMMYFUNCTION("INDIRECT(""'收支紀錄'!M""&amp;TO_TEXT(ROW()-$C$72))"),"衣物鞋帽")</f>
        <v>衣物鞋帽</v>
      </c>
      <c r="N366" s="61" t="str">
        <f>IFERROR(__xludf.DUMMYFUNCTION("INDIRECT(""'收支紀錄'!N""&amp;TO_TEXT(ROW()-$C$72))"),"")</f>
        <v/>
      </c>
      <c r="O366" s="61" t="str">
        <f>IFERROR(__xludf.DUMMYFUNCTION("INDIRECT(""'收支紀錄'!O""&amp;TO_TEXT(ROW()-$C$72))"),"")</f>
        <v/>
      </c>
      <c r="P366" s="61" t="str">
        <f>IFERROR(__xludf.DUMMYFUNCTION("INDIRECT(""'收支紀錄'!P""&amp;TO_TEXT(ROW()-$C$72))"),"")</f>
        <v/>
      </c>
      <c r="Q366" s="61" t="str">
        <f>IFERROR(__xludf.DUMMYFUNCTION("INDIRECT(""'收支紀錄'!Q""&amp;TO_TEXT(ROW()-$C$72))"),"")</f>
        <v/>
      </c>
      <c r="R366" s="61" t="str">
        <f>IFERROR(__xludf.DUMMYFUNCTION("INDIRECT(""'收支紀錄'!R""&amp;TO_TEXT(ROW()-$C$72))"),"")</f>
        <v/>
      </c>
      <c r="S366" s="61" t="str">
        <f>IFERROR(__xludf.DUMMYFUNCTION("INDIRECT(""'收支紀錄'!S""&amp;TO_TEXT(ROW()-$C$72))"),"寶鞋*2")</f>
        <v>寶鞋*2</v>
      </c>
      <c r="T366" s="61" t="str">
        <f>IFERROR(__xludf.DUMMYFUNCTION("INDIRECT(""'收支紀錄'!T""&amp;TO_TEXT(ROW()-$C$72))"),"是")</f>
        <v>是</v>
      </c>
      <c r="U366" s="62" t="str">
        <f>IFERROR(__xludf.DUMMYFUNCTION("IF(T366=""是"",TEXTJOIN("""", TRUE, ""$"", TO_TEXT(C366), S366),"""")"),"$3494寶鞋*2")</f>
        <v>$3494寶鞋*2</v>
      </c>
    </row>
    <row r="367">
      <c r="A367" s="58">
        <f>IFERROR(__xludf.DUMMYFUNCTION("INDIRECT(""'收支紀錄'!A""&amp;TO_TEXT(ROW()-$C$72))"),45591.76835106481)</f>
        <v>45591.76835</v>
      </c>
      <c r="B367" s="59">
        <f>IFERROR(__xludf.DUMMYFUNCTION("IF(ISBLANK(D367), """", IF(ISDATE(D367), D367, IF(D367=""今天"", A367, IF(D367=""昨天 (-1 day)"", A367-1, IF(D367=""前天 (-2 days)"", A367-2, IF(D367=""明天 (+1 day)"", A367+1, DATE(LEFT(D367,4), MID(D367,5,2), RIGHT(D367,2))))))))"),45591.76835106481)</f>
        <v>45591.76835</v>
      </c>
      <c r="C367" s="60">
        <f>IFERROR(__xludf.DUMMYFUNCTION("INDIRECT(""'收支紀錄'!C""&amp;TO_TEXT(ROW()-$C$72))"),3578.0)</f>
        <v>3578</v>
      </c>
      <c r="D367" s="63" t="str">
        <f>IFERROR(__xludf.DUMMYFUNCTION("INDIRECT(""'收支紀錄'!D""&amp;TO_TEXT(ROW()-$C$72))"),"今天")</f>
        <v>今天</v>
      </c>
      <c r="E367" s="61" t="str">
        <f>IFERROR(__xludf.DUMMYFUNCTION("INDIRECT(""'收支紀錄'!E""&amp;TO_TEXT(ROW()-$C$72))"),"")</f>
        <v/>
      </c>
      <c r="F367" s="61" t="str">
        <f>IFERROR(__xludf.DUMMYFUNCTION("INDIRECT(""'收支紀錄'!F""&amp;TO_TEXT(ROW()-$C$72))"),"")</f>
        <v/>
      </c>
      <c r="G367" s="61" t="str">
        <f>IFERROR(__xludf.DUMMYFUNCTION("INDIRECT(""'收支紀錄'!G""&amp;TO_TEXT(ROW()-$C$72))"),"")</f>
        <v/>
      </c>
      <c r="H367" s="61" t="str">
        <f>IFERROR(__xludf.DUMMYFUNCTION("INDIRECT(""'收支紀錄'!H""&amp;TO_TEXT(ROW()-$C$72))"),"休閒娛樂")</f>
        <v>休閒娛樂</v>
      </c>
      <c r="I367" s="61" t="str">
        <f>IFERROR(__xludf.DUMMYFUNCTION("INDIRECT(""'收支紀錄'!I""&amp;TO_TEXT(ROW()-$C$72))"),"")</f>
        <v/>
      </c>
      <c r="J367" s="61" t="str">
        <f>IFERROR(__xludf.DUMMYFUNCTION("INDIRECT(""'收支紀錄'!J""&amp;TO_TEXT(ROW()-$C$72))"),"")</f>
        <v/>
      </c>
      <c r="K367" s="61" t="str">
        <f>IFERROR(__xludf.DUMMYFUNCTION("INDIRECT(""'收支紀錄'!K""&amp;TO_TEXT(ROW()-$C$72))"),"")</f>
        <v/>
      </c>
      <c r="L367" s="61" t="str">
        <f>IFERROR(__xludf.DUMMYFUNCTION("INDIRECT(""'收支紀錄'!L""&amp;TO_TEXT(ROW()-$C$72))"),"")</f>
        <v/>
      </c>
      <c r="M367" s="61" t="str">
        <f>IFERROR(__xludf.DUMMYFUNCTION("INDIRECT(""'收支紀錄'!M""&amp;TO_TEXT(ROW()-$C$72))"),"衣物鞋帽")</f>
        <v>衣物鞋帽</v>
      </c>
      <c r="N367" s="61" t="str">
        <f>IFERROR(__xludf.DUMMYFUNCTION("INDIRECT(""'收支紀錄'!N""&amp;TO_TEXT(ROW()-$C$72))"),"")</f>
        <v/>
      </c>
      <c r="O367" s="61" t="str">
        <f>IFERROR(__xludf.DUMMYFUNCTION("INDIRECT(""'收支紀錄'!O""&amp;TO_TEXT(ROW()-$C$72))"),"")</f>
        <v/>
      </c>
      <c r="P367" s="61" t="str">
        <f>IFERROR(__xludf.DUMMYFUNCTION("INDIRECT(""'收支紀錄'!P""&amp;TO_TEXT(ROW()-$C$72))"),"")</f>
        <v/>
      </c>
      <c r="Q367" s="61" t="str">
        <f>IFERROR(__xludf.DUMMYFUNCTION("INDIRECT(""'收支紀錄'!Q""&amp;TO_TEXT(ROW()-$C$72))"),"")</f>
        <v/>
      </c>
      <c r="R367" s="61" t="str">
        <f>IFERROR(__xludf.DUMMYFUNCTION("INDIRECT(""'收支紀錄'!R""&amp;TO_TEXT(ROW()-$C$72))"),"")</f>
        <v/>
      </c>
      <c r="S367" s="61" t="str">
        <f>IFERROR(__xludf.DUMMYFUNCTION("INDIRECT(""'收支紀錄'!S""&amp;TO_TEXT(ROW()-$C$72))"),"我鞋*2")</f>
        <v>我鞋*2</v>
      </c>
      <c r="T367" s="61" t="str">
        <f>IFERROR(__xludf.DUMMYFUNCTION("INDIRECT(""'收支紀錄'!T""&amp;TO_TEXT(ROW()-$C$72))"),"是")</f>
        <v>是</v>
      </c>
      <c r="U367" s="62" t="str">
        <f>IFERROR(__xludf.DUMMYFUNCTION("IF(T367=""是"",TEXTJOIN("""", TRUE, ""$"", TO_TEXT(C367), S367),"""")"),"$3578我鞋*2")</f>
        <v>$3578我鞋*2</v>
      </c>
    </row>
    <row r="368">
      <c r="A368" s="58">
        <f>IFERROR(__xludf.DUMMYFUNCTION("INDIRECT(""'收支紀錄'!A""&amp;TO_TEXT(ROW()-$C$72))"),45591.888053703704)</f>
        <v>45591.88805</v>
      </c>
      <c r="B368" s="59">
        <f>IFERROR(__xludf.DUMMYFUNCTION("IF(ISBLANK(D368), """", IF(ISDATE(D368), D368, IF(D368=""今天"", A368, IF(D368=""昨天 (-1 day)"", A368-1, IF(D368=""前天 (-2 days)"", A368-2, IF(D368=""明天 (+1 day)"", A368+1, DATE(LEFT(D368,4), MID(D368,5,2), RIGHT(D368,2))))))))"),45591.888053703704)</f>
        <v>45591.88805</v>
      </c>
      <c r="C368" s="60">
        <f>IFERROR(__xludf.DUMMYFUNCTION("INDIRECT(""'收支紀錄'!C""&amp;TO_TEXT(ROW()-$C$72))"),350.0)</f>
        <v>350</v>
      </c>
      <c r="D368" s="63" t="str">
        <f>IFERROR(__xludf.DUMMYFUNCTION("INDIRECT(""'收支紀錄'!D""&amp;TO_TEXT(ROW()-$C$72))"),"今天")</f>
        <v>今天</v>
      </c>
      <c r="E368" s="61" t="str">
        <f>IFERROR(__xludf.DUMMYFUNCTION("INDIRECT(""'收支紀錄'!E""&amp;TO_TEXT(ROW()-$C$72))"),"")</f>
        <v/>
      </c>
      <c r="F368" s="61" t="str">
        <f>IFERROR(__xludf.DUMMYFUNCTION("INDIRECT(""'收支紀錄'!F""&amp;TO_TEXT(ROW()-$C$72))"),"")</f>
        <v/>
      </c>
      <c r="G368" s="61" t="str">
        <f>IFERROR(__xludf.DUMMYFUNCTION("INDIRECT(""'收支紀錄'!G""&amp;TO_TEXT(ROW()-$C$72))"),"")</f>
        <v/>
      </c>
      <c r="H368" s="61" t="str">
        <f>IFERROR(__xludf.DUMMYFUNCTION("INDIRECT(""'收支紀錄'!H""&amp;TO_TEXT(ROW()-$C$72))"),"食品酒水")</f>
        <v>食品酒水</v>
      </c>
      <c r="I368" s="61" t="str">
        <f>IFERROR(__xludf.DUMMYFUNCTION("INDIRECT(""'收支紀錄'!I""&amp;TO_TEXT(ROW()-$C$72))"),"晚餐")</f>
        <v>晚餐</v>
      </c>
      <c r="J368" s="61" t="str">
        <f>IFERROR(__xludf.DUMMYFUNCTION("INDIRECT(""'收支紀錄'!J""&amp;TO_TEXT(ROW()-$C$72))"),"")</f>
        <v/>
      </c>
      <c r="K368" s="61" t="str">
        <f>IFERROR(__xludf.DUMMYFUNCTION("INDIRECT(""'收支紀錄'!K""&amp;TO_TEXT(ROW()-$C$72))"),"")</f>
        <v/>
      </c>
      <c r="L368" s="61" t="str">
        <f>IFERROR(__xludf.DUMMYFUNCTION("INDIRECT(""'收支紀錄'!L""&amp;TO_TEXT(ROW()-$C$72))"),"")</f>
        <v/>
      </c>
      <c r="M368" s="61" t="str">
        <f>IFERROR(__xludf.DUMMYFUNCTION("INDIRECT(""'收支紀錄'!M""&amp;TO_TEXT(ROW()-$C$72))"),"")</f>
        <v/>
      </c>
      <c r="N368" s="61" t="str">
        <f>IFERROR(__xludf.DUMMYFUNCTION("INDIRECT(""'收支紀錄'!N""&amp;TO_TEXT(ROW()-$C$72))"),"")</f>
        <v/>
      </c>
      <c r="O368" s="61" t="str">
        <f>IFERROR(__xludf.DUMMYFUNCTION("INDIRECT(""'收支紀錄'!O""&amp;TO_TEXT(ROW()-$C$72))"),"")</f>
        <v/>
      </c>
      <c r="P368" s="61" t="str">
        <f>IFERROR(__xludf.DUMMYFUNCTION("INDIRECT(""'收支紀錄'!P""&amp;TO_TEXT(ROW()-$C$72))"),"")</f>
        <v/>
      </c>
      <c r="Q368" s="61" t="str">
        <f>IFERROR(__xludf.DUMMYFUNCTION("INDIRECT(""'收支紀錄'!Q""&amp;TO_TEXT(ROW()-$C$72))"),"")</f>
        <v/>
      </c>
      <c r="R368" s="61" t="str">
        <f>IFERROR(__xludf.DUMMYFUNCTION("INDIRECT(""'收支紀錄'!R""&amp;TO_TEXT(ROW()-$C$72))"),"")</f>
        <v/>
      </c>
      <c r="S368" s="61" t="str">
        <f>IFERROR(__xludf.DUMMYFUNCTION("INDIRECT(""'收支紀錄'!S""&amp;TO_TEXT(ROW()-$C$72))"),"")</f>
        <v/>
      </c>
      <c r="T368" s="61" t="str">
        <f>IFERROR(__xludf.DUMMYFUNCTION("INDIRECT(""'收支紀錄'!T""&amp;TO_TEXT(ROW()-$C$72))"),"")</f>
        <v/>
      </c>
      <c r="U368" s="62" t="str">
        <f>IFERROR(__xludf.DUMMYFUNCTION("IF(T368=""是"",TEXTJOIN("""", TRUE, ""$"", TO_TEXT(C368), S368),"""")"),"")</f>
        <v/>
      </c>
    </row>
    <row r="369">
      <c r="A369" s="58">
        <f>IFERROR(__xludf.DUMMYFUNCTION("INDIRECT(""'收支紀錄'!A""&amp;TO_TEXT(ROW()-$C$72))"),45593.31490427083)</f>
        <v>45593.3149</v>
      </c>
      <c r="B369" s="59">
        <f>IFERROR(__xludf.DUMMYFUNCTION("IF(ISBLANK(D369), """", IF(ISDATE(D369), D369, IF(D369=""今天"", A369, IF(D369=""昨天 (-1 day)"", A369-1, IF(D369=""前天 (-2 days)"", A369-2, IF(D369=""明天 (+1 day)"", A369+1, DATE(LEFT(D369,4), MID(D369,5,2), RIGHT(D369,2))))))))"),45592.31490427083)</f>
        <v>45592.3149</v>
      </c>
      <c r="C369" s="60">
        <f>IFERROR(__xludf.DUMMYFUNCTION("INDIRECT(""'收支紀錄'!C""&amp;TO_TEXT(ROW()-$C$72))"),129.0)</f>
        <v>129</v>
      </c>
      <c r="D369" s="63" t="str">
        <f>IFERROR(__xludf.DUMMYFUNCTION("INDIRECT(""'收支紀錄'!D""&amp;TO_TEXT(ROW()-$C$72))"),"昨天 (-1 day)")</f>
        <v>昨天 (-1 day)</v>
      </c>
      <c r="E369" s="61" t="str">
        <f>IFERROR(__xludf.DUMMYFUNCTION("INDIRECT(""'收支紀錄'!E""&amp;TO_TEXT(ROW()-$C$72))"),"")</f>
        <v/>
      </c>
      <c r="F369" s="61" t="str">
        <f>IFERROR(__xludf.DUMMYFUNCTION("INDIRECT(""'收支紀錄'!F""&amp;TO_TEXT(ROW()-$C$72))"),"")</f>
        <v/>
      </c>
      <c r="G369" s="61" t="str">
        <f>IFERROR(__xludf.DUMMYFUNCTION("INDIRECT(""'收支紀錄'!G""&amp;TO_TEXT(ROW()-$C$72))"),"")</f>
        <v/>
      </c>
      <c r="H369" s="61" t="str">
        <f>IFERROR(__xludf.DUMMYFUNCTION("INDIRECT(""'收支紀錄'!H""&amp;TO_TEXT(ROW()-$C$72))"),"日常生活")</f>
        <v>日常生活</v>
      </c>
      <c r="I369" s="61" t="str">
        <f>IFERROR(__xludf.DUMMYFUNCTION("INDIRECT(""'收支紀錄'!I""&amp;TO_TEXT(ROW()-$C$72))"),"")</f>
        <v/>
      </c>
      <c r="J369" s="61" t="str">
        <f>IFERROR(__xludf.DUMMYFUNCTION("INDIRECT(""'收支紀錄'!J""&amp;TO_TEXT(ROW()-$C$72))"),"日常用品")</f>
        <v>日常用品</v>
      </c>
      <c r="K369" s="61" t="str">
        <f>IFERROR(__xludf.DUMMYFUNCTION("INDIRECT(""'收支紀錄'!K""&amp;TO_TEXT(ROW()-$C$72))"),"")</f>
        <v/>
      </c>
      <c r="L369" s="61" t="str">
        <f>IFERROR(__xludf.DUMMYFUNCTION("INDIRECT(""'收支紀錄'!L""&amp;TO_TEXT(ROW()-$C$72))"),"")</f>
        <v/>
      </c>
      <c r="M369" s="61" t="str">
        <f>IFERROR(__xludf.DUMMYFUNCTION("INDIRECT(""'收支紀錄'!M""&amp;TO_TEXT(ROW()-$C$72))"),"")</f>
        <v/>
      </c>
      <c r="N369" s="61" t="str">
        <f>IFERROR(__xludf.DUMMYFUNCTION("INDIRECT(""'收支紀錄'!N""&amp;TO_TEXT(ROW()-$C$72))"),"")</f>
        <v/>
      </c>
      <c r="O369" s="61" t="str">
        <f>IFERROR(__xludf.DUMMYFUNCTION("INDIRECT(""'收支紀錄'!O""&amp;TO_TEXT(ROW()-$C$72))"),"")</f>
        <v/>
      </c>
      <c r="P369" s="61" t="str">
        <f>IFERROR(__xludf.DUMMYFUNCTION("INDIRECT(""'收支紀錄'!P""&amp;TO_TEXT(ROW()-$C$72))"),"")</f>
        <v/>
      </c>
      <c r="Q369" s="61" t="str">
        <f>IFERROR(__xludf.DUMMYFUNCTION("INDIRECT(""'收支紀錄'!Q""&amp;TO_TEXT(ROW()-$C$72))"),"")</f>
        <v/>
      </c>
      <c r="R369" s="61" t="str">
        <f>IFERROR(__xludf.DUMMYFUNCTION("INDIRECT(""'收支紀錄'!R""&amp;TO_TEXT(ROW()-$C$72))"),"")</f>
        <v/>
      </c>
      <c r="S369" s="61" t="str">
        <f>IFERROR(__xludf.DUMMYFUNCTION("INDIRECT(""'收支紀錄'!S""&amp;TO_TEXT(ROW()-$C$72))"),"")</f>
        <v/>
      </c>
      <c r="T369" s="61" t="str">
        <f>IFERROR(__xludf.DUMMYFUNCTION("INDIRECT(""'收支紀錄'!T""&amp;TO_TEXT(ROW()-$C$72))"),"")</f>
        <v/>
      </c>
      <c r="U369" s="62" t="str">
        <f>IFERROR(__xludf.DUMMYFUNCTION("IF(T369=""是"",TEXTJOIN("""", TRUE, ""$"", TO_TEXT(C369), S369),"""")"),"")</f>
        <v/>
      </c>
    </row>
    <row r="370">
      <c r="A370" s="58">
        <f>IFERROR(__xludf.DUMMYFUNCTION("INDIRECT(""'收支紀錄'!A""&amp;TO_TEXT(ROW()-$C$72))"),45593.315044884264)</f>
        <v>45593.31504</v>
      </c>
      <c r="B370" s="59">
        <f>IFERROR(__xludf.DUMMYFUNCTION("IF(ISBLANK(D370), """", IF(ISDATE(D370), D370, IF(D370=""今天"", A370, IF(D370=""昨天 (-1 day)"", A370-1, IF(D370=""前天 (-2 days)"", A370-2, IF(D370=""明天 (+1 day)"", A370+1, DATE(LEFT(D370,4), MID(D370,5,2), RIGHT(D370,2))))))))"),45592.315044884264)</f>
        <v>45592.31504</v>
      </c>
      <c r="C370" s="60">
        <f>IFERROR(__xludf.DUMMYFUNCTION("INDIRECT(""'收支紀錄'!C""&amp;TO_TEXT(ROW()-$C$72))"),139.0)</f>
        <v>139</v>
      </c>
      <c r="D370" s="63" t="str">
        <f>IFERROR(__xludf.DUMMYFUNCTION("INDIRECT(""'收支紀錄'!D""&amp;TO_TEXT(ROW()-$C$72))"),"昨天 (-1 day)")</f>
        <v>昨天 (-1 day)</v>
      </c>
      <c r="E370" s="61" t="str">
        <f>IFERROR(__xludf.DUMMYFUNCTION("INDIRECT(""'收支紀錄'!E""&amp;TO_TEXT(ROW()-$C$72))"),"")</f>
        <v/>
      </c>
      <c r="F370" s="61" t="str">
        <f>IFERROR(__xludf.DUMMYFUNCTION("INDIRECT(""'收支紀錄'!F""&amp;TO_TEXT(ROW()-$C$72))"),"")</f>
        <v/>
      </c>
      <c r="G370" s="61" t="str">
        <f>IFERROR(__xludf.DUMMYFUNCTION("INDIRECT(""'收支紀錄'!G""&amp;TO_TEXT(ROW()-$C$72))"),"")</f>
        <v/>
      </c>
      <c r="H370" s="61" t="str">
        <f>IFERROR(__xludf.DUMMYFUNCTION("INDIRECT(""'收支紀錄'!H""&amp;TO_TEXT(ROW()-$C$72))"),"日常生活")</f>
        <v>日常生活</v>
      </c>
      <c r="I370" s="61" t="str">
        <f>IFERROR(__xludf.DUMMYFUNCTION("INDIRECT(""'收支紀錄'!I""&amp;TO_TEXT(ROW()-$C$72))"),"")</f>
        <v/>
      </c>
      <c r="J370" s="61" t="str">
        <f>IFERROR(__xludf.DUMMYFUNCTION("INDIRECT(""'收支紀錄'!J""&amp;TO_TEXT(ROW()-$C$72))"),"日常用品")</f>
        <v>日常用品</v>
      </c>
      <c r="K370" s="61" t="str">
        <f>IFERROR(__xludf.DUMMYFUNCTION("INDIRECT(""'收支紀錄'!K""&amp;TO_TEXT(ROW()-$C$72))"),"")</f>
        <v/>
      </c>
      <c r="L370" s="61" t="str">
        <f>IFERROR(__xludf.DUMMYFUNCTION("INDIRECT(""'收支紀錄'!L""&amp;TO_TEXT(ROW()-$C$72))"),"")</f>
        <v/>
      </c>
      <c r="M370" s="61" t="str">
        <f>IFERROR(__xludf.DUMMYFUNCTION("INDIRECT(""'收支紀錄'!M""&amp;TO_TEXT(ROW()-$C$72))"),"")</f>
        <v/>
      </c>
      <c r="N370" s="61" t="str">
        <f>IFERROR(__xludf.DUMMYFUNCTION("INDIRECT(""'收支紀錄'!N""&amp;TO_TEXT(ROW()-$C$72))"),"")</f>
        <v/>
      </c>
      <c r="O370" s="61" t="str">
        <f>IFERROR(__xludf.DUMMYFUNCTION("INDIRECT(""'收支紀錄'!O""&amp;TO_TEXT(ROW()-$C$72))"),"")</f>
        <v/>
      </c>
      <c r="P370" s="61" t="str">
        <f>IFERROR(__xludf.DUMMYFUNCTION("INDIRECT(""'收支紀錄'!P""&amp;TO_TEXT(ROW()-$C$72))"),"")</f>
        <v/>
      </c>
      <c r="Q370" s="61" t="str">
        <f>IFERROR(__xludf.DUMMYFUNCTION("INDIRECT(""'收支紀錄'!Q""&amp;TO_TEXT(ROW()-$C$72))"),"")</f>
        <v/>
      </c>
      <c r="R370" s="61" t="str">
        <f>IFERROR(__xludf.DUMMYFUNCTION("INDIRECT(""'收支紀錄'!R""&amp;TO_TEXT(ROW()-$C$72))"),"")</f>
        <v/>
      </c>
      <c r="S370" s="61" t="str">
        <f>IFERROR(__xludf.DUMMYFUNCTION("INDIRECT(""'收支紀錄'!S""&amp;TO_TEXT(ROW()-$C$72))"),"")</f>
        <v/>
      </c>
      <c r="T370" s="61" t="str">
        <f>IFERROR(__xludf.DUMMYFUNCTION("INDIRECT(""'收支紀錄'!T""&amp;TO_TEXT(ROW()-$C$72))"),"")</f>
        <v/>
      </c>
      <c r="U370" s="62" t="str">
        <f>IFERROR(__xludf.DUMMYFUNCTION("IF(T370=""是"",TEXTJOIN("""", TRUE, ""$"", TO_TEXT(C370), S370),"""")"),"")</f>
        <v/>
      </c>
    </row>
    <row r="371">
      <c r="A371" s="58">
        <f>IFERROR(__xludf.DUMMYFUNCTION("INDIRECT(""'收支紀錄'!A""&amp;TO_TEXT(ROW()-$C$72))"),45593.31523846065)</f>
        <v>45593.31524</v>
      </c>
      <c r="B371" s="59">
        <f>IFERROR(__xludf.DUMMYFUNCTION("IF(ISBLANK(D371), """", IF(ISDATE(D371), D371, IF(D371=""今天"", A371, IF(D371=""昨天 (-1 day)"", A371-1, IF(D371=""前天 (-2 days)"", A371-2, IF(D371=""明天 (+1 day)"", A371+1, DATE(LEFT(D371,4), MID(D371,5,2), RIGHT(D371,2))))))))"),45592.31523846065)</f>
        <v>45592.31524</v>
      </c>
      <c r="C371" s="60">
        <f>IFERROR(__xludf.DUMMYFUNCTION("INDIRECT(""'收支紀錄'!C""&amp;TO_TEXT(ROW()-$C$72))"),131.0)</f>
        <v>131</v>
      </c>
      <c r="D371" s="63" t="str">
        <f>IFERROR(__xludf.DUMMYFUNCTION("INDIRECT(""'收支紀錄'!D""&amp;TO_TEXT(ROW()-$C$72))"),"昨天 (-1 day)")</f>
        <v>昨天 (-1 day)</v>
      </c>
      <c r="E371" s="61" t="str">
        <f>IFERROR(__xludf.DUMMYFUNCTION("INDIRECT(""'收支紀錄'!E""&amp;TO_TEXT(ROW()-$C$72))"),"")</f>
        <v/>
      </c>
      <c r="F371" s="61" t="str">
        <f>IFERROR(__xludf.DUMMYFUNCTION("INDIRECT(""'收支紀錄'!F""&amp;TO_TEXT(ROW()-$C$72))"),"")</f>
        <v/>
      </c>
      <c r="G371" s="61" t="str">
        <f>IFERROR(__xludf.DUMMYFUNCTION("INDIRECT(""'收支紀錄'!G""&amp;TO_TEXT(ROW()-$C$72))"),"")</f>
        <v/>
      </c>
      <c r="H371" s="61" t="str">
        <f>IFERROR(__xludf.DUMMYFUNCTION("INDIRECT(""'收支紀錄'!H""&amp;TO_TEXT(ROW()-$C$72))"),"食品酒水")</f>
        <v>食品酒水</v>
      </c>
      <c r="I371" s="61" t="str">
        <f>IFERROR(__xludf.DUMMYFUNCTION("INDIRECT(""'收支紀錄'!I""&amp;TO_TEXT(ROW()-$C$72))"),"食材")</f>
        <v>食材</v>
      </c>
      <c r="J371" s="61" t="str">
        <f>IFERROR(__xludf.DUMMYFUNCTION("INDIRECT(""'收支紀錄'!J""&amp;TO_TEXT(ROW()-$C$72))"),"")</f>
        <v/>
      </c>
      <c r="K371" s="61" t="str">
        <f>IFERROR(__xludf.DUMMYFUNCTION("INDIRECT(""'收支紀錄'!K""&amp;TO_TEXT(ROW()-$C$72))"),"")</f>
        <v/>
      </c>
      <c r="L371" s="61" t="str">
        <f>IFERROR(__xludf.DUMMYFUNCTION("INDIRECT(""'收支紀錄'!L""&amp;TO_TEXT(ROW()-$C$72))"),"")</f>
        <v/>
      </c>
      <c r="M371" s="61" t="str">
        <f>IFERROR(__xludf.DUMMYFUNCTION("INDIRECT(""'收支紀錄'!M""&amp;TO_TEXT(ROW()-$C$72))"),"")</f>
        <v/>
      </c>
      <c r="N371" s="61" t="str">
        <f>IFERROR(__xludf.DUMMYFUNCTION("INDIRECT(""'收支紀錄'!N""&amp;TO_TEXT(ROW()-$C$72))"),"")</f>
        <v/>
      </c>
      <c r="O371" s="61" t="str">
        <f>IFERROR(__xludf.DUMMYFUNCTION("INDIRECT(""'收支紀錄'!O""&amp;TO_TEXT(ROW()-$C$72))"),"")</f>
        <v/>
      </c>
      <c r="P371" s="61" t="str">
        <f>IFERROR(__xludf.DUMMYFUNCTION("INDIRECT(""'收支紀錄'!P""&amp;TO_TEXT(ROW()-$C$72))"),"")</f>
        <v/>
      </c>
      <c r="Q371" s="61" t="str">
        <f>IFERROR(__xludf.DUMMYFUNCTION("INDIRECT(""'收支紀錄'!Q""&amp;TO_TEXT(ROW()-$C$72))"),"")</f>
        <v/>
      </c>
      <c r="R371" s="61" t="str">
        <f>IFERROR(__xludf.DUMMYFUNCTION("INDIRECT(""'收支紀錄'!R""&amp;TO_TEXT(ROW()-$C$72))"),"")</f>
        <v/>
      </c>
      <c r="S371" s="61" t="str">
        <f>IFERROR(__xludf.DUMMYFUNCTION("INDIRECT(""'收支紀錄'!S""&amp;TO_TEXT(ROW()-$C$72))"),"")</f>
        <v/>
      </c>
      <c r="T371" s="61" t="str">
        <f>IFERROR(__xludf.DUMMYFUNCTION("INDIRECT(""'收支紀錄'!T""&amp;TO_TEXT(ROW()-$C$72))"),"")</f>
        <v/>
      </c>
      <c r="U371" s="62" t="str">
        <f>IFERROR(__xludf.DUMMYFUNCTION("IF(T371=""是"",TEXTJOIN("""", TRUE, ""$"", TO_TEXT(C371), S371),"""")"),"")</f>
        <v/>
      </c>
    </row>
    <row r="372">
      <c r="A372" s="58">
        <f>IFERROR(__xludf.DUMMYFUNCTION("INDIRECT(""'收支紀錄'!A""&amp;TO_TEXT(ROW()-$C$72))"),45593.3154549537)</f>
        <v>45593.31545</v>
      </c>
      <c r="B372" s="59">
        <f>IFERROR(__xludf.DUMMYFUNCTION("IF(ISBLANK(D372), """", IF(ISDATE(D372), D372, IF(D372=""今天"", A372, IF(D372=""昨天 (-1 day)"", A372-1, IF(D372=""前天 (-2 days)"", A372-2, IF(D372=""明天 (+1 day)"", A372+1, DATE(LEFT(D372,4), MID(D372,5,2), RIGHT(D372,2))))))))"),45592.3154549537)</f>
        <v>45592.31545</v>
      </c>
      <c r="C372" s="60">
        <f>IFERROR(__xludf.DUMMYFUNCTION("INDIRECT(""'收支紀錄'!C""&amp;TO_TEXT(ROW()-$C$72))"),40.0)</f>
        <v>40</v>
      </c>
      <c r="D372" s="63" t="str">
        <f>IFERROR(__xludf.DUMMYFUNCTION("INDIRECT(""'收支紀錄'!D""&amp;TO_TEXT(ROW()-$C$72))"),"昨天 (-1 day)")</f>
        <v>昨天 (-1 day)</v>
      </c>
      <c r="E372" s="61" t="str">
        <f>IFERROR(__xludf.DUMMYFUNCTION("INDIRECT(""'收支紀錄'!E""&amp;TO_TEXT(ROW()-$C$72))"),"")</f>
        <v/>
      </c>
      <c r="F372" s="61" t="str">
        <f>IFERROR(__xludf.DUMMYFUNCTION("INDIRECT(""'收支紀錄'!F""&amp;TO_TEXT(ROW()-$C$72))"),"")</f>
        <v/>
      </c>
      <c r="G372" s="61" t="str">
        <f>IFERROR(__xludf.DUMMYFUNCTION("INDIRECT(""'收支紀錄'!G""&amp;TO_TEXT(ROW()-$C$72))"),"")</f>
        <v/>
      </c>
      <c r="H372" s="61" t="str">
        <f>IFERROR(__xludf.DUMMYFUNCTION("INDIRECT(""'收支紀錄'!H""&amp;TO_TEXT(ROW()-$C$72))"),"行車交通")</f>
        <v>行車交通</v>
      </c>
      <c r="I372" s="61" t="str">
        <f>IFERROR(__xludf.DUMMYFUNCTION("INDIRECT(""'收支紀錄'!I""&amp;TO_TEXT(ROW()-$C$72))"),"")</f>
        <v/>
      </c>
      <c r="J372" s="61" t="str">
        <f>IFERROR(__xludf.DUMMYFUNCTION("INDIRECT(""'收支紀錄'!J""&amp;TO_TEXT(ROW()-$C$72))"),"")</f>
        <v/>
      </c>
      <c r="K372" s="61" t="str">
        <f>IFERROR(__xludf.DUMMYFUNCTION("INDIRECT(""'收支紀錄'!K""&amp;TO_TEXT(ROW()-$C$72))"),"")</f>
        <v/>
      </c>
      <c r="L372" s="61" t="str">
        <f>IFERROR(__xludf.DUMMYFUNCTION("INDIRECT(""'收支紀錄'!L""&amp;TO_TEXT(ROW()-$C$72))"),"停車")</f>
        <v>停車</v>
      </c>
      <c r="M372" s="61" t="str">
        <f>IFERROR(__xludf.DUMMYFUNCTION("INDIRECT(""'收支紀錄'!M""&amp;TO_TEXT(ROW()-$C$72))"),"")</f>
        <v/>
      </c>
      <c r="N372" s="61" t="str">
        <f>IFERROR(__xludf.DUMMYFUNCTION("INDIRECT(""'收支紀錄'!N""&amp;TO_TEXT(ROW()-$C$72))"),"")</f>
        <v/>
      </c>
      <c r="O372" s="61" t="str">
        <f>IFERROR(__xludf.DUMMYFUNCTION("INDIRECT(""'收支紀錄'!O""&amp;TO_TEXT(ROW()-$C$72))"),"")</f>
        <v/>
      </c>
      <c r="P372" s="61" t="str">
        <f>IFERROR(__xludf.DUMMYFUNCTION("INDIRECT(""'收支紀錄'!P""&amp;TO_TEXT(ROW()-$C$72))"),"")</f>
        <v/>
      </c>
      <c r="Q372" s="61" t="str">
        <f>IFERROR(__xludf.DUMMYFUNCTION("INDIRECT(""'收支紀錄'!Q""&amp;TO_TEXT(ROW()-$C$72))"),"")</f>
        <v/>
      </c>
      <c r="R372" s="61" t="str">
        <f>IFERROR(__xludf.DUMMYFUNCTION("INDIRECT(""'收支紀錄'!R""&amp;TO_TEXT(ROW()-$C$72))"),"")</f>
        <v/>
      </c>
      <c r="S372" s="61" t="str">
        <f>IFERROR(__xludf.DUMMYFUNCTION("INDIRECT(""'收支紀錄'!S""&amp;TO_TEXT(ROW()-$C$72))"),"")</f>
        <v/>
      </c>
      <c r="T372" s="61" t="str">
        <f>IFERROR(__xludf.DUMMYFUNCTION("INDIRECT(""'收支紀錄'!T""&amp;TO_TEXT(ROW()-$C$72))"),"")</f>
        <v/>
      </c>
      <c r="U372" s="62" t="str">
        <f>IFERROR(__xludf.DUMMYFUNCTION("IF(T372=""是"",TEXTJOIN("""", TRUE, ""$"", TO_TEXT(C372), S372),"""")"),"")</f>
        <v/>
      </c>
    </row>
    <row r="373">
      <c r="A373" s="58">
        <f>IFERROR(__xludf.DUMMYFUNCTION("INDIRECT(""'收支紀錄'!A""&amp;TO_TEXT(ROW()-$C$72))"),45593.31587835649)</f>
        <v>45593.31588</v>
      </c>
      <c r="B373" s="59">
        <f>IFERROR(__xludf.DUMMYFUNCTION("IF(ISBLANK(D373), """", IF(ISDATE(D373), D373, IF(D373=""今天"", A373, IF(D373=""昨天 (-1 day)"", A373-1, IF(D373=""前天 (-2 days)"", A373-2, IF(D373=""明天 (+1 day)"", A373+1, DATE(LEFT(D373,4), MID(D373,5,2), RIGHT(D373,2))))))))"),45592.31587835649)</f>
        <v>45592.31588</v>
      </c>
      <c r="C373" s="60">
        <f>IFERROR(__xludf.DUMMYFUNCTION("INDIRECT(""'收支紀錄'!C""&amp;TO_TEXT(ROW()-$C$72))"),7999.0)</f>
        <v>7999</v>
      </c>
      <c r="D373" s="63" t="str">
        <f>IFERROR(__xludf.DUMMYFUNCTION("INDIRECT(""'收支紀錄'!D""&amp;TO_TEXT(ROW()-$C$72))"),"昨天 (-1 day)")</f>
        <v>昨天 (-1 day)</v>
      </c>
      <c r="E373" s="61" t="str">
        <f>IFERROR(__xludf.DUMMYFUNCTION("INDIRECT(""'收支紀錄'!E""&amp;TO_TEXT(ROW()-$C$72))"),"")</f>
        <v/>
      </c>
      <c r="F373" s="61" t="str">
        <f>IFERROR(__xludf.DUMMYFUNCTION("INDIRECT(""'收支紀錄'!F""&amp;TO_TEXT(ROW()-$C$72))"),"")</f>
        <v/>
      </c>
      <c r="G373" s="61" t="str">
        <f>IFERROR(__xludf.DUMMYFUNCTION("INDIRECT(""'收支紀錄'!G""&amp;TO_TEXT(ROW()-$C$72))"),"")</f>
        <v/>
      </c>
      <c r="H373" s="61" t="str">
        <f>IFERROR(__xludf.DUMMYFUNCTION("INDIRECT(""'收支紀錄'!H""&amp;TO_TEXT(ROW()-$C$72))"),"日常生活")</f>
        <v>日常生活</v>
      </c>
      <c r="I373" s="61" t="str">
        <f>IFERROR(__xludf.DUMMYFUNCTION("INDIRECT(""'收支紀錄'!I""&amp;TO_TEXT(ROW()-$C$72))"),"")</f>
        <v/>
      </c>
      <c r="J373" s="61" t="str">
        <f>IFERROR(__xludf.DUMMYFUNCTION("INDIRECT(""'收支紀錄'!J""&amp;TO_TEXT(ROW()-$C$72))"),"傢俱")</f>
        <v>傢俱</v>
      </c>
      <c r="K373" s="61" t="str">
        <f>IFERROR(__xludf.DUMMYFUNCTION("INDIRECT(""'收支紀錄'!K""&amp;TO_TEXT(ROW()-$C$72))"),"")</f>
        <v/>
      </c>
      <c r="L373" s="61" t="str">
        <f>IFERROR(__xludf.DUMMYFUNCTION("INDIRECT(""'收支紀錄'!L""&amp;TO_TEXT(ROW()-$C$72))"),"")</f>
        <v/>
      </c>
      <c r="M373" s="61" t="str">
        <f>IFERROR(__xludf.DUMMYFUNCTION("INDIRECT(""'收支紀錄'!M""&amp;TO_TEXT(ROW()-$C$72))"),"")</f>
        <v/>
      </c>
      <c r="N373" s="61" t="str">
        <f>IFERROR(__xludf.DUMMYFUNCTION("INDIRECT(""'收支紀錄'!N""&amp;TO_TEXT(ROW()-$C$72))"),"")</f>
        <v/>
      </c>
      <c r="O373" s="61" t="str">
        <f>IFERROR(__xludf.DUMMYFUNCTION("INDIRECT(""'收支紀錄'!O""&amp;TO_TEXT(ROW()-$C$72))"),"")</f>
        <v/>
      </c>
      <c r="P373" s="61" t="str">
        <f>IFERROR(__xludf.DUMMYFUNCTION("INDIRECT(""'收支紀錄'!P""&amp;TO_TEXT(ROW()-$C$72))"),"")</f>
        <v/>
      </c>
      <c r="Q373" s="61" t="str">
        <f>IFERROR(__xludf.DUMMYFUNCTION("INDIRECT(""'收支紀錄'!Q""&amp;TO_TEXT(ROW()-$C$72))"),"")</f>
        <v/>
      </c>
      <c r="R373" s="61" t="str">
        <f>IFERROR(__xludf.DUMMYFUNCTION("INDIRECT(""'收支紀錄'!R""&amp;TO_TEXT(ROW()-$C$72))"),"")</f>
        <v/>
      </c>
      <c r="S373" s="61" t="str">
        <f>IFERROR(__xludf.DUMMYFUNCTION("INDIRECT(""'收支紀錄'!S""&amp;TO_TEXT(ROW()-$C$72))"),"IKEA-MILSBO-玻璃門櫃")</f>
        <v>IKEA-MILSBO-玻璃門櫃</v>
      </c>
      <c r="T373" s="61" t="str">
        <f>IFERROR(__xludf.DUMMYFUNCTION("INDIRECT(""'收支紀錄'!T""&amp;TO_TEXT(ROW()-$C$72))"),"是")</f>
        <v>是</v>
      </c>
      <c r="U373" s="62" t="str">
        <f>IFERROR(__xludf.DUMMYFUNCTION("IF(T373=""是"",TEXTJOIN("""", TRUE, ""$"", TO_TEXT(C373), S373),"""")"),"$7999IKEA-MILSBO-玻璃門櫃")</f>
        <v>$7999IKEA-MILSBO-玻璃門櫃</v>
      </c>
    </row>
    <row r="374">
      <c r="A374" s="58">
        <f>IFERROR(__xludf.DUMMYFUNCTION("INDIRECT(""'收支紀錄'!A""&amp;TO_TEXT(ROW()-$C$72))"),45593.316174629625)</f>
        <v>45593.31617</v>
      </c>
      <c r="B374" s="59">
        <f>IFERROR(__xludf.DUMMYFUNCTION("IF(ISBLANK(D374), """", IF(ISDATE(D374), D374, IF(D374=""今天"", A374, IF(D374=""昨天 (-1 day)"", A374-1, IF(D374=""前天 (-2 days)"", A374-2, IF(D374=""明天 (+1 day)"", A374+1, DATE(LEFT(D374,4), MID(D374,5,2), RIGHT(D374,2))))))))"),45592.316174629625)</f>
        <v>45592.31617</v>
      </c>
      <c r="C374" s="60">
        <f>IFERROR(__xludf.DUMMYFUNCTION("INDIRECT(""'收支紀錄'!C""&amp;TO_TEXT(ROW()-$C$72))"),1375.0)</f>
        <v>1375</v>
      </c>
      <c r="D374" s="63" t="str">
        <f>IFERROR(__xludf.DUMMYFUNCTION("INDIRECT(""'收支紀錄'!D""&amp;TO_TEXT(ROW()-$C$72))"),"昨天 (-1 day)")</f>
        <v>昨天 (-1 day)</v>
      </c>
      <c r="E374" s="61" t="str">
        <f>IFERROR(__xludf.DUMMYFUNCTION("INDIRECT(""'收支紀錄'!E""&amp;TO_TEXT(ROW()-$C$72))"),"")</f>
        <v/>
      </c>
      <c r="F374" s="61" t="str">
        <f>IFERROR(__xludf.DUMMYFUNCTION("INDIRECT(""'收支紀錄'!F""&amp;TO_TEXT(ROW()-$C$72))"),"")</f>
        <v/>
      </c>
      <c r="G374" s="61" t="str">
        <f>IFERROR(__xludf.DUMMYFUNCTION("INDIRECT(""'收支紀錄'!G""&amp;TO_TEXT(ROW()-$C$72))"),"")</f>
        <v/>
      </c>
      <c r="H374" s="61" t="str">
        <f>IFERROR(__xludf.DUMMYFUNCTION("INDIRECT(""'收支紀錄'!H""&amp;TO_TEXT(ROW()-$C$72))"),"日常生活")</f>
        <v>日常生活</v>
      </c>
      <c r="I374" s="61" t="str">
        <f>IFERROR(__xludf.DUMMYFUNCTION("INDIRECT(""'收支紀錄'!I""&amp;TO_TEXT(ROW()-$C$72))"),"")</f>
        <v/>
      </c>
      <c r="J374" s="61" t="str">
        <f>IFERROR(__xludf.DUMMYFUNCTION("INDIRECT(""'收支紀錄'!J""&amp;TO_TEXT(ROW()-$C$72))"),"傢俱")</f>
        <v>傢俱</v>
      </c>
      <c r="K374" s="61" t="str">
        <f>IFERROR(__xludf.DUMMYFUNCTION("INDIRECT(""'收支紀錄'!K""&amp;TO_TEXT(ROW()-$C$72))"),"")</f>
        <v/>
      </c>
      <c r="L374" s="61" t="str">
        <f>IFERROR(__xludf.DUMMYFUNCTION("INDIRECT(""'收支紀錄'!L""&amp;TO_TEXT(ROW()-$C$72))"),"")</f>
        <v/>
      </c>
      <c r="M374" s="61" t="str">
        <f>IFERROR(__xludf.DUMMYFUNCTION("INDIRECT(""'收支紀錄'!M""&amp;TO_TEXT(ROW()-$C$72))"),"")</f>
        <v/>
      </c>
      <c r="N374" s="61" t="str">
        <f>IFERROR(__xludf.DUMMYFUNCTION("INDIRECT(""'收支紀錄'!N""&amp;TO_TEXT(ROW()-$C$72))"),"")</f>
        <v/>
      </c>
      <c r="O374" s="61" t="str">
        <f>IFERROR(__xludf.DUMMYFUNCTION("INDIRECT(""'收支紀錄'!O""&amp;TO_TEXT(ROW()-$C$72))"),"")</f>
        <v/>
      </c>
      <c r="P374" s="61" t="str">
        <f>IFERROR(__xludf.DUMMYFUNCTION("INDIRECT(""'收支紀錄'!P""&amp;TO_TEXT(ROW()-$C$72))"),"")</f>
        <v/>
      </c>
      <c r="Q374" s="61" t="str">
        <f>IFERROR(__xludf.DUMMYFUNCTION("INDIRECT(""'收支紀錄'!Q""&amp;TO_TEXT(ROW()-$C$72))"),"")</f>
        <v/>
      </c>
      <c r="R374" s="61" t="str">
        <f>IFERROR(__xludf.DUMMYFUNCTION("INDIRECT(""'收支紀錄'!R""&amp;TO_TEXT(ROW()-$C$72))"),"")</f>
        <v/>
      </c>
      <c r="S374" s="61" t="str">
        <f>IFERROR(__xludf.DUMMYFUNCTION("INDIRECT(""'收支紀錄'!S""&amp;TO_TEXT(ROW()-$C$72))"),"IKEA各式收納櫃")</f>
        <v>IKEA各式收納櫃</v>
      </c>
      <c r="T374" s="61" t="str">
        <f>IFERROR(__xludf.DUMMYFUNCTION("INDIRECT(""'收支紀錄'!T""&amp;TO_TEXT(ROW()-$C$72))"),"否")</f>
        <v>否</v>
      </c>
      <c r="U374" s="62" t="str">
        <f>IFERROR(__xludf.DUMMYFUNCTION("IF(T374=""是"",TEXTJOIN("""", TRUE, ""$"", TO_TEXT(C374), S374),"""")"),"")</f>
        <v/>
      </c>
    </row>
    <row r="375">
      <c r="A375" s="58">
        <f>IFERROR(__xludf.DUMMYFUNCTION("INDIRECT(""'收支紀錄'!A""&amp;TO_TEXT(ROW()-$C$72))"),45593.316362847225)</f>
        <v>45593.31636</v>
      </c>
      <c r="B375" s="59">
        <f>IFERROR(__xludf.DUMMYFUNCTION("IF(ISBLANK(D375), """", IF(ISDATE(D375), D375, IF(D375=""今天"", A375, IF(D375=""昨天 (-1 day)"", A375-1, IF(D375=""前天 (-2 days)"", A375-2, IF(D375=""明天 (+1 day)"", A375+1, DATE(LEFT(D375,4), MID(D375,5,2), RIGHT(D375,2))))))))"),45593.316362847225)</f>
        <v>45593.31636</v>
      </c>
      <c r="C375" s="60">
        <f>IFERROR(__xludf.DUMMYFUNCTION("INDIRECT(""'收支紀錄'!C""&amp;TO_TEXT(ROW()-$C$72))"),20.0)</f>
        <v>20</v>
      </c>
      <c r="D375" s="63" t="str">
        <f>IFERROR(__xludf.DUMMYFUNCTION("INDIRECT(""'收支紀錄'!D""&amp;TO_TEXT(ROW()-$C$72))"),"今天")</f>
        <v>今天</v>
      </c>
      <c r="E375" s="61" t="str">
        <f>IFERROR(__xludf.DUMMYFUNCTION("INDIRECT(""'收支紀錄'!E""&amp;TO_TEXT(ROW()-$C$72))"),"")</f>
        <v/>
      </c>
      <c r="F375" s="61" t="str">
        <f>IFERROR(__xludf.DUMMYFUNCTION("INDIRECT(""'收支紀錄'!F""&amp;TO_TEXT(ROW()-$C$72))"),"")</f>
        <v/>
      </c>
      <c r="G375" s="61" t="str">
        <f>IFERROR(__xludf.DUMMYFUNCTION("INDIRECT(""'收支紀錄'!G""&amp;TO_TEXT(ROW()-$C$72))"),"")</f>
        <v/>
      </c>
      <c r="H375" s="61" t="str">
        <f>IFERROR(__xludf.DUMMYFUNCTION("INDIRECT(""'收支紀錄'!H""&amp;TO_TEXT(ROW()-$C$72))"),"行車交通")</f>
        <v>行車交通</v>
      </c>
      <c r="I375" s="61" t="str">
        <f>IFERROR(__xludf.DUMMYFUNCTION("INDIRECT(""'收支紀錄'!I""&amp;TO_TEXT(ROW()-$C$72))"),"")</f>
        <v/>
      </c>
      <c r="J375" s="61" t="str">
        <f>IFERROR(__xludf.DUMMYFUNCTION("INDIRECT(""'收支紀錄'!J""&amp;TO_TEXT(ROW()-$C$72))"),"")</f>
        <v/>
      </c>
      <c r="K375" s="61" t="str">
        <f>IFERROR(__xludf.DUMMYFUNCTION("INDIRECT(""'收支紀錄'!K""&amp;TO_TEXT(ROW()-$C$72))"),"")</f>
        <v/>
      </c>
      <c r="L375" s="61" t="str">
        <f>IFERROR(__xludf.DUMMYFUNCTION("INDIRECT(""'收支紀錄'!L""&amp;TO_TEXT(ROW()-$C$72))"),"捷運費")</f>
        <v>捷運費</v>
      </c>
      <c r="M375" s="61" t="str">
        <f>IFERROR(__xludf.DUMMYFUNCTION("INDIRECT(""'收支紀錄'!M""&amp;TO_TEXT(ROW()-$C$72))"),"")</f>
        <v/>
      </c>
      <c r="N375" s="61" t="str">
        <f>IFERROR(__xludf.DUMMYFUNCTION("INDIRECT(""'收支紀錄'!N""&amp;TO_TEXT(ROW()-$C$72))"),"")</f>
        <v/>
      </c>
      <c r="O375" s="61" t="str">
        <f>IFERROR(__xludf.DUMMYFUNCTION("INDIRECT(""'收支紀錄'!O""&amp;TO_TEXT(ROW()-$C$72))"),"")</f>
        <v/>
      </c>
      <c r="P375" s="61" t="str">
        <f>IFERROR(__xludf.DUMMYFUNCTION("INDIRECT(""'收支紀錄'!P""&amp;TO_TEXT(ROW()-$C$72))"),"")</f>
        <v/>
      </c>
      <c r="Q375" s="61" t="str">
        <f>IFERROR(__xludf.DUMMYFUNCTION("INDIRECT(""'收支紀錄'!Q""&amp;TO_TEXT(ROW()-$C$72))"),"")</f>
        <v/>
      </c>
      <c r="R375" s="61" t="str">
        <f>IFERROR(__xludf.DUMMYFUNCTION("INDIRECT(""'收支紀錄'!R""&amp;TO_TEXT(ROW()-$C$72))"),"")</f>
        <v/>
      </c>
      <c r="S375" s="61" t="str">
        <f>IFERROR(__xludf.DUMMYFUNCTION("INDIRECT(""'收支紀錄'!S""&amp;TO_TEXT(ROW()-$C$72))"),"")</f>
        <v/>
      </c>
      <c r="T375" s="61" t="str">
        <f>IFERROR(__xludf.DUMMYFUNCTION("INDIRECT(""'收支紀錄'!T""&amp;TO_TEXT(ROW()-$C$72))"),"")</f>
        <v/>
      </c>
      <c r="U375" s="62" t="str">
        <f>IFERROR(__xludf.DUMMYFUNCTION("IF(T375=""是"",TEXTJOIN("""", TRUE, ""$"", TO_TEXT(C375), S375),"""")"),"")</f>
        <v/>
      </c>
    </row>
    <row r="376">
      <c r="A376" s="58">
        <f>IFERROR(__xludf.DUMMYFUNCTION("INDIRECT(""'收支紀錄'!A""&amp;TO_TEXT(ROW()-$C$72))"),45593.3165590625)</f>
        <v>45593.31656</v>
      </c>
      <c r="B376" s="59">
        <f>IFERROR(__xludf.DUMMYFUNCTION("IF(ISBLANK(D376), """", IF(ISDATE(D376), D376, IF(D376=""今天"", A376, IF(D376=""昨天 (-1 day)"", A376-1, IF(D376=""前天 (-2 days)"", A376-2, IF(D376=""明天 (+1 day)"", A376+1, DATE(LEFT(D376,4), MID(D376,5,2), RIGHT(D376,2))))))))"),45593.3165590625)</f>
        <v>45593.31656</v>
      </c>
      <c r="C376" s="60">
        <f>IFERROR(__xludf.DUMMYFUNCTION("INDIRECT(""'收支紀錄'!C""&amp;TO_TEXT(ROW()-$C$72))"),91.0)</f>
        <v>91</v>
      </c>
      <c r="D376" s="63" t="str">
        <f>IFERROR(__xludf.DUMMYFUNCTION("INDIRECT(""'收支紀錄'!D""&amp;TO_TEXT(ROW()-$C$72))"),"今天")</f>
        <v>今天</v>
      </c>
      <c r="E376" s="61" t="str">
        <f>IFERROR(__xludf.DUMMYFUNCTION("INDIRECT(""'收支紀錄'!E""&amp;TO_TEXT(ROW()-$C$72))"),"")</f>
        <v/>
      </c>
      <c r="F376" s="61" t="str">
        <f>IFERROR(__xludf.DUMMYFUNCTION("INDIRECT(""'收支紀錄'!F""&amp;TO_TEXT(ROW()-$C$72))"),"")</f>
        <v/>
      </c>
      <c r="G376" s="61" t="str">
        <f>IFERROR(__xludf.DUMMYFUNCTION("INDIRECT(""'收支紀錄'!G""&amp;TO_TEXT(ROW()-$C$72))"),"")</f>
        <v/>
      </c>
      <c r="H376" s="61" t="str">
        <f>IFERROR(__xludf.DUMMYFUNCTION("INDIRECT(""'收支紀錄'!H""&amp;TO_TEXT(ROW()-$C$72))"),"行車交通")</f>
        <v>行車交通</v>
      </c>
      <c r="I376" s="61" t="str">
        <f>IFERROR(__xludf.DUMMYFUNCTION("INDIRECT(""'收支紀錄'!I""&amp;TO_TEXT(ROW()-$C$72))"),"")</f>
        <v/>
      </c>
      <c r="J376" s="61" t="str">
        <f>IFERROR(__xludf.DUMMYFUNCTION("INDIRECT(""'收支紀錄'!J""&amp;TO_TEXT(ROW()-$C$72))"),"")</f>
        <v/>
      </c>
      <c r="K376" s="61" t="str">
        <f>IFERROR(__xludf.DUMMYFUNCTION("INDIRECT(""'收支紀錄'!K""&amp;TO_TEXT(ROW()-$C$72))"),"")</f>
        <v/>
      </c>
      <c r="L376" s="61" t="str">
        <f>IFERROR(__xludf.DUMMYFUNCTION("INDIRECT(""'收支紀錄'!L""&amp;TO_TEXT(ROW()-$C$72))"),"火車費")</f>
        <v>火車費</v>
      </c>
      <c r="M376" s="61" t="str">
        <f>IFERROR(__xludf.DUMMYFUNCTION("INDIRECT(""'收支紀錄'!M""&amp;TO_TEXT(ROW()-$C$72))"),"")</f>
        <v/>
      </c>
      <c r="N376" s="61" t="str">
        <f>IFERROR(__xludf.DUMMYFUNCTION("INDIRECT(""'收支紀錄'!N""&amp;TO_TEXT(ROW()-$C$72))"),"")</f>
        <v/>
      </c>
      <c r="O376" s="61" t="str">
        <f>IFERROR(__xludf.DUMMYFUNCTION("INDIRECT(""'收支紀錄'!O""&amp;TO_TEXT(ROW()-$C$72))"),"")</f>
        <v/>
      </c>
      <c r="P376" s="61" t="str">
        <f>IFERROR(__xludf.DUMMYFUNCTION("INDIRECT(""'收支紀錄'!P""&amp;TO_TEXT(ROW()-$C$72))"),"")</f>
        <v/>
      </c>
      <c r="Q376" s="61" t="str">
        <f>IFERROR(__xludf.DUMMYFUNCTION("INDIRECT(""'收支紀錄'!Q""&amp;TO_TEXT(ROW()-$C$72))"),"")</f>
        <v/>
      </c>
      <c r="R376" s="61" t="str">
        <f>IFERROR(__xludf.DUMMYFUNCTION("INDIRECT(""'收支紀錄'!R""&amp;TO_TEXT(ROW()-$C$72))"),"")</f>
        <v/>
      </c>
      <c r="S376" s="61" t="str">
        <f>IFERROR(__xludf.DUMMYFUNCTION("INDIRECT(""'收支紀錄'!S""&amp;TO_TEXT(ROW()-$C$72))"),"")</f>
        <v/>
      </c>
      <c r="T376" s="61" t="str">
        <f>IFERROR(__xludf.DUMMYFUNCTION("INDIRECT(""'收支紀錄'!T""&amp;TO_TEXT(ROW()-$C$72))"),"")</f>
        <v/>
      </c>
      <c r="U376" s="62" t="str">
        <f>IFERROR(__xludf.DUMMYFUNCTION("IF(T376=""是"",TEXTJOIN("""", TRUE, ""$"", TO_TEXT(C376), S376),"""")"),"")</f>
        <v/>
      </c>
    </row>
    <row r="377">
      <c r="A377" s="58">
        <f>IFERROR(__xludf.DUMMYFUNCTION("INDIRECT(""'收支紀錄'!A""&amp;TO_TEXT(ROW()-$C$72))"),45593.31679842593)</f>
        <v>45593.3168</v>
      </c>
      <c r="B377" s="59">
        <f>IFERROR(__xludf.DUMMYFUNCTION("IF(ISBLANK(D377), """", IF(ISDATE(D377), D377, IF(D377=""今天"", A377, IF(D377=""昨天 (-1 day)"", A377-1, IF(D377=""前天 (-2 days)"", A377-2, IF(D377=""明天 (+1 day)"", A377+1, DATE(LEFT(D377,4), MID(D377,5,2), RIGHT(D377,2))))))))"),45597.0)</f>
        <v>45597</v>
      </c>
      <c r="C377" s="60">
        <f>IFERROR(__xludf.DUMMYFUNCTION("INDIRECT(""'收支紀錄'!C""&amp;TO_TEXT(ROW()-$C$72))"),623.0)</f>
        <v>623</v>
      </c>
      <c r="D377" s="63">
        <f>IFERROR(__xludf.DUMMYFUNCTION("INDIRECT(""'收支紀錄'!D""&amp;TO_TEXT(ROW()-$C$72))"),2.0241101E7)</f>
        <v>20241101</v>
      </c>
      <c r="E377" s="61" t="str">
        <f>IFERROR(__xludf.DUMMYFUNCTION("INDIRECT(""'收支紀錄'!E""&amp;TO_TEXT(ROW()-$C$72))"),"")</f>
        <v/>
      </c>
      <c r="F377" s="61" t="str">
        <f>IFERROR(__xludf.DUMMYFUNCTION("INDIRECT(""'收支紀錄'!F""&amp;TO_TEXT(ROW()-$C$72))"),"")</f>
        <v/>
      </c>
      <c r="G377" s="61" t="str">
        <f>IFERROR(__xludf.DUMMYFUNCTION("INDIRECT(""'收支紀錄'!G""&amp;TO_TEXT(ROW()-$C$72))"),"")</f>
        <v/>
      </c>
      <c r="H377" s="61" t="str">
        <f>IFERROR(__xludf.DUMMYFUNCTION("INDIRECT(""'收支紀錄'!H""&amp;TO_TEXT(ROW()-$C$72))"),"行車交通")</f>
        <v>行車交通</v>
      </c>
      <c r="I377" s="61" t="str">
        <f>IFERROR(__xludf.DUMMYFUNCTION("INDIRECT(""'收支紀錄'!I""&amp;TO_TEXT(ROW()-$C$72))"),"")</f>
        <v/>
      </c>
      <c r="J377" s="61" t="str">
        <f>IFERROR(__xludf.DUMMYFUNCTION("INDIRECT(""'收支紀錄'!J""&amp;TO_TEXT(ROW()-$C$72))"),"")</f>
        <v/>
      </c>
      <c r="K377" s="61" t="str">
        <f>IFERROR(__xludf.DUMMYFUNCTION("INDIRECT(""'收支紀錄'!K""&amp;TO_TEXT(ROW()-$C$72))"),"")</f>
        <v/>
      </c>
      <c r="L377" s="61" t="str">
        <f>IFERROR(__xludf.DUMMYFUNCTION("INDIRECT(""'收支紀錄'!L""&amp;TO_TEXT(ROW()-$C$72))"),"火車費")</f>
        <v>火車費</v>
      </c>
      <c r="M377" s="61" t="str">
        <f>IFERROR(__xludf.DUMMYFUNCTION("INDIRECT(""'收支紀錄'!M""&amp;TO_TEXT(ROW()-$C$72))"),"")</f>
        <v/>
      </c>
      <c r="N377" s="61" t="str">
        <f>IFERROR(__xludf.DUMMYFUNCTION("INDIRECT(""'收支紀錄'!N""&amp;TO_TEXT(ROW()-$C$72))"),"")</f>
        <v/>
      </c>
      <c r="O377" s="61" t="str">
        <f>IFERROR(__xludf.DUMMYFUNCTION("INDIRECT(""'收支紀錄'!O""&amp;TO_TEXT(ROW()-$C$72))"),"")</f>
        <v/>
      </c>
      <c r="P377" s="61" t="str">
        <f>IFERROR(__xludf.DUMMYFUNCTION("INDIRECT(""'收支紀錄'!P""&amp;TO_TEXT(ROW()-$C$72))"),"")</f>
        <v/>
      </c>
      <c r="Q377" s="61" t="str">
        <f>IFERROR(__xludf.DUMMYFUNCTION("INDIRECT(""'收支紀錄'!Q""&amp;TO_TEXT(ROW()-$C$72))"),"")</f>
        <v/>
      </c>
      <c r="R377" s="61" t="str">
        <f>IFERROR(__xludf.DUMMYFUNCTION("INDIRECT(""'收支紀錄'!R""&amp;TO_TEXT(ROW()-$C$72))"),"")</f>
        <v/>
      </c>
      <c r="S377" s="61" t="str">
        <f>IFERROR(__xludf.DUMMYFUNCTION("INDIRECT(""'收支紀錄'!S""&amp;TO_TEXT(ROW()-$C$72))"),"")</f>
        <v/>
      </c>
      <c r="T377" s="61" t="str">
        <f>IFERROR(__xludf.DUMMYFUNCTION("INDIRECT(""'收支紀錄'!T""&amp;TO_TEXT(ROW()-$C$72))"),"")</f>
        <v/>
      </c>
      <c r="U377" s="62" t="str">
        <f>IFERROR(__xludf.DUMMYFUNCTION("IF(T377=""是"",TEXTJOIN("""", TRUE, ""$"", TO_TEXT(C377), S377),"""")"),"")</f>
        <v/>
      </c>
    </row>
    <row r="378">
      <c r="A378" s="58">
        <f>IFERROR(__xludf.DUMMYFUNCTION("INDIRECT(""'收支紀錄'!A""&amp;TO_TEXT(ROW()-$C$72))"),45593.31719699074)</f>
        <v>45593.3172</v>
      </c>
      <c r="B378" s="59">
        <f>IFERROR(__xludf.DUMMYFUNCTION("IF(ISBLANK(D378), """", IF(ISDATE(D378), D378, IF(D378=""今天"", A378, IF(D378=""昨天 (-1 day)"", A378-1, IF(D378=""前天 (-2 days)"", A378-2, IF(D378=""明天 (+1 day)"", A378+1, DATE(LEFT(D378,4), MID(D378,5,2), RIGHT(D378,2))))))))"),45600.0)</f>
        <v>45600</v>
      </c>
      <c r="C378" s="60">
        <f>IFERROR(__xludf.DUMMYFUNCTION("INDIRECT(""'收支紀錄'!C""&amp;TO_TEXT(ROW()-$C$72))"),623.0)</f>
        <v>623</v>
      </c>
      <c r="D378" s="63">
        <f>IFERROR(__xludf.DUMMYFUNCTION("INDIRECT(""'收支紀錄'!D""&amp;TO_TEXT(ROW()-$C$72))"),2.0241104E7)</f>
        <v>20241104</v>
      </c>
      <c r="E378" s="61" t="str">
        <f>IFERROR(__xludf.DUMMYFUNCTION("INDIRECT(""'收支紀錄'!E""&amp;TO_TEXT(ROW()-$C$72))"),"")</f>
        <v/>
      </c>
      <c r="F378" s="61" t="str">
        <f>IFERROR(__xludf.DUMMYFUNCTION("INDIRECT(""'收支紀錄'!F""&amp;TO_TEXT(ROW()-$C$72))"),"")</f>
        <v/>
      </c>
      <c r="G378" s="61" t="str">
        <f>IFERROR(__xludf.DUMMYFUNCTION("INDIRECT(""'收支紀錄'!G""&amp;TO_TEXT(ROW()-$C$72))"),"")</f>
        <v/>
      </c>
      <c r="H378" s="61" t="str">
        <f>IFERROR(__xludf.DUMMYFUNCTION("INDIRECT(""'收支紀錄'!H""&amp;TO_TEXT(ROW()-$C$72))"),"行車交通")</f>
        <v>行車交通</v>
      </c>
      <c r="I378" s="61" t="str">
        <f>IFERROR(__xludf.DUMMYFUNCTION("INDIRECT(""'收支紀錄'!I""&amp;TO_TEXT(ROW()-$C$72))"),"")</f>
        <v/>
      </c>
      <c r="J378" s="61" t="str">
        <f>IFERROR(__xludf.DUMMYFUNCTION("INDIRECT(""'收支紀錄'!J""&amp;TO_TEXT(ROW()-$C$72))"),"")</f>
        <v/>
      </c>
      <c r="K378" s="61" t="str">
        <f>IFERROR(__xludf.DUMMYFUNCTION("INDIRECT(""'收支紀錄'!K""&amp;TO_TEXT(ROW()-$C$72))"),"")</f>
        <v/>
      </c>
      <c r="L378" s="61" t="str">
        <f>IFERROR(__xludf.DUMMYFUNCTION("INDIRECT(""'收支紀錄'!L""&amp;TO_TEXT(ROW()-$C$72))"),"火車費")</f>
        <v>火車費</v>
      </c>
      <c r="M378" s="61" t="str">
        <f>IFERROR(__xludf.DUMMYFUNCTION("INDIRECT(""'收支紀錄'!M""&amp;TO_TEXT(ROW()-$C$72))"),"")</f>
        <v/>
      </c>
      <c r="N378" s="61" t="str">
        <f>IFERROR(__xludf.DUMMYFUNCTION("INDIRECT(""'收支紀錄'!N""&amp;TO_TEXT(ROW()-$C$72))"),"")</f>
        <v/>
      </c>
      <c r="O378" s="61" t="str">
        <f>IFERROR(__xludf.DUMMYFUNCTION("INDIRECT(""'收支紀錄'!O""&amp;TO_TEXT(ROW()-$C$72))"),"")</f>
        <v/>
      </c>
      <c r="P378" s="61" t="str">
        <f>IFERROR(__xludf.DUMMYFUNCTION("INDIRECT(""'收支紀錄'!P""&amp;TO_TEXT(ROW()-$C$72))"),"")</f>
        <v/>
      </c>
      <c r="Q378" s="61" t="str">
        <f>IFERROR(__xludf.DUMMYFUNCTION("INDIRECT(""'收支紀錄'!Q""&amp;TO_TEXT(ROW()-$C$72))"),"")</f>
        <v/>
      </c>
      <c r="R378" s="61" t="str">
        <f>IFERROR(__xludf.DUMMYFUNCTION("INDIRECT(""'收支紀錄'!R""&amp;TO_TEXT(ROW()-$C$72))"),"")</f>
        <v/>
      </c>
      <c r="S378" s="61" t="str">
        <f>IFERROR(__xludf.DUMMYFUNCTION("INDIRECT(""'收支紀錄'!S""&amp;TO_TEXT(ROW()-$C$72))"),"")</f>
        <v/>
      </c>
      <c r="T378" s="61" t="str">
        <f>IFERROR(__xludf.DUMMYFUNCTION("INDIRECT(""'收支紀錄'!T""&amp;TO_TEXT(ROW()-$C$72))"),"")</f>
        <v/>
      </c>
      <c r="U378" s="62" t="str">
        <f>IFERROR(__xludf.DUMMYFUNCTION("IF(T378=""是"",TEXTJOIN("""", TRUE, ""$"", TO_TEXT(C378), S378),"""")"),"")</f>
        <v/>
      </c>
    </row>
    <row r="379">
      <c r="A379" s="58">
        <f>IFERROR(__xludf.DUMMYFUNCTION("INDIRECT(""'收支紀錄'!A""&amp;TO_TEXT(ROW()-$C$72))"),45595.29905489583)</f>
        <v>45595.29905</v>
      </c>
      <c r="B379" s="59">
        <f>IFERROR(__xludf.DUMMYFUNCTION("IF(ISBLANK(D379), """", IF(ISDATE(D379), D379, IF(D379=""今天"", A379, IF(D379=""昨天 (-1 day)"", A379-1, IF(D379=""前天 (-2 days)"", A379-2, IF(D379=""明天 (+1 day)"", A379+1, DATE(LEFT(D379,4), MID(D379,5,2), RIGHT(D379,2))))))))"),45595.29905489583)</f>
        <v>45595.29905</v>
      </c>
      <c r="C379" s="60">
        <f>IFERROR(__xludf.DUMMYFUNCTION("INDIRECT(""'收支紀錄'!C""&amp;TO_TEXT(ROW()-$C$72))"),324.0)</f>
        <v>324</v>
      </c>
      <c r="D379" s="63" t="str">
        <f>IFERROR(__xludf.DUMMYFUNCTION("INDIRECT(""'收支紀錄'!D""&amp;TO_TEXT(ROW()-$C$72))"),"今天")</f>
        <v>今天</v>
      </c>
      <c r="E379" s="61" t="str">
        <f>IFERROR(__xludf.DUMMYFUNCTION("INDIRECT(""'收支紀錄'!E""&amp;TO_TEXT(ROW()-$C$72))"),"")</f>
        <v/>
      </c>
      <c r="F379" s="61" t="str">
        <f>IFERROR(__xludf.DUMMYFUNCTION("INDIRECT(""'收支紀錄'!F""&amp;TO_TEXT(ROW()-$C$72))"),"")</f>
        <v/>
      </c>
      <c r="G379" s="61" t="str">
        <f>IFERROR(__xludf.DUMMYFUNCTION("INDIRECT(""'收支紀錄'!G""&amp;TO_TEXT(ROW()-$C$72))"),"")</f>
        <v/>
      </c>
      <c r="H379" s="61" t="str">
        <f>IFERROR(__xludf.DUMMYFUNCTION("INDIRECT(""'收支紀錄'!H""&amp;TO_TEXT(ROW()-$C$72))"),"進修學習")</f>
        <v>進修學習</v>
      </c>
      <c r="I379" s="61" t="str">
        <f>IFERROR(__xludf.DUMMYFUNCTION("INDIRECT(""'收支紀錄'!I""&amp;TO_TEXT(ROW()-$C$72))"),"")</f>
        <v/>
      </c>
      <c r="J379" s="61" t="str">
        <f>IFERROR(__xludf.DUMMYFUNCTION("INDIRECT(""'收支紀錄'!J""&amp;TO_TEXT(ROW()-$C$72))"),"")</f>
        <v/>
      </c>
      <c r="K379" s="61" t="str">
        <f>IFERROR(__xludf.DUMMYFUNCTION("INDIRECT(""'收支紀錄'!K""&amp;TO_TEXT(ROW()-$C$72))"),"")</f>
        <v/>
      </c>
      <c r="L379" s="61" t="str">
        <f>IFERROR(__xludf.DUMMYFUNCTION("INDIRECT(""'收支紀錄'!L""&amp;TO_TEXT(ROW()-$C$72))"),"")</f>
        <v/>
      </c>
      <c r="M379" s="61" t="str">
        <f>IFERROR(__xludf.DUMMYFUNCTION("INDIRECT(""'收支紀錄'!M""&amp;TO_TEXT(ROW()-$C$72))"),"")</f>
        <v/>
      </c>
      <c r="N379" s="61" t="str">
        <f>IFERROR(__xludf.DUMMYFUNCTION("INDIRECT(""'收支紀錄'!N""&amp;TO_TEXT(ROW()-$C$72))"),"")</f>
        <v/>
      </c>
      <c r="O379" s="61" t="str">
        <f>IFERROR(__xludf.DUMMYFUNCTION("INDIRECT(""'收支紀錄'!O""&amp;TO_TEXT(ROW()-$C$72))"),"")</f>
        <v/>
      </c>
      <c r="P379" s="61" t="str">
        <f>IFERROR(__xludf.DUMMYFUNCTION("INDIRECT(""'收支紀錄'!P""&amp;TO_TEXT(ROW()-$C$72))"),"書報雜誌")</f>
        <v>書報雜誌</v>
      </c>
      <c r="Q379" s="61" t="str">
        <f>IFERROR(__xludf.DUMMYFUNCTION("INDIRECT(""'收支紀錄'!Q""&amp;TO_TEXT(ROW()-$C$72))"),"")</f>
        <v/>
      </c>
      <c r="R379" s="61" t="str">
        <f>IFERROR(__xludf.DUMMYFUNCTION("INDIRECT(""'收支紀錄'!R""&amp;TO_TEXT(ROW()-$C$72))"),"")</f>
        <v/>
      </c>
      <c r="S379" s="61" t="str">
        <f>IFERROR(__xludf.DUMMYFUNCTION("INDIRECT(""'收支紀錄'!S""&amp;TO_TEXT(ROW()-$C$72))"),"蝦皮：致富心態")</f>
        <v>蝦皮：致富心態</v>
      </c>
      <c r="T379" s="61" t="str">
        <f>IFERROR(__xludf.DUMMYFUNCTION("INDIRECT(""'收支紀錄'!T""&amp;TO_TEXT(ROW()-$C$72))"),"")</f>
        <v/>
      </c>
      <c r="U379" s="62" t="str">
        <f>IFERROR(__xludf.DUMMYFUNCTION("IF(T379=""是"",TEXTJOIN("""", TRUE, ""$"", TO_TEXT(C379), S379),"""")"),"")</f>
        <v/>
      </c>
    </row>
    <row r="380">
      <c r="A380" s="58">
        <f>IFERROR(__xludf.DUMMYFUNCTION("INDIRECT(""'收支紀錄'!A""&amp;TO_TEXT(ROW()-$C$72))"),45597.55749222222)</f>
        <v>45597.55749</v>
      </c>
      <c r="B380" s="59">
        <f>IFERROR(__xludf.DUMMYFUNCTION("IF(ISBLANK(D380), """", IF(ISDATE(D380), D380, IF(D380=""今天"", A380, IF(D380=""昨天 (-1 day)"", A380-1, IF(D380=""前天 (-2 days)"", A380-2, IF(D380=""明天 (+1 day)"", A380+1, DATE(LEFT(D380,4), MID(D380,5,2), RIGHT(D380,2))))))))"),45595.55749222222)</f>
        <v>45595.55749</v>
      </c>
      <c r="C380" s="60">
        <f>IFERROR(__xludf.DUMMYFUNCTION("INDIRECT(""'收支紀錄'!C""&amp;TO_TEXT(ROW()-$C$72))"),91.0)</f>
        <v>91</v>
      </c>
      <c r="D380" s="63" t="str">
        <f>IFERROR(__xludf.DUMMYFUNCTION("INDIRECT(""'收支紀錄'!D""&amp;TO_TEXT(ROW()-$C$72))"),"前天 (-2 days)")</f>
        <v>前天 (-2 days)</v>
      </c>
      <c r="E380" s="61" t="str">
        <f>IFERROR(__xludf.DUMMYFUNCTION("INDIRECT(""'收支紀錄'!E""&amp;TO_TEXT(ROW()-$C$72))"),"")</f>
        <v/>
      </c>
      <c r="F380" s="61" t="str">
        <f>IFERROR(__xludf.DUMMYFUNCTION("INDIRECT(""'收支紀錄'!F""&amp;TO_TEXT(ROW()-$C$72))"),"")</f>
        <v/>
      </c>
      <c r="G380" s="61" t="str">
        <f>IFERROR(__xludf.DUMMYFUNCTION("INDIRECT(""'收支紀錄'!G""&amp;TO_TEXT(ROW()-$C$72))"),"")</f>
        <v/>
      </c>
      <c r="H380" s="61" t="str">
        <f>IFERROR(__xludf.DUMMYFUNCTION("INDIRECT(""'收支紀錄'!H""&amp;TO_TEXT(ROW()-$C$72))"),"行車交通")</f>
        <v>行車交通</v>
      </c>
      <c r="I380" s="61" t="str">
        <f>IFERROR(__xludf.DUMMYFUNCTION("INDIRECT(""'收支紀錄'!I""&amp;TO_TEXT(ROW()-$C$72))"),"")</f>
        <v/>
      </c>
      <c r="J380" s="61" t="str">
        <f>IFERROR(__xludf.DUMMYFUNCTION("INDIRECT(""'收支紀錄'!J""&amp;TO_TEXT(ROW()-$C$72))"),"")</f>
        <v/>
      </c>
      <c r="K380" s="61" t="str">
        <f>IFERROR(__xludf.DUMMYFUNCTION("INDIRECT(""'收支紀錄'!K""&amp;TO_TEXT(ROW()-$C$72))"),"")</f>
        <v/>
      </c>
      <c r="L380" s="61" t="str">
        <f>IFERROR(__xludf.DUMMYFUNCTION("INDIRECT(""'收支紀錄'!L""&amp;TO_TEXT(ROW()-$C$72))"),"火車費")</f>
        <v>火車費</v>
      </c>
      <c r="M380" s="61" t="str">
        <f>IFERROR(__xludf.DUMMYFUNCTION("INDIRECT(""'收支紀錄'!M""&amp;TO_TEXT(ROW()-$C$72))"),"")</f>
        <v/>
      </c>
      <c r="N380" s="61" t="str">
        <f>IFERROR(__xludf.DUMMYFUNCTION("INDIRECT(""'收支紀錄'!N""&amp;TO_TEXT(ROW()-$C$72))"),"")</f>
        <v/>
      </c>
      <c r="O380" s="61" t="str">
        <f>IFERROR(__xludf.DUMMYFUNCTION("INDIRECT(""'收支紀錄'!O""&amp;TO_TEXT(ROW()-$C$72))"),"")</f>
        <v/>
      </c>
      <c r="P380" s="61" t="str">
        <f>IFERROR(__xludf.DUMMYFUNCTION("INDIRECT(""'收支紀錄'!P""&amp;TO_TEXT(ROW()-$C$72))"),"")</f>
        <v/>
      </c>
      <c r="Q380" s="61" t="str">
        <f>IFERROR(__xludf.DUMMYFUNCTION("INDIRECT(""'收支紀錄'!Q""&amp;TO_TEXT(ROW()-$C$72))"),"")</f>
        <v/>
      </c>
      <c r="R380" s="61" t="str">
        <f>IFERROR(__xludf.DUMMYFUNCTION("INDIRECT(""'收支紀錄'!R""&amp;TO_TEXT(ROW()-$C$72))"),"")</f>
        <v/>
      </c>
      <c r="S380" s="61" t="str">
        <f>IFERROR(__xludf.DUMMYFUNCTION("INDIRECT(""'收支紀錄'!S""&amp;TO_TEXT(ROW()-$C$72))"),"")</f>
        <v/>
      </c>
      <c r="T380" s="61" t="str">
        <f>IFERROR(__xludf.DUMMYFUNCTION("INDIRECT(""'收支紀錄'!T""&amp;TO_TEXT(ROW()-$C$72))"),"")</f>
        <v/>
      </c>
      <c r="U380" s="62" t="str">
        <f>IFERROR(__xludf.DUMMYFUNCTION("IF(T380=""是"",TEXTJOIN("""", TRUE, ""$"", TO_TEXT(C380), S380),"""")"),"")</f>
        <v/>
      </c>
    </row>
    <row r="381">
      <c r="A381" s="58">
        <f>IFERROR(__xludf.DUMMYFUNCTION("INDIRECT(""'收支紀錄'!A""&amp;TO_TEXT(ROW()-$C$72))"),45597.55769113426)</f>
        <v>45597.55769</v>
      </c>
      <c r="B381" s="59">
        <f>IFERROR(__xludf.DUMMYFUNCTION("IF(ISBLANK(D381), """", IF(ISDATE(D381), D381, IF(D381=""今天"", A381, IF(D381=""昨天 (-1 day)"", A381-1, IF(D381=""前天 (-2 days)"", A381-2, IF(D381=""明天 (+1 day)"", A381+1, DATE(LEFT(D381,4), MID(D381,5,2), RIGHT(D381,2))))))))"),45595.55769113426)</f>
        <v>45595.55769</v>
      </c>
      <c r="C381" s="60">
        <f>IFERROR(__xludf.DUMMYFUNCTION("INDIRECT(""'收支紀錄'!C""&amp;TO_TEXT(ROW()-$C$72))"),20.0)</f>
        <v>20</v>
      </c>
      <c r="D381" s="63" t="str">
        <f>IFERROR(__xludf.DUMMYFUNCTION("INDIRECT(""'收支紀錄'!D""&amp;TO_TEXT(ROW()-$C$72))"),"前天 (-2 days)")</f>
        <v>前天 (-2 days)</v>
      </c>
      <c r="E381" s="61" t="str">
        <f>IFERROR(__xludf.DUMMYFUNCTION("INDIRECT(""'收支紀錄'!E""&amp;TO_TEXT(ROW()-$C$72))"),"")</f>
        <v/>
      </c>
      <c r="F381" s="61" t="str">
        <f>IFERROR(__xludf.DUMMYFUNCTION("INDIRECT(""'收支紀錄'!F""&amp;TO_TEXT(ROW()-$C$72))"),"")</f>
        <v/>
      </c>
      <c r="G381" s="61" t="str">
        <f>IFERROR(__xludf.DUMMYFUNCTION("INDIRECT(""'收支紀錄'!G""&amp;TO_TEXT(ROW()-$C$72))"),"")</f>
        <v/>
      </c>
      <c r="H381" s="61" t="str">
        <f>IFERROR(__xludf.DUMMYFUNCTION("INDIRECT(""'收支紀錄'!H""&amp;TO_TEXT(ROW()-$C$72))"),"行車交通")</f>
        <v>行車交通</v>
      </c>
      <c r="I381" s="61" t="str">
        <f>IFERROR(__xludf.DUMMYFUNCTION("INDIRECT(""'收支紀錄'!I""&amp;TO_TEXT(ROW()-$C$72))"),"")</f>
        <v/>
      </c>
      <c r="J381" s="61" t="str">
        <f>IFERROR(__xludf.DUMMYFUNCTION("INDIRECT(""'收支紀錄'!J""&amp;TO_TEXT(ROW()-$C$72))"),"")</f>
        <v/>
      </c>
      <c r="K381" s="61" t="str">
        <f>IFERROR(__xludf.DUMMYFUNCTION("INDIRECT(""'收支紀錄'!K""&amp;TO_TEXT(ROW()-$C$72))"),"")</f>
        <v/>
      </c>
      <c r="L381" s="61" t="str">
        <f>IFERROR(__xludf.DUMMYFUNCTION("INDIRECT(""'收支紀錄'!L""&amp;TO_TEXT(ROW()-$C$72))"),"捷運費")</f>
        <v>捷運費</v>
      </c>
      <c r="M381" s="61" t="str">
        <f>IFERROR(__xludf.DUMMYFUNCTION("INDIRECT(""'收支紀錄'!M""&amp;TO_TEXT(ROW()-$C$72))"),"")</f>
        <v/>
      </c>
      <c r="N381" s="61" t="str">
        <f>IFERROR(__xludf.DUMMYFUNCTION("INDIRECT(""'收支紀錄'!N""&amp;TO_TEXT(ROW()-$C$72))"),"")</f>
        <v/>
      </c>
      <c r="O381" s="61" t="str">
        <f>IFERROR(__xludf.DUMMYFUNCTION("INDIRECT(""'收支紀錄'!O""&amp;TO_TEXT(ROW()-$C$72))"),"")</f>
        <v/>
      </c>
      <c r="P381" s="61" t="str">
        <f>IFERROR(__xludf.DUMMYFUNCTION("INDIRECT(""'收支紀錄'!P""&amp;TO_TEXT(ROW()-$C$72))"),"")</f>
        <v/>
      </c>
      <c r="Q381" s="61" t="str">
        <f>IFERROR(__xludf.DUMMYFUNCTION("INDIRECT(""'收支紀錄'!Q""&amp;TO_TEXT(ROW()-$C$72))"),"")</f>
        <v/>
      </c>
      <c r="R381" s="61" t="str">
        <f>IFERROR(__xludf.DUMMYFUNCTION("INDIRECT(""'收支紀錄'!R""&amp;TO_TEXT(ROW()-$C$72))"),"")</f>
        <v/>
      </c>
      <c r="S381" s="61" t="str">
        <f>IFERROR(__xludf.DUMMYFUNCTION("INDIRECT(""'收支紀錄'!S""&amp;TO_TEXT(ROW()-$C$72))"),"")</f>
        <v/>
      </c>
      <c r="T381" s="61" t="str">
        <f>IFERROR(__xludf.DUMMYFUNCTION("INDIRECT(""'收支紀錄'!T""&amp;TO_TEXT(ROW()-$C$72))"),"")</f>
        <v/>
      </c>
      <c r="U381" s="62" t="str">
        <f>IFERROR(__xludf.DUMMYFUNCTION("IF(T381=""是"",TEXTJOIN("""", TRUE, ""$"", TO_TEXT(C381), S381),"""")"),"")</f>
        <v/>
      </c>
    </row>
    <row r="382">
      <c r="A382" s="58">
        <f>IFERROR(__xludf.DUMMYFUNCTION("INDIRECT(""'收支紀錄'!A""&amp;TO_TEXT(ROW()-$C$72))"),45597.55789737268)</f>
        <v>45597.5579</v>
      </c>
      <c r="B382" s="59">
        <f>IFERROR(__xludf.DUMMYFUNCTION("IF(ISBLANK(D382), """", IF(ISDATE(D382), D382, IF(D382=""今天"", A382, IF(D382=""昨天 (-1 day)"", A382-1, IF(D382=""前天 (-2 days)"", A382-2, IF(D382=""明天 (+1 day)"", A382+1, DATE(LEFT(D382,4), MID(D382,5,2), RIGHT(D382,2))))))))"),45596.55789737268)</f>
        <v>45596.5579</v>
      </c>
      <c r="C382" s="60">
        <f>IFERROR(__xludf.DUMMYFUNCTION("INDIRECT(""'收支紀錄'!C""&amp;TO_TEXT(ROW()-$C$72))"),116.0)</f>
        <v>116</v>
      </c>
      <c r="D382" s="63" t="str">
        <f>IFERROR(__xludf.DUMMYFUNCTION("INDIRECT(""'收支紀錄'!D""&amp;TO_TEXT(ROW()-$C$72))"),"昨天 (-1 day)")</f>
        <v>昨天 (-1 day)</v>
      </c>
      <c r="E382" s="61" t="str">
        <f>IFERROR(__xludf.DUMMYFUNCTION("INDIRECT(""'收支紀錄'!E""&amp;TO_TEXT(ROW()-$C$72))"),"")</f>
        <v/>
      </c>
      <c r="F382" s="61" t="str">
        <f>IFERROR(__xludf.DUMMYFUNCTION("INDIRECT(""'收支紀錄'!F""&amp;TO_TEXT(ROW()-$C$72))"),"")</f>
        <v/>
      </c>
      <c r="G382" s="61" t="str">
        <f>IFERROR(__xludf.DUMMYFUNCTION("INDIRECT(""'收支紀錄'!G""&amp;TO_TEXT(ROW()-$C$72))"),"")</f>
        <v/>
      </c>
      <c r="H382" s="61" t="str">
        <f>IFERROR(__xludf.DUMMYFUNCTION("INDIRECT(""'收支紀錄'!H""&amp;TO_TEXT(ROW()-$C$72))"),"食品酒水")</f>
        <v>食品酒水</v>
      </c>
      <c r="I382" s="61" t="str">
        <f>IFERROR(__xludf.DUMMYFUNCTION("INDIRECT(""'收支紀錄'!I""&amp;TO_TEXT(ROW()-$C$72))"),"食材")</f>
        <v>食材</v>
      </c>
      <c r="J382" s="61" t="str">
        <f>IFERROR(__xludf.DUMMYFUNCTION("INDIRECT(""'收支紀錄'!J""&amp;TO_TEXT(ROW()-$C$72))"),"")</f>
        <v/>
      </c>
      <c r="K382" s="61" t="str">
        <f>IFERROR(__xludf.DUMMYFUNCTION("INDIRECT(""'收支紀錄'!K""&amp;TO_TEXT(ROW()-$C$72))"),"")</f>
        <v/>
      </c>
      <c r="L382" s="61" t="str">
        <f>IFERROR(__xludf.DUMMYFUNCTION("INDIRECT(""'收支紀錄'!L""&amp;TO_TEXT(ROW()-$C$72))"),"")</f>
        <v/>
      </c>
      <c r="M382" s="61" t="str">
        <f>IFERROR(__xludf.DUMMYFUNCTION("INDIRECT(""'收支紀錄'!M""&amp;TO_TEXT(ROW()-$C$72))"),"")</f>
        <v/>
      </c>
      <c r="N382" s="61" t="str">
        <f>IFERROR(__xludf.DUMMYFUNCTION("INDIRECT(""'收支紀錄'!N""&amp;TO_TEXT(ROW()-$C$72))"),"")</f>
        <v/>
      </c>
      <c r="O382" s="61" t="str">
        <f>IFERROR(__xludf.DUMMYFUNCTION("INDIRECT(""'收支紀錄'!O""&amp;TO_TEXT(ROW()-$C$72))"),"")</f>
        <v/>
      </c>
      <c r="P382" s="61" t="str">
        <f>IFERROR(__xludf.DUMMYFUNCTION("INDIRECT(""'收支紀錄'!P""&amp;TO_TEXT(ROW()-$C$72))"),"")</f>
        <v/>
      </c>
      <c r="Q382" s="61" t="str">
        <f>IFERROR(__xludf.DUMMYFUNCTION("INDIRECT(""'收支紀錄'!Q""&amp;TO_TEXT(ROW()-$C$72))"),"")</f>
        <v/>
      </c>
      <c r="R382" s="61" t="str">
        <f>IFERROR(__xludf.DUMMYFUNCTION("INDIRECT(""'收支紀錄'!R""&amp;TO_TEXT(ROW()-$C$72))"),"")</f>
        <v/>
      </c>
      <c r="S382" s="61" t="str">
        <f>IFERROR(__xludf.DUMMYFUNCTION("INDIRECT(""'收支紀錄'!S""&amp;TO_TEXT(ROW()-$C$72))"),"")</f>
        <v/>
      </c>
      <c r="T382" s="61" t="str">
        <f>IFERROR(__xludf.DUMMYFUNCTION("INDIRECT(""'收支紀錄'!T""&amp;TO_TEXT(ROW()-$C$72))"),"")</f>
        <v/>
      </c>
      <c r="U382" s="62" t="str">
        <f>IFERROR(__xludf.DUMMYFUNCTION("IF(T382=""是"",TEXTJOIN("""", TRUE, ""$"", TO_TEXT(C382), S382),"""")"),"")</f>
        <v/>
      </c>
    </row>
    <row r="383">
      <c r="A383" s="58">
        <f>IFERROR(__xludf.DUMMYFUNCTION("INDIRECT(""'收支紀錄'!A""&amp;TO_TEXT(ROW()-$C$72))"),45597.558284074075)</f>
        <v>45597.55828</v>
      </c>
      <c r="B383" s="59">
        <f>IFERROR(__xludf.DUMMYFUNCTION("IF(ISBLANK(D383), """", IF(ISDATE(D383), D383, IF(D383=""今天"", A383, IF(D383=""昨天 (-1 day)"", A383-1, IF(D383=""前天 (-2 days)"", A383-2, IF(D383=""明天 (+1 day)"", A383+1, DATE(LEFT(D383,4), MID(D383,5,2), RIGHT(D383,2))))))))"),45597.558284074075)</f>
        <v>45597.55828</v>
      </c>
      <c r="C383" s="60">
        <f>IFERROR(__xludf.DUMMYFUNCTION("INDIRECT(""'收支紀錄'!C""&amp;TO_TEXT(ROW()-$C$72))"),154.0)</f>
        <v>154</v>
      </c>
      <c r="D383" s="63" t="str">
        <f>IFERROR(__xludf.DUMMYFUNCTION("INDIRECT(""'收支紀錄'!D""&amp;TO_TEXT(ROW()-$C$72))"),"今天")</f>
        <v>今天</v>
      </c>
      <c r="E383" s="61" t="str">
        <f>IFERROR(__xludf.DUMMYFUNCTION("INDIRECT(""'收支紀錄'!E""&amp;TO_TEXT(ROW()-$C$72))"),"")</f>
        <v/>
      </c>
      <c r="F383" s="61" t="str">
        <f>IFERROR(__xludf.DUMMYFUNCTION("INDIRECT(""'收支紀錄'!F""&amp;TO_TEXT(ROW()-$C$72))"),"")</f>
        <v/>
      </c>
      <c r="G383" s="61" t="str">
        <f>IFERROR(__xludf.DUMMYFUNCTION("INDIRECT(""'收支紀錄'!G""&amp;TO_TEXT(ROW()-$C$72))"),"")</f>
        <v/>
      </c>
      <c r="H383" s="61" t="str">
        <f>IFERROR(__xludf.DUMMYFUNCTION("INDIRECT(""'收支紀錄'!H""&amp;TO_TEXT(ROW()-$C$72))"),"行車交通")</f>
        <v>行車交通</v>
      </c>
      <c r="I383" s="61" t="str">
        <f>IFERROR(__xludf.DUMMYFUNCTION("INDIRECT(""'收支紀錄'!I""&amp;TO_TEXT(ROW()-$C$72))"),"")</f>
        <v/>
      </c>
      <c r="J383" s="61" t="str">
        <f>IFERROR(__xludf.DUMMYFUNCTION("INDIRECT(""'收支紀錄'!J""&amp;TO_TEXT(ROW()-$C$72))"),"")</f>
        <v/>
      </c>
      <c r="K383" s="61" t="str">
        <f>IFERROR(__xludf.DUMMYFUNCTION("INDIRECT(""'收支紀錄'!K""&amp;TO_TEXT(ROW()-$C$72))"),"")</f>
        <v/>
      </c>
      <c r="L383" s="61" t="str">
        <f>IFERROR(__xludf.DUMMYFUNCTION("INDIRECT(""'收支紀錄'!L""&amp;TO_TEXT(ROW()-$C$72))"),"火車費")</f>
        <v>火車費</v>
      </c>
      <c r="M383" s="61" t="str">
        <f>IFERROR(__xludf.DUMMYFUNCTION("INDIRECT(""'收支紀錄'!M""&amp;TO_TEXT(ROW()-$C$72))"),"")</f>
        <v/>
      </c>
      <c r="N383" s="61" t="str">
        <f>IFERROR(__xludf.DUMMYFUNCTION("INDIRECT(""'收支紀錄'!N""&amp;TO_TEXT(ROW()-$C$72))"),"")</f>
        <v/>
      </c>
      <c r="O383" s="61" t="str">
        <f>IFERROR(__xludf.DUMMYFUNCTION("INDIRECT(""'收支紀錄'!O""&amp;TO_TEXT(ROW()-$C$72))"),"")</f>
        <v/>
      </c>
      <c r="P383" s="61" t="str">
        <f>IFERROR(__xludf.DUMMYFUNCTION("INDIRECT(""'收支紀錄'!P""&amp;TO_TEXT(ROW()-$C$72))"),"")</f>
        <v/>
      </c>
      <c r="Q383" s="61" t="str">
        <f>IFERROR(__xludf.DUMMYFUNCTION("INDIRECT(""'收支紀錄'!Q""&amp;TO_TEXT(ROW()-$C$72))"),"")</f>
        <v/>
      </c>
      <c r="R383" s="61" t="str">
        <f>IFERROR(__xludf.DUMMYFUNCTION("INDIRECT(""'收支紀錄'!R""&amp;TO_TEXT(ROW()-$C$72))"),"")</f>
        <v/>
      </c>
      <c r="S383" s="61" t="str">
        <f>IFERROR(__xludf.DUMMYFUNCTION("INDIRECT(""'收支紀錄'!S""&amp;TO_TEXT(ROW()-$C$72))"),"台中-竹南自強3000")</f>
        <v>台中-竹南自強3000</v>
      </c>
      <c r="T383" s="61" t="str">
        <f>IFERROR(__xludf.DUMMYFUNCTION("INDIRECT(""'收支紀錄'!T""&amp;TO_TEXT(ROW()-$C$72))"),"")</f>
        <v/>
      </c>
      <c r="U383" s="62" t="str">
        <f>IFERROR(__xludf.DUMMYFUNCTION("IF(T383=""是"",TEXTJOIN("""", TRUE, ""$"", TO_TEXT(C383), S383),"""")"),"")</f>
        <v/>
      </c>
    </row>
    <row r="384">
      <c r="A384" s="58">
        <f>IFERROR(__xludf.DUMMYFUNCTION("INDIRECT(""'收支紀錄'!A""&amp;TO_TEXT(ROW()-$C$72))"),45598.27283074074)</f>
        <v>45598.27283</v>
      </c>
      <c r="B384" s="59">
        <f>IFERROR(__xludf.DUMMYFUNCTION("IF(ISBLANK(D384), """", IF(ISDATE(D384), D384, IF(D384=""今天"", A384, IF(D384=""昨天 (-1 day)"", A384-1, IF(D384=""前天 (-2 days)"", A384-2, IF(D384=""明天 (+1 day)"", A384+1, DATE(LEFT(D384,4), MID(D384,5,2), RIGHT(D384,2))))))))"),45597.27283074074)</f>
        <v>45597.27283</v>
      </c>
      <c r="C384" s="60">
        <f>IFERROR(__xludf.DUMMYFUNCTION("INDIRECT(""'收支紀錄'!C""&amp;TO_TEXT(ROW()-$C$72))"),20.0)</f>
        <v>20</v>
      </c>
      <c r="D384" s="63" t="str">
        <f>IFERROR(__xludf.DUMMYFUNCTION("INDIRECT(""'收支紀錄'!D""&amp;TO_TEXT(ROW()-$C$72))"),"昨天 (-1 day)")</f>
        <v>昨天 (-1 day)</v>
      </c>
      <c r="E384" s="61" t="str">
        <f>IFERROR(__xludf.DUMMYFUNCTION("INDIRECT(""'收支紀錄'!E""&amp;TO_TEXT(ROW()-$C$72))"),"")</f>
        <v/>
      </c>
      <c r="F384" s="61" t="str">
        <f>IFERROR(__xludf.DUMMYFUNCTION("INDIRECT(""'收支紀錄'!F""&amp;TO_TEXT(ROW()-$C$72))"),"")</f>
        <v/>
      </c>
      <c r="G384" s="61" t="str">
        <f>IFERROR(__xludf.DUMMYFUNCTION("INDIRECT(""'收支紀錄'!G""&amp;TO_TEXT(ROW()-$C$72))"),"")</f>
        <v/>
      </c>
      <c r="H384" s="61" t="str">
        <f>IFERROR(__xludf.DUMMYFUNCTION("INDIRECT(""'收支紀錄'!H""&amp;TO_TEXT(ROW()-$C$72))"),"行車交通")</f>
        <v>行車交通</v>
      </c>
      <c r="I384" s="61" t="str">
        <f>IFERROR(__xludf.DUMMYFUNCTION("INDIRECT(""'收支紀錄'!I""&amp;TO_TEXT(ROW()-$C$72))"),"")</f>
        <v/>
      </c>
      <c r="J384" s="61" t="str">
        <f>IFERROR(__xludf.DUMMYFUNCTION("INDIRECT(""'收支紀錄'!J""&amp;TO_TEXT(ROW()-$C$72))"),"")</f>
        <v/>
      </c>
      <c r="K384" s="61" t="str">
        <f>IFERROR(__xludf.DUMMYFUNCTION("INDIRECT(""'收支紀錄'!K""&amp;TO_TEXT(ROW()-$C$72))"),"")</f>
        <v/>
      </c>
      <c r="L384" s="61" t="str">
        <f>IFERROR(__xludf.DUMMYFUNCTION("INDIRECT(""'收支紀錄'!L""&amp;TO_TEXT(ROW()-$C$72))"),"捷運費")</f>
        <v>捷運費</v>
      </c>
      <c r="M384" s="61" t="str">
        <f>IFERROR(__xludf.DUMMYFUNCTION("INDIRECT(""'收支紀錄'!M""&amp;TO_TEXT(ROW()-$C$72))"),"")</f>
        <v/>
      </c>
      <c r="N384" s="61" t="str">
        <f>IFERROR(__xludf.DUMMYFUNCTION("INDIRECT(""'收支紀錄'!N""&amp;TO_TEXT(ROW()-$C$72))"),"")</f>
        <v/>
      </c>
      <c r="O384" s="61" t="str">
        <f>IFERROR(__xludf.DUMMYFUNCTION("INDIRECT(""'收支紀錄'!O""&amp;TO_TEXT(ROW()-$C$72))"),"")</f>
        <v/>
      </c>
      <c r="P384" s="61" t="str">
        <f>IFERROR(__xludf.DUMMYFUNCTION("INDIRECT(""'收支紀錄'!P""&amp;TO_TEXT(ROW()-$C$72))"),"")</f>
        <v/>
      </c>
      <c r="Q384" s="61" t="str">
        <f>IFERROR(__xludf.DUMMYFUNCTION("INDIRECT(""'收支紀錄'!Q""&amp;TO_TEXT(ROW()-$C$72))"),"")</f>
        <v/>
      </c>
      <c r="R384" s="61" t="str">
        <f>IFERROR(__xludf.DUMMYFUNCTION("INDIRECT(""'收支紀錄'!R""&amp;TO_TEXT(ROW()-$C$72))"),"")</f>
        <v/>
      </c>
      <c r="S384" s="61" t="str">
        <f>IFERROR(__xludf.DUMMYFUNCTION("INDIRECT(""'收支紀錄'!S""&amp;TO_TEXT(ROW()-$C$72))"),"")</f>
        <v/>
      </c>
      <c r="T384" s="61" t="str">
        <f>IFERROR(__xludf.DUMMYFUNCTION("INDIRECT(""'收支紀錄'!T""&amp;TO_TEXT(ROW()-$C$72))"),"")</f>
        <v/>
      </c>
      <c r="U384" s="62" t="str">
        <f>IFERROR(__xludf.DUMMYFUNCTION("IF(T384=""是"",TEXTJOIN("""", TRUE, ""$"", TO_TEXT(C384), S384),"""")"),"")</f>
        <v/>
      </c>
    </row>
    <row r="385">
      <c r="A385" s="58">
        <f>IFERROR(__xludf.DUMMYFUNCTION("INDIRECT(""'收支紀錄'!A""&amp;TO_TEXT(ROW()-$C$72))"),45598.4470241088)</f>
        <v>45598.44702</v>
      </c>
      <c r="B385" s="59">
        <f>IFERROR(__xludf.DUMMYFUNCTION("IF(ISBLANK(D385), """", IF(ISDATE(D385), D385, IF(D385=""今天"", A385, IF(D385=""昨天 (-1 day)"", A385-1, IF(D385=""前天 (-2 days)"", A385-2, IF(D385=""明天 (+1 day)"", A385+1, DATE(LEFT(D385,4), MID(D385,5,2), RIGHT(D385,2))))))))"),45596.4470241088)</f>
        <v>45596.44702</v>
      </c>
      <c r="C385" s="60">
        <f>IFERROR(__xludf.DUMMYFUNCTION("INDIRECT(""'收支紀錄'!C""&amp;TO_TEXT(ROW()-$C$72))"),75500.0)</f>
        <v>75500</v>
      </c>
      <c r="D385" s="63" t="str">
        <f>IFERROR(__xludf.DUMMYFUNCTION("INDIRECT(""'收支紀錄'!D""&amp;TO_TEXT(ROW()-$C$72))"),"前天 (-2 days)")</f>
        <v>前天 (-2 days)</v>
      </c>
      <c r="E385" s="61" t="str">
        <f>IFERROR(__xludf.DUMMYFUNCTION("INDIRECT(""'收支紀錄'!E""&amp;TO_TEXT(ROW()-$C$72))"),"工作")</f>
        <v>工作</v>
      </c>
      <c r="F385" s="61" t="str">
        <f>IFERROR(__xludf.DUMMYFUNCTION("INDIRECT(""'收支紀錄'!F""&amp;TO_TEXT(ROW()-$C$72))"),"年終/績效")</f>
        <v>年終/績效</v>
      </c>
      <c r="G385" s="61" t="str">
        <f>IFERROR(__xludf.DUMMYFUNCTION("INDIRECT(""'收支紀錄'!G""&amp;TO_TEXT(ROW()-$C$72))"),"")</f>
        <v/>
      </c>
      <c r="H385" s="61" t="str">
        <f>IFERROR(__xludf.DUMMYFUNCTION("INDIRECT(""'收支紀錄'!H""&amp;TO_TEXT(ROW()-$C$72))"),"")</f>
        <v/>
      </c>
      <c r="I385" s="61" t="str">
        <f>IFERROR(__xludf.DUMMYFUNCTION("INDIRECT(""'收支紀錄'!I""&amp;TO_TEXT(ROW()-$C$72))"),"")</f>
        <v/>
      </c>
      <c r="J385" s="61" t="str">
        <f>IFERROR(__xludf.DUMMYFUNCTION("INDIRECT(""'收支紀錄'!J""&amp;TO_TEXT(ROW()-$C$72))"),"")</f>
        <v/>
      </c>
      <c r="K385" s="61" t="str">
        <f>IFERROR(__xludf.DUMMYFUNCTION("INDIRECT(""'收支紀錄'!K""&amp;TO_TEXT(ROW()-$C$72))"),"")</f>
        <v/>
      </c>
      <c r="L385" s="61" t="str">
        <f>IFERROR(__xludf.DUMMYFUNCTION("INDIRECT(""'收支紀錄'!L""&amp;TO_TEXT(ROW()-$C$72))"),"")</f>
        <v/>
      </c>
      <c r="M385" s="61" t="str">
        <f>IFERROR(__xludf.DUMMYFUNCTION("INDIRECT(""'收支紀錄'!M""&amp;TO_TEXT(ROW()-$C$72))"),"")</f>
        <v/>
      </c>
      <c r="N385" s="61" t="str">
        <f>IFERROR(__xludf.DUMMYFUNCTION("INDIRECT(""'收支紀錄'!N""&amp;TO_TEXT(ROW()-$C$72))"),"")</f>
        <v/>
      </c>
      <c r="O385" s="61" t="str">
        <f>IFERROR(__xludf.DUMMYFUNCTION("INDIRECT(""'收支紀錄'!O""&amp;TO_TEXT(ROW()-$C$72))"),"")</f>
        <v/>
      </c>
      <c r="P385" s="61" t="str">
        <f>IFERROR(__xludf.DUMMYFUNCTION("INDIRECT(""'收支紀錄'!P""&amp;TO_TEXT(ROW()-$C$72))"),"")</f>
        <v/>
      </c>
      <c r="Q385" s="61" t="str">
        <f>IFERROR(__xludf.DUMMYFUNCTION("INDIRECT(""'收支紀錄'!Q""&amp;TO_TEXT(ROW()-$C$72))"),"")</f>
        <v/>
      </c>
      <c r="R385" s="61" t="str">
        <f>IFERROR(__xludf.DUMMYFUNCTION("INDIRECT(""'收支紀錄'!R""&amp;TO_TEXT(ROW()-$C$72))"),"")</f>
        <v/>
      </c>
      <c r="S385" s="61" t="str">
        <f>IFERROR(__xludf.DUMMYFUNCTION("INDIRECT(""'收支紀錄'!S""&amp;TO_TEXT(ROW()-$C$72))"),"")</f>
        <v/>
      </c>
      <c r="T385" s="61" t="str">
        <f>IFERROR(__xludf.DUMMYFUNCTION("INDIRECT(""'收支紀錄'!T""&amp;TO_TEXT(ROW()-$C$72))"),"")</f>
        <v/>
      </c>
      <c r="U385" s="62" t="str">
        <f>IFERROR(__xludf.DUMMYFUNCTION("IF(T385=""是"",TEXTJOIN("""", TRUE, ""$"", TO_TEXT(C385), S385),"""")"),"")</f>
        <v/>
      </c>
    </row>
    <row r="386">
      <c r="A386" s="58">
        <f>IFERROR(__xludf.DUMMYFUNCTION("INDIRECT(""'收支紀錄'!A""&amp;TO_TEXT(ROW()-$C$72))"),45598.44753444444)</f>
        <v>45598.44753</v>
      </c>
      <c r="B386" s="59">
        <f>IFERROR(__xludf.DUMMYFUNCTION("IF(ISBLANK(D386), """", IF(ISDATE(D386), D386, IF(D386=""今天"", A386, IF(D386=""昨天 (-1 day)"", A386-1, IF(D386=""前天 (-2 days)"", A386-2, IF(D386=""明天 (+1 day)"", A386+1, DATE(LEFT(D386,4), MID(D386,5,2), RIGHT(D386,2))))))))"),45596.44753444444)</f>
        <v>45596.44753</v>
      </c>
      <c r="C386" s="60">
        <f>IFERROR(__xludf.DUMMYFUNCTION("INDIRECT(""'收支紀錄'!C""&amp;TO_TEXT(ROW()-$C$72))"),1593.0)</f>
        <v>1593</v>
      </c>
      <c r="D386" s="63" t="str">
        <f>IFERROR(__xludf.DUMMYFUNCTION("INDIRECT(""'收支紀錄'!D""&amp;TO_TEXT(ROW()-$C$72))"),"前天 (-2 days)")</f>
        <v>前天 (-2 days)</v>
      </c>
      <c r="E386" s="61" t="str">
        <f>IFERROR(__xludf.DUMMYFUNCTION("INDIRECT(""'收支紀錄'!E""&amp;TO_TEXT(ROW()-$C$72))"),"")</f>
        <v/>
      </c>
      <c r="F386" s="61" t="str">
        <f>IFERROR(__xludf.DUMMYFUNCTION("INDIRECT(""'收支紀錄'!F""&amp;TO_TEXT(ROW()-$C$72))"),"")</f>
        <v/>
      </c>
      <c r="G386" s="61" t="str">
        <f>IFERROR(__xludf.DUMMYFUNCTION("INDIRECT(""'收支紀錄'!G""&amp;TO_TEXT(ROW()-$C$72))"),"")</f>
        <v/>
      </c>
      <c r="H386" s="61" t="str">
        <f>IFERROR(__xludf.DUMMYFUNCTION("INDIRECT(""'收支紀錄'!H""&amp;TO_TEXT(ROW()-$C$72))"),"稅金保險")</f>
        <v>稅金保險</v>
      </c>
      <c r="I386" s="61" t="str">
        <f>IFERROR(__xludf.DUMMYFUNCTION("INDIRECT(""'收支紀錄'!I""&amp;TO_TEXT(ROW()-$C$72))"),"")</f>
        <v/>
      </c>
      <c r="J386" s="61" t="str">
        <f>IFERROR(__xludf.DUMMYFUNCTION("INDIRECT(""'收支紀錄'!J""&amp;TO_TEXT(ROW()-$C$72))"),"")</f>
        <v/>
      </c>
      <c r="K386" s="61" t="str">
        <f>IFERROR(__xludf.DUMMYFUNCTION("INDIRECT(""'收支紀錄'!K""&amp;TO_TEXT(ROW()-$C$72))"),"")</f>
        <v/>
      </c>
      <c r="L386" s="61" t="str">
        <f>IFERROR(__xludf.DUMMYFUNCTION("INDIRECT(""'收支紀錄'!L""&amp;TO_TEXT(ROW()-$C$72))"),"")</f>
        <v/>
      </c>
      <c r="M386" s="61" t="str">
        <f>IFERROR(__xludf.DUMMYFUNCTION("INDIRECT(""'收支紀錄'!M""&amp;TO_TEXT(ROW()-$C$72))"),"")</f>
        <v/>
      </c>
      <c r="N386" s="61" t="str">
        <f>IFERROR(__xludf.DUMMYFUNCTION("INDIRECT(""'收支紀錄'!N""&amp;TO_TEXT(ROW()-$C$72))"),"稅金")</f>
        <v>稅金</v>
      </c>
      <c r="O386" s="61" t="str">
        <f>IFERROR(__xludf.DUMMYFUNCTION("INDIRECT(""'收支紀錄'!O""&amp;TO_TEXT(ROW()-$C$72))"),"")</f>
        <v/>
      </c>
      <c r="P386" s="61" t="str">
        <f>IFERROR(__xludf.DUMMYFUNCTION("INDIRECT(""'收支紀錄'!P""&amp;TO_TEXT(ROW()-$C$72))"),"")</f>
        <v/>
      </c>
      <c r="Q386" s="61" t="str">
        <f>IFERROR(__xludf.DUMMYFUNCTION("INDIRECT(""'收支紀錄'!Q""&amp;TO_TEXT(ROW()-$C$72))"),"")</f>
        <v/>
      </c>
      <c r="R386" s="61" t="str">
        <f>IFERROR(__xludf.DUMMYFUNCTION("INDIRECT(""'收支紀錄'!R""&amp;TO_TEXT(ROW()-$C$72))"),"")</f>
        <v/>
      </c>
      <c r="S386" s="61" t="str">
        <f>IFERROR(__xludf.DUMMYFUNCTION("INDIRECT(""'收支紀錄'!S""&amp;TO_TEXT(ROW()-$C$72))"),"獎金補充保費")</f>
        <v>獎金補充保費</v>
      </c>
      <c r="T386" s="61" t="str">
        <f>IFERROR(__xludf.DUMMYFUNCTION("INDIRECT(""'收支紀錄'!T""&amp;TO_TEXT(ROW()-$C$72))"),"是")</f>
        <v>是</v>
      </c>
      <c r="U386" s="62" t="str">
        <f>IFERROR(__xludf.DUMMYFUNCTION("IF(T386=""是"",TEXTJOIN("""", TRUE, ""$"", TO_TEXT(C386), S386),"""")"),"$1593獎金補充保費")</f>
        <v>$1593獎金補充保費</v>
      </c>
    </row>
    <row r="387">
      <c r="A387" s="58">
        <f>IFERROR(__xludf.DUMMYFUNCTION("INDIRECT(""'收支紀錄'!A""&amp;TO_TEXT(ROW()-$C$72))"),45598.45995471065)</f>
        <v>45598.45995</v>
      </c>
      <c r="B387" s="59">
        <f>IFERROR(__xludf.DUMMYFUNCTION("IF(ISBLANK(D387), """", IF(ISDATE(D387), D387, IF(D387=""今天"", A387, IF(D387=""昨天 (-1 day)"", A387-1, IF(D387=""前天 (-2 days)"", A387-2, IF(D387=""明天 (+1 day)"", A387+1, DATE(LEFT(D387,4), MID(D387,5,2), RIGHT(D387,2))))))))"),45598.45995471065)</f>
        <v>45598.45995</v>
      </c>
      <c r="C387" s="60">
        <f>IFERROR(__xludf.DUMMYFUNCTION("INDIRECT(""'收支紀錄'!C""&amp;TO_TEXT(ROW()-$C$72))"),0.0)</f>
        <v>0</v>
      </c>
      <c r="D387" s="63" t="str">
        <f>IFERROR(__xludf.DUMMYFUNCTION("INDIRECT(""'收支紀錄'!D""&amp;TO_TEXT(ROW()-$C$72))"),"今天")</f>
        <v>今天</v>
      </c>
      <c r="E387" s="61" t="str">
        <f>IFERROR(__xludf.DUMMYFUNCTION("INDIRECT(""'收支紀錄'!E""&amp;TO_TEXT(ROW()-$C$72))"),"")</f>
        <v/>
      </c>
      <c r="F387" s="61" t="str">
        <f>IFERROR(__xludf.DUMMYFUNCTION("INDIRECT(""'收支紀錄'!F""&amp;TO_TEXT(ROW()-$C$72))"),"")</f>
        <v/>
      </c>
      <c r="G387" s="61" t="str">
        <f>IFERROR(__xludf.DUMMYFUNCTION("INDIRECT(""'收支紀錄'!G""&amp;TO_TEXT(ROW()-$C$72))"),"")</f>
        <v/>
      </c>
      <c r="H387" s="61" t="str">
        <f>IFERROR(__xludf.DUMMYFUNCTION("INDIRECT(""'收支紀錄'!H""&amp;TO_TEXT(ROW()-$C$72))"),"食品酒水")</f>
        <v>食品酒水</v>
      </c>
      <c r="I387" s="61" t="str">
        <f>IFERROR(__xludf.DUMMYFUNCTION("INDIRECT(""'收支紀錄'!I""&amp;TO_TEXT(ROW()-$C$72))"),"早餐")</f>
        <v>早餐</v>
      </c>
      <c r="J387" s="61" t="str">
        <f>IFERROR(__xludf.DUMMYFUNCTION("INDIRECT(""'收支紀錄'!J""&amp;TO_TEXT(ROW()-$C$72))"),"")</f>
        <v/>
      </c>
      <c r="K387" s="61" t="str">
        <f>IFERROR(__xludf.DUMMYFUNCTION("INDIRECT(""'收支紀錄'!K""&amp;TO_TEXT(ROW()-$C$72))"),"")</f>
        <v/>
      </c>
      <c r="L387" s="61" t="str">
        <f>IFERROR(__xludf.DUMMYFUNCTION("INDIRECT(""'收支紀錄'!L""&amp;TO_TEXT(ROW()-$C$72))"),"")</f>
        <v/>
      </c>
      <c r="M387" s="61" t="str">
        <f>IFERROR(__xludf.DUMMYFUNCTION("INDIRECT(""'收支紀錄'!M""&amp;TO_TEXT(ROW()-$C$72))"),"")</f>
        <v/>
      </c>
      <c r="N387" s="61" t="str">
        <f>IFERROR(__xludf.DUMMYFUNCTION("INDIRECT(""'收支紀錄'!N""&amp;TO_TEXT(ROW()-$C$72))"),"")</f>
        <v/>
      </c>
      <c r="O387" s="61" t="str">
        <f>IFERROR(__xludf.DUMMYFUNCTION("INDIRECT(""'收支紀錄'!O""&amp;TO_TEXT(ROW()-$C$72))"),"")</f>
        <v/>
      </c>
      <c r="P387" s="61" t="str">
        <f>IFERROR(__xludf.DUMMYFUNCTION("INDIRECT(""'收支紀錄'!P""&amp;TO_TEXT(ROW()-$C$72))"),"")</f>
        <v/>
      </c>
      <c r="Q387" s="61" t="str">
        <f>IFERROR(__xludf.DUMMYFUNCTION("INDIRECT(""'收支紀錄'!Q""&amp;TO_TEXT(ROW()-$C$72))"),"")</f>
        <v/>
      </c>
      <c r="R387" s="61" t="str">
        <f>IFERROR(__xludf.DUMMYFUNCTION("INDIRECT(""'收支紀錄'!R""&amp;TO_TEXT(ROW()-$C$72))"),"")</f>
        <v/>
      </c>
      <c r="S387" s="61" t="str">
        <f>IFERROR(__xludf.DUMMYFUNCTION("INDIRECT(""'收支紀錄'!S""&amp;TO_TEXT(ROW()-$C$72))"),"此月開始,前月薪資扣款項目計入當月項目")</f>
        <v>此月開始,前月薪資扣款項目計入當月項目</v>
      </c>
      <c r="T387" s="61" t="str">
        <f>IFERROR(__xludf.DUMMYFUNCTION("INDIRECT(""'收支紀錄'!T""&amp;TO_TEXT(ROW()-$C$72))"),"是")</f>
        <v>是</v>
      </c>
      <c r="U387" s="62" t="str">
        <f>IFERROR(__xludf.DUMMYFUNCTION("IF(T387=""是"",TEXTJOIN("""", TRUE, ""$"", TO_TEXT(C387), S387),"""")"),"$0此月開始,前月薪資扣款項目計入當月項目")</f>
        <v>$0此月開始,前月薪資扣款項目計入當月項目</v>
      </c>
    </row>
    <row r="388">
      <c r="A388" s="58">
        <f>IFERROR(__xludf.DUMMYFUNCTION("INDIRECT(""'收支紀錄'!A""&amp;TO_TEXT(ROW()-$C$72))"),45598.4608050463)</f>
        <v>45598.46081</v>
      </c>
      <c r="B388" s="59">
        <f>IFERROR(__xludf.DUMMYFUNCTION("IF(ISBLANK(D388), """", IF(ISDATE(D388), D388, IF(D388=""今天"", A388, IF(D388=""昨天 (-1 day)"", A388-1, IF(D388=""前天 (-2 days)"", A388-2, IF(D388=""明天 (+1 day)"", A388+1, DATE(LEFT(D388,4), MID(D388,5,2), RIGHT(D388,2))))))))"),45596.4608050463)</f>
        <v>45596.46081</v>
      </c>
      <c r="C388" s="60">
        <f>IFERROR(__xludf.DUMMYFUNCTION("INDIRECT(""'收支紀錄'!C""&amp;TO_TEXT(ROW()-$C$72))"),20000.0)</f>
        <v>20000</v>
      </c>
      <c r="D388" s="63" t="str">
        <f>IFERROR(__xludf.DUMMYFUNCTION("INDIRECT(""'收支紀錄'!D""&amp;TO_TEXT(ROW()-$C$72))"),"前天 (-2 days)")</f>
        <v>前天 (-2 days)</v>
      </c>
      <c r="E388" s="61" t="str">
        <f>IFERROR(__xludf.DUMMYFUNCTION("INDIRECT(""'收支紀錄'!E""&amp;TO_TEXT(ROW()-$C$72))"),"")</f>
        <v/>
      </c>
      <c r="F388" s="61" t="str">
        <f>IFERROR(__xludf.DUMMYFUNCTION("INDIRECT(""'收支紀錄'!F""&amp;TO_TEXT(ROW()-$C$72))"),"")</f>
        <v/>
      </c>
      <c r="G388" s="61" t="str">
        <f>IFERROR(__xludf.DUMMYFUNCTION("INDIRECT(""'收支紀錄'!G""&amp;TO_TEXT(ROW()-$C$72))"),"")</f>
        <v/>
      </c>
      <c r="H388" s="61" t="str">
        <f>IFERROR(__xludf.DUMMYFUNCTION("INDIRECT(""'收支紀錄'!H""&amp;TO_TEXT(ROW()-$C$72))"),"房屋支出")</f>
        <v>房屋支出</v>
      </c>
      <c r="I388" s="61" t="str">
        <f>IFERROR(__xludf.DUMMYFUNCTION("INDIRECT(""'收支紀錄'!I""&amp;TO_TEXT(ROW()-$C$72))"),"")</f>
        <v/>
      </c>
      <c r="J388" s="61" t="str">
        <f>IFERROR(__xludf.DUMMYFUNCTION("INDIRECT(""'收支紀錄'!J""&amp;TO_TEXT(ROW()-$C$72))"),"")</f>
        <v/>
      </c>
      <c r="K388" s="61" t="str">
        <f>IFERROR(__xludf.DUMMYFUNCTION("INDIRECT(""'收支紀錄'!K""&amp;TO_TEXT(ROW()-$C$72))"),"文心1房貸代繳")</f>
        <v>文心1房貸代繳</v>
      </c>
      <c r="L388" s="61" t="str">
        <f>IFERROR(__xludf.DUMMYFUNCTION("INDIRECT(""'收支紀錄'!L""&amp;TO_TEXT(ROW()-$C$72))"),"")</f>
        <v/>
      </c>
      <c r="M388" s="61" t="str">
        <f>IFERROR(__xludf.DUMMYFUNCTION("INDIRECT(""'收支紀錄'!M""&amp;TO_TEXT(ROW()-$C$72))"),"")</f>
        <v/>
      </c>
      <c r="N388" s="61" t="str">
        <f>IFERROR(__xludf.DUMMYFUNCTION("INDIRECT(""'收支紀錄'!N""&amp;TO_TEXT(ROW()-$C$72))"),"")</f>
        <v/>
      </c>
      <c r="O388" s="61" t="str">
        <f>IFERROR(__xludf.DUMMYFUNCTION("INDIRECT(""'收支紀錄'!O""&amp;TO_TEXT(ROW()-$C$72))"),"")</f>
        <v/>
      </c>
      <c r="P388" s="61" t="str">
        <f>IFERROR(__xludf.DUMMYFUNCTION("INDIRECT(""'收支紀錄'!P""&amp;TO_TEXT(ROW()-$C$72))"),"")</f>
        <v/>
      </c>
      <c r="Q388" s="61" t="str">
        <f>IFERROR(__xludf.DUMMYFUNCTION("INDIRECT(""'收支紀錄'!Q""&amp;TO_TEXT(ROW()-$C$72))"),"")</f>
        <v/>
      </c>
      <c r="R388" s="61" t="str">
        <f>IFERROR(__xludf.DUMMYFUNCTION("INDIRECT(""'收支紀錄'!R""&amp;TO_TEXT(ROW()-$C$72))"),"")</f>
        <v/>
      </c>
      <c r="S388" s="61" t="str">
        <f>IFERROR(__xludf.DUMMYFUNCTION("INDIRECT(""'收支紀錄'!S""&amp;TO_TEXT(ROW()-$C$72))"),"")</f>
        <v/>
      </c>
      <c r="T388" s="61" t="str">
        <f>IFERROR(__xludf.DUMMYFUNCTION("INDIRECT(""'收支紀錄'!T""&amp;TO_TEXT(ROW()-$C$72))"),"")</f>
        <v/>
      </c>
      <c r="U388" s="62" t="str">
        <f>IFERROR(__xludf.DUMMYFUNCTION("IF(T388=""是"",TEXTJOIN("""", TRUE, ""$"", TO_TEXT(C388), S388),"""")"),"")</f>
        <v/>
      </c>
    </row>
    <row r="389">
      <c r="A389" s="58">
        <f>IFERROR(__xludf.DUMMYFUNCTION("INDIRECT(""'收支紀錄'!A""&amp;TO_TEXT(ROW()-$C$72))"),45598.46097969907)</f>
        <v>45598.46098</v>
      </c>
      <c r="B389" s="59">
        <f>IFERROR(__xludf.DUMMYFUNCTION("IF(ISBLANK(D389), """", IF(ISDATE(D389), D389, IF(D389=""今天"", A389, IF(D389=""昨天 (-1 day)"", A389-1, IF(D389=""前天 (-2 days)"", A389-2, IF(D389=""明天 (+1 day)"", A389+1, DATE(LEFT(D389,4), MID(D389,5,2), RIGHT(D389,2))))))))"),45596.46097969907)</f>
        <v>45596.46098</v>
      </c>
      <c r="C389" s="60">
        <f>IFERROR(__xludf.DUMMYFUNCTION("INDIRECT(""'收支紀錄'!C""&amp;TO_TEXT(ROW()-$C$72))"),6000.0)</f>
        <v>6000</v>
      </c>
      <c r="D389" s="63" t="str">
        <f>IFERROR(__xludf.DUMMYFUNCTION("INDIRECT(""'收支紀錄'!D""&amp;TO_TEXT(ROW()-$C$72))"),"前天 (-2 days)")</f>
        <v>前天 (-2 days)</v>
      </c>
      <c r="E389" s="61" t="str">
        <f>IFERROR(__xludf.DUMMYFUNCTION("INDIRECT(""'收支紀錄'!E""&amp;TO_TEXT(ROW()-$C$72))"),"")</f>
        <v/>
      </c>
      <c r="F389" s="61" t="str">
        <f>IFERROR(__xludf.DUMMYFUNCTION("INDIRECT(""'收支紀錄'!F""&amp;TO_TEXT(ROW()-$C$72))"),"")</f>
        <v/>
      </c>
      <c r="G389" s="61" t="str">
        <f>IFERROR(__xludf.DUMMYFUNCTION("INDIRECT(""'收支紀錄'!G""&amp;TO_TEXT(ROW()-$C$72))"),"")</f>
        <v/>
      </c>
      <c r="H389" s="61" t="str">
        <f>IFERROR(__xludf.DUMMYFUNCTION("INDIRECT(""'收支紀錄'!H""&amp;TO_TEXT(ROW()-$C$72))"),"房屋支出")</f>
        <v>房屋支出</v>
      </c>
      <c r="I389" s="61" t="str">
        <f>IFERROR(__xludf.DUMMYFUNCTION("INDIRECT(""'收支紀錄'!I""&amp;TO_TEXT(ROW()-$C$72))"),"")</f>
        <v/>
      </c>
      <c r="J389" s="61" t="str">
        <f>IFERROR(__xludf.DUMMYFUNCTION("INDIRECT(""'收支紀錄'!J""&amp;TO_TEXT(ROW()-$C$72))"),"")</f>
        <v/>
      </c>
      <c r="K389" s="61" t="str">
        <f>IFERROR(__xludf.DUMMYFUNCTION("INDIRECT(""'收支紀錄'!K""&amp;TO_TEXT(ROW()-$C$72))"),"租屋")</f>
        <v>租屋</v>
      </c>
      <c r="L389" s="61" t="str">
        <f>IFERROR(__xludf.DUMMYFUNCTION("INDIRECT(""'收支紀錄'!L""&amp;TO_TEXT(ROW()-$C$72))"),"")</f>
        <v/>
      </c>
      <c r="M389" s="61" t="str">
        <f>IFERROR(__xludf.DUMMYFUNCTION("INDIRECT(""'收支紀錄'!M""&amp;TO_TEXT(ROW()-$C$72))"),"")</f>
        <v/>
      </c>
      <c r="N389" s="61" t="str">
        <f>IFERROR(__xludf.DUMMYFUNCTION("INDIRECT(""'收支紀錄'!N""&amp;TO_TEXT(ROW()-$C$72))"),"")</f>
        <v/>
      </c>
      <c r="O389" s="61" t="str">
        <f>IFERROR(__xludf.DUMMYFUNCTION("INDIRECT(""'收支紀錄'!O""&amp;TO_TEXT(ROW()-$C$72))"),"")</f>
        <v/>
      </c>
      <c r="P389" s="61" t="str">
        <f>IFERROR(__xludf.DUMMYFUNCTION("INDIRECT(""'收支紀錄'!P""&amp;TO_TEXT(ROW()-$C$72))"),"")</f>
        <v/>
      </c>
      <c r="Q389" s="61" t="str">
        <f>IFERROR(__xludf.DUMMYFUNCTION("INDIRECT(""'收支紀錄'!Q""&amp;TO_TEXT(ROW()-$C$72))"),"")</f>
        <v/>
      </c>
      <c r="R389" s="61" t="str">
        <f>IFERROR(__xludf.DUMMYFUNCTION("INDIRECT(""'收支紀錄'!R""&amp;TO_TEXT(ROW()-$C$72))"),"")</f>
        <v/>
      </c>
      <c r="S389" s="61" t="str">
        <f>IFERROR(__xludf.DUMMYFUNCTION("INDIRECT(""'收支紀錄'!S""&amp;TO_TEXT(ROW()-$C$72))"),"")</f>
        <v/>
      </c>
      <c r="T389" s="61" t="str">
        <f>IFERROR(__xludf.DUMMYFUNCTION("INDIRECT(""'收支紀錄'!T""&amp;TO_TEXT(ROW()-$C$72))"),"")</f>
        <v/>
      </c>
      <c r="U389" s="62" t="str">
        <f>IFERROR(__xludf.DUMMYFUNCTION("IF(T389=""是"",TEXTJOIN("""", TRUE, ""$"", TO_TEXT(C389), S389),"""")"),"")</f>
        <v/>
      </c>
    </row>
    <row r="390">
      <c r="A390" s="58">
        <f>IFERROR(__xludf.DUMMYFUNCTION("INDIRECT(""'收支紀錄'!A""&amp;TO_TEXT(ROW()-$C$72))"),45598.46115103009)</f>
        <v>45598.46115</v>
      </c>
      <c r="B390" s="59">
        <f>IFERROR(__xludf.DUMMYFUNCTION("IF(ISBLANK(D390), """", IF(ISDATE(D390), D390, IF(D390=""今天"", A390, IF(D390=""昨天 (-1 day)"", A390-1, IF(D390=""前天 (-2 days)"", A390-2, IF(D390=""明天 (+1 day)"", A390+1, DATE(LEFT(D390,4), MID(D390,5,2), RIGHT(D390,2))))))))"),45597.46115103009)</f>
        <v>45597.46115</v>
      </c>
      <c r="C390" s="60">
        <f>IFERROR(__xludf.DUMMYFUNCTION("INDIRECT(""'收支紀錄'!C""&amp;TO_TEXT(ROW()-$C$72))"),20000.0)</f>
        <v>20000</v>
      </c>
      <c r="D390" s="63" t="str">
        <f>IFERROR(__xludf.DUMMYFUNCTION("INDIRECT(""'收支紀錄'!D""&amp;TO_TEXT(ROW()-$C$72))"),"昨天 (-1 day)")</f>
        <v>昨天 (-1 day)</v>
      </c>
      <c r="E390" s="61" t="str">
        <f>IFERROR(__xludf.DUMMYFUNCTION("INDIRECT(""'收支紀錄'!E""&amp;TO_TEXT(ROW()-$C$72))"),"")</f>
        <v/>
      </c>
      <c r="F390" s="61" t="str">
        <f>IFERROR(__xludf.DUMMYFUNCTION("INDIRECT(""'收支紀錄'!F""&amp;TO_TEXT(ROW()-$C$72))"),"")</f>
        <v/>
      </c>
      <c r="G390" s="61" t="str">
        <f>IFERROR(__xludf.DUMMYFUNCTION("INDIRECT(""'收支紀錄'!G""&amp;TO_TEXT(ROW()-$C$72))"),"")</f>
        <v/>
      </c>
      <c r="H390" s="61" t="str">
        <f>IFERROR(__xludf.DUMMYFUNCTION("INDIRECT(""'收支紀錄'!H""&amp;TO_TEXT(ROW()-$C$72))"),"房屋支出")</f>
        <v>房屋支出</v>
      </c>
      <c r="I390" s="61" t="str">
        <f>IFERROR(__xludf.DUMMYFUNCTION("INDIRECT(""'收支紀錄'!I""&amp;TO_TEXT(ROW()-$C$72))"),"")</f>
        <v/>
      </c>
      <c r="J390" s="61" t="str">
        <f>IFERROR(__xludf.DUMMYFUNCTION("INDIRECT(""'收支紀錄'!J""&amp;TO_TEXT(ROW()-$C$72))"),"")</f>
        <v/>
      </c>
      <c r="K390" s="61" t="str">
        <f>IFERROR(__xludf.DUMMYFUNCTION("INDIRECT(""'收支紀錄'!K""&amp;TO_TEXT(ROW()-$C$72))"),"文心1房貸代繳")</f>
        <v>文心1房貸代繳</v>
      </c>
      <c r="L390" s="61" t="str">
        <f>IFERROR(__xludf.DUMMYFUNCTION("INDIRECT(""'收支紀錄'!L""&amp;TO_TEXT(ROW()-$C$72))"),"")</f>
        <v/>
      </c>
      <c r="M390" s="61" t="str">
        <f>IFERROR(__xludf.DUMMYFUNCTION("INDIRECT(""'收支紀錄'!M""&amp;TO_TEXT(ROW()-$C$72))"),"")</f>
        <v/>
      </c>
      <c r="N390" s="61" t="str">
        <f>IFERROR(__xludf.DUMMYFUNCTION("INDIRECT(""'收支紀錄'!N""&amp;TO_TEXT(ROW()-$C$72))"),"")</f>
        <v/>
      </c>
      <c r="O390" s="61" t="str">
        <f>IFERROR(__xludf.DUMMYFUNCTION("INDIRECT(""'收支紀錄'!O""&amp;TO_TEXT(ROW()-$C$72))"),"")</f>
        <v/>
      </c>
      <c r="P390" s="61" t="str">
        <f>IFERROR(__xludf.DUMMYFUNCTION("INDIRECT(""'收支紀錄'!P""&amp;TO_TEXT(ROW()-$C$72))"),"")</f>
        <v/>
      </c>
      <c r="Q390" s="61" t="str">
        <f>IFERROR(__xludf.DUMMYFUNCTION("INDIRECT(""'收支紀錄'!Q""&amp;TO_TEXT(ROW()-$C$72))"),"")</f>
        <v/>
      </c>
      <c r="R390" s="61" t="str">
        <f>IFERROR(__xludf.DUMMYFUNCTION("INDIRECT(""'收支紀錄'!R""&amp;TO_TEXT(ROW()-$C$72))"),"")</f>
        <v/>
      </c>
      <c r="S390" s="61" t="str">
        <f>IFERROR(__xludf.DUMMYFUNCTION("INDIRECT(""'收支紀錄'!S""&amp;TO_TEXT(ROW()-$C$72))"),"")</f>
        <v/>
      </c>
      <c r="T390" s="61" t="str">
        <f>IFERROR(__xludf.DUMMYFUNCTION("INDIRECT(""'收支紀錄'!T""&amp;TO_TEXT(ROW()-$C$72))"),"")</f>
        <v/>
      </c>
      <c r="U390" s="62" t="str">
        <f>IFERROR(__xludf.DUMMYFUNCTION("IF(T390=""是"",TEXTJOIN("""", TRUE, ""$"", TO_TEXT(C390), S390),"""")"),"")</f>
        <v/>
      </c>
    </row>
    <row r="391">
      <c r="A391" s="58">
        <f>IFERROR(__xludf.DUMMYFUNCTION("INDIRECT(""'收支紀錄'!A""&amp;TO_TEXT(ROW()-$C$72))"),45598.461310115745)</f>
        <v>45598.46131</v>
      </c>
      <c r="B391" s="59">
        <f>IFERROR(__xludf.DUMMYFUNCTION("IF(ISBLANK(D391), """", IF(ISDATE(D391), D391, IF(D391=""今天"", A391, IF(D391=""昨天 (-1 day)"", A391-1, IF(D391=""前天 (-2 days)"", A391-2, IF(D391=""明天 (+1 day)"", A391+1, DATE(LEFT(D391,4), MID(D391,5,2), RIGHT(D391,2))))))))"),45597.461310115745)</f>
        <v>45597.46131</v>
      </c>
      <c r="C391" s="60">
        <f>IFERROR(__xludf.DUMMYFUNCTION("INDIRECT(""'收支紀錄'!C""&amp;TO_TEXT(ROW()-$C$72))"),6000.0)</f>
        <v>6000</v>
      </c>
      <c r="D391" s="63" t="str">
        <f>IFERROR(__xludf.DUMMYFUNCTION("INDIRECT(""'收支紀錄'!D""&amp;TO_TEXT(ROW()-$C$72))"),"昨天 (-1 day)")</f>
        <v>昨天 (-1 day)</v>
      </c>
      <c r="E391" s="61" t="str">
        <f>IFERROR(__xludf.DUMMYFUNCTION("INDIRECT(""'收支紀錄'!E""&amp;TO_TEXT(ROW()-$C$72))"),"")</f>
        <v/>
      </c>
      <c r="F391" s="61" t="str">
        <f>IFERROR(__xludf.DUMMYFUNCTION("INDIRECT(""'收支紀錄'!F""&amp;TO_TEXT(ROW()-$C$72))"),"")</f>
        <v/>
      </c>
      <c r="G391" s="61" t="str">
        <f>IFERROR(__xludf.DUMMYFUNCTION("INDIRECT(""'收支紀錄'!G""&amp;TO_TEXT(ROW()-$C$72))"),"")</f>
        <v/>
      </c>
      <c r="H391" s="61" t="str">
        <f>IFERROR(__xludf.DUMMYFUNCTION("INDIRECT(""'收支紀錄'!H""&amp;TO_TEXT(ROW()-$C$72))"),"房屋支出")</f>
        <v>房屋支出</v>
      </c>
      <c r="I391" s="61" t="str">
        <f>IFERROR(__xludf.DUMMYFUNCTION("INDIRECT(""'收支紀錄'!I""&amp;TO_TEXT(ROW()-$C$72))"),"")</f>
        <v/>
      </c>
      <c r="J391" s="61" t="str">
        <f>IFERROR(__xludf.DUMMYFUNCTION("INDIRECT(""'收支紀錄'!J""&amp;TO_TEXT(ROW()-$C$72))"),"")</f>
        <v/>
      </c>
      <c r="K391" s="61" t="str">
        <f>IFERROR(__xludf.DUMMYFUNCTION("INDIRECT(""'收支紀錄'!K""&amp;TO_TEXT(ROW()-$C$72))"),"租屋")</f>
        <v>租屋</v>
      </c>
      <c r="L391" s="61" t="str">
        <f>IFERROR(__xludf.DUMMYFUNCTION("INDIRECT(""'收支紀錄'!L""&amp;TO_TEXT(ROW()-$C$72))"),"")</f>
        <v/>
      </c>
      <c r="M391" s="61" t="str">
        <f>IFERROR(__xludf.DUMMYFUNCTION("INDIRECT(""'收支紀錄'!M""&amp;TO_TEXT(ROW()-$C$72))"),"")</f>
        <v/>
      </c>
      <c r="N391" s="61" t="str">
        <f>IFERROR(__xludf.DUMMYFUNCTION("INDIRECT(""'收支紀錄'!N""&amp;TO_TEXT(ROW()-$C$72))"),"")</f>
        <v/>
      </c>
      <c r="O391" s="61" t="str">
        <f>IFERROR(__xludf.DUMMYFUNCTION("INDIRECT(""'收支紀錄'!O""&amp;TO_TEXT(ROW()-$C$72))"),"")</f>
        <v/>
      </c>
      <c r="P391" s="61" t="str">
        <f>IFERROR(__xludf.DUMMYFUNCTION("INDIRECT(""'收支紀錄'!P""&amp;TO_TEXT(ROW()-$C$72))"),"")</f>
        <v/>
      </c>
      <c r="Q391" s="61" t="str">
        <f>IFERROR(__xludf.DUMMYFUNCTION("INDIRECT(""'收支紀錄'!Q""&amp;TO_TEXT(ROW()-$C$72))"),"")</f>
        <v/>
      </c>
      <c r="R391" s="61" t="str">
        <f>IFERROR(__xludf.DUMMYFUNCTION("INDIRECT(""'收支紀錄'!R""&amp;TO_TEXT(ROW()-$C$72))"),"")</f>
        <v/>
      </c>
      <c r="S391" s="61" t="str">
        <f>IFERROR(__xludf.DUMMYFUNCTION("INDIRECT(""'收支紀錄'!S""&amp;TO_TEXT(ROW()-$C$72))"),"")</f>
        <v/>
      </c>
      <c r="T391" s="61" t="str">
        <f>IFERROR(__xludf.DUMMYFUNCTION("INDIRECT(""'收支紀錄'!T""&amp;TO_TEXT(ROW()-$C$72))"),"")</f>
        <v/>
      </c>
      <c r="U391" s="62" t="str">
        <f>IFERROR(__xludf.DUMMYFUNCTION("IF(T391=""是"",TEXTJOIN("""", TRUE, ""$"", TO_TEXT(C391), S391),"""")"),"")</f>
        <v/>
      </c>
    </row>
    <row r="392">
      <c r="A392" s="58">
        <f>IFERROR(__xludf.DUMMYFUNCTION("INDIRECT(""'收支紀錄'!A""&amp;TO_TEXT(ROW()-$C$72))"),45598.65325927083)</f>
        <v>45598.65326</v>
      </c>
      <c r="B392" s="59">
        <f>IFERROR(__xludf.DUMMYFUNCTION("IF(ISBLANK(D392), """", IF(ISDATE(D392), D392, IF(D392=""今天"", A392, IF(D392=""昨天 (-1 day)"", A392-1, IF(D392=""前天 (-2 days)"", A392-2, IF(D392=""明天 (+1 day)"", A392+1, DATE(LEFT(D392,4), MID(D392,5,2), RIGHT(D392,2))))))))"),45598.65325927083)</f>
        <v>45598.65326</v>
      </c>
      <c r="C392" s="60">
        <f>IFERROR(__xludf.DUMMYFUNCTION("INDIRECT(""'收支紀錄'!C""&amp;TO_TEXT(ROW()-$C$72))"),111.0)</f>
        <v>111</v>
      </c>
      <c r="D392" s="63" t="str">
        <f>IFERROR(__xludf.DUMMYFUNCTION("INDIRECT(""'收支紀錄'!D""&amp;TO_TEXT(ROW()-$C$72))"),"今天")</f>
        <v>今天</v>
      </c>
      <c r="E392" s="61" t="str">
        <f>IFERROR(__xludf.DUMMYFUNCTION("INDIRECT(""'收支紀錄'!E""&amp;TO_TEXT(ROW()-$C$72))"),"")</f>
        <v/>
      </c>
      <c r="F392" s="61" t="str">
        <f>IFERROR(__xludf.DUMMYFUNCTION("INDIRECT(""'收支紀錄'!F""&amp;TO_TEXT(ROW()-$C$72))"),"")</f>
        <v/>
      </c>
      <c r="G392" s="61" t="str">
        <f>IFERROR(__xludf.DUMMYFUNCTION("INDIRECT(""'收支紀錄'!G""&amp;TO_TEXT(ROW()-$C$72))"),"")</f>
        <v/>
      </c>
      <c r="H392" s="61" t="str">
        <f>IFERROR(__xludf.DUMMYFUNCTION("INDIRECT(""'收支紀錄'!H""&amp;TO_TEXT(ROW()-$C$72))"),"日常生活")</f>
        <v>日常生活</v>
      </c>
      <c r="I392" s="61" t="str">
        <f>IFERROR(__xludf.DUMMYFUNCTION("INDIRECT(""'收支紀錄'!I""&amp;TO_TEXT(ROW()-$C$72))"),"")</f>
        <v/>
      </c>
      <c r="J392" s="61" t="str">
        <f>IFERROR(__xludf.DUMMYFUNCTION("INDIRECT(""'收支紀錄'!J""&amp;TO_TEXT(ROW()-$C$72))"),"日常用品")</f>
        <v>日常用品</v>
      </c>
      <c r="K392" s="61" t="str">
        <f>IFERROR(__xludf.DUMMYFUNCTION("INDIRECT(""'收支紀錄'!K""&amp;TO_TEXT(ROW()-$C$72))"),"")</f>
        <v/>
      </c>
      <c r="L392" s="61" t="str">
        <f>IFERROR(__xludf.DUMMYFUNCTION("INDIRECT(""'收支紀錄'!L""&amp;TO_TEXT(ROW()-$C$72))"),"")</f>
        <v/>
      </c>
      <c r="M392" s="61" t="str">
        <f>IFERROR(__xludf.DUMMYFUNCTION("INDIRECT(""'收支紀錄'!M""&amp;TO_TEXT(ROW()-$C$72))"),"")</f>
        <v/>
      </c>
      <c r="N392" s="61" t="str">
        <f>IFERROR(__xludf.DUMMYFUNCTION("INDIRECT(""'收支紀錄'!N""&amp;TO_TEXT(ROW()-$C$72))"),"")</f>
        <v/>
      </c>
      <c r="O392" s="61" t="str">
        <f>IFERROR(__xludf.DUMMYFUNCTION("INDIRECT(""'收支紀錄'!O""&amp;TO_TEXT(ROW()-$C$72))"),"")</f>
        <v/>
      </c>
      <c r="P392" s="61" t="str">
        <f>IFERROR(__xludf.DUMMYFUNCTION("INDIRECT(""'收支紀錄'!P""&amp;TO_TEXT(ROW()-$C$72))"),"")</f>
        <v/>
      </c>
      <c r="Q392" s="61" t="str">
        <f>IFERROR(__xludf.DUMMYFUNCTION("INDIRECT(""'收支紀錄'!Q""&amp;TO_TEXT(ROW()-$C$72))"),"")</f>
        <v/>
      </c>
      <c r="R392" s="61" t="str">
        <f>IFERROR(__xludf.DUMMYFUNCTION("INDIRECT(""'收支紀錄'!R""&amp;TO_TEXT(ROW()-$C$72))"),"")</f>
        <v/>
      </c>
      <c r="S392" s="61" t="str">
        <f>IFERROR(__xludf.DUMMYFUNCTION("INDIRECT(""'收支紀錄'!S""&amp;TO_TEXT(ROW()-$C$72))"),"Iopenmall 磁吸傳輸線")</f>
        <v>Iopenmall 磁吸傳輸線</v>
      </c>
      <c r="T392" s="61" t="str">
        <f>IFERROR(__xludf.DUMMYFUNCTION("INDIRECT(""'收支紀錄'!T""&amp;TO_TEXT(ROW()-$C$72))"),"")</f>
        <v/>
      </c>
      <c r="U392" s="62" t="str">
        <f>IFERROR(__xludf.DUMMYFUNCTION("IF(T392=""是"",TEXTJOIN("""", TRUE, ""$"", TO_TEXT(C392), S392),"""")"),"")</f>
        <v/>
      </c>
    </row>
    <row r="393">
      <c r="A393" s="58">
        <f>IFERROR(__xludf.DUMMYFUNCTION("INDIRECT(""'收支紀錄'!A""&amp;TO_TEXT(ROW()-$C$72))"),45598.653420648145)</f>
        <v>45598.65342</v>
      </c>
      <c r="B393" s="59">
        <f>IFERROR(__xludf.DUMMYFUNCTION("IF(ISBLANK(D393), """", IF(ISDATE(D393), D393, IF(D393=""今天"", A393, IF(D393=""昨天 (-1 day)"", A393-1, IF(D393=""前天 (-2 days)"", A393-2, IF(D393=""明天 (+1 day)"", A393+1, DATE(LEFT(D393,4), MID(D393,5,2), RIGHT(D393,2))))))))"),45598.653420648145)</f>
        <v>45598.65342</v>
      </c>
      <c r="C393" s="60">
        <f>IFERROR(__xludf.DUMMYFUNCTION("INDIRECT(""'收支紀錄'!C""&amp;TO_TEXT(ROW()-$C$72))"),550.0)</f>
        <v>550</v>
      </c>
      <c r="D393" s="63" t="str">
        <f>IFERROR(__xludf.DUMMYFUNCTION("INDIRECT(""'收支紀錄'!D""&amp;TO_TEXT(ROW()-$C$72))"),"今天")</f>
        <v>今天</v>
      </c>
      <c r="E393" s="61" t="str">
        <f>IFERROR(__xludf.DUMMYFUNCTION("INDIRECT(""'收支紀錄'!E""&amp;TO_TEXT(ROW()-$C$72))"),"")</f>
        <v/>
      </c>
      <c r="F393" s="61" t="str">
        <f>IFERROR(__xludf.DUMMYFUNCTION("INDIRECT(""'收支紀錄'!F""&amp;TO_TEXT(ROW()-$C$72))"),"")</f>
        <v/>
      </c>
      <c r="G393" s="61" t="str">
        <f>IFERROR(__xludf.DUMMYFUNCTION("INDIRECT(""'收支紀錄'!G""&amp;TO_TEXT(ROW()-$C$72))"),"")</f>
        <v/>
      </c>
      <c r="H393" s="61" t="str">
        <f>IFERROR(__xludf.DUMMYFUNCTION("INDIRECT(""'收支紀錄'!H""&amp;TO_TEXT(ROW()-$C$72))"),"休閒娛樂")</f>
        <v>休閒娛樂</v>
      </c>
      <c r="I393" s="61" t="str">
        <f>IFERROR(__xludf.DUMMYFUNCTION("INDIRECT(""'收支紀錄'!I""&amp;TO_TEXT(ROW()-$C$72))"),"")</f>
        <v/>
      </c>
      <c r="J393" s="61" t="str">
        <f>IFERROR(__xludf.DUMMYFUNCTION("INDIRECT(""'收支紀錄'!J""&amp;TO_TEXT(ROW()-$C$72))"),"")</f>
        <v/>
      </c>
      <c r="K393" s="61" t="str">
        <f>IFERROR(__xludf.DUMMYFUNCTION("INDIRECT(""'收支紀錄'!K""&amp;TO_TEXT(ROW()-$C$72))"),"")</f>
        <v/>
      </c>
      <c r="L393" s="61" t="str">
        <f>IFERROR(__xludf.DUMMYFUNCTION("INDIRECT(""'收支紀錄'!L""&amp;TO_TEXT(ROW()-$C$72))"),"")</f>
        <v/>
      </c>
      <c r="M393" s="61" t="str">
        <f>IFERROR(__xludf.DUMMYFUNCTION("INDIRECT(""'收支紀錄'!M""&amp;TO_TEXT(ROW()-$C$72))"),"剪髮")</f>
        <v>剪髮</v>
      </c>
      <c r="N393" s="61" t="str">
        <f>IFERROR(__xludf.DUMMYFUNCTION("INDIRECT(""'收支紀錄'!N""&amp;TO_TEXT(ROW()-$C$72))"),"")</f>
        <v/>
      </c>
      <c r="O393" s="61" t="str">
        <f>IFERROR(__xludf.DUMMYFUNCTION("INDIRECT(""'收支紀錄'!O""&amp;TO_TEXT(ROW()-$C$72))"),"")</f>
        <v/>
      </c>
      <c r="P393" s="61" t="str">
        <f>IFERROR(__xludf.DUMMYFUNCTION("INDIRECT(""'收支紀錄'!P""&amp;TO_TEXT(ROW()-$C$72))"),"")</f>
        <v/>
      </c>
      <c r="Q393" s="61" t="str">
        <f>IFERROR(__xludf.DUMMYFUNCTION("INDIRECT(""'收支紀錄'!Q""&amp;TO_TEXT(ROW()-$C$72))"),"")</f>
        <v/>
      </c>
      <c r="R393" s="61" t="str">
        <f>IFERROR(__xludf.DUMMYFUNCTION("INDIRECT(""'收支紀錄'!R""&amp;TO_TEXT(ROW()-$C$72))"),"")</f>
        <v/>
      </c>
      <c r="S393" s="61" t="str">
        <f>IFERROR(__xludf.DUMMYFUNCTION("INDIRECT(""'收支紀錄'!S""&amp;TO_TEXT(ROW()-$C$72))"),"")</f>
        <v/>
      </c>
      <c r="T393" s="61" t="str">
        <f>IFERROR(__xludf.DUMMYFUNCTION("INDIRECT(""'收支紀錄'!T""&amp;TO_TEXT(ROW()-$C$72))"),"")</f>
        <v/>
      </c>
      <c r="U393" s="62" t="str">
        <f>IFERROR(__xludf.DUMMYFUNCTION("IF(T393=""是"",TEXTJOIN("""", TRUE, ""$"", TO_TEXT(C393), S393),"""")"),"")</f>
        <v/>
      </c>
    </row>
    <row r="394">
      <c r="A394" s="58">
        <f>IFERROR(__xludf.DUMMYFUNCTION("INDIRECT(""'收支紀錄'!A""&amp;TO_TEXT(ROW()-$C$72))"),45598.97522070602)</f>
        <v>45598.97522</v>
      </c>
      <c r="B394" s="59">
        <f>IFERROR(__xludf.DUMMYFUNCTION("IF(ISBLANK(D394), """", IF(ISDATE(D394), D394, IF(D394=""今天"", A394, IF(D394=""昨天 (-1 day)"", A394-1, IF(D394=""前天 (-2 days)"", A394-2, IF(D394=""明天 (+1 day)"", A394+1, DATE(LEFT(D394,4), MID(D394,5,2), RIGHT(D394,2))))))))"),45593.0)</f>
        <v>45593</v>
      </c>
      <c r="C394" s="60">
        <f>IFERROR(__xludf.DUMMYFUNCTION("INDIRECT(""'收支紀錄'!C""&amp;TO_TEXT(ROW()-$C$72))"),585.0)</f>
        <v>585</v>
      </c>
      <c r="D394" s="63">
        <f>IFERROR(__xludf.DUMMYFUNCTION("INDIRECT(""'收支紀錄'!D""&amp;TO_TEXT(ROW()-$C$72))"),2.0241028E7)</f>
        <v>20241028</v>
      </c>
      <c r="E394" s="61" t="str">
        <f>IFERROR(__xludf.DUMMYFUNCTION("INDIRECT(""'收支紀錄'!E""&amp;TO_TEXT(ROW()-$C$72))"),"")</f>
        <v/>
      </c>
      <c r="F394" s="61" t="str">
        <f>IFERROR(__xludf.DUMMYFUNCTION("INDIRECT(""'收支紀錄'!F""&amp;TO_TEXT(ROW()-$C$72))"),"")</f>
        <v/>
      </c>
      <c r="G394" s="61" t="str">
        <f>IFERROR(__xludf.DUMMYFUNCTION("INDIRECT(""'收支紀錄'!G""&amp;TO_TEXT(ROW()-$C$72))"),"")</f>
        <v/>
      </c>
      <c r="H394" s="61" t="str">
        <f>IFERROR(__xludf.DUMMYFUNCTION("INDIRECT(""'收支紀錄'!H""&amp;TO_TEXT(ROW()-$C$72))"),"休閒娛樂")</f>
        <v>休閒娛樂</v>
      </c>
      <c r="I394" s="61" t="str">
        <f>IFERROR(__xludf.DUMMYFUNCTION("INDIRECT(""'收支紀錄'!I""&amp;TO_TEXT(ROW()-$C$72))"),"")</f>
        <v/>
      </c>
      <c r="J394" s="61" t="str">
        <f>IFERROR(__xludf.DUMMYFUNCTION("INDIRECT(""'收支紀錄'!J""&amp;TO_TEXT(ROW()-$C$72))"),"")</f>
        <v/>
      </c>
      <c r="K394" s="61" t="str">
        <f>IFERROR(__xludf.DUMMYFUNCTION("INDIRECT(""'收支紀錄'!K""&amp;TO_TEXT(ROW()-$C$72))"),"")</f>
        <v/>
      </c>
      <c r="L394" s="61" t="str">
        <f>IFERROR(__xludf.DUMMYFUNCTION("INDIRECT(""'收支紀錄'!L""&amp;TO_TEXT(ROW()-$C$72))"),"")</f>
        <v/>
      </c>
      <c r="M394" s="61" t="str">
        <f>IFERROR(__xludf.DUMMYFUNCTION("INDIRECT(""'收支紀錄'!M""&amp;TO_TEXT(ROW()-$C$72))"),"Netflix")</f>
        <v>Netflix</v>
      </c>
      <c r="N394" s="61" t="str">
        <f>IFERROR(__xludf.DUMMYFUNCTION("INDIRECT(""'收支紀錄'!N""&amp;TO_TEXT(ROW()-$C$72))"),"")</f>
        <v/>
      </c>
      <c r="O394" s="61" t="str">
        <f>IFERROR(__xludf.DUMMYFUNCTION("INDIRECT(""'收支紀錄'!O""&amp;TO_TEXT(ROW()-$C$72))"),"")</f>
        <v/>
      </c>
      <c r="P394" s="61" t="str">
        <f>IFERROR(__xludf.DUMMYFUNCTION("INDIRECT(""'收支紀錄'!P""&amp;TO_TEXT(ROW()-$C$72))"),"")</f>
        <v/>
      </c>
      <c r="Q394" s="61" t="str">
        <f>IFERROR(__xludf.DUMMYFUNCTION("INDIRECT(""'收支紀錄'!Q""&amp;TO_TEXT(ROW()-$C$72))"),"")</f>
        <v/>
      </c>
      <c r="R394" s="61" t="str">
        <f>IFERROR(__xludf.DUMMYFUNCTION("INDIRECT(""'收支紀錄'!R""&amp;TO_TEXT(ROW()-$C$72))"),"")</f>
        <v/>
      </c>
      <c r="S394" s="61" t="str">
        <f>IFERROR(__xludf.DUMMYFUNCTION("INDIRECT(""'收支紀錄'!S""&amp;TO_TEXT(ROW()-$C$72))"),"")</f>
        <v/>
      </c>
      <c r="T394" s="61" t="str">
        <f>IFERROR(__xludf.DUMMYFUNCTION("INDIRECT(""'收支紀錄'!T""&amp;TO_TEXT(ROW()-$C$72))"),"")</f>
        <v/>
      </c>
      <c r="U394" s="62" t="str">
        <f>IFERROR(__xludf.DUMMYFUNCTION("IF(T394=""是"",TEXTJOIN("""", TRUE, ""$"", TO_TEXT(C394), S394),"""")"),"")</f>
        <v/>
      </c>
    </row>
    <row r="395">
      <c r="A395" s="58">
        <f>IFERROR(__xludf.DUMMYFUNCTION("INDIRECT(""'收支紀錄'!A""&amp;TO_TEXT(ROW()-$C$72))"),45599.57946114583)</f>
        <v>45599.57946</v>
      </c>
      <c r="B395" s="59">
        <f>IFERROR(__xludf.DUMMYFUNCTION("IF(ISBLANK(D395), """", IF(ISDATE(D395), D395, IF(D395=""今天"", A395, IF(D395=""昨天 (-1 day)"", A395-1, IF(D395=""前天 (-2 days)"", A395-2, IF(D395=""明天 (+1 day)"", A395+1, DATE(LEFT(D395,4), MID(D395,5,2), RIGHT(D395,2))))))))"),45599.57946114583)</f>
        <v>45599.57946</v>
      </c>
      <c r="C395" s="60">
        <f>IFERROR(__xludf.DUMMYFUNCTION("INDIRECT(""'收支紀錄'!C""&amp;TO_TEXT(ROW()-$C$72))"),5000.0)</f>
        <v>5000</v>
      </c>
      <c r="D395" s="63" t="str">
        <f>IFERROR(__xludf.DUMMYFUNCTION("INDIRECT(""'收支紀錄'!D""&amp;TO_TEXT(ROW()-$C$72))"),"今天")</f>
        <v>今天</v>
      </c>
      <c r="E395" s="61" t="str">
        <f>IFERROR(__xludf.DUMMYFUNCTION("INDIRECT(""'收支紀錄'!E""&amp;TO_TEXT(ROW()-$C$72))"),"其他業外")</f>
        <v>其他業外</v>
      </c>
      <c r="F395" s="61" t="str">
        <f>IFERROR(__xludf.DUMMYFUNCTION("INDIRECT(""'收支紀錄'!F""&amp;TO_TEXT(ROW()-$C$72))"),"")</f>
        <v/>
      </c>
      <c r="G395" s="61" t="str">
        <f>IFERROR(__xludf.DUMMYFUNCTION("INDIRECT(""'收支紀錄'!G""&amp;TO_TEXT(ROW()-$C$72))"),"房屋補貼")</f>
        <v>房屋補貼</v>
      </c>
      <c r="H395" s="61" t="str">
        <f>IFERROR(__xludf.DUMMYFUNCTION("INDIRECT(""'收支紀錄'!H""&amp;TO_TEXT(ROW()-$C$72))"),"")</f>
        <v/>
      </c>
      <c r="I395" s="61" t="str">
        <f>IFERROR(__xludf.DUMMYFUNCTION("INDIRECT(""'收支紀錄'!I""&amp;TO_TEXT(ROW()-$C$72))"),"")</f>
        <v/>
      </c>
      <c r="J395" s="61" t="str">
        <f>IFERROR(__xludf.DUMMYFUNCTION("INDIRECT(""'收支紀錄'!J""&amp;TO_TEXT(ROW()-$C$72))"),"")</f>
        <v/>
      </c>
      <c r="K395" s="61" t="str">
        <f>IFERROR(__xludf.DUMMYFUNCTION("INDIRECT(""'收支紀錄'!K""&amp;TO_TEXT(ROW()-$C$72))"),"")</f>
        <v/>
      </c>
      <c r="L395" s="61" t="str">
        <f>IFERROR(__xludf.DUMMYFUNCTION("INDIRECT(""'收支紀錄'!L""&amp;TO_TEXT(ROW()-$C$72))"),"")</f>
        <v/>
      </c>
      <c r="M395" s="61" t="str">
        <f>IFERROR(__xludf.DUMMYFUNCTION("INDIRECT(""'收支紀錄'!M""&amp;TO_TEXT(ROW()-$C$72))"),"")</f>
        <v/>
      </c>
      <c r="N395" s="61" t="str">
        <f>IFERROR(__xludf.DUMMYFUNCTION("INDIRECT(""'收支紀錄'!N""&amp;TO_TEXT(ROW()-$C$72))"),"")</f>
        <v/>
      </c>
      <c r="O395" s="61" t="str">
        <f>IFERROR(__xludf.DUMMYFUNCTION("INDIRECT(""'收支紀錄'!O""&amp;TO_TEXT(ROW()-$C$72))"),"")</f>
        <v/>
      </c>
      <c r="P395" s="61" t="str">
        <f>IFERROR(__xludf.DUMMYFUNCTION("INDIRECT(""'收支紀錄'!P""&amp;TO_TEXT(ROW()-$C$72))"),"")</f>
        <v/>
      </c>
      <c r="Q395" s="61" t="str">
        <f>IFERROR(__xludf.DUMMYFUNCTION("INDIRECT(""'收支紀錄'!Q""&amp;TO_TEXT(ROW()-$C$72))"),"")</f>
        <v/>
      </c>
      <c r="R395" s="61" t="str">
        <f>IFERROR(__xludf.DUMMYFUNCTION("INDIRECT(""'收支紀錄'!R""&amp;TO_TEXT(ROW()-$C$72))"),"")</f>
        <v/>
      </c>
      <c r="S395" s="61" t="str">
        <f>IFERROR(__xludf.DUMMYFUNCTION("INDIRECT(""'收支紀錄'!S""&amp;TO_TEXT(ROW()-$C$72))"),"文心1")</f>
        <v>文心1</v>
      </c>
      <c r="T395" s="61" t="str">
        <f>IFERROR(__xludf.DUMMYFUNCTION("INDIRECT(""'收支紀錄'!T""&amp;TO_TEXT(ROW()-$C$72))"),"是")</f>
        <v>是</v>
      </c>
      <c r="U395" s="62" t="str">
        <f>IFERROR(__xludf.DUMMYFUNCTION("IF(T395=""是"",TEXTJOIN("""", TRUE, ""$"", TO_TEXT(C395), S395),"""")"),"$5000文心1")</f>
        <v>$5000文心1</v>
      </c>
    </row>
    <row r="396">
      <c r="A396" s="58">
        <f>IFERROR(__xludf.DUMMYFUNCTION("INDIRECT(""'收支紀錄'!A""&amp;TO_TEXT(ROW()-$C$72))"),45599.84606216435)</f>
        <v>45599.84606</v>
      </c>
      <c r="B396" s="59">
        <f>IFERROR(__xludf.DUMMYFUNCTION("IF(ISBLANK(D396), """", IF(ISDATE(D396), D396, IF(D396=""今天"", A396, IF(D396=""昨天 (-1 day)"", A396-1, IF(D396=""前天 (-2 days)"", A396-2, IF(D396=""明天 (+1 day)"", A396+1, DATE(LEFT(D396,4), MID(D396,5,2), RIGHT(D396,2))))))))"),45577.0)</f>
        <v>45577</v>
      </c>
      <c r="C396" s="60">
        <f>IFERROR(__xludf.DUMMYFUNCTION("INDIRECT(""'收支紀錄'!C""&amp;TO_TEXT(ROW()-$C$72))"),400.0)</f>
        <v>400</v>
      </c>
      <c r="D396" s="63">
        <f>IFERROR(__xludf.DUMMYFUNCTION("INDIRECT(""'收支紀錄'!D""&amp;TO_TEXT(ROW()-$C$72))"),2.0241012E7)</f>
        <v>20241012</v>
      </c>
      <c r="E396" s="61" t="str">
        <f>IFERROR(__xludf.DUMMYFUNCTION("INDIRECT(""'收支紀錄'!E""&amp;TO_TEXT(ROW()-$C$72))"),"")</f>
        <v/>
      </c>
      <c r="F396" s="61" t="str">
        <f>IFERROR(__xludf.DUMMYFUNCTION("INDIRECT(""'收支紀錄'!F""&amp;TO_TEXT(ROW()-$C$72))"),"")</f>
        <v/>
      </c>
      <c r="G396" s="61" t="str">
        <f>IFERROR(__xludf.DUMMYFUNCTION("INDIRECT(""'收支紀錄'!G""&amp;TO_TEXT(ROW()-$C$72))"),"")</f>
        <v/>
      </c>
      <c r="H396" s="61" t="str">
        <f>IFERROR(__xludf.DUMMYFUNCTION("INDIRECT(""'收支紀錄'!H""&amp;TO_TEXT(ROW()-$C$72))"),"行車交通")</f>
        <v>行車交通</v>
      </c>
      <c r="I396" s="61" t="str">
        <f>IFERROR(__xludf.DUMMYFUNCTION("INDIRECT(""'收支紀錄'!I""&amp;TO_TEXT(ROW()-$C$72))"),"")</f>
        <v/>
      </c>
      <c r="J396" s="61" t="str">
        <f>IFERROR(__xludf.DUMMYFUNCTION("INDIRECT(""'收支紀錄'!J""&amp;TO_TEXT(ROW()-$C$72))"),"")</f>
        <v/>
      </c>
      <c r="K396" s="61" t="str">
        <f>IFERROR(__xludf.DUMMYFUNCTION("INDIRECT(""'收支紀錄'!K""&amp;TO_TEXT(ROW()-$C$72))"),"")</f>
        <v/>
      </c>
      <c r="L396" s="61" t="str">
        <f>IFERROR(__xludf.DUMMYFUNCTION("INDIRECT(""'收支紀錄'!L""&amp;TO_TEXT(ROW()-$C$72))"),"Etag")</f>
        <v>Etag</v>
      </c>
      <c r="M396" s="61" t="str">
        <f>IFERROR(__xludf.DUMMYFUNCTION("INDIRECT(""'收支紀錄'!M""&amp;TO_TEXT(ROW()-$C$72))"),"")</f>
        <v/>
      </c>
      <c r="N396" s="61" t="str">
        <f>IFERROR(__xludf.DUMMYFUNCTION("INDIRECT(""'收支紀錄'!N""&amp;TO_TEXT(ROW()-$C$72))"),"")</f>
        <v/>
      </c>
      <c r="O396" s="61" t="str">
        <f>IFERROR(__xludf.DUMMYFUNCTION("INDIRECT(""'收支紀錄'!O""&amp;TO_TEXT(ROW()-$C$72))"),"")</f>
        <v/>
      </c>
      <c r="P396" s="61" t="str">
        <f>IFERROR(__xludf.DUMMYFUNCTION("INDIRECT(""'收支紀錄'!P""&amp;TO_TEXT(ROW()-$C$72))"),"")</f>
        <v/>
      </c>
      <c r="Q396" s="61" t="str">
        <f>IFERROR(__xludf.DUMMYFUNCTION("INDIRECT(""'收支紀錄'!Q""&amp;TO_TEXT(ROW()-$C$72))"),"")</f>
        <v/>
      </c>
      <c r="R396" s="61" t="str">
        <f>IFERROR(__xludf.DUMMYFUNCTION("INDIRECT(""'收支紀錄'!R""&amp;TO_TEXT(ROW()-$C$72))"),"")</f>
        <v/>
      </c>
      <c r="S396" s="61" t="str">
        <f>IFERROR(__xludf.DUMMYFUNCTION("INDIRECT(""'收支紀錄'!S""&amp;TO_TEXT(ROW()-$C$72))"),"")</f>
        <v/>
      </c>
      <c r="T396" s="61" t="str">
        <f>IFERROR(__xludf.DUMMYFUNCTION("INDIRECT(""'收支紀錄'!T""&amp;TO_TEXT(ROW()-$C$72))"),"")</f>
        <v/>
      </c>
      <c r="U396" s="62" t="str">
        <f>IFERROR(__xludf.DUMMYFUNCTION("IF(T396=""是"",TEXTJOIN("""", TRUE, ""$"", TO_TEXT(C396), S396),"""")"),"")</f>
        <v/>
      </c>
    </row>
    <row r="397">
      <c r="A397" s="58">
        <f>IFERROR(__xludf.DUMMYFUNCTION("INDIRECT(""'收支紀錄'!A""&amp;TO_TEXT(ROW()-$C$72))"),45599.93835096065)</f>
        <v>45599.93835</v>
      </c>
      <c r="B397" s="59">
        <f>IFERROR(__xludf.DUMMYFUNCTION("IF(ISBLANK(D397), """", IF(ISDATE(D397), D397, IF(D397=""今天"", A397, IF(D397=""昨天 (-1 day)"", A397-1, IF(D397=""前天 (-2 days)"", A397-2, IF(D397=""明天 (+1 day)"", A397+1, DATE(LEFT(D397,4), MID(D397,5,2), RIGHT(D397,2))))))))"),45599.93835096065)</f>
        <v>45599.93835</v>
      </c>
      <c r="C397" s="60">
        <f>IFERROR(__xludf.DUMMYFUNCTION("INDIRECT(""'收支紀錄'!C""&amp;TO_TEXT(ROW()-$C$72))"),700.0)</f>
        <v>700</v>
      </c>
      <c r="D397" s="63" t="str">
        <f>IFERROR(__xludf.DUMMYFUNCTION("INDIRECT(""'收支紀錄'!D""&amp;TO_TEXT(ROW()-$C$72))"),"今天")</f>
        <v>今天</v>
      </c>
      <c r="E397" s="61" t="str">
        <f>IFERROR(__xludf.DUMMYFUNCTION("INDIRECT(""'收支紀錄'!E""&amp;TO_TEXT(ROW()-$C$72))"),"")</f>
        <v/>
      </c>
      <c r="F397" s="61" t="str">
        <f>IFERROR(__xludf.DUMMYFUNCTION("INDIRECT(""'收支紀錄'!F""&amp;TO_TEXT(ROW()-$C$72))"),"")</f>
        <v/>
      </c>
      <c r="G397" s="61" t="str">
        <f>IFERROR(__xludf.DUMMYFUNCTION("INDIRECT(""'收支紀錄'!G""&amp;TO_TEXT(ROW()-$C$72))"),"")</f>
        <v/>
      </c>
      <c r="H397" s="61" t="str">
        <f>IFERROR(__xludf.DUMMYFUNCTION("INDIRECT(""'收支紀錄'!H""&amp;TO_TEXT(ROW()-$C$72))"),"人情往來")</f>
        <v>人情往來</v>
      </c>
      <c r="I397" s="61" t="str">
        <f>IFERROR(__xludf.DUMMYFUNCTION("INDIRECT(""'收支紀錄'!I""&amp;TO_TEXT(ROW()-$C$72))"),"")</f>
        <v/>
      </c>
      <c r="J397" s="61" t="str">
        <f>IFERROR(__xludf.DUMMYFUNCTION("INDIRECT(""'收支紀錄'!J""&amp;TO_TEXT(ROW()-$C$72))"),"")</f>
        <v/>
      </c>
      <c r="K397" s="61" t="str">
        <f>IFERROR(__xludf.DUMMYFUNCTION("INDIRECT(""'收支紀錄'!K""&amp;TO_TEXT(ROW()-$C$72))"),"")</f>
        <v/>
      </c>
      <c r="L397" s="61" t="str">
        <f>IFERROR(__xludf.DUMMYFUNCTION("INDIRECT(""'收支紀錄'!L""&amp;TO_TEXT(ROW()-$C$72))"),"")</f>
        <v/>
      </c>
      <c r="M397" s="61" t="str">
        <f>IFERROR(__xludf.DUMMYFUNCTION("INDIRECT(""'收支紀錄'!M""&amp;TO_TEXT(ROW()-$C$72))"),"")</f>
        <v/>
      </c>
      <c r="N397" s="61" t="str">
        <f>IFERROR(__xludf.DUMMYFUNCTION("INDIRECT(""'收支紀錄'!N""&amp;TO_TEXT(ROW()-$C$72))"),"")</f>
        <v/>
      </c>
      <c r="O397" s="61" t="str">
        <f>IFERROR(__xludf.DUMMYFUNCTION("INDIRECT(""'收支紀錄'!O""&amp;TO_TEXT(ROW()-$C$72))"),"")</f>
        <v/>
      </c>
      <c r="P397" s="61" t="str">
        <f>IFERROR(__xludf.DUMMYFUNCTION("INDIRECT(""'收支紀錄'!P""&amp;TO_TEXT(ROW()-$C$72))"),"")</f>
        <v/>
      </c>
      <c r="Q397" s="61" t="str">
        <f>IFERROR(__xludf.DUMMYFUNCTION("INDIRECT(""'收支紀錄'!Q""&amp;TO_TEXT(ROW()-$C$72))"),"送禮請客")</f>
        <v>送禮請客</v>
      </c>
      <c r="R397" s="61" t="str">
        <f>IFERROR(__xludf.DUMMYFUNCTION("INDIRECT(""'收支紀錄'!R""&amp;TO_TEXT(ROW()-$C$72))"),"")</f>
        <v/>
      </c>
      <c r="S397" s="61" t="str">
        <f>IFERROR(__xludf.DUMMYFUNCTION("INDIRECT(""'收支紀錄'!S""&amp;TO_TEXT(ROW()-$C$72))"),"請蓋幫買寶禮物")</f>
        <v>請蓋幫買寶禮物</v>
      </c>
      <c r="T397" s="61" t="str">
        <f>IFERROR(__xludf.DUMMYFUNCTION("INDIRECT(""'收支紀錄'!T""&amp;TO_TEXT(ROW()-$C$72))"),"是")</f>
        <v>是</v>
      </c>
      <c r="U397" s="62" t="str">
        <f>IFERROR(__xludf.DUMMYFUNCTION("IF(T397=""是"",TEXTJOIN("""", TRUE, ""$"", TO_TEXT(C397), S397),"""")"),"$700請蓋幫買寶禮物")</f>
        <v>$700請蓋幫買寶禮物</v>
      </c>
    </row>
    <row r="398">
      <c r="A398" s="58">
        <f>IFERROR(__xludf.DUMMYFUNCTION("INDIRECT(""'收支紀錄'!A""&amp;TO_TEXT(ROW()-$C$72))"),45601.22153135417)</f>
        <v>45601.22153</v>
      </c>
      <c r="B398" s="59">
        <f>IFERROR(__xludf.DUMMYFUNCTION("IF(ISBLANK(D398), """", IF(ISDATE(D398), D398, IF(D398=""今天"", A398, IF(D398=""昨天 (-1 day)"", A398-1, IF(D398=""前天 (-2 days)"", A398-2, IF(D398=""明天 (+1 day)"", A398+1, DATE(LEFT(D398,4), MID(D398,5,2), RIGHT(D398,2))))))))"),45600.22153135417)</f>
        <v>45600.22153</v>
      </c>
      <c r="C398" s="60">
        <f>IFERROR(__xludf.DUMMYFUNCTION("INDIRECT(""'收支紀錄'!C""&amp;TO_TEXT(ROW()-$C$72))"),141.0)</f>
        <v>141</v>
      </c>
      <c r="D398" s="63" t="str">
        <f>IFERROR(__xludf.DUMMYFUNCTION("INDIRECT(""'收支紀錄'!D""&amp;TO_TEXT(ROW()-$C$72))"),"昨天 (-1 day)")</f>
        <v>昨天 (-1 day)</v>
      </c>
      <c r="E398" s="61" t="str">
        <f>IFERROR(__xludf.DUMMYFUNCTION("INDIRECT(""'收支紀錄'!E""&amp;TO_TEXT(ROW()-$C$72))"),"")</f>
        <v/>
      </c>
      <c r="F398" s="61" t="str">
        <f>IFERROR(__xludf.DUMMYFUNCTION("INDIRECT(""'收支紀錄'!F""&amp;TO_TEXT(ROW()-$C$72))"),"")</f>
        <v/>
      </c>
      <c r="G398" s="61" t="str">
        <f>IFERROR(__xludf.DUMMYFUNCTION("INDIRECT(""'收支紀錄'!G""&amp;TO_TEXT(ROW()-$C$72))"),"")</f>
        <v/>
      </c>
      <c r="H398" s="61" t="str">
        <f>IFERROR(__xludf.DUMMYFUNCTION("INDIRECT(""'收支紀錄'!H""&amp;TO_TEXT(ROW()-$C$72))"),"行車交通")</f>
        <v>行車交通</v>
      </c>
      <c r="I398" s="61" t="str">
        <f>IFERROR(__xludf.DUMMYFUNCTION("INDIRECT(""'收支紀錄'!I""&amp;TO_TEXT(ROW()-$C$72))"),"")</f>
        <v/>
      </c>
      <c r="J398" s="61" t="str">
        <f>IFERROR(__xludf.DUMMYFUNCTION("INDIRECT(""'收支紀錄'!J""&amp;TO_TEXT(ROW()-$C$72))"),"")</f>
        <v/>
      </c>
      <c r="K398" s="61" t="str">
        <f>IFERROR(__xludf.DUMMYFUNCTION("INDIRECT(""'收支紀錄'!K""&amp;TO_TEXT(ROW()-$C$72))"),"")</f>
        <v/>
      </c>
      <c r="L398" s="61" t="str">
        <f>IFERROR(__xludf.DUMMYFUNCTION("INDIRECT(""'收支紀錄'!L""&amp;TO_TEXT(ROW()-$C$72))"),"加油")</f>
        <v>加油</v>
      </c>
      <c r="M398" s="61" t="str">
        <f>IFERROR(__xludf.DUMMYFUNCTION("INDIRECT(""'收支紀錄'!M""&amp;TO_TEXT(ROW()-$C$72))"),"")</f>
        <v/>
      </c>
      <c r="N398" s="61" t="str">
        <f>IFERROR(__xludf.DUMMYFUNCTION("INDIRECT(""'收支紀錄'!N""&amp;TO_TEXT(ROW()-$C$72))"),"")</f>
        <v/>
      </c>
      <c r="O398" s="61" t="str">
        <f>IFERROR(__xludf.DUMMYFUNCTION("INDIRECT(""'收支紀錄'!O""&amp;TO_TEXT(ROW()-$C$72))"),"")</f>
        <v/>
      </c>
      <c r="P398" s="61" t="str">
        <f>IFERROR(__xludf.DUMMYFUNCTION("INDIRECT(""'收支紀錄'!P""&amp;TO_TEXT(ROW()-$C$72))"),"")</f>
        <v/>
      </c>
      <c r="Q398" s="61" t="str">
        <f>IFERROR(__xludf.DUMMYFUNCTION("INDIRECT(""'收支紀錄'!Q""&amp;TO_TEXT(ROW()-$C$72))"),"")</f>
        <v/>
      </c>
      <c r="R398" s="61" t="str">
        <f>IFERROR(__xludf.DUMMYFUNCTION("INDIRECT(""'收支紀錄'!R""&amp;TO_TEXT(ROW()-$C$72))"),"")</f>
        <v/>
      </c>
      <c r="S398" s="61" t="str">
        <f>IFERROR(__xludf.DUMMYFUNCTION("INDIRECT(""'收支紀錄'!S""&amp;TO_TEXT(ROW()-$C$72))"),"")</f>
        <v/>
      </c>
      <c r="T398" s="61" t="str">
        <f>IFERROR(__xludf.DUMMYFUNCTION("INDIRECT(""'收支紀錄'!T""&amp;TO_TEXT(ROW()-$C$72))"),"")</f>
        <v/>
      </c>
      <c r="U398" s="62" t="str">
        <f>IFERROR(__xludf.DUMMYFUNCTION("IF(T398=""是"",TEXTJOIN("""", TRUE, ""$"", TO_TEXT(C398), S398),"""")"),"")</f>
        <v/>
      </c>
    </row>
    <row r="399">
      <c r="A399" s="58">
        <f>IFERROR(__xludf.DUMMYFUNCTION("INDIRECT(""'收支紀錄'!A""&amp;TO_TEXT(ROW()-$C$72))"),45603.55719148148)</f>
        <v>45603.55719</v>
      </c>
      <c r="B399" s="59">
        <f>IFERROR(__xludf.DUMMYFUNCTION("IF(ISBLANK(D399), """", IF(ISDATE(D399), D399, IF(D399=""今天"", A399, IF(D399=""昨天 (-1 day)"", A399-1, IF(D399=""前天 (-2 days)"", A399-2, IF(D399=""明天 (+1 day)"", A399+1, DATE(LEFT(D399,4), MID(D399,5,2), RIGHT(D399,2))))))))"),45602.55719148148)</f>
        <v>45602.55719</v>
      </c>
      <c r="C399" s="60">
        <f>IFERROR(__xludf.DUMMYFUNCTION("INDIRECT(""'收支紀錄'!C""&amp;TO_TEXT(ROW()-$C$72))"),100.0)</f>
        <v>100</v>
      </c>
      <c r="D399" s="63" t="str">
        <f>IFERROR(__xludf.DUMMYFUNCTION("INDIRECT(""'收支紀錄'!D""&amp;TO_TEXT(ROW()-$C$72))"),"昨天 (-1 day)")</f>
        <v>昨天 (-1 day)</v>
      </c>
      <c r="E399" s="61" t="str">
        <f>IFERROR(__xludf.DUMMYFUNCTION("INDIRECT(""'收支紀錄'!E""&amp;TO_TEXT(ROW()-$C$72))"),"")</f>
        <v/>
      </c>
      <c r="F399" s="61" t="str">
        <f>IFERROR(__xludf.DUMMYFUNCTION("INDIRECT(""'收支紀錄'!F""&amp;TO_TEXT(ROW()-$C$72))"),"")</f>
        <v/>
      </c>
      <c r="G399" s="61" t="str">
        <f>IFERROR(__xludf.DUMMYFUNCTION("INDIRECT(""'收支紀錄'!G""&amp;TO_TEXT(ROW()-$C$72))"),"")</f>
        <v/>
      </c>
      <c r="H399" s="61" t="str">
        <f>IFERROR(__xludf.DUMMYFUNCTION("INDIRECT(""'收支紀錄'!H""&amp;TO_TEXT(ROW()-$C$72))"),"休閒娛樂")</f>
        <v>休閒娛樂</v>
      </c>
      <c r="I399" s="61" t="str">
        <f>IFERROR(__xludf.DUMMYFUNCTION("INDIRECT(""'收支紀錄'!I""&amp;TO_TEXT(ROW()-$C$72))"),"")</f>
        <v/>
      </c>
      <c r="J399" s="61" t="str">
        <f>IFERROR(__xludf.DUMMYFUNCTION("INDIRECT(""'收支紀錄'!J""&amp;TO_TEXT(ROW()-$C$72))"),"")</f>
        <v/>
      </c>
      <c r="K399" s="61" t="str">
        <f>IFERROR(__xludf.DUMMYFUNCTION("INDIRECT(""'收支紀錄'!K""&amp;TO_TEXT(ROW()-$C$72))"),"")</f>
        <v/>
      </c>
      <c r="L399" s="61" t="str">
        <f>IFERROR(__xludf.DUMMYFUNCTION("INDIRECT(""'收支紀錄'!L""&amp;TO_TEXT(ROW()-$C$72))"),"")</f>
        <v/>
      </c>
      <c r="M399" s="61" t="str">
        <f>IFERROR(__xludf.DUMMYFUNCTION("INDIRECT(""'收支紀錄'!M""&amp;TO_TEXT(ROW()-$C$72))"),"運動健身")</f>
        <v>運動健身</v>
      </c>
      <c r="N399" s="61" t="str">
        <f>IFERROR(__xludf.DUMMYFUNCTION("INDIRECT(""'收支紀錄'!N""&amp;TO_TEXT(ROW()-$C$72))"),"")</f>
        <v/>
      </c>
      <c r="O399" s="61" t="str">
        <f>IFERROR(__xludf.DUMMYFUNCTION("INDIRECT(""'收支紀錄'!O""&amp;TO_TEXT(ROW()-$C$72))"),"")</f>
        <v/>
      </c>
      <c r="P399" s="61" t="str">
        <f>IFERROR(__xludf.DUMMYFUNCTION("INDIRECT(""'收支紀錄'!P""&amp;TO_TEXT(ROW()-$C$72))"),"")</f>
        <v/>
      </c>
      <c r="Q399" s="61" t="str">
        <f>IFERROR(__xludf.DUMMYFUNCTION("INDIRECT(""'收支紀錄'!Q""&amp;TO_TEXT(ROW()-$C$72))"),"")</f>
        <v/>
      </c>
      <c r="R399" s="61" t="str">
        <f>IFERROR(__xludf.DUMMYFUNCTION("INDIRECT(""'收支紀錄'!R""&amp;TO_TEXT(ROW()-$C$72))"),"")</f>
        <v/>
      </c>
      <c r="S399" s="61" t="str">
        <f>IFERROR(__xludf.DUMMYFUNCTION("INDIRECT(""'收支紀錄'!S""&amp;TO_TEXT(ROW()-$C$72))"),"")</f>
        <v/>
      </c>
      <c r="T399" s="61" t="str">
        <f>IFERROR(__xludf.DUMMYFUNCTION("INDIRECT(""'收支紀錄'!T""&amp;TO_TEXT(ROW()-$C$72))"),"")</f>
        <v/>
      </c>
      <c r="U399" s="62" t="str">
        <f>IFERROR(__xludf.DUMMYFUNCTION("IF(T399=""是"",TEXTJOIN("""", TRUE, ""$"", TO_TEXT(C399), S399),"""")"),"")</f>
        <v/>
      </c>
    </row>
    <row r="400">
      <c r="A400" s="58">
        <f>IFERROR(__xludf.DUMMYFUNCTION("INDIRECT(""'收支紀錄'!A""&amp;TO_TEXT(ROW()-$C$72))"),45603.55778715278)</f>
        <v>45603.55779</v>
      </c>
      <c r="B400" s="59">
        <f>IFERROR(__xludf.DUMMYFUNCTION("IF(ISBLANK(D400), """", IF(ISDATE(D400), D400, IF(D400=""今天"", A400, IF(D400=""昨天 (-1 day)"", A400-1, IF(D400=""前天 (-2 days)"", A400-2, IF(D400=""明天 (+1 day)"", A400+1, DATE(LEFT(D400,4), MID(D400,5,2), RIGHT(D400,2))))))))"),45601.55778715278)</f>
        <v>45601.55779</v>
      </c>
      <c r="C400" s="60">
        <f>IFERROR(__xludf.DUMMYFUNCTION("INDIRECT(""'收支紀錄'!C""&amp;TO_TEXT(ROW()-$C$72))"),102900.0)</f>
        <v>102900</v>
      </c>
      <c r="D400" s="63" t="str">
        <f>IFERROR(__xludf.DUMMYFUNCTION("INDIRECT(""'收支紀錄'!D""&amp;TO_TEXT(ROW()-$C$72))"),"前天 (-2 days)")</f>
        <v>前天 (-2 days)</v>
      </c>
      <c r="E400" s="61" t="str">
        <f>IFERROR(__xludf.DUMMYFUNCTION("INDIRECT(""'收支紀錄'!E""&amp;TO_TEXT(ROW()-$C$72))"),"工作")</f>
        <v>工作</v>
      </c>
      <c r="F400" s="61" t="str">
        <f>IFERROR(__xludf.DUMMYFUNCTION("INDIRECT(""'收支紀錄'!F""&amp;TO_TEXT(ROW()-$C$72))"),"底薪")</f>
        <v>底薪</v>
      </c>
      <c r="G400" s="61" t="str">
        <f>IFERROR(__xludf.DUMMYFUNCTION("INDIRECT(""'收支紀錄'!G""&amp;TO_TEXT(ROW()-$C$72))"),"")</f>
        <v/>
      </c>
      <c r="H400" s="61" t="str">
        <f>IFERROR(__xludf.DUMMYFUNCTION("INDIRECT(""'收支紀錄'!H""&amp;TO_TEXT(ROW()-$C$72))"),"")</f>
        <v/>
      </c>
      <c r="I400" s="61" t="str">
        <f>IFERROR(__xludf.DUMMYFUNCTION("INDIRECT(""'收支紀錄'!I""&amp;TO_TEXT(ROW()-$C$72))"),"")</f>
        <v/>
      </c>
      <c r="J400" s="61" t="str">
        <f>IFERROR(__xludf.DUMMYFUNCTION("INDIRECT(""'收支紀錄'!J""&amp;TO_TEXT(ROW()-$C$72))"),"")</f>
        <v/>
      </c>
      <c r="K400" s="61" t="str">
        <f>IFERROR(__xludf.DUMMYFUNCTION("INDIRECT(""'收支紀錄'!K""&amp;TO_TEXT(ROW()-$C$72))"),"")</f>
        <v/>
      </c>
      <c r="L400" s="61" t="str">
        <f>IFERROR(__xludf.DUMMYFUNCTION("INDIRECT(""'收支紀錄'!L""&amp;TO_TEXT(ROW()-$C$72))"),"")</f>
        <v/>
      </c>
      <c r="M400" s="61" t="str">
        <f>IFERROR(__xludf.DUMMYFUNCTION("INDIRECT(""'收支紀錄'!M""&amp;TO_TEXT(ROW()-$C$72))"),"")</f>
        <v/>
      </c>
      <c r="N400" s="61" t="str">
        <f>IFERROR(__xludf.DUMMYFUNCTION("INDIRECT(""'收支紀錄'!N""&amp;TO_TEXT(ROW()-$C$72))"),"")</f>
        <v/>
      </c>
      <c r="O400" s="61" t="str">
        <f>IFERROR(__xludf.DUMMYFUNCTION("INDIRECT(""'收支紀錄'!O""&amp;TO_TEXT(ROW()-$C$72))"),"")</f>
        <v/>
      </c>
      <c r="P400" s="61" t="str">
        <f>IFERROR(__xludf.DUMMYFUNCTION("INDIRECT(""'收支紀錄'!P""&amp;TO_TEXT(ROW()-$C$72))"),"")</f>
        <v/>
      </c>
      <c r="Q400" s="61" t="str">
        <f>IFERROR(__xludf.DUMMYFUNCTION("INDIRECT(""'收支紀錄'!Q""&amp;TO_TEXT(ROW()-$C$72))"),"")</f>
        <v/>
      </c>
      <c r="R400" s="61" t="str">
        <f>IFERROR(__xludf.DUMMYFUNCTION("INDIRECT(""'收支紀錄'!R""&amp;TO_TEXT(ROW()-$C$72))"),"")</f>
        <v/>
      </c>
      <c r="S400" s="61" t="str">
        <f>IFERROR(__xludf.DUMMYFUNCTION("INDIRECT(""'收支紀錄'!S""&amp;TO_TEXT(ROW()-$C$72))"),"")</f>
        <v/>
      </c>
      <c r="T400" s="61" t="str">
        <f>IFERROR(__xludf.DUMMYFUNCTION("INDIRECT(""'收支紀錄'!T""&amp;TO_TEXT(ROW()-$C$72))"),"")</f>
        <v/>
      </c>
      <c r="U400" s="62" t="str">
        <f>IFERROR(__xludf.DUMMYFUNCTION("IF(T400=""是"",TEXTJOIN("""", TRUE, ""$"", TO_TEXT(C400), S400),"""")"),"")</f>
        <v/>
      </c>
    </row>
    <row r="401">
      <c r="A401" s="58">
        <f>IFERROR(__xludf.DUMMYFUNCTION("INDIRECT(""'收支紀錄'!A""&amp;TO_TEXT(ROW()-$C$72))"),45603.55855625)</f>
        <v>45603.55856</v>
      </c>
      <c r="B401" s="59">
        <f>IFERROR(__xludf.DUMMYFUNCTION("IF(ISBLANK(D401), """", IF(ISDATE(D401), D401, IF(D401=""今天"", A401, IF(D401=""昨天 (-1 day)"", A401-1, IF(D401=""前天 (-2 days)"", A401-2, IF(D401=""明天 (+1 day)"", A401+1, DATE(LEFT(D401,4), MID(D401,5,2), RIGHT(D401,2))))))))"),45601.55855625)</f>
        <v>45601.55856</v>
      </c>
      <c r="C401" s="60">
        <f>IFERROR(__xludf.DUMMYFUNCTION("INDIRECT(""'收支紀錄'!C""&amp;TO_TEXT(ROW()-$C$72))"),3087.0)</f>
        <v>3087</v>
      </c>
      <c r="D401" s="63" t="str">
        <f>IFERROR(__xludf.DUMMYFUNCTION("INDIRECT(""'收支紀錄'!D""&amp;TO_TEXT(ROW()-$C$72))"),"前天 (-2 days)")</f>
        <v>前天 (-2 days)</v>
      </c>
      <c r="E401" s="61" t="str">
        <f>IFERROR(__xludf.DUMMYFUNCTION("INDIRECT(""'收支紀錄'!E""&amp;TO_TEXT(ROW()-$C$72))"),"")</f>
        <v/>
      </c>
      <c r="F401" s="61" t="str">
        <f>IFERROR(__xludf.DUMMYFUNCTION("INDIRECT(""'收支紀錄'!F""&amp;TO_TEXT(ROW()-$C$72))"),"")</f>
        <v/>
      </c>
      <c r="G401" s="61" t="str">
        <f>IFERROR(__xludf.DUMMYFUNCTION("INDIRECT(""'收支紀錄'!G""&amp;TO_TEXT(ROW()-$C$72))"),"")</f>
        <v/>
      </c>
      <c r="H401" s="61" t="str">
        <f>IFERROR(__xludf.DUMMYFUNCTION("INDIRECT(""'收支紀錄'!H""&amp;TO_TEXT(ROW()-$C$72))"),"投資及其他")</f>
        <v>投資及其他</v>
      </c>
      <c r="I401" s="61" t="str">
        <f>IFERROR(__xludf.DUMMYFUNCTION("INDIRECT(""'收支紀錄'!I""&amp;TO_TEXT(ROW()-$C$72))"),"")</f>
        <v/>
      </c>
      <c r="J401" s="61" t="str">
        <f>IFERROR(__xludf.DUMMYFUNCTION("INDIRECT(""'收支紀錄'!J""&amp;TO_TEXT(ROW()-$C$72))"),"")</f>
        <v/>
      </c>
      <c r="K401" s="61" t="str">
        <f>IFERROR(__xludf.DUMMYFUNCTION("INDIRECT(""'收支紀錄'!K""&amp;TO_TEXT(ROW()-$C$72))"),"")</f>
        <v/>
      </c>
      <c r="L401" s="61" t="str">
        <f>IFERROR(__xludf.DUMMYFUNCTION("INDIRECT(""'收支紀錄'!L""&amp;TO_TEXT(ROW()-$C$72))"),"")</f>
        <v/>
      </c>
      <c r="M401" s="61" t="str">
        <f>IFERROR(__xludf.DUMMYFUNCTION("INDIRECT(""'收支紀錄'!M""&amp;TO_TEXT(ROW()-$C$72))"),"")</f>
        <v/>
      </c>
      <c r="N401" s="61" t="str">
        <f>IFERROR(__xludf.DUMMYFUNCTION("INDIRECT(""'收支紀錄'!N""&amp;TO_TEXT(ROW()-$C$72))"),"")</f>
        <v/>
      </c>
      <c r="O401" s="61" t="str">
        <f>IFERROR(__xludf.DUMMYFUNCTION("INDIRECT(""'收支紀錄'!O""&amp;TO_TEXT(ROW()-$C$72))"),"")</f>
        <v/>
      </c>
      <c r="P401" s="61" t="str">
        <f>IFERROR(__xludf.DUMMYFUNCTION("INDIRECT(""'收支紀錄'!P""&amp;TO_TEXT(ROW()-$C$72))"),"")</f>
        <v/>
      </c>
      <c r="Q401" s="61" t="str">
        <f>IFERROR(__xludf.DUMMYFUNCTION("INDIRECT(""'收支紀錄'!Q""&amp;TO_TEXT(ROW()-$C$72))"),"")</f>
        <v/>
      </c>
      <c r="R401" s="61" t="str">
        <f>IFERROR(__xludf.DUMMYFUNCTION("INDIRECT(""'收支紀錄'!R""&amp;TO_TEXT(ROW()-$C$72))"),"公司認股")</f>
        <v>公司認股</v>
      </c>
      <c r="S401" s="61" t="str">
        <f>IFERROR(__xludf.DUMMYFUNCTION("INDIRECT(""'收支紀錄'!S""&amp;TO_TEXT(ROW()-$C$72))"),"")</f>
        <v/>
      </c>
      <c r="T401" s="61" t="str">
        <f>IFERROR(__xludf.DUMMYFUNCTION("INDIRECT(""'收支紀錄'!T""&amp;TO_TEXT(ROW()-$C$72))"),"")</f>
        <v/>
      </c>
      <c r="U401" s="62" t="str">
        <f>IFERROR(__xludf.DUMMYFUNCTION("IF(T401=""是"",TEXTJOIN("""", TRUE, ""$"", TO_TEXT(C401), S401),"""")"),"")</f>
        <v/>
      </c>
    </row>
    <row r="402">
      <c r="A402" s="58">
        <f>IFERROR(__xludf.DUMMYFUNCTION("INDIRECT(""'收支紀錄'!A""&amp;TO_TEXT(ROW()-$C$72))"),45603.55881736111)</f>
        <v>45603.55882</v>
      </c>
      <c r="B402" s="59">
        <f>IFERROR(__xludf.DUMMYFUNCTION("IF(ISBLANK(D402), """", IF(ISDATE(D402), D402, IF(D402=""今天"", A402, IF(D402=""昨天 (-1 day)"", A402-1, IF(D402=""前天 (-2 days)"", A402-2, IF(D402=""明天 (+1 day)"", A402+1, DATE(LEFT(D402,4), MID(D402,5,2), RIGHT(D402,2))))))))"),45601.55881736111)</f>
        <v>45601.55882</v>
      </c>
      <c r="C402" s="60">
        <f>IFERROR(__xludf.DUMMYFUNCTION("INDIRECT(""'收支紀錄'!C""&amp;TO_TEXT(ROW()-$C$72))"),1235.0)</f>
        <v>1235</v>
      </c>
      <c r="D402" s="63" t="str">
        <f>IFERROR(__xludf.DUMMYFUNCTION("INDIRECT(""'收支紀錄'!D""&amp;TO_TEXT(ROW()-$C$72))"),"前天 (-2 days)")</f>
        <v>前天 (-2 days)</v>
      </c>
      <c r="E402" s="61" t="str">
        <f>IFERROR(__xludf.DUMMYFUNCTION("INDIRECT(""'收支紀錄'!E""&amp;TO_TEXT(ROW()-$C$72))"),"")</f>
        <v/>
      </c>
      <c r="F402" s="61" t="str">
        <f>IFERROR(__xludf.DUMMYFUNCTION("INDIRECT(""'收支紀錄'!F""&amp;TO_TEXT(ROW()-$C$72))"),"")</f>
        <v/>
      </c>
      <c r="G402" s="61" t="str">
        <f>IFERROR(__xludf.DUMMYFUNCTION("INDIRECT(""'收支紀錄'!G""&amp;TO_TEXT(ROW()-$C$72))"),"")</f>
        <v/>
      </c>
      <c r="H402" s="61" t="str">
        <f>IFERROR(__xludf.DUMMYFUNCTION("INDIRECT(""'收支紀錄'!H""&amp;TO_TEXT(ROW()-$C$72))"),"食品酒水")</f>
        <v>食品酒水</v>
      </c>
      <c r="I402" s="61" t="str">
        <f>IFERROR(__xludf.DUMMYFUNCTION("INDIRECT(""'收支紀錄'!I""&amp;TO_TEXT(ROW()-$C$72))"),"前月公司餐費扣款")</f>
        <v>前月公司餐費扣款</v>
      </c>
      <c r="J402" s="61" t="str">
        <f>IFERROR(__xludf.DUMMYFUNCTION("INDIRECT(""'收支紀錄'!J""&amp;TO_TEXT(ROW()-$C$72))"),"")</f>
        <v/>
      </c>
      <c r="K402" s="61" t="str">
        <f>IFERROR(__xludf.DUMMYFUNCTION("INDIRECT(""'收支紀錄'!K""&amp;TO_TEXT(ROW()-$C$72))"),"")</f>
        <v/>
      </c>
      <c r="L402" s="61" t="str">
        <f>IFERROR(__xludf.DUMMYFUNCTION("INDIRECT(""'收支紀錄'!L""&amp;TO_TEXT(ROW()-$C$72))"),"")</f>
        <v/>
      </c>
      <c r="M402" s="61" t="str">
        <f>IFERROR(__xludf.DUMMYFUNCTION("INDIRECT(""'收支紀錄'!M""&amp;TO_TEXT(ROW()-$C$72))"),"")</f>
        <v/>
      </c>
      <c r="N402" s="61" t="str">
        <f>IFERROR(__xludf.DUMMYFUNCTION("INDIRECT(""'收支紀錄'!N""&amp;TO_TEXT(ROW()-$C$72))"),"")</f>
        <v/>
      </c>
      <c r="O402" s="61" t="str">
        <f>IFERROR(__xludf.DUMMYFUNCTION("INDIRECT(""'收支紀錄'!O""&amp;TO_TEXT(ROW()-$C$72))"),"")</f>
        <v/>
      </c>
      <c r="P402" s="61" t="str">
        <f>IFERROR(__xludf.DUMMYFUNCTION("INDIRECT(""'收支紀錄'!P""&amp;TO_TEXT(ROW()-$C$72))"),"")</f>
        <v/>
      </c>
      <c r="Q402" s="61" t="str">
        <f>IFERROR(__xludf.DUMMYFUNCTION("INDIRECT(""'收支紀錄'!Q""&amp;TO_TEXT(ROW()-$C$72))"),"")</f>
        <v/>
      </c>
      <c r="R402" s="61" t="str">
        <f>IFERROR(__xludf.DUMMYFUNCTION("INDIRECT(""'收支紀錄'!R""&amp;TO_TEXT(ROW()-$C$72))"),"")</f>
        <v/>
      </c>
      <c r="S402" s="61" t="str">
        <f>IFERROR(__xludf.DUMMYFUNCTION("INDIRECT(""'收支紀錄'!S""&amp;TO_TEXT(ROW()-$C$72))"),"")</f>
        <v/>
      </c>
      <c r="T402" s="61" t="str">
        <f>IFERROR(__xludf.DUMMYFUNCTION("INDIRECT(""'收支紀錄'!T""&amp;TO_TEXT(ROW()-$C$72))"),"")</f>
        <v/>
      </c>
      <c r="U402" s="62" t="str">
        <f>IFERROR(__xludf.DUMMYFUNCTION("IF(T402=""是"",TEXTJOIN("""", TRUE, ""$"", TO_TEXT(C402), S402),"""")"),"")</f>
        <v/>
      </c>
    </row>
    <row r="403">
      <c r="A403" s="58">
        <f>IFERROR(__xludf.DUMMYFUNCTION("INDIRECT(""'收支紀錄'!A""&amp;TO_TEXT(ROW()-$C$72))"),45603.55918490741)</f>
        <v>45603.55918</v>
      </c>
      <c r="B403" s="59">
        <f>IFERROR(__xludf.DUMMYFUNCTION("IF(ISBLANK(D403), """", IF(ISDATE(D403), D403, IF(D403=""今天"", A403, IF(D403=""昨天 (-1 day)"", A403-1, IF(D403=""前天 (-2 days)"", A403-2, IF(D403=""明天 (+1 day)"", A403+1, DATE(LEFT(D403,4), MID(D403,5,2), RIGHT(D403,2))))))))"),45601.55918490741)</f>
        <v>45601.55918</v>
      </c>
      <c r="C403" s="60">
        <f>IFERROR(__xludf.DUMMYFUNCTION("INDIRECT(""'收支紀錄'!C""&amp;TO_TEXT(ROW()-$C$72))"),2771.0)</f>
        <v>2771</v>
      </c>
      <c r="D403" s="63" t="str">
        <f>IFERROR(__xludf.DUMMYFUNCTION("INDIRECT(""'收支紀錄'!D""&amp;TO_TEXT(ROW()-$C$72))"),"前天 (-2 days)")</f>
        <v>前天 (-2 days)</v>
      </c>
      <c r="E403" s="61" t="str">
        <f>IFERROR(__xludf.DUMMYFUNCTION("INDIRECT(""'收支紀錄'!E""&amp;TO_TEXT(ROW()-$C$72))"),"")</f>
        <v/>
      </c>
      <c r="F403" s="61" t="str">
        <f>IFERROR(__xludf.DUMMYFUNCTION("INDIRECT(""'收支紀錄'!F""&amp;TO_TEXT(ROW()-$C$72))"),"")</f>
        <v/>
      </c>
      <c r="G403" s="61" t="str">
        <f>IFERROR(__xludf.DUMMYFUNCTION("INDIRECT(""'收支紀錄'!G""&amp;TO_TEXT(ROW()-$C$72))"),"")</f>
        <v/>
      </c>
      <c r="H403" s="61" t="str">
        <f>IFERROR(__xludf.DUMMYFUNCTION("INDIRECT(""'收支紀錄'!H""&amp;TO_TEXT(ROW()-$C$72))"),"稅金保險")</f>
        <v>稅金保險</v>
      </c>
      <c r="I403" s="61" t="str">
        <f>IFERROR(__xludf.DUMMYFUNCTION("INDIRECT(""'收支紀錄'!I""&amp;TO_TEXT(ROW()-$C$72))"),"")</f>
        <v/>
      </c>
      <c r="J403" s="61" t="str">
        <f>IFERROR(__xludf.DUMMYFUNCTION("INDIRECT(""'收支紀錄'!J""&amp;TO_TEXT(ROW()-$C$72))"),"")</f>
        <v/>
      </c>
      <c r="K403" s="61" t="str">
        <f>IFERROR(__xludf.DUMMYFUNCTION("INDIRECT(""'收支紀錄'!K""&amp;TO_TEXT(ROW()-$C$72))"),"")</f>
        <v/>
      </c>
      <c r="L403" s="61" t="str">
        <f>IFERROR(__xludf.DUMMYFUNCTION("INDIRECT(""'收支紀錄'!L""&amp;TO_TEXT(ROW()-$C$72))"),"")</f>
        <v/>
      </c>
      <c r="M403" s="61" t="str">
        <f>IFERROR(__xludf.DUMMYFUNCTION("INDIRECT(""'收支紀錄'!M""&amp;TO_TEXT(ROW()-$C$72))"),"")</f>
        <v/>
      </c>
      <c r="N403" s="61" t="str">
        <f>IFERROR(__xludf.DUMMYFUNCTION("INDIRECT(""'收支紀錄'!N""&amp;TO_TEXT(ROW()-$C$72))"),"勞健保")</f>
        <v>勞健保</v>
      </c>
      <c r="O403" s="61" t="str">
        <f>IFERROR(__xludf.DUMMYFUNCTION("INDIRECT(""'收支紀錄'!O""&amp;TO_TEXT(ROW()-$C$72))"),"")</f>
        <v/>
      </c>
      <c r="P403" s="61" t="str">
        <f>IFERROR(__xludf.DUMMYFUNCTION("INDIRECT(""'收支紀錄'!P""&amp;TO_TEXT(ROW()-$C$72))"),"")</f>
        <v/>
      </c>
      <c r="Q403" s="61" t="str">
        <f>IFERROR(__xludf.DUMMYFUNCTION("INDIRECT(""'收支紀錄'!Q""&amp;TO_TEXT(ROW()-$C$72))"),"")</f>
        <v/>
      </c>
      <c r="R403" s="61" t="str">
        <f>IFERROR(__xludf.DUMMYFUNCTION("INDIRECT(""'收支紀錄'!R""&amp;TO_TEXT(ROW()-$C$72))"),"")</f>
        <v/>
      </c>
      <c r="S403" s="61" t="str">
        <f>IFERROR(__xludf.DUMMYFUNCTION("INDIRECT(""'收支紀錄'!S""&amp;TO_TEXT(ROW()-$C$72))"),"")</f>
        <v/>
      </c>
      <c r="T403" s="61" t="str">
        <f>IFERROR(__xludf.DUMMYFUNCTION("INDIRECT(""'收支紀錄'!T""&amp;TO_TEXT(ROW()-$C$72))"),"")</f>
        <v/>
      </c>
      <c r="U403" s="62" t="str">
        <f>IFERROR(__xludf.DUMMYFUNCTION("IF(T403=""是"",TEXTJOIN("""", TRUE, ""$"", TO_TEXT(C403), S403),"""")"),"")</f>
        <v/>
      </c>
    </row>
    <row r="404">
      <c r="A404" s="58">
        <f>IFERROR(__xludf.DUMMYFUNCTION("INDIRECT(""'收支紀錄'!A""&amp;TO_TEXT(ROW()-$C$72))"),45603.5593618287)</f>
        <v>45603.55936</v>
      </c>
      <c r="B404" s="59">
        <f>IFERROR(__xludf.DUMMYFUNCTION("IF(ISBLANK(D404), """", IF(ISDATE(D404), D404, IF(D404=""今天"", A404, IF(D404=""昨天 (-1 day)"", A404-1, IF(D404=""前天 (-2 days)"", A404-2, IF(D404=""明天 (+1 day)"", A404+1, DATE(LEFT(D404,4), MID(D404,5,2), RIGHT(D404,2))))))))"),45601.5593618287)</f>
        <v>45601.55936</v>
      </c>
      <c r="C404" s="60">
        <f>IFERROR(__xludf.DUMMYFUNCTION("INDIRECT(""'收支紀錄'!C""&amp;TO_TEXT(ROW()-$C$72))"),515.0)</f>
        <v>515</v>
      </c>
      <c r="D404" s="63" t="str">
        <f>IFERROR(__xludf.DUMMYFUNCTION("INDIRECT(""'收支紀錄'!D""&amp;TO_TEXT(ROW()-$C$72))"),"前天 (-2 days)")</f>
        <v>前天 (-2 days)</v>
      </c>
      <c r="E404" s="61" t="str">
        <f>IFERROR(__xludf.DUMMYFUNCTION("INDIRECT(""'收支紀錄'!E""&amp;TO_TEXT(ROW()-$C$72))"),"")</f>
        <v/>
      </c>
      <c r="F404" s="61" t="str">
        <f>IFERROR(__xludf.DUMMYFUNCTION("INDIRECT(""'收支紀錄'!F""&amp;TO_TEXT(ROW()-$C$72))"),"")</f>
        <v/>
      </c>
      <c r="G404" s="61" t="str">
        <f>IFERROR(__xludf.DUMMYFUNCTION("INDIRECT(""'收支紀錄'!G""&amp;TO_TEXT(ROW()-$C$72))"),"")</f>
        <v/>
      </c>
      <c r="H404" s="61" t="str">
        <f>IFERROR(__xludf.DUMMYFUNCTION("INDIRECT(""'收支紀錄'!H""&amp;TO_TEXT(ROW()-$C$72))"),"休閒娛樂")</f>
        <v>休閒娛樂</v>
      </c>
      <c r="I404" s="61" t="str">
        <f>IFERROR(__xludf.DUMMYFUNCTION("INDIRECT(""'收支紀錄'!I""&amp;TO_TEXT(ROW()-$C$72))"),"")</f>
        <v/>
      </c>
      <c r="J404" s="61" t="str">
        <f>IFERROR(__xludf.DUMMYFUNCTION("INDIRECT(""'收支紀錄'!J""&amp;TO_TEXT(ROW()-$C$72))"),"")</f>
        <v/>
      </c>
      <c r="K404" s="61" t="str">
        <f>IFERROR(__xludf.DUMMYFUNCTION("INDIRECT(""'收支紀錄'!K""&amp;TO_TEXT(ROW()-$C$72))"),"")</f>
        <v/>
      </c>
      <c r="L404" s="61" t="str">
        <f>IFERROR(__xludf.DUMMYFUNCTION("INDIRECT(""'收支紀錄'!L""&amp;TO_TEXT(ROW()-$C$72))"),"")</f>
        <v/>
      </c>
      <c r="M404" s="61" t="str">
        <f>IFERROR(__xludf.DUMMYFUNCTION("INDIRECT(""'收支紀錄'!M""&amp;TO_TEXT(ROW()-$C$72))"),"公司福利金")</f>
        <v>公司福利金</v>
      </c>
      <c r="N404" s="61" t="str">
        <f>IFERROR(__xludf.DUMMYFUNCTION("INDIRECT(""'收支紀錄'!N""&amp;TO_TEXT(ROW()-$C$72))"),"")</f>
        <v/>
      </c>
      <c r="O404" s="61" t="str">
        <f>IFERROR(__xludf.DUMMYFUNCTION("INDIRECT(""'收支紀錄'!O""&amp;TO_TEXT(ROW()-$C$72))"),"")</f>
        <v/>
      </c>
      <c r="P404" s="61" t="str">
        <f>IFERROR(__xludf.DUMMYFUNCTION("INDIRECT(""'收支紀錄'!P""&amp;TO_TEXT(ROW()-$C$72))"),"")</f>
        <v/>
      </c>
      <c r="Q404" s="61" t="str">
        <f>IFERROR(__xludf.DUMMYFUNCTION("INDIRECT(""'收支紀錄'!Q""&amp;TO_TEXT(ROW()-$C$72))"),"")</f>
        <v/>
      </c>
      <c r="R404" s="61" t="str">
        <f>IFERROR(__xludf.DUMMYFUNCTION("INDIRECT(""'收支紀錄'!R""&amp;TO_TEXT(ROW()-$C$72))"),"")</f>
        <v/>
      </c>
      <c r="S404" s="61" t="str">
        <f>IFERROR(__xludf.DUMMYFUNCTION("INDIRECT(""'收支紀錄'!S""&amp;TO_TEXT(ROW()-$C$72))"),"")</f>
        <v/>
      </c>
      <c r="T404" s="61" t="str">
        <f>IFERROR(__xludf.DUMMYFUNCTION("INDIRECT(""'收支紀錄'!T""&amp;TO_TEXT(ROW()-$C$72))"),"")</f>
        <v/>
      </c>
      <c r="U404" s="62" t="str">
        <f>IFERROR(__xludf.DUMMYFUNCTION("IF(T404=""是"",TEXTJOIN("""", TRUE, ""$"", TO_TEXT(C404), S404),"""")"),"")</f>
        <v/>
      </c>
    </row>
    <row r="405">
      <c r="A405" s="58">
        <f>IFERROR(__xludf.DUMMYFUNCTION("INDIRECT(""'收支紀錄'!A""&amp;TO_TEXT(ROW()-$C$72))"),45603.55956974537)</f>
        <v>45603.55957</v>
      </c>
      <c r="B405" s="59">
        <f>IFERROR(__xludf.DUMMYFUNCTION("IF(ISBLANK(D405), """", IF(ISDATE(D405), D405, IF(D405=""今天"", A405, IF(D405=""昨天 (-1 day)"", A405-1, IF(D405=""前天 (-2 days)"", A405-2, IF(D405=""明天 (+1 day)"", A405+1, DATE(LEFT(D405,4), MID(D405,5,2), RIGHT(D405,2))))))))"),45601.55956974537)</f>
        <v>45601.55957</v>
      </c>
      <c r="C405" s="60">
        <f>IFERROR(__xludf.DUMMYFUNCTION("INDIRECT(""'收支紀錄'!C""&amp;TO_TEXT(ROW()-$C$72))"),3260.0)</f>
        <v>3260</v>
      </c>
      <c r="D405" s="63" t="str">
        <f>IFERROR(__xludf.DUMMYFUNCTION("INDIRECT(""'收支紀錄'!D""&amp;TO_TEXT(ROW()-$C$72))"),"前天 (-2 days)")</f>
        <v>前天 (-2 days)</v>
      </c>
      <c r="E405" s="61" t="str">
        <f>IFERROR(__xludf.DUMMYFUNCTION("INDIRECT(""'收支紀錄'!E""&amp;TO_TEXT(ROW()-$C$72))"),"")</f>
        <v/>
      </c>
      <c r="F405" s="61" t="str">
        <f>IFERROR(__xludf.DUMMYFUNCTION("INDIRECT(""'收支紀錄'!F""&amp;TO_TEXT(ROW()-$C$72))"),"")</f>
        <v/>
      </c>
      <c r="G405" s="61" t="str">
        <f>IFERROR(__xludf.DUMMYFUNCTION("INDIRECT(""'收支紀錄'!G""&amp;TO_TEXT(ROW()-$C$72))"),"")</f>
        <v/>
      </c>
      <c r="H405" s="61" t="str">
        <f>IFERROR(__xludf.DUMMYFUNCTION("INDIRECT(""'收支紀錄'!H""&amp;TO_TEXT(ROW()-$C$72))"),"稅金保險")</f>
        <v>稅金保險</v>
      </c>
      <c r="I405" s="61" t="str">
        <f>IFERROR(__xludf.DUMMYFUNCTION("INDIRECT(""'收支紀錄'!I""&amp;TO_TEXT(ROW()-$C$72))"),"")</f>
        <v/>
      </c>
      <c r="J405" s="61" t="str">
        <f>IFERROR(__xludf.DUMMYFUNCTION("INDIRECT(""'收支紀錄'!J""&amp;TO_TEXT(ROW()-$C$72))"),"")</f>
        <v/>
      </c>
      <c r="K405" s="61" t="str">
        <f>IFERROR(__xludf.DUMMYFUNCTION("INDIRECT(""'收支紀錄'!K""&amp;TO_TEXT(ROW()-$C$72))"),"")</f>
        <v/>
      </c>
      <c r="L405" s="61" t="str">
        <f>IFERROR(__xludf.DUMMYFUNCTION("INDIRECT(""'收支紀錄'!L""&amp;TO_TEXT(ROW()-$C$72))"),"")</f>
        <v/>
      </c>
      <c r="M405" s="61" t="str">
        <f>IFERROR(__xludf.DUMMYFUNCTION("INDIRECT(""'收支紀錄'!M""&amp;TO_TEXT(ROW()-$C$72))"),"")</f>
        <v/>
      </c>
      <c r="N405" s="61" t="str">
        <f>IFERROR(__xludf.DUMMYFUNCTION("INDIRECT(""'收支紀錄'!N""&amp;TO_TEXT(ROW()-$C$72))"),"稅金")</f>
        <v>稅金</v>
      </c>
      <c r="O405" s="61" t="str">
        <f>IFERROR(__xludf.DUMMYFUNCTION("INDIRECT(""'收支紀錄'!O""&amp;TO_TEXT(ROW()-$C$72))"),"")</f>
        <v/>
      </c>
      <c r="P405" s="61" t="str">
        <f>IFERROR(__xludf.DUMMYFUNCTION("INDIRECT(""'收支紀錄'!P""&amp;TO_TEXT(ROW()-$C$72))"),"")</f>
        <v/>
      </c>
      <c r="Q405" s="61" t="str">
        <f>IFERROR(__xludf.DUMMYFUNCTION("INDIRECT(""'收支紀錄'!Q""&amp;TO_TEXT(ROW()-$C$72))"),"")</f>
        <v/>
      </c>
      <c r="R405" s="61" t="str">
        <f>IFERROR(__xludf.DUMMYFUNCTION("INDIRECT(""'收支紀錄'!R""&amp;TO_TEXT(ROW()-$C$72))"),"")</f>
        <v/>
      </c>
      <c r="S405" s="61" t="str">
        <f>IFERROR(__xludf.DUMMYFUNCTION("INDIRECT(""'收支紀錄'!S""&amp;TO_TEXT(ROW()-$C$72))"),"")</f>
        <v/>
      </c>
      <c r="T405" s="61" t="str">
        <f>IFERROR(__xludf.DUMMYFUNCTION("INDIRECT(""'收支紀錄'!T""&amp;TO_TEXT(ROW()-$C$72))"),"")</f>
        <v/>
      </c>
      <c r="U405" s="62" t="str">
        <f>IFERROR(__xludf.DUMMYFUNCTION("IF(T405=""是"",TEXTJOIN("""", TRUE, ""$"", TO_TEXT(C405), S405),"""")"),"")</f>
        <v/>
      </c>
    </row>
    <row r="406">
      <c r="A406" s="58">
        <f>IFERROR(__xludf.DUMMYFUNCTION("INDIRECT(""'收支紀錄'!A""&amp;TO_TEXT(ROW()-$C$72))"),45603.92029787037)</f>
        <v>45603.9203</v>
      </c>
      <c r="B406" s="59">
        <f>IFERROR(__xludf.DUMMYFUNCTION("IF(ISBLANK(D406), """", IF(ISDATE(D406), D406, IF(D406=""今天"", A406, IF(D406=""昨天 (-1 day)"", A406-1, IF(D406=""前天 (-2 days)"", A406-2, IF(D406=""明天 (+1 day)"", A406+1, DATE(LEFT(D406,4), MID(D406,5,2), RIGHT(D406,2))))))))"),45580.0)</f>
        <v>45580</v>
      </c>
      <c r="C406" s="60">
        <f>IFERROR(__xludf.DUMMYFUNCTION("INDIRECT(""'收支紀錄'!C""&amp;TO_TEXT(ROW()-$C$72))"),2290.0)</f>
        <v>2290</v>
      </c>
      <c r="D406" s="63">
        <f>IFERROR(__xludf.DUMMYFUNCTION("INDIRECT(""'收支紀錄'!D""&amp;TO_TEXT(ROW()-$C$72))"),2.0241015E7)</f>
        <v>20241015</v>
      </c>
      <c r="E406" s="61" t="str">
        <f>IFERROR(__xludf.DUMMYFUNCTION("INDIRECT(""'收支紀錄'!E""&amp;TO_TEXT(ROW()-$C$72))"),"其他業外")</f>
        <v>其他業外</v>
      </c>
      <c r="F406" s="61" t="str">
        <f>IFERROR(__xludf.DUMMYFUNCTION("INDIRECT(""'收支紀錄'!F""&amp;TO_TEXT(ROW()-$C$72))"),"")</f>
        <v/>
      </c>
      <c r="G406" s="61" t="str">
        <f>IFERROR(__xludf.DUMMYFUNCTION("INDIRECT(""'收支紀錄'!G""&amp;TO_TEXT(ROW()-$C$72))"),"股票配息")</f>
        <v>股票配息</v>
      </c>
      <c r="H406" s="61" t="str">
        <f>IFERROR(__xludf.DUMMYFUNCTION("INDIRECT(""'收支紀錄'!H""&amp;TO_TEXT(ROW()-$C$72))"),"")</f>
        <v/>
      </c>
      <c r="I406" s="61" t="str">
        <f>IFERROR(__xludf.DUMMYFUNCTION("INDIRECT(""'收支紀錄'!I""&amp;TO_TEXT(ROW()-$C$72))"),"")</f>
        <v/>
      </c>
      <c r="J406" s="61" t="str">
        <f>IFERROR(__xludf.DUMMYFUNCTION("INDIRECT(""'收支紀錄'!J""&amp;TO_TEXT(ROW()-$C$72))"),"")</f>
        <v/>
      </c>
      <c r="K406" s="61" t="str">
        <f>IFERROR(__xludf.DUMMYFUNCTION("INDIRECT(""'收支紀錄'!K""&amp;TO_TEXT(ROW()-$C$72))"),"")</f>
        <v/>
      </c>
      <c r="L406" s="61" t="str">
        <f>IFERROR(__xludf.DUMMYFUNCTION("INDIRECT(""'收支紀錄'!L""&amp;TO_TEXT(ROW()-$C$72))"),"")</f>
        <v/>
      </c>
      <c r="M406" s="61" t="str">
        <f>IFERROR(__xludf.DUMMYFUNCTION("INDIRECT(""'收支紀錄'!M""&amp;TO_TEXT(ROW()-$C$72))"),"")</f>
        <v/>
      </c>
      <c r="N406" s="61" t="str">
        <f>IFERROR(__xludf.DUMMYFUNCTION("INDIRECT(""'收支紀錄'!N""&amp;TO_TEXT(ROW()-$C$72))"),"")</f>
        <v/>
      </c>
      <c r="O406" s="61" t="str">
        <f>IFERROR(__xludf.DUMMYFUNCTION("INDIRECT(""'收支紀錄'!O""&amp;TO_TEXT(ROW()-$C$72))"),"")</f>
        <v/>
      </c>
      <c r="P406" s="61" t="str">
        <f>IFERROR(__xludf.DUMMYFUNCTION("INDIRECT(""'收支紀錄'!P""&amp;TO_TEXT(ROW()-$C$72))"),"")</f>
        <v/>
      </c>
      <c r="Q406" s="61" t="str">
        <f>IFERROR(__xludf.DUMMYFUNCTION("INDIRECT(""'收支紀錄'!Q""&amp;TO_TEXT(ROW()-$C$72))"),"")</f>
        <v/>
      </c>
      <c r="R406" s="61" t="str">
        <f>IFERROR(__xludf.DUMMYFUNCTION("INDIRECT(""'收支紀錄'!R""&amp;TO_TEXT(ROW()-$C$72))"),"")</f>
        <v/>
      </c>
      <c r="S406" s="61" t="str">
        <f>IFERROR(__xludf.DUMMYFUNCTION("INDIRECT(""'收支紀錄'!S""&amp;TO_TEXT(ROW()-$C$72))"),"元大A級")</f>
        <v>元大A級</v>
      </c>
      <c r="T406" s="61" t="str">
        <f>IFERROR(__xludf.DUMMYFUNCTION("INDIRECT(""'收支紀錄'!T""&amp;TO_TEXT(ROW()-$C$72))"),"是")</f>
        <v>是</v>
      </c>
      <c r="U406" s="62" t="str">
        <f>IFERROR(__xludf.DUMMYFUNCTION("IF(T406=""是"",TEXTJOIN("""", TRUE, ""$"", TO_TEXT(C406), S406),"""")"),"$2290元大A級")</f>
        <v>$2290元大A級</v>
      </c>
    </row>
    <row r="407">
      <c r="A407" s="58">
        <f>IFERROR(__xludf.DUMMYFUNCTION("INDIRECT(""'收支紀錄'!A""&amp;TO_TEXT(ROW()-$C$72))"),45603.920916041665)</f>
        <v>45603.92092</v>
      </c>
      <c r="B407" s="59">
        <f>IFERROR(__xludf.DUMMYFUNCTION("IF(ISBLANK(D407), """", IF(ISDATE(D407), D407, IF(D407=""今天"", A407, IF(D407=""昨天 (-1 day)"", A407-1, IF(D407=""前天 (-2 days)"", A407-2, IF(D407=""明天 (+1 day)"", A407+1, DATE(LEFT(D407,4), MID(D407,5,2), RIGHT(D407,2))))))))"),45580.0)</f>
        <v>45580</v>
      </c>
      <c r="C407" s="60">
        <f>IFERROR(__xludf.DUMMYFUNCTION("INDIRECT(""'收支紀錄'!C""&amp;TO_TEXT(ROW()-$C$72))"),4190.0)</f>
        <v>4190</v>
      </c>
      <c r="D407" s="63">
        <f>IFERROR(__xludf.DUMMYFUNCTION("INDIRECT(""'收支紀錄'!D""&amp;TO_TEXT(ROW()-$C$72))"),2.0241015E7)</f>
        <v>20241015</v>
      </c>
      <c r="E407" s="61" t="str">
        <f>IFERROR(__xludf.DUMMYFUNCTION("INDIRECT(""'收支紀錄'!E""&amp;TO_TEXT(ROW()-$C$72))"),"其他業外")</f>
        <v>其他業外</v>
      </c>
      <c r="F407" s="61" t="str">
        <f>IFERROR(__xludf.DUMMYFUNCTION("INDIRECT(""'收支紀錄'!F""&amp;TO_TEXT(ROW()-$C$72))"),"")</f>
        <v/>
      </c>
      <c r="G407" s="61" t="str">
        <f>IFERROR(__xludf.DUMMYFUNCTION("INDIRECT(""'收支紀錄'!G""&amp;TO_TEXT(ROW()-$C$72))"),"股票配息")</f>
        <v>股票配息</v>
      </c>
      <c r="H407" s="61" t="str">
        <f>IFERROR(__xludf.DUMMYFUNCTION("INDIRECT(""'收支紀錄'!H""&amp;TO_TEXT(ROW()-$C$72))"),"")</f>
        <v/>
      </c>
      <c r="I407" s="61" t="str">
        <f>IFERROR(__xludf.DUMMYFUNCTION("INDIRECT(""'收支紀錄'!I""&amp;TO_TEXT(ROW()-$C$72))"),"")</f>
        <v/>
      </c>
      <c r="J407" s="61" t="str">
        <f>IFERROR(__xludf.DUMMYFUNCTION("INDIRECT(""'收支紀錄'!J""&amp;TO_TEXT(ROW()-$C$72))"),"")</f>
        <v/>
      </c>
      <c r="K407" s="61" t="str">
        <f>IFERROR(__xludf.DUMMYFUNCTION("INDIRECT(""'收支紀錄'!K""&amp;TO_TEXT(ROW()-$C$72))"),"")</f>
        <v/>
      </c>
      <c r="L407" s="61" t="str">
        <f>IFERROR(__xludf.DUMMYFUNCTION("INDIRECT(""'收支紀錄'!L""&amp;TO_TEXT(ROW()-$C$72))"),"")</f>
        <v/>
      </c>
      <c r="M407" s="61" t="str">
        <f>IFERROR(__xludf.DUMMYFUNCTION("INDIRECT(""'收支紀錄'!M""&amp;TO_TEXT(ROW()-$C$72))"),"")</f>
        <v/>
      </c>
      <c r="N407" s="61" t="str">
        <f>IFERROR(__xludf.DUMMYFUNCTION("INDIRECT(""'收支紀錄'!N""&amp;TO_TEXT(ROW()-$C$72))"),"")</f>
        <v/>
      </c>
      <c r="O407" s="61" t="str">
        <f>IFERROR(__xludf.DUMMYFUNCTION("INDIRECT(""'收支紀錄'!O""&amp;TO_TEXT(ROW()-$C$72))"),"")</f>
        <v/>
      </c>
      <c r="P407" s="61" t="str">
        <f>IFERROR(__xludf.DUMMYFUNCTION("INDIRECT(""'收支紀錄'!P""&amp;TO_TEXT(ROW()-$C$72))"),"")</f>
        <v/>
      </c>
      <c r="Q407" s="61" t="str">
        <f>IFERROR(__xludf.DUMMYFUNCTION("INDIRECT(""'收支紀錄'!Q""&amp;TO_TEXT(ROW()-$C$72))"),"")</f>
        <v/>
      </c>
      <c r="R407" s="61" t="str">
        <f>IFERROR(__xludf.DUMMYFUNCTION("INDIRECT(""'收支紀錄'!R""&amp;TO_TEXT(ROW()-$C$72))"),"")</f>
        <v/>
      </c>
      <c r="S407" s="61" t="str">
        <f>IFERROR(__xludf.DUMMYFUNCTION("INDIRECT(""'收支紀錄'!S""&amp;TO_TEXT(ROW()-$C$72))"),"國泰美債")</f>
        <v>國泰美債</v>
      </c>
      <c r="T407" s="61" t="str">
        <f>IFERROR(__xludf.DUMMYFUNCTION("INDIRECT(""'收支紀錄'!T""&amp;TO_TEXT(ROW()-$C$72))"),"是")</f>
        <v>是</v>
      </c>
      <c r="U407" s="62" t="str">
        <f>IFERROR(__xludf.DUMMYFUNCTION("IF(T407=""是"",TEXTJOIN("""", TRUE, ""$"", TO_TEXT(C407), S407),"""")"),"$4190國泰美債")</f>
        <v>$4190國泰美債</v>
      </c>
    </row>
    <row r="408">
      <c r="A408" s="58">
        <f>IFERROR(__xludf.DUMMYFUNCTION("INDIRECT(""'收支紀錄'!A""&amp;TO_TEXT(ROW()-$C$72))"),45603.92174502315)</f>
        <v>45603.92175</v>
      </c>
      <c r="B408" s="59">
        <f>IFERROR(__xludf.DUMMYFUNCTION("IF(ISBLANK(D408), """", IF(ISDATE(D408), D408, IF(D408=""今天"", A408, IF(D408=""昨天 (-1 day)"", A408-1, IF(D408=""前天 (-2 days)"", A408-2, IF(D408=""明天 (+1 day)"", A408+1, DATE(LEFT(D408,4), MID(D408,5,2), RIGHT(D408,2))))))))"),45596.0)</f>
        <v>45596</v>
      </c>
      <c r="C408" s="60">
        <f>IFERROR(__xludf.DUMMYFUNCTION("INDIRECT(""'收支紀錄'!C""&amp;TO_TEXT(ROW()-$C$72))"),490.0)</f>
        <v>490</v>
      </c>
      <c r="D408" s="63">
        <f>IFERROR(__xludf.DUMMYFUNCTION("INDIRECT(""'收支紀錄'!D""&amp;TO_TEXT(ROW()-$C$72))"),2.0241031E7)</f>
        <v>20241031</v>
      </c>
      <c r="E408" s="61" t="str">
        <f>IFERROR(__xludf.DUMMYFUNCTION("INDIRECT(""'收支紀錄'!E""&amp;TO_TEXT(ROW()-$C$72))"),"其他業外")</f>
        <v>其他業外</v>
      </c>
      <c r="F408" s="61" t="str">
        <f>IFERROR(__xludf.DUMMYFUNCTION("INDIRECT(""'收支紀錄'!F""&amp;TO_TEXT(ROW()-$C$72))"),"")</f>
        <v/>
      </c>
      <c r="G408" s="61" t="str">
        <f>IFERROR(__xludf.DUMMYFUNCTION("INDIRECT(""'收支紀錄'!G""&amp;TO_TEXT(ROW()-$C$72))"),"股票配息")</f>
        <v>股票配息</v>
      </c>
      <c r="H408" s="61" t="str">
        <f>IFERROR(__xludf.DUMMYFUNCTION("INDIRECT(""'收支紀錄'!H""&amp;TO_TEXT(ROW()-$C$72))"),"")</f>
        <v/>
      </c>
      <c r="I408" s="61" t="str">
        <f>IFERROR(__xludf.DUMMYFUNCTION("INDIRECT(""'收支紀錄'!I""&amp;TO_TEXT(ROW()-$C$72))"),"")</f>
        <v/>
      </c>
      <c r="J408" s="61" t="str">
        <f>IFERROR(__xludf.DUMMYFUNCTION("INDIRECT(""'收支紀錄'!J""&amp;TO_TEXT(ROW()-$C$72))"),"")</f>
        <v/>
      </c>
      <c r="K408" s="61" t="str">
        <f>IFERROR(__xludf.DUMMYFUNCTION("INDIRECT(""'收支紀錄'!K""&amp;TO_TEXT(ROW()-$C$72))"),"")</f>
        <v/>
      </c>
      <c r="L408" s="61" t="str">
        <f>IFERROR(__xludf.DUMMYFUNCTION("INDIRECT(""'收支紀錄'!L""&amp;TO_TEXT(ROW()-$C$72))"),"")</f>
        <v/>
      </c>
      <c r="M408" s="61" t="str">
        <f>IFERROR(__xludf.DUMMYFUNCTION("INDIRECT(""'收支紀錄'!M""&amp;TO_TEXT(ROW()-$C$72))"),"")</f>
        <v/>
      </c>
      <c r="N408" s="61" t="str">
        <f>IFERROR(__xludf.DUMMYFUNCTION("INDIRECT(""'收支紀錄'!N""&amp;TO_TEXT(ROW()-$C$72))"),"")</f>
        <v/>
      </c>
      <c r="O408" s="61" t="str">
        <f>IFERROR(__xludf.DUMMYFUNCTION("INDIRECT(""'收支紀錄'!O""&amp;TO_TEXT(ROW()-$C$72))"),"")</f>
        <v/>
      </c>
      <c r="P408" s="61" t="str">
        <f>IFERROR(__xludf.DUMMYFUNCTION("INDIRECT(""'收支紀錄'!P""&amp;TO_TEXT(ROW()-$C$72))"),"")</f>
        <v/>
      </c>
      <c r="Q408" s="61" t="str">
        <f>IFERROR(__xludf.DUMMYFUNCTION("INDIRECT(""'收支紀錄'!Q""&amp;TO_TEXT(ROW()-$C$72))"),"")</f>
        <v/>
      </c>
      <c r="R408" s="61" t="str">
        <f>IFERROR(__xludf.DUMMYFUNCTION("INDIRECT(""'收支紀錄'!R""&amp;TO_TEXT(ROW()-$C$72))"),"")</f>
        <v/>
      </c>
      <c r="S408" s="61" t="str">
        <f>IFERROR(__xludf.DUMMYFUNCTION("INDIRECT(""'收支紀錄'!S""&amp;TO_TEXT(ROW()-$C$72))"),"興富發")</f>
        <v>興富發</v>
      </c>
      <c r="T408" s="61" t="str">
        <f>IFERROR(__xludf.DUMMYFUNCTION("INDIRECT(""'收支紀錄'!T""&amp;TO_TEXT(ROW()-$C$72))"),"是")</f>
        <v>是</v>
      </c>
      <c r="U408" s="62" t="str">
        <f>IFERROR(__xludf.DUMMYFUNCTION("IF(T408=""是"",TEXTJOIN("""", TRUE, ""$"", TO_TEXT(C408), S408),"""")"),"$490興富發")</f>
        <v>$490興富發</v>
      </c>
    </row>
    <row r="409">
      <c r="A409" s="58">
        <f>IFERROR(__xludf.DUMMYFUNCTION("INDIRECT(""'收支紀錄'!A""&amp;TO_TEXT(ROW()-$C$72))"),45604.849527569444)</f>
        <v>45604.84953</v>
      </c>
      <c r="B409" s="59">
        <f>IFERROR(__xludf.DUMMYFUNCTION("IF(ISBLANK(D409), """", IF(ISDATE(D409), D409, IF(D409=""今天"", A409, IF(D409=""昨天 (-1 day)"", A409-1, IF(D409=""前天 (-2 days)"", A409-2, IF(D409=""明天 (+1 day)"", A409+1, DATE(LEFT(D409,4), MID(D409,5,2), RIGHT(D409,2))))))))"),45604.849527569444)</f>
        <v>45604.84953</v>
      </c>
      <c r="C409" s="60">
        <f>IFERROR(__xludf.DUMMYFUNCTION("INDIRECT(""'收支紀錄'!C""&amp;TO_TEXT(ROW()-$C$72))"),100.0)</f>
        <v>100</v>
      </c>
      <c r="D409" s="63" t="str">
        <f>IFERROR(__xludf.DUMMYFUNCTION("INDIRECT(""'收支紀錄'!D""&amp;TO_TEXT(ROW()-$C$72))"),"今天")</f>
        <v>今天</v>
      </c>
      <c r="E409" s="61" t="str">
        <f>IFERROR(__xludf.DUMMYFUNCTION("INDIRECT(""'收支紀錄'!E""&amp;TO_TEXT(ROW()-$C$72))"),"")</f>
        <v/>
      </c>
      <c r="F409" s="61" t="str">
        <f>IFERROR(__xludf.DUMMYFUNCTION("INDIRECT(""'收支紀錄'!F""&amp;TO_TEXT(ROW()-$C$72))"),"")</f>
        <v/>
      </c>
      <c r="G409" s="61" t="str">
        <f>IFERROR(__xludf.DUMMYFUNCTION("INDIRECT(""'收支紀錄'!G""&amp;TO_TEXT(ROW()-$C$72))"),"")</f>
        <v/>
      </c>
      <c r="H409" s="61" t="str">
        <f>IFERROR(__xludf.DUMMYFUNCTION("INDIRECT(""'收支紀錄'!H""&amp;TO_TEXT(ROW()-$C$72))"),"行車交通")</f>
        <v>行車交通</v>
      </c>
      <c r="I409" s="61" t="str">
        <f>IFERROR(__xludf.DUMMYFUNCTION("INDIRECT(""'收支紀錄'!I""&amp;TO_TEXT(ROW()-$C$72))"),"")</f>
        <v/>
      </c>
      <c r="J409" s="61" t="str">
        <f>IFERROR(__xludf.DUMMYFUNCTION("INDIRECT(""'收支紀錄'!J""&amp;TO_TEXT(ROW()-$C$72))"),"")</f>
        <v/>
      </c>
      <c r="K409" s="61" t="str">
        <f>IFERROR(__xludf.DUMMYFUNCTION("INDIRECT(""'收支紀錄'!K""&amp;TO_TEXT(ROW()-$C$72))"),"")</f>
        <v/>
      </c>
      <c r="L409" s="61" t="str">
        <f>IFERROR(__xludf.DUMMYFUNCTION("INDIRECT(""'收支紀錄'!L""&amp;TO_TEXT(ROW()-$C$72))"),"火車費")</f>
        <v>火車費</v>
      </c>
      <c r="M409" s="61" t="str">
        <f>IFERROR(__xludf.DUMMYFUNCTION("INDIRECT(""'收支紀錄'!M""&amp;TO_TEXT(ROW()-$C$72))"),"")</f>
        <v/>
      </c>
      <c r="N409" s="61" t="str">
        <f>IFERROR(__xludf.DUMMYFUNCTION("INDIRECT(""'收支紀錄'!N""&amp;TO_TEXT(ROW()-$C$72))"),"")</f>
        <v/>
      </c>
      <c r="O409" s="61" t="str">
        <f>IFERROR(__xludf.DUMMYFUNCTION("INDIRECT(""'收支紀錄'!O""&amp;TO_TEXT(ROW()-$C$72))"),"")</f>
        <v/>
      </c>
      <c r="P409" s="61" t="str">
        <f>IFERROR(__xludf.DUMMYFUNCTION("INDIRECT(""'收支紀錄'!P""&amp;TO_TEXT(ROW()-$C$72))"),"")</f>
        <v/>
      </c>
      <c r="Q409" s="61" t="str">
        <f>IFERROR(__xludf.DUMMYFUNCTION("INDIRECT(""'收支紀錄'!Q""&amp;TO_TEXT(ROW()-$C$72))"),"")</f>
        <v/>
      </c>
      <c r="R409" s="61" t="str">
        <f>IFERROR(__xludf.DUMMYFUNCTION("INDIRECT(""'收支紀錄'!R""&amp;TO_TEXT(ROW()-$C$72))"),"")</f>
        <v/>
      </c>
      <c r="S409" s="61" t="str">
        <f>IFERROR(__xludf.DUMMYFUNCTION("INDIRECT(""'收支紀錄'!S""&amp;TO_TEXT(ROW()-$C$72))"),"")</f>
        <v/>
      </c>
      <c r="T409" s="61" t="str">
        <f>IFERROR(__xludf.DUMMYFUNCTION("INDIRECT(""'收支紀錄'!T""&amp;TO_TEXT(ROW()-$C$72))"),"")</f>
        <v/>
      </c>
      <c r="U409" s="62" t="str">
        <f>IFERROR(__xludf.DUMMYFUNCTION("IF(T409=""是"",TEXTJOIN("""", TRUE, ""$"", TO_TEXT(C409), S409),"""")"),"")</f>
        <v/>
      </c>
    </row>
    <row r="410">
      <c r="A410" s="58">
        <f>IFERROR(__xludf.DUMMYFUNCTION("INDIRECT(""'收支紀錄'!A""&amp;TO_TEXT(ROW()-$C$72))"),45604.98769072916)</f>
        <v>45604.98769</v>
      </c>
      <c r="B410" s="59">
        <f>IFERROR(__xludf.DUMMYFUNCTION("IF(ISBLANK(D410), """", IF(ISDATE(D410), D410, IF(D410=""今天"", A410, IF(D410=""昨天 (-1 day)"", A410-1, IF(D410=""前天 (-2 days)"", A410-2, IF(D410=""明天 (+1 day)"", A410+1, DATE(LEFT(D410,4), MID(D410,5,2), RIGHT(D410,2))))))))"),45604.98769072916)</f>
        <v>45604.98769</v>
      </c>
      <c r="C410" s="60">
        <f>IFERROR(__xludf.DUMMYFUNCTION("INDIRECT(""'收支紀錄'!C""&amp;TO_TEXT(ROW()-$C$72))"),6102.0)</f>
        <v>6102</v>
      </c>
      <c r="D410" s="63" t="str">
        <f>IFERROR(__xludf.DUMMYFUNCTION("INDIRECT(""'收支紀錄'!D""&amp;TO_TEXT(ROW()-$C$72))"),"今天")</f>
        <v>今天</v>
      </c>
      <c r="E410" s="61" t="str">
        <f>IFERROR(__xludf.DUMMYFUNCTION("INDIRECT(""'收支紀錄'!E""&amp;TO_TEXT(ROW()-$C$72))"),"")</f>
        <v/>
      </c>
      <c r="F410" s="61" t="str">
        <f>IFERROR(__xludf.DUMMYFUNCTION("INDIRECT(""'收支紀錄'!F""&amp;TO_TEXT(ROW()-$C$72))"),"")</f>
        <v/>
      </c>
      <c r="G410" s="61" t="str">
        <f>IFERROR(__xludf.DUMMYFUNCTION("INDIRECT(""'收支紀錄'!G""&amp;TO_TEXT(ROW()-$C$72))"),"")</f>
        <v/>
      </c>
      <c r="H410" s="61" t="str">
        <f>IFERROR(__xludf.DUMMYFUNCTION("INDIRECT(""'收支紀錄'!H""&amp;TO_TEXT(ROW()-$C$72))"),"房屋支出")</f>
        <v>房屋支出</v>
      </c>
      <c r="I410" s="61" t="str">
        <f>IFERROR(__xludf.DUMMYFUNCTION("INDIRECT(""'收支紀錄'!I""&amp;TO_TEXT(ROW()-$C$72))"),"")</f>
        <v/>
      </c>
      <c r="J410" s="61" t="str">
        <f>IFERROR(__xludf.DUMMYFUNCTION("INDIRECT(""'收支紀錄'!J""&amp;TO_TEXT(ROW()-$C$72))"),"")</f>
        <v/>
      </c>
      <c r="K410" s="61" t="str">
        <f>IFERROR(__xludf.DUMMYFUNCTION("INDIRECT(""'收支紀錄'!K""&amp;TO_TEXT(ROW()-$C$72))"),"管理費")</f>
        <v>管理費</v>
      </c>
      <c r="L410" s="61" t="str">
        <f>IFERROR(__xludf.DUMMYFUNCTION("INDIRECT(""'收支紀錄'!L""&amp;TO_TEXT(ROW()-$C$72))"),"")</f>
        <v/>
      </c>
      <c r="M410" s="61" t="str">
        <f>IFERROR(__xludf.DUMMYFUNCTION("INDIRECT(""'收支紀錄'!M""&amp;TO_TEXT(ROW()-$C$72))"),"")</f>
        <v/>
      </c>
      <c r="N410" s="61" t="str">
        <f>IFERROR(__xludf.DUMMYFUNCTION("INDIRECT(""'收支紀錄'!N""&amp;TO_TEXT(ROW()-$C$72))"),"")</f>
        <v/>
      </c>
      <c r="O410" s="61" t="str">
        <f>IFERROR(__xludf.DUMMYFUNCTION("INDIRECT(""'收支紀錄'!O""&amp;TO_TEXT(ROW()-$C$72))"),"")</f>
        <v/>
      </c>
      <c r="P410" s="61" t="str">
        <f>IFERROR(__xludf.DUMMYFUNCTION("INDIRECT(""'收支紀錄'!P""&amp;TO_TEXT(ROW()-$C$72))"),"")</f>
        <v/>
      </c>
      <c r="Q410" s="61" t="str">
        <f>IFERROR(__xludf.DUMMYFUNCTION("INDIRECT(""'收支紀錄'!Q""&amp;TO_TEXT(ROW()-$C$72))"),"")</f>
        <v/>
      </c>
      <c r="R410" s="61" t="str">
        <f>IFERROR(__xludf.DUMMYFUNCTION("INDIRECT(""'收支紀錄'!R""&amp;TO_TEXT(ROW()-$C$72))"),"")</f>
        <v/>
      </c>
      <c r="S410" s="61" t="str">
        <f>IFERROR(__xludf.DUMMYFUNCTION("INDIRECT(""'收支紀錄'!S""&amp;TO_TEXT(ROW()-$C$72))"),"")</f>
        <v/>
      </c>
      <c r="T410" s="61" t="str">
        <f>IFERROR(__xludf.DUMMYFUNCTION("INDIRECT(""'收支紀錄'!T""&amp;TO_TEXT(ROW()-$C$72))"),"")</f>
        <v/>
      </c>
      <c r="U410" s="62" t="str">
        <f>IFERROR(__xludf.DUMMYFUNCTION("IF(T410=""是"",TEXTJOIN("""", TRUE, ""$"", TO_TEXT(C410), S410),"""")"),"")</f>
        <v/>
      </c>
    </row>
    <row r="411">
      <c r="A411" s="58">
        <f>IFERROR(__xludf.DUMMYFUNCTION("INDIRECT(""'收支紀錄'!A""&amp;TO_TEXT(ROW()-$C$72))"),45605.502473333334)</f>
        <v>45605.50247</v>
      </c>
      <c r="B411" s="59">
        <f>IFERROR(__xludf.DUMMYFUNCTION("IF(ISBLANK(D411), """", IF(ISDATE(D411), D411, IF(D411=""今天"", A411, IF(D411=""昨天 (-1 day)"", A411-1, IF(D411=""前天 (-2 days)"", A411-2, IF(D411=""明天 (+1 day)"", A411+1, DATE(LEFT(D411,4), MID(D411,5,2), RIGHT(D411,2))))))))"),45604.502473333334)</f>
        <v>45604.50247</v>
      </c>
      <c r="C411" s="60">
        <f>IFERROR(__xludf.DUMMYFUNCTION("INDIRECT(""'收支紀錄'!C""&amp;TO_TEXT(ROW()-$C$72))"),66.0)</f>
        <v>66</v>
      </c>
      <c r="D411" s="63" t="str">
        <f>IFERROR(__xludf.DUMMYFUNCTION("INDIRECT(""'收支紀錄'!D""&amp;TO_TEXT(ROW()-$C$72))"),"昨天 (-1 day)")</f>
        <v>昨天 (-1 day)</v>
      </c>
      <c r="E411" s="61" t="str">
        <f>IFERROR(__xludf.DUMMYFUNCTION("INDIRECT(""'收支紀錄'!E""&amp;TO_TEXT(ROW()-$C$72))"),"")</f>
        <v/>
      </c>
      <c r="F411" s="61" t="str">
        <f>IFERROR(__xludf.DUMMYFUNCTION("INDIRECT(""'收支紀錄'!F""&amp;TO_TEXT(ROW()-$C$72))"),"")</f>
        <v/>
      </c>
      <c r="G411" s="61" t="str">
        <f>IFERROR(__xludf.DUMMYFUNCTION("INDIRECT(""'收支紀錄'!G""&amp;TO_TEXT(ROW()-$C$72))"),"")</f>
        <v/>
      </c>
      <c r="H411" s="61" t="str">
        <f>IFERROR(__xludf.DUMMYFUNCTION("INDIRECT(""'收支紀錄'!H""&amp;TO_TEXT(ROW()-$C$72))"),"食品酒水")</f>
        <v>食品酒水</v>
      </c>
      <c r="I411" s="61" t="str">
        <f>IFERROR(__xludf.DUMMYFUNCTION("INDIRECT(""'收支紀錄'!I""&amp;TO_TEXT(ROW()-$C$72))"),"宵夜")</f>
        <v>宵夜</v>
      </c>
      <c r="J411" s="61" t="str">
        <f>IFERROR(__xludf.DUMMYFUNCTION("INDIRECT(""'收支紀錄'!J""&amp;TO_TEXT(ROW()-$C$72))"),"")</f>
        <v/>
      </c>
      <c r="K411" s="61" t="str">
        <f>IFERROR(__xludf.DUMMYFUNCTION("INDIRECT(""'收支紀錄'!K""&amp;TO_TEXT(ROW()-$C$72))"),"")</f>
        <v/>
      </c>
      <c r="L411" s="61" t="str">
        <f>IFERROR(__xludf.DUMMYFUNCTION("INDIRECT(""'收支紀錄'!L""&amp;TO_TEXT(ROW()-$C$72))"),"")</f>
        <v/>
      </c>
      <c r="M411" s="61" t="str">
        <f>IFERROR(__xludf.DUMMYFUNCTION("INDIRECT(""'收支紀錄'!M""&amp;TO_TEXT(ROW()-$C$72))"),"")</f>
        <v/>
      </c>
      <c r="N411" s="61" t="str">
        <f>IFERROR(__xludf.DUMMYFUNCTION("INDIRECT(""'收支紀錄'!N""&amp;TO_TEXT(ROW()-$C$72))"),"")</f>
        <v/>
      </c>
      <c r="O411" s="61" t="str">
        <f>IFERROR(__xludf.DUMMYFUNCTION("INDIRECT(""'收支紀錄'!O""&amp;TO_TEXT(ROW()-$C$72))"),"")</f>
        <v/>
      </c>
      <c r="P411" s="61" t="str">
        <f>IFERROR(__xludf.DUMMYFUNCTION("INDIRECT(""'收支紀錄'!P""&amp;TO_TEXT(ROW()-$C$72))"),"")</f>
        <v/>
      </c>
      <c r="Q411" s="61" t="str">
        <f>IFERROR(__xludf.DUMMYFUNCTION("INDIRECT(""'收支紀錄'!Q""&amp;TO_TEXT(ROW()-$C$72))"),"")</f>
        <v/>
      </c>
      <c r="R411" s="61" t="str">
        <f>IFERROR(__xludf.DUMMYFUNCTION("INDIRECT(""'收支紀錄'!R""&amp;TO_TEXT(ROW()-$C$72))"),"")</f>
        <v/>
      </c>
      <c r="S411" s="61" t="str">
        <f>IFERROR(__xludf.DUMMYFUNCTION("INDIRECT(""'收支紀錄'!S""&amp;TO_TEXT(ROW()-$C$72))"),"")</f>
        <v/>
      </c>
      <c r="T411" s="61" t="str">
        <f>IFERROR(__xludf.DUMMYFUNCTION("INDIRECT(""'收支紀錄'!T""&amp;TO_TEXT(ROW()-$C$72))"),"")</f>
        <v/>
      </c>
      <c r="U411" s="62" t="str">
        <f>IFERROR(__xludf.DUMMYFUNCTION("IF(T411=""是"",TEXTJOIN("""", TRUE, ""$"", TO_TEXT(C411), S411),"""")"),"")</f>
        <v/>
      </c>
    </row>
    <row r="412">
      <c r="A412" s="58">
        <f>IFERROR(__xludf.DUMMYFUNCTION("INDIRECT(""'收支紀錄'!A""&amp;TO_TEXT(ROW()-$C$72))"),45605.73531975695)</f>
        <v>45605.73532</v>
      </c>
      <c r="B412" s="59">
        <f>IFERROR(__xludf.DUMMYFUNCTION("IF(ISBLANK(D412), """", IF(ISDATE(D412), D412, IF(D412=""今天"", A412, IF(D412=""昨天 (-1 day)"", A412-1, IF(D412=""前天 (-2 days)"", A412-2, IF(D412=""明天 (+1 day)"", A412+1, DATE(LEFT(D412,4), MID(D412,5,2), RIGHT(D412,2))))))))"),45605.73531975695)</f>
        <v>45605.73532</v>
      </c>
      <c r="C412" s="60">
        <f>IFERROR(__xludf.DUMMYFUNCTION("INDIRECT(""'收支紀錄'!C""&amp;TO_TEXT(ROW()-$C$72))"),742.0)</f>
        <v>742</v>
      </c>
      <c r="D412" s="63" t="str">
        <f>IFERROR(__xludf.DUMMYFUNCTION("INDIRECT(""'收支紀錄'!D""&amp;TO_TEXT(ROW()-$C$72))"),"今天")</f>
        <v>今天</v>
      </c>
      <c r="E412" s="61" t="str">
        <f>IFERROR(__xludf.DUMMYFUNCTION("INDIRECT(""'收支紀錄'!E""&amp;TO_TEXT(ROW()-$C$72))"),"")</f>
        <v/>
      </c>
      <c r="F412" s="61" t="str">
        <f>IFERROR(__xludf.DUMMYFUNCTION("INDIRECT(""'收支紀錄'!F""&amp;TO_TEXT(ROW()-$C$72))"),"")</f>
        <v/>
      </c>
      <c r="G412" s="61" t="str">
        <f>IFERROR(__xludf.DUMMYFUNCTION("INDIRECT(""'收支紀錄'!G""&amp;TO_TEXT(ROW()-$C$72))"),"")</f>
        <v/>
      </c>
      <c r="H412" s="61" t="str">
        <f>IFERROR(__xludf.DUMMYFUNCTION("INDIRECT(""'收支紀錄'!H""&amp;TO_TEXT(ROW()-$C$72))"),"行車交通")</f>
        <v>行車交通</v>
      </c>
      <c r="I412" s="61" t="str">
        <f>IFERROR(__xludf.DUMMYFUNCTION("INDIRECT(""'收支紀錄'!I""&amp;TO_TEXT(ROW()-$C$72))"),"")</f>
        <v/>
      </c>
      <c r="J412" s="61" t="str">
        <f>IFERROR(__xludf.DUMMYFUNCTION("INDIRECT(""'收支紀錄'!J""&amp;TO_TEXT(ROW()-$C$72))"),"")</f>
        <v/>
      </c>
      <c r="K412" s="61" t="str">
        <f>IFERROR(__xludf.DUMMYFUNCTION("INDIRECT(""'收支紀錄'!K""&amp;TO_TEXT(ROW()-$C$72))"),"")</f>
        <v/>
      </c>
      <c r="L412" s="61" t="str">
        <f>IFERROR(__xludf.DUMMYFUNCTION("INDIRECT(""'收支紀錄'!L""&amp;TO_TEXT(ROW()-$C$72))"),"加油")</f>
        <v>加油</v>
      </c>
      <c r="M412" s="61" t="str">
        <f>IFERROR(__xludf.DUMMYFUNCTION("INDIRECT(""'收支紀錄'!M""&amp;TO_TEXT(ROW()-$C$72))"),"")</f>
        <v/>
      </c>
      <c r="N412" s="61" t="str">
        <f>IFERROR(__xludf.DUMMYFUNCTION("INDIRECT(""'收支紀錄'!N""&amp;TO_TEXT(ROW()-$C$72))"),"")</f>
        <v/>
      </c>
      <c r="O412" s="61" t="str">
        <f>IFERROR(__xludf.DUMMYFUNCTION("INDIRECT(""'收支紀錄'!O""&amp;TO_TEXT(ROW()-$C$72))"),"")</f>
        <v/>
      </c>
      <c r="P412" s="61" t="str">
        <f>IFERROR(__xludf.DUMMYFUNCTION("INDIRECT(""'收支紀錄'!P""&amp;TO_TEXT(ROW()-$C$72))"),"")</f>
        <v/>
      </c>
      <c r="Q412" s="61" t="str">
        <f>IFERROR(__xludf.DUMMYFUNCTION("INDIRECT(""'收支紀錄'!Q""&amp;TO_TEXT(ROW()-$C$72))"),"")</f>
        <v/>
      </c>
      <c r="R412" s="61" t="str">
        <f>IFERROR(__xludf.DUMMYFUNCTION("INDIRECT(""'收支紀錄'!R""&amp;TO_TEXT(ROW()-$C$72))"),"")</f>
        <v/>
      </c>
      <c r="S412" s="61" t="str">
        <f>IFERROR(__xludf.DUMMYFUNCTION("INDIRECT(""'收支紀錄'!S""&amp;TO_TEXT(ROW()-$C$72))"),"")</f>
        <v/>
      </c>
      <c r="T412" s="61" t="str">
        <f>IFERROR(__xludf.DUMMYFUNCTION("INDIRECT(""'收支紀錄'!T""&amp;TO_TEXT(ROW()-$C$72))"),"")</f>
        <v/>
      </c>
      <c r="U412" s="62" t="str">
        <f>IFERROR(__xludf.DUMMYFUNCTION("IF(T412=""是"",TEXTJOIN("""", TRUE, ""$"", TO_TEXT(C412), S412),"""")"),"")</f>
        <v/>
      </c>
    </row>
    <row r="413">
      <c r="A413" s="58">
        <f>IFERROR(__xludf.DUMMYFUNCTION("INDIRECT(""'收支紀錄'!A""&amp;TO_TEXT(ROW()-$C$72))"),45605.7355056713)</f>
        <v>45605.73551</v>
      </c>
      <c r="B413" s="59">
        <f>IFERROR(__xludf.DUMMYFUNCTION("IF(ISBLANK(D413), """", IF(ISDATE(D413), D413, IF(D413=""今天"", A413, IF(D413=""昨天 (-1 day)"", A413-1, IF(D413=""前天 (-2 days)"", A413-2, IF(D413=""明天 (+1 day)"", A413+1, DATE(LEFT(D413,4), MID(D413,5,2), RIGHT(D413,2))))))))"),45605.7355056713)</f>
        <v>45605.73551</v>
      </c>
      <c r="C413" s="60">
        <f>IFERROR(__xludf.DUMMYFUNCTION("INDIRECT(""'收支紀錄'!C""&amp;TO_TEXT(ROW()-$C$72))"),390.0)</f>
        <v>390</v>
      </c>
      <c r="D413" s="63" t="str">
        <f>IFERROR(__xludf.DUMMYFUNCTION("INDIRECT(""'收支紀錄'!D""&amp;TO_TEXT(ROW()-$C$72))"),"今天")</f>
        <v>今天</v>
      </c>
      <c r="E413" s="61" t="str">
        <f>IFERROR(__xludf.DUMMYFUNCTION("INDIRECT(""'收支紀錄'!E""&amp;TO_TEXT(ROW()-$C$72))"),"")</f>
        <v/>
      </c>
      <c r="F413" s="61" t="str">
        <f>IFERROR(__xludf.DUMMYFUNCTION("INDIRECT(""'收支紀錄'!F""&amp;TO_TEXT(ROW()-$C$72))"),"")</f>
        <v/>
      </c>
      <c r="G413" s="61" t="str">
        <f>IFERROR(__xludf.DUMMYFUNCTION("INDIRECT(""'收支紀錄'!G""&amp;TO_TEXT(ROW()-$C$72))"),"")</f>
        <v/>
      </c>
      <c r="H413" s="61" t="str">
        <f>IFERROR(__xludf.DUMMYFUNCTION("INDIRECT(""'收支紀錄'!H""&amp;TO_TEXT(ROW()-$C$72))"),"日常生活")</f>
        <v>日常生活</v>
      </c>
      <c r="I413" s="61" t="str">
        <f>IFERROR(__xludf.DUMMYFUNCTION("INDIRECT(""'收支紀錄'!I""&amp;TO_TEXT(ROW()-$C$72))"),"")</f>
        <v/>
      </c>
      <c r="J413" s="61" t="str">
        <f>IFERROR(__xludf.DUMMYFUNCTION("INDIRECT(""'收支紀錄'!J""&amp;TO_TEXT(ROW()-$C$72))"),"日常用品")</f>
        <v>日常用品</v>
      </c>
      <c r="K413" s="61" t="str">
        <f>IFERROR(__xludf.DUMMYFUNCTION("INDIRECT(""'收支紀錄'!K""&amp;TO_TEXT(ROW()-$C$72))"),"")</f>
        <v/>
      </c>
      <c r="L413" s="61" t="str">
        <f>IFERROR(__xludf.DUMMYFUNCTION("INDIRECT(""'收支紀錄'!L""&amp;TO_TEXT(ROW()-$C$72))"),"")</f>
        <v/>
      </c>
      <c r="M413" s="61" t="str">
        <f>IFERROR(__xludf.DUMMYFUNCTION("INDIRECT(""'收支紀錄'!M""&amp;TO_TEXT(ROW()-$C$72))"),"")</f>
        <v/>
      </c>
      <c r="N413" s="61" t="str">
        <f>IFERROR(__xludf.DUMMYFUNCTION("INDIRECT(""'收支紀錄'!N""&amp;TO_TEXT(ROW()-$C$72))"),"")</f>
        <v/>
      </c>
      <c r="O413" s="61" t="str">
        <f>IFERROR(__xludf.DUMMYFUNCTION("INDIRECT(""'收支紀錄'!O""&amp;TO_TEXT(ROW()-$C$72))"),"")</f>
        <v/>
      </c>
      <c r="P413" s="61" t="str">
        <f>IFERROR(__xludf.DUMMYFUNCTION("INDIRECT(""'收支紀錄'!P""&amp;TO_TEXT(ROW()-$C$72))"),"")</f>
        <v/>
      </c>
      <c r="Q413" s="61" t="str">
        <f>IFERROR(__xludf.DUMMYFUNCTION("INDIRECT(""'收支紀錄'!Q""&amp;TO_TEXT(ROW()-$C$72))"),"")</f>
        <v/>
      </c>
      <c r="R413" s="61" t="str">
        <f>IFERROR(__xludf.DUMMYFUNCTION("INDIRECT(""'收支紀錄'!R""&amp;TO_TEXT(ROW()-$C$72))"),"")</f>
        <v/>
      </c>
      <c r="S413" s="61" t="str">
        <f>IFERROR(__xludf.DUMMYFUNCTION("INDIRECT(""'收支紀錄'!S""&amp;TO_TEXT(ROW()-$C$72))"),"")</f>
        <v/>
      </c>
      <c r="T413" s="61" t="str">
        <f>IFERROR(__xludf.DUMMYFUNCTION("INDIRECT(""'收支紀錄'!T""&amp;TO_TEXT(ROW()-$C$72))"),"")</f>
        <v/>
      </c>
      <c r="U413" s="62" t="str">
        <f>IFERROR(__xludf.DUMMYFUNCTION("IF(T413=""是"",TEXTJOIN("""", TRUE, ""$"", TO_TEXT(C413), S413),"""")"),"")</f>
        <v/>
      </c>
    </row>
    <row r="414">
      <c r="A414" s="58">
        <f>IFERROR(__xludf.DUMMYFUNCTION("INDIRECT(""'收支紀錄'!A""&amp;TO_TEXT(ROW()-$C$72))"),45605.73565908565)</f>
        <v>45605.73566</v>
      </c>
      <c r="B414" s="59">
        <f>IFERROR(__xludf.DUMMYFUNCTION("IF(ISBLANK(D414), """", IF(ISDATE(D414), D414, IF(D414=""今天"", A414, IF(D414=""昨天 (-1 day)"", A414-1, IF(D414=""前天 (-2 days)"", A414-2, IF(D414=""明天 (+1 day)"", A414+1, DATE(LEFT(D414,4), MID(D414,5,2), RIGHT(D414,2))))))))"),45605.73565908565)</f>
        <v>45605.73566</v>
      </c>
      <c r="C414" s="60">
        <f>IFERROR(__xludf.DUMMYFUNCTION("INDIRECT(""'收支紀錄'!C""&amp;TO_TEXT(ROW()-$C$72))"),545.0)</f>
        <v>545</v>
      </c>
      <c r="D414" s="63" t="str">
        <f>IFERROR(__xludf.DUMMYFUNCTION("INDIRECT(""'收支紀錄'!D""&amp;TO_TEXT(ROW()-$C$72))"),"今天")</f>
        <v>今天</v>
      </c>
      <c r="E414" s="61" t="str">
        <f>IFERROR(__xludf.DUMMYFUNCTION("INDIRECT(""'收支紀錄'!E""&amp;TO_TEXT(ROW()-$C$72))"),"")</f>
        <v/>
      </c>
      <c r="F414" s="61" t="str">
        <f>IFERROR(__xludf.DUMMYFUNCTION("INDIRECT(""'收支紀錄'!F""&amp;TO_TEXT(ROW()-$C$72))"),"")</f>
        <v/>
      </c>
      <c r="G414" s="61" t="str">
        <f>IFERROR(__xludf.DUMMYFUNCTION("INDIRECT(""'收支紀錄'!G""&amp;TO_TEXT(ROW()-$C$72))"),"")</f>
        <v/>
      </c>
      <c r="H414" s="61" t="str">
        <f>IFERROR(__xludf.DUMMYFUNCTION("INDIRECT(""'收支紀錄'!H""&amp;TO_TEXT(ROW()-$C$72))"),"食品酒水")</f>
        <v>食品酒水</v>
      </c>
      <c r="I414" s="61" t="str">
        <f>IFERROR(__xludf.DUMMYFUNCTION("INDIRECT(""'收支紀錄'!I""&amp;TO_TEXT(ROW()-$C$72))"),"食材")</f>
        <v>食材</v>
      </c>
      <c r="J414" s="61" t="str">
        <f>IFERROR(__xludf.DUMMYFUNCTION("INDIRECT(""'收支紀錄'!J""&amp;TO_TEXT(ROW()-$C$72))"),"")</f>
        <v/>
      </c>
      <c r="K414" s="61" t="str">
        <f>IFERROR(__xludf.DUMMYFUNCTION("INDIRECT(""'收支紀錄'!K""&amp;TO_TEXT(ROW()-$C$72))"),"")</f>
        <v/>
      </c>
      <c r="L414" s="61" t="str">
        <f>IFERROR(__xludf.DUMMYFUNCTION("INDIRECT(""'收支紀錄'!L""&amp;TO_TEXT(ROW()-$C$72))"),"")</f>
        <v/>
      </c>
      <c r="M414" s="61" t="str">
        <f>IFERROR(__xludf.DUMMYFUNCTION("INDIRECT(""'收支紀錄'!M""&amp;TO_TEXT(ROW()-$C$72))"),"")</f>
        <v/>
      </c>
      <c r="N414" s="61" t="str">
        <f>IFERROR(__xludf.DUMMYFUNCTION("INDIRECT(""'收支紀錄'!N""&amp;TO_TEXT(ROW()-$C$72))"),"")</f>
        <v/>
      </c>
      <c r="O414" s="61" t="str">
        <f>IFERROR(__xludf.DUMMYFUNCTION("INDIRECT(""'收支紀錄'!O""&amp;TO_TEXT(ROW()-$C$72))"),"")</f>
        <v/>
      </c>
      <c r="P414" s="61" t="str">
        <f>IFERROR(__xludf.DUMMYFUNCTION("INDIRECT(""'收支紀錄'!P""&amp;TO_TEXT(ROW()-$C$72))"),"")</f>
        <v/>
      </c>
      <c r="Q414" s="61" t="str">
        <f>IFERROR(__xludf.DUMMYFUNCTION("INDIRECT(""'收支紀錄'!Q""&amp;TO_TEXT(ROW()-$C$72))"),"")</f>
        <v/>
      </c>
      <c r="R414" s="61" t="str">
        <f>IFERROR(__xludf.DUMMYFUNCTION("INDIRECT(""'收支紀錄'!R""&amp;TO_TEXT(ROW()-$C$72))"),"")</f>
        <v/>
      </c>
      <c r="S414" s="61" t="str">
        <f>IFERROR(__xludf.DUMMYFUNCTION("INDIRECT(""'收支紀錄'!S""&amp;TO_TEXT(ROW()-$C$72))"),"")</f>
        <v/>
      </c>
      <c r="T414" s="61" t="str">
        <f>IFERROR(__xludf.DUMMYFUNCTION("INDIRECT(""'收支紀錄'!T""&amp;TO_TEXT(ROW()-$C$72))"),"")</f>
        <v/>
      </c>
      <c r="U414" s="62" t="str">
        <f>IFERROR(__xludf.DUMMYFUNCTION("IF(T414=""是"",TEXTJOIN("""", TRUE, ""$"", TO_TEXT(C414), S414),"""")"),"")</f>
        <v/>
      </c>
    </row>
    <row r="415">
      <c r="A415" s="58">
        <f>IFERROR(__xludf.DUMMYFUNCTION("INDIRECT(""'收支紀錄'!A""&amp;TO_TEXT(ROW()-$C$72))"),45606.650867222226)</f>
        <v>45606.65087</v>
      </c>
      <c r="B415" s="59">
        <f>IFERROR(__xludf.DUMMYFUNCTION("IF(ISBLANK(D415), """", IF(ISDATE(D415), D415, IF(D415=""今天"", A415, IF(D415=""昨天 (-1 day)"", A415-1, IF(D415=""前天 (-2 days)"", A415-2, IF(D415=""明天 (+1 day)"", A415+1, DATE(LEFT(D415,4), MID(D415,5,2), RIGHT(D415,2))))))))"),45674.0)</f>
        <v>45674</v>
      </c>
      <c r="C415" s="60">
        <f>IFERROR(__xludf.DUMMYFUNCTION("INDIRECT(""'收支紀錄'!C""&amp;TO_TEXT(ROW()-$C$72))"),5373.0)</f>
        <v>5373</v>
      </c>
      <c r="D415" s="63">
        <f>IFERROR(__xludf.DUMMYFUNCTION("INDIRECT(""'收支紀錄'!D""&amp;TO_TEXT(ROW()-$C$72))"),2.0250117E7)</f>
        <v>20250117</v>
      </c>
      <c r="E415" s="61" t="str">
        <f>IFERROR(__xludf.DUMMYFUNCTION("INDIRECT(""'收支紀錄'!E""&amp;TO_TEXT(ROW()-$C$72))"),"")</f>
        <v/>
      </c>
      <c r="F415" s="61" t="str">
        <f>IFERROR(__xludf.DUMMYFUNCTION("INDIRECT(""'收支紀錄'!F""&amp;TO_TEXT(ROW()-$C$72))"),"")</f>
        <v/>
      </c>
      <c r="G415" s="61" t="str">
        <f>IFERROR(__xludf.DUMMYFUNCTION("INDIRECT(""'收支紀錄'!G""&amp;TO_TEXT(ROW()-$C$72))"),"")</f>
        <v/>
      </c>
      <c r="H415" s="61" t="str">
        <f>IFERROR(__xludf.DUMMYFUNCTION("INDIRECT(""'收支紀錄'!H""&amp;TO_TEXT(ROW()-$C$72))"),"休閒娛樂")</f>
        <v>休閒娛樂</v>
      </c>
      <c r="I415" s="61" t="str">
        <f>IFERROR(__xludf.DUMMYFUNCTION("INDIRECT(""'收支紀錄'!I""&amp;TO_TEXT(ROW()-$C$72))"),"")</f>
        <v/>
      </c>
      <c r="J415" s="61" t="str">
        <f>IFERROR(__xludf.DUMMYFUNCTION("INDIRECT(""'收支紀錄'!J""&amp;TO_TEXT(ROW()-$C$72))"),"")</f>
        <v/>
      </c>
      <c r="K415" s="61" t="str">
        <f>IFERROR(__xludf.DUMMYFUNCTION("INDIRECT(""'收支紀錄'!K""&amp;TO_TEXT(ROW()-$C$72))"),"")</f>
        <v/>
      </c>
      <c r="L415" s="61" t="str">
        <f>IFERROR(__xludf.DUMMYFUNCTION("INDIRECT(""'收支紀錄'!L""&amp;TO_TEXT(ROW()-$C$72))"),"")</f>
        <v/>
      </c>
      <c r="M415" s="61" t="str">
        <f>IFERROR(__xludf.DUMMYFUNCTION("INDIRECT(""'收支紀錄'!M""&amp;TO_TEXT(ROW()-$C$72))"),"旅遊度假")</f>
        <v>旅遊度假</v>
      </c>
      <c r="N415" s="61" t="str">
        <f>IFERROR(__xludf.DUMMYFUNCTION("INDIRECT(""'收支紀錄'!N""&amp;TO_TEXT(ROW()-$C$72))"),"")</f>
        <v/>
      </c>
      <c r="O415" s="61" t="str">
        <f>IFERROR(__xludf.DUMMYFUNCTION("INDIRECT(""'收支紀錄'!O""&amp;TO_TEXT(ROW()-$C$72))"),"")</f>
        <v/>
      </c>
      <c r="P415" s="61" t="str">
        <f>IFERROR(__xludf.DUMMYFUNCTION("INDIRECT(""'收支紀錄'!P""&amp;TO_TEXT(ROW()-$C$72))"),"")</f>
        <v/>
      </c>
      <c r="Q415" s="61" t="str">
        <f>IFERROR(__xludf.DUMMYFUNCTION("INDIRECT(""'收支紀錄'!Q""&amp;TO_TEXT(ROW()-$C$72))"),"")</f>
        <v/>
      </c>
      <c r="R415" s="61" t="str">
        <f>IFERROR(__xludf.DUMMYFUNCTION("INDIRECT(""'收支紀錄'!R""&amp;TO_TEXT(ROW()-$C$72))"),"")</f>
        <v/>
      </c>
      <c r="S415" s="61" t="str">
        <f>IFERROR(__xludf.DUMMYFUNCTION("INDIRECT(""'收支紀錄'!S""&amp;TO_TEXT(ROW()-$C$72))"),"澳門機票trip.com")</f>
        <v>澳門機票trip.com</v>
      </c>
      <c r="T415" s="61" t="str">
        <f>IFERROR(__xludf.DUMMYFUNCTION("INDIRECT(""'收支紀錄'!T""&amp;TO_TEXT(ROW()-$C$72))"),"是")</f>
        <v>是</v>
      </c>
      <c r="U415" s="62" t="str">
        <f>IFERROR(__xludf.DUMMYFUNCTION("IF(T415=""是"",TEXTJOIN("""", TRUE, ""$"", TO_TEXT(C415), S415),"""")"),"$5373澳門機票trip.com")</f>
        <v>$5373澳門機票trip.com</v>
      </c>
    </row>
    <row r="416">
      <c r="A416" s="58">
        <f>IFERROR(__xludf.DUMMYFUNCTION("INDIRECT(""'收支紀錄'!A""&amp;TO_TEXT(ROW()-$C$72))"),45607.332825543985)</f>
        <v>45607.33283</v>
      </c>
      <c r="B416" s="59">
        <f>IFERROR(__xludf.DUMMYFUNCTION("IF(ISBLANK(D416), """", IF(ISDATE(D416), D416, IF(D416=""今天"", A416, IF(D416=""昨天 (-1 day)"", A416-1, IF(D416=""前天 (-2 days)"", A416-2, IF(D416=""明天 (+1 day)"", A416+1, DATE(LEFT(D416,4), MID(D416,5,2), RIGHT(D416,2))))))))"),45605.332825543985)</f>
        <v>45605.33283</v>
      </c>
      <c r="C416" s="60">
        <f>IFERROR(__xludf.DUMMYFUNCTION("INDIRECT(""'收支紀錄'!C""&amp;TO_TEXT(ROW()-$C$72))"),200.0)</f>
        <v>200</v>
      </c>
      <c r="D416" s="63" t="str">
        <f>IFERROR(__xludf.DUMMYFUNCTION("INDIRECT(""'收支紀錄'!D""&amp;TO_TEXT(ROW()-$C$72))"),"前天 (-2 days)")</f>
        <v>前天 (-2 days)</v>
      </c>
      <c r="E416" s="61" t="str">
        <f>IFERROR(__xludf.DUMMYFUNCTION("INDIRECT(""'收支紀錄'!E""&amp;TO_TEXT(ROW()-$C$72))"),"")</f>
        <v/>
      </c>
      <c r="F416" s="61" t="str">
        <f>IFERROR(__xludf.DUMMYFUNCTION("INDIRECT(""'收支紀錄'!F""&amp;TO_TEXT(ROW()-$C$72))"),"")</f>
        <v/>
      </c>
      <c r="G416" s="61" t="str">
        <f>IFERROR(__xludf.DUMMYFUNCTION("INDIRECT(""'收支紀錄'!G""&amp;TO_TEXT(ROW()-$C$72))"),"")</f>
        <v/>
      </c>
      <c r="H416" s="61" t="str">
        <f>IFERROR(__xludf.DUMMYFUNCTION("INDIRECT(""'收支紀錄'!H""&amp;TO_TEXT(ROW()-$C$72))"),"休閒娛樂")</f>
        <v>休閒娛樂</v>
      </c>
      <c r="I416" s="61" t="str">
        <f>IFERROR(__xludf.DUMMYFUNCTION("INDIRECT(""'收支紀錄'!I""&amp;TO_TEXT(ROW()-$C$72))"),"")</f>
        <v/>
      </c>
      <c r="J416" s="61" t="str">
        <f>IFERROR(__xludf.DUMMYFUNCTION("INDIRECT(""'收支紀錄'!J""&amp;TO_TEXT(ROW()-$C$72))"),"")</f>
        <v/>
      </c>
      <c r="K416" s="61" t="str">
        <f>IFERROR(__xludf.DUMMYFUNCTION("INDIRECT(""'收支紀錄'!K""&amp;TO_TEXT(ROW()-$C$72))"),"")</f>
        <v/>
      </c>
      <c r="L416" s="61" t="str">
        <f>IFERROR(__xludf.DUMMYFUNCTION("INDIRECT(""'收支紀錄'!L""&amp;TO_TEXT(ROW()-$C$72))"),"")</f>
        <v/>
      </c>
      <c r="M416" s="61" t="str">
        <f>IFERROR(__xludf.DUMMYFUNCTION("INDIRECT(""'收支紀錄'!M""&amp;TO_TEXT(ROW()-$C$72))"),"休閒玩樂")</f>
        <v>休閒玩樂</v>
      </c>
      <c r="N416" s="61" t="str">
        <f>IFERROR(__xludf.DUMMYFUNCTION("INDIRECT(""'收支紀錄'!N""&amp;TO_TEXT(ROW()-$C$72))"),"")</f>
        <v/>
      </c>
      <c r="O416" s="61" t="str">
        <f>IFERROR(__xludf.DUMMYFUNCTION("INDIRECT(""'收支紀錄'!O""&amp;TO_TEXT(ROW()-$C$72))"),"")</f>
        <v/>
      </c>
      <c r="P416" s="61" t="str">
        <f>IFERROR(__xludf.DUMMYFUNCTION("INDIRECT(""'收支紀錄'!P""&amp;TO_TEXT(ROW()-$C$72))"),"")</f>
        <v/>
      </c>
      <c r="Q416" s="61" t="str">
        <f>IFERROR(__xludf.DUMMYFUNCTION("INDIRECT(""'收支紀錄'!Q""&amp;TO_TEXT(ROW()-$C$72))"),"")</f>
        <v/>
      </c>
      <c r="R416" s="61" t="str">
        <f>IFERROR(__xludf.DUMMYFUNCTION("INDIRECT(""'收支紀錄'!R""&amp;TO_TEXT(ROW()-$C$72))"),"")</f>
        <v/>
      </c>
      <c r="S416" s="61" t="str">
        <f>IFERROR(__xludf.DUMMYFUNCTION("INDIRECT(""'收支紀錄'!S""&amp;TO_TEXT(ROW()-$C$72))"),"夾娃娃")</f>
        <v>夾娃娃</v>
      </c>
      <c r="T416" s="61" t="str">
        <f>IFERROR(__xludf.DUMMYFUNCTION("INDIRECT(""'收支紀錄'!T""&amp;TO_TEXT(ROW()-$C$72))"),"否")</f>
        <v>否</v>
      </c>
      <c r="U416" s="62" t="str">
        <f>IFERROR(__xludf.DUMMYFUNCTION("IF(T416=""是"",TEXTJOIN("""", TRUE, ""$"", TO_TEXT(C416), S416),"""")"),"")</f>
        <v/>
      </c>
    </row>
    <row r="417">
      <c r="A417" s="58">
        <f>IFERROR(__xludf.DUMMYFUNCTION("INDIRECT(""'收支紀錄'!A""&amp;TO_TEXT(ROW()-$C$72))"),45607.333072974536)</f>
        <v>45607.33307</v>
      </c>
      <c r="B417" s="59">
        <f>IFERROR(__xludf.DUMMYFUNCTION("IF(ISBLANK(D417), """", IF(ISDATE(D417), D417, IF(D417=""今天"", A417, IF(D417=""昨天 (-1 day)"", A417-1, IF(D417=""前天 (-2 days)"", A417-2, IF(D417=""明天 (+1 day)"", A417+1, DATE(LEFT(D417,4), MID(D417,5,2), RIGHT(D417,2))))))))"),45605.333072974536)</f>
        <v>45605.33307</v>
      </c>
      <c r="C417" s="60">
        <f>IFERROR(__xludf.DUMMYFUNCTION("INDIRECT(""'收支紀錄'!C""&amp;TO_TEXT(ROW()-$C$72))"),1000.0)</f>
        <v>1000</v>
      </c>
      <c r="D417" s="63" t="str">
        <f>IFERROR(__xludf.DUMMYFUNCTION("INDIRECT(""'收支紀錄'!D""&amp;TO_TEXT(ROW()-$C$72))"),"前天 (-2 days)")</f>
        <v>前天 (-2 days)</v>
      </c>
      <c r="E417" s="61" t="str">
        <f>IFERROR(__xludf.DUMMYFUNCTION("INDIRECT(""'收支紀錄'!E""&amp;TO_TEXT(ROW()-$C$72))"),"")</f>
        <v/>
      </c>
      <c r="F417" s="61" t="str">
        <f>IFERROR(__xludf.DUMMYFUNCTION("INDIRECT(""'收支紀錄'!F""&amp;TO_TEXT(ROW()-$C$72))"),"")</f>
        <v/>
      </c>
      <c r="G417" s="61" t="str">
        <f>IFERROR(__xludf.DUMMYFUNCTION("INDIRECT(""'收支紀錄'!G""&amp;TO_TEXT(ROW()-$C$72))"),"")</f>
        <v/>
      </c>
      <c r="H417" s="61" t="str">
        <f>IFERROR(__xludf.DUMMYFUNCTION("INDIRECT(""'收支紀錄'!H""&amp;TO_TEXT(ROW()-$C$72))"),"食品酒水")</f>
        <v>食品酒水</v>
      </c>
      <c r="I417" s="61" t="str">
        <f>IFERROR(__xludf.DUMMYFUNCTION("INDIRECT(""'收支紀錄'!I""&amp;TO_TEXT(ROW()-$C$72))"),"晚餐")</f>
        <v>晚餐</v>
      </c>
      <c r="J417" s="61" t="str">
        <f>IFERROR(__xludf.DUMMYFUNCTION("INDIRECT(""'收支紀錄'!J""&amp;TO_TEXT(ROW()-$C$72))"),"")</f>
        <v/>
      </c>
      <c r="K417" s="61" t="str">
        <f>IFERROR(__xludf.DUMMYFUNCTION("INDIRECT(""'收支紀錄'!K""&amp;TO_TEXT(ROW()-$C$72))"),"")</f>
        <v/>
      </c>
      <c r="L417" s="61" t="str">
        <f>IFERROR(__xludf.DUMMYFUNCTION("INDIRECT(""'收支紀錄'!L""&amp;TO_TEXT(ROW()-$C$72))"),"")</f>
        <v/>
      </c>
      <c r="M417" s="61" t="str">
        <f>IFERROR(__xludf.DUMMYFUNCTION("INDIRECT(""'收支紀錄'!M""&amp;TO_TEXT(ROW()-$C$72))"),"")</f>
        <v/>
      </c>
      <c r="N417" s="61" t="str">
        <f>IFERROR(__xludf.DUMMYFUNCTION("INDIRECT(""'收支紀錄'!N""&amp;TO_TEXT(ROW()-$C$72))"),"")</f>
        <v/>
      </c>
      <c r="O417" s="61" t="str">
        <f>IFERROR(__xludf.DUMMYFUNCTION("INDIRECT(""'收支紀錄'!O""&amp;TO_TEXT(ROW()-$C$72))"),"")</f>
        <v/>
      </c>
      <c r="P417" s="61" t="str">
        <f>IFERROR(__xludf.DUMMYFUNCTION("INDIRECT(""'收支紀錄'!P""&amp;TO_TEXT(ROW()-$C$72))"),"")</f>
        <v/>
      </c>
      <c r="Q417" s="61" t="str">
        <f>IFERROR(__xludf.DUMMYFUNCTION("INDIRECT(""'收支紀錄'!Q""&amp;TO_TEXT(ROW()-$C$72))"),"")</f>
        <v/>
      </c>
      <c r="R417" s="61" t="str">
        <f>IFERROR(__xludf.DUMMYFUNCTION("INDIRECT(""'收支紀錄'!R""&amp;TO_TEXT(ROW()-$C$72))"),"")</f>
        <v/>
      </c>
      <c r="S417" s="61" t="str">
        <f>IFERROR(__xludf.DUMMYFUNCTION("INDIRECT(""'收支紀錄'!S""&amp;TO_TEXT(ROW()-$C$72))"),"薑母鴨兩人")</f>
        <v>薑母鴨兩人</v>
      </c>
      <c r="T417" s="61" t="str">
        <f>IFERROR(__xludf.DUMMYFUNCTION("INDIRECT(""'收支紀錄'!T""&amp;TO_TEXT(ROW()-$C$72))"),"")</f>
        <v/>
      </c>
      <c r="U417" s="62" t="str">
        <f>IFERROR(__xludf.DUMMYFUNCTION("IF(T417=""是"",TEXTJOIN("""", TRUE, ""$"", TO_TEXT(C417), S417),"""")"),"")</f>
        <v/>
      </c>
    </row>
    <row r="418">
      <c r="A418" s="58">
        <f>IFERROR(__xludf.DUMMYFUNCTION("INDIRECT(""'收支紀錄'!A""&amp;TO_TEXT(ROW()-$C$72))"),45607.33385417824)</f>
        <v>45607.33385</v>
      </c>
      <c r="B418" s="59">
        <f>IFERROR(__xludf.DUMMYFUNCTION("IF(ISBLANK(D418), """", IF(ISDATE(D418), D418, IF(D418=""今天"", A418, IF(D418=""昨天 (-1 day)"", A418-1, IF(D418=""前天 (-2 days)"", A418-2, IF(D418=""明天 (+1 day)"", A418+1, DATE(LEFT(D418,4), MID(D418,5,2), RIGHT(D418,2))))))))"),45606.33385417824)</f>
        <v>45606.33385</v>
      </c>
      <c r="C418" s="60">
        <f>IFERROR(__xludf.DUMMYFUNCTION("INDIRECT(""'收支紀錄'!C""&amp;TO_TEXT(ROW()-$C$72))"),72.0)</f>
        <v>72</v>
      </c>
      <c r="D418" s="63" t="str">
        <f>IFERROR(__xludf.DUMMYFUNCTION("INDIRECT(""'收支紀錄'!D""&amp;TO_TEXT(ROW()-$C$72))"),"昨天 (-1 day)")</f>
        <v>昨天 (-1 day)</v>
      </c>
      <c r="E418" s="61" t="str">
        <f>IFERROR(__xludf.DUMMYFUNCTION("INDIRECT(""'收支紀錄'!E""&amp;TO_TEXT(ROW()-$C$72))"),"")</f>
        <v/>
      </c>
      <c r="F418" s="61" t="str">
        <f>IFERROR(__xludf.DUMMYFUNCTION("INDIRECT(""'收支紀錄'!F""&amp;TO_TEXT(ROW()-$C$72))"),"")</f>
        <v/>
      </c>
      <c r="G418" s="61" t="str">
        <f>IFERROR(__xludf.DUMMYFUNCTION("INDIRECT(""'收支紀錄'!G""&amp;TO_TEXT(ROW()-$C$72))"),"")</f>
        <v/>
      </c>
      <c r="H418" s="61" t="str">
        <f>IFERROR(__xludf.DUMMYFUNCTION("INDIRECT(""'收支紀錄'!H""&amp;TO_TEXT(ROW()-$C$72))"),"行車交通")</f>
        <v>行車交通</v>
      </c>
      <c r="I418" s="61" t="str">
        <f>IFERROR(__xludf.DUMMYFUNCTION("INDIRECT(""'收支紀錄'!I""&amp;TO_TEXT(ROW()-$C$72))"),"")</f>
        <v/>
      </c>
      <c r="J418" s="61" t="str">
        <f>IFERROR(__xludf.DUMMYFUNCTION("INDIRECT(""'收支紀錄'!J""&amp;TO_TEXT(ROW()-$C$72))"),"")</f>
        <v/>
      </c>
      <c r="K418" s="61" t="str">
        <f>IFERROR(__xludf.DUMMYFUNCTION("INDIRECT(""'收支紀錄'!K""&amp;TO_TEXT(ROW()-$C$72))"),"")</f>
        <v/>
      </c>
      <c r="L418" s="61" t="str">
        <f>IFERROR(__xludf.DUMMYFUNCTION("INDIRECT(""'收支紀錄'!L""&amp;TO_TEXT(ROW()-$C$72))"),"加油")</f>
        <v>加油</v>
      </c>
      <c r="M418" s="61" t="str">
        <f>IFERROR(__xludf.DUMMYFUNCTION("INDIRECT(""'收支紀錄'!M""&amp;TO_TEXT(ROW()-$C$72))"),"")</f>
        <v/>
      </c>
      <c r="N418" s="61" t="str">
        <f>IFERROR(__xludf.DUMMYFUNCTION("INDIRECT(""'收支紀錄'!N""&amp;TO_TEXT(ROW()-$C$72))"),"")</f>
        <v/>
      </c>
      <c r="O418" s="61" t="str">
        <f>IFERROR(__xludf.DUMMYFUNCTION("INDIRECT(""'收支紀錄'!O""&amp;TO_TEXT(ROW()-$C$72))"),"")</f>
        <v/>
      </c>
      <c r="P418" s="61" t="str">
        <f>IFERROR(__xludf.DUMMYFUNCTION("INDIRECT(""'收支紀錄'!P""&amp;TO_TEXT(ROW()-$C$72))"),"")</f>
        <v/>
      </c>
      <c r="Q418" s="61" t="str">
        <f>IFERROR(__xludf.DUMMYFUNCTION("INDIRECT(""'收支紀錄'!Q""&amp;TO_TEXT(ROW()-$C$72))"),"")</f>
        <v/>
      </c>
      <c r="R418" s="61" t="str">
        <f>IFERROR(__xludf.DUMMYFUNCTION("INDIRECT(""'收支紀錄'!R""&amp;TO_TEXT(ROW()-$C$72))"),"")</f>
        <v/>
      </c>
      <c r="S418" s="61" t="str">
        <f>IFERROR(__xludf.DUMMYFUNCTION("INDIRECT(""'收支紀錄'!S""&amp;TO_TEXT(ROW()-$C$72))"),"")</f>
        <v/>
      </c>
      <c r="T418" s="61" t="str">
        <f>IFERROR(__xludf.DUMMYFUNCTION("INDIRECT(""'收支紀錄'!T""&amp;TO_TEXT(ROW()-$C$72))"),"")</f>
        <v/>
      </c>
      <c r="U418" s="62" t="str">
        <f>IFERROR(__xludf.DUMMYFUNCTION("IF(T418=""是"",TEXTJOIN("""", TRUE, ""$"", TO_TEXT(C418), S418),"""")"),"")</f>
        <v/>
      </c>
    </row>
    <row r="419">
      <c r="A419" s="58">
        <f>IFERROR(__xludf.DUMMYFUNCTION("INDIRECT(""'收支紀錄'!A""&amp;TO_TEXT(ROW()-$C$72))"),45607.33406400463)</f>
        <v>45607.33406</v>
      </c>
      <c r="B419" s="59">
        <f>IFERROR(__xludf.DUMMYFUNCTION("IF(ISBLANK(D419), """", IF(ISDATE(D419), D419, IF(D419=""今天"", A419, IF(D419=""昨天 (-1 day)"", A419-1, IF(D419=""前天 (-2 days)"", A419-2, IF(D419=""明天 (+1 day)"", A419+1, DATE(LEFT(D419,4), MID(D419,5,2), RIGHT(D419,2))))))))"),45606.33406400463)</f>
        <v>45606.33406</v>
      </c>
      <c r="C419" s="60">
        <f>IFERROR(__xludf.DUMMYFUNCTION("INDIRECT(""'收支紀錄'!C""&amp;TO_TEXT(ROW()-$C$72))"),1500.0)</f>
        <v>1500</v>
      </c>
      <c r="D419" s="63" t="str">
        <f>IFERROR(__xludf.DUMMYFUNCTION("INDIRECT(""'收支紀錄'!D""&amp;TO_TEXT(ROW()-$C$72))"),"昨天 (-1 day)")</f>
        <v>昨天 (-1 day)</v>
      </c>
      <c r="E419" s="61" t="str">
        <f>IFERROR(__xludf.DUMMYFUNCTION("INDIRECT(""'收支紀錄'!E""&amp;TO_TEXT(ROW()-$C$72))"),"")</f>
        <v/>
      </c>
      <c r="F419" s="61" t="str">
        <f>IFERROR(__xludf.DUMMYFUNCTION("INDIRECT(""'收支紀錄'!F""&amp;TO_TEXT(ROW()-$C$72))"),"")</f>
        <v/>
      </c>
      <c r="G419" s="61" t="str">
        <f>IFERROR(__xludf.DUMMYFUNCTION("INDIRECT(""'收支紀錄'!G""&amp;TO_TEXT(ROW()-$C$72))"),"")</f>
        <v/>
      </c>
      <c r="H419" s="61" t="str">
        <f>IFERROR(__xludf.DUMMYFUNCTION("INDIRECT(""'收支紀錄'!H""&amp;TO_TEXT(ROW()-$C$72))"),"食品酒水")</f>
        <v>食品酒水</v>
      </c>
      <c r="I419" s="61" t="str">
        <f>IFERROR(__xludf.DUMMYFUNCTION("INDIRECT(""'收支紀錄'!I""&amp;TO_TEXT(ROW()-$C$72))"),"午餐")</f>
        <v>午餐</v>
      </c>
      <c r="J419" s="61" t="str">
        <f>IFERROR(__xludf.DUMMYFUNCTION("INDIRECT(""'收支紀錄'!J""&amp;TO_TEXT(ROW()-$C$72))"),"")</f>
        <v/>
      </c>
      <c r="K419" s="61" t="str">
        <f>IFERROR(__xludf.DUMMYFUNCTION("INDIRECT(""'收支紀錄'!K""&amp;TO_TEXT(ROW()-$C$72))"),"")</f>
        <v/>
      </c>
      <c r="L419" s="61" t="str">
        <f>IFERROR(__xludf.DUMMYFUNCTION("INDIRECT(""'收支紀錄'!L""&amp;TO_TEXT(ROW()-$C$72))"),"")</f>
        <v/>
      </c>
      <c r="M419" s="61" t="str">
        <f>IFERROR(__xludf.DUMMYFUNCTION("INDIRECT(""'收支紀錄'!M""&amp;TO_TEXT(ROW()-$C$72))"),"")</f>
        <v/>
      </c>
      <c r="N419" s="61" t="str">
        <f>IFERROR(__xludf.DUMMYFUNCTION("INDIRECT(""'收支紀錄'!N""&amp;TO_TEXT(ROW()-$C$72))"),"")</f>
        <v/>
      </c>
      <c r="O419" s="61" t="str">
        <f>IFERROR(__xludf.DUMMYFUNCTION("INDIRECT(""'收支紀錄'!O""&amp;TO_TEXT(ROW()-$C$72))"),"")</f>
        <v/>
      </c>
      <c r="P419" s="61" t="str">
        <f>IFERROR(__xludf.DUMMYFUNCTION("INDIRECT(""'收支紀錄'!P""&amp;TO_TEXT(ROW()-$C$72))"),"")</f>
        <v/>
      </c>
      <c r="Q419" s="61" t="str">
        <f>IFERROR(__xludf.DUMMYFUNCTION("INDIRECT(""'收支紀錄'!Q""&amp;TO_TEXT(ROW()-$C$72))"),"")</f>
        <v/>
      </c>
      <c r="R419" s="61" t="str">
        <f>IFERROR(__xludf.DUMMYFUNCTION("INDIRECT(""'收支紀錄'!R""&amp;TO_TEXT(ROW()-$C$72))"),"")</f>
        <v/>
      </c>
      <c r="S419" s="61" t="str">
        <f>IFERROR(__xludf.DUMMYFUNCTION("INDIRECT(""'收支紀錄'!S""&amp;TO_TEXT(ROW()-$C$72))"),"")</f>
        <v/>
      </c>
      <c r="T419" s="61" t="str">
        <f>IFERROR(__xludf.DUMMYFUNCTION("INDIRECT(""'收支紀錄'!T""&amp;TO_TEXT(ROW()-$C$72))"),"")</f>
        <v/>
      </c>
      <c r="U419" s="62" t="str">
        <f>IFERROR(__xludf.DUMMYFUNCTION("IF(T419=""是"",TEXTJOIN("""", TRUE, ""$"", TO_TEXT(C419), S419),"""")"),"")</f>
        <v/>
      </c>
    </row>
    <row r="420">
      <c r="A420" s="58">
        <f>IFERROR(__xludf.DUMMYFUNCTION("INDIRECT(""'收支紀錄'!A""&amp;TO_TEXT(ROW()-$C$72))"),45607.334475509255)</f>
        <v>45607.33448</v>
      </c>
      <c r="B420" s="59">
        <f>IFERROR(__xludf.DUMMYFUNCTION("IF(ISBLANK(D420), """", IF(ISDATE(D420), D420, IF(D420=""今天"", A420, IF(D420=""昨天 (-1 day)"", A420-1, IF(D420=""前天 (-2 days)"", A420-2, IF(D420=""明天 (+1 day)"", A420+1, DATE(LEFT(D420,4), MID(D420,5,2), RIGHT(D420,2))))))))"),45606.334475509255)</f>
        <v>45606.33448</v>
      </c>
      <c r="C420" s="60">
        <f>IFERROR(__xludf.DUMMYFUNCTION("INDIRECT(""'收支紀錄'!C""&amp;TO_TEXT(ROW()-$C$72))"),1060.0)</f>
        <v>1060</v>
      </c>
      <c r="D420" s="63" t="str">
        <f>IFERROR(__xludf.DUMMYFUNCTION("INDIRECT(""'收支紀錄'!D""&amp;TO_TEXT(ROW()-$C$72))"),"昨天 (-1 day)")</f>
        <v>昨天 (-1 day)</v>
      </c>
      <c r="E420" s="61" t="str">
        <f>IFERROR(__xludf.DUMMYFUNCTION("INDIRECT(""'收支紀錄'!E""&amp;TO_TEXT(ROW()-$C$72))"),"")</f>
        <v/>
      </c>
      <c r="F420" s="61" t="str">
        <f>IFERROR(__xludf.DUMMYFUNCTION("INDIRECT(""'收支紀錄'!F""&amp;TO_TEXT(ROW()-$C$72))"),"")</f>
        <v/>
      </c>
      <c r="G420" s="61" t="str">
        <f>IFERROR(__xludf.DUMMYFUNCTION("INDIRECT(""'收支紀錄'!G""&amp;TO_TEXT(ROW()-$C$72))"),"")</f>
        <v/>
      </c>
      <c r="H420" s="61" t="str">
        <f>IFERROR(__xludf.DUMMYFUNCTION("INDIRECT(""'收支紀錄'!H""&amp;TO_TEXT(ROW()-$C$72))"),"食品酒水")</f>
        <v>食品酒水</v>
      </c>
      <c r="I420" s="61" t="str">
        <f>IFERROR(__xludf.DUMMYFUNCTION("INDIRECT(""'收支紀錄'!I""&amp;TO_TEXT(ROW()-$C$72))"),"食材")</f>
        <v>食材</v>
      </c>
      <c r="J420" s="61" t="str">
        <f>IFERROR(__xludf.DUMMYFUNCTION("INDIRECT(""'收支紀錄'!J""&amp;TO_TEXT(ROW()-$C$72))"),"")</f>
        <v/>
      </c>
      <c r="K420" s="61" t="str">
        <f>IFERROR(__xludf.DUMMYFUNCTION("INDIRECT(""'收支紀錄'!K""&amp;TO_TEXT(ROW()-$C$72))"),"")</f>
        <v/>
      </c>
      <c r="L420" s="61" t="str">
        <f>IFERROR(__xludf.DUMMYFUNCTION("INDIRECT(""'收支紀錄'!L""&amp;TO_TEXT(ROW()-$C$72))"),"")</f>
        <v/>
      </c>
      <c r="M420" s="61" t="str">
        <f>IFERROR(__xludf.DUMMYFUNCTION("INDIRECT(""'收支紀錄'!M""&amp;TO_TEXT(ROW()-$C$72))"),"")</f>
        <v/>
      </c>
      <c r="N420" s="61" t="str">
        <f>IFERROR(__xludf.DUMMYFUNCTION("INDIRECT(""'收支紀錄'!N""&amp;TO_TEXT(ROW()-$C$72))"),"")</f>
        <v/>
      </c>
      <c r="O420" s="61" t="str">
        <f>IFERROR(__xludf.DUMMYFUNCTION("INDIRECT(""'收支紀錄'!O""&amp;TO_TEXT(ROW()-$C$72))"),"")</f>
        <v/>
      </c>
      <c r="P420" s="61" t="str">
        <f>IFERROR(__xludf.DUMMYFUNCTION("INDIRECT(""'收支紀錄'!P""&amp;TO_TEXT(ROW()-$C$72))"),"")</f>
        <v/>
      </c>
      <c r="Q420" s="61" t="str">
        <f>IFERROR(__xludf.DUMMYFUNCTION("INDIRECT(""'收支紀錄'!Q""&amp;TO_TEXT(ROW()-$C$72))"),"")</f>
        <v/>
      </c>
      <c r="R420" s="61" t="str">
        <f>IFERROR(__xludf.DUMMYFUNCTION("INDIRECT(""'收支紀錄'!R""&amp;TO_TEXT(ROW()-$C$72))"),"")</f>
        <v/>
      </c>
      <c r="S420" s="61" t="str">
        <f>IFERROR(__xludf.DUMMYFUNCTION("INDIRECT(""'收支紀錄'!S""&amp;TO_TEXT(ROW()-$C$72))"),"好市多$3690-$2630蓋支出")</f>
        <v>好市多$3690-$2630蓋支出</v>
      </c>
      <c r="T420" s="61" t="str">
        <f>IFERROR(__xludf.DUMMYFUNCTION("INDIRECT(""'收支紀錄'!T""&amp;TO_TEXT(ROW()-$C$72))"),"")</f>
        <v/>
      </c>
      <c r="U420" s="62" t="str">
        <f>IFERROR(__xludf.DUMMYFUNCTION("IF(T420=""是"",TEXTJOIN("""", TRUE, ""$"", TO_TEXT(C420), S420),"""")"),"")</f>
        <v/>
      </c>
    </row>
    <row r="421">
      <c r="A421" s="58">
        <f>IFERROR(__xludf.DUMMYFUNCTION("INDIRECT(""'收支紀錄'!A""&amp;TO_TEXT(ROW()-$C$72))"),45607.334899270834)</f>
        <v>45607.3349</v>
      </c>
      <c r="B421" s="59">
        <f>IFERROR(__xludf.DUMMYFUNCTION("IF(ISBLANK(D421), """", IF(ISDATE(D421), D421, IF(D421=""今天"", A421, IF(D421=""昨天 (-1 day)"", A421-1, IF(D421=""前天 (-2 days)"", A421-2, IF(D421=""明天 (+1 day)"", A421+1, DATE(LEFT(D421,4), MID(D421,5,2), RIGHT(D421,2))))))))"),45607.334899270834)</f>
        <v>45607.3349</v>
      </c>
      <c r="C421" s="60">
        <f>IFERROR(__xludf.DUMMYFUNCTION("INDIRECT(""'收支紀錄'!C""&amp;TO_TEXT(ROW()-$C$72))"),580.0)</f>
        <v>580</v>
      </c>
      <c r="D421" s="63" t="str">
        <f>IFERROR(__xludf.DUMMYFUNCTION("INDIRECT(""'收支紀錄'!D""&amp;TO_TEXT(ROW()-$C$72))"),"今天")</f>
        <v>今天</v>
      </c>
      <c r="E421" s="61" t="str">
        <f>IFERROR(__xludf.DUMMYFUNCTION("INDIRECT(""'收支紀錄'!E""&amp;TO_TEXT(ROW()-$C$72))"),"")</f>
        <v/>
      </c>
      <c r="F421" s="61" t="str">
        <f>IFERROR(__xludf.DUMMYFUNCTION("INDIRECT(""'收支紀錄'!F""&amp;TO_TEXT(ROW()-$C$72))"),"")</f>
        <v/>
      </c>
      <c r="G421" s="61" t="str">
        <f>IFERROR(__xludf.DUMMYFUNCTION("INDIRECT(""'收支紀錄'!G""&amp;TO_TEXT(ROW()-$C$72))"),"")</f>
        <v/>
      </c>
      <c r="H421" s="61" t="str">
        <f>IFERROR(__xludf.DUMMYFUNCTION("INDIRECT(""'收支紀錄'!H""&amp;TO_TEXT(ROW()-$C$72))"),"食品酒水")</f>
        <v>食品酒水</v>
      </c>
      <c r="I421" s="61" t="str">
        <f>IFERROR(__xludf.DUMMYFUNCTION("INDIRECT(""'收支紀錄'!I""&amp;TO_TEXT(ROW()-$C$72))"),"餐飲票券")</f>
        <v>餐飲票券</v>
      </c>
      <c r="J421" s="61" t="str">
        <f>IFERROR(__xludf.DUMMYFUNCTION("INDIRECT(""'收支紀錄'!J""&amp;TO_TEXT(ROW()-$C$72))"),"")</f>
        <v/>
      </c>
      <c r="K421" s="61" t="str">
        <f>IFERROR(__xludf.DUMMYFUNCTION("INDIRECT(""'收支紀錄'!K""&amp;TO_TEXT(ROW()-$C$72))"),"")</f>
        <v/>
      </c>
      <c r="L421" s="61" t="str">
        <f>IFERROR(__xludf.DUMMYFUNCTION("INDIRECT(""'收支紀錄'!L""&amp;TO_TEXT(ROW()-$C$72))"),"")</f>
        <v/>
      </c>
      <c r="M421" s="61" t="str">
        <f>IFERROR(__xludf.DUMMYFUNCTION("INDIRECT(""'收支紀錄'!M""&amp;TO_TEXT(ROW()-$C$72))"),"")</f>
        <v/>
      </c>
      <c r="N421" s="61" t="str">
        <f>IFERROR(__xludf.DUMMYFUNCTION("INDIRECT(""'收支紀錄'!N""&amp;TO_TEXT(ROW()-$C$72))"),"")</f>
        <v/>
      </c>
      <c r="O421" s="61" t="str">
        <f>IFERROR(__xludf.DUMMYFUNCTION("INDIRECT(""'收支紀錄'!O""&amp;TO_TEXT(ROW()-$C$72))"),"")</f>
        <v/>
      </c>
      <c r="P421" s="61" t="str">
        <f>IFERROR(__xludf.DUMMYFUNCTION("INDIRECT(""'收支紀錄'!P""&amp;TO_TEXT(ROW()-$C$72))"),"")</f>
        <v/>
      </c>
      <c r="Q421" s="61" t="str">
        <f>IFERROR(__xludf.DUMMYFUNCTION("INDIRECT(""'收支紀錄'!Q""&amp;TO_TEXT(ROW()-$C$72))"),"")</f>
        <v/>
      </c>
      <c r="R421" s="61" t="str">
        <f>IFERROR(__xludf.DUMMYFUNCTION("INDIRECT(""'收支紀錄'!R""&amp;TO_TEXT(ROW()-$C$72))"),"")</f>
        <v/>
      </c>
      <c r="S421" s="61" t="str">
        <f>IFERROR(__xludf.DUMMYFUNCTION("INDIRECT(""'收支紀錄'!S""&amp;TO_TEXT(ROW()-$C$72))"),"蝦皮麥當勞早餐")</f>
        <v>蝦皮麥當勞早餐</v>
      </c>
      <c r="T421" s="61" t="str">
        <f>IFERROR(__xludf.DUMMYFUNCTION("INDIRECT(""'收支紀錄'!T""&amp;TO_TEXT(ROW()-$C$72))"),"")</f>
        <v/>
      </c>
      <c r="U421" s="62" t="str">
        <f>IFERROR(__xludf.DUMMYFUNCTION("IF(T421=""是"",TEXTJOIN("""", TRUE, ""$"", TO_TEXT(C421), S421),"""")"),"")</f>
        <v/>
      </c>
    </row>
    <row r="422">
      <c r="A422" s="58">
        <f>IFERROR(__xludf.DUMMYFUNCTION("INDIRECT(""'收支紀錄'!A""&amp;TO_TEXT(ROW()-$C$72))"),45607.33520403935)</f>
        <v>45607.3352</v>
      </c>
      <c r="B422" s="59">
        <f>IFERROR(__xludf.DUMMYFUNCTION("IF(ISBLANK(D422), """", IF(ISDATE(D422), D422, IF(D422=""今天"", A422, IF(D422=""昨天 (-1 day)"", A422-1, IF(D422=""前天 (-2 days)"", A422-2, IF(D422=""明天 (+1 day)"", A422+1, DATE(LEFT(D422,4), MID(D422,5,2), RIGHT(D422,2))))))))"),45607.33520403935)</f>
        <v>45607.3352</v>
      </c>
      <c r="C422" s="60">
        <f>IFERROR(__xludf.DUMMYFUNCTION("INDIRECT(""'收支紀錄'!C""&amp;TO_TEXT(ROW()-$C$72))"),20.0)</f>
        <v>20</v>
      </c>
      <c r="D422" s="63" t="str">
        <f>IFERROR(__xludf.DUMMYFUNCTION("INDIRECT(""'收支紀錄'!D""&amp;TO_TEXT(ROW()-$C$72))"),"今天")</f>
        <v>今天</v>
      </c>
      <c r="E422" s="61" t="str">
        <f>IFERROR(__xludf.DUMMYFUNCTION("INDIRECT(""'收支紀錄'!E""&amp;TO_TEXT(ROW()-$C$72))"),"")</f>
        <v/>
      </c>
      <c r="F422" s="61" t="str">
        <f>IFERROR(__xludf.DUMMYFUNCTION("INDIRECT(""'收支紀錄'!F""&amp;TO_TEXT(ROW()-$C$72))"),"")</f>
        <v/>
      </c>
      <c r="G422" s="61" t="str">
        <f>IFERROR(__xludf.DUMMYFUNCTION("INDIRECT(""'收支紀錄'!G""&amp;TO_TEXT(ROW()-$C$72))"),"")</f>
        <v/>
      </c>
      <c r="H422" s="61" t="str">
        <f>IFERROR(__xludf.DUMMYFUNCTION("INDIRECT(""'收支紀錄'!H""&amp;TO_TEXT(ROW()-$C$72))"),"行車交通")</f>
        <v>行車交通</v>
      </c>
      <c r="I422" s="61" t="str">
        <f>IFERROR(__xludf.DUMMYFUNCTION("INDIRECT(""'收支紀錄'!I""&amp;TO_TEXT(ROW()-$C$72))"),"")</f>
        <v/>
      </c>
      <c r="J422" s="61" t="str">
        <f>IFERROR(__xludf.DUMMYFUNCTION("INDIRECT(""'收支紀錄'!J""&amp;TO_TEXT(ROW()-$C$72))"),"")</f>
        <v/>
      </c>
      <c r="K422" s="61" t="str">
        <f>IFERROR(__xludf.DUMMYFUNCTION("INDIRECT(""'收支紀錄'!K""&amp;TO_TEXT(ROW()-$C$72))"),"")</f>
        <v/>
      </c>
      <c r="L422" s="61" t="str">
        <f>IFERROR(__xludf.DUMMYFUNCTION("INDIRECT(""'收支紀錄'!L""&amp;TO_TEXT(ROW()-$C$72))"),"捷運費")</f>
        <v>捷運費</v>
      </c>
      <c r="M422" s="61" t="str">
        <f>IFERROR(__xludf.DUMMYFUNCTION("INDIRECT(""'收支紀錄'!M""&amp;TO_TEXT(ROW()-$C$72))"),"")</f>
        <v/>
      </c>
      <c r="N422" s="61" t="str">
        <f>IFERROR(__xludf.DUMMYFUNCTION("INDIRECT(""'收支紀錄'!N""&amp;TO_TEXT(ROW()-$C$72))"),"")</f>
        <v/>
      </c>
      <c r="O422" s="61" t="str">
        <f>IFERROR(__xludf.DUMMYFUNCTION("INDIRECT(""'收支紀錄'!O""&amp;TO_TEXT(ROW()-$C$72))"),"")</f>
        <v/>
      </c>
      <c r="P422" s="61" t="str">
        <f>IFERROR(__xludf.DUMMYFUNCTION("INDIRECT(""'收支紀錄'!P""&amp;TO_TEXT(ROW()-$C$72))"),"")</f>
        <v/>
      </c>
      <c r="Q422" s="61" t="str">
        <f>IFERROR(__xludf.DUMMYFUNCTION("INDIRECT(""'收支紀錄'!Q""&amp;TO_TEXT(ROW()-$C$72))"),"")</f>
        <v/>
      </c>
      <c r="R422" s="61" t="str">
        <f>IFERROR(__xludf.DUMMYFUNCTION("INDIRECT(""'收支紀錄'!R""&amp;TO_TEXT(ROW()-$C$72))"),"")</f>
        <v/>
      </c>
      <c r="S422" s="61" t="str">
        <f>IFERROR(__xludf.DUMMYFUNCTION("INDIRECT(""'收支紀錄'!S""&amp;TO_TEXT(ROW()-$C$72))"),"")</f>
        <v/>
      </c>
      <c r="T422" s="61" t="str">
        <f>IFERROR(__xludf.DUMMYFUNCTION("INDIRECT(""'收支紀錄'!T""&amp;TO_TEXT(ROW()-$C$72))"),"")</f>
        <v/>
      </c>
      <c r="U422" s="62" t="str">
        <f>IFERROR(__xludf.DUMMYFUNCTION("IF(T422=""是"",TEXTJOIN("""", TRUE, ""$"", TO_TEXT(C422), S422),"""")"),"")</f>
        <v/>
      </c>
    </row>
    <row r="423">
      <c r="A423" s="58">
        <f>IFERROR(__xludf.DUMMYFUNCTION("INDIRECT(""'收支紀錄'!A""&amp;TO_TEXT(ROW()-$C$72))"),45607.335418773146)</f>
        <v>45607.33542</v>
      </c>
      <c r="B423" s="59">
        <f>IFERROR(__xludf.DUMMYFUNCTION("IF(ISBLANK(D423), """", IF(ISDATE(D423), D423, IF(D423=""今天"", A423, IF(D423=""昨天 (-1 day)"", A423-1, IF(D423=""前天 (-2 days)"", A423-2, IF(D423=""明天 (+1 day)"", A423+1, DATE(LEFT(D423,4), MID(D423,5,2), RIGHT(D423,2))))))))"),45607.335418773146)</f>
        <v>45607.33542</v>
      </c>
      <c r="C423" s="60">
        <f>IFERROR(__xludf.DUMMYFUNCTION("INDIRECT(""'收支紀錄'!C""&amp;TO_TEXT(ROW()-$C$72))"),91.0)</f>
        <v>91</v>
      </c>
      <c r="D423" s="63" t="str">
        <f>IFERROR(__xludf.DUMMYFUNCTION("INDIRECT(""'收支紀錄'!D""&amp;TO_TEXT(ROW()-$C$72))"),"今天")</f>
        <v>今天</v>
      </c>
      <c r="E423" s="61" t="str">
        <f>IFERROR(__xludf.DUMMYFUNCTION("INDIRECT(""'收支紀錄'!E""&amp;TO_TEXT(ROW()-$C$72))"),"")</f>
        <v/>
      </c>
      <c r="F423" s="61" t="str">
        <f>IFERROR(__xludf.DUMMYFUNCTION("INDIRECT(""'收支紀錄'!F""&amp;TO_TEXT(ROW()-$C$72))"),"")</f>
        <v/>
      </c>
      <c r="G423" s="61" t="str">
        <f>IFERROR(__xludf.DUMMYFUNCTION("INDIRECT(""'收支紀錄'!G""&amp;TO_TEXT(ROW()-$C$72))"),"")</f>
        <v/>
      </c>
      <c r="H423" s="61" t="str">
        <f>IFERROR(__xludf.DUMMYFUNCTION("INDIRECT(""'收支紀錄'!H""&amp;TO_TEXT(ROW()-$C$72))"),"行車交通")</f>
        <v>行車交通</v>
      </c>
      <c r="I423" s="61" t="str">
        <f>IFERROR(__xludf.DUMMYFUNCTION("INDIRECT(""'收支紀錄'!I""&amp;TO_TEXT(ROW()-$C$72))"),"")</f>
        <v/>
      </c>
      <c r="J423" s="61" t="str">
        <f>IFERROR(__xludf.DUMMYFUNCTION("INDIRECT(""'收支紀錄'!J""&amp;TO_TEXT(ROW()-$C$72))"),"")</f>
        <v/>
      </c>
      <c r="K423" s="61" t="str">
        <f>IFERROR(__xludf.DUMMYFUNCTION("INDIRECT(""'收支紀錄'!K""&amp;TO_TEXT(ROW()-$C$72))"),"")</f>
        <v/>
      </c>
      <c r="L423" s="61" t="str">
        <f>IFERROR(__xludf.DUMMYFUNCTION("INDIRECT(""'收支紀錄'!L""&amp;TO_TEXT(ROW()-$C$72))"),"火車費")</f>
        <v>火車費</v>
      </c>
      <c r="M423" s="61" t="str">
        <f>IFERROR(__xludf.DUMMYFUNCTION("INDIRECT(""'收支紀錄'!M""&amp;TO_TEXT(ROW()-$C$72))"),"")</f>
        <v/>
      </c>
      <c r="N423" s="61" t="str">
        <f>IFERROR(__xludf.DUMMYFUNCTION("INDIRECT(""'收支紀錄'!N""&amp;TO_TEXT(ROW()-$C$72))"),"")</f>
        <v/>
      </c>
      <c r="O423" s="61" t="str">
        <f>IFERROR(__xludf.DUMMYFUNCTION("INDIRECT(""'收支紀錄'!O""&amp;TO_TEXT(ROW()-$C$72))"),"")</f>
        <v/>
      </c>
      <c r="P423" s="61" t="str">
        <f>IFERROR(__xludf.DUMMYFUNCTION("INDIRECT(""'收支紀錄'!P""&amp;TO_TEXT(ROW()-$C$72))"),"")</f>
        <v/>
      </c>
      <c r="Q423" s="61" t="str">
        <f>IFERROR(__xludf.DUMMYFUNCTION("INDIRECT(""'收支紀錄'!Q""&amp;TO_TEXT(ROW()-$C$72))"),"")</f>
        <v/>
      </c>
      <c r="R423" s="61" t="str">
        <f>IFERROR(__xludf.DUMMYFUNCTION("INDIRECT(""'收支紀錄'!R""&amp;TO_TEXT(ROW()-$C$72))"),"")</f>
        <v/>
      </c>
      <c r="S423" s="61" t="str">
        <f>IFERROR(__xludf.DUMMYFUNCTION("INDIRECT(""'收支紀錄'!S""&amp;TO_TEXT(ROW()-$C$72))"),"")</f>
        <v/>
      </c>
      <c r="T423" s="61" t="str">
        <f>IFERROR(__xludf.DUMMYFUNCTION("INDIRECT(""'收支紀錄'!T""&amp;TO_TEXT(ROW()-$C$72))"),"")</f>
        <v/>
      </c>
      <c r="U423" s="62" t="str">
        <f>IFERROR(__xludf.DUMMYFUNCTION("IF(T423=""是"",TEXTJOIN("""", TRUE, ""$"", TO_TEXT(C423), S423),"""")"),"")</f>
        <v/>
      </c>
    </row>
    <row r="424">
      <c r="A424" s="58">
        <f>IFERROR(__xludf.DUMMYFUNCTION("INDIRECT(""'收支紀錄'!A""&amp;TO_TEXT(ROW()-$C$72))"),45607.34644140046)</f>
        <v>45607.34644</v>
      </c>
      <c r="B424" s="59">
        <f>IFERROR(__xludf.DUMMYFUNCTION("IF(ISBLANK(D424), """", IF(ISDATE(D424), D424, IF(D424=""今天"", A424, IF(D424=""昨天 (-1 day)"", A424-1, IF(D424=""前天 (-2 days)"", A424-2, IF(D424=""明天 (+1 day)"", A424+1, DATE(LEFT(D424,4), MID(D424,5,2), RIGHT(D424,2))))))))"),45606.34644140046)</f>
        <v>45606.34644</v>
      </c>
      <c r="C424" s="60">
        <f>IFERROR(__xludf.DUMMYFUNCTION("INDIRECT(""'收支紀錄'!C""&amp;TO_TEXT(ROW()-$C$72))"),233.0)</f>
        <v>233</v>
      </c>
      <c r="D424" s="63" t="str">
        <f>IFERROR(__xludf.DUMMYFUNCTION("INDIRECT(""'收支紀錄'!D""&amp;TO_TEXT(ROW()-$C$72))"),"昨天 (-1 day)")</f>
        <v>昨天 (-1 day)</v>
      </c>
      <c r="E424" s="61" t="str">
        <f>IFERROR(__xludf.DUMMYFUNCTION("INDIRECT(""'收支紀錄'!E""&amp;TO_TEXT(ROW()-$C$72))"),"")</f>
        <v/>
      </c>
      <c r="F424" s="61" t="str">
        <f>IFERROR(__xludf.DUMMYFUNCTION("INDIRECT(""'收支紀錄'!F""&amp;TO_TEXT(ROW()-$C$72))"),"")</f>
        <v/>
      </c>
      <c r="G424" s="61" t="str">
        <f>IFERROR(__xludf.DUMMYFUNCTION("INDIRECT(""'收支紀錄'!G""&amp;TO_TEXT(ROW()-$C$72))"),"")</f>
        <v/>
      </c>
      <c r="H424" s="61" t="str">
        <f>IFERROR(__xludf.DUMMYFUNCTION("INDIRECT(""'收支紀錄'!H""&amp;TO_TEXT(ROW()-$C$72))"),"休閒娛樂")</f>
        <v>休閒娛樂</v>
      </c>
      <c r="I424" s="61" t="str">
        <f>IFERROR(__xludf.DUMMYFUNCTION("INDIRECT(""'收支紀錄'!I""&amp;TO_TEXT(ROW()-$C$72))"),"")</f>
        <v/>
      </c>
      <c r="J424" s="61" t="str">
        <f>IFERROR(__xludf.DUMMYFUNCTION("INDIRECT(""'收支紀錄'!J""&amp;TO_TEXT(ROW()-$C$72))"),"")</f>
        <v/>
      </c>
      <c r="K424" s="61" t="str">
        <f>IFERROR(__xludf.DUMMYFUNCTION("INDIRECT(""'收支紀錄'!K""&amp;TO_TEXT(ROW()-$C$72))"),"")</f>
        <v/>
      </c>
      <c r="L424" s="61" t="str">
        <f>IFERROR(__xludf.DUMMYFUNCTION("INDIRECT(""'收支紀錄'!L""&amp;TO_TEXT(ROW()-$C$72))"),"")</f>
        <v/>
      </c>
      <c r="M424" s="61" t="str">
        <f>IFERROR(__xludf.DUMMYFUNCTION("INDIRECT(""'收支紀錄'!M""&amp;TO_TEXT(ROW()-$C$72))"),"休閒玩樂")</f>
        <v>休閒玩樂</v>
      </c>
      <c r="N424" s="61" t="str">
        <f>IFERROR(__xludf.DUMMYFUNCTION("INDIRECT(""'收支紀錄'!N""&amp;TO_TEXT(ROW()-$C$72))"),"")</f>
        <v/>
      </c>
      <c r="O424" s="61" t="str">
        <f>IFERROR(__xludf.DUMMYFUNCTION("INDIRECT(""'收支紀錄'!O""&amp;TO_TEXT(ROW()-$C$72))"),"")</f>
        <v/>
      </c>
      <c r="P424" s="61" t="str">
        <f>IFERROR(__xludf.DUMMYFUNCTION("INDIRECT(""'收支紀錄'!P""&amp;TO_TEXT(ROW()-$C$72))"),"")</f>
        <v/>
      </c>
      <c r="Q424" s="61" t="str">
        <f>IFERROR(__xludf.DUMMYFUNCTION("INDIRECT(""'收支紀錄'!Q""&amp;TO_TEXT(ROW()-$C$72))"),"")</f>
        <v/>
      </c>
      <c r="R424" s="61" t="str">
        <f>IFERROR(__xludf.DUMMYFUNCTION("INDIRECT(""'收支紀錄'!R""&amp;TO_TEXT(ROW()-$C$72))"),"")</f>
        <v/>
      </c>
      <c r="S424" s="61" t="str">
        <f>IFERROR(__xludf.DUMMYFUNCTION("INDIRECT(""'收支紀錄'!S""&amp;TO_TEXT(ROW()-$C$72))"),"好市多續約，可參考照片-$2000寶補助隔週各項費用但記於此")</f>
        <v>好市多續約，可參考照片-$2000寶補助隔週各項費用但記於此</v>
      </c>
      <c r="T424" s="61" t="str">
        <f>IFERROR(__xludf.DUMMYFUNCTION("INDIRECT(""'收支紀錄'!T""&amp;TO_TEXT(ROW()-$C$72))"),"是")</f>
        <v>是</v>
      </c>
      <c r="U424" s="62" t="str">
        <f>IFERROR(__xludf.DUMMYFUNCTION("IF(T424=""是"",TEXTJOIN("""", TRUE, ""$"", TO_TEXT(C424), S424),"""")"),"$233好市多續約，可參考照片-$2000寶補助隔週各項費用但記於此")</f>
        <v>$233好市多續約，可參考照片-$2000寶補助隔週各項費用但記於此</v>
      </c>
    </row>
    <row r="425">
      <c r="A425" s="58">
        <f>IFERROR(__xludf.DUMMYFUNCTION("INDIRECT(""'收支紀錄'!A""&amp;TO_TEXT(ROW()-$C$72))"),45607.35311652778)</f>
        <v>45607.35312</v>
      </c>
      <c r="B425" s="59">
        <f>IFERROR(__xludf.DUMMYFUNCTION("IF(ISBLANK(D425), """", IF(ISDATE(D425), D425, IF(D425=""今天"", A425, IF(D425=""昨天 (-1 day)"", A425-1, IF(D425=""前天 (-2 days)"", A425-2, IF(D425=""明天 (+1 day)"", A425+1, DATE(LEFT(D425,4), MID(D425,5,2), RIGHT(D425,2))))))))"),45607.35311652778)</f>
        <v>45607.35312</v>
      </c>
      <c r="C425" s="60">
        <f>IFERROR(__xludf.DUMMYFUNCTION("INDIRECT(""'收支紀錄'!C""&amp;TO_TEXT(ROW()-$C$72))"),198.0)</f>
        <v>198</v>
      </c>
      <c r="D425" s="63" t="str">
        <f>IFERROR(__xludf.DUMMYFUNCTION("INDIRECT(""'收支紀錄'!D""&amp;TO_TEXT(ROW()-$C$72))"),"今天")</f>
        <v>今天</v>
      </c>
      <c r="E425" s="61" t="str">
        <f>IFERROR(__xludf.DUMMYFUNCTION("INDIRECT(""'收支紀錄'!E""&amp;TO_TEXT(ROW()-$C$72))"),"")</f>
        <v/>
      </c>
      <c r="F425" s="61" t="str">
        <f>IFERROR(__xludf.DUMMYFUNCTION("INDIRECT(""'收支紀錄'!F""&amp;TO_TEXT(ROW()-$C$72))"),"")</f>
        <v/>
      </c>
      <c r="G425" s="61" t="str">
        <f>IFERROR(__xludf.DUMMYFUNCTION("INDIRECT(""'收支紀錄'!G""&amp;TO_TEXT(ROW()-$C$72))"),"")</f>
        <v/>
      </c>
      <c r="H425" s="61" t="str">
        <f>IFERROR(__xludf.DUMMYFUNCTION("INDIRECT(""'收支紀錄'!H""&amp;TO_TEXT(ROW()-$C$72))"),"食品酒水")</f>
        <v>食品酒水</v>
      </c>
      <c r="I425" s="61" t="str">
        <f>IFERROR(__xludf.DUMMYFUNCTION("INDIRECT(""'收支紀錄'!I""&amp;TO_TEXT(ROW()-$C$72))"),"餐飲票券")</f>
        <v>餐飲票券</v>
      </c>
      <c r="J425" s="61" t="str">
        <f>IFERROR(__xludf.DUMMYFUNCTION("INDIRECT(""'收支紀錄'!J""&amp;TO_TEXT(ROW()-$C$72))"),"")</f>
        <v/>
      </c>
      <c r="K425" s="61" t="str">
        <f>IFERROR(__xludf.DUMMYFUNCTION("INDIRECT(""'收支紀錄'!K""&amp;TO_TEXT(ROW()-$C$72))"),"")</f>
        <v/>
      </c>
      <c r="L425" s="61" t="str">
        <f>IFERROR(__xludf.DUMMYFUNCTION("INDIRECT(""'收支紀錄'!L""&amp;TO_TEXT(ROW()-$C$72))"),"")</f>
        <v/>
      </c>
      <c r="M425" s="61" t="str">
        <f>IFERROR(__xludf.DUMMYFUNCTION("INDIRECT(""'收支紀錄'!M""&amp;TO_TEXT(ROW()-$C$72))"),"")</f>
        <v/>
      </c>
      <c r="N425" s="61" t="str">
        <f>IFERROR(__xludf.DUMMYFUNCTION("INDIRECT(""'收支紀錄'!N""&amp;TO_TEXT(ROW()-$C$72))"),"")</f>
        <v/>
      </c>
      <c r="O425" s="61" t="str">
        <f>IFERROR(__xludf.DUMMYFUNCTION("INDIRECT(""'收支紀錄'!O""&amp;TO_TEXT(ROW()-$C$72))"),"")</f>
        <v/>
      </c>
      <c r="P425" s="61" t="str">
        <f>IFERROR(__xludf.DUMMYFUNCTION("INDIRECT(""'收支紀錄'!P""&amp;TO_TEXT(ROW()-$C$72))"),"")</f>
        <v/>
      </c>
      <c r="Q425" s="61" t="str">
        <f>IFERROR(__xludf.DUMMYFUNCTION("INDIRECT(""'收支紀錄'!Q""&amp;TO_TEXT(ROW()-$C$72))"),"")</f>
        <v/>
      </c>
      <c r="R425" s="61" t="str">
        <f>IFERROR(__xludf.DUMMYFUNCTION("INDIRECT(""'收支紀錄'!R""&amp;TO_TEXT(ROW()-$C$72))"),"")</f>
        <v/>
      </c>
      <c r="S425" s="61" t="str">
        <f>IFERROR(__xludf.DUMMYFUNCTION("INDIRECT(""'收支紀錄'!S""&amp;TO_TEXT(ROW()-$C$72))"),"")</f>
        <v/>
      </c>
      <c r="T425" s="61" t="str">
        <f>IFERROR(__xludf.DUMMYFUNCTION("INDIRECT(""'收支紀錄'!T""&amp;TO_TEXT(ROW()-$C$72))"),"")</f>
        <v/>
      </c>
      <c r="U425" s="62" t="str">
        <f>IFERROR(__xludf.DUMMYFUNCTION("IF(T425=""是"",TEXTJOIN("""", TRUE, ""$"", TO_TEXT(C425), S425),"""")"),"")</f>
        <v/>
      </c>
    </row>
    <row r="426">
      <c r="A426" s="58">
        <f>IFERROR(__xludf.DUMMYFUNCTION("INDIRECT(""'收支紀錄'!A""&amp;TO_TEXT(ROW()-$C$72))"),45607.83495523148)</f>
        <v>45607.83496</v>
      </c>
      <c r="B426" s="59">
        <f>IFERROR(__xludf.DUMMYFUNCTION("IF(ISBLANK(D426), """", IF(ISDATE(D426), D426, IF(D426=""今天"", A426, IF(D426=""昨天 (-1 day)"", A426-1, IF(D426=""前天 (-2 days)"", A426-2, IF(D426=""明天 (+1 day)"", A426+1, DATE(LEFT(D426,4), MID(D426,5,2), RIGHT(D426,2))))))))"),45607.83495523148)</f>
        <v>45607.83496</v>
      </c>
      <c r="C426" s="60">
        <f>IFERROR(__xludf.DUMMYFUNCTION("INDIRECT(""'收支紀錄'!C""&amp;TO_TEXT(ROW()-$C$72))"),300.0)</f>
        <v>300</v>
      </c>
      <c r="D426" s="63" t="str">
        <f>IFERROR(__xludf.DUMMYFUNCTION("INDIRECT(""'收支紀錄'!D""&amp;TO_TEXT(ROW()-$C$72))"),"今天")</f>
        <v>今天</v>
      </c>
      <c r="E426" s="61" t="str">
        <f>IFERROR(__xludf.DUMMYFUNCTION("INDIRECT(""'收支紀錄'!E""&amp;TO_TEXT(ROW()-$C$72))"),"")</f>
        <v/>
      </c>
      <c r="F426" s="61" t="str">
        <f>IFERROR(__xludf.DUMMYFUNCTION("INDIRECT(""'收支紀錄'!F""&amp;TO_TEXT(ROW()-$C$72))"),"")</f>
        <v/>
      </c>
      <c r="G426" s="61" t="str">
        <f>IFERROR(__xludf.DUMMYFUNCTION("INDIRECT(""'收支紀錄'!G""&amp;TO_TEXT(ROW()-$C$72))"),"")</f>
        <v/>
      </c>
      <c r="H426" s="61" t="str">
        <f>IFERROR(__xludf.DUMMYFUNCTION("INDIRECT(""'收支紀錄'!H""&amp;TO_TEXT(ROW()-$C$72))"),"行車交通")</f>
        <v>行車交通</v>
      </c>
      <c r="I426" s="61" t="str">
        <f>IFERROR(__xludf.DUMMYFUNCTION("INDIRECT(""'收支紀錄'!I""&amp;TO_TEXT(ROW()-$C$72))"),"")</f>
        <v/>
      </c>
      <c r="J426" s="61" t="str">
        <f>IFERROR(__xludf.DUMMYFUNCTION("INDIRECT(""'收支紀錄'!J""&amp;TO_TEXT(ROW()-$C$72))"),"")</f>
        <v/>
      </c>
      <c r="K426" s="61" t="str">
        <f>IFERROR(__xludf.DUMMYFUNCTION("INDIRECT(""'收支紀錄'!K""&amp;TO_TEXT(ROW()-$C$72))"),"")</f>
        <v/>
      </c>
      <c r="L426" s="61" t="str">
        <f>IFERROR(__xludf.DUMMYFUNCTION("INDIRECT(""'收支紀錄'!L""&amp;TO_TEXT(ROW()-$C$72))"),"其他(洗車,罰單,配件)")</f>
        <v>其他(洗車,罰單,配件)</v>
      </c>
      <c r="M426" s="61" t="str">
        <f>IFERROR(__xludf.DUMMYFUNCTION("INDIRECT(""'收支紀錄'!M""&amp;TO_TEXT(ROW()-$C$72))"),"")</f>
        <v/>
      </c>
      <c r="N426" s="61" t="str">
        <f>IFERROR(__xludf.DUMMYFUNCTION("INDIRECT(""'收支紀錄'!N""&amp;TO_TEXT(ROW()-$C$72))"),"")</f>
        <v/>
      </c>
      <c r="O426" s="61" t="str">
        <f>IFERROR(__xludf.DUMMYFUNCTION("INDIRECT(""'收支紀錄'!O""&amp;TO_TEXT(ROW()-$C$72))"),"")</f>
        <v/>
      </c>
      <c r="P426" s="61" t="str">
        <f>IFERROR(__xludf.DUMMYFUNCTION("INDIRECT(""'收支紀錄'!P""&amp;TO_TEXT(ROW()-$C$72))"),"")</f>
        <v/>
      </c>
      <c r="Q426" s="61" t="str">
        <f>IFERROR(__xludf.DUMMYFUNCTION("INDIRECT(""'收支紀錄'!Q""&amp;TO_TEXT(ROW()-$C$72))"),"")</f>
        <v/>
      </c>
      <c r="R426" s="61" t="str">
        <f>IFERROR(__xludf.DUMMYFUNCTION("INDIRECT(""'收支紀錄'!R""&amp;TO_TEXT(ROW()-$C$72))"),"")</f>
        <v/>
      </c>
      <c r="S426" s="61" t="str">
        <f>IFERROR(__xludf.DUMMYFUNCTION("INDIRECT(""'收支紀錄'!S""&amp;TO_TEXT(ROW()-$C$72))"),"機車大燈")</f>
        <v>機車大燈</v>
      </c>
      <c r="T426" s="61" t="str">
        <f>IFERROR(__xludf.DUMMYFUNCTION("INDIRECT(""'收支紀錄'!T""&amp;TO_TEXT(ROW()-$C$72))"),"")</f>
        <v/>
      </c>
      <c r="U426" s="62" t="str">
        <f>IFERROR(__xludf.DUMMYFUNCTION("IF(T426=""是"",TEXTJOIN("""", TRUE, ""$"", TO_TEXT(C426), S426),"""")"),"")</f>
        <v/>
      </c>
    </row>
    <row r="427">
      <c r="A427" s="58">
        <f>IFERROR(__xludf.DUMMYFUNCTION("INDIRECT(""'收支紀錄'!A""&amp;TO_TEXT(ROW()-$C$72))"),45609.98131510417)</f>
        <v>45609.98132</v>
      </c>
      <c r="B427" s="59">
        <f>IFERROR(__xludf.DUMMYFUNCTION("IF(ISBLANK(D427), """", IF(ISDATE(D427), D427, IF(D427=""今天"", A427, IF(D427=""昨天 (-1 day)"", A427-1, IF(D427=""前天 (-2 days)"", A427-2, IF(D427=""明天 (+1 day)"", A427+1, DATE(LEFT(D427,4), MID(D427,5,2), RIGHT(D427,2))))))))"),45609.98131510417)</f>
        <v>45609.98132</v>
      </c>
      <c r="C427" s="60">
        <f>IFERROR(__xludf.DUMMYFUNCTION("INDIRECT(""'收支紀錄'!C""&amp;TO_TEXT(ROW()-$C$72))"),100.0)</f>
        <v>100</v>
      </c>
      <c r="D427" s="63" t="str">
        <f>IFERROR(__xludf.DUMMYFUNCTION("INDIRECT(""'收支紀錄'!D""&amp;TO_TEXT(ROW()-$C$72))"),"今天")</f>
        <v>今天</v>
      </c>
      <c r="E427" s="61" t="str">
        <f>IFERROR(__xludf.DUMMYFUNCTION("INDIRECT(""'收支紀錄'!E""&amp;TO_TEXT(ROW()-$C$72))"),"")</f>
        <v/>
      </c>
      <c r="F427" s="61" t="str">
        <f>IFERROR(__xludf.DUMMYFUNCTION("INDIRECT(""'收支紀錄'!F""&amp;TO_TEXT(ROW()-$C$72))"),"")</f>
        <v/>
      </c>
      <c r="G427" s="61" t="str">
        <f>IFERROR(__xludf.DUMMYFUNCTION("INDIRECT(""'收支紀錄'!G""&amp;TO_TEXT(ROW()-$C$72))"),"")</f>
        <v/>
      </c>
      <c r="H427" s="61" t="str">
        <f>IFERROR(__xludf.DUMMYFUNCTION("INDIRECT(""'收支紀錄'!H""&amp;TO_TEXT(ROW()-$C$72))"),"休閒娛樂")</f>
        <v>休閒娛樂</v>
      </c>
      <c r="I427" s="61" t="str">
        <f>IFERROR(__xludf.DUMMYFUNCTION("INDIRECT(""'收支紀錄'!I""&amp;TO_TEXT(ROW()-$C$72))"),"")</f>
        <v/>
      </c>
      <c r="J427" s="61" t="str">
        <f>IFERROR(__xludf.DUMMYFUNCTION("INDIRECT(""'收支紀錄'!J""&amp;TO_TEXT(ROW()-$C$72))"),"")</f>
        <v/>
      </c>
      <c r="K427" s="61" t="str">
        <f>IFERROR(__xludf.DUMMYFUNCTION("INDIRECT(""'收支紀錄'!K""&amp;TO_TEXT(ROW()-$C$72))"),"")</f>
        <v/>
      </c>
      <c r="L427" s="61" t="str">
        <f>IFERROR(__xludf.DUMMYFUNCTION("INDIRECT(""'收支紀錄'!L""&amp;TO_TEXT(ROW()-$C$72))"),"")</f>
        <v/>
      </c>
      <c r="M427" s="61" t="str">
        <f>IFERROR(__xludf.DUMMYFUNCTION("INDIRECT(""'收支紀錄'!M""&amp;TO_TEXT(ROW()-$C$72))"),"運動健身")</f>
        <v>運動健身</v>
      </c>
      <c r="N427" s="61" t="str">
        <f>IFERROR(__xludf.DUMMYFUNCTION("INDIRECT(""'收支紀錄'!N""&amp;TO_TEXT(ROW()-$C$72))"),"")</f>
        <v/>
      </c>
      <c r="O427" s="61" t="str">
        <f>IFERROR(__xludf.DUMMYFUNCTION("INDIRECT(""'收支紀錄'!O""&amp;TO_TEXT(ROW()-$C$72))"),"")</f>
        <v/>
      </c>
      <c r="P427" s="61" t="str">
        <f>IFERROR(__xludf.DUMMYFUNCTION("INDIRECT(""'收支紀錄'!P""&amp;TO_TEXT(ROW()-$C$72))"),"")</f>
        <v/>
      </c>
      <c r="Q427" s="61" t="str">
        <f>IFERROR(__xludf.DUMMYFUNCTION("INDIRECT(""'收支紀錄'!Q""&amp;TO_TEXT(ROW()-$C$72))"),"")</f>
        <v/>
      </c>
      <c r="R427" s="61" t="str">
        <f>IFERROR(__xludf.DUMMYFUNCTION("INDIRECT(""'收支紀錄'!R""&amp;TO_TEXT(ROW()-$C$72))"),"")</f>
        <v/>
      </c>
      <c r="S427" s="61" t="str">
        <f>IFERROR(__xludf.DUMMYFUNCTION("INDIRECT(""'收支紀錄'!S""&amp;TO_TEXT(ROW()-$C$72))"),"")</f>
        <v/>
      </c>
      <c r="T427" s="61" t="str">
        <f>IFERROR(__xludf.DUMMYFUNCTION("INDIRECT(""'收支紀錄'!T""&amp;TO_TEXT(ROW()-$C$72))"),"")</f>
        <v/>
      </c>
      <c r="U427" s="62" t="str">
        <f>IFERROR(__xludf.DUMMYFUNCTION("IF(T427=""是"",TEXTJOIN("""", TRUE, ""$"", TO_TEXT(C427), S427),"""")"),"")</f>
        <v/>
      </c>
    </row>
    <row r="428">
      <c r="A428" s="58">
        <f>IFERROR(__xludf.DUMMYFUNCTION("INDIRECT(""'收支紀錄'!A""&amp;TO_TEXT(ROW()-$C$72))"),45609.98149359954)</f>
        <v>45609.98149</v>
      </c>
      <c r="B428" s="59">
        <f>IFERROR(__xludf.DUMMYFUNCTION("IF(ISBLANK(D428), """", IF(ISDATE(D428), D428, IF(D428=""今天"", A428, IF(D428=""昨天 (-1 day)"", A428-1, IF(D428=""前天 (-2 days)"", A428-2, IF(D428=""明天 (+1 day)"", A428+1, DATE(LEFT(D428,4), MID(D428,5,2), RIGHT(D428,2))))))))"),45609.98149359954)</f>
        <v>45609.98149</v>
      </c>
      <c r="C428" s="60">
        <f>IFERROR(__xludf.DUMMYFUNCTION("INDIRECT(""'收支紀錄'!C""&amp;TO_TEXT(ROW()-$C$72))"),25.0)</f>
        <v>25</v>
      </c>
      <c r="D428" s="63" t="str">
        <f>IFERROR(__xludf.DUMMYFUNCTION("INDIRECT(""'收支紀錄'!D""&amp;TO_TEXT(ROW()-$C$72))"),"今天")</f>
        <v>今天</v>
      </c>
      <c r="E428" s="61" t="str">
        <f>IFERROR(__xludf.DUMMYFUNCTION("INDIRECT(""'收支紀錄'!E""&amp;TO_TEXT(ROW()-$C$72))"),"")</f>
        <v/>
      </c>
      <c r="F428" s="61" t="str">
        <f>IFERROR(__xludf.DUMMYFUNCTION("INDIRECT(""'收支紀錄'!F""&amp;TO_TEXT(ROW()-$C$72))"),"")</f>
        <v/>
      </c>
      <c r="G428" s="61" t="str">
        <f>IFERROR(__xludf.DUMMYFUNCTION("INDIRECT(""'收支紀錄'!G""&amp;TO_TEXT(ROW()-$C$72))"),"")</f>
        <v/>
      </c>
      <c r="H428" s="61" t="str">
        <f>IFERROR(__xludf.DUMMYFUNCTION("INDIRECT(""'收支紀錄'!H""&amp;TO_TEXT(ROW()-$C$72))"),"食品酒水")</f>
        <v>食品酒水</v>
      </c>
      <c r="I428" s="61" t="str">
        <f>IFERROR(__xludf.DUMMYFUNCTION("INDIRECT(""'收支紀錄'!I""&amp;TO_TEXT(ROW()-$C$72))"),"飲料酒水")</f>
        <v>飲料酒水</v>
      </c>
      <c r="J428" s="61" t="str">
        <f>IFERROR(__xludf.DUMMYFUNCTION("INDIRECT(""'收支紀錄'!J""&amp;TO_TEXT(ROW()-$C$72))"),"")</f>
        <v/>
      </c>
      <c r="K428" s="61" t="str">
        <f>IFERROR(__xludf.DUMMYFUNCTION("INDIRECT(""'收支紀錄'!K""&amp;TO_TEXT(ROW()-$C$72))"),"")</f>
        <v/>
      </c>
      <c r="L428" s="61" t="str">
        <f>IFERROR(__xludf.DUMMYFUNCTION("INDIRECT(""'收支紀錄'!L""&amp;TO_TEXT(ROW()-$C$72))"),"")</f>
        <v/>
      </c>
      <c r="M428" s="61" t="str">
        <f>IFERROR(__xludf.DUMMYFUNCTION("INDIRECT(""'收支紀錄'!M""&amp;TO_TEXT(ROW()-$C$72))"),"")</f>
        <v/>
      </c>
      <c r="N428" s="61" t="str">
        <f>IFERROR(__xludf.DUMMYFUNCTION("INDIRECT(""'收支紀錄'!N""&amp;TO_TEXT(ROW()-$C$72))"),"")</f>
        <v/>
      </c>
      <c r="O428" s="61" t="str">
        <f>IFERROR(__xludf.DUMMYFUNCTION("INDIRECT(""'收支紀錄'!O""&amp;TO_TEXT(ROW()-$C$72))"),"")</f>
        <v/>
      </c>
      <c r="P428" s="61" t="str">
        <f>IFERROR(__xludf.DUMMYFUNCTION("INDIRECT(""'收支紀錄'!P""&amp;TO_TEXT(ROW()-$C$72))"),"")</f>
        <v/>
      </c>
      <c r="Q428" s="61" t="str">
        <f>IFERROR(__xludf.DUMMYFUNCTION("INDIRECT(""'收支紀錄'!Q""&amp;TO_TEXT(ROW()-$C$72))"),"")</f>
        <v/>
      </c>
      <c r="R428" s="61" t="str">
        <f>IFERROR(__xludf.DUMMYFUNCTION("INDIRECT(""'收支紀錄'!R""&amp;TO_TEXT(ROW()-$C$72))"),"")</f>
        <v/>
      </c>
      <c r="S428" s="61" t="str">
        <f>IFERROR(__xludf.DUMMYFUNCTION("INDIRECT(""'收支紀錄'!S""&amp;TO_TEXT(ROW()-$C$72))"),"")</f>
        <v/>
      </c>
      <c r="T428" s="61" t="str">
        <f>IFERROR(__xludf.DUMMYFUNCTION("INDIRECT(""'收支紀錄'!T""&amp;TO_TEXT(ROW()-$C$72))"),"")</f>
        <v/>
      </c>
      <c r="U428" s="62" t="str">
        <f>IFERROR(__xludf.DUMMYFUNCTION("IF(T428=""是"",TEXTJOIN("""", TRUE, ""$"", TO_TEXT(C428), S428),"""")"),"")</f>
        <v/>
      </c>
    </row>
    <row r="429">
      <c r="A429" s="58">
        <f>IFERROR(__xludf.DUMMYFUNCTION("INDIRECT(""'收支紀錄'!A""&amp;TO_TEXT(ROW()-$C$72))"),45610.96782280093)</f>
        <v>45610.96782</v>
      </c>
      <c r="B429" s="59">
        <f>IFERROR(__xludf.DUMMYFUNCTION("IF(ISBLANK(D429), """", IF(ISDATE(D429), D429, IF(D429=""今天"", A429, IF(D429=""昨天 (-1 day)"", A429-1, IF(D429=""前天 (-2 days)"", A429-2, IF(D429=""明天 (+1 day)"", A429+1, DATE(LEFT(D429,4), MID(D429,5,2), RIGHT(D429,2))))))))"),45610.96782280093)</f>
        <v>45610.96782</v>
      </c>
      <c r="C429" s="60">
        <f>IFERROR(__xludf.DUMMYFUNCTION("INDIRECT(""'收支紀錄'!C""&amp;TO_TEXT(ROW()-$C$72))"),600.0)</f>
        <v>600</v>
      </c>
      <c r="D429" s="63" t="str">
        <f>IFERROR(__xludf.DUMMYFUNCTION("INDIRECT(""'收支紀錄'!D""&amp;TO_TEXT(ROW()-$C$72))"),"今天")</f>
        <v>今天</v>
      </c>
      <c r="E429" s="61" t="str">
        <f>IFERROR(__xludf.DUMMYFUNCTION("INDIRECT(""'收支紀錄'!E""&amp;TO_TEXT(ROW()-$C$72))"),"")</f>
        <v/>
      </c>
      <c r="F429" s="61" t="str">
        <f>IFERROR(__xludf.DUMMYFUNCTION("INDIRECT(""'收支紀錄'!F""&amp;TO_TEXT(ROW()-$C$72))"),"")</f>
        <v/>
      </c>
      <c r="G429" s="61" t="str">
        <f>IFERROR(__xludf.DUMMYFUNCTION("INDIRECT(""'收支紀錄'!G""&amp;TO_TEXT(ROW()-$C$72))"),"")</f>
        <v/>
      </c>
      <c r="H429" s="61" t="str">
        <f>IFERROR(__xludf.DUMMYFUNCTION("INDIRECT(""'收支紀錄'!H""&amp;TO_TEXT(ROW()-$C$72))"),"食品酒水")</f>
        <v>食品酒水</v>
      </c>
      <c r="I429" s="61" t="str">
        <f>IFERROR(__xludf.DUMMYFUNCTION("INDIRECT(""'收支紀錄'!I""&amp;TO_TEXT(ROW()-$C$72))"),"晚餐")</f>
        <v>晚餐</v>
      </c>
      <c r="J429" s="61" t="str">
        <f>IFERROR(__xludf.DUMMYFUNCTION("INDIRECT(""'收支紀錄'!J""&amp;TO_TEXT(ROW()-$C$72))"),"")</f>
        <v/>
      </c>
      <c r="K429" s="61" t="str">
        <f>IFERROR(__xludf.DUMMYFUNCTION("INDIRECT(""'收支紀錄'!K""&amp;TO_TEXT(ROW()-$C$72))"),"")</f>
        <v/>
      </c>
      <c r="L429" s="61" t="str">
        <f>IFERROR(__xludf.DUMMYFUNCTION("INDIRECT(""'收支紀錄'!L""&amp;TO_TEXT(ROW()-$C$72))"),"")</f>
        <v/>
      </c>
      <c r="M429" s="61" t="str">
        <f>IFERROR(__xludf.DUMMYFUNCTION("INDIRECT(""'收支紀錄'!M""&amp;TO_TEXT(ROW()-$C$72))"),"")</f>
        <v/>
      </c>
      <c r="N429" s="61" t="str">
        <f>IFERROR(__xludf.DUMMYFUNCTION("INDIRECT(""'收支紀錄'!N""&amp;TO_TEXT(ROW()-$C$72))"),"")</f>
        <v/>
      </c>
      <c r="O429" s="61" t="str">
        <f>IFERROR(__xludf.DUMMYFUNCTION("INDIRECT(""'收支紀錄'!O""&amp;TO_TEXT(ROW()-$C$72))"),"")</f>
        <v/>
      </c>
      <c r="P429" s="61" t="str">
        <f>IFERROR(__xludf.DUMMYFUNCTION("INDIRECT(""'收支紀錄'!P""&amp;TO_TEXT(ROW()-$C$72))"),"")</f>
        <v/>
      </c>
      <c r="Q429" s="61" t="str">
        <f>IFERROR(__xludf.DUMMYFUNCTION("INDIRECT(""'收支紀錄'!Q""&amp;TO_TEXT(ROW()-$C$72))"),"")</f>
        <v/>
      </c>
      <c r="R429" s="61" t="str">
        <f>IFERROR(__xludf.DUMMYFUNCTION("INDIRECT(""'收支紀錄'!R""&amp;TO_TEXT(ROW()-$C$72))"),"")</f>
        <v/>
      </c>
      <c r="S429" s="61" t="str">
        <f>IFERROR(__xludf.DUMMYFUNCTION("INDIRECT(""'收支紀錄'!S""&amp;TO_TEXT(ROW()-$C$72))"),"")</f>
        <v/>
      </c>
      <c r="T429" s="61" t="str">
        <f>IFERROR(__xludf.DUMMYFUNCTION("INDIRECT(""'收支紀錄'!T""&amp;TO_TEXT(ROW()-$C$72))"),"否")</f>
        <v>否</v>
      </c>
      <c r="U429" s="62" t="str">
        <f>IFERROR(__xludf.DUMMYFUNCTION("IF(T429=""是"",TEXTJOIN("""", TRUE, ""$"", TO_TEXT(C429), S429),"""")"),"")</f>
        <v/>
      </c>
    </row>
    <row r="430">
      <c r="A430" s="58">
        <f>IFERROR(__xludf.DUMMYFUNCTION("INDIRECT(""'收支紀錄'!A""&amp;TO_TEXT(ROW()-$C$72))"),45611.280532881945)</f>
        <v>45611.28053</v>
      </c>
      <c r="B430" s="59">
        <f>IFERROR(__xludf.DUMMYFUNCTION("IF(ISBLANK(D430), """", IF(ISDATE(D430), D430, IF(D430=""今天"", A430, IF(D430=""昨天 (-1 day)"", A430-1, IF(D430=""前天 (-2 days)"", A430-2, IF(D430=""明天 (+1 day)"", A430+1, DATE(LEFT(D430,4), MID(D430,5,2), RIGHT(D430,2))))))))"),45611.280532881945)</f>
        <v>45611.28053</v>
      </c>
      <c r="C430" s="60">
        <f>IFERROR(__xludf.DUMMYFUNCTION("INDIRECT(""'收支紀錄'!C""&amp;TO_TEXT(ROW()-$C$72))"),20000.0)</f>
        <v>20000</v>
      </c>
      <c r="D430" s="63" t="str">
        <f>IFERROR(__xludf.DUMMYFUNCTION("INDIRECT(""'收支紀錄'!D""&amp;TO_TEXT(ROW()-$C$72))"),"今天")</f>
        <v>今天</v>
      </c>
      <c r="E430" s="61" t="str">
        <f>IFERROR(__xludf.DUMMYFUNCTION("INDIRECT(""'收支紀錄'!E""&amp;TO_TEXT(ROW()-$C$72))"),"工作")</f>
        <v>工作</v>
      </c>
      <c r="F430" s="61" t="str">
        <f>IFERROR(__xludf.DUMMYFUNCTION("INDIRECT(""'收支紀錄'!F""&amp;TO_TEXT(ROW()-$C$72))"),"加班/津貼")</f>
        <v>加班/津貼</v>
      </c>
      <c r="G430" s="61" t="str">
        <f>IFERROR(__xludf.DUMMYFUNCTION("INDIRECT(""'收支紀錄'!G""&amp;TO_TEXT(ROW()-$C$72))"),"")</f>
        <v/>
      </c>
      <c r="H430" s="61" t="str">
        <f>IFERROR(__xludf.DUMMYFUNCTION("INDIRECT(""'收支紀錄'!H""&amp;TO_TEXT(ROW()-$C$72))"),"")</f>
        <v/>
      </c>
      <c r="I430" s="61" t="str">
        <f>IFERROR(__xludf.DUMMYFUNCTION("INDIRECT(""'收支紀錄'!I""&amp;TO_TEXT(ROW()-$C$72))"),"")</f>
        <v/>
      </c>
      <c r="J430" s="61" t="str">
        <f>IFERROR(__xludf.DUMMYFUNCTION("INDIRECT(""'收支紀錄'!J""&amp;TO_TEXT(ROW()-$C$72))"),"")</f>
        <v/>
      </c>
      <c r="K430" s="61" t="str">
        <f>IFERROR(__xludf.DUMMYFUNCTION("INDIRECT(""'收支紀錄'!K""&amp;TO_TEXT(ROW()-$C$72))"),"")</f>
        <v/>
      </c>
      <c r="L430" s="61" t="str">
        <f>IFERROR(__xludf.DUMMYFUNCTION("INDIRECT(""'收支紀錄'!L""&amp;TO_TEXT(ROW()-$C$72))"),"")</f>
        <v/>
      </c>
      <c r="M430" s="61" t="str">
        <f>IFERROR(__xludf.DUMMYFUNCTION("INDIRECT(""'收支紀錄'!M""&amp;TO_TEXT(ROW()-$C$72))"),"")</f>
        <v/>
      </c>
      <c r="N430" s="61" t="str">
        <f>IFERROR(__xludf.DUMMYFUNCTION("INDIRECT(""'收支紀錄'!N""&amp;TO_TEXT(ROW()-$C$72))"),"")</f>
        <v/>
      </c>
      <c r="O430" s="61" t="str">
        <f>IFERROR(__xludf.DUMMYFUNCTION("INDIRECT(""'收支紀錄'!O""&amp;TO_TEXT(ROW()-$C$72))"),"")</f>
        <v/>
      </c>
      <c r="P430" s="61" t="str">
        <f>IFERROR(__xludf.DUMMYFUNCTION("INDIRECT(""'收支紀錄'!P""&amp;TO_TEXT(ROW()-$C$72))"),"")</f>
        <v/>
      </c>
      <c r="Q430" s="61" t="str">
        <f>IFERROR(__xludf.DUMMYFUNCTION("INDIRECT(""'收支紀錄'!Q""&amp;TO_TEXT(ROW()-$C$72))"),"")</f>
        <v/>
      </c>
      <c r="R430" s="61" t="str">
        <f>IFERROR(__xludf.DUMMYFUNCTION("INDIRECT(""'收支紀錄'!R""&amp;TO_TEXT(ROW()-$C$72))"),"")</f>
        <v/>
      </c>
      <c r="S430" s="61" t="str">
        <f>IFERROR(__xludf.DUMMYFUNCTION("INDIRECT(""'收支紀錄'!S""&amp;TO_TEXT(ROW()-$C$72))"),"旅遊補助")</f>
        <v>旅遊補助</v>
      </c>
      <c r="T430" s="61" t="str">
        <f>IFERROR(__xludf.DUMMYFUNCTION("INDIRECT(""'收支紀錄'!T""&amp;TO_TEXT(ROW()-$C$72))"),"是")</f>
        <v>是</v>
      </c>
      <c r="U430" s="62" t="str">
        <f>IFERROR(__xludf.DUMMYFUNCTION("IF(T430=""是"",TEXTJOIN("""", TRUE, ""$"", TO_TEXT(C430), S430),"""")"),"$20000旅遊補助")</f>
        <v>$20000旅遊補助</v>
      </c>
    </row>
    <row r="431">
      <c r="A431" s="58">
        <f>IFERROR(__xludf.DUMMYFUNCTION("INDIRECT(""'收支紀錄'!A""&amp;TO_TEXT(ROW()-$C$72))"),45611.80074883102)</f>
        <v>45611.80075</v>
      </c>
      <c r="B431" s="59">
        <f>IFERROR(__xludf.DUMMYFUNCTION("IF(ISBLANK(D431), """", IF(ISDATE(D431), D431, IF(D431=""今天"", A431, IF(D431=""昨天 (-1 day)"", A431-1, IF(D431=""前天 (-2 days)"", A431-2, IF(D431=""明天 (+1 day)"", A431+1, DATE(LEFT(D431,4), MID(D431,5,2), RIGHT(D431,2))))))))"),45611.80074883102)</f>
        <v>45611.80075</v>
      </c>
      <c r="C431" s="60">
        <f>IFERROR(__xludf.DUMMYFUNCTION("INDIRECT(""'收支紀錄'!C""&amp;TO_TEXT(ROW()-$C$72))"),91.0)</f>
        <v>91</v>
      </c>
      <c r="D431" s="63" t="str">
        <f>IFERROR(__xludf.DUMMYFUNCTION("INDIRECT(""'收支紀錄'!D""&amp;TO_TEXT(ROW()-$C$72))"),"今天")</f>
        <v>今天</v>
      </c>
      <c r="E431" s="61" t="str">
        <f>IFERROR(__xludf.DUMMYFUNCTION("INDIRECT(""'收支紀錄'!E""&amp;TO_TEXT(ROW()-$C$72))"),"")</f>
        <v/>
      </c>
      <c r="F431" s="61" t="str">
        <f>IFERROR(__xludf.DUMMYFUNCTION("INDIRECT(""'收支紀錄'!F""&amp;TO_TEXT(ROW()-$C$72))"),"")</f>
        <v/>
      </c>
      <c r="G431" s="61" t="str">
        <f>IFERROR(__xludf.DUMMYFUNCTION("INDIRECT(""'收支紀錄'!G""&amp;TO_TEXT(ROW()-$C$72))"),"")</f>
        <v/>
      </c>
      <c r="H431" s="61" t="str">
        <f>IFERROR(__xludf.DUMMYFUNCTION("INDIRECT(""'收支紀錄'!H""&amp;TO_TEXT(ROW()-$C$72))"),"行車交通")</f>
        <v>行車交通</v>
      </c>
      <c r="I431" s="61" t="str">
        <f>IFERROR(__xludf.DUMMYFUNCTION("INDIRECT(""'收支紀錄'!I""&amp;TO_TEXT(ROW()-$C$72))"),"")</f>
        <v/>
      </c>
      <c r="J431" s="61" t="str">
        <f>IFERROR(__xludf.DUMMYFUNCTION("INDIRECT(""'收支紀錄'!J""&amp;TO_TEXT(ROW()-$C$72))"),"")</f>
        <v/>
      </c>
      <c r="K431" s="61" t="str">
        <f>IFERROR(__xludf.DUMMYFUNCTION("INDIRECT(""'收支紀錄'!K""&amp;TO_TEXT(ROW()-$C$72))"),"")</f>
        <v/>
      </c>
      <c r="L431" s="61" t="str">
        <f>IFERROR(__xludf.DUMMYFUNCTION("INDIRECT(""'收支紀錄'!L""&amp;TO_TEXT(ROW()-$C$72))"),"火車費")</f>
        <v>火車費</v>
      </c>
      <c r="M431" s="61" t="str">
        <f>IFERROR(__xludf.DUMMYFUNCTION("INDIRECT(""'收支紀錄'!M""&amp;TO_TEXT(ROW()-$C$72))"),"")</f>
        <v/>
      </c>
      <c r="N431" s="61" t="str">
        <f>IFERROR(__xludf.DUMMYFUNCTION("INDIRECT(""'收支紀錄'!N""&amp;TO_TEXT(ROW()-$C$72))"),"")</f>
        <v/>
      </c>
      <c r="O431" s="61" t="str">
        <f>IFERROR(__xludf.DUMMYFUNCTION("INDIRECT(""'收支紀錄'!O""&amp;TO_TEXT(ROW()-$C$72))"),"")</f>
        <v/>
      </c>
      <c r="P431" s="61" t="str">
        <f>IFERROR(__xludf.DUMMYFUNCTION("INDIRECT(""'收支紀錄'!P""&amp;TO_TEXT(ROW()-$C$72))"),"")</f>
        <v/>
      </c>
      <c r="Q431" s="61" t="str">
        <f>IFERROR(__xludf.DUMMYFUNCTION("INDIRECT(""'收支紀錄'!Q""&amp;TO_TEXT(ROW()-$C$72))"),"")</f>
        <v/>
      </c>
      <c r="R431" s="61" t="str">
        <f>IFERROR(__xludf.DUMMYFUNCTION("INDIRECT(""'收支紀錄'!R""&amp;TO_TEXT(ROW()-$C$72))"),"")</f>
        <v/>
      </c>
      <c r="S431" s="61" t="str">
        <f>IFERROR(__xludf.DUMMYFUNCTION("INDIRECT(""'收支紀錄'!S""&amp;TO_TEXT(ROW()-$C$72))"),"")</f>
        <v/>
      </c>
      <c r="T431" s="61" t="str">
        <f>IFERROR(__xludf.DUMMYFUNCTION("INDIRECT(""'收支紀錄'!T""&amp;TO_TEXT(ROW()-$C$72))"),"")</f>
        <v/>
      </c>
      <c r="U431" s="62" t="str">
        <f>IFERROR(__xludf.DUMMYFUNCTION("IF(T431=""是"",TEXTJOIN("""", TRUE, ""$"", TO_TEXT(C431), S431),"""")"),"")</f>
        <v/>
      </c>
    </row>
    <row r="432">
      <c r="A432" s="58">
        <f>IFERROR(__xludf.DUMMYFUNCTION("INDIRECT(""'收支紀錄'!A""&amp;TO_TEXT(ROW()-$C$72))"),45611.80090577547)</f>
        <v>45611.80091</v>
      </c>
      <c r="B432" s="59">
        <f>IFERROR(__xludf.DUMMYFUNCTION("IF(ISBLANK(D432), """", IF(ISDATE(D432), D432, IF(D432=""今天"", A432, IF(D432=""昨天 (-1 day)"", A432-1, IF(D432=""前天 (-2 days)"", A432-2, IF(D432=""明天 (+1 day)"", A432+1, DATE(LEFT(D432,4), MID(D432,5,2), RIGHT(D432,2))))))))"),45611.80090577547)</f>
        <v>45611.80091</v>
      </c>
      <c r="C432" s="60">
        <f>IFERROR(__xludf.DUMMYFUNCTION("INDIRECT(""'收支紀錄'!C""&amp;TO_TEXT(ROW()-$C$72))"),20.0)</f>
        <v>20</v>
      </c>
      <c r="D432" s="63" t="str">
        <f>IFERROR(__xludf.DUMMYFUNCTION("INDIRECT(""'收支紀錄'!D""&amp;TO_TEXT(ROW()-$C$72))"),"今天")</f>
        <v>今天</v>
      </c>
      <c r="E432" s="61" t="str">
        <f>IFERROR(__xludf.DUMMYFUNCTION("INDIRECT(""'收支紀錄'!E""&amp;TO_TEXT(ROW()-$C$72))"),"")</f>
        <v/>
      </c>
      <c r="F432" s="61" t="str">
        <f>IFERROR(__xludf.DUMMYFUNCTION("INDIRECT(""'收支紀錄'!F""&amp;TO_TEXT(ROW()-$C$72))"),"")</f>
        <v/>
      </c>
      <c r="G432" s="61" t="str">
        <f>IFERROR(__xludf.DUMMYFUNCTION("INDIRECT(""'收支紀錄'!G""&amp;TO_TEXT(ROW()-$C$72))"),"")</f>
        <v/>
      </c>
      <c r="H432" s="61" t="str">
        <f>IFERROR(__xludf.DUMMYFUNCTION("INDIRECT(""'收支紀錄'!H""&amp;TO_TEXT(ROW()-$C$72))"),"行車交通")</f>
        <v>行車交通</v>
      </c>
      <c r="I432" s="61" t="str">
        <f>IFERROR(__xludf.DUMMYFUNCTION("INDIRECT(""'收支紀錄'!I""&amp;TO_TEXT(ROW()-$C$72))"),"")</f>
        <v/>
      </c>
      <c r="J432" s="61" t="str">
        <f>IFERROR(__xludf.DUMMYFUNCTION("INDIRECT(""'收支紀錄'!J""&amp;TO_TEXT(ROW()-$C$72))"),"")</f>
        <v/>
      </c>
      <c r="K432" s="61" t="str">
        <f>IFERROR(__xludf.DUMMYFUNCTION("INDIRECT(""'收支紀錄'!K""&amp;TO_TEXT(ROW()-$C$72))"),"")</f>
        <v/>
      </c>
      <c r="L432" s="61" t="str">
        <f>IFERROR(__xludf.DUMMYFUNCTION("INDIRECT(""'收支紀錄'!L""&amp;TO_TEXT(ROW()-$C$72))"),"捷運費")</f>
        <v>捷運費</v>
      </c>
      <c r="M432" s="61" t="str">
        <f>IFERROR(__xludf.DUMMYFUNCTION("INDIRECT(""'收支紀錄'!M""&amp;TO_TEXT(ROW()-$C$72))"),"")</f>
        <v/>
      </c>
      <c r="N432" s="61" t="str">
        <f>IFERROR(__xludf.DUMMYFUNCTION("INDIRECT(""'收支紀錄'!N""&amp;TO_TEXT(ROW()-$C$72))"),"")</f>
        <v/>
      </c>
      <c r="O432" s="61" t="str">
        <f>IFERROR(__xludf.DUMMYFUNCTION("INDIRECT(""'收支紀錄'!O""&amp;TO_TEXT(ROW()-$C$72))"),"")</f>
        <v/>
      </c>
      <c r="P432" s="61" t="str">
        <f>IFERROR(__xludf.DUMMYFUNCTION("INDIRECT(""'收支紀錄'!P""&amp;TO_TEXT(ROW()-$C$72))"),"")</f>
        <v/>
      </c>
      <c r="Q432" s="61" t="str">
        <f>IFERROR(__xludf.DUMMYFUNCTION("INDIRECT(""'收支紀錄'!Q""&amp;TO_TEXT(ROW()-$C$72))"),"")</f>
        <v/>
      </c>
      <c r="R432" s="61" t="str">
        <f>IFERROR(__xludf.DUMMYFUNCTION("INDIRECT(""'收支紀錄'!R""&amp;TO_TEXT(ROW()-$C$72))"),"")</f>
        <v/>
      </c>
      <c r="S432" s="61" t="str">
        <f>IFERROR(__xludf.DUMMYFUNCTION("INDIRECT(""'收支紀錄'!S""&amp;TO_TEXT(ROW()-$C$72))"),"")</f>
        <v/>
      </c>
      <c r="T432" s="61" t="str">
        <f>IFERROR(__xludf.DUMMYFUNCTION("INDIRECT(""'收支紀錄'!T""&amp;TO_TEXT(ROW()-$C$72))"),"")</f>
        <v/>
      </c>
      <c r="U432" s="62" t="str">
        <f>IFERROR(__xludf.DUMMYFUNCTION("IF(T432=""是"",TEXTJOIN("""", TRUE, ""$"", TO_TEXT(C432), S432),"""")"),"")</f>
        <v/>
      </c>
    </row>
    <row r="433">
      <c r="A433" s="58">
        <f>IFERROR(__xludf.DUMMYFUNCTION("INDIRECT(""'收支紀錄'!A""&amp;TO_TEXT(ROW()-$C$72))"),45611.961099513894)</f>
        <v>45611.9611</v>
      </c>
      <c r="B433" s="59">
        <f>IFERROR(__xludf.DUMMYFUNCTION("IF(ISBLANK(D433), """", IF(ISDATE(D433), D433, IF(D433=""今天"", A433, IF(D433=""昨天 (-1 day)"", A433-1, IF(D433=""前天 (-2 days)"", A433-2, IF(D433=""明天 (+1 day)"", A433+1, DATE(LEFT(D433,4), MID(D433,5,2), RIGHT(D433,2))))))))"),45611.961099513894)</f>
        <v>45611.9611</v>
      </c>
      <c r="C433" s="60">
        <f>IFERROR(__xludf.DUMMYFUNCTION("INDIRECT(""'收支紀錄'!C""&amp;TO_TEXT(ROW()-$C$72))"),60.0)</f>
        <v>60</v>
      </c>
      <c r="D433" s="63" t="str">
        <f>IFERROR(__xludf.DUMMYFUNCTION("INDIRECT(""'收支紀錄'!D""&amp;TO_TEXT(ROW()-$C$72))"),"今天")</f>
        <v>今天</v>
      </c>
      <c r="E433" s="61" t="str">
        <f>IFERROR(__xludf.DUMMYFUNCTION("INDIRECT(""'收支紀錄'!E""&amp;TO_TEXT(ROW()-$C$72))"),"")</f>
        <v/>
      </c>
      <c r="F433" s="61" t="str">
        <f>IFERROR(__xludf.DUMMYFUNCTION("INDIRECT(""'收支紀錄'!F""&amp;TO_TEXT(ROW()-$C$72))"),"")</f>
        <v/>
      </c>
      <c r="G433" s="61" t="str">
        <f>IFERROR(__xludf.DUMMYFUNCTION("INDIRECT(""'收支紀錄'!G""&amp;TO_TEXT(ROW()-$C$72))"),"")</f>
        <v/>
      </c>
      <c r="H433" s="61" t="str">
        <f>IFERROR(__xludf.DUMMYFUNCTION("INDIRECT(""'收支紀錄'!H""&amp;TO_TEXT(ROW()-$C$72))"),"食品酒水")</f>
        <v>食品酒水</v>
      </c>
      <c r="I433" s="61" t="str">
        <f>IFERROR(__xludf.DUMMYFUNCTION("INDIRECT(""'收支紀錄'!I""&amp;TO_TEXT(ROW()-$C$72))"),"飲料酒水")</f>
        <v>飲料酒水</v>
      </c>
      <c r="J433" s="61" t="str">
        <f>IFERROR(__xludf.DUMMYFUNCTION("INDIRECT(""'收支紀錄'!J""&amp;TO_TEXT(ROW()-$C$72))"),"")</f>
        <v/>
      </c>
      <c r="K433" s="61" t="str">
        <f>IFERROR(__xludf.DUMMYFUNCTION("INDIRECT(""'收支紀錄'!K""&amp;TO_TEXT(ROW()-$C$72))"),"")</f>
        <v/>
      </c>
      <c r="L433" s="61" t="str">
        <f>IFERROR(__xludf.DUMMYFUNCTION("INDIRECT(""'收支紀錄'!L""&amp;TO_TEXT(ROW()-$C$72))"),"")</f>
        <v/>
      </c>
      <c r="M433" s="61" t="str">
        <f>IFERROR(__xludf.DUMMYFUNCTION("INDIRECT(""'收支紀錄'!M""&amp;TO_TEXT(ROW()-$C$72))"),"")</f>
        <v/>
      </c>
      <c r="N433" s="61" t="str">
        <f>IFERROR(__xludf.DUMMYFUNCTION("INDIRECT(""'收支紀錄'!N""&amp;TO_TEXT(ROW()-$C$72))"),"")</f>
        <v/>
      </c>
      <c r="O433" s="61" t="str">
        <f>IFERROR(__xludf.DUMMYFUNCTION("INDIRECT(""'收支紀錄'!O""&amp;TO_TEXT(ROW()-$C$72))"),"")</f>
        <v/>
      </c>
      <c r="P433" s="61" t="str">
        <f>IFERROR(__xludf.DUMMYFUNCTION("INDIRECT(""'收支紀錄'!P""&amp;TO_TEXT(ROW()-$C$72))"),"")</f>
        <v/>
      </c>
      <c r="Q433" s="61" t="str">
        <f>IFERROR(__xludf.DUMMYFUNCTION("INDIRECT(""'收支紀錄'!Q""&amp;TO_TEXT(ROW()-$C$72))"),"")</f>
        <v/>
      </c>
      <c r="R433" s="61" t="str">
        <f>IFERROR(__xludf.DUMMYFUNCTION("INDIRECT(""'收支紀錄'!R""&amp;TO_TEXT(ROW()-$C$72))"),"")</f>
        <v/>
      </c>
      <c r="S433" s="61" t="str">
        <f>IFERROR(__xludf.DUMMYFUNCTION("INDIRECT(""'收支紀錄'!S""&amp;TO_TEXT(ROW()-$C$72))"),"全家咖啡買一送一")</f>
        <v>全家咖啡買一送一</v>
      </c>
      <c r="T433" s="61" t="str">
        <f>IFERROR(__xludf.DUMMYFUNCTION("INDIRECT(""'收支紀錄'!T""&amp;TO_TEXT(ROW()-$C$72))"),"")</f>
        <v/>
      </c>
      <c r="U433" s="62" t="str">
        <f>IFERROR(__xludf.DUMMYFUNCTION("IF(T433=""是"",TEXTJOIN("""", TRUE, ""$"", TO_TEXT(C433), S433),"""")"),"")</f>
        <v/>
      </c>
    </row>
    <row r="434">
      <c r="A434" s="58">
        <f>IFERROR(__xludf.DUMMYFUNCTION("INDIRECT(""'收支紀錄'!A""&amp;TO_TEXT(ROW()-$C$72))"),45612.502836099535)</f>
        <v>45612.50284</v>
      </c>
      <c r="B434" s="59">
        <f>IFERROR(__xludf.DUMMYFUNCTION("IF(ISBLANK(D434), """", IF(ISDATE(D434), D434, IF(D434=""今天"", A434, IF(D434=""昨天 (-1 day)"", A434-1, IF(D434=""前天 (-2 days)"", A434-2, IF(D434=""明天 (+1 day)"", A434+1, DATE(LEFT(D434,4), MID(D434,5,2), RIGHT(D434,2))))))))"),45612.502836099535)</f>
        <v>45612.50284</v>
      </c>
      <c r="C434" s="60">
        <f>IFERROR(__xludf.DUMMYFUNCTION("INDIRECT(""'收支紀錄'!C""&amp;TO_TEXT(ROW()-$C$72))"),788.0)</f>
        <v>788</v>
      </c>
      <c r="D434" s="63" t="str">
        <f>IFERROR(__xludf.DUMMYFUNCTION("INDIRECT(""'收支紀錄'!D""&amp;TO_TEXT(ROW()-$C$72))"),"今天")</f>
        <v>今天</v>
      </c>
      <c r="E434" s="61" t="str">
        <f>IFERROR(__xludf.DUMMYFUNCTION("INDIRECT(""'收支紀錄'!E""&amp;TO_TEXT(ROW()-$C$72))"),"")</f>
        <v/>
      </c>
      <c r="F434" s="61" t="str">
        <f>IFERROR(__xludf.DUMMYFUNCTION("INDIRECT(""'收支紀錄'!F""&amp;TO_TEXT(ROW()-$C$72))"),"")</f>
        <v/>
      </c>
      <c r="G434" s="61" t="str">
        <f>IFERROR(__xludf.DUMMYFUNCTION("INDIRECT(""'收支紀錄'!G""&amp;TO_TEXT(ROW()-$C$72))"),"")</f>
        <v/>
      </c>
      <c r="H434" s="61" t="str">
        <f>IFERROR(__xludf.DUMMYFUNCTION("INDIRECT(""'收支紀錄'!H""&amp;TO_TEXT(ROW()-$C$72))"),"日常生活")</f>
        <v>日常生活</v>
      </c>
      <c r="I434" s="61" t="str">
        <f>IFERROR(__xludf.DUMMYFUNCTION("INDIRECT(""'收支紀錄'!I""&amp;TO_TEXT(ROW()-$C$72))"),"")</f>
        <v/>
      </c>
      <c r="J434" s="61" t="str">
        <f>IFERROR(__xludf.DUMMYFUNCTION("INDIRECT(""'收支紀錄'!J""&amp;TO_TEXT(ROW()-$C$72))"),"電話費")</f>
        <v>電話費</v>
      </c>
      <c r="K434" s="61" t="str">
        <f>IFERROR(__xludf.DUMMYFUNCTION("INDIRECT(""'收支紀錄'!K""&amp;TO_TEXT(ROW()-$C$72))"),"")</f>
        <v/>
      </c>
      <c r="L434" s="61" t="str">
        <f>IFERROR(__xludf.DUMMYFUNCTION("INDIRECT(""'收支紀錄'!L""&amp;TO_TEXT(ROW()-$C$72))"),"")</f>
        <v/>
      </c>
      <c r="M434" s="61" t="str">
        <f>IFERROR(__xludf.DUMMYFUNCTION("INDIRECT(""'收支紀錄'!M""&amp;TO_TEXT(ROW()-$C$72))"),"")</f>
        <v/>
      </c>
      <c r="N434" s="61" t="str">
        <f>IFERROR(__xludf.DUMMYFUNCTION("INDIRECT(""'收支紀錄'!N""&amp;TO_TEXT(ROW()-$C$72))"),"")</f>
        <v/>
      </c>
      <c r="O434" s="61" t="str">
        <f>IFERROR(__xludf.DUMMYFUNCTION("INDIRECT(""'收支紀錄'!O""&amp;TO_TEXT(ROW()-$C$72))"),"")</f>
        <v/>
      </c>
      <c r="P434" s="61" t="str">
        <f>IFERROR(__xludf.DUMMYFUNCTION("INDIRECT(""'收支紀錄'!P""&amp;TO_TEXT(ROW()-$C$72))"),"")</f>
        <v/>
      </c>
      <c r="Q434" s="61" t="str">
        <f>IFERROR(__xludf.DUMMYFUNCTION("INDIRECT(""'收支紀錄'!Q""&amp;TO_TEXT(ROW()-$C$72))"),"")</f>
        <v/>
      </c>
      <c r="R434" s="61" t="str">
        <f>IFERROR(__xludf.DUMMYFUNCTION("INDIRECT(""'收支紀錄'!R""&amp;TO_TEXT(ROW()-$C$72))"),"")</f>
        <v/>
      </c>
      <c r="S434" s="61" t="str">
        <f>IFERROR(__xludf.DUMMYFUNCTION("INDIRECT(""'收支紀錄'!S""&amp;TO_TEXT(ROW()-$C$72))"),"")</f>
        <v/>
      </c>
      <c r="T434" s="61" t="str">
        <f>IFERROR(__xludf.DUMMYFUNCTION("INDIRECT(""'收支紀錄'!T""&amp;TO_TEXT(ROW()-$C$72))"),"")</f>
        <v/>
      </c>
      <c r="U434" s="62" t="str">
        <f>IFERROR(__xludf.DUMMYFUNCTION("IF(T434=""是"",TEXTJOIN("""", TRUE, ""$"", TO_TEXT(C434), S434),"""")"),"")</f>
        <v/>
      </c>
    </row>
    <row r="435">
      <c r="A435" s="58">
        <f>IFERROR(__xludf.DUMMYFUNCTION("INDIRECT(""'收支紀錄'!A""&amp;TO_TEXT(ROW()-$C$72))"),45612.71924337963)</f>
        <v>45612.71924</v>
      </c>
      <c r="B435" s="59">
        <f>IFERROR(__xludf.DUMMYFUNCTION("IF(ISBLANK(D435), """", IF(ISDATE(D435), D435, IF(D435=""今天"", A435, IF(D435=""昨天 (-1 day)"", A435-1, IF(D435=""前天 (-2 days)"", A435-2, IF(D435=""明天 (+1 day)"", A435+1, DATE(LEFT(D435,4), MID(D435,5,2), RIGHT(D435,2))))))))"),45612.71924337963)</f>
        <v>45612.71924</v>
      </c>
      <c r="C435" s="60">
        <f>IFERROR(__xludf.DUMMYFUNCTION("INDIRECT(""'收支紀錄'!C""&amp;TO_TEXT(ROW()-$C$72))"),629.0)</f>
        <v>629</v>
      </c>
      <c r="D435" s="63" t="str">
        <f>IFERROR(__xludf.DUMMYFUNCTION("INDIRECT(""'收支紀錄'!D""&amp;TO_TEXT(ROW()-$C$72))"),"今天")</f>
        <v>今天</v>
      </c>
      <c r="E435" s="61" t="str">
        <f>IFERROR(__xludf.DUMMYFUNCTION("INDIRECT(""'收支紀錄'!E""&amp;TO_TEXT(ROW()-$C$72))"),"")</f>
        <v/>
      </c>
      <c r="F435" s="61" t="str">
        <f>IFERROR(__xludf.DUMMYFUNCTION("INDIRECT(""'收支紀錄'!F""&amp;TO_TEXT(ROW()-$C$72))"),"")</f>
        <v/>
      </c>
      <c r="G435" s="61" t="str">
        <f>IFERROR(__xludf.DUMMYFUNCTION("INDIRECT(""'收支紀錄'!G""&amp;TO_TEXT(ROW()-$C$72))"),"")</f>
        <v/>
      </c>
      <c r="H435" s="61" t="str">
        <f>IFERROR(__xludf.DUMMYFUNCTION("INDIRECT(""'收支紀錄'!H""&amp;TO_TEXT(ROW()-$C$72))"),"食品酒水")</f>
        <v>食品酒水</v>
      </c>
      <c r="I435" s="61" t="str">
        <f>IFERROR(__xludf.DUMMYFUNCTION("INDIRECT(""'收支紀錄'!I""&amp;TO_TEXT(ROW()-$C$72))"),"食材")</f>
        <v>食材</v>
      </c>
      <c r="J435" s="61" t="str">
        <f>IFERROR(__xludf.DUMMYFUNCTION("INDIRECT(""'收支紀錄'!J""&amp;TO_TEXT(ROW()-$C$72))"),"")</f>
        <v/>
      </c>
      <c r="K435" s="61" t="str">
        <f>IFERROR(__xludf.DUMMYFUNCTION("INDIRECT(""'收支紀錄'!K""&amp;TO_TEXT(ROW()-$C$72))"),"")</f>
        <v/>
      </c>
      <c r="L435" s="61" t="str">
        <f>IFERROR(__xludf.DUMMYFUNCTION("INDIRECT(""'收支紀錄'!L""&amp;TO_TEXT(ROW()-$C$72))"),"")</f>
        <v/>
      </c>
      <c r="M435" s="61" t="str">
        <f>IFERROR(__xludf.DUMMYFUNCTION("INDIRECT(""'收支紀錄'!M""&amp;TO_TEXT(ROW()-$C$72))"),"")</f>
        <v/>
      </c>
      <c r="N435" s="61" t="str">
        <f>IFERROR(__xludf.DUMMYFUNCTION("INDIRECT(""'收支紀錄'!N""&amp;TO_TEXT(ROW()-$C$72))"),"")</f>
        <v/>
      </c>
      <c r="O435" s="61" t="str">
        <f>IFERROR(__xludf.DUMMYFUNCTION("INDIRECT(""'收支紀錄'!O""&amp;TO_TEXT(ROW()-$C$72))"),"")</f>
        <v/>
      </c>
      <c r="P435" s="61" t="str">
        <f>IFERROR(__xludf.DUMMYFUNCTION("INDIRECT(""'收支紀錄'!P""&amp;TO_TEXT(ROW()-$C$72))"),"")</f>
        <v/>
      </c>
      <c r="Q435" s="61" t="str">
        <f>IFERROR(__xludf.DUMMYFUNCTION("INDIRECT(""'收支紀錄'!Q""&amp;TO_TEXT(ROW()-$C$72))"),"")</f>
        <v/>
      </c>
      <c r="R435" s="61" t="str">
        <f>IFERROR(__xludf.DUMMYFUNCTION("INDIRECT(""'收支紀錄'!R""&amp;TO_TEXT(ROW()-$C$72))"),"")</f>
        <v/>
      </c>
      <c r="S435" s="61" t="str">
        <f>IFERROR(__xludf.DUMMYFUNCTION("INDIRECT(""'收支紀錄'!S""&amp;TO_TEXT(ROW()-$C$72))"),"")</f>
        <v/>
      </c>
      <c r="T435" s="61" t="str">
        <f>IFERROR(__xludf.DUMMYFUNCTION("INDIRECT(""'收支紀錄'!T""&amp;TO_TEXT(ROW()-$C$72))"),"")</f>
        <v/>
      </c>
      <c r="U435" s="62" t="str">
        <f>IFERROR(__xludf.DUMMYFUNCTION("IF(T435=""是"",TEXTJOIN("""", TRUE, ""$"", TO_TEXT(C435), S435),"""")"),"")</f>
        <v/>
      </c>
    </row>
    <row r="436">
      <c r="A436" s="58">
        <f>IFERROR(__xludf.DUMMYFUNCTION("INDIRECT(""'收支紀錄'!A""&amp;TO_TEXT(ROW()-$C$72))"),45612.719382986106)</f>
        <v>45612.71938</v>
      </c>
      <c r="B436" s="59">
        <f>IFERROR(__xludf.DUMMYFUNCTION("IF(ISBLANK(D436), """", IF(ISDATE(D436), D436, IF(D436=""今天"", A436, IF(D436=""昨天 (-1 day)"", A436-1, IF(D436=""前天 (-2 days)"", A436-2, IF(D436=""明天 (+1 day)"", A436+1, DATE(LEFT(D436,4), MID(D436,5,2), RIGHT(D436,2))))))))"),45612.719382986106)</f>
        <v>45612.71938</v>
      </c>
      <c r="C436" s="60">
        <f>IFERROR(__xludf.DUMMYFUNCTION("INDIRECT(""'收支紀錄'!C""&amp;TO_TEXT(ROW()-$C$72))"),315.0)</f>
        <v>315</v>
      </c>
      <c r="D436" s="63" t="str">
        <f>IFERROR(__xludf.DUMMYFUNCTION("INDIRECT(""'收支紀錄'!D""&amp;TO_TEXT(ROW()-$C$72))"),"今天")</f>
        <v>今天</v>
      </c>
      <c r="E436" s="61" t="str">
        <f>IFERROR(__xludf.DUMMYFUNCTION("INDIRECT(""'收支紀錄'!E""&amp;TO_TEXT(ROW()-$C$72))"),"")</f>
        <v/>
      </c>
      <c r="F436" s="61" t="str">
        <f>IFERROR(__xludf.DUMMYFUNCTION("INDIRECT(""'收支紀錄'!F""&amp;TO_TEXT(ROW()-$C$72))"),"")</f>
        <v/>
      </c>
      <c r="G436" s="61" t="str">
        <f>IFERROR(__xludf.DUMMYFUNCTION("INDIRECT(""'收支紀錄'!G""&amp;TO_TEXT(ROW()-$C$72))"),"")</f>
        <v/>
      </c>
      <c r="H436" s="61" t="str">
        <f>IFERROR(__xludf.DUMMYFUNCTION("INDIRECT(""'收支紀錄'!H""&amp;TO_TEXT(ROW()-$C$72))"),"食品酒水")</f>
        <v>食品酒水</v>
      </c>
      <c r="I436" s="61" t="str">
        <f>IFERROR(__xludf.DUMMYFUNCTION("INDIRECT(""'收支紀錄'!I""&amp;TO_TEXT(ROW()-$C$72))"),"午餐")</f>
        <v>午餐</v>
      </c>
      <c r="J436" s="61" t="str">
        <f>IFERROR(__xludf.DUMMYFUNCTION("INDIRECT(""'收支紀錄'!J""&amp;TO_TEXT(ROW()-$C$72))"),"")</f>
        <v/>
      </c>
      <c r="K436" s="61" t="str">
        <f>IFERROR(__xludf.DUMMYFUNCTION("INDIRECT(""'收支紀錄'!K""&amp;TO_TEXT(ROW()-$C$72))"),"")</f>
        <v/>
      </c>
      <c r="L436" s="61" t="str">
        <f>IFERROR(__xludf.DUMMYFUNCTION("INDIRECT(""'收支紀錄'!L""&amp;TO_TEXT(ROW()-$C$72))"),"")</f>
        <v/>
      </c>
      <c r="M436" s="61" t="str">
        <f>IFERROR(__xludf.DUMMYFUNCTION("INDIRECT(""'收支紀錄'!M""&amp;TO_TEXT(ROW()-$C$72))"),"")</f>
        <v/>
      </c>
      <c r="N436" s="61" t="str">
        <f>IFERROR(__xludf.DUMMYFUNCTION("INDIRECT(""'收支紀錄'!N""&amp;TO_TEXT(ROW()-$C$72))"),"")</f>
        <v/>
      </c>
      <c r="O436" s="61" t="str">
        <f>IFERROR(__xludf.DUMMYFUNCTION("INDIRECT(""'收支紀錄'!O""&amp;TO_TEXT(ROW()-$C$72))"),"")</f>
        <v/>
      </c>
      <c r="P436" s="61" t="str">
        <f>IFERROR(__xludf.DUMMYFUNCTION("INDIRECT(""'收支紀錄'!P""&amp;TO_TEXT(ROW()-$C$72))"),"")</f>
        <v/>
      </c>
      <c r="Q436" s="61" t="str">
        <f>IFERROR(__xludf.DUMMYFUNCTION("INDIRECT(""'收支紀錄'!Q""&amp;TO_TEXT(ROW()-$C$72))"),"")</f>
        <v/>
      </c>
      <c r="R436" s="61" t="str">
        <f>IFERROR(__xludf.DUMMYFUNCTION("INDIRECT(""'收支紀錄'!R""&amp;TO_TEXT(ROW()-$C$72))"),"")</f>
        <v/>
      </c>
      <c r="S436" s="61" t="str">
        <f>IFERROR(__xludf.DUMMYFUNCTION("INDIRECT(""'收支紀錄'!S""&amp;TO_TEXT(ROW()-$C$72))"),"")</f>
        <v/>
      </c>
      <c r="T436" s="61" t="str">
        <f>IFERROR(__xludf.DUMMYFUNCTION("INDIRECT(""'收支紀錄'!T""&amp;TO_TEXT(ROW()-$C$72))"),"")</f>
        <v/>
      </c>
      <c r="U436" s="62" t="str">
        <f>IFERROR(__xludf.DUMMYFUNCTION("IF(T436=""是"",TEXTJOIN("""", TRUE, ""$"", TO_TEXT(C436), S436),"""")"),"")</f>
        <v/>
      </c>
    </row>
    <row r="437">
      <c r="A437" s="58">
        <f>IFERROR(__xludf.DUMMYFUNCTION("INDIRECT(""'收支紀錄'!A""&amp;TO_TEXT(ROW()-$C$72))"),45612.71953930556)</f>
        <v>45612.71954</v>
      </c>
      <c r="B437" s="59">
        <f>IFERROR(__xludf.DUMMYFUNCTION("IF(ISBLANK(D437), """", IF(ISDATE(D437), D437, IF(D437=""今天"", A437, IF(D437=""昨天 (-1 day)"", A437-1, IF(D437=""前天 (-2 days)"", A437-2, IF(D437=""明天 (+1 day)"", A437+1, DATE(LEFT(D437,4), MID(D437,5,2), RIGHT(D437,2))))))))"),45612.71953930556)</f>
        <v>45612.71954</v>
      </c>
      <c r="C437" s="60">
        <f>IFERROR(__xludf.DUMMYFUNCTION("INDIRECT(""'收支紀錄'!C""&amp;TO_TEXT(ROW()-$C$72))"),219.0)</f>
        <v>219</v>
      </c>
      <c r="D437" s="63" t="str">
        <f>IFERROR(__xludf.DUMMYFUNCTION("INDIRECT(""'收支紀錄'!D""&amp;TO_TEXT(ROW()-$C$72))"),"今天")</f>
        <v>今天</v>
      </c>
      <c r="E437" s="61" t="str">
        <f>IFERROR(__xludf.DUMMYFUNCTION("INDIRECT(""'收支紀錄'!E""&amp;TO_TEXT(ROW()-$C$72))"),"")</f>
        <v/>
      </c>
      <c r="F437" s="61" t="str">
        <f>IFERROR(__xludf.DUMMYFUNCTION("INDIRECT(""'收支紀錄'!F""&amp;TO_TEXT(ROW()-$C$72))"),"")</f>
        <v/>
      </c>
      <c r="G437" s="61" t="str">
        <f>IFERROR(__xludf.DUMMYFUNCTION("INDIRECT(""'收支紀錄'!G""&amp;TO_TEXT(ROW()-$C$72))"),"")</f>
        <v/>
      </c>
      <c r="H437" s="61" t="str">
        <f>IFERROR(__xludf.DUMMYFUNCTION("INDIRECT(""'收支紀錄'!H""&amp;TO_TEXT(ROW()-$C$72))"),"日常生活")</f>
        <v>日常生活</v>
      </c>
      <c r="I437" s="61" t="str">
        <f>IFERROR(__xludf.DUMMYFUNCTION("INDIRECT(""'收支紀錄'!I""&amp;TO_TEXT(ROW()-$C$72))"),"")</f>
        <v/>
      </c>
      <c r="J437" s="61" t="str">
        <f>IFERROR(__xludf.DUMMYFUNCTION("INDIRECT(""'收支紀錄'!J""&amp;TO_TEXT(ROW()-$C$72))"),"日常用品")</f>
        <v>日常用品</v>
      </c>
      <c r="K437" s="61" t="str">
        <f>IFERROR(__xludf.DUMMYFUNCTION("INDIRECT(""'收支紀錄'!K""&amp;TO_TEXT(ROW()-$C$72))"),"")</f>
        <v/>
      </c>
      <c r="L437" s="61" t="str">
        <f>IFERROR(__xludf.DUMMYFUNCTION("INDIRECT(""'收支紀錄'!L""&amp;TO_TEXT(ROW()-$C$72))"),"")</f>
        <v/>
      </c>
      <c r="M437" s="61" t="str">
        <f>IFERROR(__xludf.DUMMYFUNCTION("INDIRECT(""'收支紀錄'!M""&amp;TO_TEXT(ROW()-$C$72))"),"")</f>
        <v/>
      </c>
      <c r="N437" s="61" t="str">
        <f>IFERROR(__xludf.DUMMYFUNCTION("INDIRECT(""'收支紀錄'!N""&amp;TO_TEXT(ROW()-$C$72))"),"")</f>
        <v/>
      </c>
      <c r="O437" s="61" t="str">
        <f>IFERROR(__xludf.DUMMYFUNCTION("INDIRECT(""'收支紀錄'!O""&amp;TO_TEXT(ROW()-$C$72))"),"")</f>
        <v/>
      </c>
      <c r="P437" s="61" t="str">
        <f>IFERROR(__xludf.DUMMYFUNCTION("INDIRECT(""'收支紀錄'!P""&amp;TO_TEXT(ROW()-$C$72))"),"")</f>
        <v/>
      </c>
      <c r="Q437" s="61" t="str">
        <f>IFERROR(__xludf.DUMMYFUNCTION("INDIRECT(""'收支紀錄'!Q""&amp;TO_TEXT(ROW()-$C$72))"),"")</f>
        <v/>
      </c>
      <c r="R437" s="61" t="str">
        <f>IFERROR(__xludf.DUMMYFUNCTION("INDIRECT(""'收支紀錄'!R""&amp;TO_TEXT(ROW()-$C$72))"),"")</f>
        <v/>
      </c>
      <c r="S437" s="61" t="str">
        <f>IFERROR(__xludf.DUMMYFUNCTION("INDIRECT(""'收支紀錄'!S""&amp;TO_TEXT(ROW()-$C$72))"),"")</f>
        <v/>
      </c>
      <c r="T437" s="61" t="str">
        <f>IFERROR(__xludf.DUMMYFUNCTION("INDIRECT(""'收支紀錄'!T""&amp;TO_TEXT(ROW()-$C$72))"),"")</f>
        <v/>
      </c>
      <c r="U437" s="62" t="str">
        <f>IFERROR(__xludf.DUMMYFUNCTION("IF(T437=""是"",TEXTJOIN("""", TRUE, ""$"", TO_TEXT(C437), S437),"""")"),"")</f>
        <v/>
      </c>
    </row>
    <row r="438">
      <c r="A438" s="58">
        <f>IFERROR(__xludf.DUMMYFUNCTION("INDIRECT(""'收支紀錄'!A""&amp;TO_TEXT(ROW()-$C$72))"),45612.71974605324)</f>
        <v>45612.71975</v>
      </c>
      <c r="B438" s="59">
        <f>IFERROR(__xludf.DUMMYFUNCTION("IF(ISBLANK(D438), """", IF(ISDATE(D438), D438, IF(D438=""今天"", A438, IF(D438=""昨天 (-1 day)"", A438-1, IF(D438=""前天 (-2 days)"", A438-2, IF(D438=""明天 (+1 day)"", A438+1, DATE(LEFT(D438,4), MID(D438,5,2), RIGHT(D438,2))))))))"),45612.71974605324)</f>
        <v>45612.71975</v>
      </c>
      <c r="C438" s="60">
        <f>IFERROR(__xludf.DUMMYFUNCTION("INDIRECT(""'收支紀錄'!C""&amp;TO_TEXT(ROW()-$C$72))"),204.0)</f>
        <v>204</v>
      </c>
      <c r="D438" s="63" t="str">
        <f>IFERROR(__xludf.DUMMYFUNCTION("INDIRECT(""'收支紀錄'!D""&amp;TO_TEXT(ROW()-$C$72))"),"今天")</f>
        <v>今天</v>
      </c>
      <c r="E438" s="61" t="str">
        <f>IFERROR(__xludf.DUMMYFUNCTION("INDIRECT(""'收支紀錄'!E""&amp;TO_TEXT(ROW()-$C$72))"),"")</f>
        <v/>
      </c>
      <c r="F438" s="61" t="str">
        <f>IFERROR(__xludf.DUMMYFUNCTION("INDIRECT(""'收支紀錄'!F""&amp;TO_TEXT(ROW()-$C$72))"),"")</f>
        <v/>
      </c>
      <c r="G438" s="61" t="str">
        <f>IFERROR(__xludf.DUMMYFUNCTION("INDIRECT(""'收支紀錄'!G""&amp;TO_TEXT(ROW()-$C$72))"),"")</f>
        <v/>
      </c>
      <c r="H438" s="61" t="str">
        <f>IFERROR(__xludf.DUMMYFUNCTION("INDIRECT(""'收支紀錄'!H""&amp;TO_TEXT(ROW()-$C$72))"),"食品酒水")</f>
        <v>食品酒水</v>
      </c>
      <c r="I438" s="61" t="str">
        <f>IFERROR(__xludf.DUMMYFUNCTION("INDIRECT(""'收支紀錄'!I""&amp;TO_TEXT(ROW()-$C$72))"),"宵夜")</f>
        <v>宵夜</v>
      </c>
      <c r="J438" s="61" t="str">
        <f>IFERROR(__xludf.DUMMYFUNCTION("INDIRECT(""'收支紀錄'!J""&amp;TO_TEXT(ROW()-$C$72))"),"")</f>
        <v/>
      </c>
      <c r="K438" s="61" t="str">
        <f>IFERROR(__xludf.DUMMYFUNCTION("INDIRECT(""'收支紀錄'!K""&amp;TO_TEXT(ROW()-$C$72))"),"")</f>
        <v/>
      </c>
      <c r="L438" s="61" t="str">
        <f>IFERROR(__xludf.DUMMYFUNCTION("INDIRECT(""'收支紀錄'!L""&amp;TO_TEXT(ROW()-$C$72))"),"")</f>
        <v/>
      </c>
      <c r="M438" s="61" t="str">
        <f>IFERROR(__xludf.DUMMYFUNCTION("INDIRECT(""'收支紀錄'!M""&amp;TO_TEXT(ROW()-$C$72))"),"")</f>
        <v/>
      </c>
      <c r="N438" s="61" t="str">
        <f>IFERROR(__xludf.DUMMYFUNCTION("INDIRECT(""'收支紀錄'!N""&amp;TO_TEXT(ROW()-$C$72))"),"")</f>
        <v/>
      </c>
      <c r="O438" s="61" t="str">
        <f>IFERROR(__xludf.DUMMYFUNCTION("INDIRECT(""'收支紀錄'!O""&amp;TO_TEXT(ROW()-$C$72))"),"")</f>
        <v/>
      </c>
      <c r="P438" s="61" t="str">
        <f>IFERROR(__xludf.DUMMYFUNCTION("INDIRECT(""'收支紀錄'!P""&amp;TO_TEXT(ROW()-$C$72))"),"")</f>
        <v/>
      </c>
      <c r="Q438" s="61" t="str">
        <f>IFERROR(__xludf.DUMMYFUNCTION("INDIRECT(""'收支紀錄'!Q""&amp;TO_TEXT(ROW()-$C$72))"),"")</f>
        <v/>
      </c>
      <c r="R438" s="61" t="str">
        <f>IFERROR(__xludf.DUMMYFUNCTION("INDIRECT(""'收支紀錄'!R""&amp;TO_TEXT(ROW()-$C$72))"),"")</f>
        <v/>
      </c>
      <c r="S438" s="61" t="str">
        <f>IFERROR(__xludf.DUMMYFUNCTION("INDIRECT(""'收支紀錄'!S""&amp;TO_TEXT(ROW()-$C$72))"),"")</f>
        <v/>
      </c>
      <c r="T438" s="61" t="str">
        <f>IFERROR(__xludf.DUMMYFUNCTION("INDIRECT(""'收支紀錄'!T""&amp;TO_TEXT(ROW()-$C$72))"),"")</f>
        <v/>
      </c>
      <c r="U438" s="62" t="str">
        <f>IFERROR(__xludf.DUMMYFUNCTION("IF(T438=""是"",TEXTJOIN("""", TRUE, ""$"", TO_TEXT(C438), S438),"""")"),"")</f>
        <v/>
      </c>
    </row>
    <row r="439">
      <c r="A439" s="58">
        <f>IFERROR(__xludf.DUMMYFUNCTION("INDIRECT(""'收支紀錄'!A""&amp;TO_TEXT(ROW()-$C$72))"),45612.82313721065)</f>
        <v>45612.82314</v>
      </c>
      <c r="B439" s="59">
        <f>IFERROR(__xludf.DUMMYFUNCTION("IF(ISBLANK(D439), """", IF(ISDATE(D439), D439, IF(D439=""今天"", A439, IF(D439=""昨天 (-1 day)"", A439-1, IF(D439=""前天 (-2 days)"", A439-2, IF(D439=""明天 (+1 day)"", A439+1, DATE(LEFT(D439,4), MID(D439,5,2), RIGHT(D439,2))))))))"),45609.0)</f>
        <v>45609</v>
      </c>
      <c r="C439" s="60">
        <f>IFERROR(__xludf.DUMMYFUNCTION("INDIRECT(""'收支紀錄'!C""&amp;TO_TEXT(ROW()-$C$72))"),151.0)</f>
        <v>151</v>
      </c>
      <c r="D439" s="63">
        <f>IFERROR(__xludf.DUMMYFUNCTION("INDIRECT(""'收支紀錄'!D""&amp;TO_TEXT(ROW()-$C$72))"),2.0241113E7)</f>
        <v>20241113</v>
      </c>
      <c r="E439" s="61" t="str">
        <f>IFERROR(__xludf.DUMMYFUNCTION("INDIRECT(""'收支紀錄'!E""&amp;TO_TEXT(ROW()-$C$72))"),"")</f>
        <v/>
      </c>
      <c r="F439" s="61" t="str">
        <f>IFERROR(__xludf.DUMMYFUNCTION("INDIRECT(""'收支紀錄'!F""&amp;TO_TEXT(ROW()-$C$72))"),"")</f>
        <v/>
      </c>
      <c r="G439" s="61" t="str">
        <f>IFERROR(__xludf.DUMMYFUNCTION("INDIRECT(""'收支紀錄'!G""&amp;TO_TEXT(ROW()-$C$72))"),"")</f>
        <v/>
      </c>
      <c r="H439" s="61" t="str">
        <f>IFERROR(__xludf.DUMMYFUNCTION("INDIRECT(""'收支紀錄'!H""&amp;TO_TEXT(ROW()-$C$72))"),"房屋支出")</f>
        <v>房屋支出</v>
      </c>
      <c r="I439" s="61" t="str">
        <f>IFERROR(__xludf.DUMMYFUNCTION("INDIRECT(""'收支紀錄'!I""&amp;TO_TEXT(ROW()-$C$72))"),"")</f>
        <v/>
      </c>
      <c r="J439" s="61" t="str">
        <f>IFERROR(__xludf.DUMMYFUNCTION("INDIRECT(""'收支紀錄'!J""&amp;TO_TEXT(ROW()-$C$72))"),"")</f>
        <v/>
      </c>
      <c r="K439" s="61" t="str">
        <f>IFERROR(__xludf.DUMMYFUNCTION("INDIRECT(""'收支紀錄'!K""&amp;TO_TEXT(ROW()-$C$72))"),"水費")</f>
        <v>水費</v>
      </c>
      <c r="L439" s="61" t="str">
        <f>IFERROR(__xludf.DUMMYFUNCTION("INDIRECT(""'收支紀錄'!L""&amp;TO_TEXT(ROW()-$C$72))"),"")</f>
        <v/>
      </c>
      <c r="M439" s="61" t="str">
        <f>IFERROR(__xludf.DUMMYFUNCTION("INDIRECT(""'收支紀錄'!M""&amp;TO_TEXT(ROW()-$C$72))"),"")</f>
        <v/>
      </c>
      <c r="N439" s="61" t="str">
        <f>IFERROR(__xludf.DUMMYFUNCTION("INDIRECT(""'收支紀錄'!N""&amp;TO_TEXT(ROW()-$C$72))"),"")</f>
        <v/>
      </c>
      <c r="O439" s="61" t="str">
        <f>IFERROR(__xludf.DUMMYFUNCTION("INDIRECT(""'收支紀錄'!O""&amp;TO_TEXT(ROW()-$C$72))"),"")</f>
        <v/>
      </c>
      <c r="P439" s="61" t="str">
        <f>IFERROR(__xludf.DUMMYFUNCTION("INDIRECT(""'收支紀錄'!P""&amp;TO_TEXT(ROW()-$C$72))"),"")</f>
        <v/>
      </c>
      <c r="Q439" s="61" t="str">
        <f>IFERROR(__xludf.DUMMYFUNCTION("INDIRECT(""'收支紀錄'!Q""&amp;TO_TEXT(ROW()-$C$72))"),"")</f>
        <v/>
      </c>
      <c r="R439" s="61" t="str">
        <f>IFERROR(__xludf.DUMMYFUNCTION("INDIRECT(""'收支紀錄'!R""&amp;TO_TEXT(ROW()-$C$72))"),"")</f>
        <v/>
      </c>
      <c r="S439" s="61" t="str">
        <f>IFERROR(__xludf.DUMMYFUNCTION("INDIRECT(""'收支紀錄'!S""&amp;TO_TEXT(ROW()-$C$72))"),"")</f>
        <v/>
      </c>
      <c r="T439" s="61" t="str">
        <f>IFERROR(__xludf.DUMMYFUNCTION("INDIRECT(""'收支紀錄'!T""&amp;TO_TEXT(ROW()-$C$72))"),"")</f>
        <v/>
      </c>
      <c r="U439" s="62" t="str">
        <f>IFERROR(__xludf.DUMMYFUNCTION("IF(T439=""是"",TEXTJOIN("""", TRUE, ""$"", TO_TEXT(C439), S439),"""")"),"")</f>
        <v/>
      </c>
    </row>
    <row r="440">
      <c r="A440" s="58">
        <f>IFERROR(__xludf.DUMMYFUNCTION("INDIRECT(""'收支紀錄'!A""&amp;TO_TEXT(ROW()-$C$72))"),45612.83793692129)</f>
        <v>45612.83794</v>
      </c>
      <c r="B440" s="59">
        <f>IFERROR(__xludf.DUMMYFUNCTION("IF(ISBLANK(D440), """", IF(ISDATE(D440), D440, IF(D440=""今天"", A440, IF(D440=""昨天 (-1 day)"", A440-1, IF(D440=""前天 (-2 days)"", A440-2, IF(D440=""明天 (+1 day)"", A440+1, DATE(LEFT(D440,4), MID(D440,5,2), RIGHT(D440,2))))))))"),45612.83793692129)</f>
        <v>45612.83794</v>
      </c>
      <c r="C440" s="60">
        <f>IFERROR(__xludf.DUMMYFUNCTION("INDIRECT(""'收支紀錄'!C""&amp;TO_TEXT(ROW()-$C$72))"),10.0)</f>
        <v>10</v>
      </c>
      <c r="D440" s="63" t="str">
        <f>IFERROR(__xludf.DUMMYFUNCTION("INDIRECT(""'收支紀錄'!D""&amp;TO_TEXT(ROW()-$C$72))"),"今天")</f>
        <v>今天</v>
      </c>
      <c r="E440" s="61" t="str">
        <f>IFERROR(__xludf.DUMMYFUNCTION("INDIRECT(""'收支紀錄'!E""&amp;TO_TEXT(ROW()-$C$72))"),"")</f>
        <v/>
      </c>
      <c r="F440" s="61" t="str">
        <f>IFERROR(__xludf.DUMMYFUNCTION("INDIRECT(""'收支紀錄'!F""&amp;TO_TEXT(ROW()-$C$72))"),"")</f>
        <v/>
      </c>
      <c r="G440" s="61" t="str">
        <f>IFERROR(__xludf.DUMMYFUNCTION("INDIRECT(""'收支紀錄'!G""&amp;TO_TEXT(ROW()-$C$72))"),"")</f>
        <v/>
      </c>
      <c r="H440" s="61" t="str">
        <f>IFERROR(__xludf.DUMMYFUNCTION("INDIRECT(""'收支紀錄'!H""&amp;TO_TEXT(ROW()-$C$72))"),"行車交通")</f>
        <v>行車交通</v>
      </c>
      <c r="I440" s="61" t="str">
        <f>IFERROR(__xludf.DUMMYFUNCTION("INDIRECT(""'收支紀錄'!I""&amp;TO_TEXT(ROW()-$C$72))"),"")</f>
        <v/>
      </c>
      <c r="J440" s="61" t="str">
        <f>IFERROR(__xludf.DUMMYFUNCTION("INDIRECT(""'收支紀錄'!J""&amp;TO_TEXT(ROW()-$C$72))"),"")</f>
        <v/>
      </c>
      <c r="K440" s="61" t="str">
        <f>IFERROR(__xludf.DUMMYFUNCTION("INDIRECT(""'收支紀錄'!K""&amp;TO_TEXT(ROW()-$C$72))"),"")</f>
        <v/>
      </c>
      <c r="L440" s="61" t="str">
        <f>IFERROR(__xludf.DUMMYFUNCTION("INDIRECT(""'收支紀錄'!L""&amp;TO_TEXT(ROW()-$C$72))"),"Ubike")</f>
        <v>Ubike</v>
      </c>
      <c r="M440" s="61" t="str">
        <f>IFERROR(__xludf.DUMMYFUNCTION("INDIRECT(""'收支紀錄'!M""&amp;TO_TEXT(ROW()-$C$72))"),"")</f>
        <v/>
      </c>
      <c r="N440" s="61" t="str">
        <f>IFERROR(__xludf.DUMMYFUNCTION("INDIRECT(""'收支紀錄'!N""&amp;TO_TEXT(ROW()-$C$72))"),"")</f>
        <v/>
      </c>
      <c r="O440" s="61" t="str">
        <f>IFERROR(__xludf.DUMMYFUNCTION("INDIRECT(""'收支紀錄'!O""&amp;TO_TEXT(ROW()-$C$72))"),"")</f>
        <v/>
      </c>
      <c r="P440" s="61" t="str">
        <f>IFERROR(__xludf.DUMMYFUNCTION("INDIRECT(""'收支紀錄'!P""&amp;TO_TEXT(ROW()-$C$72))"),"")</f>
        <v/>
      </c>
      <c r="Q440" s="61" t="str">
        <f>IFERROR(__xludf.DUMMYFUNCTION("INDIRECT(""'收支紀錄'!Q""&amp;TO_TEXT(ROW()-$C$72))"),"")</f>
        <v/>
      </c>
      <c r="R440" s="61" t="str">
        <f>IFERROR(__xludf.DUMMYFUNCTION("INDIRECT(""'收支紀錄'!R""&amp;TO_TEXT(ROW()-$C$72))"),"")</f>
        <v/>
      </c>
      <c r="S440" s="61" t="str">
        <f>IFERROR(__xludf.DUMMYFUNCTION("INDIRECT(""'收支紀錄'!S""&amp;TO_TEXT(ROW()-$C$72))"),"")</f>
        <v/>
      </c>
      <c r="T440" s="61" t="str">
        <f>IFERROR(__xludf.DUMMYFUNCTION("INDIRECT(""'收支紀錄'!T""&amp;TO_TEXT(ROW()-$C$72))"),"")</f>
        <v/>
      </c>
      <c r="U440" s="62" t="str">
        <f>IFERROR(__xludf.DUMMYFUNCTION("IF(T440=""是"",TEXTJOIN("""", TRUE, ""$"", TO_TEXT(C440), S440),"""")"),"")</f>
        <v/>
      </c>
    </row>
    <row r="441">
      <c r="A441" s="58">
        <f>IFERROR(__xludf.DUMMYFUNCTION("INDIRECT(""'收支紀錄'!A""&amp;TO_TEXT(ROW()-$C$72))"),45612.83811711805)</f>
        <v>45612.83812</v>
      </c>
      <c r="B441" s="59">
        <f>IFERROR(__xludf.DUMMYFUNCTION("IF(ISBLANK(D441), """", IF(ISDATE(D441), D441, IF(D441=""今天"", A441, IF(D441=""昨天 (-1 day)"", A441-1, IF(D441=""前天 (-2 days)"", A441-2, IF(D441=""明天 (+1 day)"", A441+1, DATE(LEFT(D441,4), MID(D441,5,2), RIGHT(D441,2))))))))"),45612.83811711805)</f>
        <v>45612.83812</v>
      </c>
      <c r="C441" s="60">
        <f>IFERROR(__xludf.DUMMYFUNCTION("INDIRECT(""'收支紀錄'!C""&amp;TO_TEXT(ROW()-$C$72))"),20.0)</f>
        <v>20</v>
      </c>
      <c r="D441" s="63" t="str">
        <f>IFERROR(__xludf.DUMMYFUNCTION("INDIRECT(""'收支紀錄'!D""&amp;TO_TEXT(ROW()-$C$72))"),"今天")</f>
        <v>今天</v>
      </c>
      <c r="E441" s="61" t="str">
        <f>IFERROR(__xludf.DUMMYFUNCTION("INDIRECT(""'收支紀錄'!E""&amp;TO_TEXT(ROW()-$C$72))"),"")</f>
        <v/>
      </c>
      <c r="F441" s="61" t="str">
        <f>IFERROR(__xludf.DUMMYFUNCTION("INDIRECT(""'收支紀錄'!F""&amp;TO_TEXT(ROW()-$C$72))"),"")</f>
        <v/>
      </c>
      <c r="G441" s="61" t="str">
        <f>IFERROR(__xludf.DUMMYFUNCTION("INDIRECT(""'收支紀錄'!G""&amp;TO_TEXT(ROW()-$C$72))"),"")</f>
        <v/>
      </c>
      <c r="H441" s="61" t="str">
        <f>IFERROR(__xludf.DUMMYFUNCTION("INDIRECT(""'收支紀錄'!H""&amp;TO_TEXT(ROW()-$C$72))"),"行車交通")</f>
        <v>行車交通</v>
      </c>
      <c r="I441" s="61" t="str">
        <f>IFERROR(__xludf.DUMMYFUNCTION("INDIRECT(""'收支紀錄'!I""&amp;TO_TEXT(ROW()-$C$72))"),"")</f>
        <v/>
      </c>
      <c r="J441" s="61" t="str">
        <f>IFERROR(__xludf.DUMMYFUNCTION("INDIRECT(""'收支紀錄'!J""&amp;TO_TEXT(ROW()-$C$72))"),"")</f>
        <v/>
      </c>
      <c r="K441" s="61" t="str">
        <f>IFERROR(__xludf.DUMMYFUNCTION("INDIRECT(""'收支紀錄'!K""&amp;TO_TEXT(ROW()-$C$72))"),"")</f>
        <v/>
      </c>
      <c r="L441" s="61" t="str">
        <f>IFERROR(__xludf.DUMMYFUNCTION("INDIRECT(""'收支紀錄'!L""&amp;TO_TEXT(ROW()-$C$72))"),"捷運費")</f>
        <v>捷運費</v>
      </c>
      <c r="M441" s="61" t="str">
        <f>IFERROR(__xludf.DUMMYFUNCTION("INDIRECT(""'收支紀錄'!M""&amp;TO_TEXT(ROW()-$C$72))"),"")</f>
        <v/>
      </c>
      <c r="N441" s="61" t="str">
        <f>IFERROR(__xludf.DUMMYFUNCTION("INDIRECT(""'收支紀錄'!N""&amp;TO_TEXT(ROW()-$C$72))"),"")</f>
        <v/>
      </c>
      <c r="O441" s="61" t="str">
        <f>IFERROR(__xludf.DUMMYFUNCTION("INDIRECT(""'收支紀錄'!O""&amp;TO_TEXT(ROW()-$C$72))"),"")</f>
        <v/>
      </c>
      <c r="P441" s="61" t="str">
        <f>IFERROR(__xludf.DUMMYFUNCTION("INDIRECT(""'收支紀錄'!P""&amp;TO_TEXT(ROW()-$C$72))"),"")</f>
        <v/>
      </c>
      <c r="Q441" s="61" t="str">
        <f>IFERROR(__xludf.DUMMYFUNCTION("INDIRECT(""'收支紀錄'!Q""&amp;TO_TEXT(ROW()-$C$72))"),"")</f>
        <v/>
      </c>
      <c r="R441" s="61" t="str">
        <f>IFERROR(__xludf.DUMMYFUNCTION("INDIRECT(""'收支紀錄'!R""&amp;TO_TEXT(ROW()-$C$72))"),"")</f>
        <v/>
      </c>
      <c r="S441" s="61" t="str">
        <f>IFERROR(__xludf.DUMMYFUNCTION("INDIRECT(""'收支紀錄'!S""&amp;TO_TEXT(ROW()-$C$72))"),"")</f>
        <v/>
      </c>
      <c r="T441" s="61" t="str">
        <f>IFERROR(__xludf.DUMMYFUNCTION("INDIRECT(""'收支紀錄'!T""&amp;TO_TEXT(ROW()-$C$72))"),"")</f>
        <v/>
      </c>
      <c r="U441" s="62" t="str">
        <f>IFERROR(__xludf.DUMMYFUNCTION("IF(T441=""是"",TEXTJOIN("""", TRUE, ""$"", TO_TEXT(C441), S441),"""")"),"")</f>
        <v/>
      </c>
    </row>
    <row r="442">
      <c r="A442" s="58">
        <f>IFERROR(__xludf.DUMMYFUNCTION("INDIRECT(""'收支紀錄'!A""&amp;TO_TEXT(ROW()-$C$72))"),45612.83827069444)</f>
        <v>45612.83827</v>
      </c>
      <c r="B442" s="59">
        <f>IFERROR(__xludf.DUMMYFUNCTION("IF(ISBLANK(D442), """", IF(ISDATE(D442), D442, IF(D442=""今天"", A442, IF(D442=""昨天 (-1 day)"", A442-1, IF(D442=""前天 (-2 days)"", A442-2, IF(D442=""明天 (+1 day)"", A442+1, DATE(LEFT(D442,4), MID(D442,5,2), RIGHT(D442,2))))))))"),45612.83827069444)</f>
        <v>45612.83827</v>
      </c>
      <c r="C442" s="60">
        <f>IFERROR(__xludf.DUMMYFUNCTION("INDIRECT(""'收支紀錄'!C""&amp;TO_TEXT(ROW()-$C$72))"),20.0)</f>
        <v>20</v>
      </c>
      <c r="D442" s="63" t="str">
        <f>IFERROR(__xludf.DUMMYFUNCTION("INDIRECT(""'收支紀錄'!D""&amp;TO_TEXT(ROW()-$C$72))"),"今天")</f>
        <v>今天</v>
      </c>
      <c r="E442" s="61" t="str">
        <f>IFERROR(__xludf.DUMMYFUNCTION("INDIRECT(""'收支紀錄'!E""&amp;TO_TEXT(ROW()-$C$72))"),"")</f>
        <v/>
      </c>
      <c r="F442" s="61" t="str">
        <f>IFERROR(__xludf.DUMMYFUNCTION("INDIRECT(""'收支紀錄'!F""&amp;TO_TEXT(ROW()-$C$72))"),"")</f>
        <v/>
      </c>
      <c r="G442" s="61" t="str">
        <f>IFERROR(__xludf.DUMMYFUNCTION("INDIRECT(""'收支紀錄'!G""&amp;TO_TEXT(ROW()-$C$72))"),"")</f>
        <v/>
      </c>
      <c r="H442" s="61" t="str">
        <f>IFERROR(__xludf.DUMMYFUNCTION("INDIRECT(""'收支紀錄'!H""&amp;TO_TEXT(ROW()-$C$72))"),"行車交通")</f>
        <v>行車交通</v>
      </c>
      <c r="I442" s="61" t="str">
        <f>IFERROR(__xludf.DUMMYFUNCTION("INDIRECT(""'收支紀錄'!I""&amp;TO_TEXT(ROW()-$C$72))"),"")</f>
        <v/>
      </c>
      <c r="J442" s="61" t="str">
        <f>IFERROR(__xludf.DUMMYFUNCTION("INDIRECT(""'收支紀錄'!J""&amp;TO_TEXT(ROW()-$C$72))"),"")</f>
        <v/>
      </c>
      <c r="K442" s="61" t="str">
        <f>IFERROR(__xludf.DUMMYFUNCTION("INDIRECT(""'收支紀錄'!K""&amp;TO_TEXT(ROW()-$C$72))"),"")</f>
        <v/>
      </c>
      <c r="L442" s="61" t="str">
        <f>IFERROR(__xludf.DUMMYFUNCTION("INDIRECT(""'收支紀錄'!L""&amp;TO_TEXT(ROW()-$C$72))"),"停車")</f>
        <v>停車</v>
      </c>
      <c r="M442" s="61" t="str">
        <f>IFERROR(__xludf.DUMMYFUNCTION("INDIRECT(""'收支紀錄'!M""&amp;TO_TEXT(ROW()-$C$72))"),"")</f>
        <v/>
      </c>
      <c r="N442" s="61" t="str">
        <f>IFERROR(__xludf.DUMMYFUNCTION("INDIRECT(""'收支紀錄'!N""&amp;TO_TEXT(ROW()-$C$72))"),"")</f>
        <v/>
      </c>
      <c r="O442" s="61" t="str">
        <f>IFERROR(__xludf.DUMMYFUNCTION("INDIRECT(""'收支紀錄'!O""&amp;TO_TEXT(ROW()-$C$72))"),"")</f>
        <v/>
      </c>
      <c r="P442" s="61" t="str">
        <f>IFERROR(__xludf.DUMMYFUNCTION("INDIRECT(""'收支紀錄'!P""&amp;TO_TEXT(ROW()-$C$72))"),"")</f>
        <v/>
      </c>
      <c r="Q442" s="61" t="str">
        <f>IFERROR(__xludf.DUMMYFUNCTION("INDIRECT(""'收支紀錄'!Q""&amp;TO_TEXT(ROW()-$C$72))"),"")</f>
        <v/>
      </c>
      <c r="R442" s="61" t="str">
        <f>IFERROR(__xludf.DUMMYFUNCTION("INDIRECT(""'收支紀錄'!R""&amp;TO_TEXT(ROW()-$C$72))"),"")</f>
        <v/>
      </c>
      <c r="S442" s="61" t="str">
        <f>IFERROR(__xludf.DUMMYFUNCTION("INDIRECT(""'收支紀錄'!S""&amp;TO_TEXT(ROW()-$C$72))"),"")</f>
        <v/>
      </c>
      <c r="T442" s="61" t="str">
        <f>IFERROR(__xludf.DUMMYFUNCTION("INDIRECT(""'收支紀錄'!T""&amp;TO_TEXT(ROW()-$C$72))"),"")</f>
        <v/>
      </c>
      <c r="U442" s="62" t="str">
        <f>IFERROR(__xludf.DUMMYFUNCTION("IF(T442=""是"",TEXTJOIN("""", TRUE, ""$"", TO_TEXT(C442), S442),"""")"),"")</f>
        <v/>
      </c>
    </row>
    <row r="443">
      <c r="A443" s="58">
        <f>IFERROR(__xludf.DUMMYFUNCTION("INDIRECT(""'收支紀錄'!A""&amp;TO_TEXT(ROW()-$C$72))"),45613.89749512731)</f>
        <v>45613.8975</v>
      </c>
      <c r="B443" s="59">
        <f>IFERROR(__xludf.DUMMYFUNCTION("IF(ISBLANK(D443), """", IF(ISDATE(D443), D443, IF(D443=""今天"", A443, IF(D443=""昨天 (-1 day)"", A443-1, IF(D443=""前天 (-2 days)"", A443-2, IF(D443=""明天 (+1 day)"", A443+1, DATE(LEFT(D443,4), MID(D443,5,2), RIGHT(D443,2))))))))"),45613.89749512731)</f>
        <v>45613.8975</v>
      </c>
      <c r="C443" s="60">
        <f>IFERROR(__xludf.DUMMYFUNCTION("INDIRECT(""'收支紀錄'!C""&amp;TO_TEXT(ROW()-$C$72))"),695.0)</f>
        <v>695</v>
      </c>
      <c r="D443" s="63" t="str">
        <f>IFERROR(__xludf.DUMMYFUNCTION("INDIRECT(""'收支紀錄'!D""&amp;TO_TEXT(ROW()-$C$72))"),"今天")</f>
        <v>今天</v>
      </c>
      <c r="E443" s="61" t="str">
        <f>IFERROR(__xludf.DUMMYFUNCTION("INDIRECT(""'收支紀錄'!E""&amp;TO_TEXT(ROW()-$C$72))"),"")</f>
        <v/>
      </c>
      <c r="F443" s="61" t="str">
        <f>IFERROR(__xludf.DUMMYFUNCTION("INDIRECT(""'收支紀錄'!F""&amp;TO_TEXT(ROW()-$C$72))"),"")</f>
        <v/>
      </c>
      <c r="G443" s="61" t="str">
        <f>IFERROR(__xludf.DUMMYFUNCTION("INDIRECT(""'收支紀錄'!G""&amp;TO_TEXT(ROW()-$C$72))"),"")</f>
        <v/>
      </c>
      <c r="H443" s="61" t="str">
        <f>IFERROR(__xludf.DUMMYFUNCTION("INDIRECT(""'收支紀錄'!H""&amp;TO_TEXT(ROW()-$C$72))"),"行車交通")</f>
        <v>行車交通</v>
      </c>
      <c r="I443" s="61" t="str">
        <f>IFERROR(__xludf.DUMMYFUNCTION("INDIRECT(""'收支紀錄'!I""&amp;TO_TEXT(ROW()-$C$72))"),"")</f>
        <v/>
      </c>
      <c r="J443" s="61" t="str">
        <f>IFERROR(__xludf.DUMMYFUNCTION("INDIRECT(""'收支紀錄'!J""&amp;TO_TEXT(ROW()-$C$72))"),"")</f>
        <v/>
      </c>
      <c r="K443" s="61" t="str">
        <f>IFERROR(__xludf.DUMMYFUNCTION("INDIRECT(""'收支紀錄'!K""&amp;TO_TEXT(ROW()-$C$72))"),"")</f>
        <v/>
      </c>
      <c r="L443" s="61" t="str">
        <f>IFERROR(__xludf.DUMMYFUNCTION("INDIRECT(""'收支紀錄'!L""&amp;TO_TEXT(ROW()-$C$72))"),"加油")</f>
        <v>加油</v>
      </c>
      <c r="M443" s="61" t="str">
        <f>IFERROR(__xludf.DUMMYFUNCTION("INDIRECT(""'收支紀錄'!M""&amp;TO_TEXT(ROW()-$C$72))"),"")</f>
        <v/>
      </c>
      <c r="N443" s="61" t="str">
        <f>IFERROR(__xludf.DUMMYFUNCTION("INDIRECT(""'收支紀錄'!N""&amp;TO_TEXT(ROW()-$C$72))"),"")</f>
        <v/>
      </c>
      <c r="O443" s="61" t="str">
        <f>IFERROR(__xludf.DUMMYFUNCTION("INDIRECT(""'收支紀錄'!O""&amp;TO_TEXT(ROW()-$C$72))"),"")</f>
        <v/>
      </c>
      <c r="P443" s="61" t="str">
        <f>IFERROR(__xludf.DUMMYFUNCTION("INDIRECT(""'收支紀錄'!P""&amp;TO_TEXT(ROW()-$C$72))"),"")</f>
        <v/>
      </c>
      <c r="Q443" s="61" t="str">
        <f>IFERROR(__xludf.DUMMYFUNCTION("INDIRECT(""'收支紀錄'!Q""&amp;TO_TEXT(ROW()-$C$72))"),"")</f>
        <v/>
      </c>
      <c r="R443" s="61" t="str">
        <f>IFERROR(__xludf.DUMMYFUNCTION("INDIRECT(""'收支紀錄'!R""&amp;TO_TEXT(ROW()-$C$72))"),"")</f>
        <v/>
      </c>
      <c r="S443" s="61" t="str">
        <f>IFERROR(__xludf.DUMMYFUNCTION("INDIRECT(""'收支紀錄'!S""&amp;TO_TEXT(ROW()-$C$72))"),"")</f>
        <v/>
      </c>
      <c r="T443" s="61" t="str">
        <f>IFERROR(__xludf.DUMMYFUNCTION("INDIRECT(""'收支紀錄'!T""&amp;TO_TEXT(ROW()-$C$72))"),"")</f>
        <v/>
      </c>
      <c r="U443" s="62" t="str">
        <f>IFERROR(__xludf.DUMMYFUNCTION("IF(T443=""是"",TEXTJOIN("""", TRUE, ""$"", TO_TEXT(C443), S443),"""")"),"")</f>
        <v/>
      </c>
    </row>
    <row r="444">
      <c r="A444" s="58">
        <f>IFERROR(__xludf.DUMMYFUNCTION("INDIRECT(""'收支紀錄'!A""&amp;TO_TEXT(ROW()-$C$72))"),45614.516532511574)</f>
        <v>45614.51653</v>
      </c>
      <c r="B444" s="59">
        <f>IFERROR(__xludf.DUMMYFUNCTION("IF(ISBLANK(D444), """", IF(ISDATE(D444), D444, IF(D444=""今天"", A444, IF(D444=""昨天 (-1 day)"", A444-1, IF(D444=""前天 (-2 days)"", A444-2, IF(D444=""明天 (+1 day)"", A444+1, DATE(LEFT(D444,4), MID(D444,5,2), RIGHT(D444,2))))))))"),45613.516532511574)</f>
        <v>45613.51653</v>
      </c>
      <c r="C444" s="60">
        <f>IFERROR(__xludf.DUMMYFUNCTION("INDIRECT(""'收支紀錄'!C""&amp;TO_TEXT(ROW()-$C$72))"),39.0)</f>
        <v>39</v>
      </c>
      <c r="D444" s="63" t="str">
        <f>IFERROR(__xludf.DUMMYFUNCTION("INDIRECT(""'收支紀錄'!D""&amp;TO_TEXT(ROW()-$C$72))"),"昨天 (-1 day)")</f>
        <v>昨天 (-1 day)</v>
      </c>
      <c r="E444" s="61" t="str">
        <f>IFERROR(__xludf.DUMMYFUNCTION("INDIRECT(""'收支紀錄'!E""&amp;TO_TEXT(ROW()-$C$72))"),"")</f>
        <v/>
      </c>
      <c r="F444" s="61" t="str">
        <f>IFERROR(__xludf.DUMMYFUNCTION("INDIRECT(""'收支紀錄'!F""&amp;TO_TEXT(ROW()-$C$72))"),"")</f>
        <v/>
      </c>
      <c r="G444" s="61" t="str">
        <f>IFERROR(__xludf.DUMMYFUNCTION("INDIRECT(""'收支紀錄'!G""&amp;TO_TEXT(ROW()-$C$72))"),"")</f>
        <v/>
      </c>
      <c r="H444" s="61" t="str">
        <f>IFERROR(__xludf.DUMMYFUNCTION("INDIRECT(""'收支紀錄'!H""&amp;TO_TEXT(ROW()-$C$72))"),"食品酒水")</f>
        <v>食品酒水</v>
      </c>
      <c r="I444" s="61" t="str">
        <f>IFERROR(__xludf.DUMMYFUNCTION("INDIRECT(""'收支紀錄'!I""&amp;TO_TEXT(ROW()-$C$72))"),"早餐")</f>
        <v>早餐</v>
      </c>
      <c r="J444" s="61" t="str">
        <f>IFERROR(__xludf.DUMMYFUNCTION("INDIRECT(""'收支紀錄'!J""&amp;TO_TEXT(ROW()-$C$72))"),"")</f>
        <v/>
      </c>
      <c r="K444" s="61" t="str">
        <f>IFERROR(__xludf.DUMMYFUNCTION("INDIRECT(""'收支紀錄'!K""&amp;TO_TEXT(ROW()-$C$72))"),"")</f>
        <v/>
      </c>
      <c r="L444" s="61" t="str">
        <f>IFERROR(__xludf.DUMMYFUNCTION("INDIRECT(""'收支紀錄'!L""&amp;TO_TEXT(ROW()-$C$72))"),"")</f>
        <v/>
      </c>
      <c r="M444" s="61" t="str">
        <f>IFERROR(__xludf.DUMMYFUNCTION("INDIRECT(""'收支紀錄'!M""&amp;TO_TEXT(ROW()-$C$72))"),"")</f>
        <v/>
      </c>
      <c r="N444" s="61" t="str">
        <f>IFERROR(__xludf.DUMMYFUNCTION("INDIRECT(""'收支紀錄'!N""&amp;TO_TEXT(ROW()-$C$72))"),"")</f>
        <v/>
      </c>
      <c r="O444" s="61" t="str">
        <f>IFERROR(__xludf.DUMMYFUNCTION("INDIRECT(""'收支紀錄'!O""&amp;TO_TEXT(ROW()-$C$72))"),"")</f>
        <v/>
      </c>
      <c r="P444" s="61" t="str">
        <f>IFERROR(__xludf.DUMMYFUNCTION("INDIRECT(""'收支紀錄'!P""&amp;TO_TEXT(ROW()-$C$72))"),"")</f>
        <v/>
      </c>
      <c r="Q444" s="61" t="str">
        <f>IFERROR(__xludf.DUMMYFUNCTION("INDIRECT(""'收支紀錄'!Q""&amp;TO_TEXT(ROW()-$C$72))"),"")</f>
        <v/>
      </c>
      <c r="R444" s="61" t="str">
        <f>IFERROR(__xludf.DUMMYFUNCTION("INDIRECT(""'收支紀錄'!R""&amp;TO_TEXT(ROW()-$C$72))"),"")</f>
        <v/>
      </c>
      <c r="S444" s="61" t="str">
        <f>IFERROR(__xludf.DUMMYFUNCTION("INDIRECT(""'收支紀錄'!S""&amp;TO_TEXT(ROW()-$C$72))"),"")</f>
        <v/>
      </c>
      <c r="T444" s="61" t="str">
        <f>IFERROR(__xludf.DUMMYFUNCTION("INDIRECT(""'收支紀錄'!T""&amp;TO_TEXT(ROW()-$C$72))"),"")</f>
        <v/>
      </c>
      <c r="U444" s="62" t="str">
        <f>IFERROR(__xludf.DUMMYFUNCTION("IF(T444=""是"",TEXTJOIN("""", TRUE, ""$"", TO_TEXT(C444), S444),"""")"),"")</f>
        <v/>
      </c>
    </row>
    <row r="445">
      <c r="A445" s="58">
        <f>IFERROR(__xludf.DUMMYFUNCTION("INDIRECT(""'收支紀錄'!A""&amp;TO_TEXT(ROW()-$C$72))"),45614.51698383102)</f>
        <v>45614.51698</v>
      </c>
      <c r="B445" s="59">
        <f>IFERROR(__xludf.DUMMYFUNCTION("IF(ISBLANK(D445), """", IF(ISDATE(D445), D445, IF(D445=""今天"", A445, IF(D445=""昨天 (-1 day)"", A445-1, IF(D445=""前天 (-2 days)"", A445-2, IF(D445=""明天 (+1 day)"", A445+1, DATE(LEFT(D445,4), MID(D445,5,2), RIGHT(D445,2))))))))"),45614.51698383102)</f>
        <v>45614.51698</v>
      </c>
      <c r="C445" s="60">
        <f>IFERROR(__xludf.DUMMYFUNCTION("INDIRECT(""'收支紀錄'!C""&amp;TO_TEXT(ROW()-$C$72))"),35.0)</f>
        <v>35</v>
      </c>
      <c r="D445" s="63" t="str">
        <f>IFERROR(__xludf.DUMMYFUNCTION("INDIRECT(""'收支紀錄'!D""&amp;TO_TEXT(ROW()-$C$72))"),"今天")</f>
        <v>今天</v>
      </c>
      <c r="E445" s="61" t="str">
        <f>IFERROR(__xludf.DUMMYFUNCTION("INDIRECT(""'收支紀錄'!E""&amp;TO_TEXT(ROW()-$C$72))"),"")</f>
        <v/>
      </c>
      <c r="F445" s="61" t="str">
        <f>IFERROR(__xludf.DUMMYFUNCTION("INDIRECT(""'收支紀錄'!F""&amp;TO_TEXT(ROW()-$C$72))"),"")</f>
        <v/>
      </c>
      <c r="G445" s="61" t="str">
        <f>IFERROR(__xludf.DUMMYFUNCTION("INDIRECT(""'收支紀錄'!G""&amp;TO_TEXT(ROW()-$C$72))"),"")</f>
        <v/>
      </c>
      <c r="H445" s="61" t="str">
        <f>IFERROR(__xludf.DUMMYFUNCTION("INDIRECT(""'收支紀錄'!H""&amp;TO_TEXT(ROW()-$C$72))"),"食品酒水")</f>
        <v>食品酒水</v>
      </c>
      <c r="I445" s="61" t="str">
        <f>IFERROR(__xludf.DUMMYFUNCTION("INDIRECT(""'收支紀錄'!I""&amp;TO_TEXT(ROW()-$C$72))"),"早餐")</f>
        <v>早餐</v>
      </c>
      <c r="J445" s="61" t="str">
        <f>IFERROR(__xludf.DUMMYFUNCTION("INDIRECT(""'收支紀錄'!J""&amp;TO_TEXT(ROW()-$C$72))"),"")</f>
        <v/>
      </c>
      <c r="K445" s="61" t="str">
        <f>IFERROR(__xludf.DUMMYFUNCTION("INDIRECT(""'收支紀錄'!K""&amp;TO_TEXT(ROW()-$C$72))"),"")</f>
        <v/>
      </c>
      <c r="L445" s="61" t="str">
        <f>IFERROR(__xludf.DUMMYFUNCTION("INDIRECT(""'收支紀錄'!L""&amp;TO_TEXT(ROW()-$C$72))"),"")</f>
        <v/>
      </c>
      <c r="M445" s="61" t="str">
        <f>IFERROR(__xludf.DUMMYFUNCTION("INDIRECT(""'收支紀錄'!M""&amp;TO_TEXT(ROW()-$C$72))"),"")</f>
        <v/>
      </c>
      <c r="N445" s="61" t="str">
        <f>IFERROR(__xludf.DUMMYFUNCTION("INDIRECT(""'收支紀錄'!N""&amp;TO_TEXT(ROW()-$C$72))"),"")</f>
        <v/>
      </c>
      <c r="O445" s="61" t="str">
        <f>IFERROR(__xludf.DUMMYFUNCTION("INDIRECT(""'收支紀錄'!O""&amp;TO_TEXT(ROW()-$C$72))"),"")</f>
        <v/>
      </c>
      <c r="P445" s="61" t="str">
        <f>IFERROR(__xludf.DUMMYFUNCTION("INDIRECT(""'收支紀錄'!P""&amp;TO_TEXT(ROW()-$C$72))"),"")</f>
        <v/>
      </c>
      <c r="Q445" s="61" t="str">
        <f>IFERROR(__xludf.DUMMYFUNCTION("INDIRECT(""'收支紀錄'!Q""&amp;TO_TEXT(ROW()-$C$72))"),"")</f>
        <v/>
      </c>
      <c r="R445" s="61" t="str">
        <f>IFERROR(__xludf.DUMMYFUNCTION("INDIRECT(""'收支紀錄'!R""&amp;TO_TEXT(ROW()-$C$72))"),"")</f>
        <v/>
      </c>
      <c r="S445" s="61" t="str">
        <f>IFERROR(__xludf.DUMMYFUNCTION("INDIRECT(""'收支紀錄'!S""&amp;TO_TEXT(ROW()-$C$72))"),"")</f>
        <v/>
      </c>
      <c r="T445" s="61" t="str">
        <f>IFERROR(__xludf.DUMMYFUNCTION("INDIRECT(""'收支紀錄'!T""&amp;TO_TEXT(ROW()-$C$72))"),"")</f>
        <v/>
      </c>
      <c r="U445" s="62" t="str">
        <f>IFERROR(__xludf.DUMMYFUNCTION("IF(T445=""是"",TEXTJOIN("""", TRUE, ""$"", TO_TEXT(C445), S445),"""")"),"")</f>
        <v/>
      </c>
    </row>
    <row r="446">
      <c r="A446" s="58">
        <f>IFERROR(__xludf.DUMMYFUNCTION("INDIRECT(""'收支紀錄'!A""&amp;TO_TEXT(ROW()-$C$72))"),45614.51712616898)</f>
        <v>45614.51713</v>
      </c>
      <c r="B446" s="59">
        <f>IFERROR(__xludf.DUMMYFUNCTION("IF(ISBLANK(D446), """", IF(ISDATE(D446), D446, IF(D446=""今天"", A446, IF(D446=""昨天 (-1 day)"", A446-1, IF(D446=""前天 (-2 days)"", A446-2, IF(D446=""明天 (+1 day)"", A446+1, DATE(LEFT(D446,4), MID(D446,5,2), RIGHT(D446,2))))))))"),45614.51712616898)</f>
        <v>45614.51713</v>
      </c>
      <c r="C446" s="60">
        <f>IFERROR(__xludf.DUMMYFUNCTION("INDIRECT(""'收支紀錄'!C""&amp;TO_TEXT(ROW()-$C$72))"),60.0)</f>
        <v>60</v>
      </c>
      <c r="D446" s="63" t="str">
        <f>IFERROR(__xludf.DUMMYFUNCTION("INDIRECT(""'收支紀錄'!D""&amp;TO_TEXT(ROW()-$C$72))"),"今天")</f>
        <v>今天</v>
      </c>
      <c r="E446" s="61" t="str">
        <f>IFERROR(__xludf.DUMMYFUNCTION("INDIRECT(""'收支紀錄'!E""&amp;TO_TEXT(ROW()-$C$72))"),"")</f>
        <v/>
      </c>
      <c r="F446" s="61" t="str">
        <f>IFERROR(__xludf.DUMMYFUNCTION("INDIRECT(""'收支紀錄'!F""&amp;TO_TEXT(ROW()-$C$72))"),"")</f>
        <v/>
      </c>
      <c r="G446" s="61" t="str">
        <f>IFERROR(__xludf.DUMMYFUNCTION("INDIRECT(""'收支紀錄'!G""&amp;TO_TEXT(ROW()-$C$72))"),"")</f>
        <v/>
      </c>
      <c r="H446" s="61" t="str">
        <f>IFERROR(__xludf.DUMMYFUNCTION("INDIRECT(""'收支紀錄'!H""&amp;TO_TEXT(ROW()-$C$72))"),"食品酒水")</f>
        <v>食品酒水</v>
      </c>
      <c r="I446" s="61" t="str">
        <f>IFERROR(__xludf.DUMMYFUNCTION("INDIRECT(""'收支紀錄'!I""&amp;TO_TEXT(ROW()-$C$72))"),"飲料酒水")</f>
        <v>飲料酒水</v>
      </c>
      <c r="J446" s="61" t="str">
        <f>IFERROR(__xludf.DUMMYFUNCTION("INDIRECT(""'收支紀錄'!J""&amp;TO_TEXT(ROW()-$C$72))"),"")</f>
        <v/>
      </c>
      <c r="K446" s="61" t="str">
        <f>IFERROR(__xludf.DUMMYFUNCTION("INDIRECT(""'收支紀錄'!K""&amp;TO_TEXT(ROW()-$C$72))"),"")</f>
        <v/>
      </c>
      <c r="L446" s="61" t="str">
        <f>IFERROR(__xludf.DUMMYFUNCTION("INDIRECT(""'收支紀錄'!L""&amp;TO_TEXT(ROW()-$C$72))"),"")</f>
        <v/>
      </c>
      <c r="M446" s="61" t="str">
        <f>IFERROR(__xludf.DUMMYFUNCTION("INDIRECT(""'收支紀錄'!M""&amp;TO_TEXT(ROW()-$C$72))"),"")</f>
        <v/>
      </c>
      <c r="N446" s="61" t="str">
        <f>IFERROR(__xludf.DUMMYFUNCTION("INDIRECT(""'收支紀錄'!N""&amp;TO_TEXT(ROW()-$C$72))"),"")</f>
        <v/>
      </c>
      <c r="O446" s="61" t="str">
        <f>IFERROR(__xludf.DUMMYFUNCTION("INDIRECT(""'收支紀錄'!O""&amp;TO_TEXT(ROW()-$C$72))"),"")</f>
        <v/>
      </c>
      <c r="P446" s="61" t="str">
        <f>IFERROR(__xludf.DUMMYFUNCTION("INDIRECT(""'收支紀錄'!P""&amp;TO_TEXT(ROW()-$C$72))"),"")</f>
        <v/>
      </c>
      <c r="Q446" s="61" t="str">
        <f>IFERROR(__xludf.DUMMYFUNCTION("INDIRECT(""'收支紀錄'!Q""&amp;TO_TEXT(ROW()-$C$72))"),"")</f>
        <v/>
      </c>
      <c r="R446" s="61" t="str">
        <f>IFERROR(__xludf.DUMMYFUNCTION("INDIRECT(""'收支紀錄'!R""&amp;TO_TEXT(ROW()-$C$72))"),"")</f>
        <v/>
      </c>
      <c r="S446" s="61" t="str">
        <f>IFERROR(__xludf.DUMMYFUNCTION("INDIRECT(""'收支紀錄'!S""&amp;TO_TEXT(ROW()-$C$72))"),"")</f>
        <v/>
      </c>
      <c r="T446" s="61" t="str">
        <f>IFERROR(__xludf.DUMMYFUNCTION("INDIRECT(""'收支紀錄'!T""&amp;TO_TEXT(ROW()-$C$72))"),"")</f>
        <v/>
      </c>
      <c r="U446" s="62" t="str">
        <f>IFERROR(__xludf.DUMMYFUNCTION("IF(T446=""是"",TEXTJOIN("""", TRUE, ""$"", TO_TEXT(C446), S446),"""")"),"")</f>
        <v/>
      </c>
    </row>
    <row r="447">
      <c r="A447" s="58">
        <f>IFERROR(__xludf.DUMMYFUNCTION("INDIRECT(""'收支紀錄'!A""&amp;TO_TEXT(ROW()-$C$72))"),45614.5176169676)</f>
        <v>45614.51762</v>
      </c>
      <c r="B447" s="59">
        <f>IFERROR(__xludf.DUMMYFUNCTION("IF(ISBLANK(D447), """", IF(ISDATE(D447), D447, IF(D447=""今天"", A447, IF(D447=""昨天 (-1 day)"", A447-1, IF(D447=""前天 (-2 days)"", A447-2, IF(D447=""明天 (+1 day)"", A447+1, DATE(LEFT(D447,4), MID(D447,5,2), RIGHT(D447,2))))))))"),45614.5176169676)</f>
        <v>45614.51762</v>
      </c>
      <c r="C447" s="60">
        <f>IFERROR(__xludf.DUMMYFUNCTION("INDIRECT(""'收支紀錄'!C""&amp;TO_TEXT(ROW()-$C$72))"),91.0)</f>
        <v>91</v>
      </c>
      <c r="D447" s="63" t="str">
        <f>IFERROR(__xludf.DUMMYFUNCTION("INDIRECT(""'收支紀錄'!D""&amp;TO_TEXT(ROW()-$C$72))"),"今天")</f>
        <v>今天</v>
      </c>
      <c r="E447" s="61" t="str">
        <f>IFERROR(__xludf.DUMMYFUNCTION("INDIRECT(""'收支紀錄'!E""&amp;TO_TEXT(ROW()-$C$72))"),"")</f>
        <v/>
      </c>
      <c r="F447" s="61" t="str">
        <f>IFERROR(__xludf.DUMMYFUNCTION("INDIRECT(""'收支紀錄'!F""&amp;TO_TEXT(ROW()-$C$72))"),"")</f>
        <v/>
      </c>
      <c r="G447" s="61" t="str">
        <f>IFERROR(__xludf.DUMMYFUNCTION("INDIRECT(""'收支紀錄'!G""&amp;TO_TEXT(ROW()-$C$72))"),"")</f>
        <v/>
      </c>
      <c r="H447" s="61" t="str">
        <f>IFERROR(__xludf.DUMMYFUNCTION("INDIRECT(""'收支紀錄'!H""&amp;TO_TEXT(ROW()-$C$72))"),"行車交通")</f>
        <v>行車交通</v>
      </c>
      <c r="I447" s="61" t="str">
        <f>IFERROR(__xludf.DUMMYFUNCTION("INDIRECT(""'收支紀錄'!I""&amp;TO_TEXT(ROW()-$C$72))"),"")</f>
        <v/>
      </c>
      <c r="J447" s="61" t="str">
        <f>IFERROR(__xludf.DUMMYFUNCTION("INDIRECT(""'收支紀錄'!J""&amp;TO_TEXT(ROW()-$C$72))"),"")</f>
        <v/>
      </c>
      <c r="K447" s="61" t="str">
        <f>IFERROR(__xludf.DUMMYFUNCTION("INDIRECT(""'收支紀錄'!K""&amp;TO_TEXT(ROW()-$C$72))"),"")</f>
        <v/>
      </c>
      <c r="L447" s="61" t="str">
        <f>IFERROR(__xludf.DUMMYFUNCTION("INDIRECT(""'收支紀錄'!L""&amp;TO_TEXT(ROW()-$C$72))"),"火車費")</f>
        <v>火車費</v>
      </c>
      <c r="M447" s="61" t="str">
        <f>IFERROR(__xludf.DUMMYFUNCTION("INDIRECT(""'收支紀錄'!M""&amp;TO_TEXT(ROW()-$C$72))"),"")</f>
        <v/>
      </c>
      <c r="N447" s="61" t="str">
        <f>IFERROR(__xludf.DUMMYFUNCTION("INDIRECT(""'收支紀錄'!N""&amp;TO_TEXT(ROW()-$C$72))"),"")</f>
        <v/>
      </c>
      <c r="O447" s="61" t="str">
        <f>IFERROR(__xludf.DUMMYFUNCTION("INDIRECT(""'收支紀錄'!O""&amp;TO_TEXT(ROW()-$C$72))"),"")</f>
        <v/>
      </c>
      <c r="P447" s="61" t="str">
        <f>IFERROR(__xludf.DUMMYFUNCTION("INDIRECT(""'收支紀錄'!P""&amp;TO_TEXT(ROW()-$C$72))"),"")</f>
        <v/>
      </c>
      <c r="Q447" s="61" t="str">
        <f>IFERROR(__xludf.DUMMYFUNCTION("INDIRECT(""'收支紀錄'!Q""&amp;TO_TEXT(ROW()-$C$72))"),"")</f>
        <v/>
      </c>
      <c r="R447" s="61" t="str">
        <f>IFERROR(__xludf.DUMMYFUNCTION("INDIRECT(""'收支紀錄'!R""&amp;TO_TEXT(ROW()-$C$72))"),"")</f>
        <v/>
      </c>
      <c r="S447" s="61" t="str">
        <f>IFERROR(__xludf.DUMMYFUNCTION("INDIRECT(""'收支紀錄'!S""&amp;TO_TEXT(ROW()-$C$72))"),"")</f>
        <v/>
      </c>
      <c r="T447" s="61" t="str">
        <f>IFERROR(__xludf.DUMMYFUNCTION("INDIRECT(""'收支紀錄'!T""&amp;TO_TEXT(ROW()-$C$72))"),"")</f>
        <v/>
      </c>
      <c r="U447" s="62" t="str">
        <f>IFERROR(__xludf.DUMMYFUNCTION("IF(T447=""是"",TEXTJOIN("""", TRUE, ""$"", TO_TEXT(C447), S447),"""")"),"")</f>
        <v/>
      </c>
    </row>
    <row r="448">
      <c r="A448" s="58">
        <f>IFERROR(__xludf.DUMMYFUNCTION("INDIRECT(""'收支紀錄'!A""&amp;TO_TEXT(ROW()-$C$72))"),45615.01110592592)</f>
        <v>45615.01111</v>
      </c>
      <c r="B448" s="59">
        <f>IFERROR(__xludf.DUMMYFUNCTION("IF(ISBLANK(D448), """", IF(ISDATE(D448), D448, IF(D448=""今天"", A448, IF(D448=""昨天 (-1 day)"", A448-1, IF(D448=""前天 (-2 days)"", A448-2, IF(D448=""明天 (+1 day)"", A448+1, DATE(LEFT(D448,4), MID(D448,5,2), RIGHT(D448,2))))))))"),45614.01110592592)</f>
        <v>45614.01111</v>
      </c>
      <c r="C448" s="60">
        <f>IFERROR(__xludf.DUMMYFUNCTION("INDIRECT(""'收支紀錄'!C""&amp;TO_TEXT(ROW()-$C$72))"),60.0)</f>
        <v>60</v>
      </c>
      <c r="D448" s="63" t="str">
        <f>IFERROR(__xludf.DUMMYFUNCTION("INDIRECT(""'收支紀錄'!D""&amp;TO_TEXT(ROW()-$C$72))"),"昨天 (-1 day)")</f>
        <v>昨天 (-1 day)</v>
      </c>
      <c r="E448" s="61" t="str">
        <f>IFERROR(__xludf.DUMMYFUNCTION("INDIRECT(""'收支紀錄'!E""&amp;TO_TEXT(ROW()-$C$72))"),"")</f>
        <v/>
      </c>
      <c r="F448" s="61" t="str">
        <f>IFERROR(__xludf.DUMMYFUNCTION("INDIRECT(""'收支紀錄'!F""&amp;TO_TEXT(ROW()-$C$72))"),"")</f>
        <v/>
      </c>
      <c r="G448" s="61" t="str">
        <f>IFERROR(__xludf.DUMMYFUNCTION("INDIRECT(""'收支紀錄'!G""&amp;TO_TEXT(ROW()-$C$72))"),"")</f>
        <v/>
      </c>
      <c r="H448" s="61" t="str">
        <f>IFERROR(__xludf.DUMMYFUNCTION("INDIRECT(""'收支紀錄'!H""&amp;TO_TEXT(ROW()-$C$72))"),"日常生活")</f>
        <v>日常生活</v>
      </c>
      <c r="I448" s="61" t="str">
        <f>IFERROR(__xludf.DUMMYFUNCTION("INDIRECT(""'收支紀錄'!I""&amp;TO_TEXT(ROW()-$C$72))"),"")</f>
        <v/>
      </c>
      <c r="J448" s="61" t="str">
        <f>IFERROR(__xludf.DUMMYFUNCTION("INDIRECT(""'收支紀錄'!J""&amp;TO_TEXT(ROW()-$C$72))"),"日常用品")</f>
        <v>日常用品</v>
      </c>
      <c r="K448" s="61" t="str">
        <f>IFERROR(__xludf.DUMMYFUNCTION("INDIRECT(""'收支紀錄'!K""&amp;TO_TEXT(ROW()-$C$72))"),"")</f>
        <v/>
      </c>
      <c r="L448" s="61" t="str">
        <f>IFERROR(__xludf.DUMMYFUNCTION("INDIRECT(""'收支紀錄'!L""&amp;TO_TEXT(ROW()-$C$72))"),"")</f>
        <v/>
      </c>
      <c r="M448" s="61" t="str">
        <f>IFERROR(__xludf.DUMMYFUNCTION("INDIRECT(""'收支紀錄'!M""&amp;TO_TEXT(ROW()-$C$72))"),"")</f>
        <v/>
      </c>
      <c r="N448" s="61" t="str">
        <f>IFERROR(__xludf.DUMMYFUNCTION("INDIRECT(""'收支紀錄'!N""&amp;TO_TEXT(ROW()-$C$72))"),"")</f>
        <v/>
      </c>
      <c r="O448" s="61" t="str">
        <f>IFERROR(__xludf.DUMMYFUNCTION("INDIRECT(""'收支紀錄'!O""&amp;TO_TEXT(ROW()-$C$72))"),"")</f>
        <v/>
      </c>
      <c r="P448" s="61" t="str">
        <f>IFERROR(__xludf.DUMMYFUNCTION("INDIRECT(""'收支紀錄'!P""&amp;TO_TEXT(ROW()-$C$72))"),"")</f>
        <v/>
      </c>
      <c r="Q448" s="61" t="str">
        <f>IFERROR(__xludf.DUMMYFUNCTION("INDIRECT(""'收支紀錄'!Q""&amp;TO_TEXT(ROW()-$C$72))"),"")</f>
        <v/>
      </c>
      <c r="R448" s="61" t="str">
        <f>IFERROR(__xludf.DUMMYFUNCTION("INDIRECT(""'收支紀錄'!R""&amp;TO_TEXT(ROW()-$C$72))"),"")</f>
        <v/>
      </c>
      <c r="S448" s="61" t="str">
        <f>IFERROR(__xludf.DUMMYFUNCTION("INDIRECT(""'收支紀錄'!S""&amp;TO_TEXT(ROW()-$C$72))"),"")</f>
        <v/>
      </c>
      <c r="T448" s="61" t="str">
        <f>IFERROR(__xludf.DUMMYFUNCTION("INDIRECT(""'收支紀錄'!T""&amp;TO_TEXT(ROW()-$C$72))"),"")</f>
        <v/>
      </c>
      <c r="U448" s="62" t="str">
        <f>IFERROR(__xludf.DUMMYFUNCTION("IF(T448=""是"",TEXTJOIN("""", TRUE, ""$"", TO_TEXT(C448), S448),"""")"),"")</f>
        <v/>
      </c>
    </row>
    <row r="449">
      <c r="A449" s="58">
        <f>IFERROR(__xludf.DUMMYFUNCTION("INDIRECT(""'收支紀錄'!A""&amp;TO_TEXT(ROW()-$C$72))"),45615.44056457176)</f>
        <v>45615.44056</v>
      </c>
      <c r="B449" s="59">
        <f>IFERROR(__xludf.DUMMYFUNCTION("IF(ISBLANK(D449), """", IF(ISDATE(D449), D449, IF(D449=""今天"", A449, IF(D449=""昨天 (-1 day)"", A449-1, IF(D449=""前天 (-2 days)"", A449-2, IF(D449=""明天 (+1 day)"", A449+1, DATE(LEFT(D449,4), MID(D449,5,2), RIGHT(D449,2))))))))"),45615.44056457176)</f>
        <v>45615.44056</v>
      </c>
      <c r="C449" s="60">
        <f>IFERROR(__xludf.DUMMYFUNCTION("INDIRECT(""'收支紀錄'!C""&amp;TO_TEXT(ROW()-$C$72))"),104.0)</f>
        <v>104</v>
      </c>
      <c r="D449" s="63" t="str">
        <f>IFERROR(__xludf.DUMMYFUNCTION("INDIRECT(""'收支紀錄'!D""&amp;TO_TEXT(ROW()-$C$72))"),"今天")</f>
        <v>今天</v>
      </c>
      <c r="E449" s="61" t="str">
        <f>IFERROR(__xludf.DUMMYFUNCTION("INDIRECT(""'收支紀錄'!E""&amp;TO_TEXT(ROW()-$C$72))"),"")</f>
        <v/>
      </c>
      <c r="F449" s="61" t="str">
        <f>IFERROR(__xludf.DUMMYFUNCTION("INDIRECT(""'收支紀錄'!F""&amp;TO_TEXT(ROW()-$C$72))"),"")</f>
        <v/>
      </c>
      <c r="G449" s="61" t="str">
        <f>IFERROR(__xludf.DUMMYFUNCTION("INDIRECT(""'收支紀錄'!G""&amp;TO_TEXT(ROW()-$C$72))"),"")</f>
        <v/>
      </c>
      <c r="H449" s="61" t="str">
        <f>IFERROR(__xludf.DUMMYFUNCTION("INDIRECT(""'收支紀錄'!H""&amp;TO_TEXT(ROW()-$C$72))"),"食品酒水")</f>
        <v>食品酒水</v>
      </c>
      <c r="I449" s="61" t="str">
        <f>IFERROR(__xludf.DUMMYFUNCTION("INDIRECT(""'收支紀錄'!I""&amp;TO_TEXT(ROW()-$C$72))"),"飲料酒水")</f>
        <v>飲料酒水</v>
      </c>
      <c r="J449" s="61" t="str">
        <f>IFERROR(__xludf.DUMMYFUNCTION("INDIRECT(""'收支紀錄'!J""&amp;TO_TEXT(ROW()-$C$72))"),"")</f>
        <v/>
      </c>
      <c r="K449" s="61" t="str">
        <f>IFERROR(__xludf.DUMMYFUNCTION("INDIRECT(""'收支紀錄'!K""&amp;TO_TEXT(ROW()-$C$72))"),"")</f>
        <v/>
      </c>
      <c r="L449" s="61" t="str">
        <f>IFERROR(__xludf.DUMMYFUNCTION("INDIRECT(""'收支紀錄'!L""&amp;TO_TEXT(ROW()-$C$72))"),"")</f>
        <v/>
      </c>
      <c r="M449" s="61" t="str">
        <f>IFERROR(__xludf.DUMMYFUNCTION("INDIRECT(""'收支紀錄'!M""&amp;TO_TEXT(ROW()-$C$72))"),"")</f>
        <v/>
      </c>
      <c r="N449" s="61" t="str">
        <f>IFERROR(__xludf.DUMMYFUNCTION("INDIRECT(""'收支紀錄'!N""&amp;TO_TEXT(ROW()-$C$72))"),"")</f>
        <v/>
      </c>
      <c r="O449" s="61" t="str">
        <f>IFERROR(__xludf.DUMMYFUNCTION("INDIRECT(""'收支紀錄'!O""&amp;TO_TEXT(ROW()-$C$72))"),"")</f>
        <v/>
      </c>
      <c r="P449" s="61" t="str">
        <f>IFERROR(__xludf.DUMMYFUNCTION("INDIRECT(""'收支紀錄'!P""&amp;TO_TEXT(ROW()-$C$72))"),"")</f>
        <v/>
      </c>
      <c r="Q449" s="61" t="str">
        <f>IFERROR(__xludf.DUMMYFUNCTION("INDIRECT(""'收支紀錄'!Q""&amp;TO_TEXT(ROW()-$C$72))"),"")</f>
        <v/>
      </c>
      <c r="R449" s="61" t="str">
        <f>IFERROR(__xludf.DUMMYFUNCTION("INDIRECT(""'收支紀錄'!R""&amp;TO_TEXT(ROW()-$C$72))"),"")</f>
        <v/>
      </c>
      <c r="S449" s="61" t="str">
        <f>IFERROR(__xludf.DUMMYFUNCTION("INDIRECT(""'收支紀錄'!S""&amp;TO_TEXT(ROW()-$C$72))"),"")</f>
        <v/>
      </c>
      <c r="T449" s="61" t="str">
        <f>IFERROR(__xludf.DUMMYFUNCTION("INDIRECT(""'收支紀錄'!T""&amp;TO_TEXT(ROW()-$C$72))"),"")</f>
        <v/>
      </c>
      <c r="U449" s="62" t="str">
        <f>IFERROR(__xludf.DUMMYFUNCTION("IF(T449=""是"",TEXTJOIN("""", TRUE, ""$"", TO_TEXT(C449), S449),"""")"),"")</f>
        <v/>
      </c>
    </row>
    <row r="450">
      <c r="A450" s="58">
        <f>IFERROR(__xludf.DUMMYFUNCTION("INDIRECT(""'收支紀錄'!A""&amp;TO_TEXT(ROW()-$C$72))"),45615.512361030094)</f>
        <v>45615.51236</v>
      </c>
      <c r="B450" s="59">
        <f>IFERROR(__xludf.DUMMYFUNCTION("IF(ISBLANK(D450), """", IF(ISDATE(D450), D450, IF(D450=""今天"", A450, IF(D450=""昨天 (-1 day)"", A450-1, IF(D450=""前天 (-2 days)"", A450-2, IF(D450=""明天 (+1 day)"", A450+1, DATE(LEFT(D450,4), MID(D450,5,2), RIGHT(D450,2))))))))"),45616.512361030094)</f>
        <v>45616.51236</v>
      </c>
      <c r="C450" s="60">
        <f>IFERROR(__xludf.DUMMYFUNCTION("INDIRECT(""'收支紀錄'!C""&amp;TO_TEXT(ROW()-$C$72))"),387.0)</f>
        <v>387</v>
      </c>
      <c r="D450" s="63" t="str">
        <f>IFERROR(__xludf.DUMMYFUNCTION("INDIRECT(""'收支紀錄'!D""&amp;TO_TEXT(ROW()-$C$72))"),"明天 (+1 day)")</f>
        <v>明天 (+1 day)</v>
      </c>
      <c r="E450" s="61" t="str">
        <f>IFERROR(__xludf.DUMMYFUNCTION("INDIRECT(""'收支紀錄'!E""&amp;TO_TEXT(ROW()-$C$72))"),"")</f>
        <v/>
      </c>
      <c r="F450" s="61" t="str">
        <f>IFERROR(__xludf.DUMMYFUNCTION("INDIRECT(""'收支紀錄'!F""&amp;TO_TEXT(ROW()-$C$72))"),"")</f>
        <v/>
      </c>
      <c r="G450" s="61" t="str">
        <f>IFERROR(__xludf.DUMMYFUNCTION("INDIRECT(""'收支紀錄'!G""&amp;TO_TEXT(ROW()-$C$72))"),"")</f>
        <v/>
      </c>
      <c r="H450" s="61" t="str">
        <f>IFERROR(__xludf.DUMMYFUNCTION("INDIRECT(""'收支紀錄'!H""&amp;TO_TEXT(ROW()-$C$72))"),"房屋支出")</f>
        <v>房屋支出</v>
      </c>
      <c r="I450" s="61" t="str">
        <f>IFERROR(__xludf.DUMMYFUNCTION("INDIRECT(""'收支紀錄'!I""&amp;TO_TEXT(ROW()-$C$72))"),"")</f>
        <v/>
      </c>
      <c r="J450" s="61" t="str">
        <f>IFERROR(__xludf.DUMMYFUNCTION("INDIRECT(""'收支紀錄'!J""&amp;TO_TEXT(ROW()-$C$72))"),"")</f>
        <v/>
      </c>
      <c r="K450" s="61" t="str">
        <f>IFERROR(__xludf.DUMMYFUNCTION("INDIRECT(""'收支紀錄'!K""&amp;TO_TEXT(ROW()-$C$72))"),"瓦斯費")</f>
        <v>瓦斯費</v>
      </c>
      <c r="L450" s="61" t="str">
        <f>IFERROR(__xludf.DUMMYFUNCTION("INDIRECT(""'收支紀錄'!L""&amp;TO_TEXT(ROW()-$C$72))"),"")</f>
        <v/>
      </c>
      <c r="M450" s="61" t="str">
        <f>IFERROR(__xludf.DUMMYFUNCTION("INDIRECT(""'收支紀錄'!M""&amp;TO_TEXT(ROW()-$C$72))"),"")</f>
        <v/>
      </c>
      <c r="N450" s="61" t="str">
        <f>IFERROR(__xludf.DUMMYFUNCTION("INDIRECT(""'收支紀錄'!N""&amp;TO_TEXT(ROW()-$C$72))"),"")</f>
        <v/>
      </c>
      <c r="O450" s="61" t="str">
        <f>IFERROR(__xludf.DUMMYFUNCTION("INDIRECT(""'收支紀錄'!O""&amp;TO_TEXT(ROW()-$C$72))"),"")</f>
        <v/>
      </c>
      <c r="P450" s="61" t="str">
        <f>IFERROR(__xludf.DUMMYFUNCTION("INDIRECT(""'收支紀錄'!P""&amp;TO_TEXT(ROW()-$C$72))"),"")</f>
        <v/>
      </c>
      <c r="Q450" s="61" t="str">
        <f>IFERROR(__xludf.DUMMYFUNCTION("INDIRECT(""'收支紀錄'!Q""&amp;TO_TEXT(ROW()-$C$72))"),"")</f>
        <v/>
      </c>
      <c r="R450" s="61" t="str">
        <f>IFERROR(__xludf.DUMMYFUNCTION("INDIRECT(""'收支紀錄'!R""&amp;TO_TEXT(ROW()-$C$72))"),"")</f>
        <v/>
      </c>
      <c r="S450" s="61" t="str">
        <f>IFERROR(__xludf.DUMMYFUNCTION("INDIRECT(""'收支紀錄'!S""&amp;TO_TEXT(ROW()-$C$72))"),"")</f>
        <v/>
      </c>
      <c r="T450" s="61" t="str">
        <f>IFERROR(__xludf.DUMMYFUNCTION("INDIRECT(""'收支紀錄'!T""&amp;TO_TEXT(ROW()-$C$72))"),"")</f>
        <v/>
      </c>
      <c r="U450" s="62" t="str">
        <f>IFERROR(__xludf.DUMMYFUNCTION("IF(T450=""是"",TEXTJOIN("""", TRUE, ""$"", TO_TEXT(C450), S450),"""")"),"")</f>
        <v/>
      </c>
    </row>
    <row r="451">
      <c r="A451" s="58">
        <f>IFERROR(__xludf.DUMMYFUNCTION("INDIRECT(""'收支紀錄'!A""&amp;TO_TEXT(ROW()-$C$72))"),45615.88454039352)</f>
        <v>45615.88454</v>
      </c>
      <c r="B451" s="59">
        <f>IFERROR(__xludf.DUMMYFUNCTION("IF(ISBLANK(D451), """", IF(ISDATE(D451), D451, IF(D451=""今天"", A451, IF(D451=""昨天 (-1 day)"", A451-1, IF(D451=""前天 (-2 days)"", A451-2, IF(D451=""明天 (+1 day)"", A451+1, DATE(LEFT(D451,4), MID(D451,5,2), RIGHT(D451,2))))))))"),45615.88454039352)</f>
        <v>45615.88454</v>
      </c>
      <c r="C451" s="60">
        <f>IFERROR(__xludf.DUMMYFUNCTION("INDIRECT(""'收支紀錄'!C""&amp;TO_TEXT(ROW()-$C$72))"),404.0)</f>
        <v>404</v>
      </c>
      <c r="D451" s="63" t="str">
        <f>IFERROR(__xludf.DUMMYFUNCTION("INDIRECT(""'收支紀錄'!D""&amp;TO_TEXT(ROW()-$C$72))"),"今天")</f>
        <v>今天</v>
      </c>
      <c r="E451" s="61" t="str">
        <f>IFERROR(__xludf.DUMMYFUNCTION("INDIRECT(""'收支紀錄'!E""&amp;TO_TEXT(ROW()-$C$72))"),"")</f>
        <v/>
      </c>
      <c r="F451" s="61" t="str">
        <f>IFERROR(__xludf.DUMMYFUNCTION("INDIRECT(""'收支紀錄'!F""&amp;TO_TEXT(ROW()-$C$72))"),"")</f>
        <v/>
      </c>
      <c r="G451" s="61" t="str">
        <f>IFERROR(__xludf.DUMMYFUNCTION("INDIRECT(""'收支紀錄'!G""&amp;TO_TEXT(ROW()-$C$72))"),"")</f>
        <v/>
      </c>
      <c r="H451" s="61" t="str">
        <f>IFERROR(__xludf.DUMMYFUNCTION("INDIRECT(""'收支紀錄'!H""&amp;TO_TEXT(ROW()-$C$72))"),"進修學習")</f>
        <v>進修學習</v>
      </c>
      <c r="I451" s="61" t="str">
        <f>IFERROR(__xludf.DUMMYFUNCTION("INDIRECT(""'收支紀錄'!I""&amp;TO_TEXT(ROW()-$C$72))"),"")</f>
        <v/>
      </c>
      <c r="J451" s="61" t="str">
        <f>IFERROR(__xludf.DUMMYFUNCTION("INDIRECT(""'收支紀錄'!J""&amp;TO_TEXT(ROW()-$C$72))"),"")</f>
        <v/>
      </c>
      <c r="K451" s="61" t="str">
        <f>IFERROR(__xludf.DUMMYFUNCTION("INDIRECT(""'收支紀錄'!K""&amp;TO_TEXT(ROW()-$C$72))"),"")</f>
        <v/>
      </c>
      <c r="L451" s="61" t="str">
        <f>IFERROR(__xludf.DUMMYFUNCTION("INDIRECT(""'收支紀錄'!L""&amp;TO_TEXT(ROW()-$C$72))"),"")</f>
        <v/>
      </c>
      <c r="M451" s="61" t="str">
        <f>IFERROR(__xludf.DUMMYFUNCTION("INDIRECT(""'收支紀錄'!M""&amp;TO_TEXT(ROW()-$C$72))"),"")</f>
        <v/>
      </c>
      <c r="N451" s="61" t="str">
        <f>IFERROR(__xludf.DUMMYFUNCTION("INDIRECT(""'收支紀錄'!N""&amp;TO_TEXT(ROW()-$C$72))"),"")</f>
        <v/>
      </c>
      <c r="O451" s="61" t="str">
        <f>IFERROR(__xludf.DUMMYFUNCTION("INDIRECT(""'收支紀錄'!O""&amp;TO_TEXT(ROW()-$C$72))"),"")</f>
        <v/>
      </c>
      <c r="P451" s="61" t="str">
        <f>IFERROR(__xludf.DUMMYFUNCTION("INDIRECT(""'收支紀錄'!P""&amp;TO_TEXT(ROW()-$C$72))"),"書報雜誌")</f>
        <v>書報雜誌</v>
      </c>
      <c r="Q451" s="61" t="str">
        <f>IFERROR(__xludf.DUMMYFUNCTION("INDIRECT(""'收支紀錄'!Q""&amp;TO_TEXT(ROW()-$C$72))"),"")</f>
        <v/>
      </c>
      <c r="R451" s="61" t="str">
        <f>IFERROR(__xludf.DUMMYFUNCTION("INDIRECT(""'收支紀錄'!R""&amp;TO_TEXT(ROW()-$C$72))"),"")</f>
        <v/>
      </c>
      <c r="S451" s="61" t="str">
        <f>IFERROR(__xludf.DUMMYFUNCTION("INDIRECT(""'收支紀錄'!S""&amp;TO_TEXT(ROW()-$C$72))"),"")</f>
        <v/>
      </c>
      <c r="T451" s="61" t="str">
        <f>IFERROR(__xludf.DUMMYFUNCTION("INDIRECT(""'收支紀錄'!T""&amp;TO_TEXT(ROW()-$C$72))"),"")</f>
        <v/>
      </c>
      <c r="U451" s="62" t="str">
        <f>IFERROR(__xludf.DUMMYFUNCTION("IF(T451=""是"",TEXTJOIN("""", TRUE, ""$"", TO_TEXT(C451), S451),"""")"),"")</f>
        <v/>
      </c>
    </row>
    <row r="452">
      <c r="A452" s="58">
        <f>IFERROR(__xludf.DUMMYFUNCTION("INDIRECT(""'收支紀錄'!A""&amp;TO_TEXT(ROW()-$C$72))"),45616.92690465278)</f>
        <v>45616.9269</v>
      </c>
      <c r="B452" s="59">
        <f>IFERROR(__xludf.DUMMYFUNCTION("IF(ISBLANK(D452), """", IF(ISDATE(D452), D452, IF(D452=""今天"", A452, IF(D452=""昨天 (-1 day)"", A452-1, IF(D452=""前天 (-2 days)"", A452-2, IF(D452=""明天 (+1 day)"", A452+1, DATE(LEFT(D452,4), MID(D452,5,2), RIGHT(D452,2))))))))"),45616.92690465278)</f>
        <v>45616.9269</v>
      </c>
      <c r="C452" s="60">
        <f>IFERROR(__xludf.DUMMYFUNCTION("INDIRECT(""'收支紀錄'!C""&amp;TO_TEXT(ROW()-$C$72))"),230.0)</f>
        <v>230</v>
      </c>
      <c r="D452" s="63" t="str">
        <f>IFERROR(__xludf.DUMMYFUNCTION("INDIRECT(""'收支紀錄'!D""&amp;TO_TEXT(ROW()-$C$72))"),"今天")</f>
        <v>今天</v>
      </c>
      <c r="E452" s="61" t="str">
        <f>IFERROR(__xludf.DUMMYFUNCTION("INDIRECT(""'收支紀錄'!E""&amp;TO_TEXT(ROW()-$C$72))"),"")</f>
        <v/>
      </c>
      <c r="F452" s="61" t="str">
        <f>IFERROR(__xludf.DUMMYFUNCTION("INDIRECT(""'收支紀錄'!F""&amp;TO_TEXT(ROW()-$C$72))"),"")</f>
        <v/>
      </c>
      <c r="G452" s="61" t="str">
        <f>IFERROR(__xludf.DUMMYFUNCTION("INDIRECT(""'收支紀錄'!G""&amp;TO_TEXT(ROW()-$C$72))"),"")</f>
        <v/>
      </c>
      <c r="H452" s="61" t="str">
        <f>IFERROR(__xludf.DUMMYFUNCTION("INDIRECT(""'收支紀錄'!H""&amp;TO_TEXT(ROW()-$C$72))"),"食品酒水")</f>
        <v>食品酒水</v>
      </c>
      <c r="I452" s="61" t="str">
        <f>IFERROR(__xludf.DUMMYFUNCTION("INDIRECT(""'收支紀錄'!I""&amp;TO_TEXT(ROW()-$C$72))"),"宵夜")</f>
        <v>宵夜</v>
      </c>
      <c r="J452" s="61" t="str">
        <f>IFERROR(__xludf.DUMMYFUNCTION("INDIRECT(""'收支紀錄'!J""&amp;TO_TEXT(ROW()-$C$72))"),"")</f>
        <v/>
      </c>
      <c r="K452" s="61" t="str">
        <f>IFERROR(__xludf.DUMMYFUNCTION("INDIRECT(""'收支紀錄'!K""&amp;TO_TEXT(ROW()-$C$72))"),"")</f>
        <v/>
      </c>
      <c r="L452" s="61" t="str">
        <f>IFERROR(__xludf.DUMMYFUNCTION("INDIRECT(""'收支紀錄'!L""&amp;TO_TEXT(ROW()-$C$72))"),"")</f>
        <v/>
      </c>
      <c r="M452" s="61" t="str">
        <f>IFERROR(__xludf.DUMMYFUNCTION("INDIRECT(""'收支紀錄'!M""&amp;TO_TEXT(ROW()-$C$72))"),"")</f>
        <v/>
      </c>
      <c r="N452" s="61" t="str">
        <f>IFERROR(__xludf.DUMMYFUNCTION("INDIRECT(""'收支紀錄'!N""&amp;TO_TEXT(ROW()-$C$72))"),"")</f>
        <v/>
      </c>
      <c r="O452" s="61" t="str">
        <f>IFERROR(__xludf.DUMMYFUNCTION("INDIRECT(""'收支紀錄'!O""&amp;TO_TEXT(ROW()-$C$72))"),"")</f>
        <v/>
      </c>
      <c r="P452" s="61" t="str">
        <f>IFERROR(__xludf.DUMMYFUNCTION("INDIRECT(""'收支紀錄'!P""&amp;TO_TEXT(ROW()-$C$72))"),"")</f>
        <v/>
      </c>
      <c r="Q452" s="61" t="str">
        <f>IFERROR(__xludf.DUMMYFUNCTION("INDIRECT(""'收支紀錄'!Q""&amp;TO_TEXT(ROW()-$C$72))"),"")</f>
        <v/>
      </c>
      <c r="R452" s="61" t="str">
        <f>IFERROR(__xludf.DUMMYFUNCTION("INDIRECT(""'收支紀錄'!R""&amp;TO_TEXT(ROW()-$C$72))"),"")</f>
        <v/>
      </c>
      <c r="S452" s="61" t="str">
        <f>IFERROR(__xludf.DUMMYFUNCTION("INDIRECT(""'收支紀錄'!S""&amp;TO_TEXT(ROW()-$C$72))"),"")</f>
        <v/>
      </c>
      <c r="T452" s="61" t="str">
        <f>IFERROR(__xludf.DUMMYFUNCTION("INDIRECT(""'收支紀錄'!T""&amp;TO_TEXT(ROW()-$C$72))"),"")</f>
        <v/>
      </c>
      <c r="U452" s="62" t="str">
        <f>IFERROR(__xludf.DUMMYFUNCTION("IF(T452=""是"",TEXTJOIN("""", TRUE, ""$"", TO_TEXT(C452), S452),"""")"),"")</f>
        <v/>
      </c>
    </row>
    <row r="453">
      <c r="A453" s="58">
        <f>IFERROR(__xludf.DUMMYFUNCTION("INDIRECT(""'收支紀錄'!A""&amp;TO_TEXT(ROW()-$C$72))"),45616.93006425926)</f>
        <v>45616.93006</v>
      </c>
      <c r="B453" s="59">
        <f>IFERROR(__xludf.DUMMYFUNCTION("IF(ISBLANK(D453), """", IF(ISDATE(D453), D453, IF(D453=""今天"", A453, IF(D453=""昨天 (-1 day)"", A453-1, IF(D453=""前天 (-2 days)"", A453-2, IF(D453=""明天 (+1 day)"", A453+1, DATE(LEFT(D453,4), MID(D453,5,2), RIGHT(D453,2))))))))"),45616.93006425926)</f>
        <v>45616.93006</v>
      </c>
      <c r="C453" s="60">
        <f>IFERROR(__xludf.DUMMYFUNCTION("INDIRECT(""'收支紀錄'!C""&amp;TO_TEXT(ROW()-$C$72))"),100.0)</f>
        <v>100</v>
      </c>
      <c r="D453" s="63" t="str">
        <f>IFERROR(__xludf.DUMMYFUNCTION("INDIRECT(""'收支紀錄'!D""&amp;TO_TEXT(ROW()-$C$72))"),"今天")</f>
        <v>今天</v>
      </c>
      <c r="E453" s="61" t="str">
        <f>IFERROR(__xludf.DUMMYFUNCTION("INDIRECT(""'收支紀錄'!E""&amp;TO_TEXT(ROW()-$C$72))"),"")</f>
        <v/>
      </c>
      <c r="F453" s="61" t="str">
        <f>IFERROR(__xludf.DUMMYFUNCTION("INDIRECT(""'收支紀錄'!F""&amp;TO_TEXT(ROW()-$C$72))"),"")</f>
        <v/>
      </c>
      <c r="G453" s="61" t="str">
        <f>IFERROR(__xludf.DUMMYFUNCTION("INDIRECT(""'收支紀錄'!G""&amp;TO_TEXT(ROW()-$C$72))"),"")</f>
        <v/>
      </c>
      <c r="H453" s="61" t="str">
        <f>IFERROR(__xludf.DUMMYFUNCTION("INDIRECT(""'收支紀錄'!H""&amp;TO_TEXT(ROW()-$C$72))"),"休閒娛樂")</f>
        <v>休閒娛樂</v>
      </c>
      <c r="I453" s="61" t="str">
        <f>IFERROR(__xludf.DUMMYFUNCTION("INDIRECT(""'收支紀錄'!I""&amp;TO_TEXT(ROW()-$C$72))"),"")</f>
        <v/>
      </c>
      <c r="J453" s="61" t="str">
        <f>IFERROR(__xludf.DUMMYFUNCTION("INDIRECT(""'收支紀錄'!J""&amp;TO_TEXT(ROW()-$C$72))"),"")</f>
        <v/>
      </c>
      <c r="K453" s="61" t="str">
        <f>IFERROR(__xludf.DUMMYFUNCTION("INDIRECT(""'收支紀錄'!K""&amp;TO_TEXT(ROW()-$C$72))"),"")</f>
        <v/>
      </c>
      <c r="L453" s="61" t="str">
        <f>IFERROR(__xludf.DUMMYFUNCTION("INDIRECT(""'收支紀錄'!L""&amp;TO_TEXT(ROW()-$C$72))"),"")</f>
        <v/>
      </c>
      <c r="M453" s="61" t="str">
        <f>IFERROR(__xludf.DUMMYFUNCTION("INDIRECT(""'收支紀錄'!M""&amp;TO_TEXT(ROW()-$C$72))"),"運動健身")</f>
        <v>運動健身</v>
      </c>
      <c r="N453" s="61" t="str">
        <f>IFERROR(__xludf.DUMMYFUNCTION("INDIRECT(""'收支紀錄'!N""&amp;TO_TEXT(ROW()-$C$72))"),"")</f>
        <v/>
      </c>
      <c r="O453" s="61" t="str">
        <f>IFERROR(__xludf.DUMMYFUNCTION("INDIRECT(""'收支紀錄'!O""&amp;TO_TEXT(ROW()-$C$72))"),"")</f>
        <v/>
      </c>
      <c r="P453" s="61" t="str">
        <f>IFERROR(__xludf.DUMMYFUNCTION("INDIRECT(""'收支紀錄'!P""&amp;TO_TEXT(ROW()-$C$72))"),"")</f>
        <v/>
      </c>
      <c r="Q453" s="61" t="str">
        <f>IFERROR(__xludf.DUMMYFUNCTION("INDIRECT(""'收支紀錄'!Q""&amp;TO_TEXT(ROW()-$C$72))"),"")</f>
        <v/>
      </c>
      <c r="R453" s="61" t="str">
        <f>IFERROR(__xludf.DUMMYFUNCTION("INDIRECT(""'收支紀錄'!R""&amp;TO_TEXT(ROW()-$C$72))"),"")</f>
        <v/>
      </c>
      <c r="S453" s="61" t="str">
        <f>IFERROR(__xludf.DUMMYFUNCTION("INDIRECT(""'收支紀錄'!S""&amp;TO_TEXT(ROW()-$C$72))"),"")</f>
        <v/>
      </c>
      <c r="T453" s="61" t="str">
        <f>IFERROR(__xludf.DUMMYFUNCTION("INDIRECT(""'收支紀錄'!T""&amp;TO_TEXT(ROW()-$C$72))"),"")</f>
        <v/>
      </c>
      <c r="U453" s="62" t="str">
        <f>IFERROR(__xludf.DUMMYFUNCTION("IF(T453=""是"",TEXTJOIN("""", TRUE, ""$"", TO_TEXT(C453), S453),"""")"),"")</f>
        <v/>
      </c>
    </row>
    <row r="454">
      <c r="A454" s="58">
        <f>IFERROR(__xludf.DUMMYFUNCTION("INDIRECT(""'收支紀錄'!A""&amp;TO_TEXT(ROW()-$C$72))"),45617.9067840162)</f>
        <v>45617.90678</v>
      </c>
      <c r="B454" s="59">
        <f>IFERROR(__xludf.DUMMYFUNCTION("IF(ISBLANK(D454), """", IF(ISDATE(D454), D454, IF(D454=""今天"", A454, IF(D454=""昨天 (-1 day)"", A454-1, IF(D454=""前天 (-2 days)"", A454-2, IF(D454=""明天 (+1 day)"", A454+1, DATE(LEFT(D454,4), MID(D454,5,2), RIGHT(D454,2))))))))"),45617.9067840162)</f>
        <v>45617.90678</v>
      </c>
      <c r="C454" s="60">
        <f>IFERROR(__xludf.DUMMYFUNCTION("INDIRECT(""'收支紀錄'!C""&amp;TO_TEXT(ROW()-$C$72))"),140.0)</f>
        <v>140</v>
      </c>
      <c r="D454" s="63" t="str">
        <f>IFERROR(__xludf.DUMMYFUNCTION("INDIRECT(""'收支紀錄'!D""&amp;TO_TEXT(ROW()-$C$72))"),"今天")</f>
        <v>今天</v>
      </c>
      <c r="E454" s="61" t="str">
        <f>IFERROR(__xludf.DUMMYFUNCTION("INDIRECT(""'收支紀錄'!E""&amp;TO_TEXT(ROW()-$C$72))"),"")</f>
        <v/>
      </c>
      <c r="F454" s="61" t="str">
        <f>IFERROR(__xludf.DUMMYFUNCTION("INDIRECT(""'收支紀錄'!F""&amp;TO_TEXT(ROW()-$C$72))"),"")</f>
        <v/>
      </c>
      <c r="G454" s="61" t="str">
        <f>IFERROR(__xludf.DUMMYFUNCTION("INDIRECT(""'收支紀錄'!G""&amp;TO_TEXT(ROW()-$C$72))"),"")</f>
        <v/>
      </c>
      <c r="H454" s="61" t="str">
        <f>IFERROR(__xludf.DUMMYFUNCTION("INDIRECT(""'收支紀錄'!H""&amp;TO_TEXT(ROW()-$C$72))"),"行車交通")</f>
        <v>行車交通</v>
      </c>
      <c r="I454" s="61" t="str">
        <f>IFERROR(__xludf.DUMMYFUNCTION("INDIRECT(""'收支紀錄'!I""&amp;TO_TEXT(ROW()-$C$72))"),"")</f>
        <v/>
      </c>
      <c r="J454" s="61" t="str">
        <f>IFERROR(__xludf.DUMMYFUNCTION("INDIRECT(""'收支紀錄'!J""&amp;TO_TEXT(ROW()-$C$72))"),"")</f>
        <v/>
      </c>
      <c r="K454" s="61" t="str">
        <f>IFERROR(__xludf.DUMMYFUNCTION("INDIRECT(""'收支紀錄'!K""&amp;TO_TEXT(ROW()-$C$72))"),"")</f>
        <v/>
      </c>
      <c r="L454" s="61" t="str">
        <f>IFERROR(__xludf.DUMMYFUNCTION("INDIRECT(""'收支紀錄'!L""&amp;TO_TEXT(ROW()-$C$72))"),"加油")</f>
        <v>加油</v>
      </c>
      <c r="M454" s="61" t="str">
        <f>IFERROR(__xludf.DUMMYFUNCTION("INDIRECT(""'收支紀錄'!M""&amp;TO_TEXT(ROW()-$C$72))"),"")</f>
        <v/>
      </c>
      <c r="N454" s="61" t="str">
        <f>IFERROR(__xludf.DUMMYFUNCTION("INDIRECT(""'收支紀錄'!N""&amp;TO_TEXT(ROW()-$C$72))"),"")</f>
        <v/>
      </c>
      <c r="O454" s="61" t="str">
        <f>IFERROR(__xludf.DUMMYFUNCTION("INDIRECT(""'收支紀錄'!O""&amp;TO_TEXT(ROW()-$C$72))"),"")</f>
        <v/>
      </c>
      <c r="P454" s="61" t="str">
        <f>IFERROR(__xludf.DUMMYFUNCTION("INDIRECT(""'收支紀錄'!P""&amp;TO_TEXT(ROW()-$C$72))"),"")</f>
        <v/>
      </c>
      <c r="Q454" s="61" t="str">
        <f>IFERROR(__xludf.DUMMYFUNCTION("INDIRECT(""'收支紀錄'!Q""&amp;TO_TEXT(ROW()-$C$72))"),"")</f>
        <v/>
      </c>
      <c r="R454" s="61" t="str">
        <f>IFERROR(__xludf.DUMMYFUNCTION("INDIRECT(""'收支紀錄'!R""&amp;TO_TEXT(ROW()-$C$72))"),"")</f>
        <v/>
      </c>
      <c r="S454" s="61" t="str">
        <f>IFERROR(__xludf.DUMMYFUNCTION("INDIRECT(""'收支紀錄'!S""&amp;TO_TEXT(ROW()-$C$72))"),"")</f>
        <v/>
      </c>
      <c r="T454" s="61" t="str">
        <f>IFERROR(__xludf.DUMMYFUNCTION("INDIRECT(""'收支紀錄'!T""&amp;TO_TEXT(ROW()-$C$72))"),"")</f>
        <v/>
      </c>
      <c r="U454" s="62" t="str">
        <f>IFERROR(__xludf.DUMMYFUNCTION("IF(T454=""是"",TEXTJOIN("""", TRUE, ""$"", TO_TEXT(C454), S454),"""")"),"")</f>
        <v/>
      </c>
    </row>
    <row r="455">
      <c r="A455" s="58">
        <f>IFERROR(__xludf.DUMMYFUNCTION("INDIRECT(""'收支紀錄'!A""&amp;TO_TEXT(ROW()-$C$72))"),45617.907045127315)</f>
        <v>45617.90705</v>
      </c>
      <c r="B455" s="59">
        <f>IFERROR(__xludf.DUMMYFUNCTION("IF(ISBLANK(D455), """", IF(ISDATE(D455), D455, IF(D455=""今天"", A455, IF(D455=""昨天 (-1 day)"", A455-1, IF(D455=""前天 (-2 days)"", A455-2, IF(D455=""明天 (+1 day)"", A455+1, DATE(LEFT(D455,4), MID(D455,5,2), RIGHT(D455,2))))))))"),45617.907045127315)</f>
        <v>45617.90705</v>
      </c>
      <c r="C455" s="60">
        <f>IFERROR(__xludf.DUMMYFUNCTION("INDIRECT(""'收支紀錄'!C""&amp;TO_TEXT(ROW()-$C$72))"),55.0)</f>
        <v>55</v>
      </c>
      <c r="D455" s="63" t="str">
        <f>IFERROR(__xludf.DUMMYFUNCTION("INDIRECT(""'收支紀錄'!D""&amp;TO_TEXT(ROW()-$C$72))"),"今天")</f>
        <v>今天</v>
      </c>
      <c r="E455" s="61" t="str">
        <f>IFERROR(__xludf.DUMMYFUNCTION("INDIRECT(""'收支紀錄'!E""&amp;TO_TEXT(ROW()-$C$72))"),"")</f>
        <v/>
      </c>
      <c r="F455" s="61" t="str">
        <f>IFERROR(__xludf.DUMMYFUNCTION("INDIRECT(""'收支紀錄'!F""&amp;TO_TEXT(ROW()-$C$72))"),"")</f>
        <v/>
      </c>
      <c r="G455" s="61" t="str">
        <f>IFERROR(__xludf.DUMMYFUNCTION("INDIRECT(""'收支紀錄'!G""&amp;TO_TEXT(ROW()-$C$72))"),"")</f>
        <v/>
      </c>
      <c r="H455" s="61" t="str">
        <f>IFERROR(__xludf.DUMMYFUNCTION("INDIRECT(""'收支紀錄'!H""&amp;TO_TEXT(ROW()-$C$72))"),"食品酒水")</f>
        <v>食品酒水</v>
      </c>
      <c r="I455" s="61" t="str">
        <f>IFERROR(__xludf.DUMMYFUNCTION("INDIRECT(""'收支紀錄'!I""&amp;TO_TEXT(ROW()-$C$72))"),"餐飲票券")</f>
        <v>餐飲票券</v>
      </c>
      <c r="J455" s="61" t="str">
        <f>IFERROR(__xludf.DUMMYFUNCTION("INDIRECT(""'收支紀錄'!J""&amp;TO_TEXT(ROW()-$C$72))"),"")</f>
        <v/>
      </c>
      <c r="K455" s="61" t="str">
        <f>IFERROR(__xludf.DUMMYFUNCTION("INDIRECT(""'收支紀錄'!K""&amp;TO_TEXT(ROW()-$C$72))"),"")</f>
        <v/>
      </c>
      <c r="L455" s="61" t="str">
        <f>IFERROR(__xludf.DUMMYFUNCTION("INDIRECT(""'收支紀錄'!L""&amp;TO_TEXT(ROW()-$C$72))"),"")</f>
        <v/>
      </c>
      <c r="M455" s="61" t="str">
        <f>IFERROR(__xludf.DUMMYFUNCTION("INDIRECT(""'收支紀錄'!M""&amp;TO_TEXT(ROW()-$C$72))"),"")</f>
        <v/>
      </c>
      <c r="N455" s="61" t="str">
        <f>IFERROR(__xludf.DUMMYFUNCTION("INDIRECT(""'收支紀錄'!N""&amp;TO_TEXT(ROW()-$C$72))"),"")</f>
        <v/>
      </c>
      <c r="O455" s="61" t="str">
        <f>IFERROR(__xludf.DUMMYFUNCTION("INDIRECT(""'收支紀錄'!O""&amp;TO_TEXT(ROW()-$C$72))"),"")</f>
        <v/>
      </c>
      <c r="P455" s="61" t="str">
        <f>IFERROR(__xludf.DUMMYFUNCTION("INDIRECT(""'收支紀錄'!P""&amp;TO_TEXT(ROW()-$C$72))"),"")</f>
        <v/>
      </c>
      <c r="Q455" s="61" t="str">
        <f>IFERROR(__xludf.DUMMYFUNCTION("INDIRECT(""'收支紀錄'!Q""&amp;TO_TEXT(ROW()-$C$72))"),"")</f>
        <v/>
      </c>
      <c r="R455" s="61" t="str">
        <f>IFERROR(__xludf.DUMMYFUNCTION("INDIRECT(""'收支紀錄'!R""&amp;TO_TEXT(ROW()-$C$72))"),"")</f>
        <v/>
      </c>
      <c r="S455" s="61" t="str">
        <f>IFERROR(__xludf.DUMMYFUNCTION("INDIRECT(""'收支紀錄'!S""&amp;TO_TEXT(ROW()-$C$72))"),"")</f>
        <v/>
      </c>
      <c r="T455" s="61" t="str">
        <f>IFERROR(__xludf.DUMMYFUNCTION("INDIRECT(""'收支紀錄'!T""&amp;TO_TEXT(ROW()-$C$72))"),"")</f>
        <v/>
      </c>
      <c r="U455" s="62" t="str">
        <f>IFERROR(__xludf.DUMMYFUNCTION("IF(T455=""是"",TEXTJOIN("""", TRUE, ""$"", TO_TEXT(C455), S455),"""")"),"")</f>
        <v/>
      </c>
    </row>
    <row r="456">
      <c r="A456" s="58">
        <f>IFERROR(__xludf.DUMMYFUNCTION("INDIRECT(""'收支紀錄'!A""&amp;TO_TEXT(ROW()-$C$72))"),45619.90555486111)</f>
        <v>45619.90555</v>
      </c>
      <c r="B456" s="59">
        <f>IFERROR(__xludf.DUMMYFUNCTION("IF(ISBLANK(D456), """", IF(ISDATE(D456), D456, IF(D456=""今天"", A456, IF(D456=""昨天 (-1 day)"", A456-1, IF(D456=""前天 (-2 days)"", A456-2, IF(D456=""明天 (+1 day)"", A456+1, DATE(LEFT(D456,4), MID(D456,5,2), RIGHT(D456,2))))))))"),45619.90555486111)</f>
        <v>45619.90555</v>
      </c>
      <c r="C456" s="60">
        <f>IFERROR(__xludf.DUMMYFUNCTION("INDIRECT(""'收支紀錄'!C""&amp;TO_TEXT(ROW()-$C$72))"),85.0)</f>
        <v>85</v>
      </c>
      <c r="D456" s="63" t="str">
        <f>IFERROR(__xludf.DUMMYFUNCTION("INDIRECT(""'收支紀錄'!D""&amp;TO_TEXT(ROW()-$C$72))"),"今天")</f>
        <v>今天</v>
      </c>
      <c r="E456" s="61" t="str">
        <f>IFERROR(__xludf.DUMMYFUNCTION("INDIRECT(""'收支紀錄'!E""&amp;TO_TEXT(ROW()-$C$72))"),"")</f>
        <v/>
      </c>
      <c r="F456" s="61" t="str">
        <f>IFERROR(__xludf.DUMMYFUNCTION("INDIRECT(""'收支紀錄'!F""&amp;TO_TEXT(ROW()-$C$72))"),"")</f>
        <v/>
      </c>
      <c r="G456" s="61" t="str">
        <f>IFERROR(__xludf.DUMMYFUNCTION("INDIRECT(""'收支紀錄'!G""&amp;TO_TEXT(ROW()-$C$72))"),"")</f>
        <v/>
      </c>
      <c r="H456" s="61" t="str">
        <f>IFERROR(__xludf.DUMMYFUNCTION("INDIRECT(""'收支紀錄'!H""&amp;TO_TEXT(ROW()-$C$72))"),"食品酒水")</f>
        <v>食品酒水</v>
      </c>
      <c r="I456" s="61" t="str">
        <f>IFERROR(__xludf.DUMMYFUNCTION("INDIRECT(""'收支紀錄'!I""&amp;TO_TEXT(ROW()-$C$72))"),"早餐")</f>
        <v>早餐</v>
      </c>
      <c r="J456" s="61" t="str">
        <f>IFERROR(__xludf.DUMMYFUNCTION("INDIRECT(""'收支紀錄'!J""&amp;TO_TEXT(ROW()-$C$72))"),"")</f>
        <v/>
      </c>
      <c r="K456" s="61" t="str">
        <f>IFERROR(__xludf.DUMMYFUNCTION("INDIRECT(""'收支紀錄'!K""&amp;TO_TEXT(ROW()-$C$72))"),"")</f>
        <v/>
      </c>
      <c r="L456" s="61" t="str">
        <f>IFERROR(__xludf.DUMMYFUNCTION("INDIRECT(""'收支紀錄'!L""&amp;TO_TEXT(ROW()-$C$72))"),"")</f>
        <v/>
      </c>
      <c r="M456" s="61" t="str">
        <f>IFERROR(__xludf.DUMMYFUNCTION("INDIRECT(""'收支紀錄'!M""&amp;TO_TEXT(ROW()-$C$72))"),"")</f>
        <v/>
      </c>
      <c r="N456" s="61" t="str">
        <f>IFERROR(__xludf.DUMMYFUNCTION("INDIRECT(""'收支紀錄'!N""&amp;TO_TEXT(ROW()-$C$72))"),"")</f>
        <v/>
      </c>
      <c r="O456" s="61" t="str">
        <f>IFERROR(__xludf.DUMMYFUNCTION("INDIRECT(""'收支紀錄'!O""&amp;TO_TEXT(ROW()-$C$72))"),"")</f>
        <v/>
      </c>
      <c r="P456" s="61" t="str">
        <f>IFERROR(__xludf.DUMMYFUNCTION("INDIRECT(""'收支紀錄'!P""&amp;TO_TEXT(ROW()-$C$72))"),"")</f>
        <v/>
      </c>
      <c r="Q456" s="61" t="str">
        <f>IFERROR(__xludf.DUMMYFUNCTION("INDIRECT(""'收支紀錄'!Q""&amp;TO_TEXT(ROW()-$C$72))"),"")</f>
        <v/>
      </c>
      <c r="R456" s="61" t="str">
        <f>IFERROR(__xludf.DUMMYFUNCTION("INDIRECT(""'收支紀錄'!R""&amp;TO_TEXT(ROW()-$C$72))"),"")</f>
        <v/>
      </c>
      <c r="S456" s="61" t="str">
        <f>IFERROR(__xludf.DUMMYFUNCTION("INDIRECT(""'收支紀錄'!S""&amp;TO_TEXT(ROW()-$C$72))"),"")</f>
        <v/>
      </c>
      <c r="T456" s="61" t="str">
        <f>IFERROR(__xludf.DUMMYFUNCTION("INDIRECT(""'收支紀錄'!T""&amp;TO_TEXT(ROW()-$C$72))"),"")</f>
        <v/>
      </c>
      <c r="U456" s="62" t="str">
        <f>IFERROR(__xludf.DUMMYFUNCTION("IF(T456=""是"",TEXTJOIN("""", TRUE, ""$"", TO_TEXT(C456), S456),"""")"),"")</f>
        <v/>
      </c>
    </row>
    <row r="457">
      <c r="A457" s="58">
        <f>IFERROR(__xludf.DUMMYFUNCTION("INDIRECT(""'收支紀錄'!A""&amp;TO_TEXT(ROW()-$C$72))"),45619.90571864584)</f>
        <v>45619.90572</v>
      </c>
      <c r="B457" s="59">
        <f>IFERROR(__xludf.DUMMYFUNCTION("IF(ISBLANK(D457), """", IF(ISDATE(D457), D457, IF(D457=""今天"", A457, IF(D457=""昨天 (-1 day)"", A457-1, IF(D457=""前天 (-2 days)"", A457-2, IF(D457=""明天 (+1 day)"", A457+1, DATE(LEFT(D457,4), MID(D457,5,2), RIGHT(D457,2))))))))"),45619.90571864584)</f>
        <v>45619.90572</v>
      </c>
      <c r="C457" s="60">
        <f>IFERROR(__xludf.DUMMYFUNCTION("INDIRECT(""'收支紀錄'!C""&amp;TO_TEXT(ROW()-$C$72))"),265.0)</f>
        <v>265</v>
      </c>
      <c r="D457" s="63" t="str">
        <f>IFERROR(__xludf.DUMMYFUNCTION("INDIRECT(""'收支紀錄'!D""&amp;TO_TEXT(ROW()-$C$72))"),"今天")</f>
        <v>今天</v>
      </c>
      <c r="E457" s="61" t="str">
        <f>IFERROR(__xludf.DUMMYFUNCTION("INDIRECT(""'收支紀錄'!E""&amp;TO_TEXT(ROW()-$C$72))"),"")</f>
        <v/>
      </c>
      <c r="F457" s="61" t="str">
        <f>IFERROR(__xludf.DUMMYFUNCTION("INDIRECT(""'收支紀錄'!F""&amp;TO_TEXT(ROW()-$C$72))"),"")</f>
        <v/>
      </c>
      <c r="G457" s="61" t="str">
        <f>IFERROR(__xludf.DUMMYFUNCTION("INDIRECT(""'收支紀錄'!G""&amp;TO_TEXT(ROW()-$C$72))"),"")</f>
        <v/>
      </c>
      <c r="H457" s="61" t="str">
        <f>IFERROR(__xludf.DUMMYFUNCTION("INDIRECT(""'收支紀錄'!H""&amp;TO_TEXT(ROW()-$C$72))"),"食品酒水")</f>
        <v>食品酒水</v>
      </c>
      <c r="I457" s="61" t="str">
        <f>IFERROR(__xludf.DUMMYFUNCTION("INDIRECT(""'收支紀錄'!I""&amp;TO_TEXT(ROW()-$C$72))"),"午餐")</f>
        <v>午餐</v>
      </c>
      <c r="J457" s="61" t="str">
        <f>IFERROR(__xludf.DUMMYFUNCTION("INDIRECT(""'收支紀錄'!J""&amp;TO_TEXT(ROW()-$C$72))"),"")</f>
        <v/>
      </c>
      <c r="K457" s="61" t="str">
        <f>IFERROR(__xludf.DUMMYFUNCTION("INDIRECT(""'收支紀錄'!K""&amp;TO_TEXT(ROW()-$C$72))"),"")</f>
        <v/>
      </c>
      <c r="L457" s="61" t="str">
        <f>IFERROR(__xludf.DUMMYFUNCTION("INDIRECT(""'收支紀錄'!L""&amp;TO_TEXT(ROW()-$C$72))"),"")</f>
        <v/>
      </c>
      <c r="M457" s="61" t="str">
        <f>IFERROR(__xludf.DUMMYFUNCTION("INDIRECT(""'收支紀錄'!M""&amp;TO_TEXT(ROW()-$C$72))"),"")</f>
        <v/>
      </c>
      <c r="N457" s="61" t="str">
        <f>IFERROR(__xludf.DUMMYFUNCTION("INDIRECT(""'收支紀錄'!N""&amp;TO_TEXT(ROW()-$C$72))"),"")</f>
        <v/>
      </c>
      <c r="O457" s="61" t="str">
        <f>IFERROR(__xludf.DUMMYFUNCTION("INDIRECT(""'收支紀錄'!O""&amp;TO_TEXT(ROW()-$C$72))"),"")</f>
        <v/>
      </c>
      <c r="P457" s="61" t="str">
        <f>IFERROR(__xludf.DUMMYFUNCTION("INDIRECT(""'收支紀錄'!P""&amp;TO_TEXT(ROW()-$C$72))"),"")</f>
        <v/>
      </c>
      <c r="Q457" s="61" t="str">
        <f>IFERROR(__xludf.DUMMYFUNCTION("INDIRECT(""'收支紀錄'!Q""&amp;TO_TEXT(ROW()-$C$72))"),"")</f>
        <v/>
      </c>
      <c r="R457" s="61" t="str">
        <f>IFERROR(__xludf.DUMMYFUNCTION("INDIRECT(""'收支紀錄'!R""&amp;TO_TEXT(ROW()-$C$72))"),"")</f>
        <v/>
      </c>
      <c r="S457" s="61" t="str">
        <f>IFERROR(__xludf.DUMMYFUNCTION("INDIRECT(""'收支紀錄'!S""&amp;TO_TEXT(ROW()-$C$72))"),"")</f>
        <v/>
      </c>
      <c r="T457" s="61" t="str">
        <f>IFERROR(__xludf.DUMMYFUNCTION("INDIRECT(""'收支紀錄'!T""&amp;TO_TEXT(ROW()-$C$72))"),"")</f>
        <v/>
      </c>
      <c r="U457" s="62" t="str">
        <f>IFERROR(__xludf.DUMMYFUNCTION("IF(T457=""是"",TEXTJOIN("""", TRUE, ""$"", TO_TEXT(C457), S457),"""")"),"")</f>
        <v/>
      </c>
    </row>
    <row r="458">
      <c r="A458" s="58">
        <f>IFERROR(__xludf.DUMMYFUNCTION("INDIRECT(""'收支紀錄'!A""&amp;TO_TEXT(ROW()-$C$72))"),45620.36918688657)</f>
        <v>45620.36919</v>
      </c>
      <c r="B458" s="59">
        <f>IFERROR(__xludf.DUMMYFUNCTION("IF(ISBLANK(D458), """", IF(ISDATE(D458), D458, IF(D458=""今天"", A458, IF(D458=""昨天 (-1 day)"", A458-1, IF(D458=""前天 (-2 days)"", A458-2, IF(D458=""明天 (+1 day)"", A458+1, DATE(LEFT(D458,4), MID(D458,5,2), RIGHT(D458,2))))))))"),45635.0)</f>
        <v>45635</v>
      </c>
      <c r="C458" s="60">
        <f>IFERROR(__xludf.DUMMYFUNCTION("INDIRECT(""'收支紀錄'!C""&amp;TO_TEXT(ROW()-$C$72))"),616.0)</f>
        <v>616</v>
      </c>
      <c r="D458" s="63">
        <f>IFERROR(__xludf.DUMMYFUNCTION("INDIRECT(""'收支紀錄'!D""&amp;TO_TEXT(ROW()-$C$72))"),2.0241209E7)</f>
        <v>20241209</v>
      </c>
      <c r="E458" s="61" t="str">
        <f>IFERROR(__xludf.DUMMYFUNCTION("INDIRECT(""'收支紀錄'!E""&amp;TO_TEXT(ROW()-$C$72))"),"")</f>
        <v/>
      </c>
      <c r="F458" s="61" t="str">
        <f>IFERROR(__xludf.DUMMYFUNCTION("INDIRECT(""'收支紀錄'!F""&amp;TO_TEXT(ROW()-$C$72))"),"")</f>
        <v/>
      </c>
      <c r="G458" s="61" t="str">
        <f>IFERROR(__xludf.DUMMYFUNCTION("INDIRECT(""'收支紀錄'!G""&amp;TO_TEXT(ROW()-$C$72))"),"")</f>
        <v/>
      </c>
      <c r="H458" s="61" t="str">
        <f>IFERROR(__xludf.DUMMYFUNCTION("INDIRECT(""'收支紀錄'!H""&amp;TO_TEXT(ROW()-$C$72))"),"行車交通")</f>
        <v>行車交通</v>
      </c>
      <c r="I458" s="61" t="str">
        <f>IFERROR(__xludf.DUMMYFUNCTION("INDIRECT(""'收支紀錄'!I""&amp;TO_TEXT(ROW()-$C$72))"),"")</f>
        <v/>
      </c>
      <c r="J458" s="61" t="str">
        <f>IFERROR(__xludf.DUMMYFUNCTION("INDIRECT(""'收支紀錄'!J""&amp;TO_TEXT(ROW()-$C$72))"),"")</f>
        <v/>
      </c>
      <c r="K458" s="61" t="str">
        <f>IFERROR(__xludf.DUMMYFUNCTION("INDIRECT(""'收支紀錄'!K""&amp;TO_TEXT(ROW()-$C$72))"),"")</f>
        <v/>
      </c>
      <c r="L458" s="61" t="str">
        <f>IFERROR(__xludf.DUMMYFUNCTION("INDIRECT(""'收支紀錄'!L""&amp;TO_TEXT(ROW()-$C$72))"),"火車費")</f>
        <v>火車費</v>
      </c>
      <c r="M458" s="61" t="str">
        <f>IFERROR(__xludf.DUMMYFUNCTION("INDIRECT(""'收支紀錄'!M""&amp;TO_TEXT(ROW()-$C$72))"),"")</f>
        <v/>
      </c>
      <c r="N458" s="61" t="str">
        <f>IFERROR(__xludf.DUMMYFUNCTION("INDIRECT(""'收支紀錄'!N""&amp;TO_TEXT(ROW()-$C$72))"),"")</f>
        <v/>
      </c>
      <c r="O458" s="61" t="str">
        <f>IFERROR(__xludf.DUMMYFUNCTION("INDIRECT(""'收支紀錄'!O""&amp;TO_TEXT(ROW()-$C$72))"),"")</f>
        <v/>
      </c>
      <c r="P458" s="61" t="str">
        <f>IFERROR(__xludf.DUMMYFUNCTION("INDIRECT(""'收支紀錄'!P""&amp;TO_TEXT(ROW()-$C$72))"),"")</f>
        <v/>
      </c>
      <c r="Q458" s="61" t="str">
        <f>IFERROR(__xludf.DUMMYFUNCTION("INDIRECT(""'收支紀錄'!Q""&amp;TO_TEXT(ROW()-$C$72))"),"")</f>
        <v/>
      </c>
      <c r="R458" s="61" t="str">
        <f>IFERROR(__xludf.DUMMYFUNCTION("INDIRECT(""'收支紀錄'!R""&amp;TO_TEXT(ROW()-$C$72))"),"")</f>
        <v/>
      </c>
      <c r="S458" s="61" t="str">
        <f>IFERROR(__xludf.DUMMYFUNCTION("INDIRECT(""'收支紀錄'!S""&amp;TO_TEXT(ROW()-$C$72))"),"")</f>
        <v/>
      </c>
      <c r="T458" s="61" t="str">
        <f>IFERROR(__xludf.DUMMYFUNCTION("INDIRECT(""'收支紀錄'!T""&amp;TO_TEXT(ROW()-$C$72))"),"")</f>
        <v/>
      </c>
      <c r="U458" s="62" t="str">
        <f>IFERROR(__xludf.DUMMYFUNCTION("IF(T458=""是"",TEXTJOIN("""", TRUE, ""$"", TO_TEXT(C458), S458),"""")"),"")</f>
        <v/>
      </c>
    </row>
    <row r="459">
      <c r="A459" s="58">
        <f>IFERROR(__xludf.DUMMYFUNCTION("INDIRECT(""'收支紀錄'!A""&amp;TO_TEXT(ROW()-$C$72))"),45620.90667552083)</f>
        <v>45620.90668</v>
      </c>
      <c r="B459" s="59">
        <f>IFERROR(__xludf.DUMMYFUNCTION("IF(ISBLANK(D459), """", IF(ISDATE(D459), D459, IF(D459=""今天"", A459, IF(D459=""昨天 (-1 day)"", A459-1, IF(D459=""前天 (-2 days)"", A459-2, IF(D459=""明天 (+1 day)"", A459+1, DATE(LEFT(D459,4), MID(D459,5,2), RIGHT(D459,2))))))))"),45620.90667552083)</f>
        <v>45620.90668</v>
      </c>
      <c r="C459" s="60">
        <f>IFERROR(__xludf.DUMMYFUNCTION("INDIRECT(""'收支紀錄'!C""&amp;TO_TEXT(ROW()-$C$72))"),175.0)</f>
        <v>175</v>
      </c>
      <c r="D459" s="63" t="str">
        <f>IFERROR(__xludf.DUMMYFUNCTION("INDIRECT(""'收支紀錄'!D""&amp;TO_TEXT(ROW()-$C$72))"),"今天")</f>
        <v>今天</v>
      </c>
      <c r="E459" s="61" t="str">
        <f>IFERROR(__xludf.DUMMYFUNCTION("INDIRECT(""'收支紀錄'!E""&amp;TO_TEXT(ROW()-$C$72))"),"")</f>
        <v/>
      </c>
      <c r="F459" s="61" t="str">
        <f>IFERROR(__xludf.DUMMYFUNCTION("INDIRECT(""'收支紀錄'!F""&amp;TO_TEXT(ROW()-$C$72))"),"")</f>
        <v/>
      </c>
      <c r="G459" s="61" t="str">
        <f>IFERROR(__xludf.DUMMYFUNCTION("INDIRECT(""'收支紀錄'!G""&amp;TO_TEXT(ROW()-$C$72))"),"")</f>
        <v/>
      </c>
      <c r="H459" s="61" t="str">
        <f>IFERROR(__xludf.DUMMYFUNCTION("INDIRECT(""'收支紀錄'!H""&amp;TO_TEXT(ROW()-$C$72))"),"食品酒水")</f>
        <v>食品酒水</v>
      </c>
      <c r="I459" s="61" t="str">
        <f>IFERROR(__xludf.DUMMYFUNCTION("INDIRECT(""'收支紀錄'!I""&amp;TO_TEXT(ROW()-$C$72))"),"宵夜")</f>
        <v>宵夜</v>
      </c>
      <c r="J459" s="61" t="str">
        <f>IFERROR(__xludf.DUMMYFUNCTION("INDIRECT(""'收支紀錄'!J""&amp;TO_TEXT(ROW()-$C$72))"),"")</f>
        <v/>
      </c>
      <c r="K459" s="61" t="str">
        <f>IFERROR(__xludf.DUMMYFUNCTION("INDIRECT(""'收支紀錄'!K""&amp;TO_TEXT(ROW()-$C$72))"),"")</f>
        <v/>
      </c>
      <c r="L459" s="61" t="str">
        <f>IFERROR(__xludf.DUMMYFUNCTION("INDIRECT(""'收支紀錄'!L""&amp;TO_TEXT(ROW()-$C$72))"),"")</f>
        <v/>
      </c>
      <c r="M459" s="61" t="str">
        <f>IFERROR(__xludf.DUMMYFUNCTION("INDIRECT(""'收支紀錄'!M""&amp;TO_TEXT(ROW()-$C$72))"),"")</f>
        <v/>
      </c>
      <c r="N459" s="61" t="str">
        <f>IFERROR(__xludf.DUMMYFUNCTION("INDIRECT(""'收支紀錄'!N""&amp;TO_TEXT(ROW()-$C$72))"),"")</f>
        <v/>
      </c>
      <c r="O459" s="61" t="str">
        <f>IFERROR(__xludf.DUMMYFUNCTION("INDIRECT(""'收支紀錄'!O""&amp;TO_TEXT(ROW()-$C$72))"),"")</f>
        <v/>
      </c>
      <c r="P459" s="61" t="str">
        <f>IFERROR(__xludf.DUMMYFUNCTION("INDIRECT(""'收支紀錄'!P""&amp;TO_TEXT(ROW()-$C$72))"),"")</f>
        <v/>
      </c>
      <c r="Q459" s="61" t="str">
        <f>IFERROR(__xludf.DUMMYFUNCTION("INDIRECT(""'收支紀錄'!Q""&amp;TO_TEXT(ROW()-$C$72))"),"")</f>
        <v/>
      </c>
      <c r="R459" s="61" t="str">
        <f>IFERROR(__xludf.DUMMYFUNCTION("INDIRECT(""'收支紀錄'!R""&amp;TO_TEXT(ROW()-$C$72))"),"")</f>
        <v/>
      </c>
      <c r="S459" s="61" t="str">
        <f>IFERROR(__xludf.DUMMYFUNCTION("INDIRECT(""'收支紀錄'!S""&amp;TO_TEXT(ROW()-$C$72))"),"")</f>
        <v/>
      </c>
      <c r="T459" s="61" t="str">
        <f>IFERROR(__xludf.DUMMYFUNCTION("INDIRECT(""'收支紀錄'!T""&amp;TO_TEXT(ROW()-$C$72))"),"")</f>
        <v/>
      </c>
      <c r="U459" s="62" t="str">
        <f>IFERROR(__xludf.DUMMYFUNCTION("IF(T459=""是"",TEXTJOIN("""", TRUE, ""$"", TO_TEXT(C459), S459),"""")"),"")</f>
        <v/>
      </c>
    </row>
    <row r="460">
      <c r="A460" s="58">
        <f>IFERROR(__xludf.DUMMYFUNCTION("INDIRECT(""'收支紀錄'!A""&amp;TO_TEXT(ROW()-$C$72))"),45620.98358429398)</f>
        <v>45620.98358</v>
      </c>
      <c r="B460" s="59">
        <f>IFERROR(__xludf.DUMMYFUNCTION("IF(ISBLANK(D460), """", IF(ISDATE(D460), D460, IF(D460=""今天"", A460, IF(D460=""昨天 (-1 day)"", A460-1, IF(D460=""前天 (-2 days)"", A460-2, IF(D460=""明天 (+1 day)"", A460+1, DATE(LEFT(D460,4), MID(D460,5,2), RIGHT(D460,2))))))))"),45620.98358429398)</f>
        <v>45620.98358</v>
      </c>
      <c r="C460" s="60">
        <f>IFERROR(__xludf.DUMMYFUNCTION("INDIRECT(""'收支紀錄'!C""&amp;TO_TEXT(ROW()-$C$72))"),133.0)</f>
        <v>133</v>
      </c>
      <c r="D460" s="63" t="str">
        <f>IFERROR(__xludf.DUMMYFUNCTION("INDIRECT(""'收支紀錄'!D""&amp;TO_TEXT(ROW()-$C$72))"),"今天")</f>
        <v>今天</v>
      </c>
      <c r="E460" s="61" t="str">
        <f>IFERROR(__xludf.DUMMYFUNCTION("INDIRECT(""'收支紀錄'!E""&amp;TO_TEXT(ROW()-$C$72))"),"")</f>
        <v/>
      </c>
      <c r="F460" s="61" t="str">
        <f>IFERROR(__xludf.DUMMYFUNCTION("INDIRECT(""'收支紀錄'!F""&amp;TO_TEXT(ROW()-$C$72))"),"")</f>
        <v/>
      </c>
      <c r="G460" s="61" t="str">
        <f>IFERROR(__xludf.DUMMYFUNCTION("INDIRECT(""'收支紀錄'!G""&amp;TO_TEXT(ROW()-$C$72))"),"")</f>
        <v/>
      </c>
      <c r="H460" s="61" t="str">
        <f>IFERROR(__xludf.DUMMYFUNCTION("INDIRECT(""'收支紀錄'!H""&amp;TO_TEXT(ROW()-$C$72))"),"食品酒水")</f>
        <v>食品酒水</v>
      </c>
      <c r="I460" s="61" t="str">
        <f>IFERROR(__xludf.DUMMYFUNCTION("INDIRECT(""'收支紀錄'!I""&amp;TO_TEXT(ROW()-$C$72))"),"早餐")</f>
        <v>早餐</v>
      </c>
      <c r="J460" s="61" t="str">
        <f>IFERROR(__xludf.DUMMYFUNCTION("INDIRECT(""'收支紀錄'!J""&amp;TO_TEXT(ROW()-$C$72))"),"")</f>
        <v/>
      </c>
      <c r="K460" s="61" t="str">
        <f>IFERROR(__xludf.DUMMYFUNCTION("INDIRECT(""'收支紀錄'!K""&amp;TO_TEXT(ROW()-$C$72))"),"")</f>
        <v/>
      </c>
      <c r="L460" s="61" t="str">
        <f>IFERROR(__xludf.DUMMYFUNCTION("INDIRECT(""'收支紀錄'!L""&amp;TO_TEXT(ROW()-$C$72))"),"")</f>
        <v/>
      </c>
      <c r="M460" s="61" t="str">
        <f>IFERROR(__xludf.DUMMYFUNCTION("INDIRECT(""'收支紀錄'!M""&amp;TO_TEXT(ROW()-$C$72))"),"")</f>
        <v/>
      </c>
      <c r="N460" s="61" t="str">
        <f>IFERROR(__xludf.DUMMYFUNCTION("INDIRECT(""'收支紀錄'!N""&amp;TO_TEXT(ROW()-$C$72))"),"")</f>
        <v/>
      </c>
      <c r="O460" s="61" t="str">
        <f>IFERROR(__xludf.DUMMYFUNCTION("INDIRECT(""'收支紀錄'!O""&amp;TO_TEXT(ROW()-$C$72))"),"")</f>
        <v/>
      </c>
      <c r="P460" s="61" t="str">
        <f>IFERROR(__xludf.DUMMYFUNCTION("INDIRECT(""'收支紀錄'!P""&amp;TO_TEXT(ROW()-$C$72))"),"")</f>
        <v/>
      </c>
      <c r="Q460" s="61" t="str">
        <f>IFERROR(__xludf.DUMMYFUNCTION("INDIRECT(""'收支紀錄'!Q""&amp;TO_TEXT(ROW()-$C$72))"),"")</f>
        <v/>
      </c>
      <c r="R460" s="61" t="str">
        <f>IFERROR(__xludf.DUMMYFUNCTION("INDIRECT(""'收支紀錄'!R""&amp;TO_TEXT(ROW()-$C$72))"),"")</f>
        <v/>
      </c>
      <c r="S460" s="61" t="str">
        <f>IFERROR(__xludf.DUMMYFUNCTION("INDIRECT(""'收支紀錄'!S""&amp;TO_TEXT(ROW()-$C$72))"),"")</f>
        <v/>
      </c>
      <c r="T460" s="61" t="str">
        <f>IFERROR(__xludf.DUMMYFUNCTION("INDIRECT(""'收支紀錄'!T""&amp;TO_TEXT(ROW()-$C$72))"),"")</f>
        <v/>
      </c>
      <c r="U460" s="62" t="str">
        <f>IFERROR(__xludf.DUMMYFUNCTION("IF(T460=""是"",TEXTJOIN("""", TRUE, ""$"", TO_TEXT(C460), S460),"""")"),"")</f>
        <v/>
      </c>
    </row>
    <row r="461">
      <c r="A461" s="58">
        <f>IFERROR(__xludf.DUMMYFUNCTION("INDIRECT(""'收支紀錄'!A""&amp;TO_TEXT(ROW()-$C$72))"),45621.81065289352)</f>
        <v>45621.81065</v>
      </c>
      <c r="B461" s="59">
        <f>IFERROR(__xludf.DUMMYFUNCTION("IF(ISBLANK(D461), """", IF(ISDATE(D461), D461, IF(D461=""今天"", A461, IF(D461=""昨天 (-1 day)"", A461-1, IF(D461=""前天 (-2 days)"", A461-2, IF(D461=""明天 (+1 day)"", A461+1, DATE(LEFT(D461,4), MID(D461,5,2), RIGHT(D461,2))))))))"),45621.81065289352)</f>
        <v>45621.81065</v>
      </c>
      <c r="C461" s="60">
        <f>IFERROR(__xludf.DUMMYFUNCTION("INDIRECT(""'收支紀錄'!C""&amp;TO_TEXT(ROW()-$C$72))"),91.0)</f>
        <v>91</v>
      </c>
      <c r="D461" s="63" t="str">
        <f>IFERROR(__xludf.DUMMYFUNCTION("INDIRECT(""'收支紀錄'!D""&amp;TO_TEXT(ROW()-$C$72))"),"今天")</f>
        <v>今天</v>
      </c>
      <c r="E461" s="61" t="str">
        <f>IFERROR(__xludf.DUMMYFUNCTION("INDIRECT(""'收支紀錄'!E""&amp;TO_TEXT(ROW()-$C$72))"),"")</f>
        <v/>
      </c>
      <c r="F461" s="61" t="str">
        <f>IFERROR(__xludf.DUMMYFUNCTION("INDIRECT(""'收支紀錄'!F""&amp;TO_TEXT(ROW()-$C$72))"),"")</f>
        <v/>
      </c>
      <c r="G461" s="61" t="str">
        <f>IFERROR(__xludf.DUMMYFUNCTION("INDIRECT(""'收支紀錄'!G""&amp;TO_TEXT(ROW()-$C$72))"),"")</f>
        <v/>
      </c>
      <c r="H461" s="61" t="str">
        <f>IFERROR(__xludf.DUMMYFUNCTION("INDIRECT(""'收支紀錄'!H""&amp;TO_TEXT(ROW()-$C$72))"),"行車交通")</f>
        <v>行車交通</v>
      </c>
      <c r="I461" s="61" t="str">
        <f>IFERROR(__xludf.DUMMYFUNCTION("INDIRECT(""'收支紀錄'!I""&amp;TO_TEXT(ROW()-$C$72))"),"")</f>
        <v/>
      </c>
      <c r="J461" s="61" t="str">
        <f>IFERROR(__xludf.DUMMYFUNCTION("INDIRECT(""'收支紀錄'!J""&amp;TO_TEXT(ROW()-$C$72))"),"")</f>
        <v/>
      </c>
      <c r="K461" s="61" t="str">
        <f>IFERROR(__xludf.DUMMYFUNCTION("INDIRECT(""'收支紀錄'!K""&amp;TO_TEXT(ROW()-$C$72))"),"")</f>
        <v/>
      </c>
      <c r="L461" s="61" t="str">
        <f>IFERROR(__xludf.DUMMYFUNCTION("INDIRECT(""'收支紀錄'!L""&amp;TO_TEXT(ROW()-$C$72))"),"火車費")</f>
        <v>火車費</v>
      </c>
      <c r="M461" s="61" t="str">
        <f>IFERROR(__xludf.DUMMYFUNCTION("INDIRECT(""'收支紀錄'!M""&amp;TO_TEXT(ROW()-$C$72))"),"")</f>
        <v/>
      </c>
      <c r="N461" s="61" t="str">
        <f>IFERROR(__xludf.DUMMYFUNCTION("INDIRECT(""'收支紀錄'!N""&amp;TO_TEXT(ROW()-$C$72))"),"")</f>
        <v/>
      </c>
      <c r="O461" s="61" t="str">
        <f>IFERROR(__xludf.DUMMYFUNCTION("INDIRECT(""'收支紀錄'!O""&amp;TO_TEXT(ROW()-$C$72))"),"")</f>
        <v/>
      </c>
      <c r="P461" s="61" t="str">
        <f>IFERROR(__xludf.DUMMYFUNCTION("INDIRECT(""'收支紀錄'!P""&amp;TO_TEXT(ROW()-$C$72))"),"")</f>
        <v/>
      </c>
      <c r="Q461" s="61" t="str">
        <f>IFERROR(__xludf.DUMMYFUNCTION("INDIRECT(""'收支紀錄'!Q""&amp;TO_TEXT(ROW()-$C$72))"),"")</f>
        <v/>
      </c>
      <c r="R461" s="61" t="str">
        <f>IFERROR(__xludf.DUMMYFUNCTION("INDIRECT(""'收支紀錄'!R""&amp;TO_TEXT(ROW()-$C$72))"),"")</f>
        <v/>
      </c>
      <c r="S461" s="61" t="str">
        <f>IFERROR(__xludf.DUMMYFUNCTION("INDIRECT(""'收支紀錄'!S""&amp;TO_TEXT(ROW()-$C$72))"),"")</f>
        <v/>
      </c>
      <c r="T461" s="61" t="str">
        <f>IFERROR(__xludf.DUMMYFUNCTION("INDIRECT(""'收支紀錄'!T""&amp;TO_TEXT(ROW()-$C$72))"),"")</f>
        <v/>
      </c>
      <c r="U461" s="62" t="str">
        <f>IFERROR(__xludf.DUMMYFUNCTION("IF(T461=""是"",TEXTJOIN("""", TRUE, ""$"", TO_TEXT(C461), S461),"""")"),"")</f>
        <v/>
      </c>
    </row>
    <row r="462">
      <c r="A462" s="58">
        <f>IFERROR(__xludf.DUMMYFUNCTION("INDIRECT(""'收支紀錄'!A""&amp;TO_TEXT(ROW()-$C$72))"),45621.81079982639)</f>
        <v>45621.8108</v>
      </c>
      <c r="B462" s="59">
        <f>IFERROR(__xludf.DUMMYFUNCTION("IF(ISBLANK(D462), """", IF(ISDATE(D462), D462, IF(D462=""今天"", A462, IF(D462=""昨天 (-1 day)"", A462-1, IF(D462=""前天 (-2 days)"", A462-2, IF(D462=""明天 (+1 day)"", A462+1, DATE(LEFT(D462,4), MID(D462,5,2), RIGHT(D462,2))))))))"),45621.81079982639)</f>
        <v>45621.8108</v>
      </c>
      <c r="C462" s="60">
        <f>IFERROR(__xludf.DUMMYFUNCTION("INDIRECT(""'收支紀錄'!C""&amp;TO_TEXT(ROW()-$C$72))"),55.0)</f>
        <v>55</v>
      </c>
      <c r="D462" s="63" t="str">
        <f>IFERROR(__xludf.DUMMYFUNCTION("INDIRECT(""'收支紀錄'!D""&amp;TO_TEXT(ROW()-$C$72))"),"今天")</f>
        <v>今天</v>
      </c>
      <c r="E462" s="61" t="str">
        <f>IFERROR(__xludf.DUMMYFUNCTION("INDIRECT(""'收支紀錄'!E""&amp;TO_TEXT(ROW()-$C$72))"),"")</f>
        <v/>
      </c>
      <c r="F462" s="61" t="str">
        <f>IFERROR(__xludf.DUMMYFUNCTION("INDIRECT(""'收支紀錄'!F""&amp;TO_TEXT(ROW()-$C$72))"),"")</f>
        <v/>
      </c>
      <c r="G462" s="61" t="str">
        <f>IFERROR(__xludf.DUMMYFUNCTION("INDIRECT(""'收支紀錄'!G""&amp;TO_TEXT(ROW()-$C$72))"),"")</f>
        <v/>
      </c>
      <c r="H462" s="61" t="str">
        <f>IFERROR(__xludf.DUMMYFUNCTION("INDIRECT(""'收支紀錄'!H""&amp;TO_TEXT(ROW()-$C$72))"),"食品酒水")</f>
        <v>食品酒水</v>
      </c>
      <c r="I462" s="61" t="str">
        <f>IFERROR(__xludf.DUMMYFUNCTION("INDIRECT(""'收支紀錄'!I""&amp;TO_TEXT(ROW()-$C$72))"),"餐飲票券")</f>
        <v>餐飲票券</v>
      </c>
      <c r="J462" s="61" t="str">
        <f>IFERROR(__xludf.DUMMYFUNCTION("INDIRECT(""'收支紀錄'!J""&amp;TO_TEXT(ROW()-$C$72))"),"")</f>
        <v/>
      </c>
      <c r="K462" s="61" t="str">
        <f>IFERROR(__xludf.DUMMYFUNCTION("INDIRECT(""'收支紀錄'!K""&amp;TO_TEXT(ROW()-$C$72))"),"")</f>
        <v/>
      </c>
      <c r="L462" s="61" t="str">
        <f>IFERROR(__xludf.DUMMYFUNCTION("INDIRECT(""'收支紀錄'!L""&amp;TO_TEXT(ROW()-$C$72))"),"")</f>
        <v/>
      </c>
      <c r="M462" s="61" t="str">
        <f>IFERROR(__xludf.DUMMYFUNCTION("INDIRECT(""'收支紀錄'!M""&amp;TO_TEXT(ROW()-$C$72))"),"")</f>
        <v/>
      </c>
      <c r="N462" s="61" t="str">
        <f>IFERROR(__xludf.DUMMYFUNCTION("INDIRECT(""'收支紀錄'!N""&amp;TO_TEXT(ROW()-$C$72))"),"")</f>
        <v/>
      </c>
      <c r="O462" s="61" t="str">
        <f>IFERROR(__xludf.DUMMYFUNCTION("INDIRECT(""'收支紀錄'!O""&amp;TO_TEXT(ROW()-$C$72))"),"")</f>
        <v/>
      </c>
      <c r="P462" s="61" t="str">
        <f>IFERROR(__xludf.DUMMYFUNCTION("INDIRECT(""'收支紀錄'!P""&amp;TO_TEXT(ROW()-$C$72))"),"")</f>
        <v/>
      </c>
      <c r="Q462" s="61" t="str">
        <f>IFERROR(__xludf.DUMMYFUNCTION("INDIRECT(""'收支紀錄'!Q""&amp;TO_TEXT(ROW()-$C$72))"),"")</f>
        <v/>
      </c>
      <c r="R462" s="61" t="str">
        <f>IFERROR(__xludf.DUMMYFUNCTION("INDIRECT(""'收支紀錄'!R""&amp;TO_TEXT(ROW()-$C$72))"),"")</f>
        <v/>
      </c>
      <c r="S462" s="61" t="str">
        <f>IFERROR(__xludf.DUMMYFUNCTION("INDIRECT(""'收支紀錄'!S""&amp;TO_TEXT(ROW()-$C$72))"),"")</f>
        <v/>
      </c>
      <c r="T462" s="61" t="str">
        <f>IFERROR(__xludf.DUMMYFUNCTION("INDIRECT(""'收支紀錄'!T""&amp;TO_TEXT(ROW()-$C$72))"),"")</f>
        <v/>
      </c>
      <c r="U462" s="62" t="str">
        <f>IFERROR(__xludf.DUMMYFUNCTION("IF(T462=""是"",TEXTJOIN("""", TRUE, ""$"", TO_TEXT(C462), S462),"""")"),"")</f>
        <v/>
      </c>
    </row>
    <row r="463">
      <c r="A463" s="58">
        <f>IFERROR(__xludf.DUMMYFUNCTION("INDIRECT(""'收支紀錄'!A""&amp;TO_TEXT(ROW()-$C$72))"),45621.91748118056)</f>
        <v>45621.91748</v>
      </c>
      <c r="B463" s="59">
        <f>IFERROR(__xludf.DUMMYFUNCTION("IF(ISBLANK(D463), """", IF(ISDATE(D463), D463, IF(D463=""今天"", A463, IF(D463=""昨天 (-1 day)"", A463-1, IF(D463=""前天 (-2 days)"", A463-2, IF(D463=""明天 (+1 day)"", A463+1, DATE(LEFT(D463,4), MID(D463,5,2), RIGHT(D463,2))))))))"),45621.91748118056)</f>
        <v>45621.91748</v>
      </c>
      <c r="C463" s="60">
        <f>IFERROR(__xludf.DUMMYFUNCTION("INDIRECT(""'收支紀錄'!C""&amp;TO_TEXT(ROW()-$C$72))"),80.0)</f>
        <v>80</v>
      </c>
      <c r="D463" s="63" t="str">
        <f>IFERROR(__xludf.DUMMYFUNCTION("INDIRECT(""'收支紀錄'!D""&amp;TO_TEXT(ROW()-$C$72))"),"今天")</f>
        <v>今天</v>
      </c>
      <c r="E463" s="61" t="str">
        <f>IFERROR(__xludf.DUMMYFUNCTION("INDIRECT(""'收支紀錄'!E""&amp;TO_TEXT(ROW()-$C$72))"),"")</f>
        <v/>
      </c>
      <c r="F463" s="61" t="str">
        <f>IFERROR(__xludf.DUMMYFUNCTION("INDIRECT(""'收支紀錄'!F""&amp;TO_TEXT(ROW()-$C$72))"),"")</f>
        <v/>
      </c>
      <c r="G463" s="61" t="str">
        <f>IFERROR(__xludf.DUMMYFUNCTION("INDIRECT(""'收支紀錄'!G""&amp;TO_TEXT(ROW()-$C$72))"),"")</f>
        <v/>
      </c>
      <c r="H463" s="61" t="str">
        <f>IFERROR(__xludf.DUMMYFUNCTION("INDIRECT(""'收支紀錄'!H""&amp;TO_TEXT(ROW()-$C$72))"),"食品酒水")</f>
        <v>食品酒水</v>
      </c>
      <c r="I463" s="61" t="str">
        <f>IFERROR(__xludf.DUMMYFUNCTION("INDIRECT(""'收支紀錄'!I""&amp;TO_TEXT(ROW()-$C$72))"),"飲料酒水")</f>
        <v>飲料酒水</v>
      </c>
      <c r="J463" s="61" t="str">
        <f>IFERROR(__xludf.DUMMYFUNCTION("INDIRECT(""'收支紀錄'!J""&amp;TO_TEXT(ROW()-$C$72))"),"")</f>
        <v/>
      </c>
      <c r="K463" s="61" t="str">
        <f>IFERROR(__xludf.DUMMYFUNCTION("INDIRECT(""'收支紀錄'!K""&amp;TO_TEXT(ROW()-$C$72))"),"")</f>
        <v/>
      </c>
      <c r="L463" s="61" t="str">
        <f>IFERROR(__xludf.DUMMYFUNCTION("INDIRECT(""'收支紀錄'!L""&amp;TO_TEXT(ROW()-$C$72))"),"")</f>
        <v/>
      </c>
      <c r="M463" s="61" t="str">
        <f>IFERROR(__xludf.DUMMYFUNCTION("INDIRECT(""'收支紀錄'!M""&amp;TO_TEXT(ROW()-$C$72))"),"")</f>
        <v/>
      </c>
      <c r="N463" s="61" t="str">
        <f>IFERROR(__xludf.DUMMYFUNCTION("INDIRECT(""'收支紀錄'!N""&amp;TO_TEXT(ROW()-$C$72))"),"")</f>
        <v/>
      </c>
      <c r="O463" s="61" t="str">
        <f>IFERROR(__xludf.DUMMYFUNCTION("INDIRECT(""'收支紀錄'!O""&amp;TO_TEXT(ROW()-$C$72))"),"")</f>
        <v/>
      </c>
      <c r="P463" s="61" t="str">
        <f>IFERROR(__xludf.DUMMYFUNCTION("INDIRECT(""'收支紀錄'!P""&amp;TO_TEXT(ROW()-$C$72))"),"")</f>
        <v/>
      </c>
      <c r="Q463" s="61" t="str">
        <f>IFERROR(__xludf.DUMMYFUNCTION("INDIRECT(""'收支紀錄'!Q""&amp;TO_TEXT(ROW()-$C$72))"),"")</f>
        <v/>
      </c>
      <c r="R463" s="61" t="str">
        <f>IFERROR(__xludf.DUMMYFUNCTION("INDIRECT(""'收支紀錄'!R""&amp;TO_TEXT(ROW()-$C$72))"),"")</f>
        <v/>
      </c>
      <c r="S463" s="61" t="str">
        <f>IFERROR(__xludf.DUMMYFUNCTION("INDIRECT(""'收支紀錄'!S""&amp;TO_TEXT(ROW()-$C$72))"),"")</f>
        <v/>
      </c>
      <c r="T463" s="61" t="str">
        <f>IFERROR(__xludf.DUMMYFUNCTION("INDIRECT(""'收支紀錄'!T""&amp;TO_TEXT(ROW()-$C$72))"),"")</f>
        <v/>
      </c>
      <c r="U463" s="62" t="str">
        <f>IFERROR(__xludf.DUMMYFUNCTION("IF(T463=""是"",TEXTJOIN("""", TRUE, ""$"", TO_TEXT(C463), S463),"""")"),"")</f>
        <v/>
      </c>
    </row>
    <row r="464">
      <c r="A464" s="58">
        <f>IFERROR(__xludf.DUMMYFUNCTION("INDIRECT(""'收支紀錄'!A""&amp;TO_TEXT(ROW()-$C$72))"),45624.94483148148)</f>
        <v>45624.94483</v>
      </c>
      <c r="B464" s="59">
        <f>IFERROR(__xludf.DUMMYFUNCTION("IF(ISBLANK(D464), """", IF(ISDATE(D464), D464, IF(D464=""今天"", A464, IF(D464=""昨天 (-1 day)"", A464-1, IF(D464=""前天 (-2 days)"", A464-2, IF(D464=""明天 (+1 day)"", A464+1, DATE(LEFT(D464,4), MID(D464,5,2), RIGHT(D464,2))))))))"),45624.94483148148)</f>
        <v>45624.94483</v>
      </c>
      <c r="C464" s="60">
        <f>IFERROR(__xludf.DUMMYFUNCTION("INDIRECT(""'收支紀錄'!C""&amp;TO_TEXT(ROW()-$C$72))"),701.0)</f>
        <v>701</v>
      </c>
      <c r="D464" s="63" t="str">
        <f>IFERROR(__xludf.DUMMYFUNCTION("INDIRECT(""'收支紀錄'!D""&amp;TO_TEXT(ROW()-$C$72))"),"今天")</f>
        <v>今天</v>
      </c>
      <c r="E464" s="61" t="str">
        <f>IFERROR(__xludf.DUMMYFUNCTION("INDIRECT(""'收支紀錄'!E""&amp;TO_TEXT(ROW()-$C$72))"),"")</f>
        <v/>
      </c>
      <c r="F464" s="61" t="str">
        <f>IFERROR(__xludf.DUMMYFUNCTION("INDIRECT(""'收支紀錄'!F""&amp;TO_TEXT(ROW()-$C$72))"),"")</f>
        <v/>
      </c>
      <c r="G464" s="61" t="str">
        <f>IFERROR(__xludf.DUMMYFUNCTION("INDIRECT(""'收支紀錄'!G""&amp;TO_TEXT(ROW()-$C$72))"),"")</f>
        <v/>
      </c>
      <c r="H464" s="61" t="str">
        <f>IFERROR(__xludf.DUMMYFUNCTION("INDIRECT(""'收支紀錄'!H""&amp;TO_TEXT(ROW()-$C$72))"),"食品酒水")</f>
        <v>食品酒水</v>
      </c>
      <c r="I464" s="61" t="str">
        <f>IFERROR(__xludf.DUMMYFUNCTION("INDIRECT(""'收支紀錄'!I""&amp;TO_TEXT(ROW()-$C$72))"),"食材")</f>
        <v>食材</v>
      </c>
      <c r="J464" s="61" t="str">
        <f>IFERROR(__xludf.DUMMYFUNCTION("INDIRECT(""'收支紀錄'!J""&amp;TO_TEXT(ROW()-$C$72))"),"")</f>
        <v/>
      </c>
      <c r="K464" s="61" t="str">
        <f>IFERROR(__xludf.DUMMYFUNCTION("INDIRECT(""'收支紀錄'!K""&amp;TO_TEXT(ROW()-$C$72))"),"")</f>
        <v/>
      </c>
      <c r="L464" s="61" t="str">
        <f>IFERROR(__xludf.DUMMYFUNCTION("INDIRECT(""'收支紀錄'!L""&amp;TO_TEXT(ROW()-$C$72))"),"")</f>
        <v/>
      </c>
      <c r="M464" s="61" t="str">
        <f>IFERROR(__xludf.DUMMYFUNCTION("INDIRECT(""'收支紀錄'!M""&amp;TO_TEXT(ROW()-$C$72))"),"")</f>
        <v/>
      </c>
      <c r="N464" s="61" t="str">
        <f>IFERROR(__xludf.DUMMYFUNCTION("INDIRECT(""'收支紀錄'!N""&amp;TO_TEXT(ROW()-$C$72))"),"")</f>
        <v/>
      </c>
      <c r="O464" s="61" t="str">
        <f>IFERROR(__xludf.DUMMYFUNCTION("INDIRECT(""'收支紀錄'!O""&amp;TO_TEXT(ROW()-$C$72))"),"")</f>
        <v/>
      </c>
      <c r="P464" s="61" t="str">
        <f>IFERROR(__xludf.DUMMYFUNCTION("INDIRECT(""'收支紀錄'!P""&amp;TO_TEXT(ROW()-$C$72))"),"")</f>
        <v/>
      </c>
      <c r="Q464" s="61" t="str">
        <f>IFERROR(__xludf.DUMMYFUNCTION("INDIRECT(""'收支紀錄'!Q""&amp;TO_TEXT(ROW()-$C$72))"),"")</f>
        <v/>
      </c>
      <c r="R464" s="61" t="str">
        <f>IFERROR(__xludf.DUMMYFUNCTION("INDIRECT(""'收支紀錄'!R""&amp;TO_TEXT(ROW()-$C$72))"),"")</f>
        <v/>
      </c>
      <c r="S464" s="61" t="str">
        <f>IFERROR(__xludf.DUMMYFUNCTION("INDIRECT(""'收支紀錄'!S""&amp;TO_TEXT(ROW()-$C$72))"),"")</f>
        <v/>
      </c>
      <c r="T464" s="61" t="str">
        <f>IFERROR(__xludf.DUMMYFUNCTION("INDIRECT(""'收支紀錄'!T""&amp;TO_TEXT(ROW()-$C$72))"),"")</f>
        <v/>
      </c>
      <c r="U464" s="62" t="str">
        <f>IFERROR(__xludf.DUMMYFUNCTION("IF(T464=""是"",TEXTJOIN("""", TRUE, ""$"", TO_TEXT(C464), S464),"""")"),"")</f>
        <v/>
      </c>
    </row>
    <row r="465">
      <c r="A465" s="58">
        <f>IFERROR(__xludf.DUMMYFUNCTION("INDIRECT(""'收支紀錄'!A""&amp;TO_TEXT(ROW()-$C$72))"),45625.36271677083)</f>
        <v>45625.36272</v>
      </c>
      <c r="B465" s="59">
        <f>IFERROR(__xludf.DUMMYFUNCTION("IF(ISBLANK(D465), """", IF(ISDATE(D465), D465, IF(D465=""今天"", A465, IF(D465=""昨天 (-1 day)"", A465-1, IF(D465=""前天 (-2 days)"", A465-2, IF(D465=""明天 (+1 day)"", A465+1, DATE(LEFT(D465,4), MID(D465,5,2), RIGHT(D465,2))))))))"),45625.36271677083)</f>
        <v>45625.36272</v>
      </c>
      <c r="C465" s="60">
        <f>IFERROR(__xludf.DUMMYFUNCTION("INDIRECT(""'收支紀錄'!C""&amp;TO_TEXT(ROW()-$C$72))"),91.0)</f>
        <v>91</v>
      </c>
      <c r="D465" s="63" t="str">
        <f>IFERROR(__xludf.DUMMYFUNCTION("INDIRECT(""'收支紀錄'!D""&amp;TO_TEXT(ROW()-$C$72))"),"今天")</f>
        <v>今天</v>
      </c>
      <c r="E465" s="61" t="str">
        <f>IFERROR(__xludf.DUMMYFUNCTION("INDIRECT(""'收支紀錄'!E""&amp;TO_TEXT(ROW()-$C$72))"),"")</f>
        <v/>
      </c>
      <c r="F465" s="61" t="str">
        <f>IFERROR(__xludf.DUMMYFUNCTION("INDIRECT(""'收支紀錄'!F""&amp;TO_TEXT(ROW()-$C$72))"),"")</f>
        <v/>
      </c>
      <c r="G465" s="61" t="str">
        <f>IFERROR(__xludf.DUMMYFUNCTION("INDIRECT(""'收支紀錄'!G""&amp;TO_TEXT(ROW()-$C$72))"),"")</f>
        <v/>
      </c>
      <c r="H465" s="61" t="str">
        <f>IFERROR(__xludf.DUMMYFUNCTION("INDIRECT(""'收支紀錄'!H""&amp;TO_TEXT(ROW()-$C$72))"),"行車交通")</f>
        <v>行車交通</v>
      </c>
      <c r="I465" s="61" t="str">
        <f>IFERROR(__xludf.DUMMYFUNCTION("INDIRECT(""'收支紀錄'!I""&amp;TO_TEXT(ROW()-$C$72))"),"")</f>
        <v/>
      </c>
      <c r="J465" s="61" t="str">
        <f>IFERROR(__xludf.DUMMYFUNCTION("INDIRECT(""'收支紀錄'!J""&amp;TO_TEXT(ROW()-$C$72))"),"")</f>
        <v/>
      </c>
      <c r="K465" s="61" t="str">
        <f>IFERROR(__xludf.DUMMYFUNCTION("INDIRECT(""'收支紀錄'!K""&amp;TO_TEXT(ROW()-$C$72))"),"")</f>
        <v/>
      </c>
      <c r="L465" s="61" t="str">
        <f>IFERROR(__xludf.DUMMYFUNCTION("INDIRECT(""'收支紀錄'!L""&amp;TO_TEXT(ROW()-$C$72))"),"火車費")</f>
        <v>火車費</v>
      </c>
      <c r="M465" s="61" t="str">
        <f>IFERROR(__xludf.DUMMYFUNCTION("INDIRECT(""'收支紀錄'!M""&amp;TO_TEXT(ROW()-$C$72))"),"")</f>
        <v/>
      </c>
      <c r="N465" s="61" t="str">
        <f>IFERROR(__xludf.DUMMYFUNCTION("INDIRECT(""'收支紀錄'!N""&amp;TO_TEXT(ROW()-$C$72))"),"")</f>
        <v/>
      </c>
      <c r="O465" s="61" t="str">
        <f>IFERROR(__xludf.DUMMYFUNCTION("INDIRECT(""'收支紀錄'!O""&amp;TO_TEXT(ROW()-$C$72))"),"")</f>
        <v/>
      </c>
      <c r="P465" s="61" t="str">
        <f>IFERROR(__xludf.DUMMYFUNCTION("INDIRECT(""'收支紀錄'!P""&amp;TO_TEXT(ROW()-$C$72))"),"")</f>
        <v/>
      </c>
      <c r="Q465" s="61" t="str">
        <f>IFERROR(__xludf.DUMMYFUNCTION("INDIRECT(""'收支紀錄'!Q""&amp;TO_TEXT(ROW()-$C$72))"),"")</f>
        <v/>
      </c>
      <c r="R465" s="61" t="str">
        <f>IFERROR(__xludf.DUMMYFUNCTION("INDIRECT(""'收支紀錄'!R""&amp;TO_TEXT(ROW()-$C$72))"),"")</f>
        <v/>
      </c>
      <c r="S465" s="61" t="str">
        <f>IFERROR(__xludf.DUMMYFUNCTION("INDIRECT(""'收支紀錄'!S""&amp;TO_TEXT(ROW()-$C$72))"),"")</f>
        <v/>
      </c>
      <c r="T465" s="61" t="str">
        <f>IFERROR(__xludf.DUMMYFUNCTION("INDIRECT(""'收支紀錄'!T""&amp;TO_TEXT(ROW()-$C$72))"),"")</f>
        <v/>
      </c>
      <c r="U465" s="62" t="str">
        <f>IFERROR(__xludf.DUMMYFUNCTION("IF(T465=""是"",TEXTJOIN("""", TRUE, ""$"", TO_TEXT(C465), S465),"""")"),"")</f>
        <v/>
      </c>
    </row>
    <row r="466">
      <c r="A466" s="58">
        <f>IFERROR(__xludf.DUMMYFUNCTION("INDIRECT(""'收支紀錄'!A""&amp;TO_TEXT(ROW()-$C$72))"),45625.362892627316)</f>
        <v>45625.36289</v>
      </c>
      <c r="B466" s="59">
        <f>IFERROR(__xludf.DUMMYFUNCTION("IF(ISBLANK(D466), """", IF(ISDATE(D466), D466, IF(D466=""今天"", A466, IF(D466=""昨天 (-1 day)"", A466-1, IF(D466=""前天 (-2 days)"", A466-2, IF(D466=""明天 (+1 day)"", A466+1, DATE(LEFT(D466,4), MID(D466,5,2), RIGHT(D466,2))))))))"),45625.362892627316)</f>
        <v>45625.36289</v>
      </c>
      <c r="C466" s="60">
        <f>IFERROR(__xludf.DUMMYFUNCTION("INDIRECT(""'收支紀錄'!C""&amp;TO_TEXT(ROW()-$C$72))"),91.0)</f>
        <v>91</v>
      </c>
      <c r="D466" s="63" t="str">
        <f>IFERROR(__xludf.DUMMYFUNCTION("INDIRECT(""'收支紀錄'!D""&amp;TO_TEXT(ROW()-$C$72))"),"今天")</f>
        <v>今天</v>
      </c>
      <c r="E466" s="61" t="str">
        <f>IFERROR(__xludf.DUMMYFUNCTION("INDIRECT(""'收支紀錄'!E""&amp;TO_TEXT(ROW()-$C$72))"),"")</f>
        <v/>
      </c>
      <c r="F466" s="61" t="str">
        <f>IFERROR(__xludf.DUMMYFUNCTION("INDIRECT(""'收支紀錄'!F""&amp;TO_TEXT(ROW()-$C$72))"),"")</f>
        <v/>
      </c>
      <c r="G466" s="61" t="str">
        <f>IFERROR(__xludf.DUMMYFUNCTION("INDIRECT(""'收支紀錄'!G""&amp;TO_TEXT(ROW()-$C$72))"),"")</f>
        <v/>
      </c>
      <c r="H466" s="61" t="str">
        <f>IFERROR(__xludf.DUMMYFUNCTION("INDIRECT(""'收支紀錄'!H""&amp;TO_TEXT(ROW()-$C$72))"),"行車交通")</f>
        <v>行車交通</v>
      </c>
      <c r="I466" s="61" t="str">
        <f>IFERROR(__xludf.DUMMYFUNCTION("INDIRECT(""'收支紀錄'!I""&amp;TO_TEXT(ROW()-$C$72))"),"")</f>
        <v/>
      </c>
      <c r="J466" s="61" t="str">
        <f>IFERROR(__xludf.DUMMYFUNCTION("INDIRECT(""'收支紀錄'!J""&amp;TO_TEXT(ROW()-$C$72))"),"")</f>
        <v/>
      </c>
      <c r="K466" s="61" t="str">
        <f>IFERROR(__xludf.DUMMYFUNCTION("INDIRECT(""'收支紀錄'!K""&amp;TO_TEXT(ROW()-$C$72))"),"")</f>
        <v/>
      </c>
      <c r="L466" s="61" t="str">
        <f>IFERROR(__xludf.DUMMYFUNCTION("INDIRECT(""'收支紀錄'!L""&amp;TO_TEXT(ROW()-$C$72))"),"火車費")</f>
        <v>火車費</v>
      </c>
      <c r="M466" s="61" t="str">
        <f>IFERROR(__xludf.DUMMYFUNCTION("INDIRECT(""'收支紀錄'!M""&amp;TO_TEXT(ROW()-$C$72))"),"")</f>
        <v/>
      </c>
      <c r="N466" s="61" t="str">
        <f>IFERROR(__xludf.DUMMYFUNCTION("INDIRECT(""'收支紀錄'!N""&amp;TO_TEXT(ROW()-$C$72))"),"")</f>
        <v/>
      </c>
      <c r="O466" s="61" t="str">
        <f>IFERROR(__xludf.DUMMYFUNCTION("INDIRECT(""'收支紀錄'!O""&amp;TO_TEXT(ROW()-$C$72))"),"")</f>
        <v/>
      </c>
      <c r="P466" s="61" t="str">
        <f>IFERROR(__xludf.DUMMYFUNCTION("INDIRECT(""'收支紀錄'!P""&amp;TO_TEXT(ROW()-$C$72))"),"")</f>
        <v/>
      </c>
      <c r="Q466" s="61" t="str">
        <f>IFERROR(__xludf.DUMMYFUNCTION("INDIRECT(""'收支紀錄'!Q""&amp;TO_TEXT(ROW()-$C$72))"),"")</f>
        <v/>
      </c>
      <c r="R466" s="61" t="str">
        <f>IFERROR(__xludf.DUMMYFUNCTION("INDIRECT(""'收支紀錄'!R""&amp;TO_TEXT(ROW()-$C$72))"),"")</f>
        <v/>
      </c>
      <c r="S466" s="61" t="str">
        <f>IFERROR(__xludf.DUMMYFUNCTION("INDIRECT(""'收支紀錄'!S""&amp;TO_TEXT(ROW()-$C$72))"),"")</f>
        <v/>
      </c>
      <c r="T466" s="61" t="str">
        <f>IFERROR(__xludf.DUMMYFUNCTION("INDIRECT(""'收支紀錄'!T""&amp;TO_TEXT(ROW()-$C$72))"),"")</f>
        <v/>
      </c>
      <c r="U466" s="62" t="str">
        <f>IFERROR(__xludf.DUMMYFUNCTION("IF(T466=""是"",TEXTJOIN("""", TRUE, ""$"", TO_TEXT(C466), S466),"""")"),"")</f>
        <v/>
      </c>
    </row>
    <row r="467">
      <c r="A467" s="58">
        <f>IFERROR(__xludf.DUMMYFUNCTION("INDIRECT(""'收支紀錄'!A""&amp;TO_TEXT(ROW()-$C$72))"),45625.36411439815)</f>
        <v>45625.36411</v>
      </c>
      <c r="B467" s="59">
        <f>IFERROR(__xludf.DUMMYFUNCTION("IF(ISBLANK(D467), """", IF(ISDATE(D467), D467, IF(D467=""今天"", A467, IF(D467=""昨天 (-1 day)"", A467-1, IF(D467=""前天 (-2 days)"", A467-2, IF(D467=""明天 (+1 day)"", A467+1, DATE(LEFT(D467,4), MID(D467,5,2), RIGHT(D467,2))))))))"),45641.0)</f>
        <v>45641</v>
      </c>
      <c r="C467" s="60">
        <f>IFERROR(__xludf.DUMMYFUNCTION("INDIRECT(""'收支紀錄'!C""&amp;TO_TEXT(ROW()-$C$72))"),4358.0)</f>
        <v>4358</v>
      </c>
      <c r="D467" s="63">
        <f>IFERROR(__xludf.DUMMYFUNCTION("INDIRECT(""'收支紀錄'!D""&amp;TO_TEXT(ROW()-$C$72))"),2.0241215E7)</f>
        <v>20241215</v>
      </c>
      <c r="E467" s="61" t="str">
        <f>IFERROR(__xludf.DUMMYFUNCTION("INDIRECT(""'收支紀錄'!E""&amp;TO_TEXT(ROW()-$C$72))"),"")</f>
        <v/>
      </c>
      <c r="F467" s="61" t="str">
        <f>IFERROR(__xludf.DUMMYFUNCTION("INDIRECT(""'收支紀錄'!F""&amp;TO_TEXT(ROW()-$C$72))"),"")</f>
        <v/>
      </c>
      <c r="G467" s="61" t="str">
        <f>IFERROR(__xludf.DUMMYFUNCTION("INDIRECT(""'收支紀錄'!G""&amp;TO_TEXT(ROW()-$C$72))"),"")</f>
        <v/>
      </c>
      <c r="H467" s="61" t="str">
        <f>IFERROR(__xludf.DUMMYFUNCTION("INDIRECT(""'收支紀錄'!H""&amp;TO_TEXT(ROW()-$C$72))"),"休閒娛樂")</f>
        <v>休閒娛樂</v>
      </c>
      <c r="I467" s="61" t="str">
        <f>IFERROR(__xludf.DUMMYFUNCTION("INDIRECT(""'收支紀錄'!I""&amp;TO_TEXT(ROW()-$C$72))"),"")</f>
        <v/>
      </c>
      <c r="J467" s="61" t="str">
        <f>IFERROR(__xludf.DUMMYFUNCTION("INDIRECT(""'收支紀錄'!J""&amp;TO_TEXT(ROW()-$C$72))"),"")</f>
        <v/>
      </c>
      <c r="K467" s="61" t="str">
        <f>IFERROR(__xludf.DUMMYFUNCTION("INDIRECT(""'收支紀錄'!K""&amp;TO_TEXT(ROW()-$C$72))"),"")</f>
        <v/>
      </c>
      <c r="L467" s="61" t="str">
        <f>IFERROR(__xludf.DUMMYFUNCTION("INDIRECT(""'收支紀錄'!L""&amp;TO_TEXT(ROW()-$C$72))"),"")</f>
        <v/>
      </c>
      <c r="M467" s="61" t="str">
        <f>IFERROR(__xludf.DUMMYFUNCTION("INDIRECT(""'收支紀錄'!M""&amp;TO_TEXT(ROW()-$C$72))"),"旅遊度假")</f>
        <v>旅遊度假</v>
      </c>
      <c r="N467" s="61" t="str">
        <f>IFERROR(__xludf.DUMMYFUNCTION("INDIRECT(""'收支紀錄'!N""&amp;TO_TEXT(ROW()-$C$72))"),"")</f>
        <v/>
      </c>
      <c r="O467" s="61" t="str">
        <f>IFERROR(__xludf.DUMMYFUNCTION("INDIRECT(""'收支紀錄'!O""&amp;TO_TEXT(ROW()-$C$72))"),"")</f>
        <v/>
      </c>
      <c r="P467" s="61" t="str">
        <f>IFERROR(__xludf.DUMMYFUNCTION("INDIRECT(""'收支紀錄'!P""&amp;TO_TEXT(ROW()-$C$72))"),"")</f>
        <v/>
      </c>
      <c r="Q467" s="61" t="str">
        <f>IFERROR(__xludf.DUMMYFUNCTION("INDIRECT(""'收支紀錄'!Q""&amp;TO_TEXT(ROW()-$C$72))"),"")</f>
        <v/>
      </c>
      <c r="R467" s="61" t="str">
        <f>IFERROR(__xludf.DUMMYFUNCTION("INDIRECT(""'收支紀錄'!R""&amp;TO_TEXT(ROW()-$C$72))"),"")</f>
        <v/>
      </c>
      <c r="S467" s="61" t="str">
        <f>IFERROR(__xludf.DUMMYFUNCTION("INDIRECT(""'收支紀錄'!S""&amp;TO_TEXT(ROW()-$C$72))"),"台南大員皇冠酒店")</f>
        <v>台南大員皇冠酒店</v>
      </c>
      <c r="T467" s="61" t="str">
        <f>IFERROR(__xludf.DUMMYFUNCTION("INDIRECT(""'收支紀錄'!T""&amp;TO_TEXT(ROW()-$C$72))"),"是")</f>
        <v>是</v>
      </c>
      <c r="U467" s="62" t="str">
        <f>IFERROR(__xludf.DUMMYFUNCTION("IF(T467=""是"",TEXTJOIN("""", TRUE, ""$"", TO_TEXT(C467), S467),"""")"),"$4358台南大員皇冠酒店")</f>
        <v>$4358台南大員皇冠酒店</v>
      </c>
    </row>
    <row r="468">
      <c r="A468" s="58">
        <f>IFERROR(__xludf.DUMMYFUNCTION("INDIRECT(""'收支紀錄'!A""&amp;TO_TEXT(ROW()-$C$72))"),45625.36467805556)</f>
        <v>45625.36468</v>
      </c>
      <c r="B468" s="59">
        <f>IFERROR(__xludf.DUMMYFUNCTION("IF(ISBLANK(D468), """", IF(ISDATE(D468), D468, IF(D468=""今天"", A468, IF(D468=""昨天 (-1 day)"", A468-1, IF(D468=""前天 (-2 days)"", A468-2, IF(D468=""明天 (+1 day)"", A468+1, DATE(LEFT(D468,4), MID(D468,5,2), RIGHT(D468,2))))))))"),45624.36467805556)</f>
        <v>45624.36468</v>
      </c>
      <c r="C468" s="60">
        <f>IFERROR(__xludf.DUMMYFUNCTION("INDIRECT(""'收支紀錄'!C""&amp;TO_TEXT(ROW()-$C$72))"),288.0)</f>
        <v>288</v>
      </c>
      <c r="D468" s="63" t="str">
        <f>IFERROR(__xludf.DUMMYFUNCTION("INDIRECT(""'收支紀錄'!D""&amp;TO_TEXT(ROW()-$C$72))"),"昨天 (-1 day)")</f>
        <v>昨天 (-1 day)</v>
      </c>
      <c r="E468" s="61" t="str">
        <f>IFERROR(__xludf.DUMMYFUNCTION("INDIRECT(""'收支紀錄'!E""&amp;TO_TEXT(ROW()-$C$72))"),"")</f>
        <v/>
      </c>
      <c r="F468" s="61" t="str">
        <f>IFERROR(__xludf.DUMMYFUNCTION("INDIRECT(""'收支紀錄'!F""&amp;TO_TEXT(ROW()-$C$72))"),"")</f>
        <v/>
      </c>
      <c r="G468" s="61" t="str">
        <f>IFERROR(__xludf.DUMMYFUNCTION("INDIRECT(""'收支紀錄'!G""&amp;TO_TEXT(ROW()-$C$72))"),"")</f>
        <v/>
      </c>
      <c r="H468" s="61" t="str">
        <f>IFERROR(__xludf.DUMMYFUNCTION("INDIRECT(""'收支紀錄'!H""&amp;TO_TEXT(ROW()-$C$72))"),"休閒娛樂")</f>
        <v>休閒娛樂</v>
      </c>
      <c r="I468" s="61" t="str">
        <f>IFERROR(__xludf.DUMMYFUNCTION("INDIRECT(""'收支紀錄'!I""&amp;TO_TEXT(ROW()-$C$72))"),"")</f>
        <v/>
      </c>
      <c r="J468" s="61" t="str">
        <f>IFERROR(__xludf.DUMMYFUNCTION("INDIRECT(""'收支紀錄'!J""&amp;TO_TEXT(ROW()-$C$72))"),"")</f>
        <v/>
      </c>
      <c r="K468" s="61" t="str">
        <f>IFERROR(__xludf.DUMMYFUNCTION("INDIRECT(""'收支紀錄'!K""&amp;TO_TEXT(ROW()-$C$72))"),"")</f>
        <v/>
      </c>
      <c r="L468" s="61" t="str">
        <f>IFERROR(__xludf.DUMMYFUNCTION("INDIRECT(""'收支紀錄'!L""&amp;TO_TEXT(ROW()-$C$72))"),"")</f>
        <v/>
      </c>
      <c r="M468" s="61" t="str">
        <f>IFERROR(__xludf.DUMMYFUNCTION("INDIRECT(""'收支紀錄'!M""&amp;TO_TEXT(ROW()-$C$72))"),"衣物鞋帽")</f>
        <v>衣物鞋帽</v>
      </c>
      <c r="N468" s="61" t="str">
        <f>IFERROR(__xludf.DUMMYFUNCTION("INDIRECT(""'收支紀錄'!N""&amp;TO_TEXT(ROW()-$C$72))"),"")</f>
        <v/>
      </c>
      <c r="O468" s="61" t="str">
        <f>IFERROR(__xludf.DUMMYFUNCTION("INDIRECT(""'收支紀錄'!O""&amp;TO_TEXT(ROW()-$C$72))"),"")</f>
        <v/>
      </c>
      <c r="P468" s="61" t="str">
        <f>IFERROR(__xludf.DUMMYFUNCTION("INDIRECT(""'收支紀錄'!P""&amp;TO_TEXT(ROW()-$C$72))"),"")</f>
        <v/>
      </c>
      <c r="Q468" s="61" t="str">
        <f>IFERROR(__xludf.DUMMYFUNCTION("INDIRECT(""'收支紀錄'!Q""&amp;TO_TEXT(ROW()-$C$72))"),"")</f>
        <v/>
      </c>
      <c r="R468" s="61" t="str">
        <f>IFERROR(__xludf.DUMMYFUNCTION("INDIRECT(""'收支紀錄'!R""&amp;TO_TEXT(ROW()-$C$72))"),"")</f>
        <v/>
      </c>
      <c r="S468" s="61" t="str">
        <f>IFERROR(__xludf.DUMMYFUNCTION("INDIRECT(""'收支紀錄'!S""&amp;TO_TEXT(ROW()-$C$72))"),"寶三井衣服$2988-$700優惠券-$2000寶錢")</f>
        <v>寶三井衣服$2988-$700優惠券-$2000寶錢</v>
      </c>
      <c r="T468" s="61" t="str">
        <f>IFERROR(__xludf.DUMMYFUNCTION("INDIRECT(""'收支紀錄'!T""&amp;TO_TEXT(ROW()-$C$72))"),"")</f>
        <v/>
      </c>
      <c r="U468" s="62" t="str">
        <f>IFERROR(__xludf.DUMMYFUNCTION("IF(T468=""是"",TEXTJOIN("""", TRUE, ""$"", TO_TEXT(C468), S468),"""")"),"")</f>
        <v/>
      </c>
    </row>
    <row r="469">
      <c r="A469" s="58">
        <f>IFERROR(__xludf.DUMMYFUNCTION("INDIRECT(""'收支紀錄'!A""&amp;TO_TEXT(ROW()-$C$72))"),45625.95875023148)</f>
        <v>45625.95875</v>
      </c>
      <c r="B469" s="59">
        <f>IFERROR(__xludf.DUMMYFUNCTION("IF(ISBLANK(D469), """", IF(ISDATE(D469), D469, IF(D469=""今天"", A469, IF(D469=""昨天 (-1 day)"", A469-1, IF(D469=""前天 (-2 days)"", A469-2, IF(D469=""明天 (+1 day)"", A469+1, DATE(LEFT(D469,4), MID(D469,5,2), RIGHT(D469,2))))))))"),45625.95875023148)</f>
        <v>45625.95875</v>
      </c>
      <c r="C469" s="60">
        <f>IFERROR(__xludf.DUMMYFUNCTION("INDIRECT(""'收支紀錄'!C""&amp;TO_TEXT(ROW()-$C$72))"),20.0)</f>
        <v>20</v>
      </c>
      <c r="D469" s="63" t="str">
        <f>IFERROR(__xludf.DUMMYFUNCTION("INDIRECT(""'收支紀錄'!D""&amp;TO_TEXT(ROW()-$C$72))"),"今天")</f>
        <v>今天</v>
      </c>
      <c r="E469" s="61" t="str">
        <f>IFERROR(__xludf.DUMMYFUNCTION("INDIRECT(""'收支紀錄'!E""&amp;TO_TEXT(ROW()-$C$72))"),"")</f>
        <v/>
      </c>
      <c r="F469" s="61" t="str">
        <f>IFERROR(__xludf.DUMMYFUNCTION("INDIRECT(""'收支紀錄'!F""&amp;TO_TEXT(ROW()-$C$72))"),"")</f>
        <v/>
      </c>
      <c r="G469" s="61" t="str">
        <f>IFERROR(__xludf.DUMMYFUNCTION("INDIRECT(""'收支紀錄'!G""&amp;TO_TEXT(ROW()-$C$72))"),"")</f>
        <v/>
      </c>
      <c r="H469" s="61" t="str">
        <f>IFERROR(__xludf.DUMMYFUNCTION("INDIRECT(""'收支紀錄'!H""&amp;TO_TEXT(ROW()-$C$72))"),"行車交通")</f>
        <v>行車交通</v>
      </c>
      <c r="I469" s="61" t="str">
        <f>IFERROR(__xludf.DUMMYFUNCTION("INDIRECT(""'收支紀錄'!I""&amp;TO_TEXT(ROW()-$C$72))"),"")</f>
        <v/>
      </c>
      <c r="J469" s="61" t="str">
        <f>IFERROR(__xludf.DUMMYFUNCTION("INDIRECT(""'收支紀錄'!J""&amp;TO_TEXT(ROW()-$C$72))"),"")</f>
        <v/>
      </c>
      <c r="K469" s="61" t="str">
        <f>IFERROR(__xludf.DUMMYFUNCTION("INDIRECT(""'收支紀錄'!K""&amp;TO_TEXT(ROW()-$C$72))"),"")</f>
        <v/>
      </c>
      <c r="L469" s="61" t="str">
        <f>IFERROR(__xludf.DUMMYFUNCTION("INDIRECT(""'收支紀錄'!L""&amp;TO_TEXT(ROW()-$C$72))"),"捷運費")</f>
        <v>捷運費</v>
      </c>
      <c r="M469" s="61" t="str">
        <f>IFERROR(__xludf.DUMMYFUNCTION("INDIRECT(""'收支紀錄'!M""&amp;TO_TEXT(ROW()-$C$72))"),"")</f>
        <v/>
      </c>
      <c r="N469" s="61" t="str">
        <f>IFERROR(__xludf.DUMMYFUNCTION("INDIRECT(""'收支紀錄'!N""&amp;TO_TEXT(ROW()-$C$72))"),"")</f>
        <v/>
      </c>
      <c r="O469" s="61" t="str">
        <f>IFERROR(__xludf.DUMMYFUNCTION("INDIRECT(""'收支紀錄'!O""&amp;TO_TEXT(ROW()-$C$72))"),"")</f>
        <v/>
      </c>
      <c r="P469" s="61" t="str">
        <f>IFERROR(__xludf.DUMMYFUNCTION("INDIRECT(""'收支紀錄'!P""&amp;TO_TEXT(ROW()-$C$72))"),"")</f>
        <v/>
      </c>
      <c r="Q469" s="61" t="str">
        <f>IFERROR(__xludf.DUMMYFUNCTION("INDIRECT(""'收支紀錄'!Q""&amp;TO_TEXT(ROW()-$C$72))"),"")</f>
        <v/>
      </c>
      <c r="R469" s="61" t="str">
        <f>IFERROR(__xludf.DUMMYFUNCTION("INDIRECT(""'收支紀錄'!R""&amp;TO_TEXT(ROW()-$C$72))"),"")</f>
        <v/>
      </c>
      <c r="S469" s="61" t="str">
        <f>IFERROR(__xludf.DUMMYFUNCTION("INDIRECT(""'收支紀錄'!S""&amp;TO_TEXT(ROW()-$C$72))"),"")</f>
        <v/>
      </c>
      <c r="T469" s="61" t="str">
        <f>IFERROR(__xludf.DUMMYFUNCTION("INDIRECT(""'收支紀錄'!T""&amp;TO_TEXT(ROW()-$C$72))"),"")</f>
        <v/>
      </c>
      <c r="U469" s="62" t="str">
        <f>IFERROR(__xludf.DUMMYFUNCTION("IF(T469=""是"",TEXTJOIN("""", TRUE, ""$"", TO_TEXT(C469), S469),"""")"),"")</f>
        <v/>
      </c>
    </row>
    <row r="470">
      <c r="A470" s="58">
        <f>IFERROR(__xludf.DUMMYFUNCTION("INDIRECT(""'收支紀錄'!A""&amp;TO_TEXT(ROW()-$C$72))"),45626.662554675924)</f>
        <v>45626.66255</v>
      </c>
      <c r="B470" s="59">
        <f>IFERROR(__xludf.DUMMYFUNCTION("IF(ISBLANK(D470), """", IF(ISDATE(D470), D470, IF(D470=""今天"", A470, IF(D470=""昨天 (-1 day)"", A470-1, IF(D470=""前天 (-2 days)"", A470-2, IF(D470=""明天 (+1 day)"", A470+1, DATE(LEFT(D470,4), MID(D470,5,2), RIGHT(D470,2))))))))"),45626.662554675924)</f>
        <v>45626.66255</v>
      </c>
      <c r="C470" s="60">
        <f>IFERROR(__xludf.DUMMYFUNCTION("INDIRECT(""'收支紀錄'!C""&amp;TO_TEXT(ROW()-$C$72))"),1301.0)</f>
        <v>1301</v>
      </c>
      <c r="D470" s="63" t="str">
        <f>IFERROR(__xludf.DUMMYFUNCTION("INDIRECT(""'收支紀錄'!D""&amp;TO_TEXT(ROW()-$C$72))"),"今天")</f>
        <v>今天</v>
      </c>
      <c r="E470" s="61" t="str">
        <f>IFERROR(__xludf.DUMMYFUNCTION("INDIRECT(""'收支紀錄'!E""&amp;TO_TEXT(ROW()-$C$72))"),"")</f>
        <v/>
      </c>
      <c r="F470" s="61" t="str">
        <f>IFERROR(__xludf.DUMMYFUNCTION("INDIRECT(""'收支紀錄'!F""&amp;TO_TEXT(ROW()-$C$72))"),"")</f>
        <v/>
      </c>
      <c r="G470" s="61" t="str">
        <f>IFERROR(__xludf.DUMMYFUNCTION("INDIRECT(""'收支紀錄'!G""&amp;TO_TEXT(ROW()-$C$72))"),"")</f>
        <v/>
      </c>
      <c r="H470" s="61" t="str">
        <f>IFERROR(__xludf.DUMMYFUNCTION("INDIRECT(""'收支紀錄'!H""&amp;TO_TEXT(ROW()-$C$72))"),"食品酒水")</f>
        <v>食品酒水</v>
      </c>
      <c r="I470" s="61" t="str">
        <f>IFERROR(__xludf.DUMMYFUNCTION("INDIRECT(""'收支紀錄'!I""&amp;TO_TEXT(ROW()-$C$72))"),"午餐")</f>
        <v>午餐</v>
      </c>
      <c r="J470" s="61" t="str">
        <f>IFERROR(__xludf.DUMMYFUNCTION("INDIRECT(""'收支紀錄'!J""&amp;TO_TEXT(ROW()-$C$72))"),"")</f>
        <v/>
      </c>
      <c r="K470" s="61" t="str">
        <f>IFERROR(__xludf.DUMMYFUNCTION("INDIRECT(""'收支紀錄'!K""&amp;TO_TEXT(ROW()-$C$72))"),"")</f>
        <v/>
      </c>
      <c r="L470" s="61" t="str">
        <f>IFERROR(__xludf.DUMMYFUNCTION("INDIRECT(""'收支紀錄'!L""&amp;TO_TEXT(ROW()-$C$72))"),"")</f>
        <v/>
      </c>
      <c r="M470" s="61" t="str">
        <f>IFERROR(__xludf.DUMMYFUNCTION("INDIRECT(""'收支紀錄'!M""&amp;TO_TEXT(ROW()-$C$72))"),"")</f>
        <v/>
      </c>
      <c r="N470" s="61" t="str">
        <f>IFERROR(__xludf.DUMMYFUNCTION("INDIRECT(""'收支紀錄'!N""&amp;TO_TEXT(ROW()-$C$72))"),"")</f>
        <v/>
      </c>
      <c r="O470" s="61" t="str">
        <f>IFERROR(__xludf.DUMMYFUNCTION("INDIRECT(""'收支紀錄'!O""&amp;TO_TEXT(ROW()-$C$72))"),"")</f>
        <v/>
      </c>
      <c r="P470" s="61" t="str">
        <f>IFERROR(__xludf.DUMMYFUNCTION("INDIRECT(""'收支紀錄'!P""&amp;TO_TEXT(ROW()-$C$72))"),"")</f>
        <v/>
      </c>
      <c r="Q470" s="61" t="str">
        <f>IFERROR(__xludf.DUMMYFUNCTION("INDIRECT(""'收支紀錄'!Q""&amp;TO_TEXT(ROW()-$C$72))"),"")</f>
        <v/>
      </c>
      <c r="R470" s="61" t="str">
        <f>IFERROR(__xludf.DUMMYFUNCTION("INDIRECT(""'收支紀錄'!R""&amp;TO_TEXT(ROW()-$C$72))"),"")</f>
        <v/>
      </c>
      <c r="S470" s="61" t="str">
        <f>IFERROR(__xludf.DUMMYFUNCTION("INDIRECT(""'收支紀錄'!S""&amp;TO_TEXT(ROW()-$C$72))"),"")</f>
        <v/>
      </c>
      <c r="T470" s="61" t="str">
        <f>IFERROR(__xludf.DUMMYFUNCTION("INDIRECT(""'收支紀錄'!T""&amp;TO_TEXT(ROW()-$C$72))"),"")</f>
        <v/>
      </c>
      <c r="U470" s="62" t="str">
        <f>IFERROR(__xludf.DUMMYFUNCTION("IF(T470=""是"",TEXTJOIN("""", TRUE, ""$"", TO_TEXT(C470), S470),"""")"),"")</f>
        <v/>
      </c>
    </row>
    <row r="471">
      <c r="A471" s="58">
        <f>IFERROR(__xludf.DUMMYFUNCTION("INDIRECT(""'收支紀錄'!A""&amp;TO_TEXT(ROW()-$C$72))"),45626.66283956019)</f>
        <v>45626.66284</v>
      </c>
      <c r="B471" s="59">
        <f>IFERROR(__xludf.DUMMYFUNCTION("IF(ISBLANK(D471), """", IF(ISDATE(D471), D471, IF(D471=""今天"", A471, IF(D471=""昨天 (-1 day)"", A471-1, IF(D471=""前天 (-2 days)"", A471-2, IF(D471=""明天 (+1 day)"", A471+1, DATE(LEFT(D471,4), MID(D471,5,2), RIGHT(D471,2))))))))"),45626.66283956019)</f>
        <v>45626.66284</v>
      </c>
      <c r="C471" s="60">
        <f>IFERROR(__xludf.DUMMYFUNCTION("INDIRECT(""'收支紀錄'!C""&amp;TO_TEXT(ROW()-$C$72))"),786.0)</f>
        <v>786</v>
      </c>
      <c r="D471" s="63" t="str">
        <f>IFERROR(__xludf.DUMMYFUNCTION("INDIRECT(""'收支紀錄'!D""&amp;TO_TEXT(ROW()-$C$72))"),"今天")</f>
        <v>今天</v>
      </c>
      <c r="E471" s="61" t="str">
        <f>IFERROR(__xludf.DUMMYFUNCTION("INDIRECT(""'收支紀錄'!E""&amp;TO_TEXT(ROW()-$C$72))"),"")</f>
        <v/>
      </c>
      <c r="F471" s="61" t="str">
        <f>IFERROR(__xludf.DUMMYFUNCTION("INDIRECT(""'收支紀錄'!F""&amp;TO_TEXT(ROW()-$C$72))"),"")</f>
        <v/>
      </c>
      <c r="G471" s="61" t="str">
        <f>IFERROR(__xludf.DUMMYFUNCTION("INDIRECT(""'收支紀錄'!G""&amp;TO_TEXT(ROW()-$C$72))"),"")</f>
        <v/>
      </c>
      <c r="H471" s="61" t="str">
        <f>IFERROR(__xludf.DUMMYFUNCTION("INDIRECT(""'收支紀錄'!H""&amp;TO_TEXT(ROW()-$C$72))"),"行車交通")</f>
        <v>行車交通</v>
      </c>
      <c r="I471" s="61" t="str">
        <f>IFERROR(__xludf.DUMMYFUNCTION("INDIRECT(""'收支紀錄'!I""&amp;TO_TEXT(ROW()-$C$72))"),"")</f>
        <v/>
      </c>
      <c r="J471" s="61" t="str">
        <f>IFERROR(__xludf.DUMMYFUNCTION("INDIRECT(""'收支紀錄'!J""&amp;TO_TEXT(ROW()-$C$72))"),"")</f>
        <v/>
      </c>
      <c r="K471" s="61" t="str">
        <f>IFERROR(__xludf.DUMMYFUNCTION("INDIRECT(""'收支紀錄'!K""&amp;TO_TEXT(ROW()-$C$72))"),"")</f>
        <v/>
      </c>
      <c r="L471" s="61" t="str">
        <f>IFERROR(__xludf.DUMMYFUNCTION("INDIRECT(""'收支紀錄'!L""&amp;TO_TEXT(ROW()-$C$72))"),"加油")</f>
        <v>加油</v>
      </c>
      <c r="M471" s="61" t="str">
        <f>IFERROR(__xludf.DUMMYFUNCTION("INDIRECT(""'收支紀錄'!M""&amp;TO_TEXT(ROW()-$C$72))"),"")</f>
        <v/>
      </c>
      <c r="N471" s="61" t="str">
        <f>IFERROR(__xludf.DUMMYFUNCTION("INDIRECT(""'收支紀錄'!N""&amp;TO_TEXT(ROW()-$C$72))"),"")</f>
        <v/>
      </c>
      <c r="O471" s="61" t="str">
        <f>IFERROR(__xludf.DUMMYFUNCTION("INDIRECT(""'收支紀錄'!O""&amp;TO_TEXT(ROW()-$C$72))"),"")</f>
        <v/>
      </c>
      <c r="P471" s="61" t="str">
        <f>IFERROR(__xludf.DUMMYFUNCTION("INDIRECT(""'收支紀錄'!P""&amp;TO_TEXT(ROW()-$C$72))"),"")</f>
        <v/>
      </c>
      <c r="Q471" s="61" t="str">
        <f>IFERROR(__xludf.DUMMYFUNCTION("INDIRECT(""'收支紀錄'!Q""&amp;TO_TEXT(ROW()-$C$72))"),"")</f>
        <v/>
      </c>
      <c r="R471" s="61" t="str">
        <f>IFERROR(__xludf.DUMMYFUNCTION("INDIRECT(""'收支紀錄'!R""&amp;TO_TEXT(ROW()-$C$72))"),"")</f>
        <v/>
      </c>
      <c r="S471" s="61" t="str">
        <f>IFERROR(__xludf.DUMMYFUNCTION("INDIRECT(""'收支紀錄'!S""&amp;TO_TEXT(ROW()-$C$72))"),"")</f>
        <v/>
      </c>
      <c r="T471" s="61" t="str">
        <f>IFERROR(__xludf.DUMMYFUNCTION("INDIRECT(""'收支紀錄'!T""&amp;TO_TEXT(ROW()-$C$72))"),"")</f>
        <v/>
      </c>
      <c r="U471" s="62" t="str">
        <f>IFERROR(__xludf.DUMMYFUNCTION("IF(T471=""是"",TEXTJOIN("""", TRUE, ""$"", TO_TEXT(C471), S471),"""")"),"")</f>
        <v/>
      </c>
    </row>
    <row r="472">
      <c r="A472" s="58">
        <f>IFERROR(__xludf.DUMMYFUNCTION("INDIRECT(""'收支紀錄'!A""&amp;TO_TEXT(ROW()-$C$72))"),45626.921839120376)</f>
        <v>45626.92184</v>
      </c>
      <c r="B472" s="59">
        <f>IFERROR(__xludf.DUMMYFUNCTION("IF(ISBLANK(D472), """", IF(ISDATE(D472), D472, IF(D472=""今天"", A472, IF(D472=""昨天 (-1 day)"", A472-1, IF(D472=""前天 (-2 days)"", A472-2, IF(D472=""明天 (+1 day)"", A472+1, DATE(LEFT(D472,4), MID(D472,5,2), RIGHT(D472,2))))))))"),45626.921839120376)</f>
        <v>45626.92184</v>
      </c>
      <c r="C472" s="60">
        <f>IFERROR(__xludf.DUMMYFUNCTION("INDIRECT(""'收支紀錄'!C""&amp;TO_TEXT(ROW()-$C$72))"),354.0)</f>
        <v>354</v>
      </c>
      <c r="D472" s="63" t="str">
        <f>IFERROR(__xludf.DUMMYFUNCTION("INDIRECT(""'收支紀錄'!D""&amp;TO_TEXT(ROW()-$C$72))"),"今天")</f>
        <v>今天</v>
      </c>
      <c r="E472" s="61" t="str">
        <f>IFERROR(__xludf.DUMMYFUNCTION("INDIRECT(""'收支紀錄'!E""&amp;TO_TEXT(ROW()-$C$72))"),"")</f>
        <v/>
      </c>
      <c r="F472" s="61" t="str">
        <f>IFERROR(__xludf.DUMMYFUNCTION("INDIRECT(""'收支紀錄'!F""&amp;TO_TEXT(ROW()-$C$72))"),"")</f>
        <v/>
      </c>
      <c r="G472" s="61" t="str">
        <f>IFERROR(__xludf.DUMMYFUNCTION("INDIRECT(""'收支紀錄'!G""&amp;TO_TEXT(ROW()-$C$72))"),"")</f>
        <v/>
      </c>
      <c r="H472" s="61" t="str">
        <f>IFERROR(__xludf.DUMMYFUNCTION("INDIRECT(""'收支紀錄'!H""&amp;TO_TEXT(ROW()-$C$72))"),"食品酒水")</f>
        <v>食品酒水</v>
      </c>
      <c r="I472" s="61" t="str">
        <f>IFERROR(__xludf.DUMMYFUNCTION("INDIRECT(""'收支紀錄'!I""&amp;TO_TEXT(ROW()-$C$72))"),"晚餐")</f>
        <v>晚餐</v>
      </c>
      <c r="J472" s="61" t="str">
        <f>IFERROR(__xludf.DUMMYFUNCTION("INDIRECT(""'收支紀錄'!J""&amp;TO_TEXT(ROW()-$C$72))"),"")</f>
        <v/>
      </c>
      <c r="K472" s="61" t="str">
        <f>IFERROR(__xludf.DUMMYFUNCTION("INDIRECT(""'收支紀錄'!K""&amp;TO_TEXT(ROW()-$C$72))"),"")</f>
        <v/>
      </c>
      <c r="L472" s="61" t="str">
        <f>IFERROR(__xludf.DUMMYFUNCTION("INDIRECT(""'收支紀錄'!L""&amp;TO_TEXT(ROW()-$C$72))"),"")</f>
        <v/>
      </c>
      <c r="M472" s="61" t="str">
        <f>IFERROR(__xludf.DUMMYFUNCTION("INDIRECT(""'收支紀錄'!M""&amp;TO_TEXT(ROW()-$C$72))"),"")</f>
        <v/>
      </c>
      <c r="N472" s="61" t="str">
        <f>IFERROR(__xludf.DUMMYFUNCTION("INDIRECT(""'收支紀錄'!N""&amp;TO_TEXT(ROW()-$C$72))"),"")</f>
        <v/>
      </c>
      <c r="O472" s="61" t="str">
        <f>IFERROR(__xludf.DUMMYFUNCTION("INDIRECT(""'收支紀錄'!O""&amp;TO_TEXT(ROW()-$C$72))"),"")</f>
        <v/>
      </c>
      <c r="P472" s="61" t="str">
        <f>IFERROR(__xludf.DUMMYFUNCTION("INDIRECT(""'收支紀錄'!P""&amp;TO_TEXT(ROW()-$C$72))"),"")</f>
        <v/>
      </c>
      <c r="Q472" s="61" t="str">
        <f>IFERROR(__xludf.DUMMYFUNCTION("INDIRECT(""'收支紀錄'!Q""&amp;TO_TEXT(ROW()-$C$72))"),"")</f>
        <v/>
      </c>
      <c r="R472" s="61" t="str">
        <f>IFERROR(__xludf.DUMMYFUNCTION("INDIRECT(""'收支紀錄'!R""&amp;TO_TEXT(ROW()-$C$72))"),"")</f>
        <v/>
      </c>
      <c r="S472" s="61" t="str">
        <f>IFERROR(__xludf.DUMMYFUNCTION("INDIRECT(""'收支紀錄'!S""&amp;TO_TEXT(ROW()-$C$72))"),"")</f>
        <v/>
      </c>
      <c r="T472" s="61" t="str">
        <f>IFERROR(__xludf.DUMMYFUNCTION("INDIRECT(""'收支紀錄'!T""&amp;TO_TEXT(ROW()-$C$72))"),"")</f>
        <v/>
      </c>
      <c r="U472" s="62" t="str">
        <f>IFERROR(__xludf.DUMMYFUNCTION("IF(T472=""是"",TEXTJOIN("""", TRUE, ""$"", TO_TEXT(C472), S472),"""")"),"")</f>
        <v/>
      </c>
    </row>
    <row r="473">
      <c r="A473" s="58">
        <f>IFERROR(__xludf.DUMMYFUNCTION("INDIRECT(""'收支紀錄'!A""&amp;TO_TEXT(ROW()-$C$72))"),45626.92200342593)</f>
        <v>45626.922</v>
      </c>
      <c r="B473" s="59">
        <f>IFERROR(__xludf.DUMMYFUNCTION("IF(ISBLANK(D473), """", IF(ISDATE(D473), D473, IF(D473=""今天"", A473, IF(D473=""昨天 (-1 day)"", A473-1, IF(D473=""前天 (-2 days)"", A473-2, IF(D473=""明天 (+1 day)"", A473+1, DATE(LEFT(D473,4), MID(D473,5,2), RIGHT(D473,2))))))))"),45626.92200342593)</f>
        <v>45626.922</v>
      </c>
      <c r="C473" s="60">
        <f>IFERROR(__xludf.DUMMYFUNCTION("INDIRECT(""'收支紀錄'!C""&amp;TO_TEXT(ROW()-$C$72))"),99.0)</f>
        <v>99</v>
      </c>
      <c r="D473" s="63" t="str">
        <f>IFERROR(__xludf.DUMMYFUNCTION("INDIRECT(""'收支紀錄'!D""&amp;TO_TEXT(ROW()-$C$72))"),"今天")</f>
        <v>今天</v>
      </c>
      <c r="E473" s="61" t="str">
        <f>IFERROR(__xludf.DUMMYFUNCTION("INDIRECT(""'收支紀錄'!E""&amp;TO_TEXT(ROW()-$C$72))"),"")</f>
        <v/>
      </c>
      <c r="F473" s="61" t="str">
        <f>IFERROR(__xludf.DUMMYFUNCTION("INDIRECT(""'收支紀錄'!F""&amp;TO_TEXT(ROW()-$C$72))"),"")</f>
        <v/>
      </c>
      <c r="G473" s="61" t="str">
        <f>IFERROR(__xludf.DUMMYFUNCTION("INDIRECT(""'收支紀錄'!G""&amp;TO_TEXT(ROW()-$C$72))"),"")</f>
        <v/>
      </c>
      <c r="H473" s="61" t="str">
        <f>IFERROR(__xludf.DUMMYFUNCTION("INDIRECT(""'收支紀錄'!H""&amp;TO_TEXT(ROW()-$C$72))"),"食品酒水")</f>
        <v>食品酒水</v>
      </c>
      <c r="I473" s="61" t="str">
        <f>IFERROR(__xludf.DUMMYFUNCTION("INDIRECT(""'收支紀錄'!I""&amp;TO_TEXT(ROW()-$C$72))"),"飲料酒水")</f>
        <v>飲料酒水</v>
      </c>
      <c r="J473" s="61" t="str">
        <f>IFERROR(__xludf.DUMMYFUNCTION("INDIRECT(""'收支紀錄'!J""&amp;TO_TEXT(ROW()-$C$72))"),"")</f>
        <v/>
      </c>
      <c r="K473" s="61" t="str">
        <f>IFERROR(__xludf.DUMMYFUNCTION("INDIRECT(""'收支紀錄'!K""&amp;TO_TEXT(ROW()-$C$72))"),"")</f>
        <v/>
      </c>
      <c r="L473" s="61" t="str">
        <f>IFERROR(__xludf.DUMMYFUNCTION("INDIRECT(""'收支紀錄'!L""&amp;TO_TEXT(ROW()-$C$72))"),"")</f>
        <v/>
      </c>
      <c r="M473" s="61" t="str">
        <f>IFERROR(__xludf.DUMMYFUNCTION("INDIRECT(""'收支紀錄'!M""&amp;TO_TEXT(ROW()-$C$72))"),"")</f>
        <v/>
      </c>
      <c r="N473" s="61" t="str">
        <f>IFERROR(__xludf.DUMMYFUNCTION("INDIRECT(""'收支紀錄'!N""&amp;TO_TEXT(ROW()-$C$72))"),"")</f>
        <v/>
      </c>
      <c r="O473" s="61" t="str">
        <f>IFERROR(__xludf.DUMMYFUNCTION("INDIRECT(""'收支紀錄'!O""&amp;TO_TEXT(ROW()-$C$72))"),"")</f>
        <v/>
      </c>
      <c r="P473" s="61" t="str">
        <f>IFERROR(__xludf.DUMMYFUNCTION("INDIRECT(""'收支紀錄'!P""&amp;TO_TEXT(ROW()-$C$72))"),"")</f>
        <v/>
      </c>
      <c r="Q473" s="61" t="str">
        <f>IFERROR(__xludf.DUMMYFUNCTION("INDIRECT(""'收支紀錄'!Q""&amp;TO_TEXT(ROW()-$C$72))"),"")</f>
        <v/>
      </c>
      <c r="R473" s="61" t="str">
        <f>IFERROR(__xludf.DUMMYFUNCTION("INDIRECT(""'收支紀錄'!R""&amp;TO_TEXT(ROW()-$C$72))"),"")</f>
        <v/>
      </c>
      <c r="S473" s="61" t="str">
        <f>IFERROR(__xludf.DUMMYFUNCTION("INDIRECT(""'收支紀錄'!S""&amp;TO_TEXT(ROW()-$C$72))"),"")</f>
        <v/>
      </c>
      <c r="T473" s="61" t="str">
        <f>IFERROR(__xludf.DUMMYFUNCTION("INDIRECT(""'收支紀錄'!T""&amp;TO_TEXT(ROW()-$C$72))"),"")</f>
        <v/>
      </c>
      <c r="U473" s="62" t="str">
        <f>IFERROR(__xludf.DUMMYFUNCTION("IF(T473=""是"",TEXTJOIN("""", TRUE, ""$"", TO_TEXT(C473), S473),"""")"),"")</f>
        <v/>
      </c>
    </row>
    <row r="474">
      <c r="A474" s="58">
        <f>IFERROR(__xludf.DUMMYFUNCTION("INDIRECT(""'收支紀錄'!A""&amp;TO_TEXT(ROW()-$C$72))"),45626.92219179399)</f>
        <v>45626.92219</v>
      </c>
      <c r="B474" s="59">
        <f>IFERROR(__xludf.DUMMYFUNCTION("IF(ISBLANK(D474), """", IF(ISDATE(D474), D474, IF(D474=""今天"", A474, IF(D474=""昨天 (-1 day)"", A474-1, IF(D474=""前天 (-2 days)"", A474-2, IF(D474=""明天 (+1 day)"", A474+1, DATE(LEFT(D474,4), MID(D474,5,2), RIGHT(D474,2))))))))"),45626.92219179399)</f>
        <v>45626.92219</v>
      </c>
      <c r="C474" s="60">
        <f>IFERROR(__xludf.DUMMYFUNCTION("INDIRECT(""'收支紀錄'!C""&amp;TO_TEXT(ROW()-$C$72))"),85.0)</f>
        <v>85</v>
      </c>
      <c r="D474" s="63" t="str">
        <f>IFERROR(__xludf.DUMMYFUNCTION("INDIRECT(""'收支紀錄'!D""&amp;TO_TEXT(ROW()-$C$72))"),"今天")</f>
        <v>今天</v>
      </c>
      <c r="E474" s="61" t="str">
        <f>IFERROR(__xludf.DUMMYFUNCTION("INDIRECT(""'收支紀錄'!E""&amp;TO_TEXT(ROW()-$C$72))"),"")</f>
        <v/>
      </c>
      <c r="F474" s="61" t="str">
        <f>IFERROR(__xludf.DUMMYFUNCTION("INDIRECT(""'收支紀錄'!F""&amp;TO_TEXT(ROW()-$C$72))"),"")</f>
        <v/>
      </c>
      <c r="G474" s="61" t="str">
        <f>IFERROR(__xludf.DUMMYFUNCTION("INDIRECT(""'收支紀錄'!G""&amp;TO_TEXT(ROW()-$C$72))"),"")</f>
        <v/>
      </c>
      <c r="H474" s="61" t="str">
        <f>IFERROR(__xludf.DUMMYFUNCTION("INDIRECT(""'收支紀錄'!H""&amp;TO_TEXT(ROW()-$C$72))"),"行車交通")</f>
        <v>行車交通</v>
      </c>
      <c r="I474" s="61" t="str">
        <f>IFERROR(__xludf.DUMMYFUNCTION("INDIRECT(""'收支紀錄'!I""&amp;TO_TEXT(ROW()-$C$72))"),"")</f>
        <v/>
      </c>
      <c r="J474" s="61" t="str">
        <f>IFERROR(__xludf.DUMMYFUNCTION("INDIRECT(""'收支紀錄'!J""&amp;TO_TEXT(ROW()-$C$72))"),"")</f>
        <v/>
      </c>
      <c r="K474" s="61" t="str">
        <f>IFERROR(__xludf.DUMMYFUNCTION("INDIRECT(""'收支紀錄'!K""&amp;TO_TEXT(ROW()-$C$72))"),"")</f>
        <v/>
      </c>
      <c r="L474" s="61" t="str">
        <f>IFERROR(__xludf.DUMMYFUNCTION("INDIRECT(""'收支紀錄'!L""&amp;TO_TEXT(ROW()-$C$72))"),"加油")</f>
        <v>加油</v>
      </c>
      <c r="M474" s="61" t="str">
        <f>IFERROR(__xludf.DUMMYFUNCTION("INDIRECT(""'收支紀錄'!M""&amp;TO_TEXT(ROW()-$C$72))"),"")</f>
        <v/>
      </c>
      <c r="N474" s="61" t="str">
        <f>IFERROR(__xludf.DUMMYFUNCTION("INDIRECT(""'收支紀錄'!N""&amp;TO_TEXT(ROW()-$C$72))"),"")</f>
        <v/>
      </c>
      <c r="O474" s="61" t="str">
        <f>IFERROR(__xludf.DUMMYFUNCTION("INDIRECT(""'收支紀錄'!O""&amp;TO_TEXT(ROW()-$C$72))"),"")</f>
        <v/>
      </c>
      <c r="P474" s="61" t="str">
        <f>IFERROR(__xludf.DUMMYFUNCTION("INDIRECT(""'收支紀錄'!P""&amp;TO_TEXT(ROW()-$C$72))"),"")</f>
        <v/>
      </c>
      <c r="Q474" s="61" t="str">
        <f>IFERROR(__xludf.DUMMYFUNCTION("INDIRECT(""'收支紀錄'!Q""&amp;TO_TEXT(ROW()-$C$72))"),"")</f>
        <v/>
      </c>
      <c r="R474" s="61" t="str">
        <f>IFERROR(__xludf.DUMMYFUNCTION("INDIRECT(""'收支紀錄'!R""&amp;TO_TEXT(ROW()-$C$72))"),"")</f>
        <v/>
      </c>
      <c r="S474" s="61" t="str">
        <f>IFERROR(__xludf.DUMMYFUNCTION("INDIRECT(""'收支紀錄'!S""&amp;TO_TEXT(ROW()-$C$72))"),"")</f>
        <v/>
      </c>
      <c r="T474" s="61" t="str">
        <f>IFERROR(__xludf.DUMMYFUNCTION("INDIRECT(""'收支紀錄'!T""&amp;TO_TEXT(ROW()-$C$72))"),"")</f>
        <v/>
      </c>
      <c r="U474" s="62" t="str">
        <f>IFERROR(__xludf.DUMMYFUNCTION("IF(T474=""是"",TEXTJOIN("""", TRUE, ""$"", TO_TEXT(C474), S474),"""")"),"")</f>
        <v/>
      </c>
    </row>
    <row r="475">
      <c r="A475" s="58">
        <f>IFERROR(__xludf.DUMMYFUNCTION("INDIRECT(""'收支紀錄'!A""&amp;TO_TEXT(ROW()-$C$72))"),45627.668940393516)</f>
        <v>45627.66894</v>
      </c>
      <c r="B475" s="59">
        <f>IFERROR(__xludf.DUMMYFUNCTION("IF(ISBLANK(D475), """", IF(ISDATE(D475), D475, IF(D475=""今天"", A475, IF(D475=""昨天 (-1 day)"", A475-1, IF(D475=""前天 (-2 days)"", A475-2, IF(D475=""明天 (+1 day)"", A475+1, DATE(LEFT(D475,4), MID(D475,5,2), RIGHT(D475,2))))))))"),45627.668940393516)</f>
        <v>45627.66894</v>
      </c>
      <c r="C475" s="60">
        <f>IFERROR(__xludf.DUMMYFUNCTION("INDIRECT(""'收支紀錄'!C""&amp;TO_TEXT(ROW()-$C$72))"),94.0)</f>
        <v>94</v>
      </c>
      <c r="D475" s="63" t="str">
        <f>IFERROR(__xludf.DUMMYFUNCTION("INDIRECT(""'收支紀錄'!D""&amp;TO_TEXT(ROW()-$C$72))"),"今天")</f>
        <v>今天</v>
      </c>
      <c r="E475" s="61" t="str">
        <f>IFERROR(__xludf.DUMMYFUNCTION("INDIRECT(""'收支紀錄'!E""&amp;TO_TEXT(ROW()-$C$72))"),"")</f>
        <v/>
      </c>
      <c r="F475" s="61" t="str">
        <f>IFERROR(__xludf.DUMMYFUNCTION("INDIRECT(""'收支紀錄'!F""&amp;TO_TEXT(ROW()-$C$72))"),"")</f>
        <v/>
      </c>
      <c r="G475" s="61" t="str">
        <f>IFERROR(__xludf.DUMMYFUNCTION("INDIRECT(""'收支紀錄'!G""&amp;TO_TEXT(ROW()-$C$72))"),"")</f>
        <v/>
      </c>
      <c r="H475" s="61" t="str">
        <f>IFERROR(__xludf.DUMMYFUNCTION("INDIRECT(""'收支紀錄'!H""&amp;TO_TEXT(ROW()-$C$72))"),"食品酒水")</f>
        <v>食品酒水</v>
      </c>
      <c r="I475" s="61" t="str">
        <f>IFERROR(__xludf.DUMMYFUNCTION("INDIRECT(""'收支紀錄'!I""&amp;TO_TEXT(ROW()-$C$72))"),"早餐")</f>
        <v>早餐</v>
      </c>
      <c r="J475" s="61" t="str">
        <f>IFERROR(__xludf.DUMMYFUNCTION("INDIRECT(""'收支紀錄'!J""&amp;TO_TEXT(ROW()-$C$72))"),"")</f>
        <v/>
      </c>
      <c r="K475" s="61" t="str">
        <f>IFERROR(__xludf.DUMMYFUNCTION("INDIRECT(""'收支紀錄'!K""&amp;TO_TEXT(ROW()-$C$72))"),"")</f>
        <v/>
      </c>
      <c r="L475" s="61" t="str">
        <f>IFERROR(__xludf.DUMMYFUNCTION("INDIRECT(""'收支紀錄'!L""&amp;TO_TEXT(ROW()-$C$72))"),"")</f>
        <v/>
      </c>
      <c r="M475" s="61" t="str">
        <f>IFERROR(__xludf.DUMMYFUNCTION("INDIRECT(""'收支紀錄'!M""&amp;TO_TEXT(ROW()-$C$72))"),"")</f>
        <v/>
      </c>
      <c r="N475" s="61" t="str">
        <f>IFERROR(__xludf.DUMMYFUNCTION("INDIRECT(""'收支紀錄'!N""&amp;TO_TEXT(ROW()-$C$72))"),"")</f>
        <v/>
      </c>
      <c r="O475" s="61" t="str">
        <f>IFERROR(__xludf.DUMMYFUNCTION("INDIRECT(""'收支紀錄'!O""&amp;TO_TEXT(ROW()-$C$72))"),"")</f>
        <v/>
      </c>
      <c r="P475" s="61" t="str">
        <f>IFERROR(__xludf.DUMMYFUNCTION("INDIRECT(""'收支紀錄'!P""&amp;TO_TEXT(ROW()-$C$72))"),"")</f>
        <v/>
      </c>
      <c r="Q475" s="61" t="str">
        <f>IFERROR(__xludf.DUMMYFUNCTION("INDIRECT(""'收支紀錄'!Q""&amp;TO_TEXT(ROW()-$C$72))"),"")</f>
        <v/>
      </c>
      <c r="R475" s="61" t="str">
        <f>IFERROR(__xludf.DUMMYFUNCTION("INDIRECT(""'收支紀錄'!R""&amp;TO_TEXT(ROW()-$C$72))"),"")</f>
        <v/>
      </c>
      <c r="S475" s="61" t="str">
        <f>IFERROR(__xludf.DUMMYFUNCTION("INDIRECT(""'收支紀錄'!S""&amp;TO_TEXT(ROW()-$C$72))"),"")</f>
        <v/>
      </c>
      <c r="T475" s="61" t="str">
        <f>IFERROR(__xludf.DUMMYFUNCTION("INDIRECT(""'收支紀錄'!T""&amp;TO_TEXT(ROW()-$C$72))"),"")</f>
        <v/>
      </c>
      <c r="U475" s="62" t="str">
        <f>IFERROR(__xludf.DUMMYFUNCTION("IF(T475=""是"",TEXTJOIN("""", TRUE, ""$"", TO_TEXT(C475), S475),"""")"),"")</f>
        <v/>
      </c>
    </row>
    <row r="476">
      <c r="A476" s="58">
        <f>IFERROR(__xludf.DUMMYFUNCTION("INDIRECT(""'收支紀錄'!A""&amp;TO_TEXT(ROW()-$C$72))"),45627.66913365741)</f>
        <v>45627.66913</v>
      </c>
      <c r="B476" s="59">
        <f>IFERROR(__xludf.DUMMYFUNCTION("IF(ISBLANK(D476), """", IF(ISDATE(D476), D476, IF(D476=""今天"", A476, IF(D476=""昨天 (-1 day)"", A476-1, IF(D476=""前天 (-2 days)"", A476-2, IF(D476=""明天 (+1 day)"", A476+1, DATE(LEFT(D476,4), MID(D476,5,2), RIGHT(D476,2))))))))"),45627.66913365741)</f>
        <v>45627.66913</v>
      </c>
      <c r="C476" s="60">
        <f>IFERROR(__xludf.DUMMYFUNCTION("INDIRECT(""'收支紀錄'!C""&amp;TO_TEXT(ROW()-$C$72))"),109.0)</f>
        <v>109</v>
      </c>
      <c r="D476" s="63" t="str">
        <f>IFERROR(__xludf.DUMMYFUNCTION("INDIRECT(""'收支紀錄'!D""&amp;TO_TEXT(ROW()-$C$72))"),"今天")</f>
        <v>今天</v>
      </c>
      <c r="E476" s="61" t="str">
        <f>IFERROR(__xludf.DUMMYFUNCTION("INDIRECT(""'收支紀錄'!E""&amp;TO_TEXT(ROW()-$C$72))"),"")</f>
        <v/>
      </c>
      <c r="F476" s="61" t="str">
        <f>IFERROR(__xludf.DUMMYFUNCTION("INDIRECT(""'收支紀錄'!F""&amp;TO_TEXT(ROW()-$C$72))"),"")</f>
        <v/>
      </c>
      <c r="G476" s="61" t="str">
        <f>IFERROR(__xludf.DUMMYFUNCTION("INDIRECT(""'收支紀錄'!G""&amp;TO_TEXT(ROW()-$C$72))"),"")</f>
        <v/>
      </c>
      <c r="H476" s="61" t="str">
        <f>IFERROR(__xludf.DUMMYFUNCTION("INDIRECT(""'收支紀錄'!H""&amp;TO_TEXT(ROW()-$C$72))"),"食品酒水")</f>
        <v>食品酒水</v>
      </c>
      <c r="I476" s="61" t="str">
        <f>IFERROR(__xludf.DUMMYFUNCTION("INDIRECT(""'收支紀錄'!I""&amp;TO_TEXT(ROW()-$C$72))"),"午餐")</f>
        <v>午餐</v>
      </c>
      <c r="J476" s="61" t="str">
        <f>IFERROR(__xludf.DUMMYFUNCTION("INDIRECT(""'收支紀錄'!J""&amp;TO_TEXT(ROW()-$C$72))"),"")</f>
        <v/>
      </c>
      <c r="K476" s="61" t="str">
        <f>IFERROR(__xludf.DUMMYFUNCTION("INDIRECT(""'收支紀錄'!K""&amp;TO_TEXT(ROW()-$C$72))"),"")</f>
        <v/>
      </c>
      <c r="L476" s="61" t="str">
        <f>IFERROR(__xludf.DUMMYFUNCTION("INDIRECT(""'收支紀錄'!L""&amp;TO_TEXT(ROW()-$C$72))"),"")</f>
        <v/>
      </c>
      <c r="M476" s="61" t="str">
        <f>IFERROR(__xludf.DUMMYFUNCTION("INDIRECT(""'收支紀錄'!M""&amp;TO_TEXT(ROW()-$C$72))"),"")</f>
        <v/>
      </c>
      <c r="N476" s="61" t="str">
        <f>IFERROR(__xludf.DUMMYFUNCTION("INDIRECT(""'收支紀錄'!N""&amp;TO_TEXT(ROW()-$C$72))"),"")</f>
        <v/>
      </c>
      <c r="O476" s="61" t="str">
        <f>IFERROR(__xludf.DUMMYFUNCTION("INDIRECT(""'收支紀錄'!O""&amp;TO_TEXT(ROW()-$C$72))"),"")</f>
        <v/>
      </c>
      <c r="P476" s="61" t="str">
        <f>IFERROR(__xludf.DUMMYFUNCTION("INDIRECT(""'收支紀錄'!P""&amp;TO_TEXT(ROW()-$C$72))"),"")</f>
        <v/>
      </c>
      <c r="Q476" s="61" t="str">
        <f>IFERROR(__xludf.DUMMYFUNCTION("INDIRECT(""'收支紀錄'!Q""&amp;TO_TEXT(ROW()-$C$72))"),"")</f>
        <v/>
      </c>
      <c r="R476" s="61" t="str">
        <f>IFERROR(__xludf.DUMMYFUNCTION("INDIRECT(""'收支紀錄'!R""&amp;TO_TEXT(ROW()-$C$72))"),"")</f>
        <v/>
      </c>
      <c r="S476" s="61" t="str">
        <f>IFERROR(__xludf.DUMMYFUNCTION("INDIRECT(""'收支紀錄'!S""&amp;TO_TEXT(ROW()-$C$72))"),"飪室$609-$500寶補助")</f>
        <v>飪室$609-$500寶補助</v>
      </c>
      <c r="T476" s="61" t="str">
        <f>IFERROR(__xludf.DUMMYFUNCTION("INDIRECT(""'收支紀錄'!T""&amp;TO_TEXT(ROW()-$C$72))"),"")</f>
        <v/>
      </c>
      <c r="U476" s="62" t="str">
        <f>IFERROR(__xludf.DUMMYFUNCTION("IF(T476=""是"",TEXTJOIN("""", TRUE, ""$"", TO_TEXT(C476), S476),"""")"),"")</f>
        <v/>
      </c>
    </row>
    <row r="477">
      <c r="A477" s="58">
        <f>IFERROR(__xludf.DUMMYFUNCTION("INDIRECT(""'收支紀錄'!A""&amp;TO_TEXT(ROW()-$C$72))"),45627.85136075232)</f>
        <v>45627.85136</v>
      </c>
      <c r="B477" s="59">
        <f>IFERROR(__xludf.DUMMYFUNCTION("IF(ISBLANK(D477), """", IF(ISDATE(D477), D477, IF(D477=""今天"", A477, IF(D477=""昨天 (-1 day)"", A477-1, IF(D477=""前天 (-2 days)"", A477-2, IF(D477=""明天 (+1 day)"", A477+1, DATE(LEFT(D477,4), MID(D477,5,2), RIGHT(D477,2))))))))"),45627.85136075232)</f>
        <v>45627.85136</v>
      </c>
      <c r="C477" s="60">
        <f>IFERROR(__xludf.DUMMYFUNCTION("INDIRECT(""'收支紀錄'!C""&amp;TO_TEXT(ROW()-$C$72))"),5000.0)</f>
        <v>5000</v>
      </c>
      <c r="D477" s="63" t="str">
        <f>IFERROR(__xludf.DUMMYFUNCTION("INDIRECT(""'收支紀錄'!D""&amp;TO_TEXT(ROW()-$C$72))"),"今天")</f>
        <v>今天</v>
      </c>
      <c r="E477" s="61" t="str">
        <f>IFERROR(__xludf.DUMMYFUNCTION("INDIRECT(""'收支紀錄'!E""&amp;TO_TEXT(ROW()-$C$72))"),"其他業外")</f>
        <v>其他業外</v>
      </c>
      <c r="F477" s="61" t="str">
        <f>IFERROR(__xludf.DUMMYFUNCTION("INDIRECT(""'收支紀錄'!F""&amp;TO_TEXT(ROW()-$C$72))"),"")</f>
        <v/>
      </c>
      <c r="G477" s="61" t="str">
        <f>IFERROR(__xludf.DUMMYFUNCTION("INDIRECT(""'收支紀錄'!G""&amp;TO_TEXT(ROW()-$C$72))"),"房屋補貼")</f>
        <v>房屋補貼</v>
      </c>
      <c r="H477" s="61" t="str">
        <f>IFERROR(__xludf.DUMMYFUNCTION("INDIRECT(""'收支紀錄'!H""&amp;TO_TEXT(ROW()-$C$72))"),"")</f>
        <v/>
      </c>
      <c r="I477" s="61" t="str">
        <f>IFERROR(__xludf.DUMMYFUNCTION("INDIRECT(""'收支紀錄'!I""&amp;TO_TEXT(ROW()-$C$72))"),"")</f>
        <v/>
      </c>
      <c r="J477" s="61" t="str">
        <f>IFERROR(__xludf.DUMMYFUNCTION("INDIRECT(""'收支紀錄'!J""&amp;TO_TEXT(ROW()-$C$72))"),"")</f>
        <v/>
      </c>
      <c r="K477" s="61" t="str">
        <f>IFERROR(__xludf.DUMMYFUNCTION("INDIRECT(""'收支紀錄'!K""&amp;TO_TEXT(ROW()-$C$72))"),"")</f>
        <v/>
      </c>
      <c r="L477" s="61" t="str">
        <f>IFERROR(__xludf.DUMMYFUNCTION("INDIRECT(""'收支紀錄'!L""&amp;TO_TEXT(ROW()-$C$72))"),"")</f>
        <v/>
      </c>
      <c r="M477" s="61" t="str">
        <f>IFERROR(__xludf.DUMMYFUNCTION("INDIRECT(""'收支紀錄'!M""&amp;TO_TEXT(ROW()-$C$72))"),"")</f>
        <v/>
      </c>
      <c r="N477" s="61" t="str">
        <f>IFERROR(__xludf.DUMMYFUNCTION("INDIRECT(""'收支紀錄'!N""&amp;TO_TEXT(ROW()-$C$72))"),"")</f>
        <v/>
      </c>
      <c r="O477" s="61" t="str">
        <f>IFERROR(__xludf.DUMMYFUNCTION("INDIRECT(""'收支紀錄'!O""&amp;TO_TEXT(ROW()-$C$72))"),"")</f>
        <v/>
      </c>
      <c r="P477" s="61" t="str">
        <f>IFERROR(__xludf.DUMMYFUNCTION("INDIRECT(""'收支紀錄'!P""&amp;TO_TEXT(ROW()-$C$72))"),"")</f>
        <v/>
      </c>
      <c r="Q477" s="61" t="str">
        <f>IFERROR(__xludf.DUMMYFUNCTION("INDIRECT(""'收支紀錄'!Q""&amp;TO_TEXT(ROW()-$C$72))"),"")</f>
        <v/>
      </c>
      <c r="R477" s="61" t="str">
        <f>IFERROR(__xludf.DUMMYFUNCTION("INDIRECT(""'收支紀錄'!R""&amp;TO_TEXT(ROW()-$C$72))"),"")</f>
        <v/>
      </c>
      <c r="S477" s="61" t="str">
        <f>IFERROR(__xludf.DUMMYFUNCTION("INDIRECT(""'收支紀錄'!S""&amp;TO_TEXT(ROW()-$C$72))"),"")</f>
        <v/>
      </c>
      <c r="T477" s="61" t="str">
        <f>IFERROR(__xludf.DUMMYFUNCTION("INDIRECT(""'收支紀錄'!T""&amp;TO_TEXT(ROW()-$C$72))"),"")</f>
        <v/>
      </c>
      <c r="U477" s="62" t="str">
        <f>IFERROR(__xludf.DUMMYFUNCTION("IF(T477=""是"",TEXTJOIN("""", TRUE, ""$"", TO_TEXT(C477), S477),"""")"),"")</f>
        <v/>
      </c>
    </row>
    <row r="478">
      <c r="A478" s="58">
        <f>IFERROR(__xludf.DUMMYFUNCTION("INDIRECT(""'收支紀錄'!A""&amp;TO_TEXT(ROW()-$C$72))"),45627.85570306713)</f>
        <v>45627.8557</v>
      </c>
      <c r="B478" s="59">
        <f>IFERROR(__xludf.DUMMYFUNCTION("IF(ISBLANK(D478), """", IF(ISDATE(D478), D478, IF(D478=""今天"", A478, IF(D478=""昨天 (-1 day)"", A478-1, IF(D478=""前天 (-2 days)"", A478-2, IF(D478=""明天 (+1 day)"", A478+1, DATE(LEFT(D478,4), MID(D478,5,2), RIGHT(D478,2))))))))"),45607.0)</f>
        <v>45607</v>
      </c>
      <c r="C478" s="60">
        <f>IFERROR(__xludf.DUMMYFUNCTION("INDIRECT(""'收支紀錄'!C""&amp;TO_TEXT(ROW()-$C$72))"),3953.0)</f>
        <v>3953</v>
      </c>
      <c r="D478" s="63">
        <f>IFERROR(__xludf.DUMMYFUNCTION("INDIRECT(""'收支紀錄'!D""&amp;TO_TEXT(ROW()-$C$72))"),2.0241111E7)</f>
        <v>20241111</v>
      </c>
      <c r="E478" s="61" t="str">
        <f>IFERROR(__xludf.DUMMYFUNCTION("INDIRECT(""'收支紀錄'!E""&amp;TO_TEXT(ROW()-$C$72))"),"其他業外")</f>
        <v>其他業外</v>
      </c>
      <c r="F478" s="61" t="str">
        <f>IFERROR(__xludf.DUMMYFUNCTION("INDIRECT(""'收支紀錄'!F""&amp;TO_TEXT(ROW()-$C$72))"),"")</f>
        <v/>
      </c>
      <c r="G478" s="61" t="str">
        <f>IFERROR(__xludf.DUMMYFUNCTION("INDIRECT(""'收支紀錄'!G""&amp;TO_TEXT(ROW()-$C$72))"),"股票配息")</f>
        <v>股票配息</v>
      </c>
      <c r="H478" s="61" t="str">
        <f>IFERROR(__xludf.DUMMYFUNCTION("INDIRECT(""'收支紀錄'!H""&amp;TO_TEXT(ROW()-$C$72))"),"")</f>
        <v/>
      </c>
      <c r="I478" s="61" t="str">
        <f>IFERROR(__xludf.DUMMYFUNCTION("INDIRECT(""'收支紀錄'!I""&amp;TO_TEXT(ROW()-$C$72))"),"")</f>
        <v/>
      </c>
      <c r="J478" s="61" t="str">
        <f>IFERROR(__xludf.DUMMYFUNCTION("INDIRECT(""'收支紀錄'!J""&amp;TO_TEXT(ROW()-$C$72))"),"")</f>
        <v/>
      </c>
      <c r="K478" s="61" t="str">
        <f>IFERROR(__xludf.DUMMYFUNCTION("INDIRECT(""'收支紀錄'!K""&amp;TO_TEXT(ROW()-$C$72))"),"")</f>
        <v/>
      </c>
      <c r="L478" s="61" t="str">
        <f>IFERROR(__xludf.DUMMYFUNCTION("INDIRECT(""'收支紀錄'!L""&amp;TO_TEXT(ROW()-$C$72))"),"")</f>
        <v/>
      </c>
      <c r="M478" s="61" t="str">
        <f>IFERROR(__xludf.DUMMYFUNCTION("INDIRECT(""'收支紀錄'!M""&amp;TO_TEXT(ROW()-$C$72))"),"")</f>
        <v/>
      </c>
      <c r="N478" s="61" t="str">
        <f>IFERROR(__xludf.DUMMYFUNCTION("INDIRECT(""'收支紀錄'!N""&amp;TO_TEXT(ROW()-$C$72))"),"")</f>
        <v/>
      </c>
      <c r="O478" s="61" t="str">
        <f>IFERROR(__xludf.DUMMYFUNCTION("INDIRECT(""'收支紀錄'!O""&amp;TO_TEXT(ROW()-$C$72))"),"")</f>
        <v/>
      </c>
      <c r="P478" s="61" t="str">
        <f>IFERROR(__xludf.DUMMYFUNCTION("INDIRECT(""'收支紀錄'!P""&amp;TO_TEXT(ROW()-$C$72))"),"")</f>
        <v/>
      </c>
      <c r="Q478" s="61" t="str">
        <f>IFERROR(__xludf.DUMMYFUNCTION("INDIRECT(""'收支紀錄'!Q""&amp;TO_TEXT(ROW()-$C$72))"),"")</f>
        <v/>
      </c>
      <c r="R478" s="61" t="str">
        <f>IFERROR(__xludf.DUMMYFUNCTION("INDIRECT(""'收支紀錄'!R""&amp;TO_TEXT(ROW()-$C$72))"),"")</f>
        <v/>
      </c>
      <c r="S478" s="61" t="str">
        <f>IFERROR(__xludf.DUMMYFUNCTION("INDIRECT(""'收支紀錄'!S""&amp;TO_TEXT(ROW()-$C$72))"),"台灣中小")</f>
        <v>台灣中小</v>
      </c>
      <c r="T478" s="61" t="str">
        <f>IFERROR(__xludf.DUMMYFUNCTION("INDIRECT(""'收支紀錄'!T""&amp;TO_TEXT(ROW()-$C$72))"),"是")</f>
        <v>是</v>
      </c>
      <c r="U478" s="62" t="str">
        <f>IFERROR(__xludf.DUMMYFUNCTION("IF(T478=""是"",TEXTJOIN("""", TRUE, ""$"", TO_TEXT(C478), S478),"""")"),"$3953台灣中小")</f>
        <v>$3953台灣中小</v>
      </c>
    </row>
    <row r="479">
      <c r="A479" s="58">
        <f>IFERROR(__xludf.DUMMYFUNCTION("INDIRECT(""'收支紀錄'!A""&amp;TO_TEXT(ROW()-$C$72))"),45627.856275555554)</f>
        <v>45627.85628</v>
      </c>
      <c r="B479" s="59">
        <f>IFERROR(__xludf.DUMMYFUNCTION("IF(ISBLANK(D479), """", IF(ISDATE(D479), D479, IF(D479=""今天"", A479, IF(D479=""昨天 (-1 day)"", A479-1, IF(D479=""前天 (-2 days)"", A479-2, IF(D479=""明天 (+1 day)"", A479+1, DATE(LEFT(D479,4), MID(D479,5,2), RIGHT(D479,2))))))))"),45608.0)</f>
        <v>45608</v>
      </c>
      <c r="C479" s="60">
        <f>IFERROR(__xludf.DUMMYFUNCTION("INDIRECT(""'收支紀錄'!C""&amp;TO_TEXT(ROW()-$C$72))"),795.0)</f>
        <v>795</v>
      </c>
      <c r="D479" s="63">
        <f>IFERROR(__xludf.DUMMYFUNCTION("INDIRECT(""'收支紀錄'!D""&amp;TO_TEXT(ROW()-$C$72))"),2.0241112E7)</f>
        <v>20241112</v>
      </c>
      <c r="E479" s="61" t="str">
        <f>IFERROR(__xludf.DUMMYFUNCTION("INDIRECT(""'收支紀錄'!E""&amp;TO_TEXT(ROW()-$C$72))"),"其他業外")</f>
        <v>其他業外</v>
      </c>
      <c r="F479" s="61" t="str">
        <f>IFERROR(__xludf.DUMMYFUNCTION("INDIRECT(""'收支紀錄'!F""&amp;TO_TEXT(ROW()-$C$72))"),"")</f>
        <v/>
      </c>
      <c r="G479" s="61" t="str">
        <f>IFERROR(__xludf.DUMMYFUNCTION("INDIRECT(""'收支紀錄'!G""&amp;TO_TEXT(ROW()-$C$72))"),"股票配息")</f>
        <v>股票配息</v>
      </c>
      <c r="H479" s="61" t="str">
        <f>IFERROR(__xludf.DUMMYFUNCTION("INDIRECT(""'收支紀錄'!H""&amp;TO_TEXT(ROW()-$C$72))"),"")</f>
        <v/>
      </c>
      <c r="I479" s="61" t="str">
        <f>IFERROR(__xludf.DUMMYFUNCTION("INDIRECT(""'收支紀錄'!I""&amp;TO_TEXT(ROW()-$C$72))"),"")</f>
        <v/>
      </c>
      <c r="J479" s="61" t="str">
        <f>IFERROR(__xludf.DUMMYFUNCTION("INDIRECT(""'收支紀錄'!J""&amp;TO_TEXT(ROW()-$C$72))"),"")</f>
        <v/>
      </c>
      <c r="K479" s="61" t="str">
        <f>IFERROR(__xludf.DUMMYFUNCTION("INDIRECT(""'收支紀錄'!K""&amp;TO_TEXT(ROW()-$C$72))"),"")</f>
        <v/>
      </c>
      <c r="L479" s="61" t="str">
        <f>IFERROR(__xludf.DUMMYFUNCTION("INDIRECT(""'收支紀錄'!L""&amp;TO_TEXT(ROW()-$C$72))"),"")</f>
        <v/>
      </c>
      <c r="M479" s="61" t="str">
        <f>IFERROR(__xludf.DUMMYFUNCTION("INDIRECT(""'收支紀錄'!M""&amp;TO_TEXT(ROW()-$C$72))"),"")</f>
        <v/>
      </c>
      <c r="N479" s="61" t="str">
        <f>IFERROR(__xludf.DUMMYFUNCTION("INDIRECT(""'收支紀錄'!N""&amp;TO_TEXT(ROW()-$C$72))"),"")</f>
        <v/>
      </c>
      <c r="O479" s="61" t="str">
        <f>IFERROR(__xludf.DUMMYFUNCTION("INDIRECT(""'收支紀錄'!O""&amp;TO_TEXT(ROW()-$C$72))"),"")</f>
        <v/>
      </c>
      <c r="P479" s="61" t="str">
        <f>IFERROR(__xludf.DUMMYFUNCTION("INDIRECT(""'收支紀錄'!P""&amp;TO_TEXT(ROW()-$C$72))"),"")</f>
        <v/>
      </c>
      <c r="Q479" s="61" t="str">
        <f>IFERROR(__xludf.DUMMYFUNCTION("INDIRECT(""'收支紀錄'!Q""&amp;TO_TEXT(ROW()-$C$72))"),"")</f>
        <v/>
      </c>
      <c r="R479" s="61" t="str">
        <f>IFERROR(__xludf.DUMMYFUNCTION("INDIRECT(""'收支紀錄'!R""&amp;TO_TEXT(ROW()-$C$72))"),"")</f>
        <v/>
      </c>
      <c r="S479" s="61" t="str">
        <f>IFERROR(__xludf.DUMMYFUNCTION("INDIRECT(""'收支紀錄'!S""&amp;TO_TEXT(ROW()-$C$72))"),"中信優息")</f>
        <v>中信優息</v>
      </c>
      <c r="T479" s="61" t="str">
        <f>IFERROR(__xludf.DUMMYFUNCTION("INDIRECT(""'收支紀錄'!T""&amp;TO_TEXT(ROW()-$C$72))"),"是")</f>
        <v>是</v>
      </c>
      <c r="U479" s="62" t="str">
        <f>IFERROR(__xludf.DUMMYFUNCTION("IF(T479=""是"",TEXTJOIN("""", TRUE, ""$"", TO_TEXT(C479), S479),"""")"),"$795中信優息")</f>
        <v>$795中信優息</v>
      </c>
    </row>
    <row r="480">
      <c r="A480" s="58">
        <f>IFERROR(__xludf.DUMMYFUNCTION("INDIRECT(""'收支紀錄'!A""&amp;TO_TEXT(ROW()-$C$72))"),45627.858786944445)</f>
        <v>45627.85879</v>
      </c>
      <c r="B480" s="59">
        <f>IFERROR(__xludf.DUMMYFUNCTION("IF(ISBLANK(D480), """", IF(ISDATE(D480), D480, IF(D480=""今天"", A480, IF(D480=""昨天 (-1 day)"", A480-1, IF(D480=""前天 (-2 days)"", A480-2, IF(D480=""明天 (+1 day)"", A480+1, DATE(LEFT(D480,4), MID(D480,5,2), RIGHT(D480,2))))))))"),45627.858786944445)</f>
        <v>45627.85879</v>
      </c>
      <c r="C480" s="60">
        <f>IFERROR(__xludf.DUMMYFUNCTION("INDIRECT(""'收支紀錄'!C""&amp;TO_TEXT(ROW()-$C$72))"),20000.0)</f>
        <v>20000</v>
      </c>
      <c r="D480" s="63" t="str">
        <f>IFERROR(__xludf.DUMMYFUNCTION("INDIRECT(""'收支紀錄'!D""&amp;TO_TEXT(ROW()-$C$72))"),"今天")</f>
        <v>今天</v>
      </c>
      <c r="E480" s="61" t="str">
        <f>IFERROR(__xludf.DUMMYFUNCTION("INDIRECT(""'收支紀錄'!E""&amp;TO_TEXT(ROW()-$C$72))"),"")</f>
        <v/>
      </c>
      <c r="F480" s="61" t="str">
        <f>IFERROR(__xludf.DUMMYFUNCTION("INDIRECT(""'收支紀錄'!F""&amp;TO_TEXT(ROW()-$C$72))"),"")</f>
        <v/>
      </c>
      <c r="G480" s="61" t="str">
        <f>IFERROR(__xludf.DUMMYFUNCTION("INDIRECT(""'收支紀錄'!G""&amp;TO_TEXT(ROW()-$C$72))"),"")</f>
        <v/>
      </c>
      <c r="H480" s="61" t="str">
        <f>IFERROR(__xludf.DUMMYFUNCTION("INDIRECT(""'收支紀錄'!H""&amp;TO_TEXT(ROW()-$C$72))"),"房屋支出")</f>
        <v>房屋支出</v>
      </c>
      <c r="I480" s="61" t="str">
        <f>IFERROR(__xludf.DUMMYFUNCTION("INDIRECT(""'收支紀錄'!I""&amp;TO_TEXT(ROW()-$C$72))"),"")</f>
        <v/>
      </c>
      <c r="J480" s="61" t="str">
        <f>IFERROR(__xludf.DUMMYFUNCTION("INDIRECT(""'收支紀錄'!J""&amp;TO_TEXT(ROW()-$C$72))"),"")</f>
        <v/>
      </c>
      <c r="K480" s="61" t="str">
        <f>IFERROR(__xludf.DUMMYFUNCTION("INDIRECT(""'收支紀錄'!K""&amp;TO_TEXT(ROW()-$C$72))"),"文心1房貸代繳")</f>
        <v>文心1房貸代繳</v>
      </c>
      <c r="L480" s="61" t="str">
        <f>IFERROR(__xludf.DUMMYFUNCTION("INDIRECT(""'收支紀錄'!L""&amp;TO_TEXT(ROW()-$C$72))"),"")</f>
        <v/>
      </c>
      <c r="M480" s="61" t="str">
        <f>IFERROR(__xludf.DUMMYFUNCTION("INDIRECT(""'收支紀錄'!M""&amp;TO_TEXT(ROW()-$C$72))"),"")</f>
        <v/>
      </c>
      <c r="N480" s="61" t="str">
        <f>IFERROR(__xludf.DUMMYFUNCTION("INDIRECT(""'收支紀錄'!N""&amp;TO_TEXT(ROW()-$C$72))"),"")</f>
        <v/>
      </c>
      <c r="O480" s="61" t="str">
        <f>IFERROR(__xludf.DUMMYFUNCTION("INDIRECT(""'收支紀錄'!O""&amp;TO_TEXT(ROW()-$C$72))"),"")</f>
        <v/>
      </c>
      <c r="P480" s="61" t="str">
        <f>IFERROR(__xludf.DUMMYFUNCTION("INDIRECT(""'收支紀錄'!P""&amp;TO_TEXT(ROW()-$C$72))"),"")</f>
        <v/>
      </c>
      <c r="Q480" s="61" t="str">
        <f>IFERROR(__xludf.DUMMYFUNCTION("INDIRECT(""'收支紀錄'!Q""&amp;TO_TEXT(ROW()-$C$72))"),"")</f>
        <v/>
      </c>
      <c r="R480" s="61" t="str">
        <f>IFERROR(__xludf.DUMMYFUNCTION("INDIRECT(""'收支紀錄'!R""&amp;TO_TEXT(ROW()-$C$72))"),"")</f>
        <v/>
      </c>
      <c r="S480" s="61" t="str">
        <f>IFERROR(__xludf.DUMMYFUNCTION("INDIRECT(""'收支紀錄'!S""&amp;TO_TEXT(ROW()-$C$72))"),"")</f>
        <v/>
      </c>
      <c r="T480" s="61" t="str">
        <f>IFERROR(__xludf.DUMMYFUNCTION("INDIRECT(""'收支紀錄'!T""&amp;TO_TEXT(ROW()-$C$72))"),"")</f>
        <v/>
      </c>
      <c r="U480" s="62" t="str">
        <f>IFERROR(__xludf.DUMMYFUNCTION("IF(T480=""是"",TEXTJOIN("""", TRUE, ""$"", TO_TEXT(C480), S480),"""")"),"")</f>
        <v/>
      </c>
    </row>
    <row r="481">
      <c r="A481" s="58">
        <f>IFERROR(__xludf.DUMMYFUNCTION("INDIRECT(""'收支紀錄'!A""&amp;TO_TEXT(ROW()-$C$72))"),45627.85896975694)</f>
        <v>45627.85897</v>
      </c>
      <c r="B481" s="59">
        <f>IFERROR(__xludf.DUMMYFUNCTION("IF(ISBLANK(D481), """", IF(ISDATE(D481), D481, IF(D481=""今天"", A481, IF(D481=""昨天 (-1 day)"", A481-1, IF(D481=""前天 (-2 days)"", A481-2, IF(D481=""明天 (+1 day)"", A481+1, DATE(LEFT(D481,4), MID(D481,5,2), RIGHT(D481,2))))))))"),45627.85896975694)</f>
        <v>45627.85897</v>
      </c>
      <c r="C481" s="60">
        <f>IFERROR(__xludf.DUMMYFUNCTION("INDIRECT(""'收支紀錄'!C""&amp;TO_TEXT(ROW()-$C$72))"),6000.0)</f>
        <v>6000</v>
      </c>
      <c r="D481" s="63" t="str">
        <f>IFERROR(__xludf.DUMMYFUNCTION("INDIRECT(""'收支紀錄'!D""&amp;TO_TEXT(ROW()-$C$72))"),"今天")</f>
        <v>今天</v>
      </c>
      <c r="E481" s="61" t="str">
        <f>IFERROR(__xludf.DUMMYFUNCTION("INDIRECT(""'收支紀錄'!E""&amp;TO_TEXT(ROW()-$C$72))"),"")</f>
        <v/>
      </c>
      <c r="F481" s="61" t="str">
        <f>IFERROR(__xludf.DUMMYFUNCTION("INDIRECT(""'收支紀錄'!F""&amp;TO_TEXT(ROW()-$C$72))"),"")</f>
        <v/>
      </c>
      <c r="G481" s="61" t="str">
        <f>IFERROR(__xludf.DUMMYFUNCTION("INDIRECT(""'收支紀錄'!G""&amp;TO_TEXT(ROW()-$C$72))"),"")</f>
        <v/>
      </c>
      <c r="H481" s="61" t="str">
        <f>IFERROR(__xludf.DUMMYFUNCTION("INDIRECT(""'收支紀錄'!H""&amp;TO_TEXT(ROW()-$C$72))"),"房屋支出")</f>
        <v>房屋支出</v>
      </c>
      <c r="I481" s="61" t="str">
        <f>IFERROR(__xludf.DUMMYFUNCTION("INDIRECT(""'收支紀錄'!I""&amp;TO_TEXT(ROW()-$C$72))"),"")</f>
        <v/>
      </c>
      <c r="J481" s="61" t="str">
        <f>IFERROR(__xludf.DUMMYFUNCTION("INDIRECT(""'收支紀錄'!J""&amp;TO_TEXT(ROW()-$C$72))"),"")</f>
        <v/>
      </c>
      <c r="K481" s="61" t="str">
        <f>IFERROR(__xludf.DUMMYFUNCTION("INDIRECT(""'收支紀錄'!K""&amp;TO_TEXT(ROW()-$C$72))"),"租屋")</f>
        <v>租屋</v>
      </c>
      <c r="L481" s="61" t="str">
        <f>IFERROR(__xludf.DUMMYFUNCTION("INDIRECT(""'收支紀錄'!L""&amp;TO_TEXT(ROW()-$C$72))"),"")</f>
        <v/>
      </c>
      <c r="M481" s="61" t="str">
        <f>IFERROR(__xludf.DUMMYFUNCTION("INDIRECT(""'收支紀錄'!M""&amp;TO_TEXT(ROW()-$C$72))"),"")</f>
        <v/>
      </c>
      <c r="N481" s="61" t="str">
        <f>IFERROR(__xludf.DUMMYFUNCTION("INDIRECT(""'收支紀錄'!N""&amp;TO_TEXT(ROW()-$C$72))"),"")</f>
        <v/>
      </c>
      <c r="O481" s="61" t="str">
        <f>IFERROR(__xludf.DUMMYFUNCTION("INDIRECT(""'收支紀錄'!O""&amp;TO_TEXT(ROW()-$C$72))"),"")</f>
        <v/>
      </c>
      <c r="P481" s="61" t="str">
        <f>IFERROR(__xludf.DUMMYFUNCTION("INDIRECT(""'收支紀錄'!P""&amp;TO_TEXT(ROW()-$C$72))"),"")</f>
        <v/>
      </c>
      <c r="Q481" s="61" t="str">
        <f>IFERROR(__xludf.DUMMYFUNCTION("INDIRECT(""'收支紀錄'!Q""&amp;TO_TEXT(ROW()-$C$72))"),"")</f>
        <v/>
      </c>
      <c r="R481" s="61" t="str">
        <f>IFERROR(__xludf.DUMMYFUNCTION("INDIRECT(""'收支紀錄'!R""&amp;TO_TEXT(ROW()-$C$72))"),"")</f>
        <v/>
      </c>
      <c r="S481" s="61" t="str">
        <f>IFERROR(__xludf.DUMMYFUNCTION("INDIRECT(""'收支紀錄'!S""&amp;TO_TEXT(ROW()-$C$72))"),"")</f>
        <v/>
      </c>
      <c r="T481" s="61" t="str">
        <f>IFERROR(__xludf.DUMMYFUNCTION("INDIRECT(""'收支紀錄'!T""&amp;TO_TEXT(ROW()-$C$72))"),"")</f>
        <v/>
      </c>
      <c r="U481" s="62" t="str">
        <f>IFERROR(__xludf.DUMMYFUNCTION("IF(T481=""是"",TEXTJOIN("""", TRUE, ""$"", TO_TEXT(C481), S481),"""")"),"")</f>
        <v/>
      </c>
    </row>
    <row r="482">
      <c r="A482" s="58">
        <f>IFERROR(__xludf.DUMMYFUNCTION("INDIRECT(""'收支紀錄'!A""&amp;TO_TEXT(ROW()-$C$72))"),45628.885729456015)</f>
        <v>45628.88573</v>
      </c>
      <c r="B482" s="59">
        <f>IFERROR(__xludf.DUMMYFUNCTION("IF(ISBLANK(D482), """", IF(ISDATE(D482), D482, IF(D482=""今天"", A482, IF(D482=""昨天 (-1 day)"", A482-1, IF(D482=""前天 (-2 days)"", A482-2, IF(D482=""明天 (+1 day)"", A482+1, DATE(LEFT(D482,4), MID(D482,5,2), RIGHT(D482,2))))))))"),45628.885729456015)</f>
        <v>45628.88573</v>
      </c>
      <c r="C482" s="60">
        <f>IFERROR(__xludf.DUMMYFUNCTION("INDIRECT(""'收支紀錄'!C""&amp;TO_TEXT(ROW()-$C$72))"),20.0)</f>
        <v>20</v>
      </c>
      <c r="D482" s="63" t="str">
        <f>IFERROR(__xludf.DUMMYFUNCTION("INDIRECT(""'收支紀錄'!D""&amp;TO_TEXT(ROW()-$C$72))"),"今天")</f>
        <v>今天</v>
      </c>
      <c r="E482" s="61" t="str">
        <f>IFERROR(__xludf.DUMMYFUNCTION("INDIRECT(""'收支紀錄'!E""&amp;TO_TEXT(ROW()-$C$72))"),"")</f>
        <v/>
      </c>
      <c r="F482" s="61" t="str">
        <f>IFERROR(__xludf.DUMMYFUNCTION("INDIRECT(""'收支紀錄'!F""&amp;TO_TEXT(ROW()-$C$72))"),"")</f>
        <v/>
      </c>
      <c r="G482" s="61" t="str">
        <f>IFERROR(__xludf.DUMMYFUNCTION("INDIRECT(""'收支紀錄'!G""&amp;TO_TEXT(ROW()-$C$72))"),"")</f>
        <v/>
      </c>
      <c r="H482" s="61" t="str">
        <f>IFERROR(__xludf.DUMMYFUNCTION("INDIRECT(""'收支紀錄'!H""&amp;TO_TEXT(ROW()-$C$72))"),"行車交通")</f>
        <v>行車交通</v>
      </c>
      <c r="I482" s="61" t="str">
        <f>IFERROR(__xludf.DUMMYFUNCTION("INDIRECT(""'收支紀錄'!I""&amp;TO_TEXT(ROW()-$C$72))"),"")</f>
        <v/>
      </c>
      <c r="J482" s="61" t="str">
        <f>IFERROR(__xludf.DUMMYFUNCTION("INDIRECT(""'收支紀錄'!J""&amp;TO_TEXT(ROW()-$C$72))"),"")</f>
        <v/>
      </c>
      <c r="K482" s="61" t="str">
        <f>IFERROR(__xludf.DUMMYFUNCTION("INDIRECT(""'收支紀錄'!K""&amp;TO_TEXT(ROW()-$C$72))"),"")</f>
        <v/>
      </c>
      <c r="L482" s="61" t="str">
        <f>IFERROR(__xludf.DUMMYFUNCTION("INDIRECT(""'收支紀錄'!L""&amp;TO_TEXT(ROW()-$C$72))"),"捷運費")</f>
        <v>捷運費</v>
      </c>
      <c r="M482" s="61" t="str">
        <f>IFERROR(__xludf.DUMMYFUNCTION("INDIRECT(""'收支紀錄'!M""&amp;TO_TEXT(ROW()-$C$72))"),"")</f>
        <v/>
      </c>
      <c r="N482" s="61" t="str">
        <f>IFERROR(__xludf.DUMMYFUNCTION("INDIRECT(""'收支紀錄'!N""&amp;TO_TEXT(ROW()-$C$72))"),"")</f>
        <v/>
      </c>
      <c r="O482" s="61" t="str">
        <f>IFERROR(__xludf.DUMMYFUNCTION("INDIRECT(""'收支紀錄'!O""&amp;TO_TEXT(ROW()-$C$72))"),"")</f>
        <v/>
      </c>
      <c r="P482" s="61" t="str">
        <f>IFERROR(__xludf.DUMMYFUNCTION("INDIRECT(""'收支紀錄'!P""&amp;TO_TEXT(ROW()-$C$72))"),"")</f>
        <v/>
      </c>
      <c r="Q482" s="61" t="str">
        <f>IFERROR(__xludf.DUMMYFUNCTION("INDIRECT(""'收支紀錄'!Q""&amp;TO_TEXT(ROW()-$C$72))"),"")</f>
        <v/>
      </c>
      <c r="R482" s="61" t="str">
        <f>IFERROR(__xludf.DUMMYFUNCTION("INDIRECT(""'收支紀錄'!R""&amp;TO_TEXT(ROW()-$C$72))"),"")</f>
        <v/>
      </c>
      <c r="S482" s="61" t="str">
        <f>IFERROR(__xludf.DUMMYFUNCTION("INDIRECT(""'收支紀錄'!S""&amp;TO_TEXT(ROW()-$C$72))"),"")</f>
        <v/>
      </c>
      <c r="T482" s="61" t="str">
        <f>IFERROR(__xludf.DUMMYFUNCTION("INDIRECT(""'收支紀錄'!T""&amp;TO_TEXT(ROW()-$C$72))"),"")</f>
        <v/>
      </c>
      <c r="U482" s="62" t="str">
        <f>IFERROR(__xludf.DUMMYFUNCTION("IF(T482=""是"",TEXTJOIN("""", TRUE, ""$"", TO_TEXT(C482), S482),"""")"),"")</f>
        <v/>
      </c>
    </row>
    <row r="483">
      <c r="A483" s="58">
        <f>IFERROR(__xludf.DUMMYFUNCTION("INDIRECT(""'收支紀錄'!A""&amp;TO_TEXT(ROW()-$C$72))"),45628.885971111114)</f>
        <v>45628.88597</v>
      </c>
      <c r="B483" s="59">
        <f>IFERROR(__xludf.DUMMYFUNCTION("IF(ISBLANK(D483), """", IF(ISDATE(D483), D483, IF(D483=""今天"", A483, IF(D483=""昨天 (-1 day)"", A483-1, IF(D483=""前天 (-2 days)"", A483-2, IF(D483=""明天 (+1 day)"", A483+1, DATE(LEFT(D483,4), MID(D483,5,2), RIGHT(D483,2))))))))"),45628.885971111114)</f>
        <v>45628.88597</v>
      </c>
      <c r="C483" s="60">
        <f>IFERROR(__xludf.DUMMYFUNCTION("INDIRECT(""'收支紀錄'!C""&amp;TO_TEXT(ROW()-$C$72))"),91.0)</f>
        <v>91</v>
      </c>
      <c r="D483" s="63" t="str">
        <f>IFERROR(__xludf.DUMMYFUNCTION("INDIRECT(""'收支紀錄'!D""&amp;TO_TEXT(ROW()-$C$72))"),"今天")</f>
        <v>今天</v>
      </c>
      <c r="E483" s="61" t="str">
        <f>IFERROR(__xludf.DUMMYFUNCTION("INDIRECT(""'收支紀錄'!E""&amp;TO_TEXT(ROW()-$C$72))"),"")</f>
        <v/>
      </c>
      <c r="F483" s="61" t="str">
        <f>IFERROR(__xludf.DUMMYFUNCTION("INDIRECT(""'收支紀錄'!F""&amp;TO_TEXT(ROW()-$C$72))"),"")</f>
        <v/>
      </c>
      <c r="G483" s="61" t="str">
        <f>IFERROR(__xludf.DUMMYFUNCTION("INDIRECT(""'收支紀錄'!G""&amp;TO_TEXT(ROW()-$C$72))"),"")</f>
        <v/>
      </c>
      <c r="H483" s="61" t="str">
        <f>IFERROR(__xludf.DUMMYFUNCTION("INDIRECT(""'收支紀錄'!H""&amp;TO_TEXT(ROW()-$C$72))"),"行車交通")</f>
        <v>行車交通</v>
      </c>
      <c r="I483" s="61" t="str">
        <f>IFERROR(__xludf.DUMMYFUNCTION("INDIRECT(""'收支紀錄'!I""&amp;TO_TEXT(ROW()-$C$72))"),"")</f>
        <v/>
      </c>
      <c r="J483" s="61" t="str">
        <f>IFERROR(__xludf.DUMMYFUNCTION("INDIRECT(""'收支紀錄'!J""&amp;TO_TEXT(ROW()-$C$72))"),"")</f>
        <v/>
      </c>
      <c r="K483" s="61" t="str">
        <f>IFERROR(__xludf.DUMMYFUNCTION("INDIRECT(""'收支紀錄'!K""&amp;TO_TEXT(ROW()-$C$72))"),"")</f>
        <v/>
      </c>
      <c r="L483" s="61" t="str">
        <f>IFERROR(__xludf.DUMMYFUNCTION("INDIRECT(""'收支紀錄'!L""&amp;TO_TEXT(ROW()-$C$72))"),"火車費")</f>
        <v>火車費</v>
      </c>
      <c r="M483" s="61" t="str">
        <f>IFERROR(__xludf.DUMMYFUNCTION("INDIRECT(""'收支紀錄'!M""&amp;TO_TEXT(ROW()-$C$72))"),"")</f>
        <v/>
      </c>
      <c r="N483" s="61" t="str">
        <f>IFERROR(__xludf.DUMMYFUNCTION("INDIRECT(""'收支紀錄'!N""&amp;TO_TEXT(ROW()-$C$72))"),"")</f>
        <v/>
      </c>
      <c r="O483" s="61" t="str">
        <f>IFERROR(__xludf.DUMMYFUNCTION("INDIRECT(""'收支紀錄'!O""&amp;TO_TEXT(ROW()-$C$72))"),"")</f>
        <v/>
      </c>
      <c r="P483" s="61" t="str">
        <f>IFERROR(__xludf.DUMMYFUNCTION("INDIRECT(""'收支紀錄'!P""&amp;TO_TEXT(ROW()-$C$72))"),"")</f>
        <v/>
      </c>
      <c r="Q483" s="61" t="str">
        <f>IFERROR(__xludf.DUMMYFUNCTION("INDIRECT(""'收支紀錄'!Q""&amp;TO_TEXT(ROW()-$C$72))"),"")</f>
        <v/>
      </c>
      <c r="R483" s="61" t="str">
        <f>IFERROR(__xludf.DUMMYFUNCTION("INDIRECT(""'收支紀錄'!R""&amp;TO_TEXT(ROW()-$C$72))"),"")</f>
        <v/>
      </c>
      <c r="S483" s="61" t="str">
        <f>IFERROR(__xludf.DUMMYFUNCTION("INDIRECT(""'收支紀錄'!S""&amp;TO_TEXT(ROW()-$C$72))"),"")</f>
        <v/>
      </c>
      <c r="T483" s="61" t="str">
        <f>IFERROR(__xludf.DUMMYFUNCTION("INDIRECT(""'收支紀錄'!T""&amp;TO_TEXT(ROW()-$C$72))"),"")</f>
        <v/>
      </c>
      <c r="U483" s="62" t="str">
        <f>IFERROR(__xludf.DUMMYFUNCTION("IF(T483=""是"",TEXTJOIN("""", TRUE, ""$"", TO_TEXT(C483), S483),"""")"),"")</f>
        <v/>
      </c>
    </row>
    <row r="484">
      <c r="A484" s="58">
        <f>IFERROR(__xludf.DUMMYFUNCTION("INDIRECT(""'收支紀錄'!A""&amp;TO_TEXT(ROW()-$C$72))"),45628.88614614583)</f>
        <v>45628.88615</v>
      </c>
      <c r="B484" s="59">
        <f>IFERROR(__xludf.DUMMYFUNCTION("IF(ISBLANK(D484), """", IF(ISDATE(D484), D484, IF(D484=""今天"", A484, IF(D484=""昨天 (-1 day)"", A484-1, IF(D484=""前天 (-2 days)"", A484-2, IF(D484=""明天 (+1 day)"", A484+1, DATE(LEFT(D484,4), MID(D484,5,2), RIGHT(D484,2))))))))"),45628.88614614583)</f>
        <v>45628.88615</v>
      </c>
      <c r="C484" s="60">
        <f>IFERROR(__xludf.DUMMYFUNCTION("INDIRECT(""'收支紀錄'!C""&amp;TO_TEXT(ROW()-$C$72))"),91.0)</f>
        <v>91</v>
      </c>
      <c r="D484" s="63" t="str">
        <f>IFERROR(__xludf.DUMMYFUNCTION("INDIRECT(""'收支紀錄'!D""&amp;TO_TEXT(ROW()-$C$72))"),"今天")</f>
        <v>今天</v>
      </c>
      <c r="E484" s="61" t="str">
        <f>IFERROR(__xludf.DUMMYFUNCTION("INDIRECT(""'收支紀錄'!E""&amp;TO_TEXT(ROW()-$C$72))"),"")</f>
        <v/>
      </c>
      <c r="F484" s="61" t="str">
        <f>IFERROR(__xludf.DUMMYFUNCTION("INDIRECT(""'收支紀錄'!F""&amp;TO_TEXT(ROW()-$C$72))"),"")</f>
        <v/>
      </c>
      <c r="G484" s="61" t="str">
        <f>IFERROR(__xludf.DUMMYFUNCTION("INDIRECT(""'收支紀錄'!G""&amp;TO_TEXT(ROW()-$C$72))"),"")</f>
        <v/>
      </c>
      <c r="H484" s="61" t="str">
        <f>IFERROR(__xludf.DUMMYFUNCTION("INDIRECT(""'收支紀錄'!H""&amp;TO_TEXT(ROW()-$C$72))"),"行車交通")</f>
        <v>行車交通</v>
      </c>
      <c r="I484" s="61" t="str">
        <f>IFERROR(__xludf.DUMMYFUNCTION("INDIRECT(""'收支紀錄'!I""&amp;TO_TEXT(ROW()-$C$72))"),"")</f>
        <v/>
      </c>
      <c r="J484" s="61" t="str">
        <f>IFERROR(__xludf.DUMMYFUNCTION("INDIRECT(""'收支紀錄'!J""&amp;TO_TEXT(ROW()-$C$72))"),"")</f>
        <v/>
      </c>
      <c r="K484" s="61" t="str">
        <f>IFERROR(__xludf.DUMMYFUNCTION("INDIRECT(""'收支紀錄'!K""&amp;TO_TEXT(ROW()-$C$72))"),"")</f>
        <v/>
      </c>
      <c r="L484" s="61" t="str">
        <f>IFERROR(__xludf.DUMMYFUNCTION("INDIRECT(""'收支紀錄'!L""&amp;TO_TEXT(ROW()-$C$72))"),"火車費")</f>
        <v>火車費</v>
      </c>
      <c r="M484" s="61" t="str">
        <f>IFERROR(__xludf.DUMMYFUNCTION("INDIRECT(""'收支紀錄'!M""&amp;TO_TEXT(ROW()-$C$72))"),"")</f>
        <v/>
      </c>
      <c r="N484" s="61" t="str">
        <f>IFERROR(__xludf.DUMMYFUNCTION("INDIRECT(""'收支紀錄'!N""&amp;TO_TEXT(ROW()-$C$72))"),"")</f>
        <v/>
      </c>
      <c r="O484" s="61" t="str">
        <f>IFERROR(__xludf.DUMMYFUNCTION("INDIRECT(""'收支紀錄'!O""&amp;TO_TEXT(ROW()-$C$72))"),"")</f>
        <v/>
      </c>
      <c r="P484" s="61" t="str">
        <f>IFERROR(__xludf.DUMMYFUNCTION("INDIRECT(""'收支紀錄'!P""&amp;TO_TEXT(ROW()-$C$72))"),"")</f>
        <v/>
      </c>
      <c r="Q484" s="61" t="str">
        <f>IFERROR(__xludf.DUMMYFUNCTION("INDIRECT(""'收支紀錄'!Q""&amp;TO_TEXT(ROW()-$C$72))"),"")</f>
        <v/>
      </c>
      <c r="R484" s="61" t="str">
        <f>IFERROR(__xludf.DUMMYFUNCTION("INDIRECT(""'收支紀錄'!R""&amp;TO_TEXT(ROW()-$C$72))"),"")</f>
        <v/>
      </c>
      <c r="S484" s="61" t="str">
        <f>IFERROR(__xludf.DUMMYFUNCTION("INDIRECT(""'收支紀錄'!S""&amp;TO_TEXT(ROW()-$C$72))"),"")</f>
        <v/>
      </c>
      <c r="T484" s="61" t="str">
        <f>IFERROR(__xludf.DUMMYFUNCTION("INDIRECT(""'收支紀錄'!T""&amp;TO_TEXT(ROW()-$C$72))"),"")</f>
        <v/>
      </c>
      <c r="U484" s="62" t="str">
        <f>IFERROR(__xludf.DUMMYFUNCTION("IF(T484=""是"",TEXTJOIN("""", TRUE, ""$"", TO_TEXT(C484), S484),"""")"),"")</f>
        <v/>
      </c>
    </row>
    <row r="485">
      <c r="A485" s="58">
        <f>IFERROR(__xludf.DUMMYFUNCTION("INDIRECT(""'收支紀錄'!A""&amp;TO_TEXT(ROW()-$C$72))"),45628.88633592593)</f>
        <v>45628.88634</v>
      </c>
      <c r="B485" s="59">
        <f>IFERROR(__xludf.DUMMYFUNCTION("IF(ISBLANK(D485), """", IF(ISDATE(D485), D485, IF(D485=""今天"", A485, IF(D485=""昨天 (-1 day)"", A485-1, IF(D485=""前天 (-2 days)"", A485-2, IF(D485=""明天 (+1 day)"", A485+1, DATE(LEFT(D485,4), MID(D485,5,2), RIGHT(D485,2))))))))"),45628.88633592593)</f>
        <v>45628.88634</v>
      </c>
      <c r="C485" s="60">
        <f>IFERROR(__xludf.DUMMYFUNCTION("INDIRECT(""'收支紀錄'!C""&amp;TO_TEXT(ROW()-$C$72))"),20.0)</f>
        <v>20</v>
      </c>
      <c r="D485" s="63" t="str">
        <f>IFERROR(__xludf.DUMMYFUNCTION("INDIRECT(""'收支紀錄'!D""&amp;TO_TEXT(ROW()-$C$72))"),"今天")</f>
        <v>今天</v>
      </c>
      <c r="E485" s="61" t="str">
        <f>IFERROR(__xludf.DUMMYFUNCTION("INDIRECT(""'收支紀錄'!E""&amp;TO_TEXT(ROW()-$C$72))"),"")</f>
        <v/>
      </c>
      <c r="F485" s="61" t="str">
        <f>IFERROR(__xludf.DUMMYFUNCTION("INDIRECT(""'收支紀錄'!F""&amp;TO_TEXT(ROW()-$C$72))"),"")</f>
        <v/>
      </c>
      <c r="G485" s="61" t="str">
        <f>IFERROR(__xludf.DUMMYFUNCTION("INDIRECT(""'收支紀錄'!G""&amp;TO_TEXT(ROW()-$C$72))"),"")</f>
        <v/>
      </c>
      <c r="H485" s="61" t="str">
        <f>IFERROR(__xludf.DUMMYFUNCTION("INDIRECT(""'收支紀錄'!H""&amp;TO_TEXT(ROW()-$C$72))"),"行車交通")</f>
        <v>行車交通</v>
      </c>
      <c r="I485" s="61" t="str">
        <f>IFERROR(__xludf.DUMMYFUNCTION("INDIRECT(""'收支紀錄'!I""&amp;TO_TEXT(ROW()-$C$72))"),"")</f>
        <v/>
      </c>
      <c r="J485" s="61" t="str">
        <f>IFERROR(__xludf.DUMMYFUNCTION("INDIRECT(""'收支紀錄'!J""&amp;TO_TEXT(ROW()-$C$72))"),"")</f>
        <v/>
      </c>
      <c r="K485" s="61" t="str">
        <f>IFERROR(__xludf.DUMMYFUNCTION("INDIRECT(""'收支紀錄'!K""&amp;TO_TEXT(ROW()-$C$72))"),"")</f>
        <v/>
      </c>
      <c r="L485" s="61" t="str">
        <f>IFERROR(__xludf.DUMMYFUNCTION("INDIRECT(""'收支紀錄'!L""&amp;TO_TEXT(ROW()-$C$72))"),"捷運費")</f>
        <v>捷運費</v>
      </c>
      <c r="M485" s="61" t="str">
        <f>IFERROR(__xludf.DUMMYFUNCTION("INDIRECT(""'收支紀錄'!M""&amp;TO_TEXT(ROW()-$C$72))"),"")</f>
        <v/>
      </c>
      <c r="N485" s="61" t="str">
        <f>IFERROR(__xludf.DUMMYFUNCTION("INDIRECT(""'收支紀錄'!N""&amp;TO_TEXT(ROW()-$C$72))"),"")</f>
        <v/>
      </c>
      <c r="O485" s="61" t="str">
        <f>IFERROR(__xludf.DUMMYFUNCTION("INDIRECT(""'收支紀錄'!O""&amp;TO_TEXT(ROW()-$C$72))"),"")</f>
        <v/>
      </c>
      <c r="P485" s="61" t="str">
        <f>IFERROR(__xludf.DUMMYFUNCTION("INDIRECT(""'收支紀錄'!P""&amp;TO_TEXT(ROW()-$C$72))"),"")</f>
        <v/>
      </c>
      <c r="Q485" s="61" t="str">
        <f>IFERROR(__xludf.DUMMYFUNCTION("INDIRECT(""'收支紀錄'!Q""&amp;TO_TEXT(ROW()-$C$72))"),"")</f>
        <v/>
      </c>
      <c r="R485" s="61" t="str">
        <f>IFERROR(__xludf.DUMMYFUNCTION("INDIRECT(""'收支紀錄'!R""&amp;TO_TEXT(ROW()-$C$72))"),"")</f>
        <v/>
      </c>
      <c r="S485" s="61" t="str">
        <f>IFERROR(__xludf.DUMMYFUNCTION("INDIRECT(""'收支紀錄'!S""&amp;TO_TEXT(ROW()-$C$72))"),"")</f>
        <v/>
      </c>
      <c r="T485" s="61" t="str">
        <f>IFERROR(__xludf.DUMMYFUNCTION("INDIRECT(""'收支紀錄'!T""&amp;TO_TEXT(ROW()-$C$72))"),"")</f>
        <v/>
      </c>
      <c r="U485" s="62" t="str">
        <f>IFERROR(__xludf.DUMMYFUNCTION("IF(T485=""是"",TEXTJOIN("""", TRUE, ""$"", TO_TEXT(C485), S485),"""")"),"")</f>
        <v/>
      </c>
    </row>
    <row r="486">
      <c r="A486" s="58">
        <f>IFERROR(__xludf.DUMMYFUNCTION("INDIRECT(""'收支紀錄'!A""&amp;TO_TEXT(ROW()-$C$72))"),45630.948171157404)</f>
        <v>45630.94817</v>
      </c>
      <c r="B486" s="59">
        <f>IFERROR(__xludf.DUMMYFUNCTION("IF(ISBLANK(D486), """", IF(ISDATE(D486), D486, IF(D486=""今天"", A486, IF(D486=""昨天 (-1 day)"", A486-1, IF(D486=""前天 (-2 days)"", A486-2, IF(D486=""明天 (+1 day)"", A486+1, DATE(LEFT(D486,4), MID(D486,5,2), RIGHT(D486,2))))))))"),45630.948171157404)</f>
        <v>45630.94817</v>
      </c>
      <c r="C486" s="60">
        <f>IFERROR(__xludf.DUMMYFUNCTION("INDIRECT(""'收支紀錄'!C""&amp;TO_TEXT(ROW()-$C$72))"),100.0)</f>
        <v>100</v>
      </c>
      <c r="D486" s="63" t="str">
        <f>IFERROR(__xludf.DUMMYFUNCTION("INDIRECT(""'收支紀錄'!D""&amp;TO_TEXT(ROW()-$C$72))"),"今天")</f>
        <v>今天</v>
      </c>
      <c r="E486" s="61" t="str">
        <f>IFERROR(__xludf.DUMMYFUNCTION("INDIRECT(""'收支紀錄'!E""&amp;TO_TEXT(ROW()-$C$72))"),"")</f>
        <v/>
      </c>
      <c r="F486" s="61" t="str">
        <f>IFERROR(__xludf.DUMMYFUNCTION("INDIRECT(""'收支紀錄'!F""&amp;TO_TEXT(ROW()-$C$72))"),"")</f>
        <v/>
      </c>
      <c r="G486" s="61" t="str">
        <f>IFERROR(__xludf.DUMMYFUNCTION("INDIRECT(""'收支紀錄'!G""&amp;TO_TEXT(ROW()-$C$72))"),"")</f>
        <v/>
      </c>
      <c r="H486" s="61" t="str">
        <f>IFERROR(__xludf.DUMMYFUNCTION("INDIRECT(""'收支紀錄'!H""&amp;TO_TEXT(ROW()-$C$72))"),"休閒娛樂")</f>
        <v>休閒娛樂</v>
      </c>
      <c r="I486" s="61" t="str">
        <f>IFERROR(__xludf.DUMMYFUNCTION("INDIRECT(""'收支紀錄'!I""&amp;TO_TEXT(ROW()-$C$72))"),"")</f>
        <v/>
      </c>
      <c r="J486" s="61" t="str">
        <f>IFERROR(__xludf.DUMMYFUNCTION("INDIRECT(""'收支紀錄'!J""&amp;TO_TEXT(ROW()-$C$72))"),"")</f>
        <v/>
      </c>
      <c r="K486" s="61" t="str">
        <f>IFERROR(__xludf.DUMMYFUNCTION("INDIRECT(""'收支紀錄'!K""&amp;TO_TEXT(ROW()-$C$72))"),"")</f>
        <v/>
      </c>
      <c r="L486" s="61" t="str">
        <f>IFERROR(__xludf.DUMMYFUNCTION("INDIRECT(""'收支紀錄'!L""&amp;TO_TEXT(ROW()-$C$72))"),"")</f>
        <v/>
      </c>
      <c r="M486" s="61" t="str">
        <f>IFERROR(__xludf.DUMMYFUNCTION("INDIRECT(""'收支紀錄'!M""&amp;TO_TEXT(ROW()-$C$72))"),"運動健身")</f>
        <v>運動健身</v>
      </c>
      <c r="N486" s="61" t="str">
        <f>IFERROR(__xludf.DUMMYFUNCTION("INDIRECT(""'收支紀錄'!N""&amp;TO_TEXT(ROW()-$C$72))"),"")</f>
        <v/>
      </c>
      <c r="O486" s="61" t="str">
        <f>IFERROR(__xludf.DUMMYFUNCTION("INDIRECT(""'收支紀錄'!O""&amp;TO_TEXT(ROW()-$C$72))"),"")</f>
        <v/>
      </c>
      <c r="P486" s="61" t="str">
        <f>IFERROR(__xludf.DUMMYFUNCTION("INDIRECT(""'收支紀錄'!P""&amp;TO_TEXT(ROW()-$C$72))"),"")</f>
        <v/>
      </c>
      <c r="Q486" s="61" t="str">
        <f>IFERROR(__xludf.DUMMYFUNCTION("INDIRECT(""'收支紀錄'!Q""&amp;TO_TEXT(ROW()-$C$72))"),"")</f>
        <v/>
      </c>
      <c r="R486" s="61" t="str">
        <f>IFERROR(__xludf.DUMMYFUNCTION("INDIRECT(""'收支紀錄'!R""&amp;TO_TEXT(ROW()-$C$72))"),"")</f>
        <v/>
      </c>
      <c r="S486" s="61" t="str">
        <f>IFERROR(__xludf.DUMMYFUNCTION("INDIRECT(""'收支紀錄'!S""&amp;TO_TEXT(ROW()-$C$72))"),"")</f>
        <v/>
      </c>
      <c r="T486" s="61" t="str">
        <f>IFERROR(__xludf.DUMMYFUNCTION("INDIRECT(""'收支紀錄'!T""&amp;TO_TEXT(ROW()-$C$72))"),"")</f>
        <v/>
      </c>
      <c r="U486" s="62" t="str">
        <f>IFERROR(__xludf.DUMMYFUNCTION("IF(T486=""是"",TEXTJOIN("""", TRUE, ""$"", TO_TEXT(C486), S486),"""")"),"")</f>
        <v/>
      </c>
    </row>
    <row r="487">
      <c r="A487" s="58">
        <f>IFERROR(__xludf.DUMMYFUNCTION("INDIRECT(""'收支紀錄'!A""&amp;TO_TEXT(ROW()-$C$72))"),45631.8714122338)</f>
        <v>45631.87141</v>
      </c>
      <c r="B487" s="59">
        <f>IFERROR(__xludf.DUMMYFUNCTION("IF(ISBLANK(D487), """", IF(ISDATE(D487), D487, IF(D487=""今天"", A487, IF(D487=""昨天 (-1 day)"", A487-1, IF(D487=""前天 (-2 days)"", A487-2, IF(D487=""明天 (+1 day)"", A487+1, DATE(LEFT(D487,4), MID(D487,5,2), RIGHT(D487,2))))))))"),45631.8714122338)</f>
        <v>45631.87141</v>
      </c>
      <c r="C487" s="60">
        <f>IFERROR(__xludf.DUMMYFUNCTION("INDIRECT(""'收支紀錄'!C""&amp;TO_TEXT(ROW()-$C$72))"),102900.0)</f>
        <v>102900</v>
      </c>
      <c r="D487" s="63" t="str">
        <f>IFERROR(__xludf.DUMMYFUNCTION("INDIRECT(""'收支紀錄'!D""&amp;TO_TEXT(ROW()-$C$72))"),"今天")</f>
        <v>今天</v>
      </c>
      <c r="E487" s="61" t="str">
        <f>IFERROR(__xludf.DUMMYFUNCTION("INDIRECT(""'收支紀錄'!E""&amp;TO_TEXT(ROW()-$C$72))"),"工作")</f>
        <v>工作</v>
      </c>
      <c r="F487" s="61" t="str">
        <f>IFERROR(__xludf.DUMMYFUNCTION("INDIRECT(""'收支紀錄'!F""&amp;TO_TEXT(ROW()-$C$72))"),"底薪")</f>
        <v>底薪</v>
      </c>
      <c r="G487" s="61" t="str">
        <f>IFERROR(__xludf.DUMMYFUNCTION("INDIRECT(""'收支紀錄'!G""&amp;TO_TEXT(ROW()-$C$72))"),"")</f>
        <v/>
      </c>
      <c r="H487" s="61" t="str">
        <f>IFERROR(__xludf.DUMMYFUNCTION("INDIRECT(""'收支紀錄'!H""&amp;TO_TEXT(ROW()-$C$72))"),"")</f>
        <v/>
      </c>
      <c r="I487" s="61" t="str">
        <f>IFERROR(__xludf.DUMMYFUNCTION("INDIRECT(""'收支紀錄'!I""&amp;TO_TEXT(ROW()-$C$72))"),"")</f>
        <v/>
      </c>
      <c r="J487" s="61" t="str">
        <f>IFERROR(__xludf.DUMMYFUNCTION("INDIRECT(""'收支紀錄'!J""&amp;TO_TEXT(ROW()-$C$72))"),"")</f>
        <v/>
      </c>
      <c r="K487" s="61" t="str">
        <f>IFERROR(__xludf.DUMMYFUNCTION("INDIRECT(""'收支紀錄'!K""&amp;TO_TEXT(ROW()-$C$72))"),"")</f>
        <v/>
      </c>
      <c r="L487" s="61" t="str">
        <f>IFERROR(__xludf.DUMMYFUNCTION("INDIRECT(""'收支紀錄'!L""&amp;TO_TEXT(ROW()-$C$72))"),"")</f>
        <v/>
      </c>
      <c r="M487" s="61" t="str">
        <f>IFERROR(__xludf.DUMMYFUNCTION("INDIRECT(""'收支紀錄'!M""&amp;TO_TEXT(ROW()-$C$72))"),"")</f>
        <v/>
      </c>
      <c r="N487" s="61" t="str">
        <f>IFERROR(__xludf.DUMMYFUNCTION("INDIRECT(""'收支紀錄'!N""&amp;TO_TEXT(ROW()-$C$72))"),"")</f>
        <v/>
      </c>
      <c r="O487" s="61" t="str">
        <f>IFERROR(__xludf.DUMMYFUNCTION("INDIRECT(""'收支紀錄'!O""&amp;TO_TEXT(ROW()-$C$72))"),"")</f>
        <v/>
      </c>
      <c r="P487" s="61" t="str">
        <f>IFERROR(__xludf.DUMMYFUNCTION("INDIRECT(""'收支紀錄'!P""&amp;TO_TEXT(ROW()-$C$72))"),"")</f>
        <v/>
      </c>
      <c r="Q487" s="61" t="str">
        <f>IFERROR(__xludf.DUMMYFUNCTION("INDIRECT(""'收支紀錄'!Q""&amp;TO_TEXT(ROW()-$C$72))"),"")</f>
        <v/>
      </c>
      <c r="R487" s="61" t="str">
        <f>IFERROR(__xludf.DUMMYFUNCTION("INDIRECT(""'收支紀錄'!R""&amp;TO_TEXT(ROW()-$C$72))"),"")</f>
        <v/>
      </c>
      <c r="S487" s="61" t="str">
        <f>IFERROR(__xludf.DUMMYFUNCTION("INDIRECT(""'收支紀錄'!S""&amp;TO_TEXT(ROW()-$C$72))"),"")</f>
        <v/>
      </c>
      <c r="T487" s="61" t="str">
        <f>IFERROR(__xludf.DUMMYFUNCTION("INDIRECT(""'收支紀錄'!T""&amp;TO_TEXT(ROW()-$C$72))"),"否")</f>
        <v>否</v>
      </c>
      <c r="U487" s="62" t="str">
        <f>IFERROR(__xludf.DUMMYFUNCTION("IF(T487=""是"",TEXTJOIN("""", TRUE, ""$"", TO_TEXT(C487), S487),"""")"),"")</f>
        <v/>
      </c>
    </row>
    <row r="488">
      <c r="A488" s="58">
        <f>IFERROR(__xludf.DUMMYFUNCTION("INDIRECT(""'收支紀錄'!A""&amp;TO_TEXT(ROW()-$C$72))"),45631.87174011574)</f>
        <v>45631.87174</v>
      </c>
      <c r="B488" s="59">
        <f>IFERROR(__xludf.DUMMYFUNCTION("IF(ISBLANK(D488), """", IF(ISDATE(D488), D488, IF(D488=""今天"", A488, IF(D488=""昨天 (-1 day)"", A488-1, IF(D488=""前天 (-2 days)"", A488-2, IF(D488=""明天 (+1 day)"", A488+1, DATE(LEFT(D488,4), MID(D488,5,2), RIGHT(D488,2))))))))"),45631.87174011574)</f>
        <v>45631.87174</v>
      </c>
      <c r="C488" s="60">
        <f>IFERROR(__xludf.DUMMYFUNCTION("INDIRECT(""'收支紀錄'!C""&amp;TO_TEXT(ROW()-$C$72))"),1423.0)</f>
        <v>1423</v>
      </c>
      <c r="D488" s="63" t="str">
        <f>IFERROR(__xludf.DUMMYFUNCTION("INDIRECT(""'收支紀錄'!D""&amp;TO_TEXT(ROW()-$C$72))"),"今天")</f>
        <v>今天</v>
      </c>
      <c r="E488" s="61" t="str">
        <f>IFERROR(__xludf.DUMMYFUNCTION("INDIRECT(""'收支紀錄'!E""&amp;TO_TEXT(ROW()-$C$72))"),"")</f>
        <v/>
      </c>
      <c r="F488" s="61" t="str">
        <f>IFERROR(__xludf.DUMMYFUNCTION("INDIRECT(""'收支紀錄'!F""&amp;TO_TEXT(ROW()-$C$72))"),"")</f>
        <v/>
      </c>
      <c r="G488" s="61" t="str">
        <f>IFERROR(__xludf.DUMMYFUNCTION("INDIRECT(""'收支紀錄'!G""&amp;TO_TEXT(ROW()-$C$72))"),"")</f>
        <v/>
      </c>
      <c r="H488" s="61" t="str">
        <f>IFERROR(__xludf.DUMMYFUNCTION("INDIRECT(""'收支紀錄'!H""&amp;TO_TEXT(ROW()-$C$72))"),"食品酒水")</f>
        <v>食品酒水</v>
      </c>
      <c r="I488" s="61" t="str">
        <f>IFERROR(__xludf.DUMMYFUNCTION("INDIRECT(""'收支紀錄'!I""&amp;TO_TEXT(ROW()-$C$72))"),"前月公司餐費扣款")</f>
        <v>前月公司餐費扣款</v>
      </c>
      <c r="J488" s="61" t="str">
        <f>IFERROR(__xludf.DUMMYFUNCTION("INDIRECT(""'收支紀錄'!J""&amp;TO_TEXT(ROW()-$C$72))"),"")</f>
        <v/>
      </c>
      <c r="K488" s="61" t="str">
        <f>IFERROR(__xludf.DUMMYFUNCTION("INDIRECT(""'收支紀錄'!K""&amp;TO_TEXT(ROW()-$C$72))"),"")</f>
        <v/>
      </c>
      <c r="L488" s="61" t="str">
        <f>IFERROR(__xludf.DUMMYFUNCTION("INDIRECT(""'收支紀錄'!L""&amp;TO_TEXT(ROW()-$C$72))"),"")</f>
        <v/>
      </c>
      <c r="M488" s="61" t="str">
        <f>IFERROR(__xludf.DUMMYFUNCTION("INDIRECT(""'收支紀錄'!M""&amp;TO_TEXT(ROW()-$C$72))"),"")</f>
        <v/>
      </c>
      <c r="N488" s="61" t="str">
        <f>IFERROR(__xludf.DUMMYFUNCTION("INDIRECT(""'收支紀錄'!N""&amp;TO_TEXT(ROW()-$C$72))"),"")</f>
        <v/>
      </c>
      <c r="O488" s="61" t="str">
        <f>IFERROR(__xludf.DUMMYFUNCTION("INDIRECT(""'收支紀錄'!O""&amp;TO_TEXT(ROW()-$C$72))"),"")</f>
        <v/>
      </c>
      <c r="P488" s="61" t="str">
        <f>IFERROR(__xludf.DUMMYFUNCTION("INDIRECT(""'收支紀錄'!P""&amp;TO_TEXT(ROW()-$C$72))"),"")</f>
        <v/>
      </c>
      <c r="Q488" s="61" t="str">
        <f>IFERROR(__xludf.DUMMYFUNCTION("INDIRECT(""'收支紀錄'!Q""&amp;TO_TEXT(ROW()-$C$72))"),"")</f>
        <v/>
      </c>
      <c r="R488" s="61" t="str">
        <f>IFERROR(__xludf.DUMMYFUNCTION("INDIRECT(""'收支紀錄'!R""&amp;TO_TEXT(ROW()-$C$72))"),"")</f>
        <v/>
      </c>
      <c r="S488" s="61" t="str">
        <f>IFERROR(__xludf.DUMMYFUNCTION("INDIRECT(""'收支紀錄'!S""&amp;TO_TEXT(ROW()-$C$72))"),"")</f>
        <v/>
      </c>
      <c r="T488" s="61" t="str">
        <f>IFERROR(__xludf.DUMMYFUNCTION("INDIRECT(""'收支紀錄'!T""&amp;TO_TEXT(ROW()-$C$72))"),"")</f>
        <v/>
      </c>
      <c r="U488" s="62" t="str">
        <f>IFERROR(__xludf.DUMMYFUNCTION("IF(T488=""是"",TEXTJOIN("""", TRUE, ""$"", TO_TEXT(C488), S488),"""")"),"")</f>
        <v/>
      </c>
    </row>
    <row r="489">
      <c r="A489" s="58">
        <f>IFERROR(__xludf.DUMMYFUNCTION("INDIRECT(""'收支紀錄'!A""&amp;TO_TEXT(ROW()-$C$72))"),45631.87220224537)</f>
        <v>45631.8722</v>
      </c>
      <c r="B489" s="59">
        <f>IFERROR(__xludf.DUMMYFUNCTION("IF(ISBLANK(D489), """", IF(ISDATE(D489), D489, IF(D489=""今天"", A489, IF(D489=""昨天 (-1 day)"", A489-1, IF(D489=""前天 (-2 days)"", A489-2, IF(D489=""明天 (+1 day)"", A489+1, DATE(LEFT(D489,4), MID(D489,5,2), RIGHT(D489,2))))))))"),45631.87220224537)</f>
        <v>45631.8722</v>
      </c>
      <c r="C489" s="60">
        <f>IFERROR(__xludf.DUMMYFUNCTION("INDIRECT(""'收支紀錄'!C""&amp;TO_TEXT(ROW()-$C$72))"),3087.0)</f>
        <v>3087</v>
      </c>
      <c r="D489" s="63" t="str">
        <f>IFERROR(__xludf.DUMMYFUNCTION("INDIRECT(""'收支紀錄'!D""&amp;TO_TEXT(ROW()-$C$72))"),"今天")</f>
        <v>今天</v>
      </c>
      <c r="E489" s="61" t="str">
        <f>IFERROR(__xludf.DUMMYFUNCTION("INDIRECT(""'收支紀錄'!E""&amp;TO_TEXT(ROW()-$C$72))"),"")</f>
        <v/>
      </c>
      <c r="F489" s="61" t="str">
        <f>IFERROR(__xludf.DUMMYFUNCTION("INDIRECT(""'收支紀錄'!F""&amp;TO_TEXT(ROW()-$C$72))"),"")</f>
        <v/>
      </c>
      <c r="G489" s="61" t="str">
        <f>IFERROR(__xludf.DUMMYFUNCTION("INDIRECT(""'收支紀錄'!G""&amp;TO_TEXT(ROW()-$C$72))"),"")</f>
        <v/>
      </c>
      <c r="H489" s="61" t="str">
        <f>IFERROR(__xludf.DUMMYFUNCTION("INDIRECT(""'收支紀錄'!H""&amp;TO_TEXT(ROW()-$C$72))"),"投資及其他")</f>
        <v>投資及其他</v>
      </c>
      <c r="I489" s="61" t="str">
        <f>IFERROR(__xludf.DUMMYFUNCTION("INDIRECT(""'收支紀錄'!I""&amp;TO_TEXT(ROW()-$C$72))"),"")</f>
        <v/>
      </c>
      <c r="J489" s="61" t="str">
        <f>IFERROR(__xludf.DUMMYFUNCTION("INDIRECT(""'收支紀錄'!J""&amp;TO_TEXT(ROW()-$C$72))"),"")</f>
        <v/>
      </c>
      <c r="K489" s="61" t="str">
        <f>IFERROR(__xludf.DUMMYFUNCTION("INDIRECT(""'收支紀錄'!K""&amp;TO_TEXT(ROW()-$C$72))"),"")</f>
        <v/>
      </c>
      <c r="L489" s="61" t="str">
        <f>IFERROR(__xludf.DUMMYFUNCTION("INDIRECT(""'收支紀錄'!L""&amp;TO_TEXT(ROW()-$C$72))"),"")</f>
        <v/>
      </c>
      <c r="M489" s="61" t="str">
        <f>IFERROR(__xludf.DUMMYFUNCTION("INDIRECT(""'收支紀錄'!M""&amp;TO_TEXT(ROW()-$C$72))"),"")</f>
        <v/>
      </c>
      <c r="N489" s="61" t="str">
        <f>IFERROR(__xludf.DUMMYFUNCTION("INDIRECT(""'收支紀錄'!N""&amp;TO_TEXT(ROW()-$C$72))"),"")</f>
        <v/>
      </c>
      <c r="O489" s="61" t="str">
        <f>IFERROR(__xludf.DUMMYFUNCTION("INDIRECT(""'收支紀錄'!O""&amp;TO_TEXT(ROW()-$C$72))"),"")</f>
        <v/>
      </c>
      <c r="P489" s="61" t="str">
        <f>IFERROR(__xludf.DUMMYFUNCTION("INDIRECT(""'收支紀錄'!P""&amp;TO_TEXT(ROW()-$C$72))"),"")</f>
        <v/>
      </c>
      <c r="Q489" s="61" t="str">
        <f>IFERROR(__xludf.DUMMYFUNCTION("INDIRECT(""'收支紀錄'!Q""&amp;TO_TEXT(ROW()-$C$72))"),"")</f>
        <v/>
      </c>
      <c r="R489" s="61" t="str">
        <f>IFERROR(__xludf.DUMMYFUNCTION("INDIRECT(""'收支紀錄'!R""&amp;TO_TEXT(ROW()-$C$72))"),"公司認股")</f>
        <v>公司認股</v>
      </c>
      <c r="S489" s="61" t="str">
        <f>IFERROR(__xludf.DUMMYFUNCTION("INDIRECT(""'收支紀錄'!S""&amp;TO_TEXT(ROW()-$C$72))"),"")</f>
        <v/>
      </c>
      <c r="T489" s="61" t="str">
        <f>IFERROR(__xludf.DUMMYFUNCTION("INDIRECT(""'收支紀錄'!T""&amp;TO_TEXT(ROW()-$C$72))"),"")</f>
        <v/>
      </c>
      <c r="U489" s="62" t="str">
        <f>IFERROR(__xludf.DUMMYFUNCTION("IF(T489=""是"",TEXTJOIN("""", TRUE, ""$"", TO_TEXT(C489), S489),"""")"),"")</f>
        <v/>
      </c>
    </row>
    <row r="490">
      <c r="A490" s="58">
        <f>IFERROR(__xludf.DUMMYFUNCTION("INDIRECT(""'收支紀錄'!A""&amp;TO_TEXT(ROW()-$C$72))"),45631.872614479165)</f>
        <v>45631.87261</v>
      </c>
      <c r="B490" s="59">
        <f>IFERROR(__xludf.DUMMYFUNCTION("IF(ISBLANK(D490), """", IF(ISDATE(D490), D490, IF(D490=""今天"", A490, IF(D490=""昨天 (-1 day)"", A490-1, IF(D490=""前天 (-2 days)"", A490-2, IF(D490=""明天 (+1 day)"", A490+1, DATE(LEFT(D490,4), MID(D490,5,2), RIGHT(D490,2))))))))"),45631.872614479165)</f>
        <v>45631.87261</v>
      </c>
      <c r="C490" s="60">
        <f>IFERROR(__xludf.DUMMYFUNCTION("INDIRECT(""'收支紀錄'!C""&amp;TO_TEXT(ROW()-$C$72))"),2771.0)</f>
        <v>2771</v>
      </c>
      <c r="D490" s="63" t="str">
        <f>IFERROR(__xludf.DUMMYFUNCTION("INDIRECT(""'收支紀錄'!D""&amp;TO_TEXT(ROW()-$C$72))"),"今天")</f>
        <v>今天</v>
      </c>
      <c r="E490" s="61" t="str">
        <f>IFERROR(__xludf.DUMMYFUNCTION("INDIRECT(""'收支紀錄'!E""&amp;TO_TEXT(ROW()-$C$72))"),"")</f>
        <v/>
      </c>
      <c r="F490" s="61" t="str">
        <f>IFERROR(__xludf.DUMMYFUNCTION("INDIRECT(""'收支紀錄'!F""&amp;TO_TEXT(ROW()-$C$72))"),"")</f>
        <v/>
      </c>
      <c r="G490" s="61" t="str">
        <f>IFERROR(__xludf.DUMMYFUNCTION("INDIRECT(""'收支紀錄'!G""&amp;TO_TEXT(ROW()-$C$72))"),"")</f>
        <v/>
      </c>
      <c r="H490" s="61" t="str">
        <f>IFERROR(__xludf.DUMMYFUNCTION("INDIRECT(""'收支紀錄'!H""&amp;TO_TEXT(ROW()-$C$72))"),"稅金保險")</f>
        <v>稅金保險</v>
      </c>
      <c r="I490" s="61" t="str">
        <f>IFERROR(__xludf.DUMMYFUNCTION("INDIRECT(""'收支紀錄'!I""&amp;TO_TEXT(ROW()-$C$72))"),"")</f>
        <v/>
      </c>
      <c r="J490" s="61" t="str">
        <f>IFERROR(__xludf.DUMMYFUNCTION("INDIRECT(""'收支紀錄'!J""&amp;TO_TEXT(ROW()-$C$72))"),"")</f>
        <v/>
      </c>
      <c r="K490" s="61" t="str">
        <f>IFERROR(__xludf.DUMMYFUNCTION("INDIRECT(""'收支紀錄'!K""&amp;TO_TEXT(ROW()-$C$72))"),"")</f>
        <v/>
      </c>
      <c r="L490" s="61" t="str">
        <f>IFERROR(__xludf.DUMMYFUNCTION("INDIRECT(""'收支紀錄'!L""&amp;TO_TEXT(ROW()-$C$72))"),"")</f>
        <v/>
      </c>
      <c r="M490" s="61" t="str">
        <f>IFERROR(__xludf.DUMMYFUNCTION("INDIRECT(""'收支紀錄'!M""&amp;TO_TEXT(ROW()-$C$72))"),"")</f>
        <v/>
      </c>
      <c r="N490" s="61" t="str">
        <f>IFERROR(__xludf.DUMMYFUNCTION("INDIRECT(""'收支紀錄'!N""&amp;TO_TEXT(ROW()-$C$72))"),"勞健保")</f>
        <v>勞健保</v>
      </c>
      <c r="O490" s="61" t="str">
        <f>IFERROR(__xludf.DUMMYFUNCTION("INDIRECT(""'收支紀錄'!O""&amp;TO_TEXT(ROW()-$C$72))"),"")</f>
        <v/>
      </c>
      <c r="P490" s="61" t="str">
        <f>IFERROR(__xludf.DUMMYFUNCTION("INDIRECT(""'收支紀錄'!P""&amp;TO_TEXT(ROW()-$C$72))"),"")</f>
        <v/>
      </c>
      <c r="Q490" s="61" t="str">
        <f>IFERROR(__xludf.DUMMYFUNCTION("INDIRECT(""'收支紀錄'!Q""&amp;TO_TEXT(ROW()-$C$72))"),"")</f>
        <v/>
      </c>
      <c r="R490" s="61" t="str">
        <f>IFERROR(__xludf.DUMMYFUNCTION("INDIRECT(""'收支紀錄'!R""&amp;TO_TEXT(ROW()-$C$72))"),"")</f>
        <v/>
      </c>
      <c r="S490" s="61" t="str">
        <f>IFERROR(__xludf.DUMMYFUNCTION("INDIRECT(""'收支紀錄'!S""&amp;TO_TEXT(ROW()-$C$72))"),"")</f>
        <v/>
      </c>
      <c r="T490" s="61" t="str">
        <f>IFERROR(__xludf.DUMMYFUNCTION("INDIRECT(""'收支紀錄'!T""&amp;TO_TEXT(ROW()-$C$72))"),"")</f>
        <v/>
      </c>
      <c r="U490" s="62" t="str">
        <f>IFERROR(__xludf.DUMMYFUNCTION("IF(T490=""是"",TEXTJOIN("""", TRUE, ""$"", TO_TEXT(C490), S490),"""")"),"")</f>
        <v/>
      </c>
    </row>
    <row r="491">
      <c r="A491" s="58">
        <f>IFERROR(__xludf.DUMMYFUNCTION("INDIRECT(""'收支紀錄'!A""&amp;TO_TEXT(ROW()-$C$72))"),45631.87286309028)</f>
        <v>45631.87286</v>
      </c>
      <c r="B491" s="59">
        <f>IFERROR(__xludf.DUMMYFUNCTION("IF(ISBLANK(D491), """", IF(ISDATE(D491), D491, IF(D491=""今天"", A491, IF(D491=""昨天 (-1 day)"", A491-1, IF(D491=""前天 (-2 days)"", A491-2, IF(D491=""明天 (+1 day)"", A491+1, DATE(LEFT(D491,4), MID(D491,5,2), RIGHT(D491,2))))))))"),45631.87286309028)</f>
        <v>45631.87286</v>
      </c>
      <c r="C491" s="60">
        <f>IFERROR(__xludf.DUMMYFUNCTION("INDIRECT(""'收支紀錄'!C""&amp;TO_TEXT(ROW()-$C$72))"),515.0)</f>
        <v>515</v>
      </c>
      <c r="D491" s="63" t="str">
        <f>IFERROR(__xludf.DUMMYFUNCTION("INDIRECT(""'收支紀錄'!D""&amp;TO_TEXT(ROW()-$C$72))"),"今天")</f>
        <v>今天</v>
      </c>
      <c r="E491" s="61" t="str">
        <f>IFERROR(__xludf.DUMMYFUNCTION("INDIRECT(""'收支紀錄'!E""&amp;TO_TEXT(ROW()-$C$72))"),"")</f>
        <v/>
      </c>
      <c r="F491" s="61" t="str">
        <f>IFERROR(__xludf.DUMMYFUNCTION("INDIRECT(""'收支紀錄'!F""&amp;TO_TEXT(ROW()-$C$72))"),"")</f>
        <v/>
      </c>
      <c r="G491" s="61" t="str">
        <f>IFERROR(__xludf.DUMMYFUNCTION("INDIRECT(""'收支紀錄'!G""&amp;TO_TEXT(ROW()-$C$72))"),"")</f>
        <v/>
      </c>
      <c r="H491" s="61" t="str">
        <f>IFERROR(__xludf.DUMMYFUNCTION("INDIRECT(""'收支紀錄'!H""&amp;TO_TEXT(ROW()-$C$72))"),"休閒娛樂")</f>
        <v>休閒娛樂</v>
      </c>
      <c r="I491" s="61" t="str">
        <f>IFERROR(__xludf.DUMMYFUNCTION("INDIRECT(""'收支紀錄'!I""&amp;TO_TEXT(ROW()-$C$72))"),"")</f>
        <v/>
      </c>
      <c r="J491" s="61" t="str">
        <f>IFERROR(__xludf.DUMMYFUNCTION("INDIRECT(""'收支紀錄'!J""&amp;TO_TEXT(ROW()-$C$72))"),"")</f>
        <v/>
      </c>
      <c r="K491" s="61" t="str">
        <f>IFERROR(__xludf.DUMMYFUNCTION("INDIRECT(""'收支紀錄'!K""&amp;TO_TEXT(ROW()-$C$72))"),"")</f>
        <v/>
      </c>
      <c r="L491" s="61" t="str">
        <f>IFERROR(__xludf.DUMMYFUNCTION("INDIRECT(""'收支紀錄'!L""&amp;TO_TEXT(ROW()-$C$72))"),"")</f>
        <v/>
      </c>
      <c r="M491" s="61" t="str">
        <f>IFERROR(__xludf.DUMMYFUNCTION("INDIRECT(""'收支紀錄'!M""&amp;TO_TEXT(ROW()-$C$72))"),"公司福利金")</f>
        <v>公司福利金</v>
      </c>
      <c r="N491" s="61" t="str">
        <f>IFERROR(__xludf.DUMMYFUNCTION("INDIRECT(""'收支紀錄'!N""&amp;TO_TEXT(ROW()-$C$72))"),"")</f>
        <v/>
      </c>
      <c r="O491" s="61" t="str">
        <f>IFERROR(__xludf.DUMMYFUNCTION("INDIRECT(""'收支紀錄'!O""&amp;TO_TEXT(ROW()-$C$72))"),"")</f>
        <v/>
      </c>
      <c r="P491" s="61" t="str">
        <f>IFERROR(__xludf.DUMMYFUNCTION("INDIRECT(""'收支紀錄'!P""&amp;TO_TEXT(ROW()-$C$72))"),"")</f>
        <v/>
      </c>
      <c r="Q491" s="61" t="str">
        <f>IFERROR(__xludf.DUMMYFUNCTION("INDIRECT(""'收支紀錄'!Q""&amp;TO_TEXT(ROW()-$C$72))"),"")</f>
        <v/>
      </c>
      <c r="R491" s="61" t="str">
        <f>IFERROR(__xludf.DUMMYFUNCTION("INDIRECT(""'收支紀錄'!R""&amp;TO_TEXT(ROW()-$C$72))"),"")</f>
        <v/>
      </c>
      <c r="S491" s="61" t="str">
        <f>IFERROR(__xludf.DUMMYFUNCTION("INDIRECT(""'收支紀錄'!S""&amp;TO_TEXT(ROW()-$C$72))"),"")</f>
        <v/>
      </c>
      <c r="T491" s="61" t="str">
        <f>IFERROR(__xludf.DUMMYFUNCTION("INDIRECT(""'收支紀錄'!T""&amp;TO_TEXT(ROW()-$C$72))"),"")</f>
        <v/>
      </c>
      <c r="U491" s="62" t="str">
        <f>IFERROR(__xludf.DUMMYFUNCTION("IF(T491=""是"",TEXTJOIN("""", TRUE, ""$"", TO_TEXT(C491), S491),"""")"),"")</f>
        <v/>
      </c>
    </row>
    <row r="492">
      <c r="A492" s="58">
        <f>IFERROR(__xludf.DUMMYFUNCTION("INDIRECT(""'收支紀錄'!A""&amp;TO_TEXT(ROW()-$C$72))"),45631.87321553241)</f>
        <v>45631.87322</v>
      </c>
      <c r="B492" s="59">
        <f>IFERROR(__xludf.DUMMYFUNCTION("IF(ISBLANK(D492), """", IF(ISDATE(D492), D492, IF(D492=""今天"", A492, IF(D492=""昨天 (-1 day)"", A492-1, IF(D492=""前天 (-2 days)"", A492-2, IF(D492=""明天 (+1 day)"", A492+1, DATE(LEFT(D492,4), MID(D492,5,2), RIGHT(D492,2))))))))"),45631.87321553241)</f>
        <v>45631.87322</v>
      </c>
      <c r="C492" s="60">
        <f>IFERROR(__xludf.DUMMYFUNCTION("INDIRECT(""'收支紀錄'!C""&amp;TO_TEXT(ROW()-$C$72))"),3260.0)</f>
        <v>3260</v>
      </c>
      <c r="D492" s="63" t="str">
        <f>IFERROR(__xludf.DUMMYFUNCTION("INDIRECT(""'收支紀錄'!D""&amp;TO_TEXT(ROW()-$C$72))"),"今天")</f>
        <v>今天</v>
      </c>
      <c r="E492" s="61" t="str">
        <f>IFERROR(__xludf.DUMMYFUNCTION("INDIRECT(""'收支紀錄'!E""&amp;TO_TEXT(ROW()-$C$72))"),"")</f>
        <v/>
      </c>
      <c r="F492" s="61" t="str">
        <f>IFERROR(__xludf.DUMMYFUNCTION("INDIRECT(""'收支紀錄'!F""&amp;TO_TEXT(ROW()-$C$72))"),"")</f>
        <v/>
      </c>
      <c r="G492" s="61" t="str">
        <f>IFERROR(__xludf.DUMMYFUNCTION("INDIRECT(""'收支紀錄'!G""&amp;TO_TEXT(ROW()-$C$72))"),"")</f>
        <v/>
      </c>
      <c r="H492" s="61" t="str">
        <f>IFERROR(__xludf.DUMMYFUNCTION("INDIRECT(""'收支紀錄'!H""&amp;TO_TEXT(ROW()-$C$72))"),"稅金保險")</f>
        <v>稅金保險</v>
      </c>
      <c r="I492" s="61" t="str">
        <f>IFERROR(__xludf.DUMMYFUNCTION("INDIRECT(""'收支紀錄'!I""&amp;TO_TEXT(ROW()-$C$72))"),"")</f>
        <v/>
      </c>
      <c r="J492" s="61" t="str">
        <f>IFERROR(__xludf.DUMMYFUNCTION("INDIRECT(""'收支紀錄'!J""&amp;TO_TEXT(ROW()-$C$72))"),"")</f>
        <v/>
      </c>
      <c r="K492" s="61" t="str">
        <f>IFERROR(__xludf.DUMMYFUNCTION("INDIRECT(""'收支紀錄'!K""&amp;TO_TEXT(ROW()-$C$72))"),"")</f>
        <v/>
      </c>
      <c r="L492" s="61" t="str">
        <f>IFERROR(__xludf.DUMMYFUNCTION("INDIRECT(""'收支紀錄'!L""&amp;TO_TEXT(ROW()-$C$72))"),"")</f>
        <v/>
      </c>
      <c r="M492" s="61" t="str">
        <f>IFERROR(__xludf.DUMMYFUNCTION("INDIRECT(""'收支紀錄'!M""&amp;TO_TEXT(ROW()-$C$72))"),"")</f>
        <v/>
      </c>
      <c r="N492" s="61" t="str">
        <f>IFERROR(__xludf.DUMMYFUNCTION("INDIRECT(""'收支紀錄'!N""&amp;TO_TEXT(ROW()-$C$72))"),"稅金")</f>
        <v>稅金</v>
      </c>
      <c r="O492" s="61" t="str">
        <f>IFERROR(__xludf.DUMMYFUNCTION("INDIRECT(""'收支紀錄'!O""&amp;TO_TEXT(ROW()-$C$72))"),"")</f>
        <v/>
      </c>
      <c r="P492" s="61" t="str">
        <f>IFERROR(__xludf.DUMMYFUNCTION("INDIRECT(""'收支紀錄'!P""&amp;TO_TEXT(ROW()-$C$72))"),"")</f>
        <v/>
      </c>
      <c r="Q492" s="61" t="str">
        <f>IFERROR(__xludf.DUMMYFUNCTION("INDIRECT(""'收支紀錄'!Q""&amp;TO_TEXT(ROW()-$C$72))"),"")</f>
        <v/>
      </c>
      <c r="R492" s="61" t="str">
        <f>IFERROR(__xludf.DUMMYFUNCTION("INDIRECT(""'收支紀錄'!R""&amp;TO_TEXT(ROW()-$C$72))"),"")</f>
        <v/>
      </c>
      <c r="S492" s="61" t="str">
        <f>IFERROR(__xludf.DUMMYFUNCTION("INDIRECT(""'收支紀錄'!S""&amp;TO_TEXT(ROW()-$C$72))"),"")</f>
        <v/>
      </c>
      <c r="T492" s="61" t="str">
        <f>IFERROR(__xludf.DUMMYFUNCTION("INDIRECT(""'收支紀錄'!T""&amp;TO_TEXT(ROW()-$C$72))"),"")</f>
        <v/>
      </c>
      <c r="U492" s="62" t="str">
        <f>IFERROR(__xludf.DUMMYFUNCTION("IF(T492=""是"",TEXTJOIN("""", TRUE, ""$"", TO_TEXT(C492), S492),"""")"),"")</f>
        <v/>
      </c>
    </row>
    <row r="493">
      <c r="A493" s="58">
        <f>IFERROR(__xludf.DUMMYFUNCTION("INDIRECT(""'收支紀錄'!A""&amp;TO_TEXT(ROW()-$C$72))"),45631.87434841435)</f>
        <v>45631.87435</v>
      </c>
      <c r="B493" s="59">
        <f>IFERROR(__xludf.DUMMYFUNCTION("IF(ISBLANK(D493), """", IF(ISDATE(D493), D493, IF(D493=""今天"", A493, IF(D493=""昨天 (-1 day)"", A493-1, IF(D493=""前天 (-2 days)"", A493-2, IF(D493=""明天 (+1 day)"", A493+1, DATE(LEFT(D493,4), MID(D493,5,2), RIGHT(D493,2))))))))"),45631.87434841435)</f>
        <v>45631.87435</v>
      </c>
      <c r="C493" s="60">
        <f>IFERROR(__xludf.DUMMYFUNCTION("INDIRECT(""'收支紀錄'!C""&amp;TO_TEXT(ROW()-$C$72))"),117.0)</f>
        <v>117</v>
      </c>
      <c r="D493" s="63" t="str">
        <f>IFERROR(__xludf.DUMMYFUNCTION("INDIRECT(""'收支紀錄'!D""&amp;TO_TEXT(ROW()-$C$72))"),"今天")</f>
        <v>今天</v>
      </c>
      <c r="E493" s="61" t="str">
        <f>IFERROR(__xludf.DUMMYFUNCTION("INDIRECT(""'收支紀錄'!E""&amp;TO_TEXT(ROW()-$C$72))"),"")</f>
        <v/>
      </c>
      <c r="F493" s="61" t="str">
        <f>IFERROR(__xludf.DUMMYFUNCTION("INDIRECT(""'收支紀錄'!F""&amp;TO_TEXT(ROW()-$C$72))"),"")</f>
        <v/>
      </c>
      <c r="G493" s="61" t="str">
        <f>IFERROR(__xludf.DUMMYFUNCTION("INDIRECT(""'收支紀錄'!G""&amp;TO_TEXT(ROW()-$C$72))"),"")</f>
        <v/>
      </c>
      <c r="H493" s="61" t="str">
        <f>IFERROR(__xludf.DUMMYFUNCTION("INDIRECT(""'收支紀錄'!H""&amp;TO_TEXT(ROW()-$C$72))"),"行車交通")</f>
        <v>行車交通</v>
      </c>
      <c r="I493" s="61" t="str">
        <f>IFERROR(__xludf.DUMMYFUNCTION("INDIRECT(""'收支紀錄'!I""&amp;TO_TEXT(ROW()-$C$72))"),"")</f>
        <v/>
      </c>
      <c r="J493" s="61" t="str">
        <f>IFERROR(__xludf.DUMMYFUNCTION("INDIRECT(""'收支紀錄'!J""&amp;TO_TEXT(ROW()-$C$72))"),"")</f>
        <v/>
      </c>
      <c r="K493" s="61" t="str">
        <f>IFERROR(__xludf.DUMMYFUNCTION("INDIRECT(""'收支紀錄'!K""&amp;TO_TEXT(ROW()-$C$72))"),"")</f>
        <v/>
      </c>
      <c r="L493" s="61" t="str">
        <f>IFERROR(__xludf.DUMMYFUNCTION("INDIRECT(""'收支紀錄'!L""&amp;TO_TEXT(ROW()-$C$72))"),"加油")</f>
        <v>加油</v>
      </c>
      <c r="M493" s="61" t="str">
        <f>IFERROR(__xludf.DUMMYFUNCTION("INDIRECT(""'收支紀錄'!M""&amp;TO_TEXT(ROW()-$C$72))"),"")</f>
        <v/>
      </c>
      <c r="N493" s="61" t="str">
        <f>IFERROR(__xludf.DUMMYFUNCTION("INDIRECT(""'收支紀錄'!N""&amp;TO_TEXT(ROW()-$C$72))"),"")</f>
        <v/>
      </c>
      <c r="O493" s="61" t="str">
        <f>IFERROR(__xludf.DUMMYFUNCTION("INDIRECT(""'收支紀錄'!O""&amp;TO_TEXT(ROW()-$C$72))"),"")</f>
        <v/>
      </c>
      <c r="P493" s="61" t="str">
        <f>IFERROR(__xludf.DUMMYFUNCTION("INDIRECT(""'收支紀錄'!P""&amp;TO_TEXT(ROW()-$C$72))"),"")</f>
        <v/>
      </c>
      <c r="Q493" s="61" t="str">
        <f>IFERROR(__xludf.DUMMYFUNCTION("INDIRECT(""'收支紀錄'!Q""&amp;TO_TEXT(ROW()-$C$72))"),"")</f>
        <v/>
      </c>
      <c r="R493" s="61" t="str">
        <f>IFERROR(__xludf.DUMMYFUNCTION("INDIRECT(""'收支紀錄'!R""&amp;TO_TEXT(ROW()-$C$72))"),"")</f>
        <v/>
      </c>
      <c r="S493" s="61" t="str">
        <f>IFERROR(__xludf.DUMMYFUNCTION("INDIRECT(""'收支紀錄'!S""&amp;TO_TEXT(ROW()-$C$72))"),"")</f>
        <v/>
      </c>
      <c r="T493" s="61" t="str">
        <f>IFERROR(__xludf.DUMMYFUNCTION("INDIRECT(""'收支紀錄'!T""&amp;TO_TEXT(ROW()-$C$72))"),"")</f>
        <v/>
      </c>
      <c r="U493" s="62" t="str">
        <f>IFERROR(__xludf.DUMMYFUNCTION("IF(T493=""是"",TEXTJOIN("""", TRUE, ""$"", TO_TEXT(C493), S493),"""")"),"")</f>
        <v/>
      </c>
    </row>
    <row r="494">
      <c r="A494" s="58">
        <f>IFERROR(__xludf.DUMMYFUNCTION("INDIRECT(""'收支紀錄'!A""&amp;TO_TEXT(ROW()-$C$72))"),45631.88022623843)</f>
        <v>45631.88023</v>
      </c>
      <c r="B494" s="59">
        <f>IFERROR(__xludf.DUMMYFUNCTION("IF(ISBLANK(D494), """", IF(ISDATE(D494), D494, IF(D494=""今天"", A494, IF(D494=""昨天 (-1 day)"", A494-1, IF(D494=""前天 (-2 days)"", A494-2, IF(D494=""明天 (+1 day)"", A494+1, DATE(LEFT(D494,4), MID(D494,5,2), RIGHT(D494,2))))))))"),45621.0)</f>
        <v>45621</v>
      </c>
      <c r="C494" s="60">
        <f>IFERROR(__xludf.DUMMYFUNCTION("INDIRECT(""'收支紀錄'!C""&amp;TO_TEXT(ROW()-$C$72))"),388.0)</f>
        <v>388</v>
      </c>
      <c r="D494" s="63">
        <f>IFERROR(__xludf.DUMMYFUNCTION("INDIRECT(""'收支紀錄'!D""&amp;TO_TEXT(ROW()-$C$72))"),2.0241125E7)</f>
        <v>20241125</v>
      </c>
      <c r="E494" s="61" t="str">
        <f>IFERROR(__xludf.DUMMYFUNCTION("INDIRECT(""'收支紀錄'!E""&amp;TO_TEXT(ROW()-$C$72))"),"")</f>
        <v/>
      </c>
      <c r="F494" s="61" t="str">
        <f>IFERROR(__xludf.DUMMYFUNCTION("INDIRECT(""'收支紀錄'!F""&amp;TO_TEXT(ROW()-$C$72))"),"")</f>
        <v/>
      </c>
      <c r="G494" s="61" t="str">
        <f>IFERROR(__xludf.DUMMYFUNCTION("INDIRECT(""'收支紀錄'!G""&amp;TO_TEXT(ROW()-$C$72))"),"")</f>
        <v/>
      </c>
      <c r="H494" s="61" t="str">
        <f>IFERROR(__xludf.DUMMYFUNCTION("INDIRECT(""'收支紀錄'!H""&amp;TO_TEXT(ROW()-$C$72))"),"房屋支出")</f>
        <v>房屋支出</v>
      </c>
      <c r="I494" s="61" t="str">
        <f>IFERROR(__xludf.DUMMYFUNCTION("INDIRECT(""'收支紀錄'!I""&amp;TO_TEXT(ROW()-$C$72))"),"")</f>
        <v/>
      </c>
      <c r="J494" s="61" t="str">
        <f>IFERROR(__xludf.DUMMYFUNCTION("INDIRECT(""'收支紀錄'!J""&amp;TO_TEXT(ROW()-$C$72))"),"")</f>
        <v/>
      </c>
      <c r="K494" s="61" t="str">
        <f>IFERROR(__xludf.DUMMYFUNCTION("INDIRECT(""'收支紀錄'!K""&amp;TO_TEXT(ROW()-$C$72))"),"租屋電費")</f>
        <v>租屋電費</v>
      </c>
      <c r="L494" s="61" t="str">
        <f>IFERROR(__xludf.DUMMYFUNCTION("INDIRECT(""'收支紀錄'!L""&amp;TO_TEXT(ROW()-$C$72))"),"")</f>
        <v/>
      </c>
      <c r="M494" s="61" t="str">
        <f>IFERROR(__xludf.DUMMYFUNCTION("INDIRECT(""'收支紀錄'!M""&amp;TO_TEXT(ROW()-$C$72))"),"")</f>
        <v/>
      </c>
      <c r="N494" s="61" t="str">
        <f>IFERROR(__xludf.DUMMYFUNCTION("INDIRECT(""'收支紀錄'!N""&amp;TO_TEXT(ROW()-$C$72))"),"")</f>
        <v/>
      </c>
      <c r="O494" s="61" t="str">
        <f>IFERROR(__xludf.DUMMYFUNCTION("INDIRECT(""'收支紀錄'!O""&amp;TO_TEXT(ROW()-$C$72))"),"")</f>
        <v/>
      </c>
      <c r="P494" s="61" t="str">
        <f>IFERROR(__xludf.DUMMYFUNCTION("INDIRECT(""'收支紀錄'!P""&amp;TO_TEXT(ROW()-$C$72))"),"")</f>
        <v/>
      </c>
      <c r="Q494" s="61" t="str">
        <f>IFERROR(__xludf.DUMMYFUNCTION("INDIRECT(""'收支紀錄'!Q""&amp;TO_TEXT(ROW()-$C$72))"),"")</f>
        <v/>
      </c>
      <c r="R494" s="61" t="str">
        <f>IFERROR(__xludf.DUMMYFUNCTION("INDIRECT(""'收支紀錄'!R""&amp;TO_TEXT(ROW()-$C$72))"),"")</f>
        <v/>
      </c>
      <c r="S494" s="61" t="str">
        <f>IFERROR(__xludf.DUMMYFUNCTION("INDIRECT(""'收支紀錄'!S""&amp;TO_TEXT(ROW()-$C$72))"),"")</f>
        <v/>
      </c>
      <c r="T494" s="61" t="str">
        <f>IFERROR(__xludf.DUMMYFUNCTION("INDIRECT(""'收支紀錄'!T""&amp;TO_TEXT(ROW()-$C$72))"),"")</f>
        <v/>
      </c>
      <c r="U494" s="62" t="str">
        <f>IFERROR(__xludf.DUMMYFUNCTION("IF(T494=""是"",TEXTJOIN("""", TRUE, ""$"", TO_TEXT(C494), S494),"""")"),"")</f>
        <v/>
      </c>
    </row>
    <row r="495">
      <c r="A495" s="58">
        <f>IFERROR(__xludf.DUMMYFUNCTION("INDIRECT(""'收支紀錄'!A""&amp;TO_TEXT(ROW()-$C$72))"),45632.04137658565)</f>
        <v>45632.04138</v>
      </c>
      <c r="B495" s="59">
        <f>IFERROR(__xludf.DUMMYFUNCTION("IF(ISBLANK(D495), """", IF(ISDATE(D495), D495, IF(D495=""今天"", A495, IF(D495=""昨天 (-1 day)"", A495-1, IF(D495=""前天 (-2 days)"", A495-2, IF(D495=""明天 (+1 day)"", A495+1, DATE(LEFT(D495,4), MID(D495,5,2), RIGHT(D495,2))))))))"),45632.04137658565)</f>
        <v>45632.04138</v>
      </c>
      <c r="C495" s="60">
        <f>IFERROR(__xludf.DUMMYFUNCTION("INDIRECT(""'收支紀錄'!C""&amp;TO_TEXT(ROW()-$C$72))"),4000.0)</f>
        <v>4000</v>
      </c>
      <c r="D495" s="63" t="str">
        <f>IFERROR(__xludf.DUMMYFUNCTION("INDIRECT(""'收支紀錄'!D""&amp;TO_TEXT(ROW()-$C$72))"),"今天")</f>
        <v>今天</v>
      </c>
      <c r="E495" s="61" t="str">
        <f>IFERROR(__xludf.DUMMYFUNCTION("INDIRECT(""'收支紀錄'!E""&amp;TO_TEXT(ROW()-$C$72))"),"")</f>
        <v/>
      </c>
      <c r="F495" s="61" t="str">
        <f>IFERROR(__xludf.DUMMYFUNCTION("INDIRECT(""'收支紀錄'!F""&amp;TO_TEXT(ROW()-$C$72))"),"")</f>
        <v/>
      </c>
      <c r="G495" s="61" t="str">
        <f>IFERROR(__xludf.DUMMYFUNCTION("INDIRECT(""'收支紀錄'!G""&amp;TO_TEXT(ROW()-$C$72))"),"")</f>
        <v/>
      </c>
      <c r="H495" s="61" t="str">
        <f>IFERROR(__xludf.DUMMYFUNCTION("INDIRECT(""'收支紀錄'!H""&amp;TO_TEXT(ROW()-$C$72))"),"人情往來")</f>
        <v>人情往來</v>
      </c>
      <c r="I495" s="61" t="str">
        <f>IFERROR(__xludf.DUMMYFUNCTION("INDIRECT(""'收支紀錄'!I""&amp;TO_TEXT(ROW()-$C$72))"),"")</f>
        <v/>
      </c>
      <c r="J495" s="61" t="str">
        <f>IFERROR(__xludf.DUMMYFUNCTION("INDIRECT(""'收支紀錄'!J""&amp;TO_TEXT(ROW()-$C$72))"),"")</f>
        <v/>
      </c>
      <c r="K495" s="61" t="str">
        <f>IFERROR(__xludf.DUMMYFUNCTION("INDIRECT(""'收支紀錄'!K""&amp;TO_TEXT(ROW()-$C$72))"),"")</f>
        <v/>
      </c>
      <c r="L495" s="61" t="str">
        <f>IFERROR(__xludf.DUMMYFUNCTION("INDIRECT(""'收支紀錄'!L""&amp;TO_TEXT(ROW()-$C$72))"),"")</f>
        <v/>
      </c>
      <c r="M495" s="61" t="str">
        <f>IFERROR(__xludf.DUMMYFUNCTION("INDIRECT(""'收支紀錄'!M""&amp;TO_TEXT(ROW()-$C$72))"),"")</f>
        <v/>
      </c>
      <c r="N495" s="61" t="str">
        <f>IFERROR(__xludf.DUMMYFUNCTION("INDIRECT(""'收支紀錄'!N""&amp;TO_TEXT(ROW()-$C$72))"),"")</f>
        <v/>
      </c>
      <c r="O495" s="61" t="str">
        <f>IFERROR(__xludf.DUMMYFUNCTION("INDIRECT(""'收支紀錄'!O""&amp;TO_TEXT(ROW()-$C$72))"),"")</f>
        <v/>
      </c>
      <c r="P495" s="61" t="str">
        <f>IFERROR(__xludf.DUMMYFUNCTION("INDIRECT(""'收支紀錄'!P""&amp;TO_TEXT(ROW()-$C$72))"),"")</f>
        <v/>
      </c>
      <c r="Q495" s="61" t="str">
        <f>IFERROR(__xludf.DUMMYFUNCTION("INDIRECT(""'收支紀錄'!Q""&amp;TO_TEXT(ROW()-$C$72))"),"慈善捐款")</f>
        <v>慈善捐款</v>
      </c>
      <c r="R495" s="61" t="str">
        <f>IFERROR(__xludf.DUMMYFUNCTION("INDIRECT(""'收支紀錄'!R""&amp;TO_TEXT(ROW()-$C$72))"),"")</f>
        <v/>
      </c>
      <c r="S495" s="61" t="str">
        <f>IFERROR(__xludf.DUMMYFUNCTION("INDIRECT(""'收支紀錄'!S""&amp;TO_TEXT(ROW()-$C$72))"),"")</f>
        <v/>
      </c>
      <c r="T495" s="61" t="str">
        <f>IFERROR(__xludf.DUMMYFUNCTION("INDIRECT(""'收支紀錄'!T""&amp;TO_TEXT(ROW()-$C$72))"),"")</f>
        <v/>
      </c>
      <c r="U495" s="62" t="str">
        <f>IFERROR(__xludf.DUMMYFUNCTION("IF(T495=""是"",TEXTJOIN("""", TRUE, ""$"", TO_TEXT(C495), S495),"""")"),"")</f>
        <v/>
      </c>
    </row>
    <row r="496">
      <c r="A496" s="58">
        <f>IFERROR(__xludf.DUMMYFUNCTION("INDIRECT(""'收支紀錄'!A""&amp;TO_TEXT(ROW()-$C$72))"),45632.835904444444)</f>
        <v>45632.8359</v>
      </c>
      <c r="B496" s="59">
        <f>IFERROR(__xludf.DUMMYFUNCTION("IF(ISBLANK(D496), """", IF(ISDATE(D496), D496, IF(D496=""今天"", A496, IF(D496=""昨天 (-1 day)"", A496-1, IF(D496=""前天 (-2 days)"", A496-2, IF(D496=""明天 (+1 day)"", A496+1, DATE(LEFT(D496,4), MID(D496,5,2), RIGHT(D496,2))))))))"),45632.835904444444)</f>
        <v>45632.8359</v>
      </c>
      <c r="C496" s="60">
        <f>IFERROR(__xludf.DUMMYFUNCTION("INDIRECT(""'收支紀錄'!C""&amp;TO_TEXT(ROW()-$C$72))"),16.0)</f>
        <v>16</v>
      </c>
      <c r="D496" s="63" t="str">
        <f>IFERROR(__xludf.DUMMYFUNCTION("INDIRECT(""'收支紀錄'!D""&amp;TO_TEXT(ROW()-$C$72))"),"今天")</f>
        <v>今天</v>
      </c>
      <c r="E496" s="61" t="str">
        <f>IFERROR(__xludf.DUMMYFUNCTION("INDIRECT(""'收支紀錄'!E""&amp;TO_TEXT(ROW()-$C$72))"),"")</f>
        <v/>
      </c>
      <c r="F496" s="61" t="str">
        <f>IFERROR(__xludf.DUMMYFUNCTION("INDIRECT(""'收支紀錄'!F""&amp;TO_TEXT(ROW()-$C$72))"),"")</f>
        <v/>
      </c>
      <c r="G496" s="61" t="str">
        <f>IFERROR(__xludf.DUMMYFUNCTION("INDIRECT(""'收支紀錄'!G""&amp;TO_TEXT(ROW()-$C$72))"),"")</f>
        <v/>
      </c>
      <c r="H496" s="61" t="str">
        <f>IFERROR(__xludf.DUMMYFUNCTION("INDIRECT(""'收支紀錄'!H""&amp;TO_TEXT(ROW()-$C$72))"),"行車交通")</f>
        <v>行車交通</v>
      </c>
      <c r="I496" s="61" t="str">
        <f>IFERROR(__xludf.DUMMYFUNCTION("INDIRECT(""'收支紀錄'!I""&amp;TO_TEXT(ROW()-$C$72))"),"")</f>
        <v/>
      </c>
      <c r="J496" s="61" t="str">
        <f>IFERROR(__xludf.DUMMYFUNCTION("INDIRECT(""'收支紀錄'!J""&amp;TO_TEXT(ROW()-$C$72))"),"")</f>
        <v/>
      </c>
      <c r="K496" s="61" t="str">
        <f>IFERROR(__xludf.DUMMYFUNCTION("INDIRECT(""'收支紀錄'!K""&amp;TO_TEXT(ROW()-$C$72))"),"")</f>
        <v/>
      </c>
      <c r="L496" s="61" t="str">
        <f>IFERROR(__xludf.DUMMYFUNCTION("INDIRECT(""'收支紀錄'!L""&amp;TO_TEXT(ROW()-$C$72))"),"火車費")</f>
        <v>火車費</v>
      </c>
      <c r="M496" s="61" t="str">
        <f>IFERROR(__xludf.DUMMYFUNCTION("INDIRECT(""'收支紀錄'!M""&amp;TO_TEXT(ROW()-$C$72))"),"")</f>
        <v/>
      </c>
      <c r="N496" s="61" t="str">
        <f>IFERROR(__xludf.DUMMYFUNCTION("INDIRECT(""'收支紀錄'!N""&amp;TO_TEXT(ROW()-$C$72))"),"")</f>
        <v/>
      </c>
      <c r="O496" s="61" t="str">
        <f>IFERROR(__xludf.DUMMYFUNCTION("INDIRECT(""'收支紀錄'!O""&amp;TO_TEXT(ROW()-$C$72))"),"")</f>
        <v/>
      </c>
      <c r="P496" s="61" t="str">
        <f>IFERROR(__xludf.DUMMYFUNCTION("INDIRECT(""'收支紀錄'!P""&amp;TO_TEXT(ROW()-$C$72))"),"")</f>
        <v/>
      </c>
      <c r="Q496" s="61" t="str">
        <f>IFERROR(__xludf.DUMMYFUNCTION("INDIRECT(""'收支紀錄'!Q""&amp;TO_TEXT(ROW()-$C$72))"),"")</f>
        <v/>
      </c>
      <c r="R496" s="61" t="str">
        <f>IFERROR(__xludf.DUMMYFUNCTION("INDIRECT(""'收支紀錄'!R""&amp;TO_TEXT(ROW()-$C$72))"),"")</f>
        <v/>
      </c>
      <c r="S496" s="61" t="str">
        <f>IFERROR(__xludf.DUMMYFUNCTION("INDIRECT(""'收支紀錄'!S""&amp;TO_TEXT(ROW()-$C$72))"),"")</f>
        <v/>
      </c>
      <c r="T496" s="61" t="str">
        <f>IFERROR(__xludf.DUMMYFUNCTION("INDIRECT(""'收支紀錄'!T""&amp;TO_TEXT(ROW()-$C$72))"),"")</f>
        <v/>
      </c>
      <c r="U496" s="62" t="str">
        <f>IFERROR(__xludf.DUMMYFUNCTION("IF(T496=""是"",TEXTJOIN("""", TRUE, ""$"", TO_TEXT(C496), S496),"""")"),"")</f>
        <v/>
      </c>
    </row>
    <row r="497">
      <c r="A497" s="58">
        <f>IFERROR(__xludf.DUMMYFUNCTION("INDIRECT(""'收支紀錄'!A""&amp;TO_TEXT(ROW()-$C$72))"),45632.83612835648)</f>
        <v>45632.83613</v>
      </c>
      <c r="B497" s="59">
        <f>IFERROR(__xludf.DUMMYFUNCTION("IF(ISBLANK(D497), """", IF(ISDATE(D497), D497, IF(D497=""今天"", A497, IF(D497=""昨天 (-1 day)"", A497-1, IF(D497=""前天 (-2 days)"", A497-2, IF(D497=""明天 (+1 day)"", A497+1, DATE(LEFT(D497,4), MID(D497,5,2), RIGHT(D497,2))))))))"),45632.83612835648)</f>
        <v>45632.83613</v>
      </c>
      <c r="C497" s="60">
        <f>IFERROR(__xludf.DUMMYFUNCTION("INDIRECT(""'收支紀錄'!C""&amp;TO_TEXT(ROW()-$C$72))"),1025.0)</f>
        <v>1025</v>
      </c>
      <c r="D497" s="63" t="str">
        <f>IFERROR(__xludf.DUMMYFUNCTION("INDIRECT(""'收支紀錄'!D""&amp;TO_TEXT(ROW()-$C$72))"),"今天")</f>
        <v>今天</v>
      </c>
      <c r="E497" s="61" t="str">
        <f>IFERROR(__xludf.DUMMYFUNCTION("INDIRECT(""'收支紀錄'!E""&amp;TO_TEXT(ROW()-$C$72))"),"")</f>
        <v/>
      </c>
      <c r="F497" s="61" t="str">
        <f>IFERROR(__xludf.DUMMYFUNCTION("INDIRECT(""'收支紀錄'!F""&amp;TO_TEXT(ROW()-$C$72))"),"")</f>
        <v/>
      </c>
      <c r="G497" s="61" t="str">
        <f>IFERROR(__xludf.DUMMYFUNCTION("INDIRECT(""'收支紀錄'!G""&amp;TO_TEXT(ROW()-$C$72))"),"")</f>
        <v/>
      </c>
      <c r="H497" s="61" t="str">
        <f>IFERROR(__xludf.DUMMYFUNCTION("INDIRECT(""'收支紀錄'!H""&amp;TO_TEXT(ROW()-$C$72))"),"行車交通")</f>
        <v>行車交通</v>
      </c>
      <c r="I497" s="61" t="str">
        <f>IFERROR(__xludf.DUMMYFUNCTION("INDIRECT(""'收支紀錄'!I""&amp;TO_TEXT(ROW()-$C$72))"),"")</f>
        <v/>
      </c>
      <c r="J497" s="61" t="str">
        <f>IFERROR(__xludf.DUMMYFUNCTION("INDIRECT(""'收支紀錄'!J""&amp;TO_TEXT(ROW()-$C$72))"),"")</f>
        <v/>
      </c>
      <c r="K497" s="61" t="str">
        <f>IFERROR(__xludf.DUMMYFUNCTION("INDIRECT(""'收支紀錄'!K""&amp;TO_TEXT(ROW()-$C$72))"),"")</f>
        <v/>
      </c>
      <c r="L497" s="61" t="str">
        <f>IFERROR(__xludf.DUMMYFUNCTION("INDIRECT(""'收支紀錄'!L""&amp;TO_TEXT(ROW()-$C$72))"),"高鐵")</f>
        <v>高鐵</v>
      </c>
      <c r="M497" s="61" t="str">
        <f>IFERROR(__xludf.DUMMYFUNCTION("INDIRECT(""'收支紀錄'!M""&amp;TO_TEXT(ROW()-$C$72))"),"")</f>
        <v/>
      </c>
      <c r="N497" s="61" t="str">
        <f>IFERROR(__xludf.DUMMYFUNCTION("INDIRECT(""'收支紀錄'!N""&amp;TO_TEXT(ROW()-$C$72))"),"")</f>
        <v/>
      </c>
      <c r="O497" s="61" t="str">
        <f>IFERROR(__xludf.DUMMYFUNCTION("INDIRECT(""'收支紀錄'!O""&amp;TO_TEXT(ROW()-$C$72))"),"")</f>
        <v/>
      </c>
      <c r="P497" s="61" t="str">
        <f>IFERROR(__xludf.DUMMYFUNCTION("INDIRECT(""'收支紀錄'!P""&amp;TO_TEXT(ROW()-$C$72))"),"")</f>
        <v/>
      </c>
      <c r="Q497" s="61" t="str">
        <f>IFERROR(__xludf.DUMMYFUNCTION("INDIRECT(""'收支紀錄'!Q""&amp;TO_TEXT(ROW()-$C$72))"),"")</f>
        <v/>
      </c>
      <c r="R497" s="61" t="str">
        <f>IFERROR(__xludf.DUMMYFUNCTION("INDIRECT(""'收支紀錄'!R""&amp;TO_TEXT(ROW()-$C$72))"),"")</f>
        <v/>
      </c>
      <c r="S497" s="61" t="str">
        <f>IFERROR(__xludf.DUMMYFUNCTION("INDIRECT(""'收支紀錄'!S""&amp;TO_TEXT(ROW()-$C$72))"),"")</f>
        <v/>
      </c>
      <c r="T497" s="61" t="str">
        <f>IFERROR(__xludf.DUMMYFUNCTION("INDIRECT(""'收支紀錄'!T""&amp;TO_TEXT(ROW()-$C$72))"),"")</f>
        <v/>
      </c>
      <c r="U497" s="62" t="str">
        <f>IFERROR(__xludf.DUMMYFUNCTION("IF(T497=""是"",TEXTJOIN("""", TRUE, ""$"", TO_TEXT(C497), S497),"""")"),"")</f>
        <v/>
      </c>
    </row>
    <row r="498">
      <c r="A498" s="58">
        <f>IFERROR(__xludf.DUMMYFUNCTION("INDIRECT(""'收支紀錄'!A""&amp;TO_TEXT(ROW()-$C$72))"),45632.83631157408)</f>
        <v>45632.83631</v>
      </c>
      <c r="B498" s="59">
        <f>IFERROR(__xludf.DUMMYFUNCTION("IF(ISBLANK(D498), """", IF(ISDATE(D498), D498, IF(D498=""今天"", A498, IF(D498=""昨天 (-1 day)"", A498-1, IF(D498=""前天 (-2 days)"", A498-2, IF(D498=""明天 (+1 day)"", A498+1, DATE(LEFT(D498,4), MID(D498,5,2), RIGHT(D498,2))))))))"),45632.83631157408)</f>
        <v>45632.83631</v>
      </c>
      <c r="C498" s="60">
        <f>IFERROR(__xludf.DUMMYFUNCTION("INDIRECT(""'收支紀錄'!C""&amp;TO_TEXT(ROW()-$C$72))"),35.0)</f>
        <v>35</v>
      </c>
      <c r="D498" s="63" t="str">
        <f>IFERROR(__xludf.DUMMYFUNCTION("INDIRECT(""'收支紀錄'!D""&amp;TO_TEXT(ROW()-$C$72))"),"今天")</f>
        <v>今天</v>
      </c>
      <c r="E498" s="61" t="str">
        <f>IFERROR(__xludf.DUMMYFUNCTION("INDIRECT(""'收支紀錄'!E""&amp;TO_TEXT(ROW()-$C$72))"),"")</f>
        <v/>
      </c>
      <c r="F498" s="61" t="str">
        <f>IFERROR(__xludf.DUMMYFUNCTION("INDIRECT(""'收支紀錄'!F""&amp;TO_TEXT(ROW()-$C$72))"),"")</f>
        <v/>
      </c>
      <c r="G498" s="61" t="str">
        <f>IFERROR(__xludf.DUMMYFUNCTION("INDIRECT(""'收支紀錄'!G""&amp;TO_TEXT(ROW()-$C$72))"),"")</f>
        <v/>
      </c>
      <c r="H498" s="61" t="str">
        <f>IFERROR(__xludf.DUMMYFUNCTION("INDIRECT(""'收支紀錄'!H""&amp;TO_TEXT(ROW()-$C$72))"),"行車交通")</f>
        <v>行車交通</v>
      </c>
      <c r="I498" s="61" t="str">
        <f>IFERROR(__xludf.DUMMYFUNCTION("INDIRECT(""'收支紀錄'!I""&amp;TO_TEXT(ROW()-$C$72))"),"")</f>
        <v/>
      </c>
      <c r="J498" s="61" t="str">
        <f>IFERROR(__xludf.DUMMYFUNCTION("INDIRECT(""'收支紀錄'!J""&amp;TO_TEXT(ROW()-$C$72))"),"")</f>
        <v/>
      </c>
      <c r="K498" s="61" t="str">
        <f>IFERROR(__xludf.DUMMYFUNCTION("INDIRECT(""'收支紀錄'!K""&amp;TO_TEXT(ROW()-$C$72))"),"")</f>
        <v/>
      </c>
      <c r="L498" s="61" t="str">
        <f>IFERROR(__xludf.DUMMYFUNCTION("INDIRECT(""'收支紀錄'!L""&amp;TO_TEXT(ROW()-$C$72))"),"捷運費")</f>
        <v>捷運費</v>
      </c>
      <c r="M498" s="61" t="str">
        <f>IFERROR(__xludf.DUMMYFUNCTION("INDIRECT(""'收支紀錄'!M""&amp;TO_TEXT(ROW()-$C$72))"),"")</f>
        <v/>
      </c>
      <c r="N498" s="61" t="str">
        <f>IFERROR(__xludf.DUMMYFUNCTION("INDIRECT(""'收支紀錄'!N""&amp;TO_TEXT(ROW()-$C$72))"),"")</f>
        <v/>
      </c>
      <c r="O498" s="61" t="str">
        <f>IFERROR(__xludf.DUMMYFUNCTION("INDIRECT(""'收支紀錄'!O""&amp;TO_TEXT(ROW()-$C$72))"),"")</f>
        <v/>
      </c>
      <c r="P498" s="61" t="str">
        <f>IFERROR(__xludf.DUMMYFUNCTION("INDIRECT(""'收支紀錄'!P""&amp;TO_TEXT(ROW()-$C$72))"),"")</f>
        <v/>
      </c>
      <c r="Q498" s="61" t="str">
        <f>IFERROR(__xludf.DUMMYFUNCTION("INDIRECT(""'收支紀錄'!Q""&amp;TO_TEXT(ROW()-$C$72))"),"")</f>
        <v/>
      </c>
      <c r="R498" s="61" t="str">
        <f>IFERROR(__xludf.DUMMYFUNCTION("INDIRECT(""'收支紀錄'!R""&amp;TO_TEXT(ROW()-$C$72))"),"")</f>
        <v/>
      </c>
      <c r="S498" s="61" t="str">
        <f>IFERROR(__xludf.DUMMYFUNCTION("INDIRECT(""'收支紀錄'!S""&amp;TO_TEXT(ROW()-$C$72))"),"")</f>
        <v/>
      </c>
      <c r="T498" s="61" t="str">
        <f>IFERROR(__xludf.DUMMYFUNCTION("INDIRECT(""'收支紀錄'!T""&amp;TO_TEXT(ROW()-$C$72))"),"")</f>
        <v/>
      </c>
      <c r="U498" s="62" t="str">
        <f>IFERROR(__xludf.DUMMYFUNCTION("IF(T498=""是"",TEXTJOIN("""", TRUE, ""$"", TO_TEXT(C498), S498),"""")"),"")</f>
        <v/>
      </c>
    </row>
    <row r="499">
      <c r="A499" s="58">
        <f>IFERROR(__xludf.DUMMYFUNCTION("INDIRECT(""'收支紀錄'!A""&amp;TO_TEXT(ROW()-$C$72))"),45632.849806377315)</f>
        <v>45632.84981</v>
      </c>
      <c r="B499" s="59">
        <f>IFERROR(__xludf.DUMMYFUNCTION("IF(ISBLANK(D499), """", IF(ISDATE(D499), D499, IF(D499=""今天"", A499, IF(D499=""昨天 (-1 day)"", A499-1, IF(D499=""前天 (-2 days)"", A499-2, IF(D499=""明天 (+1 day)"", A499+1, DATE(LEFT(D499,4), MID(D499,5,2), RIGHT(D499,2))))))))"),45632.849806377315)</f>
        <v>45632.84981</v>
      </c>
      <c r="C499" s="60">
        <f>IFERROR(__xludf.DUMMYFUNCTION("INDIRECT(""'收支紀錄'!C""&amp;TO_TEXT(ROW()-$C$72))"),4000.0)</f>
        <v>4000</v>
      </c>
      <c r="D499" s="63" t="str">
        <f>IFERROR(__xludf.DUMMYFUNCTION("INDIRECT(""'收支紀錄'!D""&amp;TO_TEXT(ROW()-$C$72))"),"今天")</f>
        <v>今天</v>
      </c>
      <c r="E499" s="61" t="str">
        <f>IFERROR(__xludf.DUMMYFUNCTION("INDIRECT(""'收支紀錄'!E""&amp;TO_TEXT(ROW()-$C$72))"),"其他業外")</f>
        <v>其他業外</v>
      </c>
      <c r="F499" s="61" t="str">
        <f>IFERROR(__xludf.DUMMYFUNCTION("INDIRECT(""'收支紀錄'!F""&amp;TO_TEXT(ROW()-$C$72))"),"")</f>
        <v/>
      </c>
      <c r="G499" s="61" t="str">
        <f>IFERROR(__xludf.DUMMYFUNCTION("INDIRECT(""'收支紀錄'!G""&amp;TO_TEXT(ROW()-$C$72))"),"發票/彩券/中獎")</f>
        <v>發票/彩券/中獎</v>
      </c>
      <c r="H499" s="61" t="str">
        <f>IFERROR(__xludf.DUMMYFUNCTION("INDIRECT(""'收支紀錄'!H""&amp;TO_TEXT(ROW()-$C$72))"),"")</f>
        <v/>
      </c>
      <c r="I499" s="61" t="str">
        <f>IFERROR(__xludf.DUMMYFUNCTION("INDIRECT(""'收支紀錄'!I""&amp;TO_TEXT(ROW()-$C$72))"),"")</f>
        <v/>
      </c>
      <c r="J499" s="61" t="str">
        <f>IFERROR(__xludf.DUMMYFUNCTION("INDIRECT(""'收支紀錄'!J""&amp;TO_TEXT(ROW()-$C$72))"),"")</f>
        <v/>
      </c>
      <c r="K499" s="61" t="str">
        <f>IFERROR(__xludf.DUMMYFUNCTION("INDIRECT(""'收支紀錄'!K""&amp;TO_TEXT(ROW()-$C$72))"),"")</f>
        <v/>
      </c>
      <c r="L499" s="61" t="str">
        <f>IFERROR(__xludf.DUMMYFUNCTION("INDIRECT(""'收支紀錄'!L""&amp;TO_TEXT(ROW()-$C$72))"),"")</f>
        <v/>
      </c>
      <c r="M499" s="61" t="str">
        <f>IFERROR(__xludf.DUMMYFUNCTION("INDIRECT(""'收支紀錄'!M""&amp;TO_TEXT(ROW()-$C$72))"),"")</f>
        <v/>
      </c>
      <c r="N499" s="61" t="str">
        <f>IFERROR(__xludf.DUMMYFUNCTION("INDIRECT(""'收支紀錄'!N""&amp;TO_TEXT(ROW()-$C$72))"),"")</f>
        <v/>
      </c>
      <c r="O499" s="61" t="str">
        <f>IFERROR(__xludf.DUMMYFUNCTION("INDIRECT(""'收支紀錄'!O""&amp;TO_TEXT(ROW()-$C$72))"),"")</f>
        <v/>
      </c>
      <c r="P499" s="61" t="str">
        <f>IFERROR(__xludf.DUMMYFUNCTION("INDIRECT(""'收支紀錄'!P""&amp;TO_TEXT(ROW()-$C$72))"),"")</f>
        <v/>
      </c>
      <c r="Q499" s="61" t="str">
        <f>IFERROR(__xludf.DUMMYFUNCTION("INDIRECT(""'收支紀錄'!Q""&amp;TO_TEXT(ROW()-$C$72))"),"")</f>
        <v/>
      </c>
      <c r="R499" s="61" t="str">
        <f>IFERROR(__xludf.DUMMYFUNCTION("INDIRECT(""'收支紀錄'!R""&amp;TO_TEXT(ROW()-$C$72))"),"")</f>
        <v/>
      </c>
      <c r="S499" s="61" t="str">
        <f>IFERROR(__xludf.DUMMYFUNCTION("INDIRECT(""'收支紀錄'!S""&amp;TO_TEXT(ROW()-$C$72))"),"發票中獎")</f>
        <v>發票中獎</v>
      </c>
      <c r="T499" s="61" t="str">
        <f>IFERROR(__xludf.DUMMYFUNCTION("INDIRECT(""'收支紀錄'!T""&amp;TO_TEXT(ROW()-$C$72))"),"是")</f>
        <v>是</v>
      </c>
      <c r="U499" s="62" t="str">
        <f>IFERROR(__xludf.DUMMYFUNCTION("IF(T499=""是"",TEXTJOIN("""", TRUE, ""$"", TO_TEXT(C499), S499),"""")"),"$4000發票中獎")</f>
        <v>$4000發票中獎</v>
      </c>
    </row>
    <row r="500">
      <c r="A500" s="58">
        <f>IFERROR(__xludf.DUMMYFUNCTION("INDIRECT(""'收支紀錄'!A""&amp;TO_TEXT(ROW()-$C$72))"),45633.01841359954)</f>
        <v>45633.01841</v>
      </c>
      <c r="B500" s="59">
        <f>IFERROR(__xludf.DUMMYFUNCTION("IF(ISBLANK(D500), """", IF(ISDATE(D500), D500, IF(D500=""今天"", A500, IF(D500=""昨天 (-1 day)"", A500-1, IF(D500=""前天 (-2 days)"", A500-2, IF(D500=""明天 (+1 day)"", A500+1, DATE(LEFT(D500,4), MID(D500,5,2), RIGHT(D500,2))))))))"),45633.01841359954)</f>
        <v>45633.01841</v>
      </c>
      <c r="C500" s="60">
        <f>IFERROR(__xludf.DUMMYFUNCTION("INDIRECT(""'收支紀錄'!C""&amp;TO_TEXT(ROW()-$C$72))"),955.0)</f>
        <v>955</v>
      </c>
      <c r="D500" s="63" t="str">
        <f>IFERROR(__xludf.DUMMYFUNCTION("INDIRECT(""'收支紀錄'!D""&amp;TO_TEXT(ROW()-$C$72))"),"今天")</f>
        <v>今天</v>
      </c>
      <c r="E500" s="61" t="str">
        <f>IFERROR(__xludf.DUMMYFUNCTION("INDIRECT(""'收支紀錄'!E""&amp;TO_TEXT(ROW()-$C$72))"),"")</f>
        <v/>
      </c>
      <c r="F500" s="61" t="str">
        <f>IFERROR(__xludf.DUMMYFUNCTION("INDIRECT(""'收支紀錄'!F""&amp;TO_TEXT(ROW()-$C$72))"),"")</f>
        <v/>
      </c>
      <c r="G500" s="61" t="str">
        <f>IFERROR(__xludf.DUMMYFUNCTION("INDIRECT(""'收支紀錄'!G""&amp;TO_TEXT(ROW()-$C$72))"),"")</f>
        <v/>
      </c>
      <c r="H500" s="61" t="str">
        <f>IFERROR(__xludf.DUMMYFUNCTION("INDIRECT(""'收支紀錄'!H""&amp;TO_TEXT(ROW()-$C$72))"),"休閒娛樂")</f>
        <v>休閒娛樂</v>
      </c>
      <c r="I500" s="61" t="str">
        <f>IFERROR(__xludf.DUMMYFUNCTION("INDIRECT(""'收支紀錄'!I""&amp;TO_TEXT(ROW()-$C$72))"),"")</f>
        <v/>
      </c>
      <c r="J500" s="61" t="str">
        <f>IFERROR(__xludf.DUMMYFUNCTION("INDIRECT(""'收支紀錄'!J""&amp;TO_TEXT(ROW()-$C$72))"),"")</f>
        <v/>
      </c>
      <c r="K500" s="61" t="str">
        <f>IFERROR(__xludf.DUMMYFUNCTION("INDIRECT(""'收支紀錄'!K""&amp;TO_TEXT(ROW()-$C$72))"),"")</f>
        <v/>
      </c>
      <c r="L500" s="61" t="str">
        <f>IFERROR(__xludf.DUMMYFUNCTION("INDIRECT(""'收支紀錄'!L""&amp;TO_TEXT(ROW()-$C$72))"),"")</f>
        <v/>
      </c>
      <c r="M500" s="61" t="str">
        <f>IFERROR(__xludf.DUMMYFUNCTION("INDIRECT(""'收支紀錄'!M""&amp;TO_TEXT(ROW()-$C$72))"),"休閒玩樂")</f>
        <v>休閒玩樂</v>
      </c>
      <c r="N500" s="61" t="str">
        <f>IFERROR(__xludf.DUMMYFUNCTION("INDIRECT(""'收支紀錄'!N""&amp;TO_TEXT(ROW()-$C$72))"),"")</f>
        <v/>
      </c>
      <c r="O500" s="61" t="str">
        <f>IFERROR(__xludf.DUMMYFUNCTION("INDIRECT(""'收支紀錄'!O""&amp;TO_TEXT(ROW()-$C$72))"),"")</f>
        <v/>
      </c>
      <c r="P500" s="61" t="str">
        <f>IFERROR(__xludf.DUMMYFUNCTION("INDIRECT(""'收支紀錄'!P""&amp;TO_TEXT(ROW()-$C$72))"),"")</f>
        <v/>
      </c>
      <c r="Q500" s="61" t="str">
        <f>IFERROR(__xludf.DUMMYFUNCTION("INDIRECT(""'收支紀錄'!Q""&amp;TO_TEXT(ROW()-$C$72))"),"")</f>
        <v/>
      </c>
      <c r="R500" s="61" t="str">
        <f>IFERROR(__xludf.DUMMYFUNCTION("INDIRECT(""'收支紀錄'!R""&amp;TO_TEXT(ROW()-$C$72))"),"")</f>
        <v/>
      </c>
      <c r="S500" s="61" t="str">
        <f>IFERROR(__xludf.DUMMYFUNCTION("INDIRECT(""'收支紀錄'!S""&amp;TO_TEXT(ROW()-$C$72))"),"寶youtube premium 一年份給蓋")</f>
        <v>寶youtube premium 一年份給蓋</v>
      </c>
      <c r="T500" s="61" t="str">
        <f>IFERROR(__xludf.DUMMYFUNCTION("INDIRECT(""'收支紀錄'!T""&amp;TO_TEXT(ROW()-$C$72))"),"")</f>
        <v/>
      </c>
      <c r="U500" s="62" t="str">
        <f>IFERROR(__xludf.DUMMYFUNCTION("IF(T500=""是"",TEXTJOIN("""", TRUE, ""$"", TO_TEXT(C500), S500),"""")"),"")</f>
        <v/>
      </c>
    </row>
    <row r="501">
      <c r="A501" s="58">
        <f>IFERROR(__xludf.DUMMYFUNCTION("INDIRECT(""'收支紀錄'!A""&amp;TO_TEXT(ROW()-$C$72))"),45633.38356913194)</f>
        <v>45633.38357</v>
      </c>
      <c r="B501" s="59">
        <f>IFERROR(__xludf.DUMMYFUNCTION("IF(ISBLANK(D501), """", IF(ISDATE(D501), D501, IF(D501=""今天"", A501, IF(D501=""昨天 (-1 day)"", A501-1, IF(D501=""前天 (-2 days)"", A501-2, IF(D501=""明天 (+1 day)"", A501+1, DATE(LEFT(D501,4), MID(D501,5,2), RIGHT(D501,2))))))))"),45633.38356913194)</f>
        <v>45633.38357</v>
      </c>
      <c r="C501" s="60">
        <f>IFERROR(__xludf.DUMMYFUNCTION("INDIRECT(""'收支紀錄'!C""&amp;TO_TEXT(ROW()-$C$72))"),58.0)</f>
        <v>58</v>
      </c>
      <c r="D501" s="63" t="str">
        <f>IFERROR(__xludf.DUMMYFUNCTION("INDIRECT(""'收支紀錄'!D""&amp;TO_TEXT(ROW()-$C$72))"),"今天")</f>
        <v>今天</v>
      </c>
      <c r="E501" s="61" t="str">
        <f>IFERROR(__xludf.DUMMYFUNCTION("INDIRECT(""'收支紀錄'!E""&amp;TO_TEXT(ROW()-$C$72))"),"")</f>
        <v/>
      </c>
      <c r="F501" s="61" t="str">
        <f>IFERROR(__xludf.DUMMYFUNCTION("INDIRECT(""'收支紀錄'!F""&amp;TO_TEXT(ROW()-$C$72))"),"")</f>
        <v/>
      </c>
      <c r="G501" s="61" t="str">
        <f>IFERROR(__xludf.DUMMYFUNCTION("INDIRECT(""'收支紀錄'!G""&amp;TO_TEXT(ROW()-$C$72))"),"")</f>
        <v/>
      </c>
      <c r="H501" s="61" t="str">
        <f>IFERROR(__xludf.DUMMYFUNCTION("INDIRECT(""'收支紀錄'!H""&amp;TO_TEXT(ROW()-$C$72))"),"食品酒水")</f>
        <v>食品酒水</v>
      </c>
      <c r="I501" s="61" t="str">
        <f>IFERROR(__xludf.DUMMYFUNCTION("INDIRECT(""'收支紀錄'!I""&amp;TO_TEXT(ROW()-$C$72))"),"餐飲票券")</f>
        <v>餐飲票券</v>
      </c>
      <c r="J501" s="61" t="str">
        <f>IFERROR(__xludf.DUMMYFUNCTION("INDIRECT(""'收支紀錄'!J""&amp;TO_TEXT(ROW()-$C$72))"),"")</f>
        <v/>
      </c>
      <c r="K501" s="61" t="str">
        <f>IFERROR(__xludf.DUMMYFUNCTION("INDIRECT(""'收支紀錄'!K""&amp;TO_TEXT(ROW()-$C$72))"),"")</f>
        <v/>
      </c>
      <c r="L501" s="61" t="str">
        <f>IFERROR(__xludf.DUMMYFUNCTION("INDIRECT(""'收支紀錄'!L""&amp;TO_TEXT(ROW()-$C$72))"),"")</f>
        <v/>
      </c>
      <c r="M501" s="61" t="str">
        <f>IFERROR(__xludf.DUMMYFUNCTION("INDIRECT(""'收支紀錄'!M""&amp;TO_TEXT(ROW()-$C$72))"),"")</f>
        <v/>
      </c>
      <c r="N501" s="61" t="str">
        <f>IFERROR(__xludf.DUMMYFUNCTION("INDIRECT(""'收支紀錄'!N""&amp;TO_TEXT(ROW()-$C$72))"),"")</f>
        <v/>
      </c>
      <c r="O501" s="61" t="str">
        <f>IFERROR(__xludf.DUMMYFUNCTION("INDIRECT(""'收支紀錄'!O""&amp;TO_TEXT(ROW()-$C$72))"),"")</f>
        <v/>
      </c>
      <c r="P501" s="61" t="str">
        <f>IFERROR(__xludf.DUMMYFUNCTION("INDIRECT(""'收支紀錄'!P""&amp;TO_TEXT(ROW()-$C$72))"),"")</f>
        <v/>
      </c>
      <c r="Q501" s="61" t="str">
        <f>IFERROR(__xludf.DUMMYFUNCTION("INDIRECT(""'收支紀錄'!Q""&amp;TO_TEXT(ROW()-$C$72))"),"")</f>
        <v/>
      </c>
      <c r="R501" s="61" t="str">
        <f>IFERROR(__xludf.DUMMYFUNCTION("INDIRECT(""'收支紀錄'!R""&amp;TO_TEXT(ROW()-$C$72))"),"")</f>
        <v/>
      </c>
      <c r="S501" s="61" t="str">
        <f>IFERROR(__xludf.DUMMYFUNCTION("INDIRECT(""'收支紀錄'!S""&amp;TO_TEXT(ROW()-$C$72))"),"")</f>
        <v/>
      </c>
      <c r="T501" s="61" t="str">
        <f>IFERROR(__xludf.DUMMYFUNCTION("INDIRECT(""'收支紀錄'!T""&amp;TO_TEXT(ROW()-$C$72))"),"")</f>
        <v/>
      </c>
      <c r="U501" s="62" t="str">
        <f>IFERROR(__xludf.DUMMYFUNCTION("IF(T501=""是"",TEXTJOIN("""", TRUE, ""$"", TO_TEXT(C501), S501),"""")"),"")</f>
        <v/>
      </c>
    </row>
    <row r="502">
      <c r="A502" s="58">
        <f>IFERROR(__xludf.DUMMYFUNCTION("INDIRECT(""'收支紀錄'!A""&amp;TO_TEXT(ROW()-$C$72))"),45634.954319861106)</f>
        <v>45634.95432</v>
      </c>
      <c r="B502" s="59">
        <f>IFERROR(__xludf.DUMMYFUNCTION("IF(ISBLANK(D502), """", IF(ISDATE(D502), D502, IF(D502=""今天"", A502, IF(D502=""昨天 (-1 day)"", A502-1, IF(D502=""前天 (-2 days)"", A502-2, IF(D502=""明天 (+1 day)"", A502+1, DATE(LEFT(D502,4), MID(D502,5,2), RIGHT(D502,2))))))))"),45634.954319861106)</f>
        <v>45634.95432</v>
      </c>
      <c r="C502" s="60">
        <f>IFERROR(__xludf.DUMMYFUNCTION("INDIRECT(""'收支紀錄'!C""&amp;TO_TEXT(ROW()-$C$72))"),953.0)</f>
        <v>953</v>
      </c>
      <c r="D502" s="63" t="str">
        <f>IFERROR(__xludf.DUMMYFUNCTION("INDIRECT(""'收支紀錄'!D""&amp;TO_TEXT(ROW()-$C$72))"),"今天")</f>
        <v>今天</v>
      </c>
      <c r="E502" s="61" t="str">
        <f>IFERROR(__xludf.DUMMYFUNCTION("INDIRECT(""'收支紀錄'!E""&amp;TO_TEXT(ROW()-$C$72))"),"")</f>
        <v/>
      </c>
      <c r="F502" s="61" t="str">
        <f>IFERROR(__xludf.DUMMYFUNCTION("INDIRECT(""'收支紀錄'!F""&amp;TO_TEXT(ROW()-$C$72))"),"")</f>
        <v/>
      </c>
      <c r="G502" s="61" t="str">
        <f>IFERROR(__xludf.DUMMYFUNCTION("INDIRECT(""'收支紀錄'!G""&amp;TO_TEXT(ROW()-$C$72))"),"")</f>
        <v/>
      </c>
      <c r="H502" s="61" t="str">
        <f>IFERROR(__xludf.DUMMYFUNCTION("INDIRECT(""'收支紀錄'!H""&amp;TO_TEXT(ROW()-$C$72))"),"食品酒水")</f>
        <v>食品酒水</v>
      </c>
      <c r="I502" s="61" t="str">
        <f>IFERROR(__xludf.DUMMYFUNCTION("INDIRECT(""'收支紀錄'!I""&amp;TO_TEXT(ROW()-$C$72))"),"晚餐")</f>
        <v>晚餐</v>
      </c>
      <c r="J502" s="61" t="str">
        <f>IFERROR(__xludf.DUMMYFUNCTION("INDIRECT(""'收支紀錄'!J""&amp;TO_TEXT(ROW()-$C$72))"),"")</f>
        <v/>
      </c>
      <c r="K502" s="61" t="str">
        <f>IFERROR(__xludf.DUMMYFUNCTION("INDIRECT(""'收支紀錄'!K""&amp;TO_TEXT(ROW()-$C$72))"),"")</f>
        <v/>
      </c>
      <c r="L502" s="61" t="str">
        <f>IFERROR(__xludf.DUMMYFUNCTION("INDIRECT(""'收支紀錄'!L""&amp;TO_TEXT(ROW()-$C$72))"),"")</f>
        <v/>
      </c>
      <c r="M502" s="61" t="str">
        <f>IFERROR(__xludf.DUMMYFUNCTION("INDIRECT(""'收支紀錄'!M""&amp;TO_TEXT(ROW()-$C$72))"),"")</f>
        <v/>
      </c>
      <c r="N502" s="61" t="str">
        <f>IFERROR(__xludf.DUMMYFUNCTION("INDIRECT(""'收支紀錄'!N""&amp;TO_TEXT(ROW()-$C$72))"),"")</f>
        <v/>
      </c>
      <c r="O502" s="61" t="str">
        <f>IFERROR(__xludf.DUMMYFUNCTION("INDIRECT(""'收支紀錄'!O""&amp;TO_TEXT(ROW()-$C$72))"),"")</f>
        <v/>
      </c>
      <c r="P502" s="61" t="str">
        <f>IFERROR(__xludf.DUMMYFUNCTION("INDIRECT(""'收支紀錄'!P""&amp;TO_TEXT(ROW()-$C$72))"),"")</f>
        <v/>
      </c>
      <c r="Q502" s="61" t="str">
        <f>IFERROR(__xludf.DUMMYFUNCTION("INDIRECT(""'收支紀錄'!Q""&amp;TO_TEXT(ROW()-$C$72))"),"")</f>
        <v/>
      </c>
      <c r="R502" s="61" t="str">
        <f>IFERROR(__xludf.DUMMYFUNCTION("INDIRECT(""'收支紀錄'!R""&amp;TO_TEXT(ROW()-$C$72))"),"")</f>
        <v/>
      </c>
      <c r="S502" s="61" t="str">
        <f>IFERROR(__xludf.DUMMYFUNCTION("INDIRECT(""'收支紀錄'!S""&amp;TO_TEXT(ROW()-$C$72))"),"跟蓋們吃小媳婦鐵鍋燉")</f>
        <v>跟蓋們吃小媳婦鐵鍋燉</v>
      </c>
      <c r="T502" s="61" t="str">
        <f>IFERROR(__xludf.DUMMYFUNCTION("INDIRECT(""'收支紀錄'!T""&amp;TO_TEXT(ROW()-$C$72))"),"")</f>
        <v/>
      </c>
      <c r="U502" s="62" t="str">
        <f>IFERROR(__xludf.DUMMYFUNCTION("IF(T502=""是"",TEXTJOIN("""", TRUE, ""$"", TO_TEXT(C502), S502),"""")"),"")</f>
        <v/>
      </c>
    </row>
    <row r="503">
      <c r="A503" s="58">
        <f>IFERROR(__xludf.DUMMYFUNCTION("INDIRECT(""'收支紀錄'!A""&amp;TO_TEXT(ROW()-$C$72))"),45636.009779699074)</f>
        <v>45636.00978</v>
      </c>
      <c r="B503" s="59">
        <f>IFERROR(__xludf.DUMMYFUNCTION("IF(ISBLANK(D503), """", IF(ISDATE(D503), D503, IF(D503=""今天"", A503, IF(D503=""昨天 (-1 day)"", A503-1, IF(D503=""前天 (-2 days)"", A503-2, IF(D503=""明天 (+1 day)"", A503+1, DATE(LEFT(D503,4), MID(D503,5,2), RIGHT(D503,2))))))))"),45635.009779699074)</f>
        <v>45635.00978</v>
      </c>
      <c r="C503" s="60">
        <f>IFERROR(__xludf.DUMMYFUNCTION("INDIRECT(""'收支紀錄'!C""&amp;TO_TEXT(ROW()-$C$72))"),86.0)</f>
        <v>86</v>
      </c>
      <c r="D503" s="63" t="str">
        <f>IFERROR(__xludf.DUMMYFUNCTION("INDIRECT(""'收支紀錄'!D""&amp;TO_TEXT(ROW()-$C$72))"),"昨天 (-1 day)")</f>
        <v>昨天 (-1 day)</v>
      </c>
      <c r="E503" s="61" t="str">
        <f>IFERROR(__xludf.DUMMYFUNCTION("INDIRECT(""'收支紀錄'!E""&amp;TO_TEXT(ROW()-$C$72))"),"")</f>
        <v/>
      </c>
      <c r="F503" s="61" t="str">
        <f>IFERROR(__xludf.DUMMYFUNCTION("INDIRECT(""'收支紀錄'!F""&amp;TO_TEXT(ROW()-$C$72))"),"")</f>
        <v/>
      </c>
      <c r="G503" s="61" t="str">
        <f>IFERROR(__xludf.DUMMYFUNCTION("INDIRECT(""'收支紀錄'!G""&amp;TO_TEXT(ROW()-$C$72))"),"")</f>
        <v/>
      </c>
      <c r="H503" s="61" t="str">
        <f>IFERROR(__xludf.DUMMYFUNCTION("INDIRECT(""'收支紀錄'!H""&amp;TO_TEXT(ROW()-$C$72))"),"行車交通")</f>
        <v>行車交通</v>
      </c>
      <c r="I503" s="61" t="str">
        <f>IFERROR(__xludf.DUMMYFUNCTION("INDIRECT(""'收支紀錄'!I""&amp;TO_TEXT(ROW()-$C$72))"),"")</f>
        <v/>
      </c>
      <c r="J503" s="61" t="str">
        <f>IFERROR(__xludf.DUMMYFUNCTION("INDIRECT(""'收支紀錄'!J""&amp;TO_TEXT(ROW()-$C$72))"),"")</f>
        <v/>
      </c>
      <c r="K503" s="61" t="str">
        <f>IFERROR(__xludf.DUMMYFUNCTION("INDIRECT(""'收支紀錄'!K""&amp;TO_TEXT(ROW()-$C$72))"),"")</f>
        <v/>
      </c>
      <c r="L503" s="61" t="str">
        <f>IFERROR(__xludf.DUMMYFUNCTION("INDIRECT(""'收支紀錄'!L""&amp;TO_TEXT(ROW()-$C$72))"),"火車費")</f>
        <v>火車費</v>
      </c>
      <c r="M503" s="61" t="str">
        <f>IFERROR(__xludf.DUMMYFUNCTION("INDIRECT(""'收支紀錄'!M""&amp;TO_TEXT(ROW()-$C$72))"),"")</f>
        <v/>
      </c>
      <c r="N503" s="61" t="str">
        <f>IFERROR(__xludf.DUMMYFUNCTION("INDIRECT(""'收支紀錄'!N""&amp;TO_TEXT(ROW()-$C$72))"),"")</f>
        <v/>
      </c>
      <c r="O503" s="61" t="str">
        <f>IFERROR(__xludf.DUMMYFUNCTION("INDIRECT(""'收支紀錄'!O""&amp;TO_TEXT(ROW()-$C$72))"),"")</f>
        <v/>
      </c>
      <c r="P503" s="61" t="str">
        <f>IFERROR(__xludf.DUMMYFUNCTION("INDIRECT(""'收支紀錄'!P""&amp;TO_TEXT(ROW()-$C$72))"),"")</f>
        <v/>
      </c>
      <c r="Q503" s="61" t="str">
        <f>IFERROR(__xludf.DUMMYFUNCTION("INDIRECT(""'收支紀錄'!Q""&amp;TO_TEXT(ROW()-$C$72))"),"")</f>
        <v/>
      </c>
      <c r="R503" s="61" t="str">
        <f>IFERROR(__xludf.DUMMYFUNCTION("INDIRECT(""'收支紀錄'!R""&amp;TO_TEXT(ROW()-$C$72))"),"")</f>
        <v/>
      </c>
      <c r="S503" s="61" t="str">
        <f>IFERROR(__xludf.DUMMYFUNCTION("INDIRECT(""'收支紀錄'!S""&amp;TO_TEXT(ROW()-$C$72))"),"")</f>
        <v/>
      </c>
      <c r="T503" s="61" t="str">
        <f>IFERROR(__xludf.DUMMYFUNCTION("INDIRECT(""'收支紀錄'!T""&amp;TO_TEXT(ROW()-$C$72))"),"")</f>
        <v/>
      </c>
      <c r="U503" s="62" t="str">
        <f>IFERROR(__xludf.DUMMYFUNCTION("IF(T503=""是"",TEXTJOIN("""", TRUE, ""$"", TO_TEXT(C503), S503),"""")"),"")</f>
        <v/>
      </c>
    </row>
    <row r="504">
      <c r="A504" s="58">
        <f>IFERROR(__xludf.DUMMYFUNCTION("INDIRECT(""'收支紀錄'!A""&amp;TO_TEXT(ROW()-$C$72))"),45636.009952974535)</f>
        <v>45636.00995</v>
      </c>
      <c r="B504" s="59">
        <f>IFERROR(__xludf.DUMMYFUNCTION("IF(ISBLANK(D504), """", IF(ISDATE(D504), D504, IF(D504=""今天"", A504, IF(D504=""昨天 (-1 day)"", A504-1, IF(D504=""前天 (-2 days)"", A504-2, IF(D504=""明天 (+1 day)"", A504+1, DATE(LEFT(D504,4), MID(D504,5,2), RIGHT(D504,2))))))))"),45635.009952974535)</f>
        <v>45635.00995</v>
      </c>
      <c r="C504" s="60">
        <f>IFERROR(__xludf.DUMMYFUNCTION("INDIRECT(""'收支紀錄'!C""&amp;TO_TEXT(ROW()-$C$72))"),26.0)</f>
        <v>26</v>
      </c>
      <c r="D504" s="63" t="str">
        <f>IFERROR(__xludf.DUMMYFUNCTION("INDIRECT(""'收支紀錄'!D""&amp;TO_TEXT(ROW()-$C$72))"),"昨天 (-1 day)")</f>
        <v>昨天 (-1 day)</v>
      </c>
      <c r="E504" s="61" t="str">
        <f>IFERROR(__xludf.DUMMYFUNCTION("INDIRECT(""'收支紀錄'!E""&amp;TO_TEXT(ROW()-$C$72))"),"")</f>
        <v/>
      </c>
      <c r="F504" s="61" t="str">
        <f>IFERROR(__xludf.DUMMYFUNCTION("INDIRECT(""'收支紀錄'!F""&amp;TO_TEXT(ROW()-$C$72))"),"")</f>
        <v/>
      </c>
      <c r="G504" s="61" t="str">
        <f>IFERROR(__xludf.DUMMYFUNCTION("INDIRECT(""'收支紀錄'!G""&amp;TO_TEXT(ROW()-$C$72))"),"")</f>
        <v/>
      </c>
      <c r="H504" s="61" t="str">
        <f>IFERROR(__xludf.DUMMYFUNCTION("INDIRECT(""'收支紀錄'!H""&amp;TO_TEXT(ROW()-$C$72))"),"行車交通")</f>
        <v>行車交通</v>
      </c>
      <c r="I504" s="61" t="str">
        <f>IFERROR(__xludf.DUMMYFUNCTION("INDIRECT(""'收支紀錄'!I""&amp;TO_TEXT(ROW()-$C$72))"),"")</f>
        <v/>
      </c>
      <c r="J504" s="61" t="str">
        <f>IFERROR(__xludf.DUMMYFUNCTION("INDIRECT(""'收支紀錄'!J""&amp;TO_TEXT(ROW()-$C$72))"),"")</f>
        <v/>
      </c>
      <c r="K504" s="61" t="str">
        <f>IFERROR(__xludf.DUMMYFUNCTION("INDIRECT(""'收支紀錄'!K""&amp;TO_TEXT(ROW()-$C$72))"),"")</f>
        <v/>
      </c>
      <c r="L504" s="61" t="str">
        <f>IFERROR(__xludf.DUMMYFUNCTION("INDIRECT(""'收支紀錄'!L""&amp;TO_TEXT(ROW()-$C$72))"),"租車")</f>
        <v>租車</v>
      </c>
      <c r="M504" s="61" t="str">
        <f>IFERROR(__xludf.DUMMYFUNCTION("INDIRECT(""'收支紀錄'!M""&amp;TO_TEXT(ROW()-$C$72))"),"")</f>
        <v/>
      </c>
      <c r="N504" s="61" t="str">
        <f>IFERROR(__xludf.DUMMYFUNCTION("INDIRECT(""'收支紀錄'!N""&amp;TO_TEXT(ROW()-$C$72))"),"")</f>
        <v/>
      </c>
      <c r="O504" s="61" t="str">
        <f>IFERROR(__xludf.DUMMYFUNCTION("INDIRECT(""'收支紀錄'!O""&amp;TO_TEXT(ROW()-$C$72))"),"")</f>
        <v/>
      </c>
      <c r="P504" s="61" t="str">
        <f>IFERROR(__xludf.DUMMYFUNCTION("INDIRECT(""'收支紀錄'!P""&amp;TO_TEXT(ROW()-$C$72))"),"")</f>
        <v/>
      </c>
      <c r="Q504" s="61" t="str">
        <f>IFERROR(__xludf.DUMMYFUNCTION("INDIRECT(""'收支紀錄'!Q""&amp;TO_TEXT(ROW()-$C$72))"),"")</f>
        <v/>
      </c>
      <c r="R504" s="61" t="str">
        <f>IFERROR(__xludf.DUMMYFUNCTION("INDIRECT(""'收支紀錄'!R""&amp;TO_TEXT(ROW()-$C$72))"),"")</f>
        <v/>
      </c>
      <c r="S504" s="61" t="str">
        <f>IFERROR(__xludf.DUMMYFUNCTION("INDIRECT(""'收支紀錄'!S""&amp;TO_TEXT(ROW()-$C$72))"),"")</f>
        <v/>
      </c>
      <c r="T504" s="61" t="str">
        <f>IFERROR(__xludf.DUMMYFUNCTION("INDIRECT(""'收支紀錄'!T""&amp;TO_TEXT(ROW()-$C$72))"),"")</f>
        <v/>
      </c>
      <c r="U504" s="62" t="str">
        <f>IFERROR(__xludf.DUMMYFUNCTION("IF(T504=""是"",TEXTJOIN("""", TRUE, ""$"", TO_TEXT(C504), S504),"""")"),"")</f>
        <v/>
      </c>
    </row>
    <row r="505">
      <c r="A505" s="58">
        <f>IFERROR(__xludf.DUMMYFUNCTION("INDIRECT(""'收支紀錄'!A""&amp;TO_TEXT(ROW()-$C$72))"),45636.52087097222)</f>
        <v>45636.52087</v>
      </c>
      <c r="B505" s="59">
        <f>IFERROR(__xludf.DUMMYFUNCTION("IF(ISBLANK(D505), """", IF(ISDATE(D505), D505, IF(D505=""今天"", A505, IF(D505=""昨天 (-1 day)"", A505-1, IF(D505=""前天 (-2 days)"", A505-2, IF(D505=""明天 (+1 day)"", A505+1, DATE(LEFT(D505,4), MID(D505,5,2), RIGHT(D505,2))))))))"),45636.52087097222)</f>
        <v>45636.52087</v>
      </c>
      <c r="C505" s="60">
        <f>IFERROR(__xludf.DUMMYFUNCTION("INDIRECT(""'收支紀錄'!C""&amp;TO_TEXT(ROW()-$C$72))"),91.0)</f>
        <v>91</v>
      </c>
      <c r="D505" s="63" t="str">
        <f>IFERROR(__xludf.DUMMYFUNCTION("INDIRECT(""'收支紀錄'!D""&amp;TO_TEXT(ROW()-$C$72))"),"今天")</f>
        <v>今天</v>
      </c>
      <c r="E505" s="61" t="str">
        <f>IFERROR(__xludf.DUMMYFUNCTION("INDIRECT(""'收支紀錄'!E""&amp;TO_TEXT(ROW()-$C$72))"),"")</f>
        <v/>
      </c>
      <c r="F505" s="61" t="str">
        <f>IFERROR(__xludf.DUMMYFUNCTION("INDIRECT(""'收支紀錄'!F""&amp;TO_TEXT(ROW()-$C$72))"),"")</f>
        <v/>
      </c>
      <c r="G505" s="61" t="str">
        <f>IFERROR(__xludf.DUMMYFUNCTION("INDIRECT(""'收支紀錄'!G""&amp;TO_TEXT(ROW()-$C$72))"),"")</f>
        <v/>
      </c>
      <c r="H505" s="61" t="str">
        <f>IFERROR(__xludf.DUMMYFUNCTION("INDIRECT(""'收支紀錄'!H""&amp;TO_TEXT(ROW()-$C$72))"),"行車交通")</f>
        <v>行車交通</v>
      </c>
      <c r="I505" s="61" t="str">
        <f>IFERROR(__xludf.DUMMYFUNCTION("INDIRECT(""'收支紀錄'!I""&amp;TO_TEXT(ROW()-$C$72))"),"")</f>
        <v/>
      </c>
      <c r="J505" s="61" t="str">
        <f>IFERROR(__xludf.DUMMYFUNCTION("INDIRECT(""'收支紀錄'!J""&amp;TO_TEXT(ROW()-$C$72))"),"")</f>
        <v/>
      </c>
      <c r="K505" s="61" t="str">
        <f>IFERROR(__xludf.DUMMYFUNCTION("INDIRECT(""'收支紀錄'!K""&amp;TO_TEXT(ROW()-$C$72))"),"")</f>
        <v/>
      </c>
      <c r="L505" s="61" t="str">
        <f>IFERROR(__xludf.DUMMYFUNCTION("INDIRECT(""'收支紀錄'!L""&amp;TO_TEXT(ROW()-$C$72))"),"火車費")</f>
        <v>火車費</v>
      </c>
      <c r="M505" s="61" t="str">
        <f>IFERROR(__xludf.DUMMYFUNCTION("INDIRECT(""'收支紀錄'!M""&amp;TO_TEXT(ROW()-$C$72))"),"")</f>
        <v/>
      </c>
      <c r="N505" s="61" t="str">
        <f>IFERROR(__xludf.DUMMYFUNCTION("INDIRECT(""'收支紀錄'!N""&amp;TO_TEXT(ROW()-$C$72))"),"")</f>
        <v/>
      </c>
      <c r="O505" s="61" t="str">
        <f>IFERROR(__xludf.DUMMYFUNCTION("INDIRECT(""'收支紀錄'!O""&amp;TO_TEXT(ROW()-$C$72))"),"")</f>
        <v/>
      </c>
      <c r="P505" s="61" t="str">
        <f>IFERROR(__xludf.DUMMYFUNCTION("INDIRECT(""'收支紀錄'!P""&amp;TO_TEXT(ROW()-$C$72))"),"")</f>
        <v/>
      </c>
      <c r="Q505" s="61" t="str">
        <f>IFERROR(__xludf.DUMMYFUNCTION("INDIRECT(""'收支紀錄'!Q""&amp;TO_TEXT(ROW()-$C$72))"),"")</f>
        <v/>
      </c>
      <c r="R505" s="61" t="str">
        <f>IFERROR(__xludf.DUMMYFUNCTION("INDIRECT(""'收支紀錄'!R""&amp;TO_TEXT(ROW()-$C$72))"),"")</f>
        <v/>
      </c>
      <c r="S505" s="61" t="str">
        <f>IFERROR(__xludf.DUMMYFUNCTION("INDIRECT(""'收支紀錄'!S""&amp;TO_TEXT(ROW()-$C$72))"),"")</f>
        <v/>
      </c>
      <c r="T505" s="61" t="str">
        <f>IFERROR(__xludf.DUMMYFUNCTION("INDIRECT(""'收支紀錄'!T""&amp;TO_TEXT(ROW()-$C$72))"),"")</f>
        <v/>
      </c>
      <c r="U505" s="62" t="str">
        <f>IFERROR(__xludf.DUMMYFUNCTION("IF(T505=""是"",TEXTJOIN("""", TRUE, ""$"", TO_TEXT(C505), S505),"""")"),"")</f>
        <v/>
      </c>
    </row>
    <row r="506">
      <c r="A506" s="58">
        <f>IFERROR(__xludf.DUMMYFUNCTION("INDIRECT(""'收支紀錄'!A""&amp;TO_TEXT(ROW()-$C$72))"),45638.01264368056)</f>
        <v>45638.01264</v>
      </c>
      <c r="B506" s="59">
        <f>IFERROR(__xludf.DUMMYFUNCTION("IF(ISBLANK(D506), """", IF(ISDATE(D506), D506, IF(D506=""今天"", A506, IF(D506=""昨天 (-1 day)"", A506-1, IF(D506=""前天 (-2 days)"", A506-2, IF(D506=""明天 (+1 day)"", A506+1, DATE(LEFT(D506,4), MID(D506,5,2), RIGHT(D506,2))))))))"),45638.01264368056)</f>
        <v>45638.01264</v>
      </c>
      <c r="C506" s="60">
        <f>IFERROR(__xludf.DUMMYFUNCTION("INDIRECT(""'收支紀錄'!C""&amp;TO_TEXT(ROW()-$C$72))"),3688.0)</f>
        <v>3688</v>
      </c>
      <c r="D506" s="63" t="str">
        <f>IFERROR(__xludf.DUMMYFUNCTION("INDIRECT(""'收支紀錄'!D""&amp;TO_TEXT(ROW()-$C$72))"),"今天")</f>
        <v>今天</v>
      </c>
      <c r="E506" s="61" t="str">
        <f>IFERROR(__xludf.DUMMYFUNCTION("INDIRECT(""'收支紀錄'!E""&amp;TO_TEXT(ROW()-$C$72))"),"")</f>
        <v/>
      </c>
      <c r="F506" s="61" t="str">
        <f>IFERROR(__xludf.DUMMYFUNCTION("INDIRECT(""'收支紀錄'!F""&amp;TO_TEXT(ROW()-$C$72))"),"")</f>
        <v/>
      </c>
      <c r="G506" s="61" t="str">
        <f>IFERROR(__xludf.DUMMYFUNCTION("INDIRECT(""'收支紀錄'!G""&amp;TO_TEXT(ROW()-$C$72))"),"")</f>
        <v/>
      </c>
      <c r="H506" s="61" t="str">
        <f>IFERROR(__xludf.DUMMYFUNCTION("INDIRECT(""'收支紀錄'!H""&amp;TO_TEXT(ROW()-$C$72))"),"日常生活")</f>
        <v>日常生活</v>
      </c>
      <c r="I506" s="61" t="str">
        <f>IFERROR(__xludf.DUMMYFUNCTION("INDIRECT(""'收支紀錄'!I""&amp;TO_TEXT(ROW()-$C$72))"),"")</f>
        <v/>
      </c>
      <c r="J506" s="61" t="str">
        <f>IFERROR(__xludf.DUMMYFUNCTION("INDIRECT(""'收支紀錄'!J""&amp;TO_TEXT(ROW()-$C$72))"),"日常用品")</f>
        <v>日常用品</v>
      </c>
      <c r="K506" s="61" t="str">
        <f>IFERROR(__xludf.DUMMYFUNCTION("INDIRECT(""'收支紀錄'!K""&amp;TO_TEXT(ROW()-$C$72))"),"")</f>
        <v/>
      </c>
      <c r="L506" s="61" t="str">
        <f>IFERROR(__xludf.DUMMYFUNCTION("INDIRECT(""'收支紀錄'!L""&amp;TO_TEXT(ROW()-$C$72))"),"")</f>
        <v/>
      </c>
      <c r="M506" s="61" t="str">
        <f>IFERROR(__xludf.DUMMYFUNCTION("INDIRECT(""'收支紀錄'!M""&amp;TO_TEXT(ROW()-$C$72))"),"")</f>
        <v/>
      </c>
      <c r="N506" s="61" t="str">
        <f>IFERROR(__xludf.DUMMYFUNCTION("INDIRECT(""'收支紀錄'!N""&amp;TO_TEXT(ROW()-$C$72))"),"")</f>
        <v/>
      </c>
      <c r="O506" s="61" t="str">
        <f>IFERROR(__xludf.DUMMYFUNCTION("INDIRECT(""'收支紀錄'!O""&amp;TO_TEXT(ROW()-$C$72))"),"")</f>
        <v/>
      </c>
      <c r="P506" s="61" t="str">
        <f>IFERROR(__xludf.DUMMYFUNCTION("INDIRECT(""'收支紀錄'!P""&amp;TO_TEXT(ROW()-$C$72))"),"")</f>
        <v/>
      </c>
      <c r="Q506" s="61" t="str">
        <f>IFERROR(__xludf.DUMMYFUNCTION("INDIRECT(""'收支紀錄'!Q""&amp;TO_TEXT(ROW()-$C$72))"),"")</f>
        <v/>
      </c>
      <c r="R506" s="61" t="str">
        <f>IFERROR(__xludf.DUMMYFUNCTION("INDIRECT(""'收支紀錄'!R""&amp;TO_TEXT(ROW()-$C$72))"),"")</f>
        <v/>
      </c>
      <c r="S506" s="61" t="str">
        <f>IFERROR(__xludf.DUMMYFUNCTION("INDIRECT(""'收支紀錄'!S""&amp;TO_TEXT(ROW()-$C$72))"),"除濕機hdh-12dy030B")</f>
        <v>除濕機hdh-12dy030B</v>
      </c>
      <c r="T506" s="61" t="str">
        <f>IFERROR(__xludf.DUMMYFUNCTION("INDIRECT(""'收支紀錄'!T""&amp;TO_TEXT(ROW()-$C$72))"),"是")</f>
        <v>是</v>
      </c>
      <c r="U506" s="62" t="str">
        <f>IFERROR(__xludf.DUMMYFUNCTION("IF(T506=""是"",TEXTJOIN("""", TRUE, ""$"", TO_TEXT(C506), S506),"""")"),"$3688除濕機hdh-12dy030B")</f>
        <v>$3688除濕機hdh-12dy030B</v>
      </c>
    </row>
    <row r="507">
      <c r="A507" s="58">
        <f>IFERROR(__xludf.DUMMYFUNCTION("INDIRECT(""'收支紀錄'!A""&amp;TO_TEXT(ROW()-$C$72))"),45638.01323001157)</f>
        <v>45638.01323</v>
      </c>
      <c r="B507" s="59">
        <f>IFERROR(__xludf.DUMMYFUNCTION("IF(ISBLANK(D507), """", IF(ISDATE(D507), D507, IF(D507=""今天"", A507, IF(D507=""昨天 (-1 day)"", A507-1, IF(D507=""前天 (-2 days)"", A507-2, IF(D507=""明天 (+1 day)"", A507+1, DATE(LEFT(D507,4), MID(D507,5,2), RIGHT(D507,2))))))))"),45638.01323001157)</f>
        <v>45638.01323</v>
      </c>
      <c r="C507" s="60">
        <f>IFERROR(__xludf.DUMMYFUNCTION("INDIRECT(""'收支紀錄'!C""&amp;TO_TEXT(ROW()-$C$72))"),639.0)</f>
        <v>639</v>
      </c>
      <c r="D507" s="63" t="str">
        <f>IFERROR(__xludf.DUMMYFUNCTION("INDIRECT(""'收支紀錄'!D""&amp;TO_TEXT(ROW()-$C$72))"),"今天")</f>
        <v>今天</v>
      </c>
      <c r="E507" s="61" t="str">
        <f>IFERROR(__xludf.DUMMYFUNCTION("INDIRECT(""'收支紀錄'!E""&amp;TO_TEXT(ROW()-$C$72))"),"")</f>
        <v/>
      </c>
      <c r="F507" s="61" t="str">
        <f>IFERROR(__xludf.DUMMYFUNCTION("INDIRECT(""'收支紀錄'!F""&amp;TO_TEXT(ROW()-$C$72))"),"")</f>
        <v/>
      </c>
      <c r="G507" s="61" t="str">
        <f>IFERROR(__xludf.DUMMYFUNCTION("INDIRECT(""'收支紀錄'!G""&amp;TO_TEXT(ROW()-$C$72))"),"")</f>
        <v/>
      </c>
      <c r="H507" s="61" t="str">
        <f>IFERROR(__xludf.DUMMYFUNCTION("INDIRECT(""'收支紀錄'!H""&amp;TO_TEXT(ROW()-$C$72))"),"日常生活")</f>
        <v>日常生活</v>
      </c>
      <c r="I507" s="61" t="str">
        <f>IFERROR(__xludf.DUMMYFUNCTION("INDIRECT(""'收支紀錄'!I""&amp;TO_TEXT(ROW()-$C$72))"),"")</f>
        <v/>
      </c>
      <c r="J507" s="61" t="str">
        <f>IFERROR(__xludf.DUMMYFUNCTION("INDIRECT(""'收支紀錄'!J""&amp;TO_TEXT(ROW()-$C$72))"),"日常用品")</f>
        <v>日常用品</v>
      </c>
      <c r="K507" s="61" t="str">
        <f>IFERROR(__xludf.DUMMYFUNCTION("INDIRECT(""'收支紀錄'!K""&amp;TO_TEXT(ROW()-$C$72))"),"")</f>
        <v/>
      </c>
      <c r="L507" s="61" t="str">
        <f>IFERROR(__xludf.DUMMYFUNCTION("INDIRECT(""'收支紀錄'!L""&amp;TO_TEXT(ROW()-$C$72))"),"")</f>
        <v/>
      </c>
      <c r="M507" s="61" t="str">
        <f>IFERROR(__xludf.DUMMYFUNCTION("INDIRECT(""'收支紀錄'!M""&amp;TO_TEXT(ROW()-$C$72))"),"")</f>
        <v/>
      </c>
      <c r="N507" s="61" t="str">
        <f>IFERROR(__xludf.DUMMYFUNCTION("INDIRECT(""'收支紀錄'!N""&amp;TO_TEXT(ROW()-$C$72))"),"")</f>
        <v/>
      </c>
      <c r="O507" s="61" t="str">
        <f>IFERROR(__xludf.DUMMYFUNCTION("INDIRECT(""'收支紀錄'!O""&amp;TO_TEXT(ROW()-$C$72))"),"")</f>
        <v/>
      </c>
      <c r="P507" s="61" t="str">
        <f>IFERROR(__xludf.DUMMYFUNCTION("INDIRECT(""'收支紀錄'!P""&amp;TO_TEXT(ROW()-$C$72))"),"")</f>
        <v/>
      </c>
      <c r="Q507" s="61" t="str">
        <f>IFERROR(__xludf.DUMMYFUNCTION("INDIRECT(""'收支紀錄'!Q""&amp;TO_TEXT(ROW()-$C$72))"),"")</f>
        <v/>
      </c>
      <c r="R507" s="61" t="str">
        <f>IFERROR(__xludf.DUMMYFUNCTION("INDIRECT(""'收支紀錄'!R""&amp;TO_TEXT(ROW()-$C$72))"),"")</f>
        <v/>
      </c>
      <c r="S507" s="61" t="str">
        <f>IFERROR(__xludf.DUMMYFUNCTION("INDIRECT(""'收支紀錄'!S""&amp;TO_TEXT(ROW()-$C$72))"),"")</f>
        <v/>
      </c>
      <c r="T507" s="61" t="str">
        <f>IFERROR(__xludf.DUMMYFUNCTION("INDIRECT(""'收支紀錄'!T""&amp;TO_TEXT(ROW()-$C$72))"),"")</f>
        <v/>
      </c>
      <c r="U507" s="62" t="str">
        <f>IFERROR(__xludf.DUMMYFUNCTION("IF(T507=""是"",TEXTJOIN("""", TRUE, ""$"", TO_TEXT(C507), S507),"""")"),"")</f>
        <v/>
      </c>
    </row>
    <row r="508">
      <c r="A508" s="58">
        <f>IFERROR(__xludf.DUMMYFUNCTION("INDIRECT(""'收支紀錄'!A""&amp;TO_TEXT(ROW()-$C$72))"),45639.84857144676)</f>
        <v>45639.84857</v>
      </c>
      <c r="B508" s="59">
        <f>IFERROR(__xludf.DUMMYFUNCTION("IF(ISBLANK(D508), """", IF(ISDATE(D508), D508, IF(D508=""今天"", A508, IF(D508=""昨天 (-1 day)"", A508-1, IF(D508=""前天 (-2 days)"", A508-2, IF(D508=""明天 (+1 day)"", A508+1, DATE(LEFT(D508,4), MID(D508,5,2), RIGHT(D508,2))))))))"),45639.84857144676)</f>
        <v>45639.84857</v>
      </c>
      <c r="C508" s="60">
        <f>IFERROR(__xludf.DUMMYFUNCTION("INDIRECT(""'收支紀錄'!C""&amp;TO_TEXT(ROW()-$C$72))"),91.0)</f>
        <v>91</v>
      </c>
      <c r="D508" s="63" t="str">
        <f>IFERROR(__xludf.DUMMYFUNCTION("INDIRECT(""'收支紀錄'!D""&amp;TO_TEXT(ROW()-$C$72))"),"今天")</f>
        <v>今天</v>
      </c>
      <c r="E508" s="61" t="str">
        <f>IFERROR(__xludf.DUMMYFUNCTION("INDIRECT(""'收支紀錄'!E""&amp;TO_TEXT(ROW()-$C$72))"),"")</f>
        <v/>
      </c>
      <c r="F508" s="61" t="str">
        <f>IFERROR(__xludf.DUMMYFUNCTION("INDIRECT(""'收支紀錄'!F""&amp;TO_TEXT(ROW()-$C$72))"),"")</f>
        <v/>
      </c>
      <c r="G508" s="61" t="str">
        <f>IFERROR(__xludf.DUMMYFUNCTION("INDIRECT(""'收支紀錄'!G""&amp;TO_TEXT(ROW()-$C$72))"),"")</f>
        <v/>
      </c>
      <c r="H508" s="61" t="str">
        <f>IFERROR(__xludf.DUMMYFUNCTION("INDIRECT(""'收支紀錄'!H""&amp;TO_TEXT(ROW()-$C$72))"),"行車交通")</f>
        <v>行車交通</v>
      </c>
      <c r="I508" s="61" t="str">
        <f>IFERROR(__xludf.DUMMYFUNCTION("INDIRECT(""'收支紀錄'!I""&amp;TO_TEXT(ROW()-$C$72))"),"")</f>
        <v/>
      </c>
      <c r="J508" s="61" t="str">
        <f>IFERROR(__xludf.DUMMYFUNCTION("INDIRECT(""'收支紀錄'!J""&amp;TO_TEXT(ROW()-$C$72))"),"")</f>
        <v/>
      </c>
      <c r="K508" s="61" t="str">
        <f>IFERROR(__xludf.DUMMYFUNCTION("INDIRECT(""'收支紀錄'!K""&amp;TO_TEXT(ROW()-$C$72))"),"")</f>
        <v/>
      </c>
      <c r="L508" s="61" t="str">
        <f>IFERROR(__xludf.DUMMYFUNCTION("INDIRECT(""'收支紀錄'!L""&amp;TO_TEXT(ROW()-$C$72))"),"火車費")</f>
        <v>火車費</v>
      </c>
      <c r="M508" s="61" t="str">
        <f>IFERROR(__xludf.DUMMYFUNCTION("INDIRECT(""'收支紀錄'!M""&amp;TO_TEXT(ROW()-$C$72))"),"")</f>
        <v/>
      </c>
      <c r="N508" s="61" t="str">
        <f>IFERROR(__xludf.DUMMYFUNCTION("INDIRECT(""'收支紀錄'!N""&amp;TO_TEXT(ROW()-$C$72))"),"")</f>
        <v/>
      </c>
      <c r="O508" s="61" t="str">
        <f>IFERROR(__xludf.DUMMYFUNCTION("INDIRECT(""'收支紀錄'!O""&amp;TO_TEXT(ROW()-$C$72))"),"")</f>
        <v/>
      </c>
      <c r="P508" s="61" t="str">
        <f>IFERROR(__xludf.DUMMYFUNCTION("INDIRECT(""'收支紀錄'!P""&amp;TO_TEXT(ROW()-$C$72))"),"")</f>
        <v/>
      </c>
      <c r="Q508" s="61" t="str">
        <f>IFERROR(__xludf.DUMMYFUNCTION("INDIRECT(""'收支紀錄'!Q""&amp;TO_TEXT(ROW()-$C$72))"),"")</f>
        <v/>
      </c>
      <c r="R508" s="61" t="str">
        <f>IFERROR(__xludf.DUMMYFUNCTION("INDIRECT(""'收支紀錄'!R""&amp;TO_TEXT(ROW()-$C$72))"),"")</f>
        <v/>
      </c>
      <c r="S508" s="61" t="str">
        <f>IFERROR(__xludf.DUMMYFUNCTION("INDIRECT(""'收支紀錄'!S""&amp;TO_TEXT(ROW()-$C$72))"),"")</f>
        <v/>
      </c>
      <c r="T508" s="61" t="str">
        <f>IFERROR(__xludf.DUMMYFUNCTION("INDIRECT(""'收支紀錄'!T""&amp;TO_TEXT(ROW()-$C$72))"),"")</f>
        <v/>
      </c>
      <c r="U508" s="62" t="str">
        <f>IFERROR(__xludf.DUMMYFUNCTION("IF(T508=""是"",TEXTJOIN("""", TRUE, ""$"", TO_TEXT(C508), S508),"""")"),"")</f>
        <v/>
      </c>
    </row>
    <row r="509">
      <c r="A509" s="58">
        <f>IFERROR(__xludf.DUMMYFUNCTION("INDIRECT(""'收支紀錄'!A""&amp;TO_TEXT(ROW()-$C$72))"),45639.84874128472)</f>
        <v>45639.84874</v>
      </c>
      <c r="B509" s="59">
        <f>IFERROR(__xludf.DUMMYFUNCTION("IF(ISBLANK(D509), """", IF(ISDATE(D509), D509, IF(D509=""今天"", A509, IF(D509=""昨天 (-1 day)"", A509-1, IF(D509=""前天 (-2 days)"", A509-2, IF(D509=""明天 (+1 day)"", A509+1, DATE(LEFT(D509,4), MID(D509,5,2), RIGHT(D509,2))))))))"),45639.84874128472)</f>
        <v>45639.84874</v>
      </c>
      <c r="C509" s="60">
        <f>IFERROR(__xludf.DUMMYFUNCTION("INDIRECT(""'收支紀錄'!C""&amp;TO_TEXT(ROW()-$C$72))"),20.0)</f>
        <v>20</v>
      </c>
      <c r="D509" s="63" t="str">
        <f>IFERROR(__xludf.DUMMYFUNCTION("INDIRECT(""'收支紀錄'!D""&amp;TO_TEXT(ROW()-$C$72))"),"今天")</f>
        <v>今天</v>
      </c>
      <c r="E509" s="61" t="str">
        <f>IFERROR(__xludf.DUMMYFUNCTION("INDIRECT(""'收支紀錄'!E""&amp;TO_TEXT(ROW()-$C$72))"),"")</f>
        <v/>
      </c>
      <c r="F509" s="61" t="str">
        <f>IFERROR(__xludf.DUMMYFUNCTION("INDIRECT(""'收支紀錄'!F""&amp;TO_TEXT(ROW()-$C$72))"),"")</f>
        <v/>
      </c>
      <c r="G509" s="61" t="str">
        <f>IFERROR(__xludf.DUMMYFUNCTION("INDIRECT(""'收支紀錄'!G""&amp;TO_TEXT(ROW()-$C$72))"),"")</f>
        <v/>
      </c>
      <c r="H509" s="61" t="str">
        <f>IFERROR(__xludf.DUMMYFUNCTION("INDIRECT(""'收支紀錄'!H""&amp;TO_TEXT(ROW()-$C$72))"),"行車交通")</f>
        <v>行車交通</v>
      </c>
      <c r="I509" s="61" t="str">
        <f>IFERROR(__xludf.DUMMYFUNCTION("INDIRECT(""'收支紀錄'!I""&amp;TO_TEXT(ROW()-$C$72))"),"")</f>
        <v/>
      </c>
      <c r="J509" s="61" t="str">
        <f>IFERROR(__xludf.DUMMYFUNCTION("INDIRECT(""'收支紀錄'!J""&amp;TO_TEXT(ROW()-$C$72))"),"")</f>
        <v/>
      </c>
      <c r="K509" s="61" t="str">
        <f>IFERROR(__xludf.DUMMYFUNCTION("INDIRECT(""'收支紀錄'!K""&amp;TO_TEXT(ROW()-$C$72))"),"")</f>
        <v/>
      </c>
      <c r="L509" s="61" t="str">
        <f>IFERROR(__xludf.DUMMYFUNCTION("INDIRECT(""'收支紀錄'!L""&amp;TO_TEXT(ROW()-$C$72))"),"捷運費")</f>
        <v>捷運費</v>
      </c>
      <c r="M509" s="61" t="str">
        <f>IFERROR(__xludf.DUMMYFUNCTION("INDIRECT(""'收支紀錄'!M""&amp;TO_TEXT(ROW()-$C$72))"),"")</f>
        <v/>
      </c>
      <c r="N509" s="61" t="str">
        <f>IFERROR(__xludf.DUMMYFUNCTION("INDIRECT(""'收支紀錄'!N""&amp;TO_TEXT(ROW()-$C$72))"),"")</f>
        <v/>
      </c>
      <c r="O509" s="61" t="str">
        <f>IFERROR(__xludf.DUMMYFUNCTION("INDIRECT(""'收支紀錄'!O""&amp;TO_TEXT(ROW()-$C$72))"),"")</f>
        <v/>
      </c>
      <c r="P509" s="61" t="str">
        <f>IFERROR(__xludf.DUMMYFUNCTION("INDIRECT(""'收支紀錄'!P""&amp;TO_TEXT(ROW()-$C$72))"),"")</f>
        <v/>
      </c>
      <c r="Q509" s="61" t="str">
        <f>IFERROR(__xludf.DUMMYFUNCTION("INDIRECT(""'收支紀錄'!Q""&amp;TO_TEXT(ROW()-$C$72))"),"")</f>
        <v/>
      </c>
      <c r="R509" s="61" t="str">
        <f>IFERROR(__xludf.DUMMYFUNCTION("INDIRECT(""'收支紀錄'!R""&amp;TO_TEXT(ROW()-$C$72))"),"")</f>
        <v/>
      </c>
      <c r="S509" s="61" t="str">
        <f>IFERROR(__xludf.DUMMYFUNCTION("INDIRECT(""'收支紀錄'!S""&amp;TO_TEXT(ROW()-$C$72))"),"")</f>
        <v/>
      </c>
      <c r="T509" s="61" t="str">
        <f>IFERROR(__xludf.DUMMYFUNCTION("INDIRECT(""'收支紀錄'!T""&amp;TO_TEXT(ROW()-$C$72))"),"")</f>
        <v/>
      </c>
      <c r="U509" s="62" t="str">
        <f>IFERROR(__xludf.DUMMYFUNCTION("IF(T509=""是"",TEXTJOIN("""", TRUE, ""$"", TO_TEXT(C509), S509),"""")"),"")</f>
        <v/>
      </c>
    </row>
    <row r="510">
      <c r="A510" s="58">
        <f>IFERROR(__xludf.DUMMYFUNCTION("INDIRECT(""'收支紀錄'!A""&amp;TO_TEXT(ROW()-$C$72))"),45640.531041979164)</f>
        <v>45640.53104</v>
      </c>
      <c r="B510" s="59">
        <f>IFERROR(__xludf.DUMMYFUNCTION("IF(ISBLANK(D510), """", IF(ISDATE(D510), D510, IF(D510=""今天"", A510, IF(D510=""昨天 (-1 day)"", A510-1, IF(D510=""前天 (-2 days)"", A510-2, IF(D510=""明天 (+1 day)"", A510+1, DATE(LEFT(D510,4), MID(D510,5,2), RIGHT(D510,2))))))))"),45640.531041979164)</f>
        <v>45640.53104</v>
      </c>
      <c r="C510" s="60">
        <f>IFERROR(__xludf.DUMMYFUNCTION("INDIRECT(""'收支紀錄'!C""&amp;TO_TEXT(ROW()-$C$72))"),575.0)</f>
        <v>575</v>
      </c>
      <c r="D510" s="63" t="str">
        <f>IFERROR(__xludf.DUMMYFUNCTION("INDIRECT(""'收支紀錄'!D""&amp;TO_TEXT(ROW()-$C$72))"),"今天")</f>
        <v>今天</v>
      </c>
      <c r="E510" s="61" t="str">
        <f>IFERROR(__xludf.DUMMYFUNCTION("INDIRECT(""'收支紀錄'!E""&amp;TO_TEXT(ROW()-$C$72))"),"")</f>
        <v/>
      </c>
      <c r="F510" s="61" t="str">
        <f>IFERROR(__xludf.DUMMYFUNCTION("INDIRECT(""'收支紀錄'!F""&amp;TO_TEXT(ROW()-$C$72))"),"")</f>
        <v/>
      </c>
      <c r="G510" s="61" t="str">
        <f>IFERROR(__xludf.DUMMYFUNCTION("INDIRECT(""'收支紀錄'!G""&amp;TO_TEXT(ROW()-$C$72))"),"")</f>
        <v/>
      </c>
      <c r="H510" s="61" t="str">
        <f>IFERROR(__xludf.DUMMYFUNCTION("INDIRECT(""'收支紀錄'!H""&amp;TO_TEXT(ROW()-$C$72))"),"食品酒水")</f>
        <v>食品酒水</v>
      </c>
      <c r="I510" s="61" t="str">
        <f>IFERROR(__xludf.DUMMYFUNCTION("INDIRECT(""'收支紀錄'!I""&amp;TO_TEXT(ROW()-$C$72))"),"午餐")</f>
        <v>午餐</v>
      </c>
      <c r="J510" s="61" t="str">
        <f>IFERROR(__xludf.DUMMYFUNCTION("INDIRECT(""'收支紀錄'!J""&amp;TO_TEXT(ROW()-$C$72))"),"")</f>
        <v/>
      </c>
      <c r="K510" s="61" t="str">
        <f>IFERROR(__xludf.DUMMYFUNCTION("INDIRECT(""'收支紀錄'!K""&amp;TO_TEXT(ROW()-$C$72))"),"")</f>
        <v/>
      </c>
      <c r="L510" s="61" t="str">
        <f>IFERROR(__xludf.DUMMYFUNCTION("INDIRECT(""'收支紀錄'!L""&amp;TO_TEXT(ROW()-$C$72))"),"")</f>
        <v/>
      </c>
      <c r="M510" s="61" t="str">
        <f>IFERROR(__xludf.DUMMYFUNCTION("INDIRECT(""'收支紀錄'!M""&amp;TO_TEXT(ROW()-$C$72))"),"")</f>
        <v/>
      </c>
      <c r="N510" s="61" t="str">
        <f>IFERROR(__xludf.DUMMYFUNCTION("INDIRECT(""'收支紀錄'!N""&amp;TO_TEXT(ROW()-$C$72))"),"")</f>
        <v/>
      </c>
      <c r="O510" s="61" t="str">
        <f>IFERROR(__xludf.DUMMYFUNCTION("INDIRECT(""'收支紀錄'!O""&amp;TO_TEXT(ROW()-$C$72))"),"")</f>
        <v/>
      </c>
      <c r="P510" s="61" t="str">
        <f>IFERROR(__xludf.DUMMYFUNCTION("INDIRECT(""'收支紀錄'!P""&amp;TO_TEXT(ROW()-$C$72))"),"")</f>
        <v/>
      </c>
      <c r="Q510" s="61" t="str">
        <f>IFERROR(__xludf.DUMMYFUNCTION("INDIRECT(""'收支紀錄'!Q""&amp;TO_TEXT(ROW()-$C$72))"),"")</f>
        <v/>
      </c>
      <c r="R510" s="61" t="str">
        <f>IFERROR(__xludf.DUMMYFUNCTION("INDIRECT(""'收支紀錄'!R""&amp;TO_TEXT(ROW()-$C$72))"),"")</f>
        <v/>
      </c>
      <c r="S510" s="61" t="str">
        <f>IFERROR(__xludf.DUMMYFUNCTION("INDIRECT(""'收支紀錄'!S""&amp;TO_TEXT(ROW()-$C$72))"),"")</f>
        <v/>
      </c>
      <c r="T510" s="61" t="str">
        <f>IFERROR(__xludf.DUMMYFUNCTION("INDIRECT(""'收支紀錄'!T""&amp;TO_TEXT(ROW()-$C$72))"),"")</f>
        <v/>
      </c>
      <c r="U510" s="62" t="str">
        <f>IFERROR(__xludf.DUMMYFUNCTION("IF(T510=""是"",TEXTJOIN("""", TRUE, ""$"", TO_TEXT(C510), S510),"""")"),"")</f>
        <v/>
      </c>
    </row>
    <row r="511">
      <c r="A511" s="58">
        <f>IFERROR(__xludf.DUMMYFUNCTION("INDIRECT(""'收支紀錄'!A""&amp;TO_TEXT(ROW()-$C$72))"),45640.704626377315)</f>
        <v>45640.70463</v>
      </c>
      <c r="B511" s="59">
        <f>IFERROR(__xludf.DUMMYFUNCTION("IF(ISBLANK(D511), """", IF(ISDATE(D511), D511, IF(D511=""今天"", A511, IF(D511=""昨天 (-1 day)"", A511-1, IF(D511=""前天 (-2 days)"", A511-2, IF(D511=""明天 (+1 day)"", A511+1, DATE(LEFT(D511,4), MID(D511,5,2), RIGHT(D511,2))))))))"),45640.704626377315)</f>
        <v>45640.70463</v>
      </c>
      <c r="C511" s="60">
        <f>IFERROR(__xludf.DUMMYFUNCTION("INDIRECT(""'收支紀錄'!C""&amp;TO_TEXT(ROW()-$C$72))"),55.0)</f>
        <v>55</v>
      </c>
      <c r="D511" s="63" t="str">
        <f>IFERROR(__xludf.DUMMYFUNCTION("INDIRECT(""'收支紀錄'!D""&amp;TO_TEXT(ROW()-$C$72))"),"今天")</f>
        <v>今天</v>
      </c>
      <c r="E511" s="61" t="str">
        <f>IFERROR(__xludf.DUMMYFUNCTION("INDIRECT(""'收支紀錄'!E""&amp;TO_TEXT(ROW()-$C$72))"),"")</f>
        <v/>
      </c>
      <c r="F511" s="61" t="str">
        <f>IFERROR(__xludf.DUMMYFUNCTION("INDIRECT(""'收支紀錄'!F""&amp;TO_TEXT(ROW()-$C$72))"),"")</f>
        <v/>
      </c>
      <c r="G511" s="61" t="str">
        <f>IFERROR(__xludf.DUMMYFUNCTION("INDIRECT(""'收支紀錄'!G""&amp;TO_TEXT(ROW()-$C$72))"),"")</f>
        <v/>
      </c>
      <c r="H511" s="61" t="str">
        <f>IFERROR(__xludf.DUMMYFUNCTION("INDIRECT(""'收支紀錄'!H""&amp;TO_TEXT(ROW()-$C$72))"),"食品酒水")</f>
        <v>食品酒水</v>
      </c>
      <c r="I511" s="61" t="str">
        <f>IFERROR(__xludf.DUMMYFUNCTION("INDIRECT(""'收支紀錄'!I""&amp;TO_TEXT(ROW()-$C$72))"),"飲料酒水")</f>
        <v>飲料酒水</v>
      </c>
      <c r="J511" s="61" t="str">
        <f>IFERROR(__xludf.DUMMYFUNCTION("INDIRECT(""'收支紀錄'!J""&amp;TO_TEXT(ROW()-$C$72))"),"")</f>
        <v/>
      </c>
      <c r="K511" s="61" t="str">
        <f>IFERROR(__xludf.DUMMYFUNCTION("INDIRECT(""'收支紀錄'!K""&amp;TO_TEXT(ROW()-$C$72))"),"")</f>
        <v/>
      </c>
      <c r="L511" s="61" t="str">
        <f>IFERROR(__xludf.DUMMYFUNCTION("INDIRECT(""'收支紀錄'!L""&amp;TO_TEXT(ROW()-$C$72))"),"")</f>
        <v/>
      </c>
      <c r="M511" s="61" t="str">
        <f>IFERROR(__xludf.DUMMYFUNCTION("INDIRECT(""'收支紀錄'!M""&amp;TO_TEXT(ROW()-$C$72))"),"")</f>
        <v/>
      </c>
      <c r="N511" s="61" t="str">
        <f>IFERROR(__xludf.DUMMYFUNCTION("INDIRECT(""'收支紀錄'!N""&amp;TO_TEXT(ROW()-$C$72))"),"")</f>
        <v/>
      </c>
      <c r="O511" s="61" t="str">
        <f>IFERROR(__xludf.DUMMYFUNCTION("INDIRECT(""'收支紀錄'!O""&amp;TO_TEXT(ROW()-$C$72))"),"")</f>
        <v/>
      </c>
      <c r="P511" s="61" t="str">
        <f>IFERROR(__xludf.DUMMYFUNCTION("INDIRECT(""'收支紀錄'!P""&amp;TO_TEXT(ROW()-$C$72))"),"")</f>
        <v/>
      </c>
      <c r="Q511" s="61" t="str">
        <f>IFERROR(__xludf.DUMMYFUNCTION("INDIRECT(""'收支紀錄'!Q""&amp;TO_TEXT(ROW()-$C$72))"),"")</f>
        <v/>
      </c>
      <c r="R511" s="61" t="str">
        <f>IFERROR(__xludf.DUMMYFUNCTION("INDIRECT(""'收支紀錄'!R""&amp;TO_TEXT(ROW()-$C$72))"),"")</f>
        <v/>
      </c>
      <c r="S511" s="61" t="str">
        <f>IFERROR(__xludf.DUMMYFUNCTION("INDIRECT(""'收支紀錄'!S""&amp;TO_TEXT(ROW()-$C$72))"),"")</f>
        <v/>
      </c>
      <c r="T511" s="61" t="str">
        <f>IFERROR(__xludf.DUMMYFUNCTION("INDIRECT(""'收支紀錄'!T""&amp;TO_TEXT(ROW()-$C$72))"),"")</f>
        <v/>
      </c>
      <c r="U511" s="62" t="str">
        <f>IFERROR(__xludf.DUMMYFUNCTION("IF(T511=""是"",TEXTJOIN("""", TRUE, ""$"", TO_TEXT(C511), S511),"""")"),"")</f>
        <v/>
      </c>
    </row>
    <row r="512">
      <c r="A512" s="58">
        <f>IFERROR(__xludf.DUMMYFUNCTION("INDIRECT(""'收支紀錄'!A""&amp;TO_TEXT(ROW()-$C$72))"),45641.35043813658)</f>
        <v>45641.35044</v>
      </c>
      <c r="B512" s="59">
        <f>IFERROR(__xludf.DUMMYFUNCTION("IF(ISBLANK(D512), """", IF(ISDATE(D512), D512, IF(D512=""今天"", A512, IF(D512=""昨天 (-1 day)"", A512-1, IF(D512=""前天 (-2 days)"", A512-2, IF(D512=""明天 (+1 day)"", A512+1, DATE(LEFT(D512,4), MID(D512,5,2), RIGHT(D512,2))))))))"),45641.35043813658)</f>
        <v>45641.35044</v>
      </c>
      <c r="C512" s="60">
        <f>IFERROR(__xludf.DUMMYFUNCTION("INDIRECT(""'收支紀錄'!C""&amp;TO_TEXT(ROW()-$C$72))"),450.0)</f>
        <v>450</v>
      </c>
      <c r="D512" s="63" t="str">
        <f>IFERROR(__xludf.DUMMYFUNCTION("INDIRECT(""'收支紀錄'!D""&amp;TO_TEXT(ROW()-$C$72))"),"今天")</f>
        <v>今天</v>
      </c>
      <c r="E512" s="61" t="str">
        <f>IFERROR(__xludf.DUMMYFUNCTION("INDIRECT(""'收支紀錄'!E""&amp;TO_TEXT(ROW()-$C$72))"),"")</f>
        <v/>
      </c>
      <c r="F512" s="61" t="str">
        <f>IFERROR(__xludf.DUMMYFUNCTION("INDIRECT(""'收支紀錄'!F""&amp;TO_TEXT(ROW()-$C$72))"),"")</f>
        <v/>
      </c>
      <c r="G512" s="61" t="str">
        <f>IFERROR(__xludf.DUMMYFUNCTION("INDIRECT(""'收支紀錄'!G""&amp;TO_TEXT(ROW()-$C$72))"),"")</f>
        <v/>
      </c>
      <c r="H512" s="61" t="str">
        <f>IFERROR(__xludf.DUMMYFUNCTION("INDIRECT(""'收支紀錄'!H""&amp;TO_TEXT(ROW()-$C$72))"),"行車交通")</f>
        <v>行車交通</v>
      </c>
      <c r="I512" s="61" t="str">
        <f>IFERROR(__xludf.DUMMYFUNCTION("INDIRECT(""'收支紀錄'!I""&amp;TO_TEXT(ROW()-$C$72))"),"")</f>
        <v/>
      </c>
      <c r="J512" s="61" t="str">
        <f>IFERROR(__xludf.DUMMYFUNCTION("INDIRECT(""'收支紀錄'!J""&amp;TO_TEXT(ROW()-$C$72))"),"")</f>
        <v/>
      </c>
      <c r="K512" s="61" t="str">
        <f>IFERROR(__xludf.DUMMYFUNCTION("INDIRECT(""'收支紀錄'!K""&amp;TO_TEXT(ROW()-$C$72))"),"")</f>
        <v/>
      </c>
      <c r="L512" s="61" t="str">
        <f>IFERROR(__xludf.DUMMYFUNCTION("INDIRECT(""'收支紀錄'!L""&amp;TO_TEXT(ROW()-$C$72))"),"加油")</f>
        <v>加油</v>
      </c>
      <c r="M512" s="61" t="str">
        <f>IFERROR(__xludf.DUMMYFUNCTION("INDIRECT(""'收支紀錄'!M""&amp;TO_TEXT(ROW()-$C$72))"),"")</f>
        <v/>
      </c>
      <c r="N512" s="61" t="str">
        <f>IFERROR(__xludf.DUMMYFUNCTION("INDIRECT(""'收支紀錄'!N""&amp;TO_TEXT(ROW()-$C$72))"),"")</f>
        <v/>
      </c>
      <c r="O512" s="61" t="str">
        <f>IFERROR(__xludf.DUMMYFUNCTION("INDIRECT(""'收支紀錄'!O""&amp;TO_TEXT(ROW()-$C$72))"),"")</f>
        <v/>
      </c>
      <c r="P512" s="61" t="str">
        <f>IFERROR(__xludf.DUMMYFUNCTION("INDIRECT(""'收支紀錄'!P""&amp;TO_TEXT(ROW()-$C$72))"),"")</f>
        <v/>
      </c>
      <c r="Q512" s="61" t="str">
        <f>IFERROR(__xludf.DUMMYFUNCTION("INDIRECT(""'收支紀錄'!Q""&amp;TO_TEXT(ROW()-$C$72))"),"")</f>
        <v/>
      </c>
      <c r="R512" s="61" t="str">
        <f>IFERROR(__xludf.DUMMYFUNCTION("INDIRECT(""'收支紀錄'!R""&amp;TO_TEXT(ROW()-$C$72))"),"")</f>
        <v/>
      </c>
      <c r="S512" s="61" t="str">
        <f>IFERROR(__xludf.DUMMYFUNCTION("INDIRECT(""'收支紀錄'!S""&amp;TO_TEXT(ROW()-$C$72))"),"")</f>
        <v/>
      </c>
      <c r="T512" s="61" t="str">
        <f>IFERROR(__xludf.DUMMYFUNCTION("INDIRECT(""'收支紀錄'!T""&amp;TO_TEXT(ROW()-$C$72))"),"")</f>
        <v/>
      </c>
      <c r="U512" s="62" t="str">
        <f>IFERROR(__xludf.DUMMYFUNCTION("IF(T512=""是"",TEXTJOIN("""", TRUE, ""$"", TO_TEXT(C512), S512),"""")"),"")</f>
        <v/>
      </c>
    </row>
    <row r="513">
      <c r="A513" s="58">
        <f>IFERROR(__xludf.DUMMYFUNCTION("INDIRECT(""'收支紀錄'!A""&amp;TO_TEXT(ROW()-$C$72))"),45641.893354722226)</f>
        <v>45641.89335</v>
      </c>
      <c r="B513" s="59">
        <f>IFERROR(__xludf.DUMMYFUNCTION("IF(ISBLANK(D513), """", IF(ISDATE(D513), D513, IF(D513=""今天"", A513, IF(D513=""昨天 (-1 day)"", A513-1, IF(D513=""前天 (-2 days)"", A513-2, IF(D513=""明天 (+1 day)"", A513+1, DATE(LEFT(D513,4), MID(D513,5,2), RIGHT(D513,2))))))))"),45641.893354722226)</f>
        <v>45641.89335</v>
      </c>
      <c r="C513" s="60">
        <f>IFERROR(__xludf.DUMMYFUNCTION("INDIRECT(""'收支紀錄'!C""&amp;TO_TEXT(ROW()-$C$72))"),44.0)</f>
        <v>44</v>
      </c>
      <c r="D513" s="63" t="str">
        <f>IFERROR(__xludf.DUMMYFUNCTION("INDIRECT(""'收支紀錄'!D""&amp;TO_TEXT(ROW()-$C$72))"),"今天")</f>
        <v>今天</v>
      </c>
      <c r="E513" s="61" t="str">
        <f>IFERROR(__xludf.DUMMYFUNCTION("INDIRECT(""'收支紀錄'!E""&amp;TO_TEXT(ROW()-$C$72))"),"")</f>
        <v/>
      </c>
      <c r="F513" s="61" t="str">
        <f>IFERROR(__xludf.DUMMYFUNCTION("INDIRECT(""'收支紀錄'!F""&amp;TO_TEXT(ROW()-$C$72))"),"")</f>
        <v/>
      </c>
      <c r="G513" s="61" t="str">
        <f>IFERROR(__xludf.DUMMYFUNCTION("INDIRECT(""'收支紀錄'!G""&amp;TO_TEXT(ROW()-$C$72))"),"")</f>
        <v/>
      </c>
      <c r="H513" s="61" t="str">
        <f>IFERROR(__xludf.DUMMYFUNCTION("INDIRECT(""'收支紀錄'!H""&amp;TO_TEXT(ROW()-$C$72))"),"食品酒水")</f>
        <v>食品酒水</v>
      </c>
      <c r="I513" s="61" t="str">
        <f>IFERROR(__xludf.DUMMYFUNCTION("INDIRECT(""'收支紀錄'!I""&amp;TO_TEXT(ROW()-$C$72))"),"早餐")</f>
        <v>早餐</v>
      </c>
      <c r="J513" s="61" t="str">
        <f>IFERROR(__xludf.DUMMYFUNCTION("INDIRECT(""'收支紀錄'!J""&amp;TO_TEXT(ROW()-$C$72))"),"")</f>
        <v/>
      </c>
      <c r="K513" s="61" t="str">
        <f>IFERROR(__xludf.DUMMYFUNCTION("INDIRECT(""'收支紀錄'!K""&amp;TO_TEXT(ROW()-$C$72))"),"")</f>
        <v/>
      </c>
      <c r="L513" s="61" t="str">
        <f>IFERROR(__xludf.DUMMYFUNCTION("INDIRECT(""'收支紀錄'!L""&amp;TO_TEXT(ROW()-$C$72))"),"")</f>
        <v/>
      </c>
      <c r="M513" s="61" t="str">
        <f>IFERROR(__xludf.DUMMYFUNCTION("INDIRECT(""'收支紀錄'!M""&amp;TO_TEXT(ROW()-$C$72))"),"")</f>
        <v/>
      </c>
      <c r="N513" s="61" t="str">
        <f>IFERROR(__xludf.DUMMYFUNCTION("INDIRECT(""'收支紀錄'!N""&amp;TO_TEXT(ROW()-$C$72))"),"")</f>
        <v/>
      </c>
      <c r="O513" s="61" t="str">
        <f>IFERROR(__xludf.DUMMYFUNCTION("INDIRECT(""'收支紀錄'!O""&amp;TO_TEXT(ROW()-$C$72))"),"")</f>
        <v/>
      </c>
      <c r="P513" s="61" t="str">
        <f>IFERROR(__xludf.DUMMYFUNCTION("INDIRECT(""'收支紀錄'!P""&amp;TO_TEXT(ROW()-$C$72))"),"")</f>
        <v/>
      </c>
      <c r="Q513" s="61" t="str">
        <f>IFERROR(__xludf.DUMMYFUNCTION("INDIRECT(""'收支紀錄'!Q""&amp;TO_TEXT(ROW()-$C$72))"),"")</f>
        <v/>
      </c>
      <c r="R513" s="61" t="str">
        <f>IFERROR(__xludf.DUMMYFUNCTION("INDIRECT(""'收支紀錄'!R""&amp;TO_TEXT(ROW()-$C$72))"),"")</f>
        <v/>
      </c>
      <c r="S513" s="61" t="str">
        <f>IFERROR(__xludf.DUMMYFUNCTION("INDIRECT(""'收支紀錄'!S""&amp;TO_TEXT(ROW()-$C$72))"),"")</f>
        <v/>
      </c>
      <c r="T513" s="61" t="str">
        <f>IFERROR(__xludf.DUMMYFUNCTION("INDIRECT(""'收支紀錄'!T""&amp;TO_TEXT(ROW()-$C$72))"),"")</f>
        <v/>
      </c>
      <c r="U513" s="62" t="str">
        <f>IFERROR(__xludf.DUMMYFUNCTION("IF(T513=""是"",TEXTJOIN("""", TRUE, ""$"", TO_TEXT(C513), S513),"""")"),"")</f>
        <v/>
      </c>
    </row>
    <row r="514">
      <c r="A514" s="58">
        <f>IFERROR(__xludf.DUMMYFUNCTION("INDIRECT(""'收支紀錄'!A""&amp;TO_TEXT(ROW()-$C$72))"),45641.894183807875)</f>
        <v>45641.89418</v>
      </c>
      <c r="B514" s="59">
        <f>IFERROR(__xludf.DUMMYFUNCTION("IF(ISBLANK(D514), """", IF(ISDATE(D514), D514, IF(D514=""今天"", A514, IF(D514=""昨天 (-1 day)"", A514-1, IF(D514=""前天 (-2 days)"", A514-2, IF(D514=""明天 (+1 day)"", A514+1, DATE(LEFT(D514,4), MID(D514,5,2), RIGHT(D514,2))))))))"),45641.894183807875)</f>
        <v>45641.89418</v>
      </c>
      <c r="C514" s="60">
        <f>IFERROR(__xludf.DUMMYFUNCTION("INDIRECT(""'收支紀錄'!C""&amp;TO_TEXT(ROW()-$C$72))"),50.0)</f>
        <v>50</v>
      </c>
      <c r="D514" s="63" t="str">
        <f>IFERROR(__xludf.DUMMYFUNCTION("INDIRECT(""'收支紀錄'!D""&amp;TO_TEXT(ROW()-$C$72))"),"今天")</f>
        <v>今天</v>
      </c>
      <c r="E514" s="61" t="str">
        <f>IFERROR(__xludf.DUMMYFUNCTION("INDIRECT(""'收支紀錄'!E""&amp;TO_TEXT(ROW()-$C$72))"),"")</f>
        <v/>
      </c>
      <c r="F514" s="61" t="str">
        <f>IFERROR(__xludf.DUMMYFUNCTION("INDIRECT(""'收支紀錄'!F""&amp;TO_TEXT(ROW()-$C$72))"),"")</f>
        <v/>
      </c>
      <c r="G514" s="61" t="str">
        <f>IFERROR(__xludf.DUMMYFUNCTION("INDIRECT(""'收支紀錄'!G""&amp;TO_TEXT(ROW()-$C$72))"),"")</f>
        <v/>
      </c>
      <c r="H514" s="61" t="str">
        <f>IFERROR(__xludf.DUMMYFUNCTION("INDIRECT(""'收支紀錄'!H""&amp;TO_TEXT(ROW()-$C$72))"),"食品酒水")</f>
        <v>食品酒水</v>
      </c>
      <c r="I514" s="61" t="str">
        <f>IFERROR(__xludf.DUMMYFUNCTION("INDIRECT(""'收支紀錄'!I""&amp;TO_TEXT(ROW()-$C$72))"),"下午茶")</f>
        <v>下午茶</v>
      </c>
      <c r="J514" s="61" t="str">
        <f>IFERROR(__xludf.DUMMYFUNCTION("INDIRECT(""'收支紀錄'!J""&amp;TO_TEXT(ROW()-$C$72))"),"")</f>
        <v/>
      </c>
      <c r="K514" s="61" t="str">
        <f>IFERROR(__xludf.DUMMYFUNCTION("INDIRECT(""'收支紀錄'!K""&amp;TO_TEXT(ROW()-$C$72))"),"")</f>
        <v/>
      </c>
      <c r="L514" s="61" t="str">
        <f>IFERROR(__xludf.DUMMYFUNCTION("INDIRECT(""'收支紀錄'!L""&amp;TO_TEXT(ROW()-$C$72))"),"")</f>
        <v/>
      </c>
      <c r="M514" s="61" t="str">
        <f>IFERROR(__xludf.DUMMYFUNCTION("INDIRECT(""'收支紀錄'!M""&amp;TO_TEXT(ROW()-$C$72))"),"")</f>
        <v/>
      </c>
      <c r="N514" s="61" t="str">
        <f>IFERROR(__xludf.DUMMYFUNCTION("INDIRECT(""'收支紀錄'!N""&amp;TO_TEXT(ROW()-$C$72))"),"")</f>
        <v/>
      </c>
      <c r="O514" s="61" t="str">
        <f>IFERROR(__xludf.DUMMYFUNCTION("INDIRECT(""'收支紀錄'!O""&amp;TO_TEXT(ROW()-$C$72))"),"")</f>
        <v/>
      </c>
      <c r="P514" s="61" t="str">
        <f>IFERROR(__xludf.DUMMYFUNCTION("INDIRECT(""'收支紀錄'!P""&amp;TO_TEXT(ROW()-$C$72))"),"")</f>
        <v/>
      </c>
      <c r="Q514" s="61" t="str">
        <f>IFERROR(__xludf.DUMMYFUNCTION("INDIRECT(""'收支紀錄'!Q""&amp;TO_TEXT(ROW()-$C$72))"),"")</f>
        <v/>
      </c>
      <c r="R514" s="61" t="str">
        <f>IFERROR(__xludf.DUMMYFUNCTION("INDIRECT(""'收支紀錄'!R""&amp;TO_TEXT(ROW()-$C$72))"),"")</f>
        <v/>
      </c>
      <c r="S514" s="61" t="str">
        <f>IFERROR(__xludf.DUMMYFUNCTION("INDIRECT(""'收支紀錄'!S""&amp;TO_TEXT(ROW()-$C$72))"),"")</f>
        <v/>
      </c>
      <c r="T514" s="61" t="str">
        <f>IFERROR(__xludf.DUMMYFUNCTION("INDIRECT(""'收支紀錄'!T""&amp;TO_TEXT(ROW()-$C$72))"),"")</f>
        <v/>
      </c>
      <c r="U514" s="62" t="str">
        <f>IFERROR(__xludf.DUMMYFUNCTION("IF(T514=""是"",TEXTJOIN("""", TRUE, ""$"", TO_TEXT(C514), S514),"""")"),"")</f>
        <v/>
      </c>
    </row>
    <row r="515">
      <c r="A515" s="58">
        <f>IFERROR(__xludf.DUMMYFUNCTION("INDIRECT(""'收支紀錄'!A""&amp;TO_TEXT(ROW()-$C$72))"),45641.894367534725)</f>
        <v>45641.89437</v>
      </c>
      <c r="B515" s="59">
        <f>IFERROR(__xludf.DUMMYFUNCTION("IF(ISBLANK(D515), """", IF(ISDATE(D515), D515, IF(D515=""今天"", A515, IF(D515=""昨天 (-1 day)"", A515-1, IF(D515=""前天 (-2 days)"", A515-2, IF(D515=""明天 (+1 day)"", A515+1, DATE(LEFT(D515,4), MID(D515,5,2), RIGHT(D515,2))))))))"),45641.894367534725)</f>
        <v>45641.89437</v>
      </c>
      <c r="C515" s="60">
        <f>IFERROR(__xludf.DUMMYFUNCTION("INDIRECT(""'收支紀錄'!C""&amp;TO_TEXT(ROW()-$C$72))"),90.0)</f>
        <v>90</v>
      </c>
      <c r="D515" s="63" t="str">
        <f>IFERROR(__xludf.DUMMYFUNCTION("INDIRECT(""'收支紀錄'!D""&amp;TO_TEXT(ROW()-$C$72))"),"今天")</f>
        <v>今天</v>
      </c>
      <c r="E515" s="61" t="str">
        <f>IFERROR(__xludf.DUMMYFUNCTION("INDIRECT(""'收支紀錄'!E""&amp;TO_TEXT(ROW()-$C$72))"),"")</f>
        <v/>
      </c>
      <c r="F515" s="61" t="str">
        <f>IFERROR(__xludf.DUMMYFUNCTION("INDIRECT(""'收支紀錄'!F""&amp;TO_TEXT(ROW()-$C$72))"),"")</f>
        <v/>
      </c>
      <c r="G515" s="61" t="str">
        <f>IFERROR(__xludf.DUMMYFUNCTION("INDIRECT(""'收支紀錄'!G""&amp;TO_TEXT(ROW()-$C$72))"),"")</f>
        <v/>
      </c>
      <c r="H515" s="61" t="str">
        <f>IFERROR(__xludf.DUMMYFUNCTION("INDIRECT(""'收支紀錄'!H""&amp;TO_TEXT(ROW()-$C$72))"),"食品酒水")</f>
        <v>食品酒水</v>
      </c>
      <c r="I515" s="61" t="str">
        <f>IFERROR(__xludf.DUMMYFUNCTION("INDIRECT(""'收支紀錄'!I""&amp;TO_TEXT(ROW()-$C$72))"),"宵夜")</f>
        <v>宵夜</v>
      </c>
      <c r="J515" s="61" t="str">
        <f>IFERROR(__xludf.DUMMYFUNCTION("INDIRECT(""'收支紀錄'!J""&amp;TO_TEXT(ROW()-$C$72))"),"")</f>
        <v/>
      </c>
      <c r="K515" s="61" t="str">
        <f>IFERROR(__xludf.DUMMYFUNCTION("INDIRECT(""'收支紀錄'!K""&amp;TO_TEXT(ROW()-$C$72))"),"")</f>
        <v/>
      </c>
      <c r="L515" s="61" t="str">
        <f>IFERROR(__xludf.DUMMYFUNCTION("INDIRECT(""'收支紀錄'!L""&amp;TO_TEXT(ROW()-$C$72))"),"")</f>
        <v/>
      </c>
      <c r="M515" s="61" t="str">
        <f>IFERROR(__xludf.DUMMYFUNCTION("INDIRECT(""'收支紀錄'!M""&amp;TO_TEXT(ROW()-$C$72))"),"")</f>
        <v/>
      </c>
      <c r="N515" s="61" t="str">
        <f>IFERROR(__xludf.DUMMYFUNCTION("INDIRECT(""'收支紀錄'!N""&amp;TO_TEXT(ROW()-$C$72))"),"")</f>
        <v/>
      </c>
      <c r="O515" s="61" t="str">
        <f>IFERROR(__xludf.DUMMYFUNCTION("INDIRECT(""'收支紀錄'!O""&amp;TO_TEXT(ROW()-$C$72))"),"")</f>
        <v/>
      </c>
      <c r="P515" s="61" t="str">
        <f>IFERROR(__xludf.DUMMYFUNCTION("INDIRECT(""'收支紀錄'!P""&amp;TO_TEXT(ROW()-$C$72))"),"")</f>
        <v/>
      </c>
      <c r="Q515" s="61" t="str">
        <f>IFERROR(__xludf.DUMMYFUNCTION("INDIRECT(""'收支紀錄'!Q""&amp;TO_TEXT(ROW()-$C$72))"),"")</f>
        <v/>
      </c>
      <c r="R515" s="61" t="str">
        <f>IFERROR(__xludf.DUMMYFUNCTION("INDIRECT(""'收支紀錄'!R""&amp;TO_TEXT(ROW()-$C$72))"),"")</f>
        <v/>
      </c>
      <c r="S515" s="61" t="str">
        <f>IFERROR(__xludf.DUMMYFUNCTION("INDIRECT(""'收支紀錄'!S""&amp;TO_TEXT(ROW()-$C$72))"),"")</f>
        <v/>
      </c>
      <c r="T515" s="61" t="str">
        <f>IFERROR(__xludf.DUMMYFUNCTION("INDIRECT(""'收支紀錄'!T""&amp;TO_TEXT(ROW()-$C$72))"),"")</f>
        <v/>
      </c>
      <c r="U515" s="62" t="str">
        <f>IFERROR(__xludf.DUMMYFUNCTION("IF(T515=""是"",TEXTJOIN("""", TRUE, ""$"", TO_TEXT(C515), S515),"""")"),"")</f>
        <v/>
      </c>
    </row>
    <row r="516">
      <c r="A516" s="58">
        <f>IFERROR(__xludf.DUMMYFUNCTION("INDIRECT(""'收支紀錄'!A""&amp;TO_TEXT(ROW()-$C$72))"),45642.494843125)</f>
        <v>45642.49484</v>
      </c>
      <c r="B516" s="59">
        <f>IFERROR(__xludf.DUMMYFUNCTION("IF(ISBLANK(D516), """", IF(ISDATE(D516), D516, IF(D516=""今天"", A516, IF(D516=""昨天 (-1 day)"", A516-1, IF(D516=""前天 (-2 days)"", A516-2, IF(D516=""明天 (+1 day)"", A516+1, DATE(LEFT(D516,4), MID(D516,5,2), RIGHT(D516,2))))))))"),45642.494843125)</f>
        <v>45642.49484</v>
      </c>
      <c r="C516" s="60">
        <f>IFERROR(__xludf.DUMMYFUNCTION("INDIRECT(""'收支紀錄'!C""&amp;TO_TEXT(ROW()-$C$72))"),144.0)</f>
        <v>144</v>
      </c>
      <c r="D516" s="63" t="str">
        <f>IFERROR(__xludf.DUMMYFUNCTION("INDIRECT(""'收支紀錄'!D""&amp;TO_TEXT(ROW()-$C$72))"),"今天")</f>
        <v>今天</v>
      </c>
      <c r="E516" s="61" t="str">
        <f>IFERROR(__xludf.DUMMYFUNCTION("INDIRECT(""'收支紀錄'!E""&amp;TO_TEXT(ROW()-$C$72))"),"")</f>
        <v/>
      </c>
      <c r="F516" s="61" t="str">
        <f>IFERROR(__xludf.DUMMYFUNCTION("INDIRECT(""'收支紀錄'!F""&amp;TO_TEXT(ROW()-$C$72))"),"")</f>
        <v/>
      </c>
      <c r="G516" s="61" t="str">
        <f>IFERROR(__xludf.DUMMYFUNCTION("INDIRECT(""'收支紀錄'!G""&amp;TO_TEXT(ROW()-$C$72))"),"")</f>
        <v/>
      </c>
      <c r="H516" s="61" t="str">
        <f>IFERROR(__xludf.DUMMYFUNCTION("INDIRECT(""'收支紀錄'!H""&amp;TO_TEXT(ROW()-$C$72))"),"食品酒水")</f>
        <v>食品酒水</v>
      </c>
      <c r="I516" s="61" t="str">
        <f>IFERROR(__xludf.DUMMYFUNCTION("INDIRECT(""'收支紀錄'!I""&amp;TO_TEXT(ROW()-$C$72))"),"伴手禮")</f>
        <v>伴手禮</v>
      </c>
      <c r="J516" s="61" t="str">
        <f>IFERROR(__xludf.DUMMYFUNCTION("INDIRECT(""'收支紀錄'!J""&amp;TO_TEXT(ROW()-$C$72))"),"")</f>
        <v/>
      </c>
      <c r="K516" s="61" t="str">
        <f>IFERROR(__xludf.DUMMYFUNCTION("INDIRECT(""'收支紀錄'!K""&amp;TO_TEXT(ROW()-$C$72))"),"")</f>
        <v/>
      </c>
      <c r="L516" s="61" t="str">
        <f>IFERROR(__xludf.DUMMYFUNCTION("INDIRECT(""'收支紀錄'!L""&amp;TO_TEXT(ROW()-$C$72))"),"")</f>
        <v/>
      </c>
      <c r="M516" s="61" t="str">
        <f>IFERROR(__xludf.DUMMYFUNCTION("INDIRECT(""'收支紀錄'!M""&amp;TO_TEXT(ROW()-$C$72))"),"")</f>
        <v/>
      </c>
      <c r="N516" s="61" t="str">
        <f>IFERROR(__xludf.DUMMYFUNCTION("INDIRECT(""'收支紀錄'!N""&amp;TO_TEXT(ROW()-$C$72))"),"")</f>
        <v/>
      </c>
      <c r="O516" s="61" t="str">
        <f>IFERROR(__xludf.DUMMYFUNCTION("INDIRECT(""'收支紀錄'!O""&amp;TO_TEXT(ROW()-$C$72))"),"")</f>
        <v/>
      </c>
      <c r="P516" s="61" t="str">
        <f>IFERROR(__xludf.DUMMYFUNCTION("INDIRECT(""'收支紀錄'!P""&amp;TO_TEXT(ROW()-$C$72))"),"")</f>
        <v/>
      </c>
      <c r="Q516" s="61" t="str">
        <f>IFERROR(__xludf.DUMMYFUNCTION("INDIRECT(""'收支紀錄'!Q""&amp;TO_TEXT(ROW()-$C$72))"),"")</f>
        <v/>
      </c>
      <c r="R516" s="61" t="str">
        <f>IFERROR(__xludf.DUMMYFUNCTION("INDIRECT(""'收支紀錄'!R""&amp;TO_TEXT(ROW()-$C$72))"),"")</f>
        <v/>
      </c>
      <c r="S516" s="61" t="str">
        <f>IFERROR(__xludf.DUMMYFUNCTION("INDIRECT(""'收支紀錄'!S""&amp;TO_TEXT(ROW()-$C$72))"),"")</f>
        <v/>
      </c>
      <c r="T516" s="61" t="str">
        <f>IFERROR(__xludf.DUMMYFUNCTION("INDIRECT(""'收支紀錄'!T""&amp;TO_TEXT(ROW()-$C$72))"),"")</f>
        <v/>
      </c>
      <c r="U516" s="62" t="str">
        <f>IFERROR(__xludf.DUMMYFUNCTION("IF(T516=""是"",TEXTJOIN("""", TRUE, ""$"", TO_TEXT(C516), S516),"""")"),"")</f>
        <v/>
      </c>
    </row>
    <row r="517">
      <c r="A517" s="58">
        <f>IFERROR(__xludf.DUMMYFUNCTION("INDIRECT(""'收支紀錄'!A""&amp;TO_TEXT(ROW()-$C$72))"),45643.43995003472)</f>
        <v>45643.43995</v>
      </c>
      <c r="B517" s="59">
        <f>IFERROR(__xludf.DUMMYFUNCTION("IF(ISBLANK(D517), """", IF(ISDATE(D517), D517, IF(D517=""今天"", A517, IF(D517=""昨天 (-1 day)"", A517-1, IF(D517=""前天 (-2 days)"", A517-2, IF(D517=""明天 (+1 day)"", A517+1, DATE(LEFT(D517,4), MID(D517,5,2), RIGHT(D517,2))))))))"),45642.43995003472)</f>
        <v>45642.43995</v>
      </c>
      <c r="C517" s="60">
        <f>IFERROR(__xludf.DUMMYFUNCTION("INDIRECT(""'收支紀錄'!C""&amp;TO_TEXT(ROW()-$C$72))"),50.0)</f>
        <v>50</v>
      </c>
      <c r="D517" s="63" t="str">
        <f>IFERROR(__xludf.DUMMYFUNCTION("INDIRECT(""'收支紀錄'!D""&amp;TO_TEXT(ROW()-$C$72))"),"昨天 (-1 day)")</f>
        <v>昨天 (-1 day)</v>
      </c>
      <c r="E517" s="61" t="str">
        <f>IFERROR(__xludf.DUMMYFUNCTION("INDIRECT(""'收支紀錄'!E""&amp;TO_TEXT(ROW()-$C$72))"),"")</f>
        <v/>
      </c>
      <c r="F517" s="61" t="str">
        <f>IFERROR(__xludf.DUMMYFUNCTION("INDIRECT(""'收支紀錄'!F""&amp;TO_TEXT(ROW()-$C$72))"),"")</f>
        <v/>
      </c>
      <c r="G517" s="61" t="str">
        <f>IFERROR(__xludf.DUMMYFUNCTION("INDIRECT(""'收支紀錄'!G""&amp;TO_TEXT(ROW()-$C$72))"),"")</f>
        <v/>
      </c>
      <c r="H517" s="61" t="str">
        <f>IFERROR(__xludf.DUMMYFUNCTION("INDIRECT(""'收支紀錄'!H""&amp;TO_TEXT(ROW()-$C$72))"),"食品酒水")</f>
        <v>食品酒水</v>
      </c>
      <c r="I517" s="61" t="str">
        <f>IFERROR(__xludf.DUMMYFUNCTION("INDIRECT(""'收支紀錄'!I""&amp;TO_TEXT(ROW()-$C$72))"),"飲料酒水")</f>
        <v>飲料酒水</v>
      </c>
      <c r="J517" s="61" t="str">
        <f>IFERROR(__xludf.DUMMYFUNCTION("INDIRECT(""'收支紀錄'!J""&amp;TO_TEXT(ROW()-$C$72))"),"")</f>
        <v/>
      </c>
      <c r="K517" s="61" t="str">
        <f>IFERROR(__xludf.DUMMYFUNCTION("INDIRECT(""'收支紀錄'!K""&amp;TO_TEXT(ROW()-$C$72))"),"")</f>
        <v/>
      </c>
      <c r="L517" s="61" t="str">
        <f>IFERROR(__xludf.DUMMYFUNCTION("INDIRECT(""'收支紀錄'!L""&amp;TO_TEXT(ROW()-$C$72))"),"")</f>
        <v/>
      </c>
      <c r="M517" s="61" t="str">
        <f>IFERROR(__xludf.DUMMYFUNCTION("INDIRECT(""'收支紀錄'!M""&amp;TO_TEXT(ROW()-$C$72))"),"")</f>
        <v/>
      </c>
      <c r="N517" s="61" t="str">
        <f>IFERROR(__xludf.DUMMYFUNCTION("INDIRECT(""'收支紀錄'!N""&amp;TO_TEXT(ROW()-$C$72))"),"")</f>
        <v/>
      </c>
      <c r="O517" s="61" t="str">
        <f>IFERROR(__xludf.DUMMYFUNCTION("INDIRECT(""'收支紀錄'!O""&amp;TO_TEXT(ROW()-$C$72))"),"")</f>
        <v/>
      </c>
      <c r="P517" s="61" t="str">
        <f>IFERROR(__xludf.DUMMYFUNCTION("INDIRECT(""'收支紀錄'!P""&amp;TO_TEXT(ROW()-$C$72))"),"")</f>
        <v/>
      </c>
      <c r="Q517" s="61" t="str">
        <f>IFERROR(__xludf.DUMMYFUNCTION("INDIRECT(""'收支紀錄'!Q""&amp;TO_TEXT(ROW()-$C$72))"),"")</f>
        <v/>
      </c>
      <c r="R517" s="61" t="str">
        <f>IFERROR(__xludf.DUMMYFUNCTION("INDIRECT(""'收支紀錄'!R""&amp;TO_TEXT(ROW()-$C$72))"),"")</f>
        <v/>
      </c>
      <c r="S517" s="61" t="str">
        <f>IFERROR(__xludf.DUMMYFUNCTION("INDIRECT(""'收支紀錄'!S""&amp;TO_TEXT(ROW()-$C$72))"),"")</f>
        <v/>
      </c>
      <c r="T517" s="61" t="str">
        <f>IFERROR(__xludf.DUMMYFUNCTION("INDIRECT(""'收支紀錄'!T""&amp;TO_TEXT(ROW()-$C$72))"),"")</f>
        <v/>
      </c>
      <c r="U517" s="62" t="str">
        <f>IFERROR(__xludf.DUMMYFUNCTION("IF(T517=""是"",TEXTJOIN("""", TRUE, ""$"", TO_TEXT(C517), S517),"""")"),"")</f>
        <v/>
      </c>
    </row>
    <row r="518">
      <c r="A518" s="58">
        <f>IFERROR(__xludf.DUMMYFUNCTION("INDIRECT(""'收支紀錄'!A""&amp;TO_TEXT(ROW()-$C$72))"),45643.44291428241)</f>
        <v>45643.44291</v>
      </c>
      <c r="B518" s="59">
        <f>IFERROR(__xludf.DUMMYFUNCTION("IF(ISBLANK(D518), """", IF(ISDATE(D518), D518, IF(D518=""今天"", A518, IF(D518=""昨天 (-1 day)"", A518-1, IF(D518=""前天 (-2 days)"", A518-2, IF(D518=""明天 (+1 day)"", A518+1, DATE(LEFT(D518,4), MID(D518,5,2), RIGHT(D518,2))))))))"),45643.44291428241)</f>
        <v>45643.44291</v>
      </c>
      <c r="C518" s="60">
        <f>IFERROR(__xludf.DUMMYFUNCTION("INDIRECT(""'收支紀錄'!C""&amp;TO_TEXT(ROW()-$C$72))"),1196.0)</f>
        <v>1196</v>
      </c>
      <c r="D518" s="63" t="str">
        <f>IFERROR(__xludf.DUMMYFUNCTION("INDIRECT(""'收支紀錄'!D""&amp;TO_TEXT(ROW()-$C$72))"),"今天")</f>
        <v>今天</v>
      </c>
      <c r="E518" s="61" t="str">
        <f>IFERROR(__xludf.DUMMYFUNCTION("INDIRECT(""'收支紀錄'!E""&amp;TO_TEXT(ROW()-$C$72))"),"")</f>
        <v/>
      </c>
      <c r="F518" s="61" t="str">
        <f>IFERROR(__xludf.DUMMYFUNCTION("INDIRECT(""'收支紀錄'!F""&amp;TO_TEXT(ROW()-$C$72))"),"")</f>
        <v/>
      </c>
      <c r="G518" s="61" t="str">
        <f>IFERROR(__xludf.DUMMYFUNCTION("INDIRECT(""'收支紀錄'!G""&amp;TO_TEXT(ROW()-$C$72))"),"")</f>
        <v/>
      </c>
      <c r="H518" s="61" t="str">
        <f>IFERROR(__xludf.DUMMYFUNCTION("INDIRECT(""'收支紀錄'!H""&amp;TO_TEXT(ROW()-$C$72))"),"房屋支出")</f>
        <v>房屋支出</v>
      </c>
      <c r="I518" s="61" t="str">
        <f>IFERROR(__xludf.DUMMYFUNCTION("INDIRECT(""'收支紀錄'!I""&amp;TO_TEXT(ROW()-$C$72))"),"")</f>
        <v/>
      </c>
      <c r="J518" s="61" t="str">
        <f>IFERROR(__xludf.DUMMYFUNCTION("INDIRECT(""'收支紀錄'!J""&amp;TO_TEXT(ROW()-$C$72))"),"")</f>
        <v/>
      </c>
      <c r="K518" s="61" t="str">
        <f>IFERROR(__xludf.DUMMYFUNCTION("INDIRECT(""'收支紀錄'!K""&amp;TO_TEXT(ROW()-$C$72))"),"電費")</f>
        <v>電費</v>
      </c>
      <c r="L518" s="61" t="str">
        <f>IFERROR(__xludf.DUMMYFUNCTION("INDIRECT(""'收支紀錄'!L""&amp;TO_TEXT(ROW()-$C$72))"),"")</f>
        <v/>
      </c>
      <c r="M518" s="61" t="str">
        <f>IFERROR(__xludf.DUMMYFUNCTION("INDIRECT(""'收支紀錄'!M""&amp;TO_TEXT(ROW()-$C$72))"),"")</f>
        <v/>
      </c>
      <c r="N518" s="61" t="str">
        <f>IFERROR(__xludf.DUMMYFUNCTION("INDIRECT(""'收支紀錄'!N""&amp;TO_TEXT(ROW()-$C$72))"),"")</f>
        <v/>
      </c>
      <c r="O518" s="61" t="str">
        <f>IFERROR(__xludf.DUMMYFUNCTION("INDIRECT(""'收支紀錄'!O""&amp;TO_TEXT(ROW()-$C$72))"),"")</f>
        <v/>
      </c>
      <c r="P518" s="61" t="str">
        <f>IFERROR(__xludf.DUMMYFUNCTION("INDIRECT(""'收支紀錄'!P""&amp;TO_TEXT(ROW()-$C$72))"),"")</f>
        <v/>
      </c>
      <c r="Q518" s="61" t="str">
        <f>IFERROR(__xludf.DUMMYFUNCTION("INDIRECT(""'收支紀錄'!Q""&amp;TO_TEXT(ROW()-$C$72))"),"")</f>
        <v/>
      </c>
      <c r="R518" s="61" t="str">
        <f>IFERROR(__xludf.DUMMYFUNCTION("INDIRECT(""'收支紀錄'!R""&amp;TO_TEXT(ROW()-$C$72))"),"")</f>
        <v/>
      </c>
      <c r="S518" s="61" t="str">
        <f>IFERROR(__xludf.DUMMYFUNCTION("INDIRECT(""'收支紀錄'!S""&amp;TO_TEXT(ROW()-$C$72))"),"")</f>
        <v/>
      </c>
      <c r="T518" s="61" t="str">
        <f>IFERROR(__xludf.DUMMYFUNCTION("INDIRECT(""'收支紀錄'!T""&amp;TO_TEXT(ROW()-$C$72))"),"")</f>
        <v/>
      </c>
      <c r="U518" s="62" t="str">
        <f>IFERROR(__xludf.DUMMYFUNCTION("IF(T518=""是"",TEXTJOIN("""", TRUE, ""$"", TO_TEXT(C518), S518),"""")"),"")</f>
        <v/>
      </c>
    </row>
    <row r="519">
      <c r="A519" s="58">
        <f>IFERROR(__xludf.DUMMYFUNCTION("INDIRECT(""'收支紀錄'!A""&amp;TO_TEXT(ROW()-$C$72))"),45644.543632754634)</f>
        <v>45644.54363</v>
      </c>
      <c r="B519" s="59">
        <f>IFERROR(__xludf.DUMMYFUNCTION("IF(ISBLANK(D519), """", IF(ISDATE(D519), D519, IF(D519=""今天"", A519, IF(D519=""昨天 (-1 day)"", A519-1, IF(D519=""前天 (-2 days)"", A519-2, IF(D519=""明天 (+1 day)"", A519+1, DATE(LEFT(D519,4), MID(D519,5,2), RIGHT(D519,2))))))))"),45644.543632754634)</f>
        <v>45644.54363</v>
      </c>
      <c r="C519" s="60">
        <f>IFERROR(__xludf.DUMMYFUNCTION("INDIRECT(""'收支紀錄'!C""&amp;TO_TEXT(ROW()-$C$72))"),160.0)</f>
        <v>160</v>
      </c>
      <c r="D519" s="63" t="str">
        <f>IFERROR(__xludf.DUMMYFUNCTION("INDIRECT(""'收支紀錄'!D""&amp;TO_TEXT(ROW()-$C$72))"),"今天")</f>
        <v>今天</v>
      </c>
      <c r="E519" s="61" t="str">
        <f>IFERROR(__xludf.DUMMYFUNCTION("INDIRECT(""'收支紀錄'!E""&amp;TO_TEXT(ROW()-$C$72))"),"")</f>
        <v/>
      </c>
      <c r="F519" s="61" t="str">
        <f>IFERROR(__xludf.DUMMYFUNCTION("INDIRECT(""'收支紀錄'!F""&amp;TO_TEXT(ROW()-$C$72))"),"")</f>
        <v/>
      </c>
      <c r="G519" s="61" t="str">
        <f>IFERROR(__xludf.DUMMYFUNCTION("INDIRECT(""'收支紀錄'!G""&amp;TO_TEXT(ROW()-$C$72))"),"")</f>
        <v/>
      </c>
      <c r="H519" s="61" t="str">
        <f>IFERROR(__xludf.DUMMYFUNCTION("INDIRECT(""'收支紀錄'!H""&amp;TO_TEXT(ROW()-$C$72))"),"食品酒水")</f>
        <v>食品酒水</v>
      </c>
      <c r="I519" s="61" t="str">
        <f>IFERROR(__xludf.DUMMYFUNCTION("INDIRECT(""'收支紀錄'!I""&amp;TO_TEXT(ROW()-$C$72))"),"午餐")</f>
        <v>午餐</v>
      </c>
      <c r="J519" s="61" t="str">
        <f>IFERROR(__xludf.DUMMYFUNCTION("INDIRECT(""'收支紀錄'!J""&amp;TO_TEXT(ROW()-$C$72))"),"")</f>
        <v/>
      </c>
      <c r="K519" s="61" t="str">
        <f>IFERROR(__xludf.DUMMYFUNCTION("INDIRECT(""'收支紀錄'!K""&amp;TO_TEXT(ROW()-$C$72))"),"")</f>
        <v/>
      </c>
      <c r="L519" s="61" t="str">
        <f>IFERROR(__xludf.DUMMYFUNCTION("INDIRECT(""'收支紀錄'!L""&amp;TO_TEXT(ROW()-$C$72))"),"")</f>
        <v/>
      </c>
      <c r="M519" s="61" t="str">
        <f>IFERROR(__xludf.DUMMYFUNCTION("INDIRECT(""'收支紀錄'!M""&amp;TO_TEXT(ROW()-$C$72))"),"")</f>
        <v/>
      </c>
      <c r="N519" s="61" t="str">
        <f>IFERROR(__xludf.DUMMYFUNCTION("INDIRECT(""'收支紀錄'!N""&amp;TO_TEXT(ROW()-$C$72))"),"")</f>
        <v/>
      </c>
      <c r="O519" s="61" t="str">
        <f>IFERROR(__xludf.DUMMYFUNCTION("INDIRECT(""'收支紀錄'!O""&amp;TO_TEXT(ROW()-$C$72))"),"")</f>
        <v/>
      </c>
      <c r="P519" s="61" t="str">
        <f>IFERROR(__xludf.DUMMYFUNCTION("INDIRECT(""'收支紀錄'!P""&amp;TO_TEXT(ROW()-$C$72))"),"")</f>
        <v/>
      </c>
      <c r="Q519" s="61" t="str">
        <f>IFERROR(__xludf.DUMMYFUNCTION("INDIRECT(""'收支紀錄'!Q""&amp;TO_TEXT(ROW()-$C$72))"),"")</f>
        <v/>
      </c>
      <c r="R519" s="61" t="str">
        <f>IFERROR(__xludf.DUMMYFUNCTION("INDIRECT(""'收支紀錄'!R""&amp;TO_TEXT(ROW()-$C$72))"),"")</f>
        <v/>
      </c>
      <c r="S519" s="61" t="str">
        <f>IFERROR(__xludf.DUMMYFUNCTION("INDIRECT(""'收支紀錄'!S""&amp;TO_TEXT(ROW()-$C$72))"),"")</f>
        <v/>
      </c>
      <c r="T519" s="61" t="str">
        <f>IFERROR(__xludf.DUMMYFUNCTION("INDIRECT(""'收支紀錄'!T""&amp;TO_TEXT(ROW()-$C$72))"),"")</f>
        <v/>
      </c>
      <c r="U519" s="62" t="str">
        <f>IFERROR(__xludf.DUMMYFUNCTION("IF(T519=""是"",TEXTJOIN("""", TRUE, ""$"", TO_TEXT(C519), S519),"""")"),"")</f>
        <v/>
      </c>
    </row>
    <row r="520">
      <c r="A520" s="58">
        <f>IFERROR(__xludf.DUMMYFUNCTION("INDIRECT(""'收支紀錄'!A""&amp;TO_TEXT(ROW()-$C$72))"),45644.54379296296)</f>
        <v>45644.54379</v>
      </c>
      <c r="B520" s="59">
        <f>IFERROR(__xludf.DUMMYFUNCTION("IF(ISBLANK(D520), """", IF(ISDATE(D520), D520, IF(D520=""今天"", A520, IF(D520=""昨天 (-1 day)"", A520-1, IF(D520=""前天 (-2 days)"", A520-2, IF(D520=""明天 (+1 day)"", A520+1, DATE(LEFT(D520,4), MID(D520,5,2), RIGHT(D520,2))))))))"),45644.54379296296)</f>
        <v>45644.54379</v>
      </c>
      <c r="C520" s="60">
        <f>IFERROR(__xludf.DUMMYFUNCTION("INDIRECT(""'收支紀錄'!C""&amp;TO_TEXT(ROW()-$C$72))"),55.0)</f>
        <v>55</v>
      </c>
      <c r="D520" s="63" t="str">
        <f>IFERROR(__xludf.DUMMYFUNCTION("INDIRECT(""'收支紀錄'!D""&amp;TO_TEXT(ROW()-$C$72))"),"今天")</f>
        <v>今天</v>
      </c>
      <c r="E520" s="61" t="str">
        <f>IFERROR(__xludf.DUMMYFUNCTION("INDIRECT(""'收支紀錄'!E""&amp;TO_TEXT(ROW()-$C$72))"),"")</f>
        <v/>
      </c>
      <c r="F520" s="61" t="str">
        <f>IFERROR(__xludf.DUMMYFUNCTION("INDIRECT(""'收支紀錄'!F""&amp;TO_TEXT(ROW()-$C$72))"),"")</f>
        <v/>
      </c>
      <c r="G520" s="61" t="str">
        <f>IFERROR(__xludf.DUMMYFUNCTION("INDIRECT(""'收支紀錄'!G""&amp;TO_TEXT(ROW()-$C$72))"),"")</f>
        <v/>
      </c>
      <c r="H520" s="61" t="str">
        <f>IFERROR(__xludf.DUMMYFUNCTION("INDIRECT(""'收支紀錄'!H""&amp;TO_TEXT(ROW()-$C$72))"),"食品酒水")</f>
        <v>食品酒水</v>
      </c>
      <c r="I520" s="61" t="str">
        <f>IFERROR(__xludf.DUMMYFUNCTION("INDIRECT(""'收支紀錄'!I""&amp;TO_TEXT(ROW()-$C$72))"),"飲料酒水")</f>
        <v>飲料酒水</v>
      </c>
      <c r="J520" s="61" t="str">
        <f>IFERROR(__xludf.DUMMYFUNCTION("INDIRECT(""'收支紀錄'!J""&amp;TO_TEXT(ROW()-$C$72))"),"")</f>
        <v/>
      </c>
      <c r="K520" s="61" t="str">
        <f>IFERROR(__xludf.DUMMYFUNCTION("INDIRECT(""'收支紀錄'!K""&amp;TO_TEXT(ROW()-$C$72))"),"")</f>
        <v/>
      </c>
      <c r="L520" s="61" t="str">
        <f>IFERROR(__xludf.DUMMYFUNCTION("INDIRECT(""'收支紀錄'!L""&amp;TO_TEXT(ROW()-$C$72))"),"")</f>
        <v/>
      </c>
      <c r="M520" s="61" t="str">
        <f>IFERROR(__xludf.DUMMYFUNCTION("INDIRECT(""'收支紀錄'!M""&amp;TO_TEXT(ROW()-$C$72))"),"")</f>
        <v/>
      </c>
      <c r="N520" s="61" t="str">
        <f>IFERROR(__xludf.DUMMYFUNCTION("INDIRECT(""'收支紀錄'!N""&amp;TO_TEXT(ROW()-$C$72))"),"")</f>
        <v/>
      </c>
      <c r="O520" s="61" t="str">
        <f>IFERROR(__xludf.DUMMYFUNCTION("INDIRECT(""'收支紀錄'!O""&amp;TO_TEXT(ROW()-$C$72))"),"")</f>
        <v/>
      </c>
      <c r="P520" s="61" t="str">
        <f>IFERROR(__xludf.DUMMYFUNCTION("INDIRECT(""'收支紀錄'!P""&amp;TO_TEXT(ROW()-$C$72))"),"")</f>
        <v/>
      </c>
      <c r="Q520" s="61" t="str">
        <f>IFERROR(__xludf.DUMMYFUNCTION("INDIRECT(""'收支紀錄'!Q""&amp;TO_TEXT(ROW()-$C$72))"),"")</f>
        <v/>
      </c>
      <c r="R520" s="61" t="str">
        <f>IFERROR(__xludf.DUMMYFUNCTION("INDIRECT(""'收支紀錄'!R""&amp;TO_TEXT(ROW()-$C$72))"),"")</f>
        <v/>
      </c>
      <c r="S520" s="61" t="str">
        <f>IFERROR(__xludf.DUMMYFUNCTION("INDIRECT(""'收支紀錄'!S""&amp;TO_TEXT(ROW()-$C$72))"),"")</f>
        <v/>
      </c>
      <c r="T520" s="61" t="str">
        <f>IFERROR(__xludf.DUMMYFUNCTION("INDIRECT(""'收支紀錄'!T""&amp;TO_TEXT(ROW()-$C$72))"),"")</f>
        <v/>
      </c>
      <c r="U520" s="62" t="str">
        <f>IFERROR(__xludf.DUMMYFUNCTION("IF(T520=""是"",TEXTJOIN("""", TRUE, ""$"", TO_TEXT(C520), S520),"""")"),"")</f>
        <v/>
      </c>
    </row>
    <row r="521">
      <c r="A521" s="58">
        <f>IFERROR(__xludf.DUMMYFUNCTION("INDIRECT(""'收支紀錄'!A""&amp;TO_TEXT(ROW()-$C$72))"),45644.82675876157)</f>
        <v>45644.82676</v>
      </c>
      <c r="B521" s="59">
        <f>IFERROR(__xludf.DUMMYFUNCTION("IF(ISBLANK(D521), """", IF(ISDATE(D521), D521, IF(D521=""今天"", A521, IF(D521=""昨天 (-1 day)"", A521-1, IF(D521=""前天 (-2 days)"", A521-2, IF(D521=""明天 (+1 day)"", A521+1, DATE(LEFT(D521,4), MID(D521,5,2), RIGHT(D521,2))))))))"),45644.82675876157)</f>
        <v>45644.82676</v>
      </c>
      <c r="C521" s="60">
        <f>IFERROR(__xludf.DUMMYFUNCTION("INDIRECT(""'收支紀錄'!C""&amp;TO_TEXT(ROW()-$C$72))"),75.0)</f>
        <v>75</v>
      </c>
      <c r="D521" s="63" t="str">
        <f>IFERROR(__xludf.DUMMYFUNCTION("INDIRECT(""'收支紀錄'!D""&amp;TO_TEXT(ROW()-$C$72))"),"今天")</f>
        <v>今天</v>
      </c>
      <c r="E521" s="61" t="str">
        <f>IFERROR(__xludf.DUMMYFUNCTION("INDIRECT(""'收支紀錄'!E""&amp;TO_TEXT(ROW()-$C$72))"),"")</f>
        <v/>
      </c>
      <c r="F521" s="61" t="str">
        <f>IFERROR(__xludf.DUMMYFUNCTION("INDIRECT(""'收支紀錄'!F""&amp;TO_TEXT(ROW()-$C$72))"),"")</f>
        <v/>
      </c>
      <c r="G521" s="61" t="str">
        <f>IFERROR(__xludf.DUMMYFUNCTION("INDIRECT(""'收支紀錄'!G""&amp;TO_TEXT(ROW()-$C$72))"),"")</f>
        <v/>
      </c>
      <c r="H521" s="61" t="str">
        <f>IFERROR(__xludf.DUMMYFUNCTION("INDIRECT(""'收支紀錄'!H""&amp;TO_TEXT(ROW()-$C$72))"),"食品酒水")</f>
        <v>食品酒水</v>
      </c>
      <c r="I521" s="61" t="str">
        <f>IFERROR(__xludf.DUMMYFUNCTION("INDIRECT(""'收支紀錄'!I""&amp;TO_TEXT(ROW()-$C$72))"),"晚餐")</f>
        <v>晚餐</v>
      </c>
      <c r="J521" s="61" t="str">
        <f>IFERROR(__xludf.DUMMYFUNCTION("INDIRECT(""'收支紀錄'!J""&amp;TO_TEXT(ROW()-$C$72))"),"")</f>
        <v/>
      </c>
      <c r="K521" s="61" t="str">
        <f>IFERROR(__xludf.DUMMYFUNCTION("INDIRECT(""'收支紀錄'!K""&amp;TO_TEXT(ROW()-$C$72))"),"")</f>
        <v/>
      </c>
      <c r="L521" s="61" t="str">
        <f>IFERROR(__xludf.DUMMYFUNCTION("INDIRECT(""'收支紀錄'!L""&amp;TO_TEXT(ROW()-$C$72))"),"")</f>
        <v/>
      </c>
      <c r="M521" s="61" t="str">
        <f>IFERROR(__xludf.DUMMYFUNCTION("INDIRECT(""'收支紀錄'!M""&amp;TO_TEXT(ROW()-$C$72))"),"")</f>
        <v/>
      </c>
      <c r="N521" s="61" t="str">
        <f>IFERROR(__xludf.DUMMYFUNCTION("INDIRECT(""'收支紀錄'!N""&amp;TO_TEXT(ROW()-$C$72))"),"")</f>
        <v/>
      </c>
      <c r="O521" s="61" t="str">
        <f>IFERROR(__xludf.DUMMYFUNCTION("INDIRECT(""'收支紀錄'!O""&amp;TO_TEXT(ROW()-$C$72))"),"")</f>
        <v/>
      </c>
      <c r="P521" s="61" t="str">
        <f>IFERROR(__xludf.DUMMYFUNCTION("INDIRECT(""'收支紀錄'!P""&amp;TO_TEXT(ROW()-$C$72))"),"")</f>
        <v/>
      </c>
      <c r="Q521" s="61" t="str">
        <f>IFERROR(__xludf.DUMMYFUNCTION("INDIRECT(""'收支紀錄'!Q""&amp;TO_TEXT(ROW()-$C$72))"),"")</f>
        <v/>
      </c>
      <c r="R521" s="61" t="str">
        <f>IFERROR(__xludf.DUMMYFUNCTION("INDIRECT(""'收支紀錄'!R""&amp;TO_TEXT(ROW()-$C$72))"),"")</f>
        <v/>
      </c>
      <c r="S521" s="61" t="str">
        <f>IFERROR(__xludf.DUMMYFUNCTION("INDIRECT(""'收支紀錄'!S""&amp;TO_TEXT(ROW()-$C$72))"),"")</f>
        <v/>
      </c>
      <c r="T521" s="61" t="str">
        <f>IFERROR(__xludf.DUMMYFUNCTION("INDIRECT(""'收支紀錄'!T""&amp;TO_TEXT(ROW()-$C$72))"),"")</f>
        <v/>
      </c>
      <c r="U521" s="62" t="str">
        <f>IFERROR(__xludf.DUMMYFUNCTION("IF(T521=""是"",TEXTJOIN("""", TRUE, ""$"", TO_TEXT(C521), S521),"""")"),"")</f>
        <v/>
      </c>
    </row>
    <row r="522">
      <c r="A522" s="58">
        <f>IFERROR(__xludf.DUMMYFUNCTION("INDIRECT(""'收支紀錄'!A""&amp;TO_TEXT(ROW()-$C$72))"),45646.81582217592)</f>
        <v>45646.81582</v>
      </c>
      <c r="B522" s="59">
        <f>IFERROR(__xludf.DUMMYFUNCTION("IF(ISBLANK(D522), """", IF(ISDATE(D522), D522, IF(D522=""今天"", A522, IF(D522=""昨天 (-1 day)"", A522-1, IF(D522=""前天 (-2 days)"", A522-2, IF(D522=""明天 (+1 day)"", A522+1, DATE(LEFT(D522,4), MID(D522,5,2), RIGHT(D522,2))))))))"),45646.81582217592)</f>
        <v>45646.81582</v>
      </c>
      <c r="C522" s="60">
        <f>IFERROR(__xludf.DUMMYFUNCTION("INDIRECT(""'收支紀錄'!C""&amp;TO_TEXT(ROW()-$C$72))"),91.0)</f>
        <v>91</v>
      </c>
      <c r="D522" s="63" t="str">
        <f>IFERROR(__xludf.DUMMYFUNCTION("INDIRECT(""'收支紀錄'!D""&amp;TO_TEXT(ROW()-$C$72))"),"今天")</f>
        <v>今天</v>
      </c>
      <c r="E522" s="61" t="str">
        <f>IFERROR(__xludf.DUMMYFUNCTION("INDIRECT(""'收支紀錄'!E""&amp;TO_TEXT(ROW()-$C$72))"),"")</f>
        <v/>
      </c>
      <c r="F522" s="61" t="str">
        <f>IFERROR(__xludf.DUMMYFUNCTION("INDIRECT(""'收支紀錄'!F""&amp;TO_TEXT(ROW()-$C$72))"),"")</f>
        <v/>
      </c>
      <c r="G522" s="61" t="str">
        <f>IFERROR(__xludf.DUMMYFUNCTION("INDIRECT(""'收支紀錄'!G""&amp;TO_TEXT(ROW()-$C$72))"),"")</f>
        <v/>
      </c>
      <c r="H522" s="61" t="str">
        <f>IFERROR(__xludf.DUMMYFUNCTION("INDIRECT(""'收支紀錄'!H""&amp;TO_TEXT(ROW()-$C$72))"),"行車交通")</f>
        <v>行車交通</v>
      </c>
      <c r="I522" s="61" t="str">
        <f>IFERROR(__xludf.DUMMYFUNCTION("INDIRECT(""'收支紀錄'!I""&amp;TO_TEXT(ROW()-$C$72))"),"")</f>
        <v/>
      </c>
      <c r="J522" s="61" t="str">
        <f>IFERROR(__xludf.DUMMYFUNCTION("INDIRECT(""'收支紀錄'!J""&amp;TO_TEXT(ROW()-$C$72))"),"")</f>
        <v/>
      </c>
      <c r="K522" s="61" t="str">
        <f>IFERROR(__xludf.DUMMYFUNCTION("INDIRECT(""'收支紀錄'!K""&amp;TO_TEXT(ROW()-$C$72))"),"")</f>
        <v/>
      </c>
      <c r="L522" s="61" t="str">
        <f>IFERROR(__xludf.DUMMYFUNCTION("INDIRECT(""'收支紀錄'!L""&amp;TO_TEXT(ROW()-$C$72))"),"火車費")</f>
        <v>火車費</v>
      </c>
      <c r="M522" s="61" t="str">
        <f>IFERROR(__xludf.DUMMYFUNCTION("INDIRECT(""'收支紀錄'!M""&amp;TO_TEXT(ROW()-$C$72))"),"")</f>
        <v/>
      </c>
      <c r="N522" s="61" t="str">
        <f>IFERROR(__xludf.DUMMYFUNCTION("INDIRECT(""'收支紀錄'!N""&amp;TO_TEXT(ROW()-$C$72))"),"")</f>
        <v/>
      </c>
      <c r="O522" s="61" t="str">
        <f>IFERROR(__xludf.DUMMYFUNCTION("INDIRECT(""'收支紀錄'!O""&amp;TO_TEXT(ROW()-$C$72))"),"")</f>
        <v/>
      </c>
      <c r="P522" s="61" t="str">
        <f>IFERROR(__xludf.DUMMYFUNCTION("INDIRECT(""'收支紀錄'!P""&amp;TO_TEXT(ROW()-$C$72))"),"")</f>
        <v/>
      </c>
      <c r="Q522" s="61" t="str">
        <f>IFERROR(__xludf.DUMMYFUNCTION("INDIRECT(""'收支紀錄'!Q""&amp;TO_TEXT(ROW()-$C$72))"),"")</f>
        <v/>
      </c>
      <c r="R522" s="61" t="str">
        <f>IFERROR(__xludf.DUMMYFUNCTION("INDIRECT(""'收支紀錄'!R""&amp;TO_TEXT(ROW()-$C$72))"),"")</f>
        <v/>
      </c>
      <c r="S522" s="61" t="str">
        <f>IFERROR(__xludf.DUMMYFUNCTION("INDIRECT(""'收支紀錄'!S""&amp;TO_TEXT(ROW()-$C$72))"),"")</f>
        <v/>
      </c>
      <c r="T522" s="61" t="str">
        <f>IFERROR(__xludf.DUMMYFUNCTION("INDIRECT(""'收支紀錄'!T""&amp;TO_TEXT(ROW()-$C$72))"),"")</f>
        <v/>
      </c>
      <c r="U522" s="62" t="str">
        <f>IFERROR(__xludf.DUMMYFUNCTION("IF(T522=""是"",TEXTJOIN("""", TRUE, ""$"", TO_TEXT(C522), S522),"""")"),"")</f>
        <v/>
      </c>
    </row>
    <row r="523">
      <c r="A523" s="58">
        <f>IFERROR(__xludf.DUMMYFUNCTION("INDIRECT(""'收支紀錄'!A""&amp;TO_TEXT(ROW()-$C$72))"),45646.81599541666)</f>
        <v>45646.816</v>
      </c>
      <c r="B523" s="59">
        <f>IFERROR(__xludf.DUMMYFUNCTION("IF(ISBLANK(D523), """", IF(ISDATE(D523), D523, IF(D523=""今天"", A523, IF(D523=""昨天 (-1 day)"", A523-1, IF(D523=""前天 (-2 days)"", A523-2, IF(D523=""明天 (+1 day)"", A523+1, DATE(LEFT(D523,4), MID(D523,5,2), RIGHT(D523,2))))))))"),45646.81599541666)</f>
        <v>45646.816</v>
      </c>
      <c r="C523" s="60">
        <f>IFERROR(__xludf.DUMMYFUNCTION("INDIRECT(""'收支紀錄'!C""&amp;TO_TEXT(ROW()-$C$72))"),20.0)</f>
        <v>20</v>
      </c>
      <c r="D523" s="63" t="str">
        <f>IFERROR(__xludf.DUMMYFUNCTION("INDIRECT(""'收支紀錄'!D""&amp;TO_TEXT(ROW()-$C$72))"),"今天")</f>
        <v>今天</v>
      </c>
      <c r="E523" s="61" t="str">
        <f>IFERROR(__xludf.DUMMYFUNCTION("INDIRECT(""'收支紀錄'!E""&amp;TO_TEXT(ROW()-$C$72))"),"")</f>
        <v/>
      </c>
      <c r="F523" s="61" t="str">
        <f>IFERROR(__xludf.DUMMYFUNCTION("INDIRECT(""'收支紀錄'!F""&amp;TO_TEXT(ROW()-$C$72))"),"")</f>
        <v/>
      </c>
      <c r="G523" s="61" t="str">
        <f>IFERROR(__xludf.DUMMYFUNCTION("INDIRECT(""'收支紀錄'!G""&amp;TO_TEXT(ROW()-$C$72))"),"")</f>
        <v/>
      </c>
      <c r="H523" s="61" t="str">
        <f>IFERROR(__xludf.DUMMYFUNCTION("INDIRECT(""'收支紀錄'!H""&amp;TO_TEXT(ROW()-$C$72))"),"行車交通")</f>
        <v>行車交通</v>
      </c>
      <c r="I523" s="61" t="str">
        <f>IFERROR(__xludf.DUMMYFUNCTION("INDIRECT(""'收支紀錄'!I""&amp;TO_TEXT(ROW()-$C$72))"),"")</f>
        <v/>
      </c>
      <c r="J523" s="61" t="str">
        <f>IFERROR(__xludf.DUMMYFUNCTION("INDIRECT(""'收支紀錄'!J""&amp;TO_TEXT(ROW()-$C$72))"),"")</f>
        <v/>
      </c>
      <c r="K523" s="61" t="str">
        <f>IFERROR(__xludf.DUMMYFUNCTION("INDIRECT(""'收支紀錄'!K""&amp;TO_TEXT(ROW()-$C$72))"),"")</f>
        <v/>
      </c>
      <c r="L523" s="61" t="str">
        <f>IFERROR(__xludf.DUMMYFUNCTION("INDIRECT(""'收支紀錄'!L""&amp;TO_TEXT(ROW()-$C$72))"),"捷運費")</f>
        <v>捷運費</v>
      </c>
      <c r="M523" s="61" t="str">
        <f>IFERROR(__xludf.DUMMYFUNCTION("INDIRECT(""'收支紀錄'!M""&amp;TO_TEXT(ROW()-$C$72))"),"")</f>
        <v/>
      </c>
      <c r="N523" s="61" t="str">
        <f>IFERROR(__xludf.DUMMYFUNCTION("INDIRECT(""'收支紀錄'!N""&amp;TO_TEXT(ROW()-$C$72))"),"")</f>
        <v/>
      </c>
      <c r="O523" s="61" t="str">
        <f>IFERROR(__xludf.DUMMYFUNCTION("INDIRECT(""'收支紀錄'!O""&amp;TO_TEXT(ROW()-$C$72))"),"")</f>
        <v/>
      </c>
      <c r="P523" s="61" t="str">
        <f>IFERROR(__xludf.DUMMYFUNCTION("INDIRECT(""'收支紀錄'!P""&amp;TO_TEXT(ROW()-$C$72))"),"")</f>
        <v/>
      </c>
      <c r="Q523" s="61" t="str">
        <f>IFERROR(__xludf.DUMMYFUNCTION("INDIRECT(""'收支紀錄'!Q""&amp;TO_TEXT(ROW()-$C$72))"),"")</f>
        <v/>
      </c>
      <c r="R523" s="61" t="str">
        <f>IFERROR(__xludf.DUMMYFUNCTION("INDIRECT(""'收支紀錄'!R""&amp;TO_TEXT(ROW()-$C$72))"),"")</f>
        <v/>
      </c>
      <c r="S523" s="61" t="str">
        <f>IFERROR(__xludf.DUMMYFUNCTION("INDIRECT(""'收支紀錄'!S""&amp;TO_TEXT(ROW()-$C$72))"),"")</f>
        <v/>
      </c>
      <c r="T523" s="61" t="str">
        <f>IFERROR(__xludf.DUMMYFUNCTION("INDIRECT(""'收支紀錄'!T""&amp;TO_TEXT(ROW()-$C$72))"),"")</f>
        <v/>
      </c>
      <c r="U523" s="62" t="str">
        <f>IFERROR(__xludf.DUMMYFUNCTION("IF(T523=""是"",TEXTJOIN("""", TRUE, ""$"", TO_TEXT(C523), S523),"""")"),"")</f>
        <v/>
      </c>
    </row>
    <row r="524">
      <c r="A524" s="58">
        <f>IFERROR(__xludf.DUMMYFUNCTION("INDIRECT(""'收支紀錄'!A""&amp;TO_TEXT(ROW()-$C$72))"),45647.43221745371)</f>
        <v>45647.43222</v>
      </c>
      <c r="B524" s="59">
        <f>IFERROR(__xludf.DUMMYFUNCTION("IF(ISBLANK(D524), """", IF(ISDATE(D524), D524, IF(D524=""今天"", A524, IF(D524=""昨天 (-1 day)"", A524-1, IF(D524=""前天 (-2 days)"", A524-2, IF(D524=""明天 (+1 day)"", A524+1, DATE(LEFT(D524,4), MID(D524,5,2), RIGHT(D524,2))))))))"),45647.43221745371)</f>
        <v>45647.43222</v>
      </c>
      <c r="C524" s="60">
        <f>IFERROR(__xludf.DUMMYFUNCTION("INDIRECT(""'收支紀錄'!C""&amp;TO_TEXT(ROW()-$C$72))"),250.0)</f>
        <v>250</v>
      </c>
      <c r="D524" s="63" t="str">
        <f>IFERROR(__xludf.DUMMYFUNCTION("INDIRECT(""'收支紀錄'!D""&amp;TO_TEXT(ROW()-$C$72))"),"今天")</f>
        <v>今天</v>
      </c>
      <c r="E524" s="61" t="str">
        <f>IFERROR(__xludf.DUMMYFUNCTION("INDIRECT(""'收支紀錄'!E""&amp;TO_TEXT(ROW()-$C$72))"),"")</f>
        <v/>
      </c>
      <c r="F524" s="61" t="str">
        <f>IFERROR(__xludf.DUMMYFUNCTION("INDIRECT(""'收支紀錄'!F""&amp;TO_TEXT(ROW()-$C$72))"),"")</f>
        <v/>
      </c>
      <c r="G524" s="61" t="str">
        <f>IFERROR(__xludf.DUMMYFUNCTION("INDIRECT(""'收支紀錄'!G""&amp;TO_TEXT(ROW()-$C$72))"),"")</f>
        <v/>
      </c>
      <c r="H524" s="61" t="str">
        <f>IFERROR(__xludf.DUMMYFUNCTION("INDIRECT(""'收支紀錄'!H""&amp;TO_TEXT(ROW()-$C$72))"),"醫療費用")</f>
        <v>醫療費用</v>
      </c>
      <c r="I524" s="61" t="str">
        <f>IFERROR(__xludf.DUMMYFUNCTION("INDIRECT(""'收支紀錄'!I""&amp;TO_TEXT(ROW()-$C$72))"),"")</f>
        <v/>
      </c>
      <c r="J524" s="61" t="str">
        <f>IFERROR(__xludf.DUMMYFUNCTION("INDIRECT(""'收支紀錄'!J""&amp;TO_TEXT(ROW()-$C$72))"),"")</f>
        <v/>
      </c>
      <c r="K524" s="61" t="str">
        <f>IFERROR(__xludf.DUMMYFUNCTION("INDIRECT(""'收支紀錄'!K""&amp;TO_TEXT(ROW()-$C$72))"),"")</f>
        <v/>
      </c>
      <c r="L524" s="61" t="str">
        <f>IFERROR(__xludf.DUMMYFUNCTION("INDIRECT(""'收支紀錄'!L""&amp;TO_TEXT(ROW()-$C$72))"),"")</f>
        <v/>
      </c>
      <c r="M524" s="61" t="str">
        <f>IFERROR(__xludf.DUMMYFUNCTION("INDIRECT(""'收支紀錄'!M""&amp;TO_TEXT(ROW()-$C$72))"),"")</f>
        <v/>
      </c>
      <c r="N524" s="61" t="str">
        <f>IFERROR(__xludf.DUMMYFUNCTION("INDIRECT(""'收支紀錄'!N""&amp;TO_TEXT(ROW()-$C$72))"),"")</f>
        <v/>
      </c>
      <c r="O524" s="61" t="str">
        <f>IFERROR(__xludf.DUMMYFUNCTION("INDIRECT(""'收支紀錄'!O""&amp;TO_TEXT(ROW()-$C$72))"),"生病醫療")</f>
        <v>生病醫療</v>
      </c>
      <c r="P524" s="61" t="str">
        <f>IFERROR(__xludf.DUMMYFUNCTION("INDIRECT(""'收支紀錄'!P""&amp;TO_TEXT(ROW()-$C$72))"),"")</f>
        <v/>
      </c>
      <c r="Q524" s="61" t="str">
        <f>IFERROR(__xludf.DUMMYFUNCTION("INDIRECT(""'收支紀錄'!Q""&amp;TO_TEXT(ROW()-$C$72))"),"")</f>
        <v/>
      </c>
      <c r="R524" s="61" t="str">
        <f>IFERROR(__xludf.DUMMYFUNCTION("INDIRECT(""'收支紀錄'!R""&amp;TO_TEXT(ROW()-$C$72))"),"")</f>
        <v/>
      </c>
      <c r="S524" s="61" t="str">
        <f>IFERROR(__xludf.DUMMYFUNCTION("INDIRECT(""'收支紀錄'!S""&amp;TO_TEXT(ROW()-$C$72))"),"")</f>
        <v/>
      </c>
      <c r="T524" s="61" t="str">
        <f>IFERROR(__xludf.DUMMYFUNCTION("INDIRECT(""'收支紀錄'!T""&amp;TO_TEXT(ROW()-$C$72))"),"")</f>
        <v/>
      </c>
      <c r="U524" s="62" t="str">
        <f>IFERROR(__xludf.DUMMYFUNCTION("IF(T524=""是"",TEXTJOIN("""", TRUE, ""$"", TO_TEXT(C524), S524),"""")"),"")</f>
        <v/>
      </c>
    </row>
    <row r="525">
      <c r="A525" s="58">
        <f>IFERROR(__xludf.DUMMYFUNCTION("INDIRECT(""'收支紀錄'!A""&amp;TO_TEXT(ROW()-$C$72))"),45647.432358391205)</f>
        <v>45647.43236</v>
      </c>
      <c r="B525" s="59">
        <f>IFERROR(__xludf.DUMMYFUNCTION("IF(ISBLANK(D525), """", IF(ISDATE(D525), D525, IF(D525=""今天"", A525, IF(D525=""昨天 (-1 day)"", A525-1, IF(D525=""前天 (-2 days)"", A525-2, IF(D525=""明天 (+1 day)"", A525+1, DATE(LEFT(D525,4), MID(D525,5,2), RIGHT(D525,2))))))))"),45647.432358391205)</f>
        <v>45647.43236</v>
      </c>
      <c r="C525" s="60">
        <f>IFERROR(__xludf.DUMMYFUNCTION("INDIRECT(""'收支紀錄'!C""&amp;TO_TEXT(ROW()-$C$72))"),20.0)</f>
        <v>20</v>
      </c>
      <c r="D525" s="63" t="str">
        <f>IFERROR(__xludf.DUMMYFUNCTION("INDIRECT(""'收支紀錄'!D""&amp;TO_TEXT(ROW()-$C$72))"),"今天")</f>
        <v>今天</v>
      </c>
      <c r="E525" s="61" t="str">
        <f>IFERROR(__xludf.DUMMYFUNCTION("INDIRECT(""'收支紀錄'!E""&amp;TO_TEXT(ROW()-$C$72))"),"")</f>
        <v/>
      </c>
      <c r="F525" s="61" t="str">
        <f>IFERROR(__xludf.DUMMYFUNCTION("INDIRECT(""'收支紀錄'!F""&amp;TO_TEXT(ROW()-$C$72))"),"")</f>
        <v/>
      </c>
      <c r="G525" s="61" t="str">
        <f>IFERROR(__xludf.DUMMYFUNCTION("INDIRECT(""'收支紀錄'!G""&amp;TO_TEXT(ROW()-$C$72))"),"")</f>
        <v/>
      </c>
      <c r="H525" s="61" t="str">
        <f>IFERROR(__xludf.DUMMYFUNCTION("INDIRECT(""'收支紀錄'!H""&amp;TO_TEXT(ROW()-$C$72))"),"日常生活")</f>
        <v>日常生活</v>
      </c>
      <c r="I525" s="61" t="str">
        <f>IFERROR(__xludf.DUMMYFUNCTION("INDIRECT(""'收支紀錄'!I""&amp;TO_TEXT(ROW()-$C$72))"),"")</f>
        <v/>
      </c>
      <c r="J525" s="61" t="str">
        <f>IFERROR(__xludf.DUMMYFUNCTION("INDIRECT(""'收支紀錄'!J""&amp;TO_TEXT(ROW()-$C$72))"),"日常用品")</f>
        <v>日常用品</v>
      </c>
      <c r="K525" s="61" t="str">
        <f>IFERROR(__xludf.DUMMYFUNCTION("INDIRECT(""'收支紀錄'!K""&amp;TO_TEXT(ROW()-$C$72))"),"")</f>
        <v/>
      </c>
      <c r="L525" s="61" t="str">
        <f>IFERROR(__xludf.DUMMYFUNCTION("INDIRECT(""'收支紀錄'!L""&amp;TO_TEXT(ROW()-$C$72))"),"")</f>
        <v/>
      </c>
      <c r="M525" s="61" t="str">
        <f>IFERROR(__xludf.DUMMYFUNCTION("INDIRECT(""'收支紀錄'!M""&amp;TO_TEXT(ROW()-$C$72))"),"")</f>
        <v/>
      </c>
      <c r="N525" s="61" t="str">
        <f>IFERROR(__xludf.DUMMYFUNCTION("INDIRECT(""'收支紀錄'!N""&amp;TO_TEXT(ROW()-$C$72))"),"")</f>
        <v/>
      </c>
      <c r="O525" s="61" t="str">
        <f>IFERROR(__xludf.DUMMYFUNCTION("INDIRECT(""'收支紀錄'!O""&amp;TO_TEXT(ROW()-$C$72))"),"")</f>
        <v/>
      </c>
      <c r="P525" s="61" t="str">
        <f>IFERROR(__xludf.DUMMYFUNCTION("INDIRECT(""'收支紀錄'!P""&amp;TO_TEXT(ROW()-$C$72))"),"")</f>
        <v/>
      </c>
      <c r="Q525" s="61" t="str">
        <f>IFERROR(__xludf.DUMMYFUNCTION("INDIRECT(""'收支紀錄'!Q""&amp;TO_TEXT(ROW()-$C$72))"),"")</f>
        <v/>
      </c>
      <c r="R525" s="61" t="str">
        <f>IFERROR(__xludf.DUMMYFUNCTION("INDIRECT(""'收支紀錄'!R""&amp;TO_TEXT(ROW()-$C$72))"),"")</f>
        <v/>
      </c>
      <c r="S525" s="61" t="str">
        <f>IFERROR(__xludf.DUMMYFUNCTION("INDIRECT(""'收支紀錄'!S""&amp;TO_TEXT(ROW()-$C$72))"),"")</f>
        <v/>
      </c>
      <c r="T525" s="61" t="str">
        <f>IFERROR(__xludf.DUMMYFUNCTION("INDIRECT(""'收支紀錄'!T""&amp;TO_TEXT(ROW()-$C$72))"),"")</f>
        <v/>
      </c>
      <c r="U525" s="62" t="str">
        <f>IFERROR(__xludf.DUMMYFUNCTION("IF(T525=""是"",TEXTJOIN("""", TRUE, ""$"", TO_TEXT(C525), S525),"""")"),"")</f>
        <v/>
      </c>
    </row>
    <row r="526">
      <c r="A526" s="58">
        <f>IFERROR(__xludf.DUMMYFUNCTION("INDIRECT(""'收支紀錄'!A""&amp;TO_TEXT(ROW()-$C$72))"),45647.57665422454)</f>
        <v>45647.57665</v>
      </c>
      <c r="B526" s="59">
        <f>IFERROR(__xludf.DUMMYFUNCTION("IF(ISBLANK(D526), """", IF(ISDATE(D526), D526, IF(D526=""今天"", A526, IF(D526=""昨天 (-1 day)"", A526-1, IF(D526=""前天 (-2 days)"", A526-2, IF(D526=""明天 (+1 day)"", A526+1, DATE(LEFT(D526,4), MID(D526,5,2), RIGHT(D526,2))))))))"),45647.57665422454)</f>
        <v>45647.57665</v>
      </c>
      <c r="C526" s="60">
        <f>IFERROR(__xludf.DUMMYFUNCTION("INDIRECT(""'收支紀錄'!C""&amp;TO_TEXT(ROW()-$C$72))"),600.0)</f>
        <v>600</v>
      </c>
      <c r="D526" s="63" t="str">
        <f>IFERROR(__xludf.DUMMYFUNCTION("INDIRECT(""'收支紀錄'!D""&amp;TO_TEXT(ROW()-$C$72))"),"今天")</f>
        <v>今天</v>
      </c>
      <c r="E526" s="61" t="str">
        <f>IFERROR(__xludf.DUMMYFUNCTION("INDIRECT(""'收支紀錄'!E""&amp;TO_TEXT(ROW()-$C$72))"),"")</f>
        <v/>
      </c>
      <c r="F526" s="61" t="str">
        <f>IFERROR(__xludf.DUMMYFUNCTION("INDIRECT(""'收支紀錄'!F""&amp;TO_TEXT(ROW()-$C$72))"),"")</f>
        <v/>
      </c>
      <c r="G526" s="61" t="str">
        <f>IFERROR(__xludf.DUMMYFUNCTION("INDIRECT(""'收支紀錄'!G""&amp;TO_TEXT(ROW()-$C$72))"),"")</f>
        <v/>
      </c>
      <c r="H526" s="61" t="str">
        <f>IFERROR(__xludf.DUMMYFUNCTION("INDIRECT(""'收支紀錄'!H""&amp;TO_TEXT(ROW()-$C$72))"),"休閒娛樂")</f>
        <v>休閒娛樂</v>
      </c>
      <c r="I526" s="61" t="str">
        <f>IFERROR(__xludf.DUMMYFUNCTION("INDIRECT(""'收支紀錄'!I""&amp;TO_TEXT(ROW()-$C$72))"),"")</f>
        <v/>
      </c>
      <c r="J526" s="61" t="str">
        <f>IFERROR(__xludf.DUMMYFUNCTION("INDIRECT(""'收支紀錄'!J""&amp;TO_TEXT(ROW()-$C$72))"),"")</f>
        <v/>
      </c>
      <c r="K526" s="61" t="str">
        <f>IFERROR(__xludf.DUMMYFUNCTION("INDIRECT(""'收支紀錄'!K""&amp;TO_TEXT(ROW()-$C$72))"),"")</f>
        <v/>
      </c>
      <c r="L526" s="61" t="str">
        <f>IFERROR(__xludf.DUMMYFUNCTION("INDIRECT(""'收支紀錄'!L""&amp;TO_TEXT(ROW()-$C$72))"),"")</f>
        <v/>
      </c>
      <c r="M526" s="61" t="str">
        <f>IFERROR(__xludf.DUMMYFUNCTION("INDIRECT(""'收支紀錄'!M""&amp;TO_TEXT(ROW()-$C$72))"),"剪髮")</f>
        <v>剪髮</v>
      </c>
      <c r="N526" s="61" t="str">
        <f>IFERROR(__xludf.DUMMYFUNCTION("INDIRECT(""'收支紀錄'!N""&amp;TO_TEXT(ROW()-$C$72))"),"")</f>
        <v/>
      </c>
      <c r="O526" s="61" t="str">
        <f>IFERROR(__xludf.DUMMYFUNCTION("INDIRECT(""'收支紀錄'!O""&amp;TO_TEXT(ROW()-$C$72))"),"")</f>
        <v/>
      </c>
      <c r="P526" s="61" t="str">
        <f>IFERROR(__xludf.DUMMYFUNCTION("INDIRECT(""'收支紀錄'!P""&amp;TO_TEXT(ROW()-$C$72))"),"")</f>
        <v/>
      </c>
      <c r="Q526" s="61" t="str">
        <f>IFERROR(__xludf.DUMMYFUNCTION("INDIRECT(""'收支紀錄'!Q""&amp;TO_TEXT(ROW()-$C$72))"),"")</f>
        <v/>
      </c>
      <c r="R526" s="61" t="str">
        <f>IFERROR(__xludf.DUMMYFUNCTION("INDIRECT(""'收支紀錄'!R""&amp;TO_TEXT(ROW()-$C$72))"),"")</f>
        <v/>
      </c>
      <c r="S526" s="61" t="str">
        <f>IFERROR(__xludf.DUMMYFUNCTION("INDIRECT(""'收支紀錄'!S""&amp;TO_TEXT(ROW()-$C$72))"),"")</f>
        <v/>
      </c>
      <c r="T526" s="61" t="str">
        <f>IFERROR(__xludf.DUMMYFUNCTION("INDIRECT(""'收支紀錄'!T""&amp;TO_TEXT(ROW()-$C$72))"),"")</f>
        <v/>
      </c>
      <c r="U526" s="62" t="str">
        <f>IFERROR(__xludf.DUMMYFUNCTION("IF(T526=""是"",TEXTJOIN("""", TRUE, ""$"", TO_TEXT(C526), S526),"""")"),"")</f>
        <v/>
      </c>
    </row>
    <row r="527">
      <c r="A527" s="58">
        <f>IFERROR(__xludf.DUMMYFUNCTION("INDIRECT(""'收支紀錄'!A""&amp;TO_TEXT(ROW()-$C$72))"),45648.43143560185)</f>
        <v>45648.43144</v>
      </c>
      <c r="B527" s="59">
        <f>IFERROR(__xludf.DUMMYFUNCTION("IF(ISBLANK(D527), """", IF(ISDATE(D527), D527, IF(D527=""今天"", A527, IF(D527=""昨天 (-1 day)"", A527-1, IF(D527=""前天 (-2 days)"", A527-2, IF(D527=""明天 (+1 day)"", A527+1, DATE(LEFT(D527,4), MID(D527,5,2), RIGHT(D527,2))))))))"),45648.43143560185)</f>
        <v>45648.43144</v>
      </c>
      <c r="C527" s="60">
        <f>IFERROR(__xludf.DUMMYFUNCTION("INDIRECT(""'收支紀錄'!C""&amp;TO_TEXT(ROW()-$C$72))"),40.0)</f>
        <v>40</v>
      </c>
      <c r="D527" s="63" t="str">
        <f>IFERROR(__xludf.DUMMYFUNCTION("INDIRECT(""'收支紀錄'!D""&amp;TO_TEXT(ROW()-$C$72))"),"今天")</f>
        <v>今天</v>
      </c>
      <c r="E527" s="61" t="str">
        <f>IFERROR(__xludf.DUMMYFUNCTION("INDIRECT(""'收支紀錄'!E""&amp;TO_TEXT(ROW()-$C$72))"),"")</f>
        <v/>
      </c>
      <c r="F527" s="61" t="str">
        <f>IFERROR(__xludf.DUMMYFUNCTION("INDIRECT(""'收支紀錄'!F""&amp;TO_TEXT(ROW()-$C$72))"),"")</f>
        <v/>
      </c>
      <c r="G527" s="61" t="str">
        <f>IFERROR(__xludf.DUMMYFUNCTION("INDIRECT(""'收支紀錄'!G""&amp;TO_TEXT(ROW()-$C$72))"),"")</f>
        <v/>
      </c>
      <c r="H527" s="61" t="str">
        <f>IFERROR(__xludf.DUMMYFUNCTION("INDIRECT(""'收支紀錄'!H""&amp;TO_TEXT(ROW()-$C$72))"),"行車交通")</f>
        <v>行車交通</v>
      </c>
      <c r="I527" s="61" t="str">
        <f>IFERROR(__xludf.DUMMYFUNCTION("INDIRECT(""'收支紀錄'!I""&amp;TO_TEXT(ROW()-$C$72))"),"")</f>
        <v/>
      </c>
      <c r="J527" s="61" t="str">
        <f>IFERROR(__xludf.DUMMYFUNCTION("INDIRECT(""'收支紀錄'!J""&amp;TO_TEXT(ROW()-$C$72))"),"")</f>
        <v/>
      </c>
      <c r="K527" s="61" t="str">
        <f>IFERROR(__xludf.DUMMYFUNCTION("INDIRECT(""'收支紀錄'!K""&amp;TO_TEXT(ROW()-$C$72))"),"")</f>
        <v/>
      </c>
      <c r="L527" s="61" t="str">
        <f>IFERROR(__xludf.DUMMYFUNCTION("INDIRECT(""'收支紀錄'!L""&amp;TO_TEXT(ROW()-$C$72))"),"停車")</f>
        <v>停車</v>
      </c>
      <c r="M527" s="61" t="str">
        <f>IFERROR(__xludf.DUMMYFUNCTION("INDIRECT(""'收支紀錄'!M""&amp;TO_TEXT(ROW()-$C$72))"),"")</f>
        <v/>
      </c>
      <c r="N527" s="61" t="str">
        <f>IFERROR(__xludf.DUMMYFUNCTION("INDIRECT(""'收支紀錄'!N""&amp;TO_TEXT(ROW()-$C$72))"),"")</f>
        <v/>
      </c>
      <c r="O527" s="61" t="str">
        <f>IFERROR(__xludf.DUMMYFUNCTION("INDIRECT(""'收支紀錄'!O""&amp;TO_TEXT(ROW()-$C$72))"),"")</f>
        <v/>
      </c>
      <c r="P527" s="61" t="str">
        <f>IFERROR(__xludf.DUMMYFUNCTION("INDIRECT(""'收支紀錄'!P""&amp;TO_TEXT(ROW()-$C$72))"),"")</f>
        <v/>
      </c>
      <c r="Q527" s="61" t="str">
        <f>IFERROR(__xludf.DUMMYFUNCTION("INDIRECT(""'收支紀錄'!Q""&amp;TO_TEXT(ROW()-$C$72))"),"")</f>
        <v/>
      </c>
      <c r="R527" s="61" t="str">
        <f>IFERROR(__xludf.DUMMYFUNCTION("INDIRECT(""'收支紀錄'!R""&amp;TO_TEXT(ROW()-$C$72))"),"")</f>
        <v/>
      </c>
      <c r="S527" s="61" t="str">
        <f>IFERROR(__xludf.DUMMYFUNCTION("INDIRECT(""'收支紀錄'!S""&amp;TO_TEXT(ROW()-$C$72))"),"")</f>
        <v/>
      </c>
      <c r="T527" s="61" t="str">
        <f>IFERROR(__xludf.DUMMYFUNCTION("INDIRECT(""'收支紀錄'!T""&amp;TO_TEXT(ROW()-$C$72))"),"")</f>
        <v/>
      </c>
      <c r="U527" s="62" t="str">
        <f>IFERROR(__xludf.DUMMYFUNCTION("IF(T527=""是"",TEXTJOIN("""", TRUE, ""$"", TO_TEXT(C527), S527),"""")"),"")</f>
        <v/>
      </c>
    </row>
    <row r="528">
      <c r="A528" s="58">
        <f>IFERROR(__xludf.DUMMYFUNCTION("INDIRECT(""'收支紀錄'!A""&amp;TO_TEXT(ROW()-$C$72))"),45648.542413449075)</f>
        <v>45648.54241</v>
      </c>
      <c r="B528" s="59">
        <f>IFERROR(__xludf.DUMMYFUNCTION("IF(ISBLANK(D528), """", IF(ISDATE(D528), D528, IF(D528=""今天"", A528, IF(D528=""昨天 (-1 day)"", A528-1, IF(D528=""前天 (-2 days)"", A528-2, IF(D528=""明天 (+1 day)"", A528+1, DATE(LEFT(D528,4), MID(D528,5,2), RIGHT(D528,2))))))))"),45648.542413449075)</f>
        <v>45648.54241</v>
      </c>
      <c r="C528" s="60">
        <f>IFERROR(__xludf.DUMMYFUNCTION("INDIRECT(""'收支紀錄'!C""&amp;TO_TEXT(ROW()-$C$72))"),934.0)</f>
        <v>934</v>
      </c>
      <c r="D528" s="63" t="str">
        <f>IFERROR(__xludf.DUMMYFUNCTION("INDIRECT(""'收支紀錄'!D""&amp;TO_TEXT(ROW()-$C$72))"),"今天")</f>
        <v>今天</v>
      </c>
      <c r="E528" s="61" t="str">
        <f>IFERROR(__xludf.DUMMYFUNCTION("INDIRECT(""'收支紀錄'!E""&amp;TO_TEXT(ROW()-$C$72))"),"")</f>
        <v/>
      </c>
      <c r="F528" s="61" t="str">
        <f>IFERROR(__xludf.DUMMYFUNCTION("INDIRECT(""'收支紀錄'!F""&amp;TO_TEXT(ROW()-$C$72))"),"")</f>
        <v/>
      </c>
      <c r="G528" s="61" t="str">
        <f>IFERROR(__xludf.DUMMYFUNCTION("INDIRECT(""'收支紀錄'!G""&amp;TO_TEXT(ROW()-$C$72))"),"")</f>
        <v/>
      </c>
      <c r="H528" s="61" t="str">
        <f>IFERROR(__xludf.DUMMYFUNCTION("INDIRECT(""'收支紀錄'!H""&amp;TO_TEXT(ROW()-$C$72))"),"食品酒水")</f>
        <v>食品酒水</v>
      </c>
      <c r="I528" s="61" t="str">
        <f>IFERROR(__xludf.DUMMYFUNCTION("INDIRECT(""'收支紀錄'!I""&amp;TO_TEXT(ROW()-$C$72))"),"午餐")</f>
        <v>午餐</v>
      </c>
      <c r="J528" s="61" t="str">
        <f>IFERROR(__xludf.DUMMYFUNCTION("INDIRECT(""'收支紀錄'!J""&amp;TO_TEXT(ROW()-$C$72))"),"")</f>
        <v/>
      </c>
      <c r="K528" s="61" t="str">
        <f>IFERROR(__xludf.DUMMYFUNCTION("INDIRECT(""'收支紀錄'!K""&amp;TO_TEXT(ROW()-$C$72))"),"")</f>
        <v/>
      </c>
      <c r="L528" s="61" t="str">
        <f>IFERROR(__xludf.DUMMYFUNCTION("INDIRECT(""'收支紀錄'!L""&amp;TO_TEXT(ROW()-$C$72))"),"")</f>
        <v/>
      </c>
      <c r="M528" s="61" t="str">
        <f>IFERROR(__xludf.DUMMYFUNCTION("INDIRECT(""'收支紀錄'!M""&amp;TO_TEXT(ROW()-$C$72))"),"")</f>
        <v/>
      </c>
      <c r="N528" s="61" t="str">
        <f>IFERROR(__xludf.DUMMYFUNCTION("INDIRECT(""'收支紀錄'!N""&amp;TO_TEXT(ROW()-$C$72))"),"")</f>
        <v/>
      </c>
      <c r="O528" s="61" t="str">
        <f>IFERROR(__xludf.DUMMYFUNCTION("INDIRECT(""'收支紀錄'!O""&amp;TO_TEXT(ROW()-$C$72))"),"")</f>
        <v/>
      </c>
      <c r="P528" s="61" t="str">
        <f>IFERROR(__xludf.DUMMYFUNCTION("INDIRECT(""'收支紀錄'!P""&amp;TO_TEXT(ROW()-$C$72))"),"")</f>
        <v/>
      </c>
      <c r="Q528" s="61" t="str">
        <f>IFERROR(__xludf.DUMMYFUNCTION("INDIRECT(""'收支紀錄'!Q""&amp;TO_TEXT(ROW()-$C$72))"),"")</f>
        <v/>
      </c>
      <c r="R528" s="61" t="str">
        <f>IFERROR(__xludf.DUMMYFUNCTION("INDIRECT(""'收支紀錄'!R""&amp;TO_TEXT(ROW()-$C$72))"),"")</f>
        <v/>
      </c>
      <c r="S528" s="61" t="str">
        <f>IFERROR(__xludf.DUMMYFUNCTION("INDIRECT(""'收支紀錄'!S""&amp;TO_TEXT(ROW()-$C$72))"),"")</f>
        <v/>
      </c>
      <c r="T528" s="61" t="str">
        <f>IFERROR(__xludf.DUMMYFUNCTION("INDIRECT(""'收支紀錄'!T""&amp;TO_TEXT(ROW()-$C$72))"),"")</f>
        <v/>
      </c>
      <c r="U528" s="62" t="str">
        <f>IFERROR(__xludf.DUMMYFUNCTION("IF(T528=""是"",TEXTJOIN("""", TRUE, ""$"", TO_TEXT(C528), S528),"""")"),"")</f>
        <v/>
      </c>
    </row>
    <row r="529">
      <c r="A529" s="58">
        <f>IFERROR(__xludf.DUMMYFUNCTION("INDIRECT(""'收支紀錄'!A""&amp;TO_TEXT(ROW()-$C$72))"),45651.048897581015)</f>
        <v>45651.0489</v>
      </c>
      <c r="B529" s="59">
        <f>IFERROR(__xludf.DUMMYFUNCTION("IF(ISBLANK(D529), """", IF(ISDATE(D529), D529, IF(D529=""今天"", A529, IF(D529=""昨天 (-1 day)"", A529-1, IF(D529=""前天 (-2 days)"", A529-2, IF(D529=""明天 (+1 day)"", A529+1, DATE(LEFT(D529,4), MID(D529,5,2), RIGHT(D529,2))))))))"),45649.0)</f>
        <v>45649</v>
      </c>
      <c r="C529" s="60">
        <f>IFERROR(__xludf.DUMMYFUNCTION("INDIRECT(""'收支紀錄'!C""&amp;TO_TEXT(ROW()-$C$72))"),91.0)</f>
        <v>91</v>
      </c>
      <c r="D529" s="63">
        <f>IFERROR(__xludf.DUMMYFUNCTION("INDIRECT(""'收支紀錄'!D""&amp;TO_TEXT(ROW()-$C$72))"),2.0241223E7)</f>
        <v>20241223</v>
      </c>
      <c r="E529" s="61" t="str">
        <f>IFERROR(__xludf.DUMMYFUNCTION("INDIRECT(""'收支紀錄'!E""&amp;TO_TEXT(ROW()-$C$72))"),"")</f>
        <v/>
      </c>
      <c r="F529" s="61" t="str">
        <f>IFERROR(__xludf.DUMMYFUNCTION("INDIRECT(""'收支紀錄'!F""&amp;TO_TEXT(ROW()-$C$72))"),"")</f>
        <v/>
      </c>
      <c r="G529" s="61" t="str">
        <f>IFERROR(__xludf.DUMMYFUNCTION("INDIRECT(""'收支紀錄'!G""&amp;TO_TEXT(ROW()-$C$72))"),"")</f>
        <v/>
      </c>
      <c r="H529" s="61" t="str">
        <f>IFERROR(__xludf.DUMMYFUNCTION("INDIRECT(""'收支紀錄'!H""&amp;TO_TEXT(ROW()-$C$72))"),"行車交通")</f>
        <v>行車交通</v>
      </c>
      <c r="I529" s="61" t="str">
        <f>IFERROR(__xludf.DUMMYFUNCTION("INDIRECT(""'收支紀錄'!I""&amp;TO_TEXT(ROW()-$C$72))"),"")</f>
        <v/>
      </c>
      <c r="J529" s="61" t="str">
        <f>IFERROR(__xludf.DUMMYFUNCTION("INDIRECT(""'收支紀錄'!J""&amp;TO_TEXT(ROW()-$C$72))"),"")</f>
        <v/>
      </c>
      <c r="K529" s="61" t="str">
        <f>IFERROR(__xludf.DUMMYFUNCTION("INDIRECT(""'收支紀錄'!K""&amp;TO_TEXT(ROW()-$C$72))"),"")</f>
        <v/>
      </c>
      <c r="L529" s="61" t="str">
        <f>IFERROR(__xludf.DUMMYFUNCTION("INDIRECT(""'收支紀錄'!L""&amp;TO_TEXT(ROW()-$C$72))"),"火車費")</f>
        <v>火車費</v>
      </c>
      <c r="M529" s="61" t="str">
        <f>IFERROR(__xludf.DUMMYFUNCTION("INDIRECT(""'收支紀錄'!M""&amp;TO_TEXT(ROW()-$C$72))"),"")</f>
        <v/>
      </c>
      <c r="N529" s="61" t="str">
        <f>IFERROR(__xludf.DUMMYFUNCTION("INDIRECT(""'收支紀錄'!N""&amp;TO_TEXT(ROW()-$C$72))"),"")</f>
        <v/>
      </c>
      <c r="O529" s="61" t="str">
        <f>IFERROR(__xludf.DUMMYFUNCTION("INDIRECT(""'收支紀錄'!O""&amp;TO_TEXT(ROW()-$C$72))"),"")</f>
        <v/>
      </c>
      <c r="P529" s="61" t="str">
        <f>IFERROR(__xludf.DUMMYFUNCTION("INDIRECT(""'收支紀錄'!P""&amp;TO_TEXT(ROW()-$C$72))"),"")</f>
        <v/>
      </c>
      <c r="Q529" s="61" t="str">
        <f>IFERROR(__xludf.DUMMYFUNCTION("INDIRECT(""'收支紀錄'!Q""&amp;TO_TEXT(ROW()-$C$72))"),"")</f>
        <v/>
      </c>
      <c r="R529" s="61" t="str">
        <f>IFERROR(__xludf.DUMMYFUNCTION("INDIRECT(""'收支紀錄'!R""&amp;TO_TEXT(ROW()-$C$72))"),"")</f>
        <v/>
      </c>
      <c r="S529" s="61" t="str">
        <f>IFERROR(__xludf.DUMMYFUNCTION("INDIRECT(""'收支紀錄'!S""&amp;TO_TEXT(ROW()-$C$72))"),"")</f>
        <v/>
      </c>
      <c r="T529" s="61" t="str">
        <f>IFERROR(__xludf.DUMMYFUNCTION("INDIRECT(""'收支紀錄'!T""&amp;TO_TEXT(ROW()-$C$72))"),"")</f>
        <v/>
      </c>
      <c r="U529" s="62" t="str">
        <f>IFERROR(__xludf.DUMMYFUNCTION("IF(T529=""是"",TEXTJOIN("""", TRUE, ""$"", TO_TEXT(C529), S529),"""")"),"")</f>
        <v/>
      </c>
    </row>
    <row r="530">
      <c r="A530" s="58">
        <f>IFERROR(__xludf.DUMMYFUNCTION("INDIRECT(""'收支紀錄'!A""&amp;TO_TEXT(ROW()-$C$72))"),45652.02606642361)</f>
        <v>45652.02607</v>
      </c>
      <c r="B530" s="59">
        <f>IFERROR(__xludf.DUMMYFUNCTION("IF(ISBLANK(D530), """", IF(ISDATE(D530), D530, IF(D530=""今天"", A530, IF(D530=""昨天 (-1 day)"", A530-1, IF(D530=""前天 (-2 days)"", A530-2, IF(D530=""明天 (+1 day)"", A530+1, DATE(LEFT(D530,4), MID(D530,5,2), RIGHT(D530,2))))))))"),45652.02606642361)</f>
        <v>45652.02607</v>
      </c>
      <c r="C530" s="60">
        <f>IFERROR(__xludf.DUMMYFUNCTION("INDIRECT(""'收支紀錄'!C""&amp;TO_TEXT(ROW()-$C$72))"),473.0)</f>
        <v>473</v>
      </c>
      <c r="D530" s="63" t="str">
        <f>IFERROR(__xludf.DUMMYFUNCTION("INDIRECT(""'收支紀錄'!D""&amp;TO_TEXT(ROW()-$C$72))"),"今天")</f>
        <v>今天</v>
      </c>
      <c r="E530" s="61" t="str">
        <f>IFERROR(__xludf.DUMMYFUNCTION("INDIRECT(""'收支紀錄'!E""&amp;TO_TEXT(ROW()-$C$72))"),"")</f>
        <v/>
      </c>
      <c r="F530" s="61" t="str">
        <f>IFERROR(__xludf.DUMMYFUNCTION("INDIRECT(""'收支紀錄'!F""&amp;TO_TEXT(ROW()-$C$72))"),"")</f>
        <v/>
      </c>
      <c r="G530" s="61" t="str">
        <f>IFERROR(__xludf.DUMMYFUNCTION("INDIRECT(""'收支紀錄'!G""&amp;TO_TEXT(ROW()-$C$72))"),"")</f>
        <v/>
      </c>
      <c r="H530" s="61" t="str">
        <f>IFERROR(__xludf.DUMMYFUNCTION("INDIRECT(""'收支紀錄'!H""&amp;TO_TEXT(ROW()-$C$72))"),"進修學習")</f>
        <v>進修學習</v>
      </c>
      <c r="I530" s="61" t="str">
        <f>IFERROR(__xludf.DUMMYFUNCTION("INDIRECT(""'收支紀錄'!I""&amp;TO_TEXT(ROW()-$C$72))"),"")</f>
        <v/>
      </c>
      <c r="J530" s="61" t="str">
        <f>IFERROR(__xludf.DUMMYFUNCTION("INDIRECT(""'收支紀錄'!J""&amp;TO_TEXT(ROW()-$C$72))"),"")</f>
        <v/>
      </c>
      <c r="K530" s="61" t="str">
        <f>IFERROR(__xludf.DUMMYFUNCTION("INDIRECT(""'收支紀錄'!K""&amp;TO_TEXT(ROW()-$C$72))"),"")</f>
        <v/>
      </c>
      <c r="L530" s="61" t="str">
        <f>IFERROR(__xludf.DUMMYFUNCTION("INDIRECT(""'收支紀錄'!L""&amp;TO_TEXT(ROW()-$C$72))"),"")</f>
        <v/>
      </c>
      <c r="M530" s="61" t="str">
        <f>IFERROR(__xludf.DUMMYFUNCTION("INDIRECT(""'收支紀錄'!M""&amp;TO_TEXT(ROW()-$C$72))"),"")</f>
        <v/>
      </c>
      <c r="N530" s="61" t="str">
        <f>IFERROR(__xludf.DUMMYFUNCTION("INDIRECT(""'收支紀錄'!N""&amp;TO_TEXT(ROW()-$C$72))"),"")</f>
        <v/>
      </c>
      <c r="O530" s="61" t="str">
        <f>IFERROR(__xludf.DUMMYFUNCTION("INDIRECT(""'收支紀錄'!O""&amp;TO_TEXT(ROW()-$C$72))"),"")</f>
        <v/>
      </c>
      <c r="P530" s="61" t="str">
        <f>IFERROR(__xludf.DUMMYFUNCTION("INDIRECT(""'收支紀錄'!P""&amp;TO_TEXT(ROW()-$C$72))"),"書報雜誌")</f>
        <v>書報雜誌</v>
      </c>
      <c r="Q530" s="61" t="str">
        <f>IFERROR(__xludf.DUMMYFUNCTION("INDIRECT(""'收支紀錄'!Q""&amp;TO_TEXT(ROW()-$C$72))"),"")</f>
        <v/>
      </c>
      <c r="R530" s="61" t="str">
        <f>IFERROR(__xludf.DUMMYFUNCTION("INDIRECT(""'收支紀錄'!R""&amp;TO_TEXT(ROW()-$C$72))"),"")</f>
        <v/>
      </c>
      <c r="S530" s="61" t="str">
        <f>IFERROR(__xludf.DUMMYFUNCTION("INDIRECT(""'收支紀錄'!S""&amp;TO_TEXT(ROW()-$C$72))"),"")</f>
        <v/>
      </c>
      <c r="T530" s="61" t="str">
        <f>IFERROR(__xludf.DUMMYFUNCTION("INDIRECT(""'收支紀錄'!T""&amp;TO_TEXT(ROW()-$C$72))"),"")</f>
        <v/>
      </c>
      <c r="U530" s="62" t="str">
        <f>IFERROR(__xludf.DUMMYFUNCTION("IF(T530=""是"",TEXTJOIN("""", TRUE, ""$"", TO_TEXT(C530), S530),"""")"),"")</f>
        <v/>
      </c>
    </row>
    <row r="531">
      <c r="A531" s="58">
        <f>IFERROR(__xludf.DUMMYFUNCTION("INDIRECT(""'收支紀錄'!A""&amp;TO_TEXT(ROW()-$C$72))"),45653.81407644676)</f>
        <v>45653.81408</v>
      </c>
      <c r="B531" s="59">
        <f>IFERROR(__xludf.DUMMYFUNCTION("IF(ISBLANK(D531), """", IF(ISDATE(D531), D531, IF(D531=""今天"", A531, IF(D531=""昨天 (-1 day)"", A531-1, IF(D531=""前天 (-2 days)"", A531-2, IF(D531=""明天 (+1 day)"", A531+1, DATE(LEFT(D531,4), MID(D531,5,2), RIGHT(D531,2))))))))"),45653.81407644676)</f>
        <v>45653.81408</v>
      </c>
      <c r="C531" s="60">
        <f>IFERROR(__xludf.DUMMYFUNCTION("INDIRECT(""'收支紀錄'!C""&amp;TO_TEXT(ROW()-$C$72))"),1171.0)</f>
        <v>1171</v>
      </c>
      <c r="D531" s="63" t="str">
        <f>IFERROR(__xludf.DUMMYFUNCTION("INDIRECT(""'收支紀錄'!D""&amp;TO_TEXT(ROW()-$C$72))"),"今天")</f>
        <v>今天</v>
      </c>
      <c r="E531" s="61" t="str">
        <f>IFERROR(__xludf.DUMMYFUNCTION("INDIRECT(""'收支紀錄'!E""&amp;TO_TEXT(ROW()-$C$72))"),"")</f>
        <v/>
      </c>
      <c r="F531" s="61" t="str">
        <f>IFERROR(__xludf.DUMMYFUNCTION("INDIRECT(""'收支紀錄'!F""&amp;TO_TEXT(ROW()-$C$72))"),"")</f>
        <v/>
      </c>
      <c r="G531" s="61" t="str">
        <f>IFERROR(__xludf.DUMMYFUNCTION("INDIRECT(""'收支紀錄'!G""&amp;TO_TEXT(ROW()-$C$72))"),"")</f>
        <v/>
      </c>
      <c r="H531" s="61" t="str">
        <f>IFERROR(__xludf.DUMMYFUNCTION("INDIRECT(""'收支紀錄'!H""&amp;TO_TEXT(ROW()-$C$72))"),"稅金保險")</f>
        <v>稅金保險</v>
      </c>
      <c r="I531" s="61" t="str">
        <f>IFERROR(__xludf.DUMMYFUNCTION("INDIRECT(""'收支紀錄'!I""&amp;TO_TEXT(ROW()-$C$72))"),"")</f>
        <v/>
      </c>
      <c r="J531" s="61" t="str">
        <f>IFERROR(__xludf.DUMMYFUNCTION("INDIRECT(""'收支紀錄'!J""&amp;TO_TEXT(ROW()-$C$72))"),"")</f>
        <v/>
      </c>
      <c r="K531" s="61" t="str">
        <f>IFERROR(__xludf.DUMMYFUNCTION("INDIRECT(""'收支紀錄'!K""&amp;TO_TEXT(ROW()-$C$72))"),"")</f>
        <v/>
      </c>
      <c r="L531" s="61" t="str">
        <f>IFERROR(__xludf.DUMMYFUNCTION("INDIRECT(""'收支紀錄'!L""&amp;TO_TEXT(ROW()-$C$72))"),"")</f>
        <v/>
      </c>
      <c r="M531" s="61" t="str">
        <f>IFERROR(__xludf.DUMMYFUNCTION("INDIRECT(""'收支紀錄'!M""&amp;TO_TEXT(ROW()-$C$72))"),"")</f>
        <v/>
      </c>
      <c r="N531" s="61" t="str">
        <f>IFERROR(__xludf.DUMMYFUNCTION("INDIRECT(""'收支紀錄'!N""&amp;TO_TEXT(ROW()-$C$72))"),"機車保險")</f>
        <v>機車保險</v>
      </c>
      <c r="O531" s="61" t="str">
        <f>IFERROR(__xludf.DUMMYFUNCTION("INDIRECT(""'收支紀錄'!O""&amp;TO_TEXT(ROW()-$C$72))"),"")</f>
        <v/>
      </c>
      <c r="P531" s="61" t="str">
        <f>IFERROR(__xludf.DUMMYFUNCTION("INDIRECT(""'收支紀錄'!P""&amp;TO_TEXT(ROW()-$C$72))"),"")</f>
        <v/>
      </c>
      <c r="Q531" s="61" t="str">
        <f>IFERROR(__xludf.DUMMYFUNCTION("INDIRECT(""'收支紀錄'!Q""&amp;TO_TEXT(ROW()-$C$72))"),"")</f>
        <v/>
      </c>
      <c r="R531" s="61" t="str">
        <f>IFERROR(__xludf.DUMMYFUNCTION("INDIRECT(""'收支紀錄'!R""&amp;TO_TEXT(ROW()-$C$72))"),"")</f>
        <v/>
      </c>
      <c r="S531" s="61" t="str">
        <f>IFERROR(__xludf.DUMMYFUNCTION("INDIRECT(""'收支紀錄'!S""&amp;TO_TEXT(ROW()-$C$72))"),"機車保險")</f>
        <v>機車保險</v>
      </c>
      <c r="T531" s="61" t="str">
        <f>IFERROR(__xludf.DUMMYFUNCTION("INDIRECT(""'收支紀錄'!T""&amp;TO_TEXT(ROW()-$C$72))"),"是")</f>
        <v>是</v>
      </c>
      <c r="U531" s="62" t="str">
        <f>IFERROR(__xludf.DUMMYFUNCTION("IF(T531=""是"",TEXTJOIN("""", TRUE, ""$"", TO_TEXT(C531), S531),"""")"),"$1171機車保險")</f>
        <v>$1171機車保險</v>
      </c>
    </row>
    <row r="532">
      <c r="A532" s="58">
        <f>IFERROR(__xludf.DUMMYFUNCTION("INDIRECT(""'收支紀錄'!A""&amp;TO_TEXT(ROW()-$C$72))"),45653.84082585648)</f>
        <v>45653.84083</v>
      </c>
      <c r="B532" s="59">
        <f>IFERROR(__xludf.DUMMYFUNCTION("IF(ISBLANK(D532), """", IF(ISDATE(D532), D532, IF(D532=""今天"", A532, IF(D532=""昨天 (-1 day)"", A532-1, IF(D532=""前天 (-2 days)"", A532-2, IF(D532=""明天 (+1 day)"", A532+1, DATE(LEFT(D532,4), MID(D532,5,2), RIGHT(D532,2))))))))"),45653.84082585648)</f>
        <v>45653.84083</v>
      </c>
      <c r="C532" s="60">
        <f>IFERROR(__xludf.DUMMYFUNCTION("INDIRECT(""'收支紀錄'!C""&amp;TO_TEXT(ROW()-$C$72))"),91.0)</f>
        <v>91</v>
      </c>
      <c r="D532" s="63" t="str">
        <f>IFERROR(__xludf.DUMMYFUNCTION("INDIRECT(""'收支紀錄'!D""&amp;TO_TEXT(ROW()-$C$72))"),"今天")</f>
        <v>今天</v>
      </c>
      <c r="E532" s="61" t="str">
        <f>IFERROR(__xludf.DUMMYFUNCTION("INDIRECT(""'收支紀錄'!E""&amp;TO_TEXT(ROW()-$C$72))"),"")</f>
        <v/>
      </c>
      <c r="F532" s="61" t="str">
        <f>IFERROR(__xludf.DUMMYFUNCTION("INDIRECT(""'收支紀錄'!F""&amp;TO_TEXT(ROW()-$C$72))"),"")</f>
        <v/>
      </c>
      <c r="G532" s="61" t="str">
        <f>IFERROR(__xludf.DUMMYFUNCTION("INDIRECT(""'收支紀錄'!G""&amp;TO_TEXT(ROW()-$C$72))"),"")</f>
        <v/>
      </c>
      <c r="H532" s="61" t="str">
        <f>IFERROR(__xludf.DUMMYFUNCTION("INDIRECT(""'收支紀錄'!H""&amp;TO_TEXT(ROW()-$C$72))"),"行車交通")</f>
        <v>行車交通</v>
      </c>
      <c r="I532" s="61" t="str">
        <f>IFERROR(__xludf.DUMMYFUNCTION("INDIRECT(""'收支紀錄'!I""&amp;TO_TEXT(ROW()-$C$72))"),"")</f>
        <v/>
      </c>
      <c r="J532" s="61" t="str">
        <f>IFERROR(__xludf.DUMMYFUNCTION("INDIRECT(""'收支紀錄'!J""&amp;TO_TEXT(ROW()-$C$72))"),"")</f>
        <v/>
      </c>
      <c r="K532" s="61" t="str">
        <f>IFERROR(__xludf.DUMMYFUNCTION("INDIRECT(""'收支紀錄'!K""&amp;TO_TEXT(ROW()-$C$72))"),"")</f>
        <v/>
      </c>
      <c r="L532" s="61" t="str">
        <f>IFERROR(__xludf.DUMMYFUNCTION("INDIRECT(""'收支紀錄'!L""&amp;TO_TEXT(ROW()-$C$72))"),"火車費")</f>
        <v>火車費</v>
      </c>
      <c r="M532" s="61" t="str">
        <f>IFERROR(__xludf.DUMMYFUNCTION("INDIRECT(""'收支紀錄'!M""&amp;TO_TEXT(ROW()-$C$72))"),"")</f>
        <v/>
      </c>
      <c r="N532" s="61" t="str">
        <f>IFERROR(__xludf.DUMMYFUNCTION("INDIRECT(""'收支紀錄'!N""&amp;TO_TEXT(ROW()-$C$72))"),"")</f>
        <v/>
      </c>
      <c r="O532" s="61" t="str">
        <f>IFERROR(__xludf.DUMMYFUNCTION("INDIRECT(""'收支紀錄'!O""&amp;TO_TEXT(ROW()-$C$72))"),"")</f>
        <v/>
      </c>
      <c r="P532" s="61" t="str">
        <f>IFERROR(__xludf.DUMMYFUNCTION("INDIRECT(""'收支紀錄'!P""&amp;TO_TEXT(ROW()-$C$72))"),"")</f>
        <v/>
      </c>
      <c r="Q532" s="61" t="str">
        <f>IFERROR(__xludf.DUMMYFUNCTION("INDIRECT(""'收支紀錄'!Q""&amp;TO_TEXT(ROW()-$C$72))"),"")</f>
        <v/>
      </c>
      <c r="R532" s="61" t="str">
        <f>IFERROR(__xludf.DUMMYFUNCTION("INDIRECT(""'收支紀錄'!R""&amp;TO_TEXT(ROW()-$C$72))"),"")</f>
        <v/>
      </c>
      <c r="S532" s="61" t="str">
        <f>IFERROR(__xludf.DUMMYFUNCTION("INDIRECT(""'收支紀錄'!S""&amp;TO_TEXT(ROW()-$C$72))"),"")</f>
        <v/>
      </c>
      <c r="T532" s="61" t="str">
        <f>IFERROR(__xludf.DUMMYFUNCTION("INDIRECT(""'收支紀錄'!T""&amp;TO_TEXT(ROW()-$C$72))"),"")</f>
        <v/>
      </c>
      <c r="U532" s="62" t="str">
        <f>IFERROR(__xludf.DUMMYFUNCTION("IF(T532=""是"",TEXTJOIN("""", TRUE, ""$"", TO_TEXT(C532), S532),"""")"),"")</f>
        <v/>
      </c>
    </row>
    <row r="533">
      <c r="A533" s="58">
        <f>IFERROR(__xludf.DUMMYFUNCTION("INDIRECT(""'收支紀錄'!A""&amp;TO_TEXT(ROW()-$C$72))"),45653.840999548614)</f>
        <v>45653.841</v>
      </c>
      <c r="B533" s="59">
        <f>IFERROR(__xludf.DUMMYFUNCTION("IF(ISBLANK(D533), """", IF(ISDATE(D533), D533, IF(D533=""今天"", A533, IF(D533=""昨天 (-1 day)"", A533-1, IF(D533=""前天 (-2 days)"", A533-2, IF(D533=""明天 (+1 day)"", A533+1, DATE(LEFT(D533,4), MID(D533,5,2), RIGHT(D533,2))))))))"),45653.840999548614)</f>
        <v>45653.841</v>
      </c>
      <c r="C533" s="60">
        <f>IFERROR(__xludf.DUMMYFUNCTION("INDIRECT(""'收支紀錄'!C""&amp;TO_TEXT(ROW()-$C$72))"),20.0)</f>
        <v>20</v>
      </c>
      <c r="D533" s="63" t="str">
        <f>IFERROR(__xludf.DUMMYFUNCTION("INDIRECT(""'收支紀錄'!D""&amp;TO_TEXT(ROW()-$C$72))"),"今天")</f>
        <v>今天</v>
      </c>
      <c r="E533" s="61" t="str">
        <f>IFERROR(__xludf.DUMMYFUNCTION("INDIRECT(""'收支紀錄'!E""&amp;TO_TEXT(ROW()-$C$72))"),"")</f>
        <v/>
      </c>
      <c r="F533" s="61" t="str">
        <f>IFERROR(__xludf.DUMMYFUNCTION("INDIRECT(""'收支紀錄'!F""&amp;TO_TEXT(ROW()-$C$72))"),"")</f>
        <v/>
      </c>
      <c r="G533" s="61" t="str">
        <f>IFERROR(__xludf.DUMMYFUNCTION("INDIRECT(""'收支紀錄'!G""&amp;TO_TEXT(ROW()-$C$72))"),"")</f>
        <v/>
      </c>
      <c r="H533" s="61" t="str">
        <f>IFERROR(__xludf.DUMMYFUNCTION("INDIRECT(""'收支紀錄'!H""&amp;TO_TEXT(ROW()-$C$72))"),"行車交通")</f>
        <v>行車交通</v>
      </c>
      <c r="I533" s="61" t="str">
        <f>IFERROR(__xludf.DUMMYFUNCTION("INDIRECT(""'收支紀錄'!I""&amp;TO_TEXT(ROW()-$C$72))"),"")</f>
        <v/>
      </c>
      <c r="J533" s="61" t="str">
        <f>IFERROR(__xludf.DUMMYFUNCTION("INDIRECT(""'收支紀錄'!J""&amp;TO_TEXT(ROW()-$C$72))"),"")</f>
        <v/>
      </c>
      <c r="K533" s="61" t="str">
        <f>IFERROR(__xludf.DUMMYFUNCTION("INDIRECT(""'收支紀錄'!K""&amp;TO_TEXT(ROW()-$C$72))"),"")</f>
        <v/>
      </c>
      <c r="L533" s="61" t="str">
        <f>IFERROR(__xludf.DUMMYFUNCTION("INDIRECT(""'收支紀錄'!L""&amp;TO_TEXT(ROW()-$C$72))"),"捷運費")</f>
        <v>捷運費</v>
      </c>
      <c r="M533" s="61" t="str">
        <f>IFERROR(__xludf.DUMMYFUNCTION("INDIRECT(""'收支紀錄'!M""&amp;TO_TEXT(ROW()-$C$72))"),"")</f>
        <v/>
      </c>
      <c r="N533" s="61" t="str">
        <f>IFERROR(__xludf.DUMMYFUNCTION("INDIRECT(""'收支紀錄'!N""&amp;TO_TEXT(ROW()-$C$72))"),"")</f>
        <v/>
      </c>
      <c r="O533" s="61" t="str">
        <f>IFERROR(__xludf.DUMMYFUNCTION("INDIRECT(""'收支紀錄'!O""&amp;TO_TEXT(ROW()-$C$72))"),"")</f>
        <v/>
      </c>
      <c r="P533" s="61" t="str">
        <f>IFERROR(__xludf.DUMMYFUNCTION("INDIRECT(""'收支紀錄'!P""&amp;TO_TEXT(ROW()-$C$72))"),"")</f>
        <v/>
      </c>
      <c r="Q533" s="61" t="str">
        <f>IFERROR(__xludf.DUMMYFUNCTION("INDIRECT(""'收支紀錄'!Q""&amp;TO_TEXT(ROW()-$C$72))"),"")</f>
        <v/>
      </c>
      <c r="R533" s="61" t="str">
        <f>IFERROR(__xludf.DUMMYFUNCTION("INDIRECT(""'收支紀錄'!R""&amp;TO_TEXT(ROW()-$C$72))"),"")</f>
        <v/>
      </c>
      <c r="S533" s="61" t="str">
        <f>IFERROR(__xludf.DUMMYFUNCTION("INDIRECT(""'收支紀錄'!S""&amp;TO_TEXT(ROW()-$C$72))"),"")</f>
        <v/>
      </c>
      <c r="T533" s="61" t="str">
        <f>IFERROR(__xludf.DUMMYFUNCTION("INDIRECT(""'收支紀錄'!T""&amp;TO_TEXT(ROW()-$C$72))"),"")</f>
        <v/>
      </c>
      <c r="U533" s="62" t="str">
        <f>IFERROR(__xludf.DUMMYFUNCTION("IF(T533=""是"",TEXTJOIN("""", TRUE, ""$"", TO_TEXT(C533), S533),"""")"),"")</f>
        <v/>
      </c>
    </row>
    <row r="534">
      <c r="A534" s="58">
        <f>IFERROR(__xludf.DUMMYFUNCTION("INDIRECT(""'收支紀錄'!A""&amp;TO_TEXT(ROW()-$C$72))"),45654.89437732639)</f>
        <v>45654.89438</v>
      </c>
      <c r="B534" s="59">
        <f>IFERROR(__xludf.DUMMYFUNCTION("IF(ISBLANK(D534), """", IF(ISDATE(D534), D534, IF(D534=""今天"", A534, IF(D534=""昨天 (-1 day)"", A534-1, IF(D534=""前天 (-2 days)"", A534-2, IF(D534=""明天 (+1 day)"", A534+1, DATE(LEFT(D534,4), MID(D534,5,2), RIGHT(D534,2))))))))"),45654.89437732639)</f>
        <v>45654.89438</v>
      </c>
      <c r="C534" s="60">
        <f>IFERROR(__xludf.DUMMYFUNCTION("INDIRECT(""'收支紀錄'!C""&amp;TO_TEXT(ROW()-$C$72))"),1000.0)</f>
        <v>1000</v>
      </c>
      <c r="D534" s="63" t="str">
        <f>IFERROR(__xludf.DUMMYFUNCTION("INDIRECT(""'收支紀錄'!D""&amp;TO_TEXT(ROW()-$C$72))"),"今天")</f>
        <v>今天</v>
      </c>
      <c r="E534" s="61" t="str">
        <f>IFERROR(__xludf.DUMMYFUNCTION("INDIRECT(""'收支紀錄'!E""&amp;TO_TEXT(ROW()-$C$72))"),"")</f>
        <v/>
      </c>
      <c r="F534" s="61" t="str">
        <f>IFERROR(__xludf.DUMMYFUNCTION("INDIRECT(""'收支紀錄'!F""&amp;TO_TEXT(ROW()-$C$72))"),"")</f>
        <v/>
      </c>
      <c r="G534" s="61" t="str">
        <f>IFERROR(__xludf.DUMMYFUNCTION("INDIRECT(""'收支紀錄'!G""&amp;TO_TEXT(ROW()-$C$72))"),"")</f>
        <v/>
      </c>
      <c r="H534" s="61" t="str">
        <f>IFERROR(__xludf.DUMMYFUNCTION("INDIRECT(""'收支紀錄'!H""&amp;TO_TEXT(ROW()-$C$72))"),"食品酒水")</f>
        <v>食品酒水</v>
      </c>
      <c r="I534" s="61" t="str">
        <f>IFERROR(__xludf.DUMMYFUNCTION("INDIRECT(""'收支紀錄'!I""&amp;TO_TEXT(ROW()-$C$72))"),"晚餐")</f>
        <v>晚餐</v>
      </c>
      <c r="J534" s="61" t="str">
        <f>IFERROR(__xludf.DUMMYFUNCTION("INDIRECT(""'收支紀錄'!J""&amp;TO_TEXT(ROW()-$C$72))"),"")</f>
        <v/>
      </c>
      <c r="K534" s="61" t="str">
        <f>IFERROR(__xludf.DUMMYFUNCTION("INDIRECT(""'收支紀錄'!K""&amp;TO_TEXT(ROW()-$C$72))"),"")</f>
        <v/>
      </c>
      <c r="L534" s="61" t="str">
        <f>IFERROR(__xludf.DUMMYFUNCTION("INDIRECT(""'收支紀錄'!L""&amp;TO_TEXT(ROW()-$C$72))"),"")</f>
        <v/>
      </c>
      <c r="M534" s="61" t="str">
        <f>IFERROR(__xludf.DUMMYFUNCTION("INDIRECT(""'收支紀錄'!M""&amp;TO_TEXT(ROW()-$C$72))"),"")</f>
        <v/>
      </c>
      <c r="N534" s="61" t="str">
        <f>IFERROR(__xludf.DUMMYFUNCTION("INDIRECT(""'收支紀錄'!N""&amp;TO_TEXT(ROW()-$C$72))"),"")</f>
        <v/>
      </c>
      <c r="O534" s="61" t="str">
        <f>IFERROR(__xludf.DUMMYFUNCTION("INDIRECT(""'收支紀錄'!O""&amp;TO_TEXT(ROW()-$C$72))"),"")</f>
        <v/>
      </c>
      <c r="P534" s="61" t="str">
        <f>IFERROR(__xludf.DUMMYFUNCTION("INDIRECT(""'收支紀錄'!P""&amp;TO_TEXT(ROW()-$C$72))"),"")</f>
        <v/>
      </c>
      <c r="Q534" s="61" t="str">
        <f>IFERROR(__xludf.DUMMYFUNCTION("INDIRECT(""'收支紀錄'!Q""&amp;TO_TEXT(ROW()-$C$72))"),"")</f>
        <v/>
      </c>
      <c r="R534" s="61" t="str">
        <f>IFERROR(__xludf.DUMMYFUNCTION("INDIRECT(""'收支紀錄'!R""&amp;TO_TEXT(ROW()-$C$72))"),"")</f>
        <v/>
      </c>
      <c r="S534" s="61" t="str">
        <f>IFERROR(__xludf.DUMMYFUNCTION("INDIRECT(""'收支紀錄'!S""&amp;TO_TEXT(ROW()-$C$72))"),"")</f>
        <v/>
      </c>
      <c r="T534" s="61" t="str">
        <f>IFERROR(__xludf.DUMMYFUNCTION("INDIRECT(""'收支紀錄'!T""&amp;TO_TEXT(ROW()-$C$72))"),"")</f>
        <v/>
      </c>
      <c r="U534" s="62" t="str">
        <f>IFERROR(__xludf.DUMMYFUNCTION("IF(T534=""是"",TEXTJOIN("""", TRUE, ""$"", TO_TEXT(C534), S534),"""")"),"")</f>
        <v/>
      </c>
    </row>
    <row r="535">
      <c r="A535" s="58">
        <f>IFERROR(__xludf.DUMMYFUNCTION("INDIRECT(""'收支紀錄'!A""&amp;TO_TEXT(ROW()-$C$72))"),45655.572041064814)</f>
        <v>45655.57204</v>
      </c>
      <c r="B535" s="59">
        <f>IFERROR(__xludf.DUMMYFUNCTION("IF(ISBLANK(D535), """", IF(ISDATE(D535), D535, IF(D535=""今天"", A535, IF(D535=""昨天 (-1 day)"", A535-1, IF(D535=""前天 (-2 days)"", A535-2, IF(D535=""明天 (+1 day)"", A535+1, DATE(LEFT(D535,4), MID(D535,5,2), RIGHT(D535,2))))))))"),45655.572041064814)</f>
        <v>45655.57204</v>
      </c>
      <c r="C535" s="60">
        <f>IFERROR(__xludf.DUMMYFUNCTION("INDIRECT(""'收支紀錄'!C""&amp;TO_TEXT(ROW()-$C$72))"),1250.0)</f>
        <v>1250</v>
      </c>
      <c r="D535" s="63" t="str">
        <f>IFERROR(__xludf.DUMMYFUNCTION("INDIRECT(""'收支紀錄'!D""&amp;TO_TEXT(ROW()-$C$72))"),"今天")</f>
        <v>今天</v>
      </c>
      <c r="E535" s="61" t="str">
        <f>IFERROR(__xludf.DUMMYFUNCTION("INDIRECT(""'收支紀錄'!E""&amp;TO_TEXT(ROW()-$C$72))"),"")</f>
        <v/>
      </c>
      <c r="F535" s="61" t="str">
        <f>IFERROR(__xludf.DUMMYFUNCTION("INDIRECT(""'收支紀錄'!F""&amp;TO_TEXT(ROW()-$C$72))"),"")</f>
        <v/>
      </c>
      <c r="G535" s="61" t="str">
        <f>IFERROR(__xludf.DUMMYFUNCTION("INDIRECT(""'收支紀錄'!G""&amp;TO_TEXT(ROW()-$C$72))"),"")</f>
        <v/>
      </c>
      <c r="H535" s="61" t="str">
        <f>IFERROR(__xludf.DUMMYFUNCTION("INDIRECT(""'收支紀錄'!H""&amp;TO_TEXT(ROW()-$C$72))"),"食品酒水")</f>
        <v>食品酒水</v>
      </c>
      <c r="I535" s="61" t="str">
        <f>IFERROR(__xludf.DUMMYFUNCTION("INDIRECT(""'收支紀錄'!I""&amp;TO_TEXT(ROW()-$C$72))"),"食材")</f>
        <v>食材</v>
      </c>
      <c r="J535" s="61" t="str">
        <f>IFERROR(__xludf.DUMMYFUNCTION("INDIRECT(""'收支紀錄'!J""&amp;TO_TEXT(ROW()-$C$72))"),"")</f>
        <v/>
      </c>
      <c r="K535" s="61" t="str">
        <f>IFERROR(__xludf.DUMMYFUNCTION("INDIRECT(""'收支紀錄'!K""&amp;TO_TEXT(ROW()-$C$72))"),"")</f>
        <v/>
      </c>
      <c r="L535" s="61" t="str">
        <f>IFERROR(__xludf.DUMMYFUNCTION("INDIRECT(""'收支紀錄'!L""&amp;TO_TEXT(ROW()-$C$72))"),"")</f>
        <v/>
      </c>
      <c r="M535" s="61" t="str">
        <f>IFERROR(__xludf.DUMMYFUNCTION("INDIRECT(""'收支紀錄'!M""&amp;TO_TEXT(ROW()-$C$72))"),"")</f>
        <v/>
      </c>
      <c r="N535" s="61" t="str">
        <f>IFERROR(__xludf.DUMMYFUNCTION("INDIRECT(""'收支紀錄'!N""&amp;TO_TEXT(ROW()-$C$72))"),"")</f>
        <v/>
      </c>
      <c r="O535" s="61" t="str">
        <f>IFERROR(__xludf.DUMMYFUNCTION("INDIRECT(""'收支紀錄'!O""&amp;TO_TEXT(ROW()-$C$72))"),"")</f>
        <v/>
      </c>
      <c r="P535" s="61" t="str">
        <f>IFERROR(__xludf.DUMMYFUNCTION("INDIRECT(""'收支紀錄'!P""&amp;TO_TEXT(ROW()-$C$72))"),"")</f>
        <v/>
      </c>
      <c r="Q535" s="61" t="str">
        <f>IFERROR(__xludf.DUMMYFUNCTION("INDIRECT(""'收支紀錄'!Q""&amp;TO_TEXT(ROW()-$C$72))"),"")</f>
        <v/>
      </c>
      <c r="R535" s="61" t="str">
        <f>IFERROR(__xludf.DUMMYFUNCTION("INDIRECT(""'收支紀錄'!R""&amp;TO_TEXT(ROW()-$C$72))"),"")</f>
        <v/>
      </c>
      <c r="S535" s="61" t="str">
        <f>IFERROR(__xludf.DUMMYFUNCTION("INDIRECT(""'收支紀錄'!S""&amp;TO_TEXT(ROW()-$C$72))"),"")</f>
        <v/>
      </c>
      <c r="T535" s="61" t="str">
        <f>IFERROR(__xludf.DUMMYFUNCTION("INDIRECT(""'收支紀錄'!T""&amp;TO_TEXT(ROW()-$C$72))"),"")</f>
        <v/>
      </c>
      <c r="U535" s="62" t="str">
        <f>IFERROR(__xludf.DUMMYFUNCTION("IF(T535=""是"",TEXTJOIN("""", TRUE, ""$"", TO_TEXT(C535), S535),"""")"),"")</f>
        <v/>
      </c>
    </row>
    <row r="536">
      <c r="A536" s="58">
        <f>IFERROR(__xludf.DUMMYFUNCTION("INDIRECT(""'收支紀錄'!A""&amp;TO_TEXT(ROW()-$C$72))"),45655.57239032407)</f>
        <v>45655.57239</v>
      </c>
      <c r="B536" s="59">
        <f>IFERROR(__xludf.DUMMYFUNCTION("IF(ISBLANK(D536), """", IF(ISDATE(D536), D536, IF(D536=""今天"", A536, IF(D536=""昨天 (-1 day)"", A536-1, IF(D536=""前天 (-2 days)"", A536-2, IF(D536=""明天 (+1 day)"", A536+1, DATE(LEFT(D536,4), MID(D536,5,2), RIGHT(D536,2))))))))"),45655.57239032407)</f>
        <v>45655.57239</v>
      </c>
      <c r="C536" s="60">
        <f>IFERROR(__xludf.DUMMYFUNCTION("INDIRECT(""'收支紀錄'!C""&amp;TO_TEXT(ROW()-$C$72))"),85.0)</f>
        <v>85</v>
      </c>
      <c r="D536" s="63" t="str">
        <f>IFERROR(__xludf.DUMMYFUNCTION("INDIRECT(""'收支紀錄'!D""&amp;TO_TEXT(ROW()-$C$72))"),"今天")</f>
        <v>今天</v>
      </c>
      <c r="E536" s="61" t="str">
        <f>IFERROR(__xludf.DUMMYFUNCTION("INDIRECT(""'收支紀錄'!E""&amp;TO_TEXT(ROW()-$C$72))"),"")</f>
        <v/>
      </c>
      <c r="F536" s="61" t="str">
        <f>IFERROR(__xludf.DUMMYFUNCTION("INDIRECT(""'收支紀錄'!F""&amp;TO_TEXT(ROW()-$C$72))"),"")</f>
        <v/>
      </c>
      <c r="G536" s="61" t="str">
        <f>IFERROR(__xludf.DUMMYFUNCTION("INDIRECT(""'收支紀錄'!G""&amp;TO_TEXT(ROW()-$C$72))"),"")</f>
        <v/>
      </c>
      <c r="H536" s="61" t="str">
        <f>IFERROR(__xludf.DUMMYFUNCTION("INDIRECT(""'收支紀錄'!H""&amp;TO_TEXT(ROW()-$C$72))"),"食品酒水")</f>
        <v>食品酒水</v>
      </c>
      <c r="I536" s="61" t="str">
        <f>IFERROR(__xludf.DUMMYFUNCTION("INDIRECT(""'收支紀錄'!I""&amp;TO_TEXT(ROW()-$C$72))"),"飲料酒水")</f>
        <v>飲料酒水</v>
      </c>
      <c r="J536" s="61" t="str">
        <f>IFERROR(__xludf.DUMMYFUNCTION("INDIRECT(""'收支紀錄'!J""&amp;TO_TEXT(ROW()-$C$72))"),"")</f>
        <v/>
      </c>
      <c r="K536" s="61" t="str">
        <f>IFERROR(__xludf.DUMMYFUNCTION("INDIRECT(""'收支紀錄'!K""&amp;TO_TEXT(ROW()-$C$72))"),"")</f>
        <v/>
      </c>
      <c r="L536" s="61" t="str">
        <f>IFERROR(__xludf.DUMMYFUNCTION("INDIRECT(""'收支紀錄'!L""&amp;TO_TEXT(ROW()-$C$72))"),"")</f>
        <v/>
      </c>
      <c r="M536" s="61" t="str">
        <f>IFERROR(__xludf.DUMMYFUNCTION("INDIRECT(""'收支紀錄'!M""&amp;TO_TEXT(ROW()-$C$72))"),"")</f>
        <v/>
      </c>
      <c r="N536" s="61" t="str">
        <f>IFERROR(__xludf.DUMMYFUNCTION("INDIRECT(""'收支紀錄'!N""&amp;TO_TEXT(ROW()-$C$72))"),"")</f>
        <v/>
      </c>
      <c r="O536" s="61" t="str">
        <f>IFERROR(__xludf.DUMMYFUNCTION("INDIRECT(""'收支紀錄'!O""&amp;TO_TEXT(ROW()-$C$72))"),"")</f>
        <v/>
      </c>
      <c r="P536" s="61" t="str">
        <f>IFERROR(__xludf.DUMMYFUNCTION("INDIRECT(""'收支紀錄'!P""&amp;TO_TEXT(ROW()-$C$72))"),"")</f>
        <v/>
      </c>
      <c r="Q536" s="61" t="str">
        <f>IFERROR(__xludf.DUMMYFUNCTION("INDIRECT(""'收支紀錄'!Q""&amp;TO_TEXT(ROW()-$C$72))"),"")</f>
        <v/>
      </c>
      <c r="R536" s="61" t="str">
        <f>IFERROR(__xludf.DUMMYFUNCTION("INDIRECT(""'收支紀錄'!R""&amp;TO_TEXT(ROW()-$C$72))"),"")</f>
        <v/>
      </c>
      <c r="S536" s="61" t="str">
        <f>IFERROR(__xludf.DUMMYFUNCTION("INDIRECT(""'收支紀錄'!S""&amp;TO_TEXT(ROW()-$C$72))"),"")</f>
        <v/>
      </c>
      <c r="T536" s="61" t="str">
        <f>IFERROR(__xludf.DUMMYFUNCTION("INDIRECT(""'收支紀錄'!T""&amp;TO_TEXT(ROW()-$C$72))"),"")</f>
        <v/>
      </c>
      <c r="U536" s="62" t="str">
        <f>IFERROR(__xludf.DUMMYFUNCTION("IF(T536=""是"",TEXTJOIN("""", TRUE, ""$"", TO_TEXT(C536), S536),"""")"),"")</f>
        <v/>
      </c>
    </row>
    <row r="537">
      <c r="A537" s="58">
        <f>IFERROR(__xludf.DUMMYFUNCTION("INDIRECT(""'收支紀錄'!A""&amp;TO_TEXT(ROW()-$C$72))"),45656.31197171296)</f>
        <v>45656.31197</v>
      </c>
      <c r="B537" s="59">
        <f>IFERROR(__xludf.DUMMYFUNCTION("IF(ISBLANK(D537), """", IF(ISDATE(D537), D537, IF(D537=""今天"", A537, IF(D537=""昨天 (-1 day)"", A537-1, IF(D537=""前天 (-2 days)"", A537-2, IF(D537=""明天 (+1 day)"", A537+1, DATE(LEFT(D537,4), MID(D537,5,2), RIGHT(D537,2))))))))"),45655.31197171296)</f>
        <v>45655.31197</v>
      </c>
      <c r="C537" s="60">
        <f>IFERROR(__xludf.DUMMYFUNCTION("INDIRECT(""'收支紀錄'!C""&amp;TO_TEXT(ROW()-$C$72))"),18.0)</f>
        <v>18</v>
      </c>
      <c r="D537" s="63" t="str">
        <f>IFERROR(__xludf.DUMMYFUNCTION("INDIRECT(""'收支紀錄'!D""&amp;TO_TEXT(ROW()-$C$72))"),"昨天 (-1 day)")</f>
        <v>昨天 (-1 day)</v>
      </c>
      <c r="E537" s="61" t="str">
        <f>IFERROR(__xludf.DUMMYFUNCTION("INDIRECT(""'收支紀錄'!E""&amp;TO_TEXT(ROW()-$C$72))"),"")</f>
        <v/>
      </c>
      <c r="F537" s="61" t="str">
        <f>IFERROR(__xludf.DUMMYFUNCTION("INDIRECT(""'收支紀錄'!F""&amp;TO_TEXT(ROW()-$C$72))"),"")</f>
        <v/>
      </c>
      <c r="G537" s="61" t="str">
        <f>IFERROR(__xludf.DUMMYFUNCTION("INDIRECT(""'收支紀錄'!G""&amp;TO_TEXT(ROW()-$C$72))"),"")</f>
        <v/>
      </c>
      <c r="H537" s="61" t="str">
        <f>IFERROR(__xludf.DUMMYFUNCTION("INDIRECT(""'收支紀錄'!H""&amp;TO_TEXT(ROW()-$C$72))"),"行車交通")</f>
        <v>行車交通</v>
      </c>
      <c r="I537" s="61" t="str">
        <f>IFERROR(__xludf.DUMMYFUNCTION("INDIRECT(""'收支紀錄'!I""&amp;TO_TEXT(ROW()-$C$72))"),"")</f>
        <v/>
      </c>
      <c r="J537" s="61" t="str">
        <f>IFERROR(__xludf.DUMMYFUNCTION("INDIRECT(""'收支紀錄'!J""&amp;TO_TEXT(ROW()-$C$72))"),"")</f>
        <v/>
      </c>
      <c r="K537" s="61" t="str">
        <f>IFERROR(__xludf.DUMMYFUNCTION("INDIRECT(""'收支紀錄'!K""&amp;TO_TEXT(ROW()-$C$72))"),"")</f>
        <v/>
      </c>
      <c r="L537" s="61" t="str">
        <f>IFERROR(__xludf.DUMMYFUNCTION("INDIRECT(""'收支紀錄'!L""&amp;TO_TEXT(ROW()-$C$72))"),"租車")</f>
        <v>租車</v>
      </c>
      <c r="M537" s="61" t="str">
        <f>IFERROR(__xludf.DUMMYFUNCTION("INDIRECT(""'收支紀錄'!M""&amp;TO_TEXT(ROW()-$C$72))"),"")</f>
        <v/>
      </c>
      <c r="N537" s="61" t="str">
        <f>IFERROR(__xludf.DUMMYFUNCTION("INDIRECT(""'收支紀錄'!N""&amp;TO_TEXT(ROW()-$C$72))"),"")</f>
        <v/>
      </c>
      <c r="O537" s="61" t="str">
        <f>IFERROR(__xludf.DUMMYFUNCTION("INDIRECT(""'收支紀錄'!O""&amp;TO_TEXT(ROW()-$C$72))"),"")</f>
        <v/>
      </c>
      <c r="P537" s="61" t="str">
        <f>IFERROR(__xludf.DUMMYFUNCTION("INDIRECT(""'收支紀錄'!P""&amp;TO_TEXT(ROW()-$C$72))"),"")</f>
        <v/>
      </c>
      <c r="Q537" s="61" t="str">
        <f>IFERROR(__xludf.DUMMYFUNCTION("INDIRECT(""'收支紀錄'!Q""&amp;TO_TEXT(ROW()-$C$72))"),"")</f>
        <v/>
      </c>
      <c r="R537" s="61" t="str">
        <f>IFERROR(__xludf.DUMMYFUNCTION("INDIRECT(""'收支紀錄'!R""&amp;TO_TEXT(ROW()-$C$72))"),"")</f>
        <v/>
      </c>
      <c r="S537" s="61" t="str">
        <f>IFERROR(__xludf.DUMMYFUNCTION("INDIRECT(""'收支紀錄'!S""&amp;TO_TEXT(ROW()-$C$72))"),"")</f>
        <v/>
      </c>
      <c r="T537" s="61" t="str">
        <f>IFERROR(__xludf.DUMMYFUNCTION("INDIRECT(""'收支紀錄'!T""&amp;TO_TEXT(ROW()-$C$72))"),"")</f>
        <v/>
      </c>
      <c r="U537" s="62" t="str">
        <f>IFERROR(__xludf.DUMMYFUNCTION("IF(T537=""是"",TEXTJOIN("""", TRUE, ""$"", TO_TEXT(C537), S537),"""")"),"")</f>
        <v/>
      </c>
    </row>
    <row r="538">
      <c r="A538" s="58">
        <f>IFERROR(__xludf.DUMMYFUNCTION("INDIRECT(""'收支紀錄'!A""&amp;TO_TEXT(ROW()-$C$72))"),45656.56244627315)</f>
        <v>45656.56245</v>
      </c>
      <c r="B538" s="59">
        <f>IFERROR(__xludf.DUMMYFUNCTION("IF(ISBLANK(D538), """", IF(ISDATE(D538), D538, IF(D538=""今天"", A538, IF(D538=""昨天 (-1 day)"", A538-1, IF(D538=""前天 (-2 days)"", A538-2, IF(D538=""明天 (+1 day)"", A538+1, DATE(LEFT(D538,4), MID(D538,5,2), RIGHT(D538,2))))))))"),45655.56244627315)</f>
        <v>45655.56245</v>
      </c>
      <c r="C538" s="60">
        <f>IFERROR(__xludf.DUMMYFUNCTION("INDIRECT(""'收支紀錄'!C""&amp;TO_TEXT(ROW()-$C$72))"),1500.0)</f>
        <v>1500</v>
      </c>
      <c r="D538" s="63" t="str">
        <f>IFERROR(__xludf.DUMMYFUNCTION("INDIRECT(""'收支紀錄'!D""&amp;TO_TEXT(ROW()-$C$72))"),"昨天 (-1 day)")</f>
        <v>昨天 (-1 day)</v>
      </c>
      <c r="E538" s="61" t="str">
        <f>IFERROR(__xludf.DUMMYFUNCTION("INDIRECT(""'收支紀錄'!E""&amp;TO_TEXT(ROW()-$C$72))"),"")</f>
        <v/>
      </c>
      <c r="F538" s="61" t="str">
        <f>IFERROR(__xludf.DUMMYFUNCTION("INDIRECT(""'收支紀錄'!F""&amp;TO_TEXT(ROW()-$C$72))"),"")</f>
        <v/>
      </c>
      <c r="G538" s="61" t="str">
        <f>IFERROR(__xludf.DUMMYFUNCTION("INDIRECT(""'收支紀錄'!G""&amp;TO_TEXT(ROW()-$C$72))"),"")</f>
        <v/>
      </c>
      <c r="H538" s="61" t="str">
        <f>IFERROR(__xludf.DUMMYFUNCTION("INDIRECT(""'收支紀錄'!H""&amp;TO_TEXT(ROW()-$C$72))"),"休閒娛樂")</f>
        <v>休閒娛樂</v>
      </c>
      <c r="I538" s="61" t="str">
        <f>IFERROR(__xludf.DUMMYFUNCTION("INDIRECT(""'收支紀錄'!I""&amp;TO_TEXT(ROW()-$C$72))"),"")</f>
        <v/>
      </c>
      <c r="J538" s="61" t="str">
        <f>IFERROR(__xludf.DUMMYFUNCTION("INDIRECT(""'收支紀錄'!J""&amp;TO_TEXT(ROW()-$C$72))"),"")</f>
        <v/>
      </c>
      <c r="K538" s="61" t="str">
        <f>IFERROR(__xludf.DUMMYFUNCTION("INDIRECT(""'收支紀錄'!K""&amp;TO_TEXT(ROW()-$C$72))"),"")</f>
        <v/>
      </c>
      <c r="L538" s="61" t="str">
        <f>IFERROR(__xludf.DUMMYFUNCTION("INDIRECT(""'收支紀錄'!L""&amp;TO_TEXT(ROW()-$C$72))"),"")</f>
        <v/>
      </c>
      <c r="M538" s="61" t="str">
        <f>IFERROR(__xludf.DUMMYFUNCTION("INDIRECT(""'收支紀錄'!M""&amp;TO_TEXT(ROW()-$C$72))"),"休閒玩樂")</f>
        <v>休閒玩樂</v>
      </c>
      <c r="N538" s="61" t="str">
        <f>IFERROR(__xludf.DUMMYFUNCTION("INDIRECT(""'收支紀錄'!N""&amp;TO_TEXT(ROW()-$C$72))"),"")</f>
        <v/>
      </c>
      <c r="O538" s="61" t="str">
        <f>IFERROR(__xludf.DUMMYFUNCTION("INDIRECT(""'收支紀錄'!O""&amp;TO_TEXT(ROW()-$C$72))"),"")</f>
        <v/>
      </c>
      <c r="P538" s="61" t="str">
        <f>IFERROR(__xludf.DUMMYFUNCTION("INDIRECT(""'收支紀錄'!P""&amp;TO_TEXT(ROW()-$C$72))"),"")</f>
        <v/>
      </c>
      <c r="Q538" s="61" t="str">
        <f>IFERROR(__xludf.DUMMYFUNCTION("INDIRECT(""'收支紀錄'!Q""&amp;TO_TEXT(ROW()-$C$72))"),"")</f>
        <v/>
      </c>
      <c r="R538" s="61" t="str">
        <f>IFERROR(__xludf.DUMMYFUNCTION("INDIRECT(""'收支紀錄'!R""&amp;TO_TEXT(ROW()-$C$72))"),"")</f>
        <v/>
      </c>
      <c r="S538" s="61" t="str">
        <f>IFERROR(__xludf.DUMMYFUNCTION("INDIRECT(""'收支紀錄'!S""&amp;TO_TEXT(ROW()-$C$72))"),"福湯岩盤浴*2")</f>
        <v>福湯岩盤浴*2</v>
      </c>
      <c r="T538" s="61" t="str">
        <f>IFERROR(__xludf.DUMMYFUNCTION("INDIRECT(""'收支紀錄'!T""&amp;TO_TEXT(ROW()-$C$72))"),"否")</f>
        <v>否</v>
      </c>
      <c r="U538" s="62" t="str">
        <f>IFERROR(__xludf.DUMMYFUNCTION("IF(T538=""是"",TEXTJOIN("""", TRUE, ""$"", TO_TEXT(C538), S538),"""")"),"")</f>
        <v/>
      </c>
    </row>
    <row r="539">
      <c r="A539" s="58">
        <f>IFERROR(__xludf.DUMMYFUNCTION("INDIRECT(""'收支紀錄'!A""&amp;TO_TEXT(ROW()-$C$72))"),45657.382715451386)</f>
        <v>45657.38272</v>
      </c>
      <c r="B539" s="59">
        <f>IFERROR(__xludf.DUMMYFUNCTION("IF(ISBLANK(D539), """", IF(ISDATE(D539), D539, IF(D539=""今天"", A539, IF(D539=""昨天 (-1 day)"", A539-1, IF(D539=""前天 (-2 days)"", A539-2, IF(D539=""明天 (+1 day)"", A539+1, DATE(LEFT(D539,4), MID(D539,5,2), RIGHT(D539,2))))))))"),45656.382715451386)</f>
        <v>45656.38272</v>
      </c>
      <c r="C539" s="60">
        <f>IFERROR(__xludf.DUMMYFUNCTION("INDIRECT(""'收支紀錄'!C""&amp;TO_TEXT(ROW()-$C$72))"),20.0)</f>
        <v>20</v>
      </c>
      <c r="D539" s="63" t="str">
        <f>IFERROR(__xludf.DUMMYFUNCTION("INDIRECT(""'收支紀錄'!D""&amp;TO_TEXT(ROW()-$C$72))"),"昨天 (-1 day)")</f>
        <v>昨天 (-1 day)</v>
      </c>
      <c r="E539" s="61" t="str">
        <f>IFERROR(__xludf.DUMMYFUNCTION("INDIRECT(""'收支紀錄'!E""&amp;TO_TEXT(ROW()-$C$72))"),"")</f>
        <v/>
      </c>
      <c r="F539" s="61" t="str">
        <f>IFERROR(__xludf.DUMMYFUNCTION("INDIRECT(""'收支紀錄'!F""&amp;TO_TEXT(ROW()-$C$72))"),"")</f>
        <v/>
      </c>
      <c r="G539" s="61" t="str">
        <f>IFERROR(__xludf.DUMMYFUNCTION("INDIRECT(""'收支紀錄'!G""&amp;TO_TEXT(ROW()-$C$72))"),"")</f>
        <v/>
      </c>
      <c r="H539" s="61" t="str">
        <f>IFERROR(__xludf.DUMMYFUNCTION("INDIRECT(""'收支紀錄'!H""&amp;TO_TEXT(ROW()-$C$72))"),"行車交通")</f>
        <v>行車交通</v>
      </c>
      <c r="I539" s="61" t="str">
        <f>IFERROR(__xludf.DUMMYFUNCTION("INDIRECT(""'收支紀錄'!I""&amp;TO_TEXT(ROW()-$C$72))"),"")</f>
        <v/>
      </c>
      <c r="J539" s="61" t="str">
        <f>IFERROR(__xludf.DUMMYFUNCTION("INDIRECT(""'收支紀錄'!J""&amp;TO_TEXT(ROW()-$C$72))"),"")</f>
        <v/>
      </c>
      <c r="K539" s="61" t="str">
        <f>IFERROR(__xludf.DUMMYFUNCTION("INDIRECT(""'收支紀錄'!K""&amp;TO_TEXT(ROW()-$C$72))"),"")</f>
        <v/>
      </c>
      <c r="L539" s="61" t="str">
        <f>IFERROR(__xludf.DUMMYFUNCTION("INDIRECT(""'收支紀錄'!L""&amp;TO_TEXT(ROW()-$C$72))"),"捷運費")</f>
        <v>捷運費</v>
      </c>
      <c r="M539" s="61" t="str">
        <f>IFERROR(__xludf.DUMMYFUNCTION("INDIRECT(""'收支紀錄'!M""&amp;TO_TEXT(ROW()-$C$72))"),"")</f>
        <v/>
      </c>
      <c r="N539" s="61" t="str">
        <f>IFERROR(__xludf.DUMMYFUNCTION("INDIRECT(""'收支紀錄'!N""&amp;TO_TEXT(ROW()-$C$72))"),"")</f>
        <v/>
      </c>
      <c r="O539" s="61" t="str">
        <f>IFERROR(__xludf.DUMMYFUNCTION("INDIRECT(""'收支紀錄'!O""&amp;TO_TEXT(ROW()-$C$72))"),"")</f>
        <v/>
      </c>
      <c r="P539" s="61" t="str">
        <f>IFERROR(__xludf.DUMMYFUNCTION("INDIRECT(""'收支紀錄'!P""&amp;TO_TEXT(ROW()-$C$72))"),"")</f>
        <v/>
      </c>
      <c r="Q539" s="61" t="str">
        <f>IFERROR(__xludf.DUMMYFUNCTION("INDIRECT(""'收支紀錄'!Q""&amp;TO_TEXT(ROW()-$C$72))"),"")</f>
        <v/>
      </c>
      <c r="R539" s="61" t="str">
        <f>IFERROR(__xludf.DUMMYFUNCTION("INDIRECT(""'收支紀錄'!R""&amp;TO_TEXT(ROW()-$C$72))"),"")</f>
        <v/>
      </c>
      <c r="S539" s="61" t="str">
        <f>IFERROR(__xludf.DUMMYFUNCTION("INDIRECT(""'收支紀錄'!S""&amp;TO_TEXT(ROW()-$C$72))"),"")</f>
        <v/>
      </c>
      <c r="T539" s="61" t="str">
        <f>IFERROR(__xludf.DUMMYFUNCTION("INDIRECT(""'收支紀錄'!T""&amp;TO_TEXT(ROW()-$C$72))"),"")</f>
        <v/>
      </c>
      <c r="U539" s="62" t="str">
        <f>IFERROR(__xludf.DUMMYFUNCTION("IF(T539=""是"",TEXTJOIN("""", TRUE, ""$"", TO_TEXT(C539), S539),"""")"),"")</f>
        <v/>
      </c>
    </row>
    <row r="540">
      <c r="A540" s="58">
        <f>IFERROR(__xludf.DUMMYFUNCTION("INDIRECT(""'收支紀錄'!A""&amp;TO_TEXT(ROW()-$C$72))"),45657.382870393514)</f>
        <v>45657.38287</v>
      </c>
      <c r="B540" s="59">
        <f>IFERROR(__xludf.DUMMYFUNCTION("IF(ISBLANK(D540), """", IF(ISDATE(D540), D540, IF(D540=""今天"", A540, IF(D540=""昨天 (-1 day)"", A540-1, IF(D540=""前天 (-2 days)"", A540-2, IF(D540=""明天 (+1 day)"", A540+1, DATE(LEFT(D540,4), MID(D540,5,2), RIGHT(D540,2))))))))"),45656.382870393514)</f>
        <v>45656.38287</v>
      </c>
      <c r="C540" s="60">
        <f>IFERROR(__xludf.DUMMYFUNCTION("INDIRECT(""'收支紀錄'!C""&amp;TO_TEXT(ROW()-$C$72))"),91.0)</f>
        <v>91</v>
      </c>
      <c r="D540" s="63" t="str">
        <f>IFERROR(__xludf.DUMMYFUNCTION("INDIRECT(""'收支紀錄'!D""&amp;TO_TEXT(ROW()-$C$72))"),"昨天 (-1 day)")</f>
        <v>昨天 (-1 day)</v>
      </c>
      <c r="E540" s="61" t="str">
        <f>IFERROR(__xludf.DUMMYFUNCTION("INDIRECT(""'收支紀錄'!E""&amp;TO_TEXT(ROW()-$C$72))"),"")</f>
        <v/>
      </c>
      <c r="F540" s="61" t="str">
        <f>IFERROR(__xludf.DUMMYFUNCTION("INDIRECT(""'收支紀錄'!F""&amp;TO_TEXT(ROW()-$C$72))"),"")</f>
        <v/>
      </c>
      <c r="G540" s="61" t="str">
        <f>IFERROR(__xludf.DUMMYFUNCTION("INDIRECT(""'收支紀錄'!G""&amp;TO_TEXT(ROW()-$C$72))"),"")</f>
        <v/>
      </c>
      <c r="H540" s="61" t="str">
        <f>IFERROR(__xludf.DUMMYFUNCTION("INDIRECT(""'收支紀錄'!H""&amp;TO_TEXT(ROW()-$C$72))"),"行車交通")</f>
        <v>行車交通</v>
      </c>
      <c r="I540" s="61" t="str">
        <f>IFERROR(__xludf.DUMMYFUNCTION("INDIRECT(""'收支紀錄'!I""&amp;TO_TEXT(ROW()-$C$72))"),"")</f>
        <v/>
      </c>
      <c r="J540" s="61" t="str">
        <f>IFERROR(__xludf.DUMMYFUNCTION("INDIRECT(""'收支紀錄'!J""&amp;TO_TEXT(ROW()-$C$72))"),"")</f>
        <v/>
      </c>
      <c r="K540" s="61" t="str">
        <f>IFERROR(__xludf.DUMMYFUNCTION("INDIRECT(""'收支紀錄'!K""&amp;TO_TEXT(ROW()-$C$72))"),"")</f>
        <v/>
      </c>
      <c r="L540" s="61" t="str">
        <f>IFERROR(__xludf.DUMMYFUNCTION("INDIRECT(""'收支紀錄'!L""&amp;TO_TEXT(ROW()-$C$72))"),"火車費")</f>
        <v>火車費</v>
      </c>
      <c r="M540" s="61" t="str">
        <f>IFERROR(__xludf.DUMMYFUNCTION("INDIRECT(""'收支紀錄'!M""&amp;TO_TEXT(ROW()-$C$72))"),"")</f>
        <v/>
      </c>
      <c r="N540" s="61" t="str">
        <f>IFERROR(__xludf.DUMMYFUNCTION("INDIRECT(""'收支紀錄'!N""&amp;TO_TEXT(ROW()-$C$72))"),"")</f>
        <v/>
      </c>
      <c r="O540" s="61" t="str">
        <f>IFERROR(__xludf.DUMMYFUNCTION("INDIRECT(""'收支紀錄'!O""&amp;TO_TEXT(ROW()-$C$72))"),"")</f>
        <v/>
      </c>
      <c r="P540" s="61" t="str">
        <f>IFERROR(__xludf.DUMMYFUNCTION("INDIRECT(""'收支紀錄'!P""&amp;TO_TEXT(ROW()-$C$72))"),"")</f>
        <v/>
      </c>
      <c r="Q540" s="61" t="str">
        <f>IFERROR(__xludf.DUMMYFUNCTION("INDIRECT(""'收支紀錄'!Q""&amp;TO_TEXT(ROW()-$C$72))"),"")</f>
        <v/>
      </c>
      <c r="R540" s="61" t="str">
        <f>IFERROR(__xludf.DUMMYFUNCTION("INDIRECT(""'收支紀錄'!R""&amp;TO_TEXT(ROW()-$C$72))"),"")</f>
        <v/>
      </c>
      <c r="S540" s="61" t="str">
        <f>IFERROR(__xludf.DUMMYFUNCTION("INDIRECT(""'收支紀錄'!S""&amp;TO_TEXT(ROW()-$C$72))"),"")</f>
        <v/>
      </c>
      <c r="T540" s="61" t="str">
        <f>IFERROR(__xludf.DUMMYFUNCTION("INDIRECT(""'收支紀錄'!T""&amp;TO_TEXT(ROW()-$C$72))"),"")</f>
        <v/>
      </c>
      <c r="U540" s="62" t="str">
        <f>IFERROR(__xludf.DUMMYFUNCTION("IF(T540=""是"",TEXTJOIN("""", TRUE, ""$"", TO_TEXT(C540), S540),"""")"),"")</f>
        <v/>
      </c>
    </row>
    <row r="541">
      <c r="A541" s="58">
        <f>IFERROR(__xludf.DUMMYFUNCTION("INDIRECT(""'收支紀錄'!A""&amp;TO_TEXT(ROW()-$C$72))"),45657.3830247338)</f>
        <v>45657.38302</v>
      </c>
      <c r="B541" s="59">
        <f>IFERROR(__xludf.DUMMYFUNCTION("IF(ISBLANK(D541), """", IF(ISDATE(D541), D541, IF(D541=""今天"", A541, IF(D541=""昨天 (-1 day)"", A541-1, IF(D541=""前天 (-2 days)"", A541-2, IF(D541=""明天 (+1 day)"", A541+1, DATE(LEFT(D541,4), MID(D541,5,2), RIGHT(D541,2))))))))"),45656.3830247338)</f>
        <v>45656.38302</v>
      </c>
      <c r="C541" s="60">
        <f>IFERROR(__xludf.DUMMYFUNCTION("INDIRECT(""'收支紀錄'!C""&amp;TO_TEXT(ROW()-$C$72))"),195.0)</f>
        <v>195</v>
      </c>
      <c r="D541" s="63" t="str">
        <f>IFERROR(__xludf.DUMMYFUNCTION("INDIRECT(""'收支紀錄'!D""&amp;TO_TEXT(ROW()-$C$72))"),"昨天 (-1 day)")</f>
        <v>昨天 (-1 day)</v>
      </c>
      <c r="E541" s="61" t="str">
        <f>IFERROR(__xludf.DUMMYFUNCTION("INDIRECT(""'收支紀錄'!E""&amp;TO_TEXT(ROW()-$C$72))"),"")</f>
        <v/>
      </c>
      <c r="F541" s="61" t="str">
        <f>IFERROR(__xludf.DUMMYFUNCTION("INDIRECT(""'收支紀錄'!F""&amp;TO_TEXT(ROW()-$C$72))"),"")</f>
        <v/>
      </c>
      <c r="G541" s="61" t="str">
        <f>IFERROR(__xludf.DUMMYFUNCTION("INDIRECT(""'收支紀錄'!G""&amp;TO_TEXT(ROW()-$C$72))"),"")</f>
        <v/>
      </c>
      <c r="H541" s="61" t="str">
        <f>IFERROR(__xludf.DUMMYFUNCTION("INDIRECT(""'收支紀錄'!H""&amp;TO_TEXT(ROW()-$C$72))"),"食品酒水")</f>
        <v>食品酒水</v>
      </c>
      <c r="I541" s="61" t="str">
        <f>IFERROR(__xludf.DUMMYFUNCTION("INDIRECT(""'收支紀錄'!I""&amp;TO_TEXT(ROW()-$C$72))"),"宵夜")</f>
        <v>宵夜</v>
      </c>
      <c r="J541" s="61" t="str">
        <f>IFERROR(__xludf.DUMMYFUNCTION("INDIRECT(""'收支紀錄'!J""&amp;TO_TEXT(ROW()-$C$72))"),"")</f>
        <v/>
      </c>
      <c r="K541" s="61" t="str">
        <f>IFERROR(__xludf.DUMMYFUNCTION("INDIRECT(""'收支紀錄'!K""&amp;TO_TEXT(ROW()-$C$72))"),"")</f>
        <v/>
      </c>
      <c r="L541" s="61" t="str">
        <f>IFERROR(__xludf.DUMMYFUNCTION("INDIRECT(""'收支紀錄'!L""&amp;TO_TEXT(ROW()-$C$72))"),"")</f>
        <v/>
      </c>
      <c r="M541" s="61" t="str">
        <f>IFERROR(__xludf.DUMMYFUNCTION("INDIRECT(""'收支紀錄'!M""&amp;TO_TEXT(ROW()-$C$72))"),"")</f>
        <v/>
      </c>
      <c r="N541" s="61" t="str">
        <f>IFERROR(__xludf.DUMMYFUNCTION("INDIRECT(""'收支紀錄'!N""&amp;TO_TEXT(ROW()-$C$72))"),"")</f>
        <v/>
      </c>
      <c r="O541" s="61" t="str">
        <f>IFERROR(__xludf.DUMMYFUNCTION("INDIRECT(""'收支紀錄'!O""&amp;TO_TEXT(ROW()-$C$72))"),"")</f>
        <v/>
      </c>
      <c r="P541" s="61" t="str">
        <f>IFERROR(__xludf.DUMMYFUNCTION("INDIRECT(""'收支紀錄'!P""&amp;TO_TEXT(ROW()-$C$72))"),"")</f>
        <v/>
      </c>
      <c r="Q541" s="61" t="str">
        <f>IFERROR(__xludf.DUMMYFUNCTION("INDIRECT(""'收支紀錄'!Q""&amp;TO_TEXT(ROW()-$C$72))"),"")</f>
        <v/>
      </c>
      <c r="R541" s="61" t="str">
        <f>IFERROR(__xludf.DUMMYFUNCTION("INDIRECT(""'收支紀錄'!R""&amp;TO_TEXT(ROW()-$C$72))"),"")</f>
        <v/>
      </c>
      <c r="S541" s="61" t="str">
        <f>IFERROR(__xludf.DUMMYFUNCTION("INDIRECT(""'收支紀錄'!S""&amp;TO_TEXT(ROW()-$C$72))"),"")</f>
        <v/>
      </c>
      <c r="T541" s="61" t="str">
        <f>IFERROR(__xludf.DUMMYFUNCTION("INDIRECT(""'收支紀錄'!T""&amp;TO_TEXT(ROW()-$C$72))"),"")</f>
        <v/>
      </c>
      <c r="U541" s="62" t="str">
        <f>IFERROR(__xludf.DUMMYFUNCTION("IF(T541=""是"",TEXTJOIN("""", TRUE, ""$"", TO_TEXT(C541), S541),"""")"),"")</f>
        <v/>
      </c>
    </row>
    <row r="542">
      <c r="A542" s="58">
        <f>IFERROR(__xludf.DUMMYFUNCTION("INDIRECT(""'收支紀錄'!A""&amp;TO_TEXT(ROW()-$C$72))"),45657.38326351852)</f>
        <v>45657.38326</v>
      </c>
      <c r="B542" s="59">
        <f>IFERROR(__xludf.DUMMYFUNCTION("IF(ISBLANK(D542), """", IF(ISDATE(D542), D542, IF(D542=""今天"", A542, IF(D542=""昨天 (-1 day)"", A542-1, IF(D542=""前天 (-2 days)"", A542-2, IF(D542=""明天 (+1 day)"", A542+1, DATE(LEFT(D542,4), MID(D542,5,2), RIGHT(D542,2))))))))"),45656.38326351852)</f>
        <v>45656.38326</v>
      </c>
      <c r="C542" s="60">
        <f>IFERROR(__xludf.DUMMYFUNCTION("INDIRECT(""'收支紀錄'!C""&amp;TO_TEXT(ROW()-$C$72))"),137.0)</f>
        <v>137</v>
      </c>
      <c r="D542" s="63" t="str">
        <f>IFERROR(__xludf.DUMMYFUNCTION("INDIRECT(""'收支紀錄'!D""&amp;TO_TEXT(ROW()-$C$72))"),"昨天 (-1 day)")</f>
        <v>昨天 (-1 day)</v>
      </c>
      <c r="E542" s="61" t="str">
        <f>IFERROR(__xludf.DUMMYFUNCTION("INDIRECT(""'收支紀錄'!E""&amp;TO_TEXT(ROW()-$C$72))"),"")</f>
        <v/>
      </c>
      <c r="F542" s="61" t="str">
        <f>IFERROR(__xludf.DUMMYFUNCTION("INDIRECT(""'收支紀錄'!F""&amp;TO_TEXT(ROW()-$C$72))"),"")</f>
        <v/>
      </c>
      <c r="G542" s="61" t="str">
        <f>IFERROR(__xludf.DUMMYFUNCTION("INDIRECT(""'收支紀錄'!G""&amp;TO_TEXT(ROW()-$C$72))"),"")</f>
        <v/>
      </c>
      <c r="H542" s="61" t="str">
        <f>IFERROR(__xludf.DUMMYFUNCTION("INDIRECT(""'收支紀錄'!H""&amp;TO_TEXT(ROW()-$C$72))"),"行車交通")</f>
        <v>行車交通</v>
      </c>
      <c r="I542" s="61" t="str">
        <f>IFERROR(__xludf.DUMMYFUNCTION("INDIRECT(""'收支紀錄'!I""&amp;TO_TEXT(ROW()-$C$72))"),"")</f>
        <v/>
      </c>
      <c r="J542" s="61" t="str">
        <f>IFERROR(__xludf.DUMMYFUNCTION("INDIRECT(""'收支紀錄'!J""&amp;TO_TEXT(ROW()-$C$72))"),"")</f>
        <v/>
      </c>
      <c r="K542" s="61" t="str">
        <f>IFERROR(__xludf.DUMMYFUNCTION("INDIRECT(""'收支紀錄'!K""&amp;TO_TEXT(ROW()-$C$72))"),"")</f>
        <v/>
      </c>
      <c r="L542" s="61" t="str">
        <f>IFERROR(__xludf.DUMMYFUNCTION("INDIRECT(""'收支紀錄'!L""&amp;TO_TEXT(ROW()-$C$72))"),"加油")</f>
        <v>加油</v>
      </c>
      <c r="M542" s="61" t="str">
        <f>IFERROR(__xludf.DUMMYFUNCTION("INDIRECT(""'收支紀錄'!M""&amp;TO_TEXT(ROW()-$C$72))"),"")</f>
        <v/>
      </c>
      <c r="N542" s="61" t="str">
        <f>IFERROR(__xludf.DUMMYFUNCTION("INDIRECT(""'收支紀錄'!N""&amp;TO_TEXT(ROW()-$C$72))"),"")</f>
        <v/>
      </c>
      <c r="O542" s="61" t="str">
        <f>IFERROR(__xludf.DUMMYFUNCTION("INDIRECT(""'收支紀錄'!O""&amp;TO_TEXT(ROW()-$C$72))"),"")</f>
        <v/>
      </c>
      <c r="P542" s="61" t="str">
        <f>IFERROR(__xludf.DUMMYFUNCTION("INDIRECT(""'收支紀錄'!P""&amp;TO_TEXT(ROW()-$C$72))"),"")</f>
        <v/>
      </c>
      <c r="Q542" s="61" t="str">
        <f>IFERROR(__xludf.DUMMYFUNCTION("INDIRECT(""'收支紀錄'!Q""&amp;TO_TEXT(ROW()-$C$72))"),"")</f>
        <v/>
      </c>
      <c r="R542" s="61" t="str">
        <f>IFERROR(__xludf.DUMMYFUNCTION("INDIRECT(""'收支紀錄'!R""&amp;TO_TEXT(ROW()-$C$72))"),"")</f>
        <v/>
      </c>
      <c r="S542" s="61" t="str">
        <f>IFERROR(__xludf.DUMMYFUNCTION("INDIRECT(""'收支紀錄'!S""&amp;TO_TEXT(ROW()-$C$72))"),"")</f>
        <v/>
      </c>
      <c r="T542" s="61" t="str">
        <f>IFERROR(__xludf.DUMMYFUNCTION("INDIRECT(""'收支紀錄'!T""&amp;TO_TEXT(ROW()-$C$72))"),"")</f>
        <v/>
      </c>
      <c r="U542" s="62" t="str">
        <f>IFERROR(__xludf.DUMMYFUNCTION("IF(T542=""是"",TEXTJOIN("""", TRUE, ""$"", TO_TEXT(C542), S542),"""")"),"")</f>
        <v/>
      </c>
    </row>
    <row r="543">
      <c r="A543" s="58">
        <f>IFERROR(__xludf.DUMMYFUNCTION("INDIRECT(""'收支紀錄'!A""&amp;TO_TEXT(ROW()-$C$72))"),45657.3834178588)</f>
        <v>45657.38342</v>
      </c>
      <c r="B543" s="59">
        <f>IFERROR(__xludf.DUMMYFUNCTION("IF(ISBLANK(D543), """", IF(ISDATE(D543), D543, IF(D543=""今天"", A543, IF(D543=""昨天 (-1 day)"", A543-1, IF(D543=""前天 (-2 days)"", A543-2, IF(D543=""明天 (+1 day)"", A543+1, DATE(LEFT(D543,4), MID(D543,5,2), RIGHT(D543,2))))))))"),45657.3834178588)</f>
        <v>45657.38342</v>
      </c>
      <c r="C543" s="60">
        <f>IFERROR(__xludf.DUMMYFUNCTION("INDIRECT(""'收支紀錄'!C""&amp;TO_TEXT(ROW()-$C$72))"),339.0)</f>
        <v>339</v>
      </c>
      <c r="D543" s="63" t="str">
        <f>IFERROR(__xludf.DUMMYFUNCTION("INDIRECT(""'收支紀錄'!D""&amp;TO_TEXT(ROW()-$C$72))"),"今天")</f>
        <v>今天</v>
      </c>
      <c r="E543" s="61" t="str">
        <f>IFERROR(__xludf.DUMMYFUNCTION("INDIRECT(""'收支紀錄'!E""&amp;TO_TEXT(ROW()-$C$72))"),"")</f>
        <v/>
      </c>
      <c r="F543" s="61" t="str">
        <f>IFERROR(__xludf.DUMMYFUNCTION("INDIRECT(""'收支紀錄'!F""&amp;TO_TEXT(ROW()-$C$72))"),"")</f>
        <v/>
      </c>
      <c r="G543" s="61" t="str">
        <f>IFERROR(__xludf.DUMMYFUNCTION("INDIRECT(""'收支紀錄'!G""&amp;TO_TEXT(ROW()-$C$72))"),"")</f>
        <v/>
      </c>
      <c r="H543" s="61" t="str">
        <f>IFERROR(__xludf.DUMMYFUNCTION("INDIRECT(""'收支紀錄'!H""&amp;TO_TEXT(ROW()-$C$72))"),"食品酒水")</f>
        <v>食品酒水</v>
      </c>
      <c r="I543" s="61" t="str">
        <f>IFERROR(__xludf.DUMMYFUNCTION("INDIRECT(""'收支紀錄'!I""&amp;TO_TEXT(ROW()-$C$72))"),"晚餐")</f>
        <v>晚餐</v>
      </c>
      <c r="J543" s="61" t="str">
        <f>IFERROR(__xludf.DUMMYFUNCTION("INDIRECT(""'收支紀錄'!J""&amp;TO_TEXT(ROW()-$C$72))"),"")</f>
        <v/>
      </c>
      <c r="K543" s="61" t="str">
        <f>IFERROR(__xludf.DUMMYFUNCTION("INDIRECT(""'收支紀錄'!K""&amp;TO_TEXT(ROW()-$C$72))"),"")</f>
        <v/>
      </c>
      <c r="L543" s="61" t="str">
        <f>IFERROR(__xludf.DUMMYFUNCTION("INDIRECT(""'收支紀錄'!L""&amp;TO_TEXT(ROW()-$C$72))"),"")</f>
        <v/>
      </c>
      <c r="M543" s="61" t="str">
        <f>IFERROR(__xludf.DUMMYFUNCTION("INDIRECT(""'收支紀錄'!M""&amp;TO_TEXT(ROW()-$C$72))"),"")</f>
        <v/>
      </c>
      <c r="N543" s="61" t="str">
        <f>IFERROR(__xludf.DUMMYFUNCTION("INDIRECT(""'收支紀錄'!N""&amp;TO_TEXT(ROW()-$C$72))"),"")</f>
        <v/>
      </c>
      <c r="O543" s="61" t="str">
        <f>IFERROR(__xludf.DUMMYFUNCTION("INDIRECT(""'收支紀錄'!O""&amp;TO_TEXT(ROW()-$C$72))"),"")</f>
        <v/>
      </c>
      <c r="P543" s="61" t="str">
        <f>IFERROR(__xludf.DUMMYFUNCTION("INDIRECT(""'收支紀錄'!P""&amp;TO_TEXT(ROW()-$C$72))"),"")</f>
        <v/>
      </c>
      <c r="Q543" s="61" t="str">
        <f>IFERROR(__xludf.DUMMYFUNCTION("INDIRECT(""'收支紀錄'!Q""&amp;TO_TEXT(ROW()-$C$72))"),"")</f>
        <v/>
      </c>
      <c r="R543" s="61" t="str">
        <f>IFERROR(__xludf.DUMMYFUNCTION("INDIRECT(""'收支紀錄'!R""&amp;TO_TEXT(ROW()-$C$72))"),"")</f>
        <v/>
      </c>
      <c r="S543" s="61" t="str">
        <f>IFERROR(__xludf.DUMMYFUNCTION("INDIRECT(""'收支紀錄'!S""&amp;TO_TEXT(ROW()-$C$72))"),"")</f>
        <v/>
      </c>
      <c r="T543" s="61" t="str">
        <f>IFERROR(__xludf.DUMMYFUNCTION("INDIRECT(""'收支紀錄'!T""&amp;TO_TEXT(ROW()-$C$72))"),"")</f>
        <v/>
      </c>
      <c r="U543" s="62" t="str">
        <f>IFERROR(__xludf.DUMMYFUNCTION("IF(T543=""是"",TEXTJOIN("""", TRUE, ""$"", TO_TEXT(C543), S543),"""")"),"")</f>
        <v/>
      </c>
    </row>
    <row r="544">
      <c r="A544" s="58">
        <f>IFERROR(__xludf.DUMMYFUNCTION("INDIRECT(""'收支紀錄'!A""&amp;TO_TEXT(ROW()-$C$72))"),45657.38359697917)</f>
        <v>45657.3836</v>
      </c>
      <c r="B544" s="59">
        <f>IFERROR(__xludf.DUMMYFUNCTION("IF(ISBLANK(D544), """", IF(ISDATE(D544), D544, IF(D544=""今天"", A544, IF(D544=""昨天 (-1 day)"", A544-1, IF(D544=""前天 (-2 days)"", A544-2, IF(D544=""明天 (+1 day)"", A544+1, DATE(LEFT(D544,4), MID(D544,5,2), RIGHT(D544,2))))))))"),45657.38359697917)</f>
        <v>45657.3836</v>
      </c>
      <c r="C544" s="60">
        <f>IFERROR(__xludf.DUMMYFUNCTION("INDIRECT(""'收支紀錄'!C""&amp;TO_TEXT(ROW()-$C$72))"),91.0)</f>
        <v>91</v>
      </c>
      <c r="D544" s="63" t="str">
        <f>IFERROR(__xludf.DUMMYFUNCTION("INDIRECT(""'收支紀錄'!D""&amp;TO_TEXT(ROW()-$C$72))"),"今天")</f>
        <v>今天</v>
      </c>
      <c r="E544" s="61" t="str">
        <f>IFERROR(__xludf.DUMMYFUNCTION("INDIRECT(""'收支紀錄'!E""&amp;TO_TEXT(ROW()-$C$72))"),"")</f>
        <v/>
      </c>
      <c r="F544" s="61" t="str">
        <f>IFERROR(__xludf.DUMMYFUNCTION("INDIRECT(""'收支紀錄'!F""&amp;TO_TEXT(ROW()-$C$72))"),"")</f>
        <v/>
      </c>
      <c r="G544" s="61" t="str">
        <f>IFERROR(__xludf.DUMMYFUNCTION("INDIRECT(""'收支紀錄'!G""&amp;TO_TEXT(ROW()-$C$72))"),"")</f>
        <v/>
      </c>
      <c r="H544" s="61" t="str">
        <f>IFERROR(__xludf.DUMMYFUNCTION("INDIRECT(""'收支紀錄'!H""&amp;TO_TEXT(ROW()-$C$72))"),"行車交通")</f>
        <v>行車交通</v>
      </c>
      <c r="I544" s="61" t="str">
        <f>IFERROR(__xludf.DUMMYFUNCTION("INDIRECT(""'收支紀錄'!I""&amp;TO_TEXT(ROW()-$C$72))"),"")</f>
        <v/>
      </c>
      <c r="J544" s="61" t="str">
        <f>IFERROR(__xludf.DUMMYFUNCTION("INDIRECT(""'收支紀錄'!J""&amp;TO_TEXT(ROW()-$C$72))"),"")</f>
        <v/>
      </c>
      <c r="K544" s="61" t="str">
        <f>IFERROR(__xludf.DUMMYFUNCTION("INDIRECT(""'收支紀錄'!K""&amp;TO_TEXT(ROW()-$C$72))"),"")</f>
        <v/>
      </c>
      <c r="L544" s="61" t="str">
        <f>IFERROR(__xludf.DUMMYFUNCTION("INDIRECT(""'收支紀錄'!L""&amp;TO_TEXT(ROW()-$C$72))"),"火車費")</f>
        <v>火車費</v>
      </c>
      <c r="M544" s="61" t="str">
        <f>IFERROR(__xludf.DUMMYFUNCTION("INDIRECT(""'收支紀錄'!M""&amp;TO_TEXT(ROW()-$C$72))"),"")</f>
        <v/>
      </c>
      <c r="N544" s="61" t="str">
        <f>IFERROR(__xludf.DUMMYFUNCTION("INDIRECT(""'收支紀錄'!N""&amp;TO_TEXT(ROW()-$C$72))"),"")</f>
        <v/>
      </c>
      <c r="O544" s="61" t="str">
        <f>IFERROR(__xludf.DUMMYFUNCTION("INDIRECT(""'收支紀錄'!O""&amp;TO_TEXT(ROW()-$C$72))"),"")</f>
        <v/>
      </c>
      <c r="P544" s="61" t="str">
        <f>IFERROR(__xludf.DUMMYFUNCTION("INDIRECT(""'收支紀錄'!P""&amp;TO_TEXT(ROW()-$C$72))"),"")</f>
        <v/>
      </c>
      <c r="Q544" s="61" t="str">
        <f>IFERROR(__xludf.DUMMYFUNCTION("INDIRECT(""'收支紀錄'!Q""&amp;TO_TEXT(ROW()-$C$72))"),"")</f>
        <v/>
      </c>
      <c r="R544" s="61" t="str">
        <f>IFERROR(__xludf.DUMMYFUNCTION("INDIRECT(""'收支紀錄'!R""&amp;TO_TEXT(ROW()-$C$72))"),"")</f>
        <v/>
      </c>
      <c r="S544" s="61" t="str">
        <f>IFERROR(__xludf.DUMMYFUNCTION("INDIRECT(""'收支紀錄'!S""&amp;TO_TEXT(ROW()-$C$72))"),"")</f>
        <v/>
      </c>
      <c r="T544" s="61" t="str">
        <f>IFERROR(__xludf.DUMMYFUNCTION("INDIRECT(""'收支紀錄'!T""&amp;TO_TEXT(ROW()-$C$72))"),"")</f>
        <v/>
      </c>
      <c r="U544" s="62" t="str">
        <f>IFERROR(__xludf.DUMMYFUNCTION("IF(T544=""是"",TEXTJOIN("""", TRUE, ""$"", TO_TEXT(C544), S544),"""")"),"")</f>
        <v/>
      </c>
    </row>
    <row r="545">
      <c r="A545" s="58">
        <f>IFERROR(__xludf.DUMMYFUNCTION("INDIRECT(""'收支紀錄'!A""&amp;TO_TEXT(ROW()-$C$72))"),45658.119693506946)</f>
        <v>45658.11969</v>
      </c>
      <c r="B545" s="59">
        <f>IFERROR(__xludf.DUMMYFUNCTION("IF(ISBLANK(D545), """", IF(ISDATE(D545), D545, IF(D545=""今天"", A545, IF(D545=""昨天 (-1 day)"", A545-1, IF(D545=""前天 (-2 days)"", A545-2, IF(D545=""明天 (+1 day)"", A545+1, DATE(LEFT(D545,4), MID(D545,5,2), RIGHT(D545,2))))))))"),45657.119693506946)</f>
        <v>45657.11969</v>
      </c>
      <c r="C545" s="60">
        <f>IFERROR(__xludf.DUMMYFUNCTION("INDIRECT(""'收支紀錄'!C""&amp;TO_TEXT(ROW()-$C$72))"),66.0)</f>
        <v>66</v>
      </c>
      <c r="D545" s="63" t="str">
        <f>IFERROR(__xludf.DUMMYFUNCTION("INDIRECT(""'收支紀錄'!D""&amp;TO_TEXT(ROW()-$C$72))"),"昨天 (-1 day)")</f>
        <v>昨天 (-1 day)</v>
      </c>
      <c r="E545" s="61" t="str">
        <f>IFERROR(__xludf.DUMMYFUNCTION("INDIRECT(""'收支紀錄'!E""&amp;TO_TEXT(ROW()-$C$72))"),"")</f>
        <v/>
      </c>
      <c r="F545" s="61" t="str">
        <f>IFERROR(__xludf.DUMMYFUNCTION("INDIRECT(""'收支紀錄'!F""&amp;TO_TEXT(ROW()-$C$72))"),"")</f>
        <v/>
      </c>
      <c r="G545" s="61" t="str">
        <f>IFERROR(__xludf.DUMMYFUNCTION("INDIRECT(""'收支紀錄'!G""&amp;TO_TEXT(ROW()-$C$72))"),"")</f>
        <v/>
      </c>
      <c r="H545" s="61" t="str">
        <f>IFERROR(__xludf.DUMMYFUNCTION("INDIRECT(""'收支紀錄'!H""&amp;TO_TEXT(ROW()-$C$72))"),"食品酒水")</f>
        <v>食品酒水</v>
      </c>
      <c r="I545" s="61" t="str">
        <f>IFERROR(__xludf.DUMMYFUNCTION("INDIRECT(""'收支紀錄'!I""&amp;TO_TEXT(ROW()-$C$72))"),"宵夜")</f>
        <v>宵夜</v>
      </c>
      <c r="J545" s="61" t="str">
        <f>IFERROR(__xludf.DUMMYFUNCTION("INDIRECT(""'收支紀錄'!J""&amp;TO_TEXT(ROW()-$C$72))"),"")</f>
        <v/>
      </c>
      <c r="K545" s="61" t="str">
        <f>IFERROR(__xludf.DUMMYFUNCTION("INDIRECT(""'收支紀錄'!K""&amp;TO_TEXT(ROW()-$C$72))"),"")</f>
        <v/>
      </c>
      <c r="L545" s="61" t="str">
        <f>IFERROR(__xludf.DUMMYFUNCTION("INDIRECT(""'收支紀錄'!L""&amp;TO_TEXT(ROW()-$C$72))"),"")</f>
        <v/>
      </c>
      <c r="M545" s="61" t="str">
        <f>IFERROR(__xludf.DUMMYFUNCTION("INDIRECT(""'收支紀錄'!M""&amp;TO_TEXT(ROW()-$C$72))"),"")</f>
        <v/>
      </c>
      <c r="N545" s="61" t="str">
        <f>IFERROR(__xludf.DUMMYFUNCTION("INDIRECT(""'收支紀錄'!N""&amp;TO_TEXT(ROW()-$C$72))"),"")</f>
        <v/>
      </c>
      <c r="O545" s="61" t="str">
        <f>IFERROR(__xludf.DUMMYFUNCTION("INDIRECT(""'收支紀錄'!O""&amp;TO_TEXT(ROW()-$C$72))"),"")</f>
        <v/>
      </c>
      <c r="P545" s="61" t="str">
        <f>IFERROR(__xludf.DUMMYFUNCTION("INDIRECT(""'收支紀錄'!P""&amp;TO_TEXT(ROW()-$C$72))"),"")</f>
        <v/>
      </c>
      <c r="Q545" s="61" t="str">
        <f>IFERROR(__xludf.DUMMYFUNCTION("INDIRECT(""'收支紀錄'!Q""&amp;TO_TEXT(ROW()-$C$72))"),"")</f>
        <v/>
      </c>
      <c r="R545" s="61" t="str">
        <f>IFERROR(__xludf.DUMMYFUNCTION("INDIRECT(""'收支紀錄'!R""&amp;TO_TEXT(ROW()-$C$72))"),"")</f>
        <v/>
      </c>
      <c r="S545" s="61" t="str">
        <f>IFERROR(__xludf.DUMMYFUNCTION("INDIRECT(""'收支紀錄'!S""&amp;TO_TEXT(ROW()-$C$72))"),"")</f>
        <v/>
      </c>
      <c r="T545" s="61" t="str">
        <f>IFERROR(__xludf.DUMMYFUNCTION("INDIRECT(""'收支紀錄'!T""&amp;TO_TEXT(ROW()-$C$72))"),"")</f>
        <v/>
      </c>
      <c r="U545" s="62" t="str">
        <f>IFERROR(__xludf.DUMMYFUNCTION("IF(T545=""是"",TEXTJOIN("""", TRUE, ""$"", TO_TEXT(C545), S545),"""")"),"")</f>
        <v/>
      </c>
    </row>
    <row r="546">
      <c r="A546" s="58">
        <f>IFERROR(__xludf.DUMMYFUNCTION("INDIRECT(""'收支紀錄'!A""&amp;TO_TEXT(ROW()-$C$72))"),45658.42435310185)</f>
        <v>45658.42435</v>
      </c>
      <c r="B546" s="59">
        <f>IFERROR(__xludf.DUMMYFUNCTION("IF(ISBLANK(D546), """", IF(ISDATE(D546), D546, IF(D546=""今天"", A546, IF(D546=""昨天 (-1 day)"", A546-1, IF(D546=""前天 (-2 days)"", A546-2, IF(D546=""明天 (+1 day)"", A546+1, DATE(LEFT(D546,4), MID(D546,5,2), RIGHT(D546,2))))))))"),45638.0)</f>
        <v>45638</v>
      </c>
      <c r="C546" s="60">
        <f>IFERROR(__xludf.DUMMYFUNCTION("INDIRECT(""'收支紀錄'!C""&amp;TO_TEXT(ROW()-$C$72))"),440.0)</f>
        <v>440</v>
      </c>
      <c r="D546" s="63">
        <f>IFERROR(__xludf.DUMMYFUNCTION("INDIRECT(""'收支紀錄'!D""&amp;TO_TEXT(ROW()-$C$72))"),2.0241212E7)</f>
        <v>20241212</v>
      </c>
      <c r="E546" s="61" t="str">
        <f>IFERROR(__xludf.DUMMYFUNCTION("INDIRECT(""'收支紀錄'!E""&amp;TO_TEXT(ROW()-$C$72))"),"其他業外")</f>
        <v>其他業外</v>
      </c>
      <c r="F546" s="61" t="str">
        <f>IFERROR(__xludf.DUMMYFUNCTION("INDIRECT(""'收支紀錄'!F""&amp;TO_TEXT(ROW()-$C$72))"),"")</f>
        <v/>
      </c>
      <c r="G546" s="61" t="str">
        <f>IFERROR(__xludf.DUMMYFUNCTION("INDIRECT(""'收支紀錄'!G""&amp;TO_TEXT(ROW()-$C$72))"),"股票配息")</f>
        <v>股票配息</v>
      </c>
      <c r="H546" s="61" t="str">
        <f>IFERROR(__xludf.DUMMYFUNCTION("INDIRECT(""'收支紀錄'!H""&amp;TO_TEXT(ROW()-$C$72))"),"")</f>
        <v/>
      </c>
      <c r="I546" s="61" t="str">
        <f>IFERROR(__xludf.DUMMYFUNCTION("INDIRECT(""'收支紀錄'!I""&amp;TO_TEXT(ROW()-$C$72))"),"")</f>
        <v/>
      </c>
      <c r="J546" s="61" t="str">
        <f>IFERROR(__xludf.DUMMYFUNCTION("INDIRECT(""'收支紀錄'!J""&amp;TO_TEXT(ROW()-$C$72))"),"")</f>
        <v/>
      </c>
      <c r="K546" s="61" t="str">
        <f>IFERROR(__xludf.DUMMYFUNCTION("INDIRECT(""'收支紀錄'!K""&amp;TO_TEXT(ROW()-$C$72))"),"")</f>
        <v/>
      </c>
      <c r="L546" s="61" t="str">
        <f>IFERROR(__xludf.DUMMYFUNCTION("INDIRECT(""'收支紀錄'!L""&amp;TO_TEXT(ROW()-$C$72))"),"")</f>
        <v/>
      </c>
      <c r="M546" s="61" t="str">
        <f>IFERROR(__xludf.DUMMYFUNCTION("INDIRECT(""'收支紀錄'!M""&amp;TO_TEXT(ROW()-$C$72))"),"")</f>
        <v/>
      </c>
      <c r="N546" s="61" t="str">
        <f>IFERROR(__xludf.DUMMYFUNCTION("INDIRECT(""'收支紀錄'!N""&amp;TO_TEXT(ROW()-$C$72))"),"")</f>
        <v/>
      </c>
      <c r="O546" s="61" t="str">
        <f>IFERROR(__xludf.DUMMYFUNCTION("INDIRECT(""'收支紀錄'!O""&amp;TO_TEXT(ROW()-$C$72))"),"")</f>
        <v/>
      </c>
      <c r="P546" s="61" t="str">
        <f>IFERROR(__xludf.DUMMYFUNCTION("INDIRECT(""'收支紀錄'!P""&amp;TO_TEXT(ROW()-$C$72))"),"")</f>
        <v/>
      </c>
      <c r="Q546" s="61" t="str">
        <f>IFERROR(__xludf.DUMMYFUNCTION("INDIRECT(""'收支紀錄'!Q""&amp;TO_TEXT(ROW()-$C$72))"),"")</f>
        <v/>
      </c>
      <c r="R546" s="61" t="str">
        <f>IFERROR(__xludf.DUMMYFUNCTION("INDIRECT(""'收支紀錄'!R""&amp;TO_TEXT(ROW()-$C$72))"),"")</f>
        <v/>
      </c>
      <c r="S546" s="61" t="str">
        <f>IFERROR(__xludf.DUMMYFUNCTION("INDIRECT(""'收支紀錄'!S""&amp;TO_TEXT(ROW()-$C$72))"),"富邦台50")</f>
        <v>富邦台50</v>
      </c>
      <c r="T546" s="61" t="str">
        <f>IFERROR(__xludf.DUMMYFUNCTION("INDIRECT(""'收支紀錄'!T""&amp;TO_TEXT(ROW()-$C$72))"),"是")</f>
        <v>是</v>
      </c>
      <c r="U546" s="62" t="str">
        <f>IFERROR(__xludf.DUMMYFUNCTION("IF(T546=""是"",TEXTJOIN("""", TRUE, ""$"", TO_TEXT(C546), S546),"""")"),"$440富邦台50")</f>
        <v>$440富邦台50</v>
      </c>
    </row>
    <row r="547">
      <c r="A547" s="58">
        <f>IFERROR(__xludf.DUMMYFUNCTION("INDIRECT(""'收支紀錄'!A""&amp;TO_TEXT(ROW()-$C$72))"),45658.42479045139)</f>
        <v>45658.42479</v>
      </c>
      <c r="B547" s="59">
        <f>IFERROR(__xludf.DUMMYFUNCTION("IF(ISBLANK(D547), """", IF(ISDATE(D547), D547, IF(D547=""今天"", A547, IF(D547=""昨天 (-1 day)"", A547-1, IF(D547=""前天 (-2 days)"", A547-2, IF(D547=""明天 (+1 day)"", A547+1, DATE(LEFT(D547,4), MID(D547,5,2), RIGHT(D547,2))))))))"),45638.0)</f>
        <v>45638</v>
      </c>
      <c r="C547" s="60">
        <f>IFERROR(__xludf.DUMMYFUNCTION("INDIRECT(""'收支紀錄'!C""&amp;TO_TEXT(ROW()-$C$72))"),5090.0)</f>
        <v>5090</v>
      </c>
      <c r="D547" s="63">
        <f>IFERROR(__xludf.DUMMYFUNCTION("INDIRECT(""'收支紀錄'!D""&amp;TO_TEXT(ROW()-$C$72))"),2.0241212E7)</f>
        <v>20241212</v>
      </c>
      <c r="E547" s="61" t="str">
        <f>IFERROR(__xludf.DUMMYFUNCTION("INDIRECT(""'收支紀錄'!E""&amp;TO_TEXT(ROW()-$C$72))"),"其他業外")</f>
        <v>其他業外</v>
      </c>
      <c r="F547" s="61" t="str">
        <f>IFERROR(__xludf.DUMMYFUNCTION("INDIRECT(""'收支紀錄'!F""&amp;TO_TEXT(ROW()-$C$72))"),"")</f>
        <v/>
      </c>
      <c r="G547" s="61" t="str">
        <f>IFERROR(__xludf.DUMMYFUNCTION("INDIRECT(""'收支紀錄'!G""&amp;TO_TEXT(ROW()-$C$72))"),"股票配息")</f>
        <v>股票配息</v>
      </c>
      <c r="H547" s="61" t="str">
        <f>IFERROR(__xludf.DUMMYFUNCTION("INDIRECT(""'收支紀錄'!H""&amp;TO_TEXT(ROW()-$C$72))"),"")</f>
        <v/>
      </c>
      <c r="I547" s="61" t="str">
        <f>IFERROR(__xludf.DUMMYFUNCTION("INDIRECT(""'收支紀錄'!I""&amp;TO_TEXT(ROW()-$C$72))"),"")</f>
        <v/>
      </c>
      <c r="J547" s="61" t="str">
        <f>IFERROR(__xludf.DUMMYFUNCTION("INDIRECT(""'收支紀錄'!J""&amp;TO_TEXT(ROW()-$C$72))"),"")</f>
        <v/>
      </c>
      <c r="K547" s="61" t="str">
        <f>IFERROR(__xludf.DUMMYFUNCTION("INDIRECT(""'收支紀錄'!K""&amp;TO_TEXT(ROW()-$C$72))"),"")</f>
        <v/>
      </c>
      <c r="L547" s="61" t="str">
        <f>IFERROR(__xludf.DUMMYFUNCTION("INDIRECT(""'收支紀錄'!L""&amp;TO_TEXT(ROW()-$C$72))"),"")</f>
        <v/>
      </c>
      <c r="M547" s="61" t="str">
        <f>IFERROR(__xludf.DUMMYFUNCTION("INDIRECT(""'收支紀錄'!M""&amp;TO_TEXT(ROW()-$C$72))"),"")</f>
        <v/>
      </c>
      <c r="N547" s="61" t="str">
        <f>IFERROR(__xludf.DUMMYFUNCTION("INDIRECT(""'收支紀錄'!N""&amp;TO_TEXT(ROW()-$C$72))"),"")</f>
        <v/>
      </c>
      <c r="O547" s="61" t="str">
        <f>IFERROR(__xludf.DUMMYFUNCTION("INDIRECT(""'收支紀錄'!O""&amp;TO_TEXT(ROW()-$C$72))"),"")</f>
        <v/>
      </c>
      <c r="P547" s="61" t="str">
        <f>IFERROR(__xludf.DUMMYFUNCTION("INDIRECT(""'收支紀錄'!P""&amp;TO_TEXT(ROW()-$C$72))"),"")</f>
        <v/>
      </c>
      <c r="Q547" s="61" t="str">
        <f>IFERROR(__xludf.DUMMYFUNCTION("INDIRECT(""'收支紀錄'!Q""&amp;TO_TEXT(ROW()-$C$72))"),"")</f>
        <v/>
      </c>
      <c r="R547" s="61" t="str">
        <f>IFERROR(__xludf.DUMMYFUNCTION("INDIRECT(""'收支紀錄'!R""&amp;TO_TEXT(ROW()-$C$72))"),"")</f>
        <v/>
      </c>
      <c r="S547" s="61" t="str">
        <f>IFERROR(__xludf.DUMMYFUNCTION("INDIRECT(""'收支紀錄'!S""&amp;TO_TEXT(ROW()-$C$72))"),"美債20")</f>
        <v>美債20</v>
      </c>
      <c r="T547" s="61" t="str">
        <f>IFERROR(__xludf.DUMMYFUNCTION("INDIRECT(""'收支紀錄'!T""&amp;TO_TEXT(ROW()-$C$72))"),"是")</f>
        <v>是</v>
      </c>
      <c r="U547" s="62" t="str">
        <f>IFERROR(__xludf.DUMMYFUNCTION("IF(T547=""是"",TEXTJOIN("""", TRUE, ""$"", TO_TEXT(C547), S547),"""")"),"$5090美債20")</f>
        <v>$5090美債20</v>
      </c>
    </row>
    <row r="548">
      <c r="A548" s="58">
        <f>IFERROR(__xludf.DUMMYFUNCTION("INDIRECT(""'收支紀錄'!A""&amp;TO_TEXT(ROW()-$C$72))"),45658.42534390047)</f>
        <v>45658.42534</v>
      </c>
      <c r="B548" s="59">
        <f>IFERROR(__xludf.DUMMYFUNCTION("IF(ISBLANK(D548), """", IF(ISDATE(D548), D548, IF(D548=""今天"", A548, IF(D548=""昨天 (-1 day)"", A548-1, IF(D548=""前天 (-2 days)"", A548-2, IF(D548=""明天 (+1 day)"", A548+1, DATE(LEFT(D548,4), MID(D548,5,2), RIGHT(D548,2))))))))"),45638.0)</f>
        <v>45638</v>
      </c>
      <c r="C548" s="60">
        <f>IFERROR(__xludf.DUMMYFUNCTION("INDIRECT(""'收支紀錄'!C""&amp;TO_TEXT(ROW()-$C$72))"),1820.0)</f>
        <v>1820</v>
      </c>
      <c r="D548" s="63">
        <f>IFERROR(__xludf.DUMMYFUNCTION("INDIRECT(""'收支紀錄'!D""&amp;TO_TEXT(ROW()-$C$72))"),2.0241212E7)</f>
        <v>20241212</v>
      </c>
      <c r="E548" s="61" t="str">
        <f>IFERROR(__xludf.DUMMYFUNCTION("INDIRECT(""'收支紀錄'!E""&amp;TO_TEXT(ROW()-$C$72))"),"其他業外")</f>
        <v>其他業外</v>
      </c>
      <c r="F548" s="61" t="str">
        <f>IFERROR(__xludf.DUMMYFUNCTION("INDIRECT(""'收支紀錄'!F""&amp;TO_TEXT(ROW()-$C$72))"),"")</f>
        <v/>
      </c>
      <c r="G548" s="61" t="str">
        <f>IFERROR(__xludf.DUMMYFUNCTION("INDIRECT(""'收支紀錄'!G""&amp;TO_TEXT(ROW()-$C$72))"),"股票配息")</f>
        <v>股票配息</v>
      </c>
      <c r="H548" s="61" t="str">
        <f>IFERROR(__xludf.DUMMYFUNCTION("INDIRECT(""'收支紀錄'!H""&amp;TO_TEXT(ROW()-$C$72))"),"")</f>
        <v/>
      </c>
      <c r="I548" s="61" t="str">
        <f>IFERROR(__xludf.DUMMYFUNCTION("INDIRECT(""'收支紀錄'!I""&amp;TO_TEXT(ROW()-$C$72))"),"")</f>
        <v/>
      </c>
      <c r="J548" s="61" t="str">
        <f>IFERROR(__xludf.DUMMYFUNCTION("INDIRECT(""'收支紀錄'!J""&amp;TO_TEXT(ROW()-$C$72))"),"")</f>
        <v/>
      </c>
      <c r="K548" s="61" t="str">
        <f>IFERROR(__xludf.DUMMYFUNCTION("INDIRECT(""'收支紀錄'!K""&amp;TO_TEXT(ROW()-$C$72))"),"")</f>
        <v/>
      </c>
      <c r="L548" s="61" t="str">
        <f>IFERROR(__xludf.DUMMYFUNCTION("INDIRECT(""'收支紀錄'!L""&amp;TO_TEXT(ROW()-$C$72))"),"")</f>
        <v/>
      </c>
      <c r="M548" s="61" t="str">
        <f>IFERROR(__xludf.DUMMYFUNCTION("INDIRECT(""'收支紀錄'!M""&amp;TO_TEXT(ROW()-$C$72))"),"")</f>
        <v/>
      </c>
      <c r="N548" s="61" t="str">
        <f>IFERROR(__xludf.DUMMYFUNCTION("INDIRECT(""'收支紀錄'!N""&amp;TO_TEXT(ROW()-$C$72))"),"")</f>
        <v/>
      </c>
      <c r="O548" s="61" t="str">
        <f>IFERROR(__xludf.DUMMYFUNCTION("INDIRECT(""'收支紀錄'!O""&amp;TO_TEXT(ROW()-$C$72))"),"")</f>
        <v/>
      </c>
      <c r="P548" s="61" t="str">
        <f>IFERROR(__xludf.DUMMYFUNCTION("INDIRECT(""'收支紀錄'!P""&amp;TO_TEXT(ROW()-$C$72))"),"")</f>
        <v/>
      </c>
      <c r="Q548" s="61" t="str">
        <f>IFERROR(__xludf.DUMMYFUNCTION("INDIRECT(""'收支紀錄'!Q""&amp;TO_TEXT(ROW()-$C$72))"),"")</f>
        <v/>
      </c>
      <c r="R548" s="61" t="str">
        <f>IFERROR(__xludf.DUMMYFUNCTION("INDIRECT(""'收支紀錄'!R""&amp;TO_TEXT(ROW()-$C$72))"),"")</f>
        <v/>
      </c>
      <c r="S548" s="61" t="str">
        <f>IFERROR(__xludf.DUMMYFUNCTION("INDIRECT(""'收支紀錄'!S""&amp;TO_TEXT(ROW()-$C$72))"),"中信優息")</f>
        <v>中信優息</v>
      </c>
      <c r="T548" s="61" t="str">
        <f>IFERROR(__xludf.DUMMYFUNCTION("INDIRECT(""'收支紀錄'!T""&amp;TO_TEXT(ROW()-$C$72))"),"是")</f>
        <v>是</v>
      </c>
      <c r="U548" s="62" t="str">
        <f>IFERROR(__xludf.DUMMYFUNCTION("IF(T548=""是"",TEXTJOIN("""", TRUE, ""$"", TO_TEXT(C548), S548),"""")"),"$1820中信優息")</f>
        <v>$1820中信優息</v>
      </c>
    </row>
    <row r="549">
      <c r="A549" s="58">
        <f>IFERROR(__xludf.DUMMYFUNCTION("INDIRECT(""'收支紀錄'!A""&amp;TO_TEXT(ROW()-$C$72))"),45658.699861493056)</f>
        <v>45658.69986</v>
      </c>
      <c r="B549" s="59">
        <f>IFERROR(__xludf.DUMMYFUNCTION("IF(ISBLANK(D549), """", IF(ISDATE(D549), D549, IF(D549=""今天"", A549, IF(D549=""昨天 (-1 day)"", A549-1, IF(D549=""前天 (-2 days)"", A549-2, IF(D549=""明天 (+1 day)"", A549+1, DATE(LEFT(D549,4), MID(D549,5,2), RIGHT(D549,2))))))))"),45657.699861493056)</f>
        <v>45657.69986</v>
      </c>
      <c r="C549" s="60">
        <f>IFERROR(__xludf.DUMMYFUNCTION("INDIRECT(""'收支紀錄'!C""&amp;TO_TEXT(ROW()-$C$72))"),400.0)</f>
        <v>400</v>
      </c>
      <c r="D549" s="63" t="str">
        <f>IFERROR(__xludf.DUMMYFUNCTION("INDIRECT(""'收支紀錄'!D""&amp;TO_TEXT(ROW()-$C$72))"),"昨天 (-1 day)")</f>
        <v>昨天 (-1 day)</v>
      </c>
      <c r="E549" s="61" t="str">
        <f>IFERROR(__xludf.DUMMYFUNCTION("INDIRECT(""'收支紀錄'!E""&amp;TO_TEXT(ROW()-$C$72))"),"")</f>
        <v/>
      </c>
      <c r="F549" s="61" t="str">
        <f>IFERROR(__xludf.DUMMYFUNCTION("INDIRECT(""'收支紀錄'!F""&amp;TO_TEXT(ROW()-$C$72))"),"")</f>
        <v/>
      </c>
      <c r="G549" s="61" t="str">
        <f>IFERROR(__xludf.DUMMYFUNCTION("INDIRECT(""'收支紀錄'!G""&amp;TO_TEXT(ROW()-$C$72))"),"")</f>
        <v/>
      </c>
      <c r="H549" s="61" t="str">
        <f>IFERROR(__xludf.DUMMYFUNCTION("INDIRECT(""'收支紀錄'!H""&amp;TO_TEXT(ROW()-$C$72))"),"行車交通")</f>
        <v>行車交通</v>
      </c>
      <c r="I549" s="61" t="str">
        <f>IFERROR(__xludf.DUMMYFUNCTION("INDIRECT(""'收支紀錄'!I""&amp;TO_TEXT(ROW()-$C$72))"),"")</f>
        <v/>
      </c>
      <c r="J549" s="61" t="str">
        <f>IFERROR(__xludf.DUMMYFUNCTION("INDIRECT(""'收支紀錄'!J""&amp;TO_TEXT(ROW()-$C$72))"),"")</f>
        <v/>
      </c>
      <c r="K549" s="61" t="str">
        <f>IFERROR(__xludf.DUMMYFUNCTION("INDIRECT(""'收支紀錄'!K""&amp;TO_TEXT(ROW()-$C$72))"),"")</f>
        <v/>
      </c>
      <c r="L549" s="61" t="str">
        <f>IFERROR(__xludf.DUMMYFUNCTION("INDIRECT(""'收支紀錄'!L""&amp;TO_TEXT(ROW()-$C$72))"),"Etag")</f>
        <v>Etag</v>
      </c>
      <c r="M549" s="61" t="str">
        <f>IFERROR(__xludf.DUMMYFUNCTION("INDIRECT(""'收支紀錄'!M""&amp;TO_TEXT(ROW()-$C$72))"),"")</f>
        <v/>
      </c>
      <c r="N549" s="61" t="str">
        <f>IFERROR(__xludf.DUMMYFUNCTION("INDIRECT(""'收支紀錄'!N""&amp;TO_TEXT(ROW()-$C$72))"),"")</f>
        <v/>
      </c>
      <c r="O549" s="61" t="str">
        <f>IFERROR(__xludf.DUMMYFUNCTION("INDIRECT(""'收支紀錄'!O""&amp;TO_TEXT(ROW()-$C$72))"),"")</f>
        <v/>
      </c>
      <c r="P549" s="61" t="str">
        <f>IFERROR(__xludf.DUMMYFUNCTION("INDIRECT(""'收支紀錄'!P""&amp;TO_TEXT(ROW()-$C$72))"),"")</f>
        <v/>
      </c>
      <c r="Q549" s="61" t="str">
        <f>IFERROR(__xludf.DUMMYFUNCTION("INDIRECT(""'收支紀錄'!Q""&amp;TO_TEXT(ROW()-$C$72))"),"")</f>
        <v/>
      </c>
      <c r="R549" s="61" t="str">
        <f>IFERROR(__xludf.DUMMYFUNCTION("INDIRECT(""'收支紀錄'!R""&amp;TO_TEXT(ROW()-$C$72))"),"")</f>
        <v/>
      </c>
      <c r="S549" s="61" t="str">
        <f>IFERROR(__xludf.DUMMYFUNCTION("INDIRECT(""'收支紀錄'!S""&amp;TO_TEXT(ROW()-$C$72))"),"")</f>
        <v/>
      </c>
      <c r="T549" s="61" t="str">
        <f>IFERROR(__xludf.DUMMYFUNCTION("INDIRECT(""'收支紀錄'!T""&amp;TO_TEXT(ROW()-$C$72))"),"")</f>
        <v/>
      </c>
      <c r="U549" s="62" t="str">
        <f>IFERROR(__xludf.DUMMYFUNCTION("IF(T549=""是"",TEXTJOIN("""", TRUE, ""$"", TO_TEXT(C549), S549),"""")"),"")</f>
        <v/>
      </c>
    </row>
    <row r="550">
      <c r="A550" s="58">
        <f>IFERROR(__xludf.DUMMYFUNCTION("INDIRECT(""'收支紀錄'!A""&amp;TO_TEXT(ROW()-$C$72))"),45658.70061813657)</f>
        <v>45658.70062</v>
      </c>
      <c r="B550" s="59">
        <f>IFERROR(__xludf.DUMMYFUNCTION("IF(ISBLANK(D550), """", IF(ISDATE(D550), D550, IF(D550=""今天"", A550, IF(D550=""昨天 (-1 day)"", A550-1, IF(D550=""前天 (-2 days)"", A550-2, IF(D550=""明天 (+1 day)"", A550+1, DATE(LEFT(D550,4), MID(D550,5,2), RIGHT(D550,2))))))))"),45658.70061813657)</f>
        <v>45658.70062</v>
      </c>
      <c r="C550" s="60">
        <f>IFERROR(__xludf.DUMMYFUNCTION("INDIRECT(""'收支紀錄'!C""&amp;TO_TEXT(ROW()-$C$72))"),20000.0)</f>
        <v>20000</v>
      </c>
      <c r="D550" s="63" t="str">
        <f>IFERROR(__xludf.DUMMYFUNCTION("INDIRECT(""'收支紀錄'!D""&amp;TO_TEXT(ROW()-$C$72))"),"今天")</f>
        <v>今天</v>
      </c>
      <c r="E550" s="61" t="str">
        <f>IFERROR(__xludf.DUMMYFUNCTION("INDIRECT(""'收支紀錄'!E""&amp;TO_TEXT(ROW()-$C$72))"),"")</f>
        <v/>
      </c>
      <c r="F550" s="61" t="str">
        <f>IFERROR(__xludf.DUMMYFUNCTION("INDIRECT(""'收支紀錄'!F""&amp;TO_TEXT(ROW()-$C$72))"),"")</f>
        <v/>
      </c>
      <c r="G550" s="61" t="str">
        <f>IFERROR(__xludf.DUMMYFUNCTION("INDIRECT(""'收支紀錄'!G""&amp;TO_TEXT(ROW()-$C$72))"),"")</f>
        <v/>
      </c>
      <c r="H550" s="61" t="str">
        <f>IFERROR(__xludf.DUMMYFUNCTION("INDIRECT(""'收支紀錄'!H""&amp;TO_TEXT(ROW()-$C$72))"),"房屋支出")</f>
        <v>房屋支出</v>
      </c>
      <c r="I550" s="61" t="str">
        <f>IFERROR(__xludf.DUMMYFUNCTION("INDIRECT(""'收支紀錄'!I""&amp;TO_TEXT(ROW()-$C$72))"),"")</f>
        <v/>
      </c>
      <c r="J550" s="61" t="str">
        <f>IFERROR(__xludf.DUMMYFUNCTION("INDIRECT(""'收支紀錄'!J""&amp;TO_TEXT(ROW()-$C$72))"),"")</f>
        <v/>
      </c>
      <c r="K550" s="61" t="str">
        <f>IFERROR(__xludf.DUMMYFUNCTION("INDIRECT(""'收支紀錄'!K""&amp;TO_TEXT(ROW()-$C$72))"),"文心1房貸代繳")</f>
        <v>文心1房貸代繳</v>
      </c>
      <c r="L550" s="61" t="str">
        <f>IFERROR(__xludf.DUMMYFUNCTION("INDIRECT(""'收支紀錄'!L""&amp;TO_TEXT(ROW()-$C$72))"),"")</f>
        <v/>
      </c>
      <c r="M550" s="61" t="str">
        <f>IFERROR(__xludf.DUMMYFUNCTION("INDIRECT(""'收支紀錄'!M""&amp;TO_TEXT(ROW()-$C$72))"),"")</f>
        <v/>
      </c>
      <c r="N550" s="61" t="str">
        <f>IFERROR(__xludf.DUMMYFUNCTION("INDIRECT(""'收支紀錄'!N""&amp;TO_TEXT(ROW()-$C$72))"),"")</f>
        <v/>
      </c>
      <c r="O550" s="61" t="str">
        <f>IFERROR(__xludf.DUMMYFUNCTION("INDIRECT(""'收支紀錄'!O""&amp;TO_TEXT(ROW()-$C$72))"),"")</f>
        <v/>
      </c>
      <c r="P550" s="61" t="str">
        <f>IFERROR(__xludf.DUMMYFUNCTION("INDIRECT(""'收支紀錄'!P""&amp;TO_TEXT(ROW()-$C$72))"),"")</f>
        <v/>
      </c>
      <c r="Q550" s="61" t="str">
        <f>IFERROR(__xludf.DUMMYFUNCTION("INDIRECT(""'收支紀錄'!Q""&amp;TO_TEXT(ROW()-$C$72))"),"")</f>
        <v/>
      </c>
      <c r="R550" s="61" t="str">
        <f>IFERROR(__xludf.DUMMYFUNCTION("INDIRECT(""'收支紀錄'!R""&amp;TO_TEXT(ROW()-$C$72))"),"")</f>
        <v/>
      </c>
      <c r="S550" s="61" t="str">
        <f>IFERROR(__xludf.DUMMYFUNCTION("INDIRECT(""'收支紀錄'!S""&amp;TO_TEXT(ROW()-$C$72))"),"")</f>
        <v/>
      </c>
      <c r="T550" s="61" t="str">
        <f>IFERROR(__xludf.DUMMYFUNCTION("INDIRECT(""'收支紀錄'!T""&amp;TO_TEXT(ROW()-$C$72))"),"")</f>
        <v/>
      </c>
      <c r="U550" s="62" t="str">
        <f>IFERROR(__xludf.DUMMYFUNCTION("IF(T550=""是"",TEXTJOIN("""", TRUE, ""$"", TO_TEXT(C550), S550),"""")"),"")</f>
        <v/>
      </c>
    </row>
    <row r="551">
      <c r="A551" s="58">
        <f>IFERROR(__xludf.DUMMYFUNCTION("INDIRECT(""'收支紀錄'!A""&amp;TO_TEXT(ROW()-$C$72))"),45658.70085601852)</f>
        <v>45658.70086</v>
      </c>
      <c r="B551" s="59">
        <f>IFERROR(__xludf.DUMMYFUNCTION("IF(ISBLANK(D551), """", IF(ISDATE(D551), D551, IF(D551=""今天"", A551, IF(D551=""昨天 (-1 day)"", A551-1, IF(D551=""前天 (-2 days)"", A551-2, IF(D551=""明天 (+1 day)"", A551+1, DATE(LEFT(D551,4), MID(D551,5,2), RIGHT(D551,2))))))))"),45658.70085601852)</f>
        <v>45658.70086</v>
      </c>
      <c r="C551" s="60">
        <f>IFERROR(__xludf.DUMMYFUNCTION("INDIRECT(""'收支紀錄'!C""&amp;TO_TEXT(ROW()-$C$72))"),6000.0)</f>
        <v>6000</v>
      </c>
      <c r="D551" s="63" t="str">
        <f>IFERROR(__xludf.DUMMYFUNCTION("INDIRECT(""'收支紀錄'!D""&amp;TO_TEXT(ROW()-$C$72))"),"今天")</f>
        <v>今天</v>
      </c>
      <c r="E551" s="61" t="str">
        <f>IFERROR(__xludf.DUMMYFUNCTION("INDIRECT(""'收支紀錄'!E""&amp;TO_TEXT(ROW()-$C$72))"),"")</f>
        <v/>
      </c>
      <c r="F551" s="61" t="str">
        <f>IFERROR(__xludf.DUMMYFUNCTION("INDIRECT(""'收支紀錄'!F""&amp;TO_TEXT(ROW()-$C$72))"),"")</f>
        <v/>
      </c>
      <c r="G551" s="61" t="str">
        <f>IFERROR(__xludf.DUMMYFUNCTION("INDIRECT(""'收支紀錄'!G""&amp;TO_TEXT(ROW()-$C$72))"),"")</f>
        <v/>
      </c>
      <c r="H551" s="61" t="str">
        <f>IFERROR(__xludf.DUMMYFUNCTION("INDIRECT(""'收支紀錄'!H""&amp;TO_TEXT(ROW()-$C$72))"),"房屋支出")</f>
        <v>房屋支出</v>
      </c>
      <c r="I551" s="61" t="str">
        <f>IFERROR(__xludf.DUMMYFUNCTION("INDIRECT(""'收支紀錄'!I""&amp;TO_TEXT(ROW()-$C$72))"),"")</f>
        <v/>
      </c>
      <c r="J551" s="61" t="str">
        <f>IFERROR(__xludf.DUMMYFUNCTION("INDIRECT(""'收支紀錄'!J""&amp;TO_TEXT(ROW()-$C$72))"),"")</f>
        <v/>
      </c>
      <c r="K551" s="61" t="str">
        <f>IFERROR(__xludf.DUMMYFUNCTION("INDIRECT(""'收支紀錄'!K""&amp;TO_TEXT(ROW()-$C$72))"),"租屋")</f>
        <v>租屋</v>
      </c>
      <c r="L551" s="61" t="str">
        <f>IFERROR(__xludf.DUMMYFUNCTION("INDIRECT(""'收支紀錄'!L""&amp;TO_TEXT(ROW()-$C$72))"),"")</f>
        <v/>
      </c>
      <c r="M551" s="61" t="str">
        <f>IFERROR(__xludf.DUMMYFUNCTION("INDIRECT(""'收支紀錄'!M""&amp;TO_TEXT(ROW()-$C$72))"),"")</f>
        <v/>
      </c>
      <c r="N551" s="61" t="str">
        <f>IFERROR(__xludf.DUMMYFUNCTION("INDIRECT(""'收支紀錄'!N""&amp;TO_TEXT(ROW()-$C$72))"),"")</f>
        <v/>
      </c>
      <c r="O551" s="61" t="str">
        <f>IFERROR(__xludf.DUMMYFUNCTION("INDIRECT(""'收支紀錄'!O""&amp;TO_TEXT(ROW()-$C$72))"),"")</f>
        <v/>
      </c>
      <c r="P551" s="61" t="str">
        <f>IFERROR(__xludf.DUMMYFUNCTION("INDIRECT(""'收支紀錄'!P""&amp;TO_TEXT(ROW()-$C$72))"),"")</f>
        <v/>
      </c>
      <c r="Q551" s="61" t="str">
        <f>IFERROR(__xludf.DUMMYFUNCTION("INDIRECT(""'收支紀錄'!Q""&amp;TO_TEXT(ROW()-$C$72))"),"")</f>
        <v/>
      </c>
      <c r="R551" s="61" t="str">
        <f>IFERROR(__xludf.DUMMYFUNCTION("INDIRECT(""'收支紀錄'!R""&amp;TO_TEXT(ROW()-$C$72))"),"")</f>
        <v/>
      </c>
      <c r="S551" s="61" t="str">
        <f>IFERROR(__xludf.DUMMYFUNCTION("INDIRECT(""'收支紀錄'!S""&amp;TO_TEXT(ROW()-$C$72))"),"")</f>
        <v/>
      </c>
      <c r="T551" s="61" t="str">
        <f>IFERROR(__xludf.DUMMYFUNCTION("INDIRECT(""'收支紀錄'!T""&amp;TO_TEXT(ROW()-$C$72))"),"")</f>
        <v/>
      </c>
      <c r="U551" s="62" t="str">
        <f>IFERROR(__xludf.DUMMYFUNCTION("IF(T551=""是"",TEXTJOIN("""", TRUE, ""$"", TO_TEXT(C551), S551),"""")"),"")</f>
        <v/>
      </c>
    </row>
    <row r="552">
      <c r="A552" s="58">
        <f>IFERROR(__xludf.DUMMYFUNCTION("INDIRECT(""'收支紀錄'!A""&amp;TO_TEXT(ROW()-$C$72))"),45658.70767304398)</f>
        <v>45658.70767</v>
      </c>
      <c r="B552" s="59">
        <f>IFERROR(__xludf.DUMMYFUNCTION("IF(ISBLANK(D552), """", IF(ISDATE(D552), D552, IF(D552=""今天"", A552, IF(D552=""昨天 (-1 day)"", A552-1, IF(D552=""前天 (-2 days)"", A552-2, IF(D552=""明天 (+1 day)"", A552+1, DATE(LEFT(D552,4), MID(D552,5,2), RIGHT(D552,2))))))))"),45658.70767304398)</f>
        <v>45658.70767</v>
      </c>
      <c r="C552" s="60">
        <f>IFERROR(__xludf.DUMMYFUNCTION("INDIRECT(""'收支紀錄'!C""&amp;TO_TEXT(ROW()-$C$72))"),197.0)</f>
        <v>197</v>
      </c>
      <c r="D552" s="63" t="str">
        <f>IFERROR(__xludf.DUMMYFUNCTION("INDIRECT(""'收支紀錄'!D""&amp;TO_TEXT(ROW()-$C$72))"),"今天")</f>
        <v>今天</v>
      </c>
      <c r="E552" s="61" t="str">
        <f>IFERROR(__xludf.DUMMYFUNCTION("INDIRECT(""'收支紀錄'!E""&amp;TO_TEXT(ROW()-$C$72))"),"")</f>
        <v/>
      </c>
      <c r="F552" s="61" t="str">
        <f>IFERROR(__xludf.DUMMYFUNCTION("INDIRECT(""'收支紀錄'!F""&amp;TO_TEXT(ROW()-$C$72))"),"")</f>
        <v/>
      </c>
      <c r="G552" s="61" t="str">
        <f>IFERROR(__xludf.DUMMYFUNCTION("INDIRECT(""'收支紀錄'!G""&amp;TO_TEXT(ROW()-$C$72))"),"")</f>
        <v/>
      </c>
      <c r="H552" s="61" t="str">
        <f>IFERROR(__xludf.DUMMYFUNCTION("INDIRECT(""'收支紀錄'!H""&amp;TO_TEXT(ROW()-$C$72))"),"房屋支出")</f>
        <v>房屋支出</v>
      </c>
      <c r="I552" s="61" t="str">
        <f>IFERROR(__xludf.DUMMYFUNCTION("INDIRECT(""'收支紀錄'!I""&amp;TO_TEXT(ROW()-$C$72))"),"")</f>
        <v/>
      </c>
      <c r="J552" s="61" t="str">
        <f>IFERROR(__xludf.DUMMYFUNCTION("INDIRECT(""'收支紀錄'!J""&amp;TO_TEXT(ROW()-$C$72))"),"")</f>
        <v/>
      </c>
      <c r="K552" s="61" t="str">
        <f>IFERROR(__xludf.DUMMYFUNCTION("INDIRECT(""'收支紀錄'!K""&amp;TO_TEXT(ROW()-$C$72))"),"水費")</f>
        <v>水費</v>
      </c>
      <c r="L552" s="61" t="str">
        <f>IFERROR(__xludf.DUMMYFUNCTION("INDIRECT(""'收支紀錄'!L""&amp;TO_TEXT(ROW()-$C$72))"),"")</f>
        <v/>
      </c>
      <c r="M552" s="61" t="str">
        <f>IFERROR(__xludf.DUMMYFUNCTION("INDIRECT(""'收支紀錄'!M""&amp;TO_TEXT(ROW()-$C$72))"),"")</f>
        <v/>
      </c>
      <c r="N552" s="61" t="str">
        <f>IFERROR(__xludf.DUMMYFUNCTION("INDIRECT(""'收支紀錄'!N""&amp;TO_TEXT(ROW()-$C$72))"),"")</f>
        <v/>
      </c>
      <c r="O552" s="61" t="str">
        <f>IFERROR(__xludf.DUMMYFUNCTION("INDIRECT(""'收支紀錄'!O""&amp;TO_TEXT(ROW()-$C$72))"),"")</f>
        <v/>
      </c>
      <c r="P552" s="61" t="str">
        <f>IFERROR(__xludf.DUMMYFUNCTION("INDIRECT(""'收支紀錄'!P""&amp;TO_TEXT(ROW()-$C$72))"),"")</f>
        <v/>
      </c>
      <c r="Q552" s="61" t="str">
        <f>IFERROR(__xludf.DUMMYFUNCTION("INDIRECT(""'收支紀錄'!Q""&amp;TO_TEXT(ROW()-$C$72))"),"")</f>
        <v/>
      </c>
      <c r="R552" s="61" t="str">
        <f>IFERROR(__xludf.DUMMYFUNCTION("INDIRECT(""'收支紀錄'!R""&amp;TO_TEXT(ROW()-$C$72))"),"")</f>
        <v/>
      </c>
      <c r="S552" s="61" t="str">
        <f>IFERROR(__xludf.DUMMYFUNCTION("INDIRECT(""'收支紀錄'!S""&amp;TO_TEXT(ROW()-$C$72))"),"")</f>
        <v/>
      </c>
      <c r="T552" s="61" t="str">
        <f>IFERROR(__xludf.DUMMYFUNCTION("INDIRECT(""'收支紀錄'!T""&amp;TO_TEXT(ROW()-$C$72))"),"")</f>
        <v/>
      </c>
      <c r="U552" s="62" t="str">
        <f>IFERROR(__xludf.DUMMYFUNCTION("IF(T552=""是"",TEXTJOIN("""", TRUE, ""$"", TO_TEXT(C552), S552),"""")"),"")</f>
        <v/>
      </c>
    </row>
    <row r="553">
      <c r="A553" s="58">
        <f>IFERROR(__xludf.DUMMYFUNCTION("INDIRECT(""'收支紀錄'!A""&amp;TO_TEXT(ROW()-$C$72))"),45658.70863350695)</f>
        <v>45658.70863</v>
      </c>
      <c r="B553" s="59">
        <f>IFERROR(__xludf.DUMMYFUNCTION("IF(ISBLANK(D553), """", IF(ISDATE(D553), D553, IF(D553=""今天"", A553, IF(D553=""昨天 (-1 day)"", A553-1, IF(D553=""前天 (-2 days)"", A553-2, IF(D553=""明天 (+1 day)"", A553+1, DATE(LEFT(D553,4), MID(D553,5,2), RIGHT(D553,2))))))))"),45658.70863350695)</f>
        <v>45658.70863</v>
      </c>
      <c r="C553" s="60">
        <f>IFERROR(__xludf.DUMMYFUNCTION("INDIRECT(""'收支紀錄'!C""&amp;TO_TEXT(ROW()-$C$72))"),1155.0)</f>
        <v>1155</v>
      </c>
      <c r="D553" s="63" t="str">
        <f>IFERROR(__xludf.DUMMYFUNCTION("INDIRECT(""'收支紀錄'!D""&amp;TO_TEXT(ROW()-$C$72))"),"今天")</f>
        <v>今天</v>
      </c>
      <c r="E553" s="61" t="str">
        <f>IFERROR(__xludf.DUMMYFUNCTION("INDIRECT(""'收支紀錄'!E""&amp;TO_TEXT(ROW()-$C$72))"),"")</f>
        <v/>
      </c>
      <c r="F553" s="61" t="str">
        <f>IFERROR(__xludf.DUMMYFUNCTION("INDIRECT(""'收支紀錄'!F""&amp;TO_TEXT(ROW()-$C$72))"),"")</f>
        <v/>
      </c>
      <c r="G553" s="61" t="str">
        <f>IFERROR(__xludf.DUMMYFUNCTION("INDIRECT(""'收支紀錄'!G""&amp;TO_TEXT(ROW()-$C$72))"),"")</f>
        <v/>
      </c>
      <c r="H553" s="61" t="str">
        <f>IFERROR(__xludf.DUMMYFUNCTION("INDIRECT(""'收支紀錄'!H""&amp;TO_TEXT(ROW()-$C$72))"),"食品酒水")</f>
        <v>食品酒水</v>
      </c>
      <c r="I553" s="61" t="str">
        <f>IFERROR(__xludf.DUMMYFUNCTION("INDIRECT(""'收支紀錄'!I""&amp;TO_TEXT(ROW()-$C$72))"),"午餐")</f>
        <v>午餐</v>
      </c>
      <c r="J553" s="61" t="str">
        <f>IFERROR(__xludf.DUMMYFUNCTION("INDIRECT(""'收支紀錄'!J""&amp;TO_TEXT(ROW()-$C$72))"),"")</f>
        <v/>
      </c>
      <c r="K553" s="61" t="str">
        <f>IFERROR(__xludf.DUMMYFUNCTION("INDIRECT(""'收支紀錄'!K""&amp;TO_TEXT(ROW()-$C$72))"),"")</f>
        <v/>
      </c>
      <c r="L553" s="61" t="str">
        <f>IFERROR(__xludf.DUMMYFUNCTION("INDIRECT(""'收支紀錄'!L""&amp;TO_TEXT(ROW()-$C$72))"),"")</f>
        <v/>
      </c>
      <c r="M553" s="61" t="str">
        <f>IFERROR(__xludf.DUMMYFUNCTION("INDIRECT(""'收支紀錄'!M""&amp;TO_TEXT(ROW()-$C$72))"),"")</f>
        <v/>
      </c>
      <c r="N553" s="61" t="str">
        <f>IFERROR(__xludf.DUMMYFUNCTION("INDIRECT(""'收支紀錄'!N""&amp;TO_TEXT(ROW()-$C$72))"),"")</f>
        <v/>
      </c>
      <c r="O553" s="61" t="str">
        <f>IFERROR(__xludf.DUMMYFUNCTION("INDIRECT(""'收支紀錄'!O""&amp;TO_TEXT(ROW()-$C$72))"),"")</f>
        <v/>
      </c>
      <c r="P553" s="61" t="str">
        <f>IFERROR(__xludf.DUMMYFUNCTION("INDIRECT(""'收支紀錄'!P""&amp;TO_TEXT(ROW()-$C$72))"),"")</f>
        <v/>
      </c>
      <c r="Q553" s="61" t="str">
        <f>IFERROR(__xludf.DUMMYFUNCTION("INDIRECT(""'收支紀錄'!Q""&amp;TO_TEXT(ROW()-$C$72))"),"")</f>
        <v/>
      </c>
      <c r="R553" s="61" t="str">
        <f>IFERROR(__xludf.DUMMYFUNCTION("INDIRECT(""'收支紀錄'!R""&amp;TO_TEXT(ROW()-$C$72))"),"")</f>
        <v/>
      </c>
      <c r="S553" s="61" t="str">
        <f>IFERROR(__xludf.DUMMYFUNCTION("INDIRECT(""'收支紀錄'!S""&amp;TO_TEXT(ROW()-$C$72))"),"")</f>
        <v/>
      </c>
      <c r="T553" s="61" t="str">
        <f>IFERROR(__xludf.DUMMYFUNCTION("INDIRECT(""'收支紀錄'!T""&amp;TO_TEXT(ROW()-$C$72))"),"")</f>
        <v/>
      </c>
      <c r="U553" s="62" t="str">
        <f>IFERROR(__xludf.DUMMYFUNCTION("IF(T553=""是"",TEXTJOIN("""", TRUE, ""$"", TO_TEXT(C553), S553),"""")"),"")</f>
        <v/>
      </c>
    </row>
    <row r="554">
      <c r="A554" s="58">
        <f>IFERROR(__xludf.DUMMYFUNCTION("INDIRECT(""'收支紀錄'!A""&amp;TO_TEXT(ROW()-$C$72))"),45658.84827268518)</f>
        <v>45658.84827</v>
      </c>
      <c r="B554" s="59">
        <f>IFERROR(__xludf.DUMMYFUNCTION("IF(ISBLANK(D554), """", IF(ISDATE(D554), D554, IF(D554=""今天"", A554, IF(D554=""昨天 (-1 day)"", A554-1, IF(D554=""前天 (-2 days)"", A554-2, IF(D554=""明天 (+1 day)"", A554+1, DATE(LEFT(D554,4), MID(D554,5,2), RIGHT(D554,2))))))))"),45658.84827268518)</f>
        <v>45658.84827</v>
      </c>
      <c r="C554" s="60">
        <f>IFERROR(__xludf.DUMMYFUNCTION("INDIRECT(""'收支紀錄'!C""&amp;TO_TEXT(ROW()-$C$72))"),5000.0)</f>
        <v>5000</v>
      </c>
      <c r="D554" s="63" t="str">
        <f>IFERROR(__xludf.DUMMYFUNCTION("INDIRECT(""'收支紀錄'!D""&amp;TO_TEXT(ROW()-$C$72))"),"今天")</f>
        <v>今天</v>
      </c>
      <c r="E554" s="61" t="str">
        <f>IFERROR(__xludf.DUMMYFUNCTION("INDIRECT(""'收支紀錄'!E""&amp;TO_TEXT(ROW()-$C$72))"),"其他業外")</f>
        <v>其他業外</v>
      </c>
      <c r="F554" s="61" t="str">
        <f>IFERROR(__xludf.DUMMYFUNCTION("INDIRECT(""'收支紀錄'!F""&amp;TO_TEXT(ROW()-$C$72))"),"")</f>
        <v/>
      </c>
      <c r="G554" s="61" t="str">
        <f>IFERROR(__xludf.DUMMYFUNCTION("INDIRECT(""'收支紀錄'!G""&amp;TO_TEXT(ROW()-$C$72))"),"房屋補貼")</f>
        <v>房屋補貼</v>
      </c>
      <c r="H554" s="61" t="str">
        <f>IFERROR(__xludf.DUMMYFUNCTION("INDIRECT(""'收支紀錄'!H""&amp;TO_TEXT(ROW()-$C$72))"),"")</f>
        <v/>
      </c>
      <c r="I554" s="61" t="str">
        <f>IFERROR(__xludf.DUMMYFUNCTION("INDIRECT(""'收支紀錄'!I""&amp;TO_TEXT(ROW()-$C$72))"),"")</f>
        <v/>
      </c>
      <c r="J554" s="61" t="str">
        <f>IFERROR(__xludf.DUMMYFUNCTION("INDIRECT(""'收支紀錄'!J""&amp;TO_TEXT(ROW()-$C$72))"),"")</f>
        <v/>
      </c>
      <c r="K554" s="61" t="str">
        <f>IFERROR(__xludf.DUMMYFUNCTION("INDIRECT(""'收支紀錄'!K""&amp;TO_TEXT(ROW()-$C$72))"),"")</f>
        <v/>
      </c>
      <c r="L554" s="61" t="str">
        <f>IFERROR(__xludf.DUMMYFUNCTION("INDIRECT(""'收支紀錄'!L""&amp;TO_TEXT(ROW()-$C$72))"),"")</f>
        <v/>
      </c>
      <c r="M554" s="61" t="str">
        <f>IFERROR(__xludf.DUMMYFUNCTION("INDIRECT(""'收支紀錄'!M""&amp;TO_TEXT(ROW()-$C$72))"),"")</f>
        <v/>
      </c>
      <c r="N554" s="61" t="str">
        <f>IFERROR(__xludf.DUMMYFUNCTION("INDIRECT(""'收支紀錄'!N""&amp;TO_TEXT(ROW()-$C$72))"),"")</f>
        <v/>
      </c>
      <c r="O554" s="61" t="str">
        <f>IFERROR(__xludf.DUMMYFUNCTION("INDIRECT(""'收支紀錄'!O""&amp;TO_TEXT(ROW()-$C$72))"),"")</f>
        <v/>
      </c>
      <c r="P554" s="61" t="str">
        <f>IFERROR(__xludf.DUMMYFUNCTION("INDIRECT(""'收支紀錄'!P""&amp;TO_TEXT(ROW()-$C$72))"),"")</f>
        <v/>
      </c>
      <c r="Q554" s="61" t="str">
        <f>IFERROR(__xludf.DUMMYFUNCTION("INDIRECT(""'收支紀錄'!Q""&amp;TO_TEXT(ROW()-$C$72))"),"")</f>
        <v/>
      </c>
      <c r="R554" s="61" t="str">
        <f>IFERROR(__xludf.DUMMYFUNCTION("INDIRECT(""'收支紀錄'!R""&amp;TO_TEXT(ROW()-$C$72))"),"")</f>
        <v/>
      </c>
      <c r="S554" s="61" t="str">
        <f>IFERROR(__xludf.DUMMYFUNCTION("INDIRECT(""'收支紀錄'!S""&amp;TO_TEXT(ROW()-$C$72))"),"")</f>
        <v/>
      </c>
      <c r="T554" s="61" t="str">
        <f>IFERROR(__xludf.DUMMYFUNCTION("INDIRECT(""'收支紀錄'!T""&amp;TO_TEXT(ROW()-$C$72))"),"")</f>
        <v/>
      </c>
      <c r="U554" s="62" t="str">
        <f>IFERROR(__xludf.DUMMYFUNCTION("IF(T554=""是"",TEXTJOIN("""", TRUE, ""$"", TO_TEXT(C554), S554),"""")"),"")</f>
        <v/>
      </c>
    </row>
    <row r="555">
      <c r="A555" s="58">
        <f>IFERROR(__xludf.DUMMYFUNCTION("INDIRECT(""'收支紀錄'!A""&amp;TO_TEXT(ROW()-$C$72))"),45658.86051466435)</f>
        <v>45658.86051</v>
      </c>
      <c r="B555" s="59">
        <f>IFERROR(__xludf.DUMMYFUNCTION("IF(ISBLANK(D555), """", IF(ISDATE(D555), D555, IF(D555=""今天"", A555, IF(D555=""昨天 (-1 day)"", A555-1, IF(D555=""前天 (-2 days)"", A555-2, IF(D555=""明天 (+1 day)"", A555+1, DATE(LEFT(D555,4), MID(D555,5,2), RIGHT(D555,2))))))))"),45658.86051466435)</f>
        <v>45658.86051</v>
      </c>
      <c r="C555" s="60">
        <f>IFERROR(__xludf.DUMMYFUNCTION("INDIRECT(""'收支紀錄'!C""&amp;TO_TEXT(ROW()-$C$72))"),195.0)</f>
        <v>195</v>
      </c>
      <c r="D555" s="63" t="str">
        <f>IFERROR(__xludf.DUMMYFUNCTION("INDIRECT(""'收支紀錄'!D""&amp;TO_TEXT(ROW()-$C$72))"),"今天")</f>
        <v>今天</v>
      </c>
      <c r="E555" s="61" t="str">
        <f>IFERROR(__xludf.DUMMYFUNCTION("INDIRECT(""'收支紀錄'!E""&amp;TO_TEXT(ROW()-$C$72))"),"")</f>
        <v/>
      </c>
      <c r="F555" s="61" t="str">
        <f>IFERROR(__xludf.DUMMYFUNCTION("INDIRECT(""'收支紀錄'!F""&amp;TO_TEXT(ROW()-$C$72))"),"")</f>
        <v/>
      </c>
      <c r="G555" s="61" t="str">
        <f>IFERROR(__xludf.DUMMYFUNCTION("INDIRECT(""'收支紀錄'!G""&amp;TO_TEXT(ROW()-$C$72))"),"")</f>
        <v/>
      </c>
      <c r="H555" s="61" t="str">
        <f>IFERROR(__xludf.DUMMYFUNCTION("INDIRECT(""'收支紀錄'!H""&amp;TO_TEXT(ROW()-$C$72))"),"進修學習")</f>
        <v>進修學習</v>
      </c>
      <c r="I555" s="61" t="str">
        <f>IFERROR(__xludf.DUMMYFUNCTION("INDIRECT(""'收支紀錄'!I""&amp;TO_TEXT(ROW()-$C$72))"),"")</f>
        <v/>
      </c>
      <c r="J555" s="61" t="str">
        <f>IFERROR(__xludf.DUMMYFUNCTION("INDIRECT(""'收支紀錄'!J""&amp;TO_TEXT(ROW()-$C$72))"),"")</f>
        <v/>
      </c>
      <c r="K555" s="61" t="str">
        <f>IFERROR(__xludf.DUMMYFUNCTION("INDIRECT(""'收支紀錄'!K""&amp;TO_TEXT(ROW()-$C$72))"),"")</f>
        <v/>
      </c>
      <c r="L555" s="61" t="str">
        <f>IFERROR(__xludf.DUMMYFUNCTION("INDIRECT(""'收支紀錄'!L""&amp;TO_TEXT(ROW()-$C$72))"),"")</f>
        <v/>
      </c>
      <c r="M555" s="61" t="str">
        <f>IFERROR(__xludf.DUMMYFUNCTION("INDIRECT(""'收支紀錄'!M""&amp;TO_TEXT(ROW()-$C$72))"),"")</f>
        <v/>
      </c>
      <c r="N555" s="61" t="str">
        <f>IFERROR(__xludf.DUMMYFUNCTION("INDIRECT(""'收支紀錄'!N""&amp;TO_TEXT(ROW()-$C$72))"),"")</f>
        <v/>
      </c>
      <c r="O555" s="61" t="str">
        <f>IFERROR(__xludf.DUMMYFUNCTION("INDIRECT(""'收支紀錄'!O""&amp;TO_TEXT(ROW()-$C$72))"),"")</f>
        <v/>
      </c>
      <c r="P555" s="61" t="str">
        <f>IFERROR(__xludf.DUMMYFUNCTION("INDIRECT(""'收支紀錄'!P""&amp;TO_TEXT(ROW()-$C$72))"),"書報雜誌")</f>
        <v>書報雜誌</v>
      </c>
      <c r="Q555" s="61" t="str">
        <f>IFERROR(__xludf.DUMMYFUNCTION("INDIRECT(""'收支紀錄'!Q""&amp;TO_TEXT(ROW()-$C$72))"),"")</f>
        <v/>
      </c>
      <c r="R555" s="61" t="str">
        <f>IFERROR(__xludf.DUMMYFUNCTION("INDIRECT(""'收支紀錄'!R""&amp;TO_TEXT(ROW()-$C$72))"),"")</f>
        <v/>
      </c>
      <c r="S555" s="61" t="str">
        <f>IFERROR(__xludf.DUMMYFUNCTION("INDIRECT(""'收支紀錄'!S""&amp;TO_TEXT(ROW()-$C$72))"),"")</f>
        <v/>
      </c>
      <c r="T555" s="61" t="str">
        <f>IFERROR(__xludf.DUMMYFUNCTION("INDIRECT(""'收支紀錄'!T""&amp;TO_TEXT(ROW()-$C$72))"),"")</f>
        <v/>
      </c>
      <c r="U555" s="62" t="str">
        <f>IFERROR(__xludf.DUMMYFUNCTION("IF(T555=""是"",TEXTJOIN("""", TRUE, ""$"", TO_TEXT(C555), S555),"""")"),"")</f>
        <v/>
      </c>
    </row>
    <row r="556">
      <c r="A556" s="58">
        <f>IFERROR(__xludf.DUMMYFUNCTION("INDIRECT(""'收支紀錄'!A""&amp;TO_TEXT(ROW()-$C$72))"),45658.9063546875)</f>
        <v>45658.90635</v>
      </c>
      <c r="B556" s="59">
        <f>IFERROR(__xludf.DUMMYFUNCTION("IF(ISBLANK(D556), """", IF(ISDATE(D556), D556, IF(D556=""今天"", A556, IF(D556=""昨天 (-1 day)"", A556-1, IF(D556=""前天 (-2 days)"", A556-2, IF(D556=""明天 (+1 day)"", A556+1, DATE(LEFT(D556,4), MID(D556,5,2), RIGHT(D556,2))))))))"),45658.9063546875)</f>
        <v>45658.90635</v>
      </c>
      <c r="C556" s="60">
        <f>IFERROR(__xludf.DUMMYFUNCTION("INDIRECT(""'收支紀錄'!C""&amp;TO_TEXT(ROW()-$C$72))"),180.0)</f>
        <v>180</v>
      </c>
      <c r="D556" s="63" t="str">
        <f>IFERROR(__xludf.DUMMYFUNCTION("INDIRECT(""'收支紀錄'!D""&amp;TO_TEXT(ROW()-$C$72))"),"今天")</f>
        <v>今天</v>
      </c>
      <c r="E556" s="61" t="str">
        <f>IFERROR(__xludf.DUMMYFUNCTION("INDIRECT(""'收支紀錄'!E""&amp;TO_TEXT(ROW()-$C$72))"),"")</f>
        <v/>
      </c>
      <c r="F556" s="61" t="str">
        <f>IFERROR(__xludf.DUMMYFUNCTION("INDIRECT(""'收支紀錄'!F""&amp;TO_TEXT(ROW()-$C$72))"),"")</f>
        <v/>
      </c>
      <c r="G556" s="61" t="str">
        <f>IFERROR(__xludf.DUMMYFUNCTION("INDIRECT(""'收支紀錄'!G""&amp;TO_TEXT(ROW()-$C$72))"),"")</f>
        <v/>
      </c>
      <c r="H556" s="61" t="str">
        <f>IFERROR(__xludf.DUMMYFUNCTION("INDIRECT(""'收支紀錄'!H""&amp;TO_TEXT(ROW()-$C$72))"),"食品酒水")</f>
        <v>食品酒水</v>
      </c>
      <c r="I556" s="61" t="str">
        <f>IFERROR(__xludf.DUMMYFUNCTION("INDIRECT(""'收支紀錄'!I""&amp;TO_TEXT(ROW()-$C$72))"),"食材")</f>
        <v>食材</v>
      </c>
      <c r="J556" s="61" t="str">
        <f>IFERROR(__xludf.DUMMYFUNCTION("INDIRECT(""'收支紀錄'!J""&amp;TO_TEXT(ROW()-$C$72))"),"")</f>
        <v/>
      </c>
      <c r="K556" s="61" t="str">
        <f>IFERROR(__xludf.DUMMYFUNCTION("INDIRECT(""'收支紀錄'!K""&amp;TO_TEXT(ROW()-$C$72))"),"")</f>
        <v/>
      </c>
      <c r="L556" s="61" t="str">
        <f>IFERROR(__xludf.DUMMYFUNCTION("INDIRECT(""'收支紀錄'!L""&amp;TO_TEXT(ROW()-$C$72))"),"")</f>
        <v/>
      </c>
      <c r="M556" s="61" t="str">
        <f>IFERROR(__xludf.DUMMYFUNCTION("INDIRECT(""'收支紀錄'!M""&amp;TO_TEXT(ROW()-$C$72))"),"")</f>
        <v/>
      </c>
      <c r="N556" s="61" t="str">
        <f>IFERROR(__xludf.DUMMYFUNCTION("INDIRECT(""'收支紀錄'!N""&amp;TO_TEXT(ROW()-$C$72))"),"")</f>
        <v/>
      </c>
      <c r="O556" s="61" t="str">
        <f>IFERROR(__xludf.DUMMYFUNCTION("INDIRECT(""'收支紀錄'!O""&amp;TO_TEXT(ROW()-$C$72))"),"")</f>
        <v/>
      </c>
      <c r="P556" s="61" t="str">
        <f>IFERROR(__xludf.DUMMYFUNCTION("INDIRECT(""'收支紀錄'!P""&amp;TO_TEXT(ROW()-$C$72))"),"")</f>
        <v/>
      </c>
      <c r="Q556" s="61" t="str">
        <f>IFERROR(__xludf.DUMMYFUNCTION("INDIRECT(""'收支紀錄'!Q""&amp;TO_TEXT(ROW()-$C$72))"),"")</f>
        <v/>
      </c>
      <c r="R556" s="61" t="str">
        <f>IFERROR(__xludf.DUMMYFUNCTION("INDIRECT(""'收支紀錄'!R""&amp;TO_TEXT(ROW()-$C$72))"),"")</f>
        <v/>
      </c>
      <c r="S556" s="61" t="str">
        <f>IFERROR(__xludf.DUMMYFUNCTION("INDIRECT(""'收支紀錄'!S""&amp;TO_TEXT(ROW()-$C$72))"),"")</f>
        <v/>
      </c>
      <c r="T556" s="61" t="str">
        <f>IFERROR(__xludf.DUMMYFUNCTION("INDIRECT(""'收支紀錄'!T""&amp;TO_TEXT(ROW()-$C$72))"),"")</f>
        <v/>
      </c>
      <c r="U556" s="62" t="str">
        <f>IFERROR(__xludf.DUMMYFUNCTION("IF(T556=""是"",TEXTJOIN("""", TRUE, ""$"", TO_TEXT(C556), S556),"""")"),"")</f>
        <v/>
      </c>
    </row>
    <row r="557">
      <c r="A557" s="58">
        <f>IFERROR(__xludf.DUMMYFUNCTION("INDIRECT(""'收支紀錄'!A""&amp;TO_TEXT(ROW()-$C$72))"),45659.88767099537)</f>
        <v>45659.88767</v>
      </c>
      <c r="B557" s="59">
        <f>IFERROR(__xludf.DUMMYFUNCTION("IF(ISBLANK(D557), """", IF(ISDATE(D557), D557, IF(D557=""今天"", A557, IF(D557=""昨天 (-1 day)"", A557-1, IF(D557=""前天 (-2 days)"", A557-2, IF(D557=""明天 (+1 day)"", A557+1, DATE(LEFT(D557,4), MID(D557,5,2), RIGHT(D557,2))))))))"),45659.88767099537)</f>
        <v>45659.88767</v>
      </c>
      <c r="C557" s="60">
        <f>IFERROR(__xludf.DUMMYFUNCTION("INDIRECT(""'收支紀錄'!C""&amp;TO_TEXT(ROW()-$C$72))"),20.0)</f>
        <v>20</v>
      </c>
      <c r="D557" s="63" t="str">
        <f>IFERROR(__xludf.DUMMYFUNCTION("INDIRECT(""'收支紀錄'!D""&amp;TO_TEXT(ROW()-$C$72))"),"今天")</f>
        <v>今天</v>
      </c>
      <c r="E557" s="61" t="str">
        <f>IFERROR(__xludf.DUMMYFUNCTION("INDIRECT(""'收支紀錄'!E""&amp;TO_TEXT(ROW()-$C$72))"),"")</f>
        <v/>
      </c>
      <c r="F557" s="61" t="str">
        <f>IFERROR(__xludf.DUMMYFUNCTION("INDIRECT(""'收支紀錄'!F""&amp;TO_TEXT(ROW()-$C$72))"),"")</f>
        <v/>
      </c>
      <c r="G557" s="61" t="str">
        <f>IFERROR(__xludf.DUMMYFUNCTION("INDIRECT(""'收支紀錄'!G""&amp;TO_TEXT(ROW()-$C$72))"),"")</f>
        <v/>
      </c>
      <c r="H557" s="61" t="str">
        <f>IFERROR(__xludf.DUMMYFUNCTION("INDIRECT(""'收支紀錄'!H""&amp;TO_TEXT(ROW()-$C$72))"),"行車交通")</f>
        <v>行車交通</v>
      </c>
      <c r="I557" s="61" t="str">
        <f>IFERROR(__xludf.DUMMYFUNCTION("INDIRECT(""'收支紀錄'!I""&amp;TO_TEXT(ROW()-$C$72))"),"")</f>
        <v/>
      </c>
      <c r="J557" s="61" t="str">
        <f>IFERROR(__xludf.DUMMYFUNCTION("INDIRECT(""'收支紀錄'!J""&amp;TO_TEXT(ROW()-$C$72))"),"")</f>
        <v/>
      </c>
      <c r="K557" s="61" t="str">
        <f>IFERROR(__xludf.DUMMYFUNCTION("INDIRECT(""'收支紀錄'!K""&amp;TO_TEXT(ROW()-$C$72))"),"")</f>
        <v/>
      </c>
      <c r="L557" s="61" t="str">
        <f>IFERROR(__xludf.DUMMYFUNCTION("INDIRECT(""'收支紀錄'!L""&amp;TO_TEXT(ROW()-$C$72))"),"火車費")</f>
        <v>火車費</v>
      </c>
      <c r="M557" s="61" t="str">
        <f>IFERROR(__xludf.DUMMYFUNCTION("INDIRECT(""'收支紀錄'!M""&amp;TO_TEXT(ROW()-$C$72))"),"")</f>
        <v/>
      </c>
      <c r="N557" s="61" t="str">
        <f>IFERROR(__xludf.DUMMYFUNCTION("INDIRECT(""'收支紀錄'!N""&amp;TO_TEXT(ROW()-$C$72))"),"")</f>
        <v/>
      </c>
      <c r="O557" s="61" t="str">
        <f>IFERROR(__xludf.DUMMYFUNCTION("INDIRECT(""'收支紀錄'!O""&amp;TO_TEXT(ROW()-$C$72))"),"")</f>
        <v/>
      </c>
      <c r="P557" s="61" t="str">
        <f>IFERROR(__xludf.DUMMYFUNCTION("INDIRECT(""'收支紀錄'!P""&amp;TO_TEXT(ROW()-$C$72))"),"")</f>
        <v/>
      </c>
      <c r="Q557" s="61" t="str">
        <f>IFERROR(__xludf.DUMMYFUNCTION("INDIRECT(""'收支紀錄'!Q""&amp;TO_TEXT(ROW()-$C$72))"),"")</f>
        <v/>
      </c>
      <c r="R557" s="61" t="str">
        <f>IFERROR(__xludf.DUMMYFUNCTION("INDIRECT(""'收支紀錄'!R""&amp;TO_TEXT(ROW()-$C$72))"),"")</f>
        <v/>
      </c>
      <c r="S557" s="61" t="str">
        <f>IFERROR(__xludf.DUMMYFUNCTION("INDIRECT(""'收支紀錄'!S""&amp;TO_TEXT(ROW()-$C$72))"),"")</f>
        <v/>
      </c>
      <c r="T557" s="61" t="str">
        <f>IFERROR(__xludf.DUMMYFUNCTION("INDIRECT(""'收支紀錄'!T""&amp;TO_TEXT(ROW()-$C$72))"),"")</f>
        <v/>
      </c>
      <c r="U557" s="62" t="str">
        <f>IFERROR(__xludf.DUMMYFUNCTION("IF(T557=""是"",TEXTJOIN("""", TRUE, ""$"", TO_TEXT(C557), S557),"""")"),"")</f>
        <v/>
      </c>
    </row>
    <row r="558">
      <c r="A558" s="58">
        <f>IFERROR(__xludf.DUMMYFUNCTION("INDIRECT(""'收支紀錄'!A""&amp;TO_TEXT(ROW()-$C$72))"),45659.88783678241)</f>
        <v>45659.88784</v>
      </c>
      <c r="B558" s="59">
        <f>IFERROR(__xludf.DUMMYFUNCTION("IF(ISBLANK(D558), """", IF(ISDATE(D558), D558, IF(D558=""今天"", A558, IF(D558=""昨天 (-1 day)"", A558-1, IF(D558=""前天 (-2 days)"", A558-2, IF(D558=""明天 (+1 day)"", A558+1, DATE(LEFT(D558,4), MID(D558,5,2), RIGHT(D558,2))))))))"),45659.88783678241)</f>
        <v>45659.88784</v>
      </c>
      <c r="C558" s="60">
        <f>IFERROR(__xludf.DUMMYFUNCTION("INDIRECT(""'收支紀錄'!C""&amp;TO_TEXT(ROW()-$C$72))"),91.0)</f>
        <v>91</v>
      </c>
      <c r="D558" s="63" t="str">
        <f>IFERROR(__xludf.DUMMYFUNCTION("INDIRECT(""'收支紀錄'!D""&amp;TO_TEXT(ROW()-$C$72))"),"今天")</f>
        <v>今天</v>
      </c>
      <c r="E558" s="61" t="str">
        <f>IFERROR(__xludf.DUMMYFUNCTION("INDIRECT(""'收支紀錄'!E""&amp;TO_TEXT(ROW()-$C$72))"),"")</f>
        <v/>
      </c>
      <c r="F558" s="61" t="str">
        <f>IFERROR(__xludf.DUMMYFUNCTION("INDIRECT(""'收支紀錄'!F""&amp;TO_TEXT(ROW()-$C$72))"),"")</f>
        <v/>
      </c>
      <c r="G558" s="61" t="str">
        <f>IFERROR(__xludf.DUMMYFUNCTION("INDIRECT(""'收支紀錄'!G""&amp;TO_TEXT(ROW()-$C$72))"),"")</f>
        <v/>
      </c>
      <c r="H558" s="61" t="str">
        <f>IFERROR(__xludf.DUMMYFUNCTION("INDIRECT(""'收支紀錄'!H""&amp;TO_TEXT(ROW()-$C$72))"),"行車交通")</f>
        <v>行車交通</v>
      </c>
      <c r="I558" s="61" t="str">
        <f>IFERROR(__xludf.DUMMYFUNCTION("INDIRECT(""'收支紀錄'!I""&amp;TO_TEXT(ROW()-$C$72))"),"")</f>
        <v/>
      </c>
      <c r="J558" s="61" t="str">
        <f>IFERROR(__xludf.DUMMYFUNCTION("INDIRECT(""'收支紀錄'!J""&amp;TO_TEXT(ROW()-$C$72))"),"")</f>
        <v/>
      </c>
      <c r="K558" s="61" t="str">
        <f>IFERROR(__xludf.DUMMYFUNCTION("INDIRECT(""'收支紀錄'!K""&amp;TO_TEXT(ROW()-$C$72))"),"")</f>
        <v/>
      </c>
      <c r="L558" s="61" t="str">
        <f>IFERROR(__xludf.DUMMYFUNCTION("INDIRECT(""'收支紀錄'!L""&amp;TO_TEXT(ROW()-$C$72))"),"火車費")</f>
        <v>火車費</v>
      </c>
      <c r="M558" s="61" t="str">
        <f>IFERROR(__xludf.DUMMYFUNCTION("INDIRECT(""'收支紀錄'!M""&amp;TO_TEXT(ROW()-$C$72))"),"")</f>
        <v/>
      </c>
      <c r="N558" s="61" t="str">
        <f>IFERROR(__xludf.DUMMYFUNCTION("INDIRECT(""'收支紀錄'!N""&amp;TO_TEXT(ROW()-$C$72))"),"")</f>
        <v/>
      </c>
      <c r="O558" s="61" t="str">
        <f>IFERROR(__xludf.DUMMYFUNCTION("INDIRECT(""'收支紀錄'!O""&amp;TO_TEXT(ROW()-$C$72))"),"")</f>
        <v/>
      </c>
      <c r="P558" s="61" t="str">
        <f>IFERROR(__xludf.DUMMYFUNCTION("INDIRECT(""'收支紀錄'!P""&amp;TO_TEXT(ROW()-$C$72))"),"")</f>
        <v/>
      </c>
      <c r="Q558" s="61" t="str">
        <f>IFERROR(__xludf.DUMMYFUNCTION("INDIRECT(""'收支紀錄'!Q""&amp;TO_TEXT(ROW()-$C$72))"),"")</f>
        <v/>
      </c>
      <c r="R558" s="61" t="str">
        <f>IFERROR(__xludf.DUMMYFUNCTION("INDIRECT(""'收支紀錄'!R""&amp;TO_TEXT(ROW()-$C$72))"),"")</f>
        <v/>
      </c>
      <c r="S558" s="61" t="str">
        <f>IFERROR(__xludf.DUMMYFUNCTION("INDIRECT(""'收支紀錄'!S""&amp;TO_TEXT(ROW()-$C$72))"),"")</f>
        <v/>
      </c>
      <c r="T558" s="61" t="str">
        <f>IFERROR(__xludf.DUMMYFUNCTION("INDIRECT(""'收支紀錄'!T""&amp;TO_TEXT(ROW()-$C$72))"),"")</f>
        <v/>
      </c>
      <c r="U558" s="62" t="str">
        <f>IFERROR(__xludf.DUMMYFUNCTION("IF(T558=""是"",TEXTJOIN("""", TRUE, ""$"", TO_TEXT(C558), S558),"""")"),"")</f>
        <v/>
      </c>
    </row>
    <row r="559">
      <c r="A559" s="58">
        <f>IFERROR(__xludf.DUMMYFUNCTION("INDIRECT(""'收支紀錄'!A""&amp;TO_TEXT(ROW()-$C$72))"),45661.77933121528)</f>
        <v>45661.77933</v>
      </c>
      <c r="B559" s="59">
        <f>IFERROR(__xludf.DUMMYFUNCTION("IF(ISBLANK(D559), """", IF(ISDATE(D559), D559, IF(D559=""今天"", A559, IF(D559=""昨天 (-1 day)"", A559-1, IF(D559=""前天 (-2 days)"", A559-2, IF(D559=""明天 (+1 day)"", A559+1, DATE(LEFT(D559,4), MID(D559,5,2), RIGHT(D559,2))))))))"),45661.77933121528)</f>
        <v>45661.77933</v>
      </c>
      <c r="C559" s="60">
        <f>IFERROR(__xludf.DUMMYFUNCTION("INDIRECT(""'收支紀錄'!C""&amp;TO_TEXT(ROW()-$C$72))"),570.0)</f>
        <v>570</v>
      </c>
      <c r="D559" s="63" t="str">
        <f>IFERROR(__xludf.DUMMYFUNCTION("INDIRECT(""'收支紀錄'!D""&amp;TO_TEXT(ROW()-$C$72))"),"今天")</f>
        <v>今天</v>
      </c>
      <c r="E559" s="61" t="str">
        <f>IFERROR(__xludf.DUMMYFUNCTION("INDIRECT(""'收支紀錄'!E""&amp;TO_TEXT(ROW()-$C$72))"),"")</f>
        <v/>
      </c>
      <c r="F559" s="61" t="str">
        <f>IFERROR(__xludf.DUMMYFUNCTION("INDIRECT(""'收支紀錄'!F""&amp;TO_TEXT(ROW()-$C$72))"),"")</f>
        <v/>
      </c>
      <c r="G559" s="61" t="str">
        <f>IFERROR(__xludf.DUMMYFUNCTION("INDIRECT(""'收支紀錄'!G""&amp;TO_TEXT(ROW()-$C$72))"),"")</f>
        <v/>
      </c>
      <c r="H559" s="61" t="str">
        <f>IFERROR(__xludf.DUMMYFUNCTION("INDIRECT(""'收支紀錄'!H""&amp;TO_TEXT(ROW()-$C$72))"),"食品酒水")</f>
        <v>食品酒水</v>
      </c>
      <c r="I559" s="61" t="str">
        <f>IFERROR(__xludf.DUMMYFUNCTION("INDIRECT(""'收支紀錄'!I""&amp;TO_TEXT(ROW()-$C$72))"),"晚餐")</f>
        <v>晚餐</v>
      </c>
      <c r="J559" s="61" t="str">
        <f>IFERROR(__xludf.DUMMYFUNCTION("INDIRECT(""'收支紀錄'!J""&amp;TO_TEXT(ROW()-$C$72))"),"")</f>
        <v/>
      </c>
      <c r="K559" s="61" t="str">
        <f>IFERROR(__xludf.DUMMYFUNCTION("INDIRECT(""'收支紀錄'!K""&amp;TO_TEXT(ROW()-$C$72))"),"")</f>
        <v/>
      </c>
      <c r="L559" s="61" t="str">
        <f>IFERROR(__xludf.DUMMYFUNCTION("INDIRECT(""'收支紀錄'!L""&amp;TO_TEXT(ROW()-$C$72))"),"")</f>
        <v/>
      </c>
      <c r="M559" s="61" t="str">
        <f>IFERROR(__xludf.DUMMYFUNCTION("INDIRECT(""'收支紀錄'!M""&amp;TO_TEXT(ROW()-$C$72))"),"")</f>
        <v/>
      </c>
      <c r="N559" s="61" t="str">
        <f>IFERROR(__xludf.DUMMYFUNCTION("INDIRECT(""'收支紀錄'!N""&amp;TO_TEXT(ROW()-$C$72))"),"")</f>
        <v/>
      </c>
      <c r="O559" s="61" t="str">
        <f>IFERROR(__xludf.DUMMYFUNCTION("INDIRECT(""'收支紀錄'!O""&amp;TO_TEXT(ROW()-$C$72))"),"")</f>
        <v/>
      </c>
      <c r="P559" s="61" t="str">
        <f>IFERROR(__xludf.DUMMYFUNCTION("INDIRECT(""'收支紀錄'!P""&amp;TO_TEXT(ROW()-$C$72))"),"")</f>
        <v/>
      </c>
      <c r="Q559" s="61" t="str">
        <f>IFERROR(__xludf.DUMMYFUNCTION("INDIRECT(""'收支紀錄'!Q""&amp;TO_TEXT(ROW()-$C$72))"),"")</f>
        <v/>
      </c>
      <c r="R559" s="61" t="str">
        <f>IFERROR(__xludf.DUMMYFUNCTION("INDIRECT(""'收支紀錄'!R""&amp;TO_TEXT(ROW()-$C$72))"),"")</f>
        <v/>
      </c>
      <c r="S559" s="61" t="str">
        <f>IFERROR(__xludf.DUMMYFUNCTION("INDIRECT(""'收支紀錄'!S""&amp;TO_TEXT(ROW()-$C$72))"),"")</f>
        <v/>
      </c>
      <c r="T559" s="61" t="str">
        <f>IFERROR(__xludf.DUMMYFUNCTION("INDIRECT(""'收支紀錄'!T""&amp;TO_TEXT(ROW()-$C$72))"),"")</f>
        <v/>
      </c>
      <c r="U559" s="62" t="str">
        <f>IFERROR(__xludf.DUMMYFUNCTION("IF(T559=""是"",TEXTJOIN("""", TRUE, ""$"", TO_TEXT(C559), S559),"""")"),"")</f>
        <v/>
      </c>
    </row>
    <row r="560">
      <c r="A560" s="58">
        <f>IFERROR(__xludf.DUMMYFUNCTION("INDIRECT(""'收支紀錄'!A""&amp;TO_TEXT(ROW()-$C$72))"),45662.050707013885)</f>
        <v>45662.05071</v>
      </c>
      <c r="B560" s="59">
        <f>IFERROR(__xludf.DUMMYFUNCTION("IF(ISBLANK(D560), """", IF(ISDATE(D560), D560, IF(D560=""今天"", A560, IF(D560=""昨天 (-1 day)"", A560-1, IF(D560=""前天 (-2 days)"", A560-2, IF(D560=""明天 (+1 day)"", A560+1, DATE(LEFT(D560,4), MID(D560,5,2), RIGHT(D560,2))))))))"),45674.0)</f>
        <v>45674</v>
      </c>
      <c r="C560" s="60">
        <f>IFERROR(__xludf.DUMMYFUNCTION("INDIRECT(""'收支紀錄'!C""&amp;TO_TEXT(ROW()-$C$72))"),352.0)</f>
        <v>352</v>
      </c>
      <c r="D560" s="63">
        <f>IFERROR(__xludf.DUMMYFUNCTION("INDIRECT(""'收支紀錄'!D""&amp;TO_TEXT(ROW()-$C$72))"),2.0250117E7)</f>
        <v>20250117</v>
      </c>
      <c r="E560" s="61" t="str">
        <f>IFERROR(__xludf.DUMMYFUNCTION("INDIRECT(""'收支紀錄'!E""&amp;TO_TEXT(ROW()-$C$72))"),"")</f>
        <v/>
      </c>
      <c r="F560" s="61" t="str">
        <f>IFERROR(__xludf.DUMMYFUNCTION("INDIRECT(""'收支紀錄'!F""&amp;TO_TEXT(ROW()-$C$72))"),"")</f>
        <v/>
      </c>
      <c r="G560" s="61" t="str">
        <f>IFERROR(__xludf.DUMMYFUNCTION("INDIRECT(""'收支紀錄'!G""&amp;TO_TEXT(ROW()-$C$72))"),"")</f>
        <v/>
      </c>
      <c r="H560" s="61" t="str">
        <f>IFERROR(__xludf.DUMMYFUNCTION("INDIRECT(""'收支紀錄'!H""&amp;TO_TEXT(ROW()-$C$72))"),"休閒娛樂")</f>
        <v>休閒娛樂</v>
      </c>
      <c r="I560" s="61" t="str">
        <f>IFERROR(__xludf.DUMMYFUNCTION("INDIRECT(""'收支紀錄'!I""&amp;TO_TEXT(ROW()-$C$72))"),"")</f>
        <v/>
      </c>
      <c r="J560" s="61" t="str">
        <f>IFERROR(__xludf.DUMMYFUNCTION("INDIRECT(""'收支紀錄'!J""&amp;TO_TEXT(ROW()-$C$72))"),"")</f>
        <v/>
      </c>
      <c r="K560" s="61" t="str">
        <f>IFERROR(__xludf.DUMMYFUNCTION("INDIRECT(""'收支紀錄'!K""&amp;TO_TEXT(ROW()-$C$72))"),"")</f>
        <v/>
      </c>
      <c r="L560" s="61" t="str">
        <f>IFERROR(__xludf.DUMMYFUNCTION("INDIRECT(""'收支紀錄'!L""&amp;TO_TEXT(ROW()-$C$72))"),"")</f>
        <v/>
      </c>
      <c r="M560" s="61" t="str">
        <f>IFERROR(__xludf.DUMMYFUNCTION("INDIRECT(""'收支紀錄'!M""&amp;TO_TEXT(ROW()-$C$72))"),"旅遊度假")</f>
        <v>旅遊度假</v>
      </c>
      <c r="N560" s="61" t="str">
        <f>IFERROR(__xludf.DUMMYFUNCTION("INDIRECT(""'收支紀錄'!N""&amp;TO_TEXT(ROW()-$C$72))"),"")</f>
        <v/>
      </c>
      <c r="O560" s="61" t="str">
        <f>IFERROR(__xludf.DUMMYFUNCTION("INDIRECT(""'收支紀錄'!O""&amp;TO_TEXT(ROW()-$C$72))"),"")</f>
        <v/>
      </c>
      <c r="P560" s="61" t="str">
        <f>IFERROR(__xludf.DUMMYFUNCTION("INDIRECT(""'收支紀錄'!P""&amp;TO_TEXT(ROW()-$C$72))"),"")</f>
        <v/>
      </c>
      <c r="Q560" s="61" t="str">
        <f>IFERROR(__xludf.DUMMYFUNCTION("INDIRECT(""'收支紀錄'!Q""&amp;TO_TEXT(ROW()-$C$72))"),"")</f>
        <v/>
      </c>
      <c r="R560" s="61" t="str">
        <f>IFERROR(__xludf.DUMMYFUNCTION("INDIRECT(""'收支紀錄'!R""&amp;TO_TEXT(ROW()-$C$72))"),"")</f>
        <v/>
      </c>
      <c r="S560" s="61" t="str">
        <f>IFERROR(__xludf.DUMMYFUNCTION("INDIRECT(""'收支紀錄'!S""&amp;TO_TEXT(ROW()-$C$72))"),"旅平險（遠傳、中信產險）")</f>
        <v>旅平險（遠傳、中信產險）</v>
      </c>
      <c r="T560" s="61" t="str">
        <f>IFERROR(__xludf.DUMMYFUNCTION("INDIRECT(""'收支紀錄'!T""&amp;TO_TEXT(ROW()-$C$72))"),"")</f>
        <v/>
      </c>
      <c r="U560" s="62" t="str">
        <f>IFERROR(__xludf.DUMMYFUNCTION("IF(T560=""是"",TEXTJOIN("""", TRUE, ""$"", TO_TEXT(C560), S560),"""")"),"")</f>
        <v/>
      </c>
    </row>
    <row r="561">
      <c r="A561" s="58">
        <f>IFERROR(__xludf.DUMMYFUNCTION("INDIRECT(""'收支紀錄'!A""&amp;TO_TEXT(ROW()-$C$72))"),45662.69493488426)</f>
        <v>45662.69493</v>
      </c>
      <c r="B561" s="59">
        <f>IFERROR(__xludf.DUMMYFUNCTION("IF(ISBLANK(D561), """", IF(ISDATE(D561), D561, IF(D561=""今天"", A561, IF(D561=""昨天 (-1 day)"", A561-1, IF(D561=""前天 (-2 days)"", A561-2, IF(D561=""明天 (+1 day)"", A561+1, DATE(LEFT(D561,4), MID(D561,5,2), RIGHT(D561,2))))))))"),45662.69493488426)</f>
        <v>45662.69493</v>
      </c>
      <c r="C561" s="60">
        <f>IFERROR(__xludf.DUMMYFUNCTION("INDIRECT(""'收支紀錄'!C""&amp;TO_TEXT(ROW()-$C$72))"),102900.0)</f>
        <v>102900</v>
      </c>
      <c r="D561" s="63" t="str">
        <f>IFERROR(__xludf.DUMMYFUNCTION("INDIRECT(""'收支紀錄'!D""&amp;TO_TEXT(ROW()-$C$72))"),"今天")</f>
        <v>今天</v>
      </c>
      <c r="E561" s="61" t="str">
        <f>IFERROR(__xludf.DUMMYFUNCTION("INDIRECT(""'收支紀錄'!E""&amp;TO_TEXT(ROW()-$C$72))"),"工作")</f>
        <v>工作</v>
      </c>
      <c r="F561" s="61" t="str">
        <f>IFERROR(__xludf.DUMMYFUNCTION("INDIRECT(""'收支紀錄'!F""&amp;TO_TEXT(ROW()-$C$72))"),"底薪")</f>
        <v>底薪</v>
      </c>
      <c r="G561" s="61" t="str">
        <f>IFERROR(__xludf.DUMMYFUNCTION("INDIRECT(""'收支紀錄'!G""&amp;TO_TEXT(ROW()-$C$72))"),"")</f>
        <v/>
      </c>
      <c r="H561" s="61" t="str">
        <f>IFERROR(__xludf.DUMMYFUNCTION("INDIRECT(""'收支紀錄'!H""&amp;TO_TEXT(ROW()-$C$72))"),"")</f>
        <v/>
      </c>
      <c r="I561" s="61" t="str">
        <f>IFERROR(__xludf.DUMMYFUNCTION("INDIRECT(""'收支紀錄'!I""&amp;TO_TEXT(ROW()-$C$72))"),"")</f>
        <v/>
      </c>
      <c r="J561" s="61" t="str">
        <f>IFERROR(__xludf.DUMMYFUNCTION("INDIRECT(""'收支紀錄'!J""&amp;TO_TEXT(ROW()-$C$72))"),"")</f>
        <v/>
      </c>
      <c r="K561" s="61" t="str">
        <f>IFERROR(__xludf.DUMMYFUNCTION("INDIRECT(""'收支紀錄'!K""&amp;TO_TEXT(ROW()-$C$72))"),"")</f>
        <v/>
      </c>
      <c r="L561" s="61" t="str">
        <f>IFERROR(__xludf.DUMMYFUNCTION("INDIRECT(""'收支紀錄'!L""&amp;TO_TEXT(ROW()-$C$72))"),"")</f>
        <v/>
      </c>
      <c r="M561" s="61" t="str">
        <f>IFERROR(__xludf.DUMMYFUNCTION("INDIRECT(""'收支紀錄'!M""&amp;TO_TEXT(ROW()-$C$72))"),"")</f>
        <v/>
      </c>
      <c r="N561" s="61" t="str">
        <f>IFERROR(__xludf.DUMMYFUNCTION("INDIRECT(""'收支紀錄'!N""&amp;TO_TEXT(ROW()-$C$72))"),"")</f>
        <v/>
      </c>
      <c r="O561" s="61" t="str">
        <f>IFERROR(__xludf.DUMMYFUNCTION("INDIRECT(""'收支紀錄'!O""&amp;TO_TEXT(ROW()-$C$72))"),"")</f>
        <v/>
      </c>
      <c r="P561" s="61" t="str">
        <f>IFERROR(__xludf.DUMMYFUNCTION("INDIRECT(""'收支紀錄'!P""&amp;TO_TEXT(ROW()-$C$72))"),"")</f>
        <v/>
      </c>
      <c r="Q561" s="61" t="str">
        <f>IFERROR(__xludf.DUMMYFUNCTION("INDIRECT(""'收支紀錄'!Q""&amp;TO_TEXT(ROW()-$C$72))"),"")</f>
        <v/>
      </c>
      <c r="R561" s="61" t="str">
        <f>IFERROR(__xludf.DUMMYFUNCTION("INDIRECT(""'收支紀錄'!R""&amp;TO_TEXT(ROW()-$C$72))"),"")</f>
        <v/>
      </c>
      <c r="S561" s="61" t="str">
        <f>IFERROR(__xludf.DUMMYFUNCTION("INDIRECT(""'收支紀錄'!S""&amp;TO_TEXT(ROW()-$C$72))"),"")</f>
        <v/>
      </c>
      <c r="T561" s="61" t="str">
        <f>IFERROR(__xludf.DUMMYFUNCTION("INDIRECT(""'收支紀錄'!T""&amp;TO_TEXT(ROW()-$C$72))"),"")</f>
        <v/>
      </c>
      <c r="U561" s="62" t="str">
        <f>IFERROR(__xludf.DUMMYFUNCTION("IF(T561=""是"",TEXTJOIN("""", TRUE, ""$"", TO_TEXT(C561), S561),"""")"),"")</f>
        <v/>
      </c>
    </row>
    <row r="562">
      <c r="A562" s="58">
        <f>IFERROR(__xludf.DUMMYFUNCTION("INDIRECT(""'收支紀錄'!A""&amp;TO_TEXT(ROW()-$C$72))"),45662.69549449074)</f>
        <v>45662.69549</v>
      </c>
      <c r="B562" s="59">
        <f>IFERROR(__xludf.DUMMYFUNCTION("IF(ISBLANK(D562), """", IF(ISDATE(D562), D562, IF(D562=""今天"", A562, IF(D562=""昨天 (-1 day)"", A562-1, IF(D562=""前天 (-2 days)"", A562-2, IF(D562=""明天 (+1 day)"", A562+1, DATE(LEFT(D562,4), MID(D562,5,2), RIGHT(D562,2))))))))"),45662.69549449074)</f>
        <v>45662.69549</v>
      </c>
      <c r="C562" s="60">
        <f>IFERROR(__xludf.DUMMYFUNCTION("INDIRECT(""'收支紀錄'!C""&amp;TO_TEXT(ROW()-$C$72))"),3087.0)</f>
        <v>3087</v>
      </c>
      <c r="D562" s="63" t="str">
        <f>IFERROR(__xludf.DUMMYFUNCTION("INDIRECT(""'收支紀錄'!D""&amp;TO_TEXT(ROW()-$C$72))"),"今天")</f>
        <v>今天</v>
      </c>
      <c r="E562" s="61" t="str">
        <f>IFERROR(__xludf.DUMMYFUNCTION("INDIRECT(""'收支紀錄'!E""&amp;TO_TEXT(ROW()-$C$72))"),"")</f>
        <v/>
      </c>
      <c r="F562" s="61" t="str">
        <f>IFERROR(__xludf.DUMMYFUNCTION("INDIRECT(""'收支紀錄'!F""&amp;TO_TEXT(ROW()-$C$72))"),"")</f>
        <v/>
      </c>
      <c r="G562" s="61" t="str">
        <f>IFERROR(__xludf.DUMMYFUNCTION("INDIRECT(""'收支紀錄'!G""&amp;TO_TEXT(ROW()-$C$72))"),"")</f>
        <v/>
      </c>
      <c r="H562" s="61" t="str">
        <f>IFERROR(__xludf.DUMMYFUNCTION("INDIRECT(""'收支紀錄'!H""&amp;TO_TEXT(ROW()-$C$72))"),"投資及其他")</f>
        <v>投資及其他</v>
      </c>
      <c r="I562" s="61" t="str">
        <f>IFERROR(__xludf.DUMMYFUNCTION("INDIRECT(""'收支紀錄'!I""&amp;TO_TEXT(ROW()-$C$72))"),"")</f>
        <v/>
      </c>
      <c r="J562" s="61" t="str">
        <f>IFERROR(__xludf.DUMMYFUNCTION("INDIRECT(""'收支紀錄'!J""&amp;TO_TEXT(ROW()-$C$72))"),"")</f>
        <v/>
      </c>
      <c r="K562" s="61" t="str">
        <f>IFERROR(__xludf.DUMMYFUNCTION("INDIRECT(""'收支紀錄'!K""&amp;TO_TEXT(ROW()-$C$72))"),"")</f>
        <v/>
      </c>
      <c r="L562" s="61" t="str">
        <f>IFERROR(__xludf.DUMMYFUNCTION("INDIRECT(""'收支紀錄'!L""&amp;TO_TEXT(ROW()-$C$72))"),"")</f>
        <v/>
      </c>
      <c r="M562" s="61" t="str">
        <f>IFERROR(__xludf.DUMMYFUNCTION("INDIRECT(""'收支紀錄'!M""&amp;TO_TEXT(ROW()-$C$72))"),"")</f>
        <v/>
      </c>
      <c r="N562" s="61" t="str">
        <f>IFERROR(__xludf.DUMMYFUNCTION("INDIRECT(""'收支紀錄'!N""&amp;TO_TEXT(ROW()-$C$72))"),"")</f>
        <v/>
      </c>
      <c r="O562" s="61" t="str">
        <f>IFERROR(__xludf.DUMMYFUNCTION("INDIRECT(""'收支紀錄'!O""&amp;TO_TEXT(ROW()-$C$72))"),"")</f>
        <v/>
      </c>
      <c r="P562" s="61" t="str">
        <f>IFERROR(__xludf.DUMMYFUNCTION("INDIRECT(""'收支紀錄'!P""&amp;TO_TEXT(ROW()-$C$72))"),"")</f>
        <v/>
      </c>
      <c r="Q562" s="61" t="str">
        <f>IFERROR(__xludf.DUMMYFUNCTION("INDIRECT(""'收支紀錄'!Q""&amp;TO_TEXT(ROW()-$C$72))"),"")</f>
        <v/>
      </c>
      <c r="R562" s="61" t="str">
        <f>IFERROR(__xludf.DUMMYFUNCTION("INDIRECT(""'收支紀錄'!R""&amp;TO_TEXT(ROW()-$C$72))"),"公司認股")</f>
        <v>公司認股</v>
      </c>
      <c r="S562" s="61" t="str">
        <f>IFERROR(__xludf.DUMMYFUNCTION("INDIRECT(""'收支紀錄'!S""&amp;TO_TEXT(ROW()-$C$72))"),"")</f>
        <v/>
      </c>
      <c r="T562" s="61" t="str">
        <f>IFERROR(__xludf.DUMMYFUNCTION("INDIRECT(""'收支紀錄'!T""&amp;TO_TEXT(ROW()-$C$72))"),"")</f>
        <v/>
      </c>
      <c r="U562" s="62" t="str">
        <f>IFERROR(__xludf.DUMMYFUNCTION("IF(T562=""是"",TEXTJOIN("""", TRUE, ""$"", TO_TEXT(C562), S562),"""")"),"")</f>
        <v/>
      </c>
    </row>
    <row r="563">
      <c r="A563" s="58">
        <f>IFERROR(__xludf.DUMMYFUNCTION("INDIRECT(""'收支紀錄'!A""&amp;TO_TEXT(ROW()-$C$72))"),45662.69636356481)</f>
        <v>45662.69636</v>
      </c>
      <c r="B563" s="59">
        <f>IFERROR(__xludf.DUMMYFUNCTION("IF(ISBLANK(D563), """", IF(ISDATE(D563), D563, IF(D563=""今天"", A563, IF(D563=""昨天 (-1 day)"", A563-1, IF(D563=""前天 (-2 days)"", A563-2, IF(D563=""明天 (+1 day)"", A563+1, DATE(LEFT(D563,4), MID(D563,5,2), RIGHT(D563,2))))))))"),45662.69636356481)</f>
        <v>45662.69636</v>
      </c>
      <c r="C563" s="60">
        <f>IFERROR(__xludf.DUMMYFUNCTION("INDIRECT(""'收支紀錄'!C""&amp;TO_TEXT(ROW()-$C$72))"),1241.0)</f>
        <v>1241</v>
      </c>
      <c r="D563" s="63" t="str">
        <f>IFERROR(__xludf.DUMMYFUNCTION("INDIRECT(""'收支紀錄'!D""&amp;TO_TEXT(ROW()-$C$72))"),"今天")</f>
        <v>今天</v>
      </c>
      <c r="E563" s="61" t="str">
        <f>IFERROR(__xludf.DUMMYFUNCTION("INDIRECT(""'收支紀錄'!E""&amp;TO_TEXT(ROW()-$C$72))"),"")</f>
        <v/>
      </c>
      <c r="F563" s="61" t="str">
        <f>IFERROR(__xludf.DUMMYFUNCTION("INDIRECT(""'收支紀錄'!F""&amp;TO_TEXT(ROW()-$C$72))"),"")</f>
        <v/>
      </c>
      <c r="G563" s="61" t="str">
        <f>IFERROR(__xludf.DUMMYFUNCTION("INDIRECT(""'收支紀錄'!G""&amp;TO_TEXT(ROW()-$C$72))"),"")</f>
        <v/>
      </c>
      <c r="H563" s="61" t="str">
        <f>IFERROR(__xludf.DUMMYFUNCTION("INDIRECT(""'收支紀錄'!H""&amp;TO_TEXT(ROW()-$C$72))"),"食品酒水")</f>
        <v>食品酒水</v>
      </c>
      <c r="I563" s="61" t="str">
        <f>IFERROR(__xludf.DUMMYFUNCTION("INDIRECT(""'收支紀錄'!I""&amp;TO_TEXT(ROW()-$C$72))"),"前月公司餐費扣款")</f>
        <v>前月公司餐費扣款</v>
      </c>
      <c r="J563" s="61" t="str">
        <f>IFERROR(__xludf.DUMMYFUNCTION("INDIRECT(""'收支紀錄'!J""&amp;TO_TEXT(ROW()-$C$72))"),"")</f>
        <v/>
      </c>
      <c r="K563" s="61" t="str">
        <f>IFERROR(__xludf.DUMMYFUNCTION("INDIRECT(""'收支紀錄'!K""&amp;TO_TEXT(ROW()-$C$72))"),"")</f>
        <v/>
      </c>
      <c r="L563" s="61" t="str">
        <f>IFERROR(__xludf.DUMMYFUNCTION("INDIRECT(""'收支紀錄'!L""&amp;TO_TEXT(ROW()-$C$72))"),"")</f>
        <v/>
      </c>
      <c r="M563" s="61" t="str">
        <f>IFERROR(__xludf.DUMMYFUNCTION("INDIRECT(""'收支紀錄'!M""&amp;TO_TEXT(ROW()-$C$72))"),"")</f>
        <v/>
      </c>
      <c r="N563" s="61" t="str">
        <f>IFERROR(__xludf.DUMMYFUNCTION("INDIRECT(""'收支紀錄'!N""&amp;TO_TEXT(ROW()-$C$72))"),"")</f>
        <v/>
      </c>
      <c r="O563" s="61" t="str">
        <f>IFERROR(__xludf.DUMMYFUNCTION("INDIRECT(""'收支紀錄'!O""&amp;TO_TEXT(ROW()-$C$72))"),"")</f>
        <v/>
      </c>
      <c r="P563" s="61" t="str">
        <f>IFERROR(__xludf.DUMMYFUNCTION("INDIRECT(""'收支紀錄'!P""&amp;TO_TEXT(ROW()-$C$72))"),"")</f>
        <v/>
      </c>
      <c r="Q563" s="61" t="str">
        <f>IFERROR(__xludf.DUMMYFUNCTION("INDIRECT(""'收支紀錄'!Q""&amp;TO_TEXT(ROW()-$C$72))"),"")</f>
        <v/>
      </c>
      <c r="R563" s="61" t="str">
        <f>IFERROR(__xludf.DUMMYFUNCTION("INDIRECT(""'收支紀錄'!R""&amp;TO_TEXT(ROW()-$C$72))"),"")</f>
        <v/>
      </c>
      <c r="S563" s="61" t="str">
        <f>IFERROR(__xludf.DUMMYFUNCTION("INDIRECT(""'收支紀錄'!S""&amp;TO_TEXT(ROW()-$C$72))"),"")</f>
        <v/>
      </c>
      <c r="T563" s="61" t="str">
        <f>IFERROR(__xludf.DUMMYFUNCTION("INDIRECT(""'收支紀錄'!T""&amp;TO_TEXT(ROW()-$C$72))"),"")</f>
        <v/>
      </c>
      <c r="U563" s="62" t="str">
        <f>IFERROR(__xludf.DUMMYFUNCTION("IF(T563=""是"",TEXTJOIN("""", TRUE, ""$"", TO_TEXT(C563), S563),"""")"),"")</f>
        <v/>
      </c>
    </row>
    <row r="564">
      <c r="A564" s="58">
        <f>IFERROR(__xludf.DUMMYFUNCTION("INDIRECT(""'收支紀錄'!A""&amp;TO_TEXT(ROW()-$C$72))"),45662.69687269676)</f>
        <v>45662.69687</v>
      </c>
      <c r="B564" s="59">
        <f>IFERROR(__xludf.DUMMYFUNCTION("IF(ISBLANK(D564), """", IF(ISDATE(D564), D564, IF(D564=""今天"", A564, IF(D564=""昨天 (-1 day)"", A564-1, IF(D564=""前天 (-2 days)"", A564-2, IF(D564=""明天 (+1 day)"", A564+1, DATE(LEFT(D564,4), MID(D564,5,2), RIGHT(D564,2))))))))"),45662.69687269676)</f>
        <v>45662.69687</v>
      </c>
      <c r="C564" s="60">
        <f>IFERROR(__xludf.DUMMYFUNCTION("INDIRECT(""'收支紀錄'!C""&amp;TO_TEXT(ROW()-$C$72))"),2738.0)</f>
        <v>2738</v>
      </c>
      <c r="D564" s="63" t="str">
        <f>IFERROR(__xludf.DUMMYFUNCTION("INDIRECT(""'收支紀錄'!D""&amp;TO_TEXT(ROW()-$C$72))"),"今天")</f>
        <v>今天</v>
      </c>
      <c r="E564" s="61" t="str">
        <f>IFERROR(__xludf.DUMMYFUNCTION("INDIRECT(""'收支紀錄'!E""&amp;TO_TEXT(ROW()-$C$72))"),"")</f>
        <v/>
      </c>
      <c r="F564" s="61" t="str">
        <f>IFERROR(__xludf.DUMMYFUNCTION("INDIRECT(""'收支紀錄'!F""&amp;TO_TEXT(ROW()-$C$72))"),"")</f>
        <v/>
      </c>
      <c r="G564" s="61" t="str">
        <f>IFERROR(__xludf.DUMMYFUNCTION("INDIRECT(""'收支紀錄'!G""&amp;TO_TEXT(ROW()-$C$72))"),"")</f>
        <v/>
      </c>
      <c r="H564" s="61" t="str">
        <f>IFERROR(__xludf.DUMMYFUNCTION("INDIRECT(""'收支紀錄'!H""&amp;TO_TEXT(ROW()-$C$72))"),"稅金保險")</f>
        <v>稅金保險</v>
      </c>
      <c r="I564" s="61" t="str">
        <f>IFERROR(__xludf.DUMMYFUNCTION("INDIRECT(""'收支紀錄'!I""&amp;TO_TEXT(ROW()-$C$72))"),"")</f>
        <v/>
      </c>
      <c r="J564" s="61" t="str">
        <f>IFERROR(__xludf.DUMMYFUNCTION("INDIRECT(""'收支紀錄'!J""&amp;TO_TEXT(ROW()-$C$72))"),"")</f>
        <v/>
      </c>
      <c r="K564" s="61" t="str">
        <f>IFERROR(__xludf.DUMMYFUNCTION("INDIRECT(""'收支紀錄'!K""&amp;TO_TEXT(ROW()-$C$72))"),"")</f>
        <v/>
      </c>
      <c r="L564" s="61" t="str">
        <f>IFERROR(__xludf.DUMMYFUNCTION("INDIRECT(""'收支紀錄'!L""&amp;TO_TEXT(ROW()-$C$72))"),"")</f>
        <v/>
      </c>
      <c r="M564" s="61" t="str">
        <f>IFERROR(__xludf.DUMMYFUNCTION("INDIRECT(""'收支紀錄'!M""&amp;TO_TEXT(ROW()-$C$72))"),"")</f>
        <v/>
      </c>
      <c r="N564" s="61" t="str">
        <f>IFERROR(__xludf.DUMMYFUNCTION("INDIRECT(""'收支紀錄'!N""&amp;TO_TEXT(ROW()-$C$72))"),"勞健保")</f>
        <v>勞健保</v>
      </c>
      <c r="O564" s="61" t="str">
        <f>IFERROR(__xludf.DUMMYFUNCTION("INDIRECT(""'收支紀錄'!O""&amp;TO_TEXT(ROW()-$C$72))"),"")</f>
        <v/>
      </c>
      <c r="P564" s="61" t="str">
        <f>IFERROR(__xludf.DUMMYFUNCTION("INDIRECT(""'收支紀錄'!P""&amp;TO_TEXT(ROW()-$C$72))"),"")</f>
        <v/>
      </c>
      <c r="Q564" s="61" t="str">
        <f>IFERROR(__xludf.DUMMYFUNCTION("INDIRECT(""'收支紀錄'!Q""&amp;TO_TEXT(ROW()-$C$72))"),"")</f>
        <v/>
      </c>
      <c r="R564" s="61" t="str">
        <f>IFERROR(__xludf.DUMMYFUNCTION("INDIRECT(""'收支紀錄'!R""&amp;TO_TEXT(ROW()-$C$72))"),"")</f>
        <v/>
      </c>
      <c r="S564" s="61" t="str">
        <f>IFERROR(__xludf.DUMMYFUNCTION("INDIRECT(""'收支紀錄'!S""&amp;TO_TEXT(ROW()-$C$72))"),"")</f>
        <v/>
      </c>
      <c r="T564" s="61" t="str">
        <f>IFERROR(__xludf.DUMMYFUNCTION("INDIRECT(""'收支紀錄'!T""&amp;TO_TEXT(ROW()-$C$72))"),"")</f>
        <v/>
      </c>
      <c r="U564" s="62" t="str">
        <f>IFERROR(__xludf.DUMMYFUNCTION("IF(T564=""是"",TEXTJOIN("""", TRUE, ""$"", TO_TEXT(C564), S564),"""")"),"")</f>
        <v/>
      </c>
    </row>
    <row r="565">
      <c r="A565" s="58">
        <f>IFERROR(__xludf.DUMMYFUNCTION("INDIRECT(""'收支紀錄'!A""&amp;TO_TEXT(ROW()-$C$72))"),45662.697074814816)</f>
        <v>45662.69707</v>
      </c>
      <c r="B565" s="59">
        <f>IFERROR(__xludf.DUMMYFUNCTION("IF(ISBLANK(D565), """", IF(ISDATE(D565), D565, IF(D565=""今天"", A565, IF(D565=""昨天 (-1 day)"", A565-1, IF(D565=""前天 (-2 days)"", A565-2, IF(D565=""明天 (+1 day)"", A565+1, DATE(LEFT(D565,4), MID(D565,5,2), RIGHT(D565,2))))))))"),45662.697074814816)</f>
        <v>45662.69707</v>
      </c>
      <c r="C565" s="60">
        <f>IFERROR(__xludf.DUMMYFUNCTION("INDIRECT(""'收支紀錄'!C""&amp;TO_TEXT(ROW()-$C$72))"),515.0)</f>
        <v>515</v>
      </c>
      <c r="D565" s="63" t="str">
        <f>IFERROR(__xludf.DUMMYFUNCTION("INDIRECT(""'收支紀錄'!D""&amp;TO_TEXT(ROW()-$C$72))"),"今天")</f>
        <v>今天</v>
      </c>
      <c r="E565" s="61" t="str">
        <f>IFERROR(__xludf.DUMMYFUNCTION("INDIRECT(""'收支紀錄'!E""&amp;TO_TEXT(ROW()-$C$72))"),"")</f>
        <v/>
      </c>
      <c r="F565" s="61" t="str">
        <f>IFERROR(__xludf.DUMMYFUNCTION("INDIRECT(""'收支紀錄'!F""&amp;TO_TEXT(ROW()-$C$72))"),"")</f>
        <v/>
      </c>
      <c r="G565" s="61" t="str">
        <f>IFERROR(__xludf.DUMMYFUNCTION("INDIRECT(""'收支紀錄'!G""&amp;TO_TEXT(ROW()-$C$72))"),"")</f>
        <v/>
      </c>
      <c r="H565" s="61" t="str">
        <f>IFERROR(__xludf.DUMMYFUNCTION("INDIRECT(""'收支紀錄'!H""&amp;TO_TEXT(ROW()-$C$72))"),"休閒娛樂")</f>
        <v>休閒娛樂</v>
      </c>
      <c r="I565" s="61" t="str">
        <f>IFERROR(__xludf.DUMMYFUNCTION("INDIRECT(""'收支紀錄'!I""&amp;TO_TEXT(ROW()-$C$72))"),"")</f>
        <v/>
      </c>
      <c r="J565" s="61" t="str">
        <f>IFERROR(__xludf.DUMMYFUNCTION("INDIRECT(""'收支紀錄'!J""&amp;TO_TEXT(ROW()-$C$72))"),"")</f>
        <v/>
      </c>
      <c r="K565" s="61" t="str">
        <f>IFERROR(__xludf.DUMMYFUNCTION("INDIRECT(""'收支紀錄'!K""&amp;TO_TEXT(ROW()-$C$72))"),"")</f>
        <v/>
      </c>
      <c r="L565" s="61" t="str">
        <f>IFERROR(__xludf.DUMMYFUNCTION("INDIRECT(""'收支紀錄'!L""&amp;TO_TEXT(ROW()-$C$72))"),"")</f>
        <v/>
      </c>
      <c r="M565" s="61" t="str">
        <f>IFERROR(__xludf.DUMMYFUNCTION("INDIRECT(""'收支紀錄'!M""&amp;TO_TEXT(ROW()-$C$72))"),"公司福利金")</f>
        <v>公司福利金</v>
      </c>
      <c r="N565" s="61" t="str">
        <f>IFERROR(__xludf.DUMMYFUNCTION("INDIRECT(""'收支紀錄'!N""&amp;TO_TEXT(ROW()-$C$72))"),"")</f>
        <v/>
      </c>
      <c r="O565" s="61" t="str">
        <f>IFERROR(__xludf.DUMMYFUNCTION("INDIRECT(""'收支紀錄'!O""&amp;TO_TEXT(ROW()-$C$72))"),"")</f>
        <v/>
      </c>
      <c r="P565" s="61" t="str">
        <f>IFERROR(__xludf.DUMMYFUNCTION("INDIRECT(""'收支紀錄'!P""&amp;TO_TEXT(ROW()-$C$72))"),"")</f>
        <v/>
      </c>
      <c r="Q565" s="61" t="str">
        <f>IFERROR(__xludf.DUMMYFUNCTION("INDIRECT(""'收支紀錄'!Q""&amp;TO_TEXT(ROW()-$C$72))"),"")</f>
        <v/>
      </c>
      <c r="R565" s="61" t="str">
        <f>IFERROR(__xludf.DUMMYFUNCTION("INDIRECT(""'收支紀錄'!R""&amp;TO_TEXT(ROW()-$C$72))"),"")</f>
        <v/>
      </c>
      <c r="S565" s="61" t="str">
        <f>IFERROR(__xludf.DUMMYFUNCTION("INDIRECT(""'收支紀錄'!S""&amp;TO_TEXT(ROW()-$C$72))"),"")</f>
        <v/>
      </c>
      <c r="T565" s="61" t="str">
        <f>IFERROR(__xludf.DUMMYFUNCTION("INDIRECT(""'收支紀錄'!T""&amp;TO_TEXT(ROW()-$C$72))"),"")</f>
        <v/>
      </c>
      <c r="U565" s="62" t="str">
        <f>IFERROR(__xludf.DUMMYFUNCTION("IF(T565=""是"",TEXTJOIN("""", TRUE, ""$"", TO_TEXT(C565), S565),"""")"),"")</f>
        <v/>
      </c>
    </row>
    <row r="566">
      <c r="A566" s="58">
        <f>IFERROR(__xludf.DUMMYFUNCTION("INDIRECT(""'收支紀錄'!A""&amp;TO_TEXT(ROW()-$C$72))"),45662.69738869213)</f>
        <v>45662.69739</v>
      </c>
      <c r="B566" s="59">
        <f>IFERROR(__xludf.DUMMYFUNCTION("IF(ISBLANK(D566), """", IF(ISDATE(D566), D566, IF(D566=""今天"", A566, IF(D566=""昨天 (-1 day)"", A566-1, IF(D566=""前天 (-2 days)"", A566-2, IF(D566=""明天 (+1 day)"", A566+1, DATE(LEFT(D566,4), MID(D566,5,2), RIGHT(D566,2))))))))"),45662.69738869213)</f>
        <v>45662.69739</v>
      </c>
      <c r="C566" s="60">
        <f>IFERROR(__xludf.DUMMYFUNCTION("INDIRECT(""'收支紀錄'!C""&amp;TO_TEXT(ROW()-$C$72))"),3260.0)</f>
        <v>3260</v>
      </c>
      <c r="D566" s="63" t="str">
        <f>IFERROR(__xludf.DUMMYFUNCTION("INDIRECT(""'收支紀錄'!D""&amp;TO_TEXT(ROW()-$C$72))"),"今天")</f>
        <v>今天</v>
      </c>
      <c r="E566" s="61" t="str">
        <f>IFERROR(__xludf.DUMMYFUNCTION("INDIRECT(""'收支紀錄'!E""&amp;TO_TEXT(ROW()-$C$72))"),"")</f>
        <v/>
      </c>
      <c r="F566" s="61" t="str">
        <f>IFERROR(__xludf.DUMMYFUNCTION("INDIRECT(""'收支紀錄'!F""&amp;TO_TEXT(ROW()-$C$72))"),"")</f>
        <v/>
      </c>
      <c r="G566" s="61" t="str">
        <f>IFERROR(__xludf.DUMMYFUNCTION("INDIRECT(""'收支紀錄'!G""&amp;TO_TEXT(ROW()-$C$72))"),"")</f>
        <v/>
      </c>
      <c r="H566" s="61" t="str">
        <f>IFERROR(__xludf.DUMMYFUNCTION("INDIRECT(""'收支紀錄'!H""&amp;TO_TEXT(ROW()-$C$72))"),"稅金保險")</f>
        <v>稅金保險</v>
      </c>
      <c r="I566" s="61" t="str">
        <f>IFERROR(__xludf.DUMMYFUNCTION("INDIRECT(""'收支紀錄'!I""&amp;TO_TEXT(ROW()-$C$72))"),"")</f>
        <v/>
      </c>
      <c r="J566" s="61" t="str">
        <f>IFERROR(__xludf.DUMMYFUNCTION("INDIRECT(""'收支紀錄'!J""&amp;TO_TEXT(ROW()-$C$72))"),"")</f>
        <v/>
      </c>
      <c r="K566" s="61" t="str">
        <f>IFERROR(__xludf.DUMMYFUNCTION("INDIRECT(""'收支紀錄'!K""&amp;TO_TEXT(ROW()-$C$72))"),"")</f>
        <v/>
      </c>
      <c r="L566" s="61" t="str">
        <f>IFERROR(__xludf.DUMMYFUNCTION("INDIRECT(""'收支紀錄'!L""&amp;TO_TEXT(ROW()-$C$72))"),"")</f>
        <v/>
      </c>
      <c r="M566" s="61" t="str">
        <f>IFERROR(__xludf.DUMMYFUNCTION("INDIRECT(""'收支紀錄'!M""&amp;TO_TEXT(ROW()-$C$72))"),"")</f>
        <v/>
      </c>
      <c r="N566" s="61" t="str">
        <f>IFERROR(__xludf.DUMMYFUNCTION("INDIRECT(""'收支紀錄'!N""&amp;TO_TEXT(ROW()-$C$72))"),"稅金")</f>
        <v>稅金</v>
      </c>
      <c r="O566" s="61" t="str">
        <f>IFERROR(__xludf.DUMMYFUNCTION("INDIRECT(""'收支紀錄'!O""&amp;TO_TEXT(ROW()-$C$72))"),"")</f>
        <v/>
      </c>
      <c r="P566" s="61" t="str">
        <f>IFERROR(__xludf.DUMMYFUNCTION("INDIRECT(""'收支紀錄'!P""&amp;TO_TEXT(ROW()-$C$72))"),"")</f>
        <v/>
      </c>
      <c r="Q566" s="61" t="str">
        <f>IFERROR(__xludf.DUMMYFUNCTION("INDIRECT(""'收支紀錄'!Q""&amp;TO_TEXT(ROW()-$C$72))"),"")</f>
        <v/>
      </c>
      <c r="R566" s="61" t="str">
        <f>IFERROR(__xludf.DUMMYFUNCTION("INDIRECT(""'收支紀錄'!R""&amp;TO_TEXT(ROW()-$C$72))"),"")</f>
        <v/>
      </c>
      <c r="S566" s="61" t="str">
        <f>IFERROR(__xludf.DUMMYFUNCTION("INDIRECT(""'收支紀錄'!S""&amp;TO_TEXT(ROW()-$C$72))"),"")</f>
        <v/>
      </c>
      <c r="T566" s="61" t="str">
        <f>IFERROR(__xludf.DUMMYFUNCTION("INDIRECT(""'收支紀錄'!T""&amp;TO_TEXT(ROW()-$C$72))"),"")</f>
        <v/>
      </c>
      <c r="U566" s="62" t="str">
        <f>IFERROR(__xludf.DUMMYFUNCTION("IF(T566=""是"",TEXTJOIN("""", TRUE, ""$"", TO_TEXT(C566), S566),"""")"),"")</f>
        <v/>
      </c>
    </row>
    <row r="567">
      <c r="A567" s="58">
        <f>IFERROR(__xludf.DUMMYFUNCTION("INDIRECT(""'收支紀錄'!A""&amp;TO_TEXT(ROW()-$C$72))"),45662.9036027199)</f>
        <v>45662.9036</v>
      </c>
      <c r="B567" s="59">
        <f>IFERROR(__xludf.DUMMYFUNCTION("IF(ISBLANK(D567), """", IF(ISDATE(D567), D567, IF(D567=""今天"", A567, IF(D567=""昨天 (-1 day)"", A567-1, IF(D567=""前天 (-2 days)"", A567-2, IF(D567=""明天 (+1 day)"", A567+1, DATE(LEFT(D567,4), MID(D567,5,2), RIGHT(D567,2))))))))"),45662.9036027199)</f>
        <v>45662.9036</v>
      </c>
      <c r="C567" s="60">
        <f>IFERROR(__xludf.DUMMYFUNCTION("INDIRECT(""'收支紀錄'!C""&amp;TO_TEXT(ROW()-$C$72))"),92.0)</f>
        <v>92</v>
      </c>
      <c r="D567" s="63" t="str">
        <f>IFERROR(__xludf.DUMMYFUNCTION("INDIRECT(""'收支紀錄'!D""&amp;TO_TEXT(ROW()-$C$72))"),"今天")</f>
        <v>今天</v>
      </c>
      <c r="E567" s="61" t="str">
        <f>IFERROR(__xludf.DUMMYFUNCTION("INDIRECT(""'收支紀錄'!E""&amp;TO_TEXT(ROW()-$C$72))"),"")</f>
        <v/>
      </c>
      <c r="F567" s="61" t="str">
        <f>IFERROR(__xludf.DUMMYFUNCTION("INDIRECT(""'收支紀錄'!F""&amp;TO_TEXT(ROW()-$C$72))"),"")</f>
        <v/>
      </c>
      <c r="G567" s="61" t="str">
        <f>IFERROR(__xludf.DUMMYFUNCTION("INDIRECT(""'收支紀錄'!G""&amp;TO_TEXT(ROW()-$C$72))"),"")</f>
        <v/>
      </c>
      <c r="H567" s="61" t="str">
        <f>IFERROR(__xludf.DUMMYFUNCTION("INDIRECT(""'收支紀錄'!H""&amp;TO_TEXT(ROW()-$C$72))"),"行車交通")</f>
        <v>行車交通</v>
      </c>
      <c r="I567" s="61" t="str">
        <f>IFERROR(__xludf.DUMMYFUNCTION("INDIRECT(""'收支紀錄'!I""&amp;TO_TEXT(ROW()-$C$72))"),"")</f>
        <v/>
      </c>
      <c r="J567" s="61" t="str">
        <f>IFERROR(__xludf.DUMMYFUNCTION("INDIRECT(""'收支紀錄'!J""&amp;TO_TEXT(ROW()-$C$72))"),"")</f>
        <v/>
      </c>
      <c r="K567" s="61" t="str">
        <f>IFERROR(__xludf.DUMMYFUNCTION("INDIRECT(""'收支紀錄'!K""&amp;TO_TEXT(ROW()-$C$72))"),"")</f>
        <v/>
      </c>
      <c r="L567" s="61" t="str">
        <f>IFERROR(__xludf.DUMMYFUNCTION("INDIRECT(""'收支紀錄'!L""&amp;TO_TEXT(ROW()-$C$72))"),"加油")</f>
        <v>加油</v>
      </c>
      <c r="M567" s="61" t="str">
        <f>IFERROR(__xludf.DUMMYFUNCTION("INDIRECT(""'收支紀錄'!M""&amp;TO_TEXT(ROW()-$C$72))"),"")</f>
        <v/>
      </c>
      <c r="N567" s="61" t="str">
        <f>IFERROR(__xludf.DUMMYFUNCTION("INDIRECT(""'收支紀錄'!N""&amp;TO_TEXT(ROW()-$C$72))"),"")</f>
        <v/>
      </c>
      <c r="O567" s="61" t="str">
        <f>IFERROR(__xludf.DUMMYFUNCTION("INDIRECT(""'收支紀錄'!O""&amp;TO_TEXT(ROW()-$C$72))"),"")</f>
        <v/>
      </c>
      <c r="P567" s="61" t="str">
        <f>IFERROR(__xludf.DUMMYFUNCTION("INDIRECT(""'收支紀錄'!P""&amp;TO_TEXT(ROW()-$C$72))"),"")</f>
        <v/>
      </c>
      <c r="Q567" s="61" t="str">
        <f>IFERROR(__xludf.DUMMYFUNCTION("INDIRECT(""'收支紀錄'!Q""&amp;TO_TEXT(ROW()-$C$72))"),"")</f>
        <v/>
      </c>
      <c r="R567" s="61" t="str">
        <f>IFERROR(__xludf.DUMMYFUNCTION("INDIRECT(""'收支紀錄'!R""&amp;TO_TEXT(ROW()-$C$72))"),"")</f>
        <v/>
      </c>
      <c r="S567" s="61" t="str">
        <f>IFERROR(__xludf.DUMMYFUNCTION("INDIRECT(""'收支紀錄'!S""&amp;TO_TEXT(ROW()-$C$72))"),"")</f>
        <v/>
      </c>
      <c r="T567" s="61" t="str">
        <f>IFERROR(__xludf.DUMMYFUNCTION("INDIRECT(""'收支紀錄'!T""&amp;TO_TEXT(ROW()-$C$72))"),"")</f>
        <v/>
      </c>
      <c r="U567" s="62" t="str">
        <f>IFERROR(__xludf.DUMMYFUNCTION("IF(T567=""是"",TEXTJOIN("""", TRUE, ""$"", TO_TEXT(C567), S567),"""")"),"")</f>
        <v/>
      </c>
    </row>
    <row r="568">
      <c r="A568" s="58">
        <f>IFERROR(__xludf.DUMMYFUNCTION("INDIRECT(""'收支紀錄'!A""&amp;TO_TEXT(ROW()-$C$72))"),45663.64214128473)</f>
        <v>45663.64214</v>
      </c>
      <c r="B568" s="59">
        <f>IFERROR(__xludf.DUMMYFUNCTION("IF(ISBLANK(D568), """", IF(ISDATE(D568), D568, IF(D568=""今天"", A568, IF(D568=""昨天 (-1 day)"", A568-1, IF(D568=""前天 (-2 days)"", A568-2, IF(D568=""明天 (+1 day)"", A568+1, DATE(LEFT(D568,4), MID(D568,5,2), RIGHT(D568,2))))))))"),45663.64214128473)</f>
        <v>45663.64214</v>
      </c>
      <c r="C568" s="60">
        <f>IFERROR(__xludf.DUMMYFUNCTION("INDIRECT(""'收支紀錄'!C""&amp;TO_TEXT(ROW()-$C$72))"),200.0)</f>
        <v>200</v>
      </c>
      <c r="D568" s="63" t="str">
        <f>IFERROR(__xludf.DUMMYFUNCTION("INDIRECT(""'收支紀錄'!D""&amp;TO_TEXT(ROW()-$C$72))"),"今天")</f>
        <v>今天</v>
      </c>
      <c r="E568" s="61" t="str">
        <f>IFERROR(__xludf.DUMMYFUNCTION("INDIRECT(""'收支紀錄'!E""&amp;TO_TEXT(ROW()-$C$72))"),"")</f>
        <v/>
      </c>
      <c r="F568" s="61" t="str">
        <f>IFERROR(__xludf.DUMMYFUNCTION("INDIRECT(""'收支紀錄'!F""&amp;TO_TEXT(ROW()-$C$72))"),"")</f>
        <v/>
      </c>
      <c r="G568" s="61" t="str">
        <f>IFERROR(__xludf.DUMMYFUNCTION("INDIRECT(""'收支紀錄'!G""&amp;TO_TEXT(ROW()-$C$72))"),"")</f>
        <v/>
      </c>
      <c r="H568" s="61" t="str">
        <f>IFERROR(__xludf.DUMMYFUNCTION("INDIRECT(""'收支紀錄'!H""&amp;TO_TEXT(ROW()-$C$72))"),"醫療費用")</f>
        <v>醫療費用</v>
      </c>
      <c r="I568" s="61" t="str">
        <f>IFERROR(__xludf.DUMMYFUNCTION("INDIRECT(""'收支紀錄'!I""&amp;TO_TEXT(ROW()-$C$72))"),"")</f>
        <v/>
      </c>
      <c r="J568" s="61" t="str">
        <f>IFERROR(__xludf.DUMMYFUNCTION("INDIRECT(""'收支紀錄'!J""&amp;TO_TEXT(ROW()-$C$72))"),"")</f>
        <v/>
      </c>
      <c r="K568" s="61" t="str">
        <f>IFERROR(__xludf.DUMMYFUNCTION("INDIRECT(""'收支紀錄'!K""&amp;TO_TEXT(ROW()-$C$72))"),"")</f>
        <v/>
      </c>
      <c r="L568" s="61" t="str">
        <f>IFERROR(__xludf.DUMMYFUNCTION("INDIRECT(""'收支紀錄'!L""&amp;TO_TEXT(ROW()-$C$72))"),"")</f>
        <v/>
      </c>
      <c r="M568" s="61" t="str">
        <f>IFERROR(__xludf.DUMMYFUNCTION("INDIRECT(""'收支紀錄'!M""&amp;TO_TEXT(ROW()-$C$72))"),"")</f>
        <v/>
      </c>
      <c r="N568" s="61" t="str">
        <f>IFERROR(__xludf.DUMMYFUNCTION("INDIRECT(""'收支紀錄'!N""&amp;TO_TEXT(ROW()-$C$72))"),"")</f>
        <v/>
      </c>
      <c r="O568" s="61" t="str">
        <f>IFERROR(__xludf.DUMMYFUNCTION("INDIRECT(""'收支紀錄'!O""&amp;TO_TEXT(ROW()-$C$72))"),"生病醫療")</f>
        <v>生病醫療</v>
      </c>
      <c r="P568" s="61" t="str">
        <f>IFERROR(__xludf.DUMMYFUNCTION("INDIRECT(""'收支紀錄'!P""&amp;TO_TEXT(ROW()-$C$72))"),"")</f>
        <v/>
      </c>
      <c r="Q568" s="61" t="str">
        <f>IFERROR(__xludf.DUMMYFUNCTION("INDIRECT(""'收支紀錄'!Q""&amp;TO_TEXT(ROW()-$C$72))"),"")</f>
        <v/>
      </c>
      <c r="R568" s="61" t="str">
        <f>IFERROR(__xludf.DUMMYFUNCTION("INDIRECT(""'收支紀錄'!R""&amp;TO_TEXT(ROW()-$C$72))"),"")</f>
        <v/>
      </c>
      <c r="S568" s="61" t="str">
        <f>IFERROR(__xludf.DUMMYFUNCTION("INDIRECT(""'收支紀錄'!S""&amp;TO_TEXT(ROW()-$C$72))"),"")</f>
        <v/>
      </c>
      <c r="T568" s="61" t="str">
        <f>IFERROR(__xludf.DUMMYFUNCTION("INDIRECT(""'收支紀錄'!T""&amp;TO_TEXT(ROW()-$C$72))"),"")</f>
        <v/>
      </c>
      <c r="U568" s="62" t="str">
        <f>IFERROR(__xludf.DUMMYFUNCTION("IF(T568=""是"",TEXTJOIN("""", TRUE, ""$"", TO_TEXT(C568), S568),"""")"),"")</f>
        <v/>
      </c>
    </row>
    <row r="569">
      <c r="A569" s="58">
        <f>IFERROR(__xludf.DUMMYFUNCTION("INDIRECT(""'收支紀錄'!A""&amp;TO_TEXT(ROW()-$C$72))"),45663.646184467594)</f>
        <v>45663.64618</v>
      </c>
      <c r="B569" s="59">
        <f>IFERROR(__xludf.DUMMYFUNCTION("IF(ISBLANK(D569), """", IF(ISDATE(D569), D569, IF(D569=""今天"", A569, IF(D569=""昨天 (-1 day)"", A569-1, IF(D569=""前天 (-2 days)"", A569-2, IF(D569=""明天 (+1 day)"", A569+1, DATE(LEFT(D569,4), MID(D569,5,2), RIGHT(D569,2))))))))"),45663.646184467594)</f>
        <v>45663.64618</v>
      </c>
      <c r="C569" s="60">
        <f>IFERROR(__xludf.DUMMYFUNCTION("INDIRECT(""'收支紀錄'!C""&amp;TO_TEXT(ROW()-$C$72))"),7802.0)</f>
        <v>7802</v>
      </c>
      <c r="D569" s="63" t="str">
        <f>IFERROR(__xludf.DUMMYFUNCTION("INDIRECT(""'收支紀錄'!D""&amp;TO_TEXT(ROW()-$C$72))"),"今天")</f>
        <v>今天</v>
      </c>
      <c r="E569" s="61" t="str">
        <f>IFERROR(__xludf.DUMMYFUNCTION("INDIRECT(""'收支紀錄'!E""&amp;TO_TEXT(ROW()-$C$72))"),"")</f>
        <v/>
      </c>
      <c r="F569" s="61" t="str">
        <f>IFERROR(__xludf.DUMMYFUNCTION("INDIRECT(""'收支紀錄'!F""&amp;TO_TEXT(ROW()-$C$72))"),"")</f>
        <v/>
      </c>
      <c r="G569" s="61" t="str">
        <f>IFERROR(__xludf.DUMMYFUNCTION("INDIRECT(""'收支紀錄'!G""&amp;TO_TEXT(ROW()-$C$72))"),"")</f>
        <v/>
      </c>
      <c r="H569" s="61" t="str">
        <f>IFERROR(__xludf.DUMMYFUNCTION("INDIRECT(""'收支紀錄'!H""&amp;TO_TEXT(ROW()-$C$72))"),"房屋支出")</f>
        <v>房屋支出</v>
      </c>
      <c r="I569" s="61" t="str">
        <f>IFERROR(__xludf.DUMMYFUNCTION("INDIRECT(""'收支紀錄'!I""&amp;TO_TEXT(ROW()-$C$72))"),"")</f>
        <v/>
      </c>
      <c r="J569" s="61" t="str">
        <f>IFERROR(__xludf.DUMMYFUNCTION("INDIRECT(""'收支紀錄'!J""&amp;TO_TEXT(ROW()-$C$72))"),"")</f>
        <v/>
      </c>
      <c r="K569" s="61" t="str">
        <f>IFERROR(__xludf.DUMMYFUNCTION("INDIRECT(""'收支紀錄'!K""&amp;TO_TEXT(ROW()-$C$72))"),"管理費")</f>
        <v>管理費</v>
      </c>
      <c r="L569" s="61" t="str">
        <f>IFERROR(__xludf.DUMMYFUNCTION("INDIRECT(""'收支紀錄'!L""&amp;TO_TEXT(ROW()-$C$72))"),"")</f>
        <v/>
      </c>
      <c r="M569" s="61" t="str">
        <f>IFERROR(__xludf.DUMMYFUNCTION("INDIRECT(""'收支紀錄'!M""&amp;TO_TEXT(ROW()-$C$72))"),"")</f>
        <v/>
      </c>
      <c r="N569" s="61" t="str">
        <f>IFERROR(__xludf.DUMMYFUNCTION("INDIRECT(""'收支紀錄'!N""&amp;TO_TEXT(ROW()-$C$72))"),"")</f>
        <v/>
      </c>
      <c r="O569" s="61" t="str">
        <f>IFERROR(__xludf.DUMMYFUNCTION("INDIRECT(""'收支紀錄'!O""&amp;TO_TEXT(ROW()-$C$72))"),"")</f>
        <v/>
      </c>
      <c r="P569" s="61" t="str">
        <f>IFERROR(__xludf.DUMMYFUNCTION("INDIRECT(""'收支紀錄'!P""&amp;TO_TEXT(ROW()-$C$72))"),"")</f>
        <v/>
      </c>
      <c r="Q569" s="61" t="str">
        <f>IFERROR(__xludf.DUMMYFUNCTION("INDIRECT(""'收支紀錄'!Q""&amp;TO_TEXT(ROW()-$C$72))"),"")</f>
        <v/>
      </c>
      <c r="R569" s="61" t="str">
        <f>IFERROR(__xludf.DUMMYFUNCTION("INDIRECT(""'收支紀錄'!R""&amp;TO_TEXT(ROW()-$C$72))"),"")</f>
        <v/>
      </c>
      <c r="S569" s="61" t="str">
        <f>IFERROR(__xludf.DUMMYFUNCTION("INDIRECT(""'收支紀錄'!S""&amp;TO_TEXT(ROW()-$C$72))"),"")</f>
        <v/>
      </c>
      <c r="T569" s="61" t="str">
        <f>IFERROR(__xludf.DUMMYFUNCTION("INDIRECT(""'收支紀錄'!T""&amp;TO_TEXT(ROW()-$C$72))"),"")</f>
        <v/>
      </c>
      <c r="U569" s="62" t="str">
        <f>IFERROR(__xludf.DUMMYFUNCTION("IF(T569=""是"",TEXTJOIN("""", TRUE, ""$"", TO_TEXT(C569), S569),"""")"),"")</f>
        <v/>
      </c>
    </row>
    <row r="570">
      <c r="A570" s="58">
        <f>IFERROR(__xludf.DUMMYFUNCTION("INDIRECT(""'收支紀錄'!A""&amp;TO_TEXT(ROW()-$C$72))"),45666.860244421296)</f>
        <v>45666.86024</v>
      </c>
      <c r="B570" s="59">
        <f>IFERROR(__xludf.DUMMYFUNCTION("IF(ISBLANK(D570), """", IF(ISDATE(D570), D570, IF(D570=""今天"", A570, IF(D570=""昨天 (-1 day)"", A570-1, IF(D570=""前天 (-2 days)"", A570-2, IF(D570=""明天 (+1 day)"", A570+1, DATE(LEFT(D570,4), MID(D570,5,2), RIGHT(D570,2))))))))"),45666.860244421296)</f>
        <v>45666.86024</v>
      </c>
      <c r="C570" s="60">
        <f>IFERROR(__xludf.DUMMYFUNCTION("INDIRECT(""'收支紀錄'!C""&amp;TO_TEXT(ROW()-$C$72))"),60.0)</f>
        <v>60</v>
      </c>
      <c r="D570" s="63" t="str">
        <f>IFERROR(__xludf.DUMMYFUNCTION("INDIRECT(""'收支紀錄'!D""&amp;TO_TEXT(ROW()-$C$72))"),"今天")</f>
        <v>今天</v>
      </c>
      <c r="E570" s="61" t="str">
        <f>IFERROR(__xludf.DUMMYFUNCTION("INDIRECT(""'收支紀錄'!E""&amp;TO_TEXT(ROW()-$C$72))"),"")</f>
        <v/>
      </c>
      <c r="F570" s="61" t="str">
        <f>IFERROR(__xludf.DUMMYFUNCTION("INDIRECT(""'收支紀錄'!F""&amp;TO_TEXT(ROW()-$C$72))"),"")</f>
        <v/>
      </c>
      <c r="G570" s="61" t="str">
        <f>IFERROR(__xludf.DUMMYFUNCTION("INDIRECT(""'收支紀錄'!G""&amp;TO_TEXT(ROW()-$C$72))"),"")</f>
        <v/>
      </c>
      <c r="H570" s="61" t="str">
        <f>IFERROR(__xludf.DUMMYFUNCTION("INDIRECT(""'收支紀錄'!H""&amp;TO_TEXT(ROW()-$C$72))"),"日常生活")</f>
        <v>日常生活</v>
      </c>
      <c r="I570" s="61" t="str">
        <f>IFERROR(__xludf.DUMMYFUNCTION("INDIRECT(""'收支紀錄'!I""&amp;TO_TEXT(ROW()-$C$72))"),"")</f>
        <v/>
      </c>
      <c r="J570" s="61" t="str">
        <f>IFERROR(__xludf.DUMMYFUNCTION("INDIRECT(""'收支紀錄'!J""&amp;TO_TEXT(ROW()-$C$72))"),"日常用品")</f>
        <v>日常用品</v>
      </c>
      <c r="K570" s="61" t="str">
        <f>IFERROR(__xludf.DUMMYFUNCTION("INDIRECT(""'收支紀錄'!K""&amp;TO_TEXT(ROW()-$C$72))"),"")</f>
        <v/>
      </c>
      <c r="L570" s="61" t="str">
        <f>IFERROR(__xludf.DUMMYFUNCTION("INDIRECT(""'收支紀錄'!L""&amp;TO_TEXT(ROW()-$C$72))"),"")</f>
        <v/>
      </c>
      <c r="M570" s="61" t="str">
        <f>IFERROR(__xludf.DUMMYFUNCTION("INDIRECT(""'收支紀錄'!M""&amp;TO_TEXT(ROW()-$C$72))"),"")</f>
        <v/>
      </c>
      <c r="N570" s="61" t="str">
        <f>IFERROR(__xludf.DUMMYFUNCTION("INDIRECT(""'收支紀錄'!N""&amp;TO_TEXT(ROW()-$C$72))"),"")</f>
        <v/>
      </c>
      <c r="O570" s="61" t="str">
        <f>IFERROR(__xludf.DUMMYFUNCTION("INDIRECT(""'收支紀錄'!O""&amp;TO_TEXT(ROW()-$C$72))"),"")</f>
        <v/>
      </c>
      <c r="P570" s="61" t="str">
        <f>IFERROR(__xludf.DUMMYFUNCTION("INDIRECT(""'收支紀錄'!P""&amp;TO_TEXT(ROW()-$C$72))"),"")</f>
        <v/>
      </c>
      <c r="Q570" s="61" t="str">
        <f>IFERROR(__xludf.DUMMYFUNCTION("INDIRECT(""'收支紀錄'!Q""&amp;TO_TEXT(ROW()-$C$72))"),"")</f>
        <v/>
      </c>
      <c r="R570" s="61" t="str">
        <f>IFERROR(__xludf.DUMMYFUNCTION("INDIRECT(""'收支紀錄'!R""&amp;TO_TEXT(ROW()-$C$72))"),"")</f>
        <v/>
      </c>
      <c r="S570" s="61" t="str">
        <f>IFERROR(__xludf.DUMMYFUNCTION("INDIRECT(""'收支紀錄'!S""&amp;TO_TEXT(ROW()-$C$72))"),"")</f>
        <v/>
      </c>
      <c r="T570" s="61" t="str">
        <f>IFERROR(__xludf.DUMMYFUNCTION("INDIRECT(""'收支紀錄'!T""&amp;TO_TEXT(ROW()-$C$72))"),"")</f>
        <v/>
      </c>
      <c r="U570" s="62" t="str">
        <f>IFERROR(__xludf.DUMMYFUNCTION("IF(T570=""是"",TEXTJOIN("""", TRUE, ""$"", TO_TEXT(C570), S570),"""")"),"")</f>
        <v/>
      </c>
    </row>
    <row r="571">
      <c r="A571" s="58">
        <f>IFERROR(__xludf.DUMMYFUNCTION("INDIRECT(""'收支紀錄'!A""&amp;TO_TEXT(ROW()-$C$72))"),45667.933702696755)</f>
        <v>45667.9337</v>
      </c>
      <c r="B571" s="59">
        <f>IFERROR(__xludf.DUMMYFUNCTION("IF(ISBLANK(D571), """", IF(ISDATE(D571), D571, IF(D571=""今天"", A571, IF(D571=""昨天 (-1 day)"", A571-1, IF(D571=""前天 (-2 days)"", A571-2, IF(D571=""明天 (+1 day)"", A571+1, DATE(LEFT(D571,4), MID(D571,5,2), RIGHT(D571,2))))))))"),45667.933702696755)</f>
        <v>45667.9337</v>
      </c>
      <c r="C571" s="60">
        <f>IFERROR(__xludf.DUMMYFUNCTION("INDIRECT(""'收支紀錄'!C""&amp;TO_TEXT(ROW()-$C$72))"),130.0)</f>
        <v>130</v>
      </c>
      <c r="D571" s="63" t="str">
        <f>IFERROR(__xludf.DUMMYFUNCTION("INDIRECT(""'收支紀錄'!D""&amp;TO_TEXT(ROW()-$C$72))"),"今天")</f>
        <v>今天</v>
      </c>
      <c r="E571" s="61" t="str">
        <f>IFERROR(__xludf.DUMMYFUNCTION("INDIRECT(""'收支紀錄'!E""&amp;TO_TEXT(ROW()-$C$72))"),"")</f>
        <v/>
      </c>
      <c r="F571" s="61" t="str">
        <f>IFERROR(__xludf.DUMMYFUNCTION("INDIRECT(""'收支紀錄'!F""&amp;TO_TEXT(ROW()-$C$72))"),"")</f>
        <v/>
      </c>
      <c r="G571" s="61" t="str">
        <f>IFERROR(__xludf.DUMMYFUNCTION("INDIRECT(""'收支紀錄'!G""&amp;TO_TEXT(ROW()-$C$72))"),"")</f>
        <v/>
      </c>
      <c r="H571" s="61" t="str">
        <f>IFERROR(__xludf.DUMMYFUNCTION("INDIRECT(""'收支紀錄'!H""&amp;TO_TEXT(ROW()-$C$72))"),"食品酒水")</f>
        <v>食品酒水</v>
      </c>
      <c r="I571" s="61" t="str">
        <f>IFERROR(__xludf.DUMMYFUNCTION("INDIRECT(""'收支紀錄'!I""&amp;TO_TEXT(ROW()-$C$72))"),"晚餐")</f>
        <v>晚餐</v>
      </c>
      <c r="J571" s="61" t="str">
        <f>IFERROR(__xludf.DUMMYFUNCTION("INDIRECT(""'收支紀錄'!J""&amp;TO_TEXT(ROW()-$C$72))"),"")</f>
        <v/>
      </c>
      <c r="K571" s="61" t="str">
        <f>IFERROR(__xludf.DUMMYFUNCTION("INDIRECT(""'收支紀錄'!K""&amp;TO_TEXT(ROW()-$C$72))"),"")</f>
        <v/>
      </c>
      <c r="L571" s="61" t="str">
        <f>IFERROR(__xludf.DUMMYFUNCTION("INDIRECT(""'收支紀錄'!L""&amp;TO_TEXT(ROW()-$C$72))"),"")</f>
        <v/>
      </c>
      <c r="M571" s="61" t="str">
        <f>IFERROR(__xludf.DUMMYFUNCTION("INDIRECT(""'收支紀錄'!M""&amp;TO_TEXT(ROW()-$C$72))"),"")</f>
        <v/>
      </c>
      <c r="N571" s="61" t="str">
        <f>IFERROR(__xludf.DUMMYFUNCTION("INDIRECT(""'收支紀錄'!N""&amp;TO_TEXT(ROW()-$C$72))"),"")</f>
        <v/>
      </c>
      <c r="O571" s="61" t="str">
        <f>IFERROR(__xludf.DUMMYFUNCTION("INDIRECT(""'收支紀錄'!O""&amp;TO_TEXT(ROW()-$C$72))"),"")</f>
        <v/>
      </c>
      <c r="P571" s="61" t="str">
        <f>IFERROR(__xludf.DUMMYFUNCTION("INDIRECT(""'收支紀錄'!P""&amp;TO_TEXT(ROW()-$C$72))"),"")</f>
        <v/>
      </c>
      <c r="Q571" s="61" t="str">
        <f>IFERROR(__xludf.DUMMYFUNCTION("INDIRECT(""'收支紀錄'!Q""&amp;TO_TEXT(ROW()-$C$72))"),"")</f>
        <v/>
      </c>
      <c r="R571" s="61" t="str">
        <f>IFERROR(__xludf.DUMMYFUNCTION("INDIRECT(""'收支紀錄'!R""&amp;TO_TEXT(ROW()-$C$72))"),"")</f>
        <v/>
      </c>
      <c r="S571" s="61" t="str">
        <f>IFERROR(__xludf.DUMMYFUNCTION("INDIRECT(""'收支紀錄'!S""&amp;TO_TEXT(ROW()-$C$72))"),"")</f>
        <v/>
      </c>
      <c r="T571" s="61" t="str">
        <f>IFERROR(__xludf.DUMMYFUNCTION("INDIRECT(""'收支紀錄'!T""&amp;TO_TEXT(ROW()-$C$72))"),"")</f>
        <v/>
      </c>
      <c r="U571" s="62" t="str">
        <f>IFERROR(__xludf.DUMMYFUNCTION("IF(T571=""是"",TEXTJOIN("""", TRUE, ""$"", TO_TEXT(C571), S571),"""")"),"")</f>
        <v/>
      </c>
    </row>
    <row r="572">
      <c r="A572" s="58">
        <f>IFERROR(__xludf.DUMMYFUNCTION("INDIRECT(""'收支紀錄'!A""&amp;TO_TEXT(ROW()-$C$72))"),45667.93454884259)</f>
        <v>45667.93455</v>
      </c>
      <c r="B572" s="59">
        <f>IFERROR(__xludf.DUMMYFUNCTION("IF(ISBLANK(D572), """", IF(ISDATE(D572), D572, IF(D572=""今天"", A572, IF(D572=""昨天 (-1 day)"", A572-1, IF(D572=""前天 (-2 days)"", A572-2, IF(D572=""明天 (+1 day)"", A572+1, DATE(LEFT(D572,4), MID(D572,5,2), RIGHT(D572,2))))))))"),45663.0)</f>
        <v>45663</v>
      </c>
      <c r="C572" s="60">
        <f>IFERROR(__xludf.DUMMYFUNCTION("INDIRECT(""'收支紀錄'!C""&amp;TO_TEXT(ROW()-$C$72))"),699.0)</f>
        <v>699</v>
      </c>
      <c r="D572" s="63">
        <f>IFERROR(__xludf.DUMMYFUNCTION("INDIRECT(""'收支紀錄'!D""&amp;TO_TEXT(ROW()-$C$72))"),2.0250106E7)</f>
        <v>20250106</v>
      </c>
      <c r="E572" s="61" t="str">
        <f>IFERROR(__xludf.DUMMYFUNCTION("INDIRECT(""'收支紀錄'!E""&amp;TO_TEXT(ROW()-$C$72))"),"")</f>
        <v/>
      </c>
      <c r="F572" s="61" t="str">
        <f>IFERROR(__xludf.DUMMYFUNCTION("INDIRECT(""'收支紀錄'!F""&amp;TO_TEXT(ROW()-$C$72))"),"")</f>
        <v/>
      </c>
      <c r="G572" s="61" t="str">
        <f>IFERROR(__xludf.DUMMYFUNCTION("INDIRECT(""'收支紀錄'!G""&amp;TO_TEXT(ROW()-$C$72))"),"")</f>
        <v/>
      </c>
      <c r="H572" s="61" t="str">
        <f>IFERROR(__xludf.DUMMYFUNCTION("INDIRECT(""'收支紀錄'!H""&amp;TO_TEXT(ROW()-$C$72))"),"行車交通")</f>
        <v>行車交通</v>
      </c>
      <c r="I572" s="61" t="str">
        <f>IFERROR(__xludf.DUMMYFUNCTION("INDIRECT(""'收支紀錄'!I""&amp;TO_TEXT(ROW()-$C$72))"),"")</f>
        <v/>
      </c>
      <c r="J572" s="61" t="str">
        <f>IFERROR(__xludf.DUMMYFUNCTION("INDIRECT(""'收支紀錄'!J""&amp;TO_TEXT(ROW()-$C$72))"),"")</f>
        <v/>
      </c>
      <c r="K572" s="61" t="str">
        <f>IFERROR(__xludf.DUMMYFUNCTION("INDIRECT(""'收支紀錄'!K""&amp;TO_TEXT(ROW()-$C$72))"),"")</f>
        <v/>
      </c>
      <c r="L572" s="61" t="str">
        <f>IFERROR(__xludf.DUMMYFUNCTION("INDIRECT(""'收支紀錄'!L""&amp;TO_TEXT(ROW()-$C$72))"),"火車費")</f>
        <v>火車費</v>
      </c>
      <c r="M572" s="61" t="str">
        <f>IFERROR(__xludf.DUMMYFUNCTION("INDIRECT(""'收支紀錄'!M""&amp;TO_TEXT(ROW()-$C$72))"),"")</f>
        <v/>
      </c>
      <c r="N572" s="61" t="str">
        <f>IFERROR(__xludf.DUMMYFUNCTION("INDIRECT(""'收支紀錄'!N""&amp;TO_TEXT(ROW()-$C$72))"),"")</f>
        <v/>
      </c>
      <c r="O572" s="61" t="str">
        <f>IFERROR(__xludf.DUMMYFUNCTION("INDIRECT(""'收支紀錄'!O""&amp;TO_TEXT(ROW()-$C$72))"),"")</f>
        <v/>
      </c>
      <c r="P572" s="61" t="str">
        <f>IFERROR(__xludf.DUMMYFUNCTION("INDIRECT(""'收支紀錄'!P""&amp;TO_TEXT(ROW()-$C$72))"),"")</f>
        <v/>
      </c>
      <c r="Q572" s="61" t="str">
        <f>IFERROR(__xludf.DUMMYFUNCTION("INDIRECT(""'收支紀錄'!Q""&amp;TO_TEXT(ROW()-$C$72))"),"")</f>
        <v/>
      </c>
      <c r="R572" s="61" t="str">
        <f>IFERROR(__xludf.DUMMYFUNCTION("INDIRECT(""'收支紀錄'!R""&amp;TO_TEXT(ROW()-$C$72))"),"")</f>
        <v/>
      </c>
      <c r="S572" s="61" t="str">
        <f>IFERROR(__xludf.DUMMYFUNCTION("INDIRECT(""'收支紀錄'!S""&amp;TO_TEXT(ROW()-$C$72))"),"TPASS")</f>
        <v>TPASS</v>
      </c>
      <c r="T572" s="61" t="str">
        <f>IFERROR(__xludf.DUMMYFUNCTION("INDIRECT(""'收支紀錄'!T""&amp;TO_TEXT(ROW()-$C$72))"),"")</f>
        <v/>
      </c>
      <c r="U572" s="62" t="str">
        <f>IFERROR(__xludf.DUMMYFUNCTION("IF(T572=""是"",TEXTJOIN("""", TRUE, ""$"", TO_TEXT(C572), S572),"""")"),"")</f>
        <v/>
      </c>
    </row>
    <row r="573">
      <c r="A573" s="58">
        <f>IFERROR(__xludf.DUMMYFUNCTION("INDIRECT(""'收支紀錄'!A""&amp;TO_TEXT(ROW()-$C$72))"),45668.33243177083)</f>
        <v>45668.33243</v>
      </c>
      <c r="B573" s="59">
        <f>IFERROR(__xludf.DUMMYFUNCTION("IF(ISBLANK(D573), """", IF(ISDATE(D573), D573, IF(D573=""今天"", A573, IF(D573=""昨天 (-1 day)"", A573-1, IF(D573=""前天 (-2 days)"", A573-2, IF(D573=""明天 (+1 day)"", A573+1, DATE(LEFT(D573,4), MID(D573,5,2), RIGHT(D573,2))))))))"),45668.33243177083)</f>
        <v>45668.33243</v>
      </c>
      <c r="C573" s="60">
        <f>IFERROR(__xludf.DUMMYFUNCTION("INDIRECT(""'收支紀錄'!C""&amp;TO_TEXT(ROW()-$C$72))"),126.0)</f>
        <v>126</v>
      </c>
      <c r="D573" s="63" t="str">
        <f>IFERROR(__xludf.DUMMYFUNCTION("INDIRECT(""'收支紀錄'!D""&amp;TO_TEXT(ROW()-$C$72))"),"今天")</f>
        <v>今天</v>
      </c>
      <c r="E573" s="61" t="str">
        <f>IFERROR(__xludf.DUMMYFUNCTION("INDIRECT(""'收支紀錄'!E""&amp;TO_TEXT(ROW()-$C$72))"),"")</f>
        <v/>
      </c>
      <c r="F573" s="61" t="str">
        <f>IFERROR(__xludf.DUMMYFUNCTION("INDIRECT(""'收支紀錄'!F""&amp;TO_TEXT(ROW()-$C$72))"),"")</f>
        <v/>
      </c>
      <c r="G573" s="61" t="str">
        <f>IFERROR(__xludf.DUMMYFUNCTION("INDIRECT(""'收支紀錄'!G""&amp;TO_TEXT(ROW()-$C$72))"),"")</f>
        <v/>
      </c>
      <c r="H573" s="61" t="str">
        <f>IFERROR(__xludf.DUMMYFUNCTION("INDIRECT(""'收支紀錄'!H""&amp;TO_TEXT(ROW()-$C$72))"),"行車交通")</f>
        <v>行車交通</v>
      </c>
      <c r="I573" s="61" t="str">
        <f>IFERROR(__xludf.DUMMYFUNCTION("INDIRECT(""'收支紀錄'!I""&amp;TO_TEXT(ROW()-$C$72))"),"")</f>
        <v/>
      </c>
      <c r="J573" s="61" t="str">
        <f>IFERROR(__xludf.DUMMYFUNCTION("INDIRECT(""'收支紀錄'!J""&amp;TO_TEXT(ROW()-$C$72))"),"")</f>
        <v/>
      </c>
      <c r="K573" s="61" t="str">
        <f>IFERROR(__xludf.DUMMYFUNCTION("INDIRECT(""'收支紀錄'!K""&amp;TO_TEXT(ROW()-$C$72))"),"")</f>
        <v/>
      </c>
      <c r="L573" s="61" t="str">
        <f>IFERROR(__xludf.DUMMYFUNCTION("INDIRECT(""'收支紀錄'!L""&amp;TO_TEXT(ROW()-$C$72))"),"火車費")</f>
        <v>火車費</v>
      </c>
      <c r="M573" s="61" t="str">
        <f>IFERROR(__xludf.DUMMYFUNCTION("INDIRECT(""'收支紀錄'!M""&amp;TO_TEXT(ROW()-$C$72))"),"")</f>
        <v/>
      </c>
      <c r="N573" s="61" t="str">
        <f>IFERROR(__xludf.DUMMYFUNCTION("INDIRECT(""'收支紀錄'!N""&amp;TO_TEXT(ROW()-$C$72))"),"")</f>
        <v/>
      </c>
      <c r="O573" s="61" t="str">
        <f>IFERROR(__xludf.DUMMYFUNCTION("INDIRECT(""'收支紀錄'!O""&amp;TO_TEXT(ROW()-$C$72))"),"")</f>
        <v/>
      </c>
      <c r="P573" s="61" t="str">
        <f>IFERROR(__xludf.DUMMYFUNCTION("INDIRECT(""'收支紀錄'!P""&amp;TO_TEXT(ROW()-$C$72))"),"")</f>
        <v/>
      </c>
      <c r="Q573" s="61" t="str">
        <f>IFERROR(__xludf.DUMMYFUNCTION("INDIRECT(""'收支紀錄'!Q""&amp;TO_TEXT(ROW()-$C$72))"),"")</f>
        <v/>
      </c>
      <c r="R573" s="61" t="str">
        <f>IFERROR(__xludf.DUMMYFUNCTION("INDIRECT(""'收支紀錄'!R""&amp;TO_TEXT(ROW()-$C$72))"),"")</f>
        <v/>
      </c>
      <c r="S573" s="61" t="str">
        <f>IFERROR(__xludf.DUMMYFUNCTION("INDIRECT(""'收支紀錄'!S""&amp;TO_TEXT(ROW()-$C$72))"),"")</f>
        <v/>
      </c>
      <c r="T573" s="61" t="str">
        <f>IFERROR(__xludf.DUMMYFUNCTION("INDIRECT(""'收支紀錄'!T""&amp;TO_TEXT(ROW()-$C$72))"),"")</f>
        <v/>
      </c>
      <c r="U573" s="62" t="str">
        <f>IFERROR(__xludf.DUMMYFUNCTION("IF(T573=""是"",TEXTJOIN("""", TRUE, ""$"", TO_TEXT(C573), S573),"""")"),"")</f>
        <v/>
      </c>
    </row>
    <row r="574">
      <c r="A574" s="58">
        <f>IFERROR(__xludf.DUMMYFUNCTION("INDIRECT(""'收支紀錄'!A""&amp;TO_TEXT(ROW()-$C$72))"),45668.429031921296)</f>
        <v>45668.42903</v>
      </c>
      <c r="B574" s="59">
        <f>IFERROR(__xludf.DUMMYFUNCTION("IF(ISBLANK(D574), """", IF(ISDATE(D574), D574, IF(D574=""今天"", A574, IF(D574=""昨天 (-1 day)"", A574-1, IF(D574=""前天 (-2 days)"", A574-2, IF(D574=""明天 (+1 day)"", A574+1, DATE(LEFT(D574,4), MID(D574,5,2), RIGHT(D574,2))))))))"),45668.429031921296)</f>
        <v>45668.42903</v>
      </c>
      <c r="C574" s="60">
        <f>IFERROR(__xludf.DUMMYFUNCTION("INDIRECT(""'收支紀錄'!C""&amp;TO_TEXT(ROW()-$C$72))"),230.0)</f>
        <v>230</v>
      </c>
      <c r="D574" s="63" t="str">
        <f>IFERROR(__xludf.DUMMYFUNCTION("INDIRECT(""'收支紀錄'!D""&amp;TO_TEXT(ROW()-$C$72))"),"今天")</f>
        <v>今天</v>
      </c>
      <c r="E574" s="61" t="str">
        <f>IFERROR(__xludf.DUMMYFUNCTION("INDIRECT(""'收支紀錄'!E""&amp;TO_TEXT(ROW()-$C$72))"),"")</f>
        <v/>
      </c>
      <c r="F574" s="61" t="str">
        <f>IFERROR(__xludf.DUMMYFUNCTION("INDIRECT(""'收支紀錄'!F""&amp;TO_TEXT(ROW()-$C$72))"),"")</f>
        <v/>
      </c>
      <c r="G574" s="61" t="str">
        <f>IFERROR(__xludf.DUMMYFUNCTION("INDIRECT(""'收支紀錄'!G""&amp;TO_TEXT(ROW()-$C$72))"),"")</f>
        <v/>
      </c>
      <c r="H574" s="61" t="str">
        <f>IFERROR(__xludf.DUMMYFUNCTION("INDIRECT(""'收支紀錄'!H""&amp;TO_TEXT(ROW()-$C$72))"),"食品酒水")</f>
        <v>食品酒水</v>
      </c>
      <c r="I574" s="61" t="str">
        <f>IFERROR(__xludf.DUMMYFUNCTION("INDIRECT(""'收支紀錄'!I""&amp;TO_TEXT(ROW()-$C$72))"),"早餐")</f>
        <v>早餐</v>
      </c>
      <c r="J574" s="61" t="str">
        <f>IFERROR(__xludf.DUMMYFUNCTION("INDIRECT(""'收支紀錄'!J""&amp;TO_TEXT(ROW()-$C$72))"),"")</f>
        <v/>
      </c>
      <c r="K574" s="61" t="str">
        <f>IFERROR(__xludf.DUMMYFUNCTION("INDIRECT(""'收支紀錄'!K""&amp;TO_TEXT(ROW()-$C$72))"),"")</f>
        <v/>
      </c>
      <c r="L574" s="61" t="str">
        <f>IFERROR(__xludf.DUMMYFUNCTION("INDIRECT(""'收支紀錄'!L""&amp;TO_TEXT(ROW()-$C$72))"),"")</f>
        <v/>
      </c>
      <c r="M574" s="61" t="str">
        <f>IFERROR(__xludf.DUMMYFUNCTION("INDIRECT(""'收支紀錄'!M""&amp;TO_TEXT(ROW()-$C$72))"),"")</f>
        <v/>
      </c>
      <c r="N574" s="61" t="str">
        <f>IFERROR(__xludf.DUMMYFUNCTION("INDIRECT(""'收支紀錄'!N""&amp;TO_TEXT(ROW()-$C$72))"),"")</f>
        <v/>
      </c>
      <c r="O574" s="61" t="str">
        <f>IFERROR(__xludf.DUMMYFUNCTION("INDIRECT(""'收支紀錄'!O""&amp;TO_TEXT(ROW()-$C$72))"),"")</f>
        <v/>
      </c>
      <c r="P574" s="61" t="str">
        <f>IFERROR(__xludf.DUMMYFUNCTION("INDIRECT(""'收支紀錄'!P""&amp;TO_TEXT(ROW()-$C$72))"),"")</f>
        <v/>
      </c>
      <c r="Q574" s="61" t="str">
        <f>IFERROR(__xludf.DUMMYFUNCTION("INDIRECT(""'收支紀錄'!Q""&amp;TO_TEXT(ROW()-$C$72))"),"")</f>
        <v/>
      </c>
      <c r="R574" s="61" t="str">
        <f>IFERROR(__xludf.DUMMYFUNCTION("INDIRECT(""'收支紀錄'!R""&amp;TO_TEXT(ROW()-$C$72))"),"")</f>
        <v/>
      </c>
      <c r="S574" s="61" t="str">
        <f>IFERROR(__xludf.DUMMYFUNCTION("INDIRECT(""'收支紀錄'!S""&amp;TO_TEXT(ROW()-$C$72))"),"")</f>
        <v/>
      </c>
      <c r="T574" s="61" t="str">
        <f>IFERROR(__xludf.DUMMYFUNCTION("INDIRECT(""'收支紀錄'!T""&amp;TO_TEXT(ROW()-$C$72))"),"")</f>
        <v/>
      </c>
      <c r="U574" s="62" t="str">
        <f>IFERROR(__xludf.DUMMYFUNCTION("IF(T574=""是"",TEXTJOIN("""", TRUE, ""$"", TO_TEXT(C574), S574),"""")"),"")</f>
        <v/>
      </c>
    </row>
    <row r="575">
      <c r="A575" s="58">
        <f>IFERROR(__xludf.DUMMYFUNCTION("INDIRECT(""'收支紀錄'!A""&amp;TO_TEXT(ROW()-$C$72))"),45668.43550194445)</f>
        <v>45668.4355</v>
      </c>
      <c r="B575" s="59">
        <f>IFERROR(__xludf.DUMMYFUNCTION("IF(ISBLANK(D575), """", IF(ISDATE(D575), D575, IF(D575=""今天"", A575, IF(D575=""昨天 (-1 day)"", A575-1, IF(D575=""前天 (-2 days)"", A575-2, IF(D575=""明天 (+1 day)"", A575+1, DATE(LEFT(D575,4), MID(D575,5,2), RIGHT(D575,2))))))))"),45668.43550194445)</f>
        <v>45668.4355</v>
      </c>
      <c r="C575" s="60">
        <f>IFERROR(__xludf.DUMMYFUNCTION("INDIRECT(""'收支紀錄'!C""&amp;TO_TEXT(ROW()-$C$72))"),43.0)</f>
        <v>43</v>
      </c>
      <c r="D575" s="63" t="str">
        <f>IFERROR(__xludf.DUMMYFUNCTION("INDIRECT(""'收支紀錄'!D""&amp;TO_TEXT(ROW()-$C$72))"),"今天")</f>
        <v>今天</v>
      </c>
      <c r="E575" s="61" t="str">
        <f>IFERROR(__xludf.DUMMYFUNCTION("INDIRECT(""'收支紀錄'!E""&amp;TO_TEXT(ROW()-$C$72))"),"")</f>
        <v/>
      </c>
      <c r="F575" s="61" t="str">
        <f>IFERROR(__xludf.DUMMYFUNCTION("INDIRECT(""'收支紀錄'!F""&amp;TO_TEXT(ROW()-$C$72))"),"")</f>
        <v/>
      </c>
      <c r="G575" s="61" t="str">
        <f>IFERROR(__xludf.DUMMYFUNCTION("INDIRECT(""'收支紀錄'!G""&amp;TO_TEXT(ROW()-$C$72))"),"")</f>
        <v/>
      </c>
      <c r="H575" s="61" t="str">
        <f>IFERROR(__xludf.DUMMYFUNCTION("INDIRECT(""'收支紀錄'!H""&amp;TO_TEXT(ROW()-$C$72))"),"行車交通")</f>
        <v>行車交通</v>
      </c>
      <c r="I575" s="61" t="str">
        <f>IFERROR(__xludf.DUMMYFUNCTION("INDIRECT(""'收支紀錄'!I""&amp;TO_TEXT(ROW()-$C$72))"),"")</f>
        <v/>
      </c>
      <c r="J575" s="61" t="str">
        <f>IFERROR(__xludf.DUMMYFUNCTION("INDIRECT(""'收支紀錄'!J""&amp;TO_TEXT(ROW()-$C$72))"),"")</f>
        <v/>
      </c>
      <c r="K575" s="61" t="str">
        <f>IFERROR(__xludf.DUMMYFUNCTION("INDIRECT(""'收支紀錄'!K""&amp;TO_TEXT(ROW()-$C$72))"),"")</f>
        <v/>
      </c>
      <c r="L575" s="61" t="str">
        <f>IFERROR(__xludf.DUMMYFUNCTION("INDIRECT(""'收支紀錄'!L""&amp;TO_TEXT(ROW()-$C$72))"),"公車")</f>
        <v>公車</v>
      </c>
      <c r="M575" s="61" t="str">
        <f>IFERROR(__xludf.DUMMYFUNCTION("INDIRECT(""'收支紀錄'!M""&amp;TO_TEXT(ROW()-$C$72))"),"")</f>
        <v/>
      </c>
      <c r="N575" s="61" t="str">
        <f>IFERROR(__xludf.DUMMYFUNCTION("INDIRECT(""'收支紀錄'!N""&amp;TO_TEXT(ROW()-$C$72))"),"")</f>
        <v/>
      </c>
      <c r="O575" s="61" t="str">
        <f>IFERROR(__xludf.DUMMYFUNCTION("INDIRECT(""'收支紀錄'!O""&amp;TO_TEXT(ROW()-$C$72))"),"")</f>
        <v/>
      </c>
      <c r="P575" s="61" t="str">
        <f>IFERROR(__xludf.DUMMYFUNCTION("INDIRECT(""'收支紀錄'!P""&amp;TO_TEXT(ROW()-$C$72))"),"")</f>
        <v/>
      </c>
      <c r="Q575" s="61" t="str">
        <f>IFERROR(__xludf.DUMMYFUNCTION("INDIRECT(""'收支紀錄'!Q""&amp;TO_TEXT(ROW()-$C$72))"),"")</f>
        <v/>
      </c>
      <c r="R575" s="61" t="str">
        <f>IFERROR(__xludf.DUMMYFUNCTION("INDIRECT(""'收支紀錄'!R""&amp;TO_TEXT(ROW()-$C$72))"),"")</f>
        <v/>
      </c>
      <c r="S575" s="61" t="str">
        <f>IFERROR(__xludf.DUMMYFUNCTION("INDIRECT(""'收支紀錄'!S""&amp;TO_TEXT(ROW()-$C$72))"),"")</f>
        <v/>
      </c>
      <c r="T575" s="61" t="str">
        <f>IFERROR(__xludf.DUMMYFUNCTION("INDIRECT(""'收支紀錄'!T""&amp;TO_TEXT(ROW()-$C$72))"),"")</f>
        <v/>
      </c>
      <c r="U575" s="62" t="str">
        <f>IFERROR(__xludf.DUMMYFUNCTION("IF(T575=""是"",TEXTJOIN("""", TRUE, ""$"", TO_TEXT(C575), S575),"""")"),"")</f>
        <v/>
      </c>
    </row>
    <row r="576">
      <c r="A576" s="58">
        <f>IFERROR(__xludf.DUMMYFUNCTION("INDIRECT(""'收支紀錄'!A""&amp;TO_TEXT(ROW()-$C$72))"),45668.70297960648)</f>
        <v>45668.70298</v>
      </c>
      <c r="B576" s="59">
        <f>IFERROR(__xludf.DUMMYFUNCTION("IF(ISBLANK(D576), """", IF(ISDATE(D576), D576, IF(D576=""今天"", A576, IF(D576=""昨天 (-1 day)"", A576-1, IF(D576=""前天 (-2 days)"", A576-2, IF(D576=""明天 (+1 day)"", A576+1, DATE(LEFT(D576,4), MID(D576,5,2), RIGHT(D576,2))))))))"),45668.70297960648)</f>
        <v>45668.70298</v>
      </c>
      <c r="C576" s="60">
        <f>IFERROR(__xludf.DUMMYFUNCTION("INDIRECT(""'收支紀錄'!C""&amp;TO_TEXT(ROW()-$C$72))"),550.0)</f>
        <v>550</v>
      </c>
      <c r="D576" s="63" t="str">
        <f>IFERROR(__xludf.DUMMYFUNCTION("INDIRECT(""'收支紀錄'!D""&amp;TO_TEXT(ROW()-$C$72))"),"今天")</f>
        <v>今天</v>
      </c>
      <c r="E576" s="61" t="str">
        <f>IFERROR(__xludf.DUMMYFUNCTION("INDIRECT(""'收支紀錄'!E""&amp;TO_TEXT(ROW()-$C$72))"),"")</f>
        <v/>
      </c>
      <c r="F576" s="61" t="str">
        <f>IFERROR(__xludf.DUMMYFUNCTION("INDIRECT(""'收支紀錄'!F""&amp;TO_TEXT(ROW()-$C$72))"),"")</f>
        <v/>
      </c>
      <c r="G576" s="61" t="str">
        <f>IFERROR(__xludf.DUMMYFUNCTION("INDIRECT(""'收支紀錄'!G""&amp;TO_TEXT(ROW()-$C$72))"),"")</f>
        <v/>
      </c>
      <c r="H576" s="61" t="str">
        <f>IFERROR(__xludf.DUMMYFUNCTION("INDIRECT(""'收支紀錄'!H""&amp;TO_TEXT(ROW()-$C$72))"),"食品酒水")</f>
        <v>食品酒水</v>
      </c>
      <c r="I576" s="61" t="str">
        <f>IFERROR(__xludf.DUMMYFUNCTION("INDIRECT(""'收支紀錄'!I""&amp;TO_TEXT(ROW()-$C$72))"),"午餐")</f>
        <v>午餐</v>
      </c>
      <c r="J576" s="61" t="str">
        <f>IFERROR(__xludf.DUMMYFUNCTION("INDIRECT(""'收支紀錄'!J""&amp;TO_TEXT(ROW()-$C$72))"),"")</f>
        <v/>
      </c>
      <c r="K576" s="61" t="str">
        <f>IFERROR(__xludf.DUMMYFUNCTION("INDIRECT(""'收支紀錄'!K""&amp;TO_TEXT(ROW()-$C$72))"),"")</f>
        <v/>
      </c>
      <c r="L576" s="61" t="str">
        <f>IFERROR(__xludf.DUMMYFUNCTION("INDIRECT(""'收支紀錄'!L""&amp;TO_TEXT(ROW()-$C$72))"),"")</f>
        <v/>
      </c>
      <c r="M576" s="61" t="str">
        <f>IFERROR(__xludf.DUMMYFUNCTION("INDIRECT(""'收支紀錄'!M""&amp;TO_TEXT(ROW()-$C$72))"),"")</f>
        <v/>
      </c>
      <c r="N576" s="61" t="str">
        <f>IFERROR(__xludf.DUMMYFUNCTION("INDIRECT(""'收支紀錄'!N""&amp;TO_TEXT(ROW()-$C$72))"),"")</f>
        <v/>
      </c>
      <c r="O576" s="61" t="str">
        <f>IFERROR(__xludf.DUMMYFUNCTION("INDIRECT(""'收支紀錄'!O""&amp;TO_TEXT(ROW()-$C$72))"),"")</f>
        <v/>
      </c>
      <c r="P576" s="61" t="str">
        <f>IFERROR(__xludf.DUMMYFUNCTION("INDIRECT(""'收支紀錄'!P""&amp;TO_TEXT(ROW()-$C$72))"),"")</f>
        <v/>
      </c>
      <c r="Q576" s="61" t="str">
        <f>IFERROR(__xludf.DUMMYFUNCTION("INDIRECT(""'收支紀錄'!Q""&amp;TO_TEXT(ROW()-$C$72))"),"")</f>
        <v/>
      </c>
      <c r="R576" s="61" t="str">
        <f>IFERROR(__xludf.DUMMYFUNCTION("INDIRECT(""'收支紀錄'!R""&amp;TO_TEXT(ROW()-$C$72))"),"")</f>
        <v/>
      </c>
      <c r="S576" s="61" t="str">
        <f>IFERROR(__xludf.DUMMYFUNCTION("INDIRECT(""'收支紀錄'!S""&amp;TO_TEXT(ROW()-$C$72))"),"")</f>
        <v/>
      </c>
      <c r="T576" s="61" t="str">
        <f>IFERROR(__xludf.DUMMYFUNCTION("INDIRECT(""'收支紀錄'!T""&amp;TO_TEXT(ROW()-$C$72))"),"")</f>
        <v/>
      </c>
      <c r="U576" s="62" t="str">
        <f>IFERROR(__xludf.DUMMYFUNCTION("IF(T576=""是"",TEXTJOIN("""", TRUE, ""$"", TO_TEXT(C576), S576),"""")"),"")</f>
        <v/>
      </c>
    </row>
    <row r="577">
      <c r="A577" s="58">
        <f>IFERROR(__xludf.DUMMYFUNCTION("INDIRECT(""'收支紀錄'!A""&amp;TO_TEXT(ROW()-$C$72))"),45668.70336569444)</f>
        <v>45668.70337</v>
      </c>
      <c r="B577" s="59">
        <f>IFERROR(__xludf.DUMMYFUNCTION("IF(ISBLANK(D577), """", IF(ISDATE(D577), D577, IF(D577=""今天"", A577, IF(D577=""昨天 (-1 day)"", A577-1, IF(D577=""前天 (-2 days)"", A577-2, IF(D577=""明天 (+1 day)"", A577+1, DATE(LEFT(D577,4), MID(D577,5,2), RIGHT(D577,2))))))))"),45668.70336569444)</f>
        <v>45668.70337</v>
      </c>
      <c r="C577" s="60">
        <f>IFERROR(__xludf.DUMMYFUNCTION("INDIRECT(""'收支紀錄'!C""&amp;TO_TEXT(ROW()-$C$72))"),650.0)</f>
        <v>650</v>
      </c>
      <c r="D577" s="63" t="str">
        <f>IFERROR(__xludf.DUMMYFUNCTION("INDIRECT(""'收支紀錄'!D""&amp;TO_TEXT(ROW()-$C$72))"),"今天")</f>
        <v>今天</v>
      </c>
      <c r="E577" s="61" t="str">
        <f>IFERROR(__xludf.DUMMYFUNCTION("INDIRECT(""'收支紀錄'!E""&amp;TO_TEXT(ROW()-$C$72))"),"")</f>
        <v/>
      </c>
      <c r="F577" s="61" t="str">
        <f>IFERROR(__xludf.DUMMYFUNCTION("INDIRECT(""'收支紀錄'!F""&amp;TO_TEXT(ROW()-$C$72))"),"")</f>
        <v/>
      </c>
      <c r="G577" s="61" t="str">
        <f>IFERROR(__xludf.DUMMYFUNCTION("INDIRECT(""'收支紀錄'!G""&amp;TO_TEXT(ROW()-$C$72))"),"")</f>
        <v/>
      </c>
      <c r="H577" s="61" t="str">
        <f>IFERROR(__xludf.DUMMYFUNCTION("INDIRECT(""'收支紀錄'!H""&amp;TO_TEXT(ROW()-$C$72))"),"休閒娛樂")</f>
        <v>休閒娛樂</v>
      </c>
      <c r="I577" s="61" t="str">
        <f>IFERROR(__xludf.DUMMYFUNCTION("INDIRECT(""'收支紀錄'!I""&amp;TO_TEXT(ROW()-$C$72))"),"")</f>
        <v/>
      </c>
      <c r="J577" s="61" t="str">
        <f>IFERROR(__xludf.DUMMYFUNCTION("INDIRECT(""'收支紀錄'!J""&amp;TO_TEXT(ROW()-$C$72))"),"")</f>
        <v/>
      </c>
      <c r="K577" s="61" t="str">
        <f>IFERROR(__xludf.DUMMYFUNCTION("INDIRECT(""'收支紀錄'!K""&amp;TO_TEXT(ROW()-$C$72))"),"")</f>
        <v/>
      </c>
      <c r="L577" s="61" t="str">
        <f>IFERROR(__xludf.DUMMYFUNCTION("INDIRECT(""'收支紀錄'!L""&amp;TO_TEXT(ROW()-$C$72))"),"")</f>
        <v/>
      </c>
      <c r="M577" s="61" t="str">
        <f>IFERROR(__xludf.DUMMYFUNCTION("INDIRECT(""'收支紀錄'!M""&amp;TO_TEXT(ROW()-$C$72))"),"休閒玩樂")</f>
        <v>休閒玩樂</v>
      </c>
      <c r="N577" s="61" t="str">
        <f>IFERROR(__xludf.DUMMYFUNCTION("INDIRECT(""'收支紀錄'!N""&amp;TO_TEXT(ROW()-$C$72))"),"")</f>
        <v/>
      </c>
      <c r="O577" s="61" t="str">
        <f>IFERROR(__xludf.DUMMYFUNCTION("INDIRECT(""'收支紀錄'!O""&amp;TO_TEXT(ROW()-$C$72))"),"")</f>
        <v/>
      </c>
      <c r="P577" s="61" t="str">
        <f>IFERROR(__xludf.DUMMYFUNCTION("INDIRECT(""'收支紀錄'!P""&amp;TO_TEXT(ROW()-$C$72))"),"")</f>
        <v/>
      </c>
      <c r="Q577" s="61" t="str">
        <f>IFERROR(__xludf.DUMMYFUNCTION("INDIRECT(""'收支紀錄'!Q""&amp;TO_TEXT(ROW()-$C$72))"),"")</f>
        <v/>
      </c>
      <c r="R577" s="61" t="str">
        <f>IFERROR(__xludf.DUMMYFUNCTION("INDIRECT(""'收支紀錄'!R""&amp;TO_TEXT(ROW()-$C$72))"),"")</f>
        <v/>
      </c>
      <c r="S577" s="61" t="str">
        <f>IFERROR(__xludf.DUMMYFUNCTION("INDIRECT(""'收支紀錄'!S""&amp;TO_TEXT(ROW()-$C$72))"),"亞太漆彈")</f>
        <v>亞太漆彈</v>
      </c>
      <c r="T577" s="61" t="str">
        <f>IFERROR(__xludf.DUMMYFUNCTION("INDIRECT(""'收支紀錄'!T""&amp;TO_TEXT(ROW()-$C$72))"),"")</f>
        <v/>
      </c>
      <c r="U577" s="62" t="str">
        <f>IFERROR(__xludf.DUMMYFUNCTION("IF(T577=""是"",TEXTJOIN("""", TRUE, ""$"", TO_TEXT(C577), S577),"""")"),"")</f>
        <v/>
      </c>
    </row>
    <row r="578">
      <c r="A578" s="58">
        <f>IFERROR(__xludf.DUMMYFUNCTION("INDIRECT(""'收支紀錄'!A""&amp;TO_TEXT(ROW()-$C$72))"),45668.768949375)</f>
        <v>45668.76895</v>
      </c>
      <c r="B578" s="59">
        <f>IFERROR(__xludf.DUMMYFUNCTION("IF(ISBLANK(D578), """", IF(ISDATE(D578), D578, IF(D578=""今天"", A578, IF(D578=""昨天 (-1 day)"", A578-1, IF(D578=""前天 (-2 days)"", A578-2, IF(D578=""明天 (+1 day)"", A578+1, DATE(LEFT(D578,4), MID(D578,5,2), RIGHT(D578,2))))))))"),45668.768949375)</f>
        <v>45668.76895</v>
      </c>
      <c r="C578" s="60">
        <f>IFERROR(__xludf.DUMMYFUNCTION("INDIRECT(""'收支紀錄'!C""&amp;TO_TEXT(ROW()-$C$72))"),90.0)</f>
        <v>90</v>
      </c>
      <c r="D578" s="63" t="str">
        <f>IFERROR(__xludf.DUMMYFUNCTION("INDIRECT(""'收支紀錄'!D""&amp;TO_TEXT(ROW()-$C$72))"),"今天")</f>
        <v>今天</v>
      </c>
      <c r="E578" s="61" t="str">
        <f>IFERROR(__xludf.DUMMYFUNCTION("INDIRECT(""'收支紀錄'!E""&amp;TO_TEXT(ROW()-$C$72))"),"")</f>
        <v/>
      </c>
      <c r="F578" s="61" t="str">
        <f>IFERROR(__xludf.DUMMYFUNCTION("INDIRECT(""'收支紀錄'!F""&amp;TO_TEXT(ROW()-$C$72))"),"")</f>
        <v/>
      </c>
      <c r="G578" s="61" t="str">
        <f>IFERROR(__xludf.DUMMYFUNCTION("INDIRECT(""'收支紀錄'!G""&amp;TO_TEXT(ROW()-$C$72))"),"")</f>
        <v/>
      </c>
      <c r="H578" s="61" t="str">
        <f>IFERROR(__xludf.DUMMYFUNCTION("INDIRECT(""'收支紀錄'!H""&amp;TO_TEXT(ROW()-$C$72))"),"行車交通")</f>
        <v>行車交通</v>
      </c>
      <c r="I578" s="61" t="str">
        <f>IFERROR(__xludf.DUMMYFUNCTION("INDIRECT(""'收支紀錄'!I""&amp;TO_TEXT(ROW()-$C$72))"),"")</f>
        <v/>
      </c>
      <c r="J578" s="61" t="str">
        <f>IFERROR(__xludf.DUMMYFUNCTION("INDIRECT(""'收支紀錄'!J""&amp;TO_TEXT(ROW()-$C$72))"),"")</f>
        <v/>
      </c>
      <c r="K578" s="61" t="str">
        <f>IFERROR(__xludf.DUMMYFUNCTION("INDIRECT(""'收支紀錄'!K""&amp;TO_TEXT(ROW()-$C$72))"),"")</f>
        <v/>
      </c>
      <c r="L578" s="61" t="str">
        <f>IFERROR(__xludf.DUMMYFUNCTION("INDIRECT(""'收支紀錄'!L""&amp;TO_TEXT(ROW()-$C$72))"),"捷運費")</f>
        <v>捷運費</v>
      </c>
      <c r="M578" s="61" t="str">
        <f>IFERROR(__xludf.DUMMYFUNCTION("INDIRECT(""'收支紀錄'!M""&amp;TO_TEXT(ROW()-$C$72))"),"")</f>
        <v/>
      </c>
      <c r="N578" s="61" t="str">
        <f>IFERROR(__xludf.DUMMYFUNCTION("INDIRECT(""'收支紀錄'!N""&amp;TO_TEXT(ROW()-$C$72))"),"")</f>
        <v/>
      </c>
      <c r="O578" s="61" t="str">
        <f>IFERROR(__xludf.DUMMYFUNCTION("INDIRECT(""'收支紀錄'!O""&amp;TO_TEXT(ROW()-$C$72))"),"")</f>
        <v/>
      </c>
      <c r="P578" s="61" t="str">
        <f>IFERROR(__xludf.DUMMYFUNCTION("INDIRECT(""'收支紀錄'!P""&amp;TO_TEXT(ROW()-$C$72))"),"")</f>
        <v/>
      </c>
      <c r="Q578" s="61" t="str">
        <f>IFERROR(__xludf.DUMMYFUNCTION("INDIRECT(""'收支紀錄'!Q""&amp;TO_TEXT(ROW()-$C$72))"),"")</f>
        <v/>
      </c>
      <c r="R578" s="61" t="str">
        <f>IFERROR(__xludf.DUMMYFUNCTION("INDIRECT(""'收支紀錄'!R""&amp;TO_TEXT(ROW()-$C$72))"),"")</f>
        <v/>
      </c>
      <c r="S578" s="61" t="str">
        <f>IFERROR(__xludf.DUMMYFUNCTION("INDIRECT(""'收支紀錄'!S""&amp;TO_TEXT(ROW()-$C$72))"),"")</f>
        <v/>
      </c>
      <c r="T578" s="61" t="str">
        <f>IFERROR(__xludf.DUMMYFUNCTION("INDIRECT(""'收支紀錄'!T""&amp;TO_TEXT(ROW()-$C$72))"),"")</f>
        <v/>
      </c>
      <c r="U578" s="62" t="str">
        <f>IFERROR(__xludf.DUMMYFUNCTION("IF(T578=""是"",TEXTJOIN("""", TRUE, ""$"", TO_TEXT(C578), S578),"""")"),"")</f>
        <v/>
      </c>
    </row>
    <row r="579">
      <c r="A579" s="58">
        <f>IFERROR(__xludf.DUMMYFUNCTION("INDIRECT(""'收支紀錄'!A""&amp;TO_TEXT(ROW()-$C$72))"),45668.76910827546)</f>
        <v>45668.76911</v>
      </c>
      <c r="B579" s="59">
        <f>IFERROR(__xludf.DUMMYFUNCTION("IF(ISBLANK(D579), """", IF(ISDATE(D579), D579, IF(D579=""今天"", A579, IF(D579=""昨天 (-1 day)"", A579-1, IF(D579=""前天 (-2 days)"", A579-2, IF(D579=""明天 (+1 day)"", A579+1, DATE(LEFT(D579,4), MID(D579,5,2), RIGHT(D579,2))))))))"),45668.76910827546)</f>
        <v>45668.76911</v>
      </c>
      <c r="C579" s="60">
        <f>IFERROR(__xludf.DUMMYFUNCTION("INDIRECT(""'收支紀錄'!C""&amp;TO_TEXT(ROW()-$C$72))"),520.0)</f>
        <v>520</v>
      </c>
      <c r="D579" s="63" t="str">
        <f>IFERROR(__xludf.DUMMYFUNCTION("INDIRECT(""'收支紀錄'!D""&amp;TO_TEXT(ROW()-$C$72))"),"今天")</f>
        <v>今天</v>
      </c>
      <c r="E579" s="61" t="str">
        <f>IFERROR(__xludf.DUMMYFUNCTION("INDIRECT(""'收支紀錄'!E""&amp;TO_TEXT(ROW()-$C$72))"),"")</f>
        <v/>
      </c>
      <c r="F579" s="61" t="str">
        <f>IFERROR(__xludf.DUMMYFUNCTION("INDIRECT(""'收支紀錄'!F""&amp;TO_TEXT(ROW()-$C$72))"),"")</f>
        <v/>
      </c>
      <c r="G579" s="61" t="str">
        <f>IFERROR(__xludf.DUMMYFUNCTION("INDIRECT(""'收支紀錄'!G""&amp;TO_TEXT(ROW()-$C$72))"),"")</f>
        <v/>
      </c>
      <c r="H579" s="61" t="str">
        <f>IFERROR(__xludf.DUMMYFUNCTION("INDIRECT(""'收支紀錄'!H""&amp;TO_TEXT(ROW()-$C$72))"),"行車交通")</f>
        <v>行車交通</v>
      </c>
      <c r="I579" s="61" t="str">
        <f>IFERROR(__xludf.DUMMYFUNCTION("INDIRECT(""'收支紀錄'!I""&amp;TO_TEXT(ROW()-$C$72))"),"")</f>
        <v/>
      </c>
      <c r="J579" s="61" t="str">
        <f>IFERROR(__xludf.DUMMYFUNCTION("INDIRECT(""'收支紀錄'!J""&amp;TO_TEXT(ROW()-$C$72))"),"")</f>
        <v/>
      </c>
      <c r="K579" s="61" t="str">
        <f>IFERROR(__xludf.DUMMYFUNCTION("INDIRECT(""'收支紀錄'!K""&amp;TO_TEXT(ROW()-$C$72))"),"")</f>
        <v/>
      </c>
      <c r="L579" s="61" t="str">
        <f>IFERROR(__xludf.DUMMYFUNCTION("INDIRECT(""'收支紀錄'!L""&amp;TO_TEXT(ROW()-$C$72))"),"高鐵")</f>
        <v>高鐵</v>
      </c>
      <c r="M579" s="61" t="str">
        <f>IFERROR(__xludf.DUMMYFUNCTION("INDIRECT(""'收支紀錄'!M""&amp;TO_TEXT(ROW()-$C$72))"),"")</f>
        <v/>
      </c>
      <c r="N579" s="61" t="str">
        <f>IFERROR(__xludf.DUMMYFUNCTION("INDIRECT(""'收支紀錄'!N""&amp;TO_TEXT(ROW()-$C$72))"),"")</f>
        <v/>
      </c>
      <c r="O579" s="61" t="str">
        <f>IFERROR(__xludf.DUMMYFUNCTION("INDIRECT(""'收支紀錄'!O""&amp;TO_TEXT(ROW()-$C$72))"),"")</f>
        <v/>
      </c>
      <c r="P579" s="61" t="str">
        <f>IFERROR(__xludf.DUMMYFUNCTION("INDIRECT(""'收支紀錄'!P""&amp;TO_TEXT(ROW()-$C$72))"),"")</f>
        <v/>
      </c>
      <c r="Q579" s="61" t="str">
        <f>IFERROR(__xludf.DUMMYFUNCTION("INDIRECT(""'收支紀錄'!Q""&amp;TO_TEXT(ROW()-$C$72))"),"")</f>
        <v/>
      </c>
      <c r="R579" s="61" t="str">
        <f>IFERROR(__xludf.DUMMYFUNCTION("INDIRECT(""'收支紀錄'!R""&amp;TO_TEXT(ROW()-$C$72))"),"")</f>
        <v/>
      </c>
      <c r="S579" s="61" t="str">
        <f>IFERROR(__xludf.DUMMYFUNCTION("INDIRECT(""'收支紀錄'!S""&amp;TO_TEXT(ROW()-$C$72))"),"")</f>
        <v/>
      </c>
      <c r="T579" s="61" t="str">
        <f>IFERROR(__xludf.DUMMYFUNCTION("INDIRECT(""'收支紀錄'!T""&amp;TO_TEXT(ROW()-$C$72))"),"")</f>
        <v/>
      </c>
      <c r="U579" s="62" t="str">
        <f>IFERROR(__xludf.DUMMYFUNCTION("IF(T579=""是"",TEXTJOIN("""", TRUE, ""$"", TO_TEXT(C579), S579),"""")"),"")</f>
        <v/>
      </c>
    </row>
    <row r="580">
      <c r="A580" s="58">
        <f>IFERROR(__xludf.DUMMYFUNCTION("INDIRECT(""'收支紀錄'!A""&amp;TO_TEXT(ROW()-$C$72))"),45668.769470416664)</f>
        <v>45668.76947</v>
      </c>
      <c r="B580" s="59">
        <f>IFERROR(__xludf.DUMMYFUNCTION("IF(ISBLANK(D580), """", IF(ISDATE(D580), D580, IF(D580=""今天"", A580, IF(D580=""昨天 (-1 day)"", A580-1, IF(D580=""前天 (-2 days)"", A580-2, IF(D580=""明天 (+1 day)"", A580+1, DATE(LEFT(D580,4), MID(D580,5,2), RIGHT(D580,2))))))))"),45668.769470416664)</f>
        <v>45668.76947</v>
      </c>
      <c r="C580" s="60">
        <f>IFERROR(__xludf.DUMMYFUNCTION("INDIRECT(""'收支紀錄'!C""&amp;TO_TEXT(ROW()-$C$72))"),200.0)</f>
        <v>200</v>
      </c>
      <c r="D580" s="63" t="str">
        <f>IFERROR(__xludf.DUMMYFUNCTION("INDIRECT(""'收支紀錄'!D""&amp;TO_TEXT(ROW()-$C$72))"),"今天")</f>
        <v>今天</v>
      </c>
      <c r="E580" s="61" t="str">
        <f>IFERROR(__xludf.DUMMYFUNCTION("INDIRECT(""'收支紀錄'!E""&amp;TO_TEXT(ROW()-$C$72))"),"")</f>
        <v/>
      </c>
      <c r="F580" s="61" t="str">
        <f>IFERROR(__xludf.DUMMYFUNCTION("INDIRECT(""'收支紀錄'!F""&amp;TO_TEXT(ROW()-$C$72))"),"")</f>
        <v/>
      </c>
      <c r="G580" s="61" t="str">
        <f>IFERROR(__xludf.DUMMYFUNCTION("INDIRECT(""'收支紀錄'!G""&amp;TO_TEXT(ROW()-$C$72))"),"")</f>
        <v/>
      </c>
      <c r="H580" s="61" t="str">
        <f>IFERROR(__xludf.DUMMYFUNCTION("INDIRECT(""'收支紀錄'!H""&amp;TO_TEXT(ROW()-$C$72))"),"食品酒水")</f>
        <v>食品酒水</v>
      </c>
      <c r="I580" s="61" t="str">
        <f>IFERROR(__xludf.DUMMYFUNCTION("INDIRECT(""'收支紀錄'!I""&amp;TO_TEXT(ROW()-$C$72))"),"伴手禮")</f>
        <v>伴手禮</v>
      </c>
      <c r="J580" s="61" t="str">
        <f>IFERROR(__xludf.DUMMYFUNCTION("INDIRECT(""'收支紀錄'!J""&amp;TO_TEXT(ROW()-$C$72))"),"")</f>
        <v/>
      </c>
      <c r="K580" s="61" t="str">
        <f>IFERROR(__xludf.DUMMYFUNCTION("INDIRECT(""'收支紀錄'!K""&amp;TO_TEXT(ROW()-$C$72))"),"")</f>
        <v/>
      </c>
      <c r="L580" s="61" t="str">
        <f>IFERROR(__xludf.DUMMYFUNCTION("INDIRECT(""'收支紀錄'!L""&amp;TO_TEXT(ROW()-$C$72))"),"")</f>
        <v/>
      </c>
      <c r="M580" s="61" t="str">
        <f>IFERROR(__xludf.DUMMYFUNCTION("INDIRECT(""'收支紀錄'!M""&amp;TO_TEXT(ROW()-$C$72))"),"")</f>
        <v/>
      </c>
      <c r="N580" s="61" t="str">
        <f>IFERROR(__xludf.DUMMYFUNCTION("INDIRECT(""'收支紀錄'!N""&amp;TO_TEXT(ROW()-$C$72))"),"")</f>
        <v/>
      </c>
      <c r="O580" s="61" t="str">
        <f>IFERROR(__xludf.DUMMYFUNCTION("INDIRECT(""'收支紀錄'!O""&amp;TO_TEXT(ROW()-$C$72))"),"")</f>
        <v/>
      </c>
      <c r="P580" s="61" t="str">
        <f>IFERROR(__xludf.DUMMYFUNCTION("INDIRECT(""'收支紀錄'!P""&amp;TO_TEXT(ROW()-$C$72))"),"")</f>
        <v/>
      </c>
      <c r="Q580" s="61" t="str">
        <f>IFERROR(__xludf.DUMMYFUNCTION("INDIRECT(""'收支紀錄'!Q""&amp;TO_TEXT(ROW()-$C$72))"),"")</f>
        <v/>
      </c>
      <c r="R580" s="61" t="str">
        <f>IFERROR(__xludf.DUMMYFUNCTION("INDIRECT(""'收支紀錄'!R""&amp;TO_TEXT(ROW()-$C$72))"),"")</f>
        <v/>
      </c>
      <c r="S580" s="61" t="str">
        <f>IFERROR(__xludf.DUMMYFUNCTION("INDIRECT(""'收支紀錄'!S""&amp;TO_TEXT(ROW()-$C$72))"),"")</f>
        <v/>
      </c>
      <c r="T580" s="61" t="str">
        <f>IFERROR(__xludf.DUMMYFUNCTION("INDIRECT(""'收支紀錄'!T""&amp;TO_TEXT(ROW()-$C$72))"),"")</f>
        <v/>
      </c>
      <c r="U580" s="62" t="str">
        <f>IFERROR(__xludf.DUMMYFUNCTION("IF(T580=""是"",TEXTJOIN("""", TRUE, ""$"", TO_TEXT(C580), S580),"""")"),"")</f>
        <v/>
      </c>
    </row>
    <row r="581">
      <c r="A581" s="58">
        <f>IFERROR(__xludf.DUMMYFUNCTION("INDIRECT(""'收支紀錄'!A""&amp;TO_TEXT(ROW()-$C$72))"),45669.450684814816)</f>
        <v>45669.45068</v>
      </c>
      <c r="B581" s="59">
        <f>IFERROR(__xludf.DUMMYFUNCTION("IF(ISBLANK(D581), """", IF(ISDATE(D581), D581, IF(D581=""今天"", A581, IF(D581=""昨天 (-1 day)"", A581-1, IF(D581=""前天 (-2 days)"", A581-2, IF(D581=""明天 (+1 day)"", A581+1, DATE(LEFT(D581,4), MID(D581,5,2), RIGHT(D581,2))))))))"),45669.450684814816)</f>
        <v>45669.45068</v>
      </c>
      <c r="C581" s="60">
        <f>IFERROR(__xludf.DUMMYFUNCTION("INDIRECT(""'收支紀錄'!C""&amp;TO_TEXT(ROW()-$C$72))"),491.0)</f>
        <v>491</v>
      </c>
      <c r="D581" s="63" t="str">
        <f>IFERROR(__xludf.DUMMYFUNCTION("INDIRECT(""'收支紀錄'!D""&amp;TO_TEXT(ROW()-$C$72))"),"今天")</f>
        <v>今天</v>
      </c>
      <c r="E581" s="61" t="str">
        <f>IFERROR(__xludf.DUMMYFUNCTION("INDIRECT(""'收支紀錄'!E""&amp;TO_TEXT(ROW()-$C$72))"),"")</f>
        <v/>
      </c>
      <c r="F581" s="61" t="str">
        <f>IFERROR(__xludf.DUMMYFUNCTION("INDIRECT(""'收支紀錄'!F""&amp;TO_TEXT(ROW()-$C$72))"),"")</f>
        <v/>
      </c>
      <c r="G581" s="61" t="str">
        <f>IFERROR(__xludf.DUMMYFUNCTION("INDIRECT(""'收支紀錄'!G""&amp;TO_TEXT(ROW()-$C$72))"),"")</f>
        <v/>
      </c>
      <c r="H581" s="61" t="str">
        <f>IFERROR(__xludf.DUMMYFUNCTION("INDIRECT(""'收支紀錄'!H""&amp;TO_TEXT(ROW()-$C$72))"),"行車交通")</f>
        <v>行車交通</v>
      </c>
      <c r="I581" s="61" t="str">
        <f>IFERROR(__xludf.DUMMYFUNCTION("INDIRECT(""'收支紀錄'!I""&amp;TO_TEXT(ROW()-$C$72))"),"")</f>
        <v/>
      </c>
      <c r="J581" s="61" t="str">
        <f>IFERROR(__xludf.DUMMYFUNCTION("INDIRECT(""'收支紀錄'!J""&amp;TO_TEXT(ROW()-$C$72))"),"")</f>
        <v/>
      </c>
      <c r="K581" s="61" t="str">
        <f>IFERROR(__xludf.DUMMYFUNCTION("INDIRECT(""'收支紀錄'!K""&amp;TO_TEXT(ROW()-$C$72))"),"")</f>
        <v/>
      </c>
      <c r="L581" s="61" t="str">
        <f>IFERROR(__xludf.DUMMYFUNCTION("INDIRECT(""'收支紀錄'!L""&amp;TO_TEXT(ROW()-$C$72))"),"加油")</f>
        <v>加油</v>
      </c>
      <c r="M581" s="61" t="str">
        <f>IFERROR(__xludf.DUMMYFUNCTION("INDIRECT(""'收支紀錄'!M""&amp;TO_TEXT(ROW()-$C$72))"),"")</f>
        <v/>
      </c>
      <c r="N581" s="61" t="str">
        <f>IFERROR(__xludf.DUMMYFUNCTION("INDIRECT(""'收支紀錄'!N""&amp;TO_TEXT(ROW()-$C$72))"),"")</f>
        <v/>
      </c>
      <c r="O581" s="61" t="str">
        <f>IFERROR(__xludf.DUMMYFUNCTION("INDIRECT(""'收支紀錄'!O""&amp;TO_TEXT(ROW()-$C$72))"),"")</f>
        <v/>
      </c>
      <c r="P581" s="61" t="str">
        <f>IFERROR(__xludf.DUMMYFUNCTION("INDIRECT(""'收支紀錄'!P""&amp;TO_TEXT(ROW()-$C$72))"),"")</f>
        <v/>
      </c>
      <c r="Q581" s="61" t="str">
        <f>IFERROR(__xludf.DUMMYFUNCTION("INDIRECT(""'收支紀錄'!Q""&amp;TO_TEXT(ROW()-$C$72))"),"")</f>
        <v/>
      </c>
      <c r="R581" s="61" t="str">
        <f>IFERROR(__xludf.DUMMYFUNCTION("INDIRECT(""'收支紀錄'!R""&amp;TO_TEXT(ROW()-$C$72))"),"")</f>
        <v/>
      </c>
      <c r="S581" s="61" t="str">
        <f>IFERROR(__xludf.DUMMYFUNCTION("INDIRECT(""'收支紀錄'!S""&amp;TO_TEXT(ROW()-$C$72))"),"")</f>
        <v/>
      </c>
      <c r="T581" s="61" t="str">
        <f>IFERROR(__xludf.DUMMYFUNCTION("INDIRECT(""'收支紀錄'!T""&amp;TO_TEXT(ROW()-$C$72))"),"")</f>
        <v/>
      </c>
      <c r="U581" s="62" t="str">
        <f>IFERROR(__xludf.DUMMYFUNCTION("IF(T581=""是"",TEXTJOIN("""", TRUE, ""$"", TO_TEXT(C581), S581),"""")"),"")</f>
        <v/>
      </c>
    </row>
    <row r="582">
      <c r="A582" s="58">
        <f>IFERROR(__xludf.DUMMYFUNCTION("INDIRECT(""'收支紀錄'!A""&amp;TO_TEXT(ROW()-$C$72))"),45669.45083614583)</f>
        <v>45669.45084</v>
      </c>
      <c r="B582" s="59">
        <f>IFERROR(__xludf.DUMMYFUNCTION("IF(ISBLANK(D582), """", IF(ISDATE(D582), D582, IF(D582=""今天"", A582, IF(D582=""昨天 (-1 day)"", A582-1, IF(D582=""前天 (-2 days)"", A582-2, IF(D582=""明天 (+1 day)"", A582+1, DATE(LEFT(D582,4), MID(D582,5,2), RIGHT(D582,2))))))))"),45669.45083614583)</f>
        <v>45669.45084</v>
      </c>
      <c r="C582" s="60">
        <f>IFERROR(__xludf.DUMMYFUNCTION("INDIRECT(""'收支紀錄'!C""&amp;TO_TEXT(ROW()-$C$72))"),100.0)</f>
        <v>100</v>
      </c>
      <c r="D582" s="63" t="str">
        <f>IFERROR(__xludf.DUMMYFUNCTION("INDIRECT(""'收支紀錄'!D""&amp;TO_TEXT(ROW()-$C$72))"),"今天")</f>
        <v>今天</v>
      </c>
      <c r="E582" s="61" t="str">
        <f>IFERROR(__xludf.DUMMYFUNCTION("INDIRECT(""'收支紀錄'!E""&amp;TO_TEXT(ROW()-$C$72))"),"")</f>
        <v/>
      </c>
      <c r="F582" s="61" t="str">
        <f>IFERROR(__xludf.DUMMYFUNCTION("INDIRECT(""'收支紀錄'!F""&amp;TO_TEXT(ROW()-$C$72))"),"")</f>
        <v/>
      </c>
      <c r="G582" s="61" t="str">
        <f>IFERROR(__xludf.DUMMYFUNCTION("INDIRECT(""'收支紀錄'!G""&amp;TO_TEXT(ROW()-$C$72))"),"")</f>
        <v/>
      </c>
      <c r="H582" s="61" t="str">
        <f>IFERROR(__xludf.DUMMYFUNCTION("INDIRECT(""'收支紀錄'!H""&amp;TO_TEXT(ROW()-$C$72))"),"食品酒水")</f>
        <v>食品酒水</v>
      </c>
      <c r="I582" s="61" t="str">
        <f>IFERROR(__xludf.DUMMYFUNCTION("INDIRECT(""'收支紀錄'!I""&amp;TO_TEXT(ROW()-$C$72))"),"午餐")</f>
        <v>午餐</v>
      </c>
      <c r="J582" s="61" t="str">
        <f>IFERROR(__xludf.DUMMYFUNCTION("INDIRECT(""'收支紀錄'!J""&amp;TO_TEXT(ROW()-$C$72))"),"")</f>
        <v/>
      </c>
      <c r="K582" s="61" t="str">
        <f>IFERROR(__xludf.DUMMYFUNCTION("INDIRECT(""'收支紀錄'!K""&amp;TO_TEXT(ROW()-$C$72))"),"")</f>
        <v/>
      </c>
      <c r="L582" s="61" t="str">
        <f>IFERROR(__xludf.DUMMYFUNCTION("INDIRECT(""'收支紀錄'!L""&amp;TO_TEXT(ROW()-$C$72))"),"")</f>
        <v/>
      </c>
      <c r="M582" s="61" t="str">
        <f>IFERROR(__xludf.DUMMYFUNCTION("INDIRECT(""'收支紀錄'!M""&amp;TO_TEXT(ROW()-$C$72))"),"")</f>
        <v/>
      </c>
      <c r="N582" s="61" t="str">
        <f>IFERROR(__xludf.DUMMYFUNCTION("INDIRECT(""'收支紀錄'!N""&amp;TO_TEXT(ROW()-$C$72))"),"")</f>
        <v/>
      </c>
      <c r="O582" s="61" t="str">
        <f>IFERROR(__xludf.DUMMYFUNCTION("INDIRECT(""'收支紀錄'!O""&amp;TO_TEXT(ROW()-$C$72))"),"")</f>
        <v/>
      </c>
      <c r="P582" s="61" t="str">
        <f>IFERROR(__xludf.DUMMYFUNCTION("INDIRECT(""'收支紀錄'!P""&amp;TO_TEXT(ROW()-$C$72))"),"")</f>
        <v/>
      </c>
      <c r="Q582" s="61" t="str">
        <f>IFERROR(__xludf.DUMMYFUNCTION("INDIRECT(""'收支紀錄'!Q""&amp;TO_TEXT(ROW()-$C$72))"),"")</f>
        <v/>
      </c>
      <c r="R582" s="61" t="str">
        <f>IFERROR(__xludf.DUMMYFUNCTION("INDIRECT(""'收支紀錄'!R""&amp;TO_TEXT(ROW()-$C$72))"),"")</f>
        <v/>
      </c>
      <c r="S582" s="61" t="str">
        <f>IFERROR(__xludf.DUMMYFUNCTION("INDIRECT(""'收支紀錄'!S""&amp;TO_TEXT(ROW()-$C$72))"),"")</f>
        <v/>
      </c>
      <c r="T582" s="61" t="str">
        <f>IFERROR(__xludf.DUMMYFUNCTION("INDIRECT(""'收支紀錄'!T""&amp;TO_TEXT(ROW()-$C$72))"),"")</f>
        <v/>
      </c>
      <c r="U582" s="62" t="str">
        <f>IFERROR(__xludf.DUMMYFUNCTION("IF(T582=""是"",TEXTJOIN("""", TRUE, ""$"", TO_TEXT(C582), S582),"""")"),"")</f>
        <v/>
      </c>
    </row>
    <row r="583">
      <c r="A583" s="58">
        <f>IFERROR(__xludf.DUMMYFUNCTION("INDIRECT(""'收支紀錄'!A""&amp;TO_TEXT(ROW()-$C$72))"),45669.924120069445)</f>
        <v>45669.92412</v>
      </c>
      <c r="B583" s="59">
        <f>IFERROR(__xludf.DUMMYFUNCTION("IF(ISBLANK(D583), """", IF(ISDATE(D583), D583, IF(D583=""今天"", A583, IF(D583=""昨天 (-1 day)"", A583-1, IF(D583=""前天 (-2 days)"", A583-2, IF(D583=""明天 (+1 day)"", A583+1, DATE(LEFT(D583,4), MID(D583,5,2), RIGHT(D583,2))))))))"),45669.924120069445)</f>
        <v>45669.92412</v>
      </c>
      <c r="C583" s="60">
        <f>IFERROR(__xludf.DUMMYFUNCTION("INDIRECT(""'收支紀錄'!C""&amp;TO_TEXT(ROW()-$C$72))"),514.0)</f>
        <v>514</v>
      </c>
      <c r="D583" s="63" t="str">
        <f>IFERROR(__xludf.DUMMYFUNCTION("INDIRECT(""'收支紀錄'!D""&amp;TO_TEXT(ROW()-$C$72))"),"今天")</f>
        <v>今天</v>
      </c>
      <c r="E583" s="61" t="str">
        <f>IFERROR(__xludf.DUMMYFUNCTION("INDIRECT(""'收支紀錄'!E""&amp;TO_TEXT(ROW()-$C$72))"),"")</f>
        <v/>
      </c>
      <c r="F583" s="61" t="str">
        <f>IFERROR(__xludf.DUMMYFUNCTION("INDIRECT(""'收支紀錄'!F""&amp;TO_TEXT(ROW()-$C$72))"),"")</f>
        <v/>
      </c>
      <c r="G583" s="61" t="str">
        <f>IFERROR(__xludf.DUMMYFUNCTION("INDIRECT(""'收支紀錄'!G""&amp;TO_TEXT(ROW()-$C$72))"),"")</f>
        <v/>
      </c>
      <c r="H583" s="61" t="str">
        <f>IFERROR(__xludf.DUMMYFUNCTION("INDIRECT(""'收支紀錄'!H""&amp;TO_TEXT(ROW()-$C$72))"),"食品酒水")</f>
        <v>食品酒水</v>
      </c>
      <c r="I583" s="61" t="str">
        <f>IFERROR(__xludf.DUMMYFUNCTION("INDIRECT(""'收支紀錄'!I""&amp;TO_TEXT(ROW()-$C$72))"),"晚餐")</f>
        <v>晚餐</v>
      </c>
      <c r="J583" s="61" t="str">
        <f>IFERROR(__xludf.DUMMYFUNCTION("INDIRECT(""'收支紀錄'!J""&amp;TO_TEXT(ROW()-$C$72))"),"")</f>
        <v/>
      </c>
      <c r="K583" s="61" t="str">
        <f>IFERROR(__xludf.DUMMYFUNCTION("INDIRECT(""'收支紀錄'!K""&amp;TO_TEXT(ROW()-$C$72))"),"")</f>
        <v/>
      </c>
      <c r="L583" s="61" t="str">
        <f>IFERROR(__xludf.DUMMYFUNCTION("INDIRECT(""'收支紀錄'!L""&amp;TO_TEXT(ROW()-$C$72))"),"")</f>
        <v/>
      </c>
      <c r="M583" s="61" t="str">
        <f>IFERROR(__xludf.DUMMYFUNCTION("INDIRECT(""'收支紀錄'!M""&amp;TO_TEXT(ROW()-$C$72))"),"")</f>
        <v/>
      </c>
      <c r="N583" s="61" t="str">
        <f>IFERROR(__xludf.DUMMYFUNCTION("INDIRECT(""'收支紀錄'!N""&amp;TO_TEXT(ROW()-$C$72))"),"")</f>
        <v/>
      </c>
      <c r="O583" s="61" t="str">
        <f>IFERROR(__xludf.DUMMYFUNCTION("INDIRECT(""'收支紀錄'!O""&amp;TO_TEXT(ROW()-$C$72))"),"")</f>
        <v/>
      </c>
      <c r="P583" s="61" t="str">
        <f>IFERROR(__xludf.DUMMYFUNCTION("INDIRECT(""'收支紀錄'!P""&amp;TO_TEXT(ROW()-$C$72))"),"")</f>
        <v/>
      </c>
      <c r="Q583" s="61" t="str">
        <f>IFERROR(__xludf.DUMMYFUNCTION("INDIRECT(""'收支紀錄'!Q""&amp;TO_TEXT(ROW()-$C$72))"),"")</f>
        <v/>
      </c>
      <c r="R583" s="61" t="str">
        <f>IFERROR(__xludf.DUMMYFUNCTION("INDIRECT(""'收支紀錄'!R""&amp;TO_TEXT(ROW()-$C$72))"),"")</f>
        <v/>
      </c>
      <c r="S583" s="61" t="str">
        <f>IFERROR(__xludf.DUMMYFUNCTION("INDIRECT(""'收支紀錄'!S""&amp;TO_TEXT(ROW()-$C$72))"),"")</f>
        <v/>
      </c>
      <c r="T583" s="61" t="str">
        <f>IFERROR(__xludf.DUMMYFUNCTION("INDIRECT(""'收支紀錄'!T""&amp;TO_TEXT(ROW()-$C$72))"),"")</f>
        <v/>
      </c>
      <c r="U583" s="62" t="str">
        <f>IFERROR(__xludf.DUMMYFUNCTION("IF(T583=""是"",TEXTJOIN("""", TRUE, ""$"", TO_TEXT(C583), S583),"""")"),"")</f>
        <v/>
      </c>
    </row>
    <row r="584">
      <c r="A584" s="58">
        <f>IFERROR(__xludf.DUMMYFUNCTION("INDIRECT(""'收支紀錄'!A""&amp;TO_TEXT(ROW()-$C$72))"),45672.293408032405)</f>
        <v>45672.29341</v>
      </c>
      <c r="B584" s="59">
        <f>IFERROR(__xludf.DUMMYFUNCTION("IF(ISBLANK(D584), """", IF(ISDATE(D584), D584, IF(D584=""今天"", A584, IF(D584=""昨天 (-1 day)"", A584-1, IF(D584=""前天 (-2 days)"", A584-2, IF(D584=""明天 (+1 day)"", A584+1, DATE(LEFT(D584,4), MID(D584,5,2), RIGHT(D584,2))))))))"),45671.293408032405)</f>
        <v>45671.29341</v>
      </c>
      <c r="C584" s="60">
        <f>IFERROR(__xludf.DUMMYFUNCTION("INDIRECT(""'收支紀錄'!C""&amp;TO_TEXT(ROW()-$C$72))"),28854.0)</f>
        <v>28854</v>
      </c>
      <c r="D584" s="63" t="str">
        <f>IFERROR(__xludf.DUMMYFUNCTION("INDIRECT(""'收支紀錄'!D""&amp;TO_TEXT(ROW()-$C$72))"),"昨天 (-1 day)")</f>
        <v>昨天 (-1 day)</v>
      </c>
      <c r="E584" s="61" t="str">
        <f>IFERROR(__xludf.DUMMYFUNCTION("INDIRECT(""'收支紀錄'!E""&amp;TO_TEXT(ROW()-$C$72))"),"")</f>
        <v/>
      </c>
      <c r="F584" s="61" t="str">
        <f>IFERROR(__xludf.DUMMYFUNCTION("INDIRECT(""'收支紀錄'!F""&amp;TO_TEXT(ROW()-$C$72))"),"")</f>
        <v/>
      </c>
      <c r="G584" s="61" t="str">
        <f>IFERROR(__xludf.DUMMYFUNCTION("INDIRECT(""'收支紀錄'!G""&amp;TO_TEXT(ROW()-$C$72))"),"")</f>
        <v/>
      </c>
      <c r="H584" s="61" t="str">
        <f>IFERROR(__xludf.DUMMYFUNCTION("INDIRECT(""'收支紀錄'!H""&amp;TO_TEXT(ROW()-$C$72))"),"行車交通")</f>
        <v>行車交通</v>
      </c>
      <c r="I584" s="61" t="str">
        <f>IFERROR(__xludf.DUMMYFUNCTION("INDIRECT(""'收支紀錄'!I""&amp;TO_TEXT(ROW()-$C$72))"),"")</f>
        <v/>
      </c>
      <c r="J584" s="61" t="str">
        <f>IFERROR(__xludf.DUMMYFUNCTION("INDIRECT(""'收支紀錄'!J""&amp;TO_TEXT(ROW()-$C$72))"),"")</f>
        <v/>
      </c>
      <c r="K584" s="61" t="str">
        <f>IFERROR(__xludf.DUMMYFUNCTION("INDIRECT(""'收支紀錄'!K""&amp;TO_TEXT(ROW()-$C$72))"),"")</f>
        <v/>
      </c>
      <c r="L584" s="61" t="str">
        <f>IFERROR(__xludf.DUMMYFUNCTION("INDIRECT(""'收支紀錄'!L""&amp;TO_TEXT(ROW()-$C$72))"),"車-保險稅金")</f>
        <v>車-保險稅金</v>
      </c>
      <c r="M584" s="61" t="str">
        <f>IFERROR(__xludf.DUMMYFUNCTION("INDIRECT(""'收支紀錄'!M""&amp;TO_TEXT(ROW()-$C$72))"),"")</f>
        <v/>
      </c>
      <c r="N584" s="61" t="str">
        <f>IFERROR(__xludf.DUMMYFUNCTION("INDIRECT(""'收支紀錄'!N""&amp;TO_TEXT(ROW()-$C$72))"),"")</f>
        <v/>
      </c>
      <c r="O584" s="61" t="str">
        <f>IFERROR(__xludf.DUMMYFUNCTION("INDIRECT(""'收支紀錄'!O""&amp;TO_TEXT(ROW()-$C$72))"),"")</f>
        <v/>
      </c>
      <c r="P584" s="61" t="str">
        <f>IFERROR(__xludf.DUMMYFUNCTION("INDIRECT(""'收支紀錄'!P""&amp;TO_TEXT(ROW()-$C$72))"),"")</f>
        <v/>
      </c>
      <c r="Q584" s="61" t="str">
        <f>IFERROR(__xludf.DUMMYFUNCTION("INDIRECT(""'收支紀錄'!Q""&amp;TO_TEXT(ROW()-$C$72))"),"")</f>
        <v/>
      </c>
      <c r="R584" s="61" t="str">
        <f>IFERROR(__xludf.DUMMYFUNCTION("INDIRECT(""'收支紀錄'!R""&amp;TO_TEXT(ROW()-$C$72))"),"")</f>
        <v/>
      </c>
      <c r="S584" s="61" t="str">
        <f>IFERROR(__xludf.DUMMYFUNCTION("INDIRECT(""'收支紀錄'!S""&amp;TO_TEXT(ROW()-$C$72))"),"汽車保險")</f>
        <v>汽車保險</v>
      </c>
      <c r="T584" s="61"/>
      <c r="U584" s="62" t="str">
        <f>IFERROR(__xludf.DUMMYFUNCTION("IF(T584=""是"",TEXTJOIN("""", TRUE, ""$"", TO_TEXT(C584), S584),"""")"),"")</f>
        <v/>
      </c>
    </row>
    <row r="585">
      <c r="A585" s="58">
        <f>IFERROR(__xludf.DUMMYFUNCTION("INDIRECT(""'收支紀錄'!A""&amp;TO_TEXT(ROW()-$C$72))"),45672.50485515046)</f>
        <v>45672.50486</v>
      </c>
      <c r="B585" s="59">
        <f>IFERROR(__xludf.DUMMYFUNCTION("IF(ISBLANK(D585), """", IF(ISDATE(D585), D585, IF(D585=""今天"", A585, IF(D585=""昨天 (-1 day)"", A585-1, IF(D585=""前天 (-2 days)"", A585-2, IF(D585=""明天 (+1 day)"", A585+1, DATE(LEFT(D585,4), MID(D585,5,2), RIGHT(D585,2))))))))"),45672.50485515046)</f>
        <v>45672.50486</v>
      </c>
      <c r="C585" s="60">
        <f>IFERROR(__xludf.DUMMYFUNCTION("INDIRECT(""'收支紀錄'!C""&amp;TO_TEXT(ROW()-$C$72))"),445.0)</f>
        <v>445</v>
      </c>
      <c r="D585" s="63" t="str">
        <f>IFERROR(__xludf.DUMMYFUNCTION("INDIRECT(""'收支紀錄'!D""&amp;TO_TEXT(ROW()-$C$72))"),"今天")</f>
        <v>今天</v>
      </c>
      <c r="E585" s="61" t="str">
        <f>IFERROR(__xludf.DUMMYFUNCTION("INDIRECT(""'收支紀錄'!E""&amp;TO_TEXT(ROW()-$C$72))"),"")</f>
        <v/>
      </c>
      <c r="F585" s="61" t="str">
        <f>IFERROR(__xludf.DUMMYFUNCTION("INDIRECT(""'收支紀錄'!F""&amp;TO_TEXT(ROW()-$C$72))"),"")</f>
        <v/>
      </c>
      <c r="G585" s="61" t="str">
        <f>IFERROR(__xludf.DUMMYFUNCTION("INDIRECT(""'收支紀錄'!G""&amp;TO_TEXT(ROW()-$C$72))"),"")</f>
        <v/>
      </c>
      <c r="H585" s="61" t="str">
        <f>IFERROR(__xludf.DUMMYFUNCTION("INDIRECT(""'收支紀錄'!H""&amp;TO_TEXT(ROW()-$C$72))"),"房屋支出")</f>
        <v>房屋支出</v>
      </c>
      <c r="I585" s="61" t="str">
        <f>IFERROR(__xludf.DUMMYFUNCTION("INDIRECT(""'收支紀錄'!I""&amp;TO_TEXT(ROW()-$C$72))"),"")</f>
        <v/>
      </c>
      <c r="J585" s="61" t="str">
        <f>IFERROR(__xludf.DUMMYFUNCTION("INDIRECT(""'收支紀錄'!J""&amp;TO_TEXT(ROW()-$C$72))"),"")</f>
        <v/>
      </c>
      <c r="K585" s="61" t="str">
        <f>IFERROR(__xludf.DUMMYFUNCTION("INDIRECT(""'收支紀錄'!K""&amp;TO_TEXT(ROW()-$C$72))"),"瓦斯費")</f>
        <v>瓦斯費</v>
      </c>
      <c r="L585" s="61" t="str">
        <f>IFERROR(__xludf.DUMMYFUNCTION("INDIRECT(""'收支紀錄'!L""&amp;TO_TEXT(ROW()-$C$72))"),"")</f>
        <v/>
      </c>
      <c r="M585" s="61" t="str">
        <f>IFERROR(__xludf.DUMMYFUNCTION("INDIRECT(""'收支紀錄'!M""&amp;TO_TEXT(ROW()-$C$72))"),"")</f>
        <v/>
      </c>
      <c r="N585" s="61" t="str">
        <f>IFERROR(__xludf.DUMMYFUNCTION("INDIRECT(""'收支紀錄'!N""&amp;TO_TEXT(ROW()-$C$72))"),"")</f>
        <v/>
      </c>
      <c r="O585" s="61" t="str">
        <f>IFERROR(__xludf.DUMMYFUNCTION("INDIRECT(""'收支紀錄'!O""&amp;TO_TEXT(ROW()-$C$72))"),"")</f>
        <v/>
      </c>
      <c r="P585" s="61" t="str">
        <f>IFERROR(__xludf.DUMMYFUNCTION("INDIRECT(""'收支紀錄'!P""&amp;TO_TEXT(ROW()-$C$72))"),"")</f>
        <v/>
      </c>
      <c r="Q585" s="61" t="str">
        <f>IFERROR(__xludf.DUMMYFUNCTION("INDIRECT(""'收支紀錄'!Q""&amp;TO_TEXT(ROW()-$C$72))"),"")</f>
        <v/>
      </c>
      <c r="R585" s="61" t="str">
        <f>IFERROR(__xludf.DUMMYFUNCTION("INDIRECT(""'收支紀錄'!R""&amp;TO_TEXT(ROW()-$C$72))"),"")</f>
        <v/>
      </c>
      <c r="S585" s="61" t="str">
        <f>IFERROR(__xludf.DUMMYFUNCTION("INDIRECT(""'收支紀錄'!S""&amp;TO_TEXT(ROW()-$C$72))"),"")</f>
        <v/>
      </c>
      <c r="T585" s="61" t="str">
        <f>IFERROR(__xludf.DUMMYFUNCTION("INDIRECT(""'收支紀錄'!T""&amp;TO_TEXT(ROW()-$C$72))"),"")</f>
        <v/>
      </c>
      <c r="U585" s="62" t="str">
        <f>IFERROR(__xludf.DUMMYFUNCTION("IF(T585=""是"",TEXTJOIN("""", TRUE, ""$"", TO_TEXT(C585), S585),"""")"),"")</f>
        <v/>
      </c>
    </row>
    <row r="586">
      <c r="A586" s="58">
        <f>IFERROR(__xludf.DUMMYFUNCTION("INDIRECT(""'收支紀錄'!A""&amp;TO_TEXT(ROW()-$C$72))"),45672.949433587964)</f>
        <v>45672.94943</v>
      </c>
      <c r="B586" s="59">
        <f>IFERROR(__xludf.DUMMYFUNCTION("IF(ISBLANK(D586), """", IF(ISDATE(D586), D586, IF(D586=""今天"", A586, IF(D586=""昨天 (-1 day)"", A586-1, IF(D586=""前天 (-2 days)"", A586-2, IF(D586=""明天 (+1 day)"", A586+1, DATE(LEFT(D586,4), MID(D586,5,2), RIGHT(D586,2))))))))"),45672.949433587964)</f>
        <v>45672.94943</v>
      </c>
      <c r="C586" s="60">
        <f>IFERROR(__xludf.DUMMYFUNCTION("INDIRECT(""'收支紀錄'!C""&amp;TO_TEXT(ROW()-$C$72))"),200.0)</f>
        <v>200</v>
      </c>
      <c r="D586" s="63" t="str">
        <f>IFERROR(__xludf.DUMMYFUNCTION("INDIRECT(""'收支紀錄'!D""&amp;TO_TEXT(ROW()-$C$72))"),"今天")</f>
        <v>今天</v>
      </c>
      <c r="E586" s="61" t="str">
        <f>IFERROR(__xludf.DUMMYFUNCTION("INDIRECT(""'收支紀錄'!E""&amp;TO_TEXT(ROW()-$C$72))"),"")</f>
        <v/>
      </c>
      <c r="F586" s="61" t="str">
        <f>IFERROR(__xludf.DUMMYFUNCTION("INDIRECT(""'收支紀錄'!F""&amp;TO_TEXT(ROW()-$C$72))"),"")</f>
        <v/>
      </c>
      <c r="G586" s="61" t="str">
        <f>IFERROR(__xludf.DUMMYFUNCTION("INDIRECT(""'收支紀錄'!G""&amp;TO_TEXT(ROW()-$C$72))"),"")</f>
        <v/>
      </c>
      <c r="H586" s="61" t="str">
        <f>IFERROR(__xludf.DUMMYFUNCTION("INDIRECT(""'收支紀錄'!H""&amp;TO_TEXT(ROW()-$C$72))"),"休閒娛樂")</f>
        <v>休閒娛樂</v>
      </c>
      <c r="I586" s="61" t="str">
        <f>IFERROR(__xludf.DUMMYFUNCTION("INDIRECT(""'收支紀錄'!I""&amp;TO_TEXT(ROW()-$C$72))"),"")</f>
        <v/>
      </c>
      <c r="J586" s="61" t="str">
        <f>IFERROR(__xludf.DUMMYFUNCTION("INDIRECT(""'收支紀錄'!J""&amp;TO_TEXT(ROW()-$C$72))"),"")</f>
        <v/>
      </c>
      <c r="K586" s="61" t="str">
        <f>IFERROR(__xludf.DUMMYFUNCTION("INDIRECT(""'收支紀錄'!K""&amp;TO_TEXT(ROW()-$C$72))"),"")</f>
        <v/>
      </c>
      <c r="L586" s="61" t="str">
        <f>IFERROR(__xludf.DUMMYFUNCTION("INDIRECT(""'收支紀錄'!L""&amp;TO_TEXT(ROW()-$C$72))"),"")</f>
        <v/>
      </c>
      <c r="M586" s="61" t="str">
        <f>IFERROR(__xludf.DUMMYFUNCTION("INDIRECT(""'收支紀錄'!M""&amp;TO_TEXT(ROW()-$C$72))"),"休閒玩樂")</f>
        <v>休閒玩樂</v>
      </c>
      <c r="N586" s="61" t="str">
        <f>IFERROR(__xludf.DUMMYFUNCTION("INDIRECT(""'收支紀錄'!N""&amp;TO_TEXT(ROW()-$C$72))"),"")</f>
        <v/>
      </c>
      <c r="O586" s="61" t="str">
        <f>IFERROR(__xludf.DUMMYFUNCTION("INDIRECT(""'收支紀錄'!O""&amp;TO_TEXT(ROW()-$C$72))"),"")</f>
        <v/>
      </c>
      <c r="P586" s="61" t="str">
        <f>IFERROR(__xludf.DUMMYFUNCTION("INDIRECT(""'收支紀錄'!P""&amp;TO_TEXT(ROW()-$C$72))"),"")</f>
        <v/>
      </c>
      <c r="Q586" s="61" t="str">
        <f>IFERROR(__xludf.DUMMYFUNCTION("INDIRECT(""'收支紀錄'!Q""&amp;TO_TEXT(ROW()-$C$72))"),"")</f>
        <v/>
      </c>
      <c r="R586" s="61" t="str">
        <f>IFERROR(__xludf.DUMMYFUNCTION("INDIRECT(""'收支紀錄'!R""&amp;TO_TEXT(ROW()-$C$72))"),"")</f>
        <v/>
      </c>
      <c r="S586" s="61" t="str">
        <f>IFERROR(__xludf.DUMMYFUNCTION("INDIRECT(""'收支紀錄'!S""&amp;TO_TEXT(ROW()-$C$72))"),"群聯抽獎")</f>
        <v>群聯抽獎</v>
      </c>
      <c r="T586" s="61" t="str">
        <f>IFERROR(__xludf.DUMMYFUNCTION("INDIRECT(""'收支紀錄'!T""&amp;TO_TEXT(ROW()-$C$72))"),"")</f>
        <v/>
      </c>
      <c r="U586" s="62" t="str">
        <f>IFERROR(__xludf.DUMMYFUNCTION("IF(T586=""是"",TEXTJOIN("""", TRUE, ""$"", TO_TEXT(C586), S586),"""")"),"")</f>
        <v/>
      </c>
    </row>
    <row r="587">
      <c r="A587" s="58">
        <f>IFERROR(__xludf.DUMMYFUNCTION("INDIRECT(""'收支紀錄'!A""&amp;TO_TEXT(ROW()-$C$72))"),45673.50628883102)</f>
        <v>45673.50629</v>
      </c>
      <c r="B587" s="59">
        <f>IFERROR(__xludf.DUMMYFUNCTION("IF(ISBLANK(D587), """", IF(ISDATE(D587), D587, IF(D587=""今天"", A587, IF(D587=""昨天 (-1 day)"", A587-1, IF(D587=""前天 (-2 days)"", A587-2, IF(D587=""明天 (+1 day)"", A587+1, DATE(LEFT(D587,4), MID(D587,5,2), RIGHT(D587,2))))))))"),45673.50628883102)</f>
        <v>45673.50629</v>
      </c>
      <c r="C587" s="60">
        <f>IFERROR(__xludf.DUMMYFUNCTION("INDIRECT(""'收支紀錄'!C""&amp;TO_TEXT(ROW()-$C$72))"),698.0)</f>
        <v>698</v>
      </c>
      <c r="D587" s="63" t="str">
        <f>IFERROR(__xludf.DUMMYFUNCTION("INDIRECT(""'收支紀錄'!D""&amp;TO_TEXT(ROW()-$C$72))"),"今天")</f>
        <v>今天</v>
      </c>
      <c r="E587" s="61" t="str">
        <f>IFERROR(__xludf.DUMMYFUNCTION("INDIRECT(""'收支紀錄'!E""&amp;TO_TEXT(ROW()-$C$72))"),"")</f>
        <v/>
      </c>
      <c r="F587" s="61" t="str">
        <f>IFERROR(__xludf.DUMMYFUNCTION("INDIRECT(""'收支紀錄'!F""&amp;TO_TEXT(ROW()-$C$72))"),"")</f>
        <v/>
      </c>
      <c r="G587" s="61" t="str">
        <f>IFERROR(__xludf.DUMMYFUNCTION("INDIRECT(""'收支紀錄'!G""&amp;TO_TEXT(ROW()-$C$72))"),"")</f>
        <v/>
      </c>
      <c r="H587" s="61" t="str">
        <f>IFERROR(__xludf.DUMMYFUNCTION("INDIRECT(""'收支紀錄'!H""&amp;TO_TEXT(ROW()-$C$72))"),"日常生活")</f>
        <v>日常生活</v>
      </c>
      <c r="I587" s="61" t="str">
        <f>IFERROR(__xludf.DUMMYFUNCTION("INDIRECT(""'收支紀錄'!I""&amp;TO_TEXT(ROW()-$C$72))"),"")</f>
        <v/>
      </c>
      <c r="J587" s="61" t="str">
        <f>IFERROR(__xludf.DUMMYFUNCTION("INDIRECT(""'收支紀錄'!J""&amp;TO_TEXT(ROW()-$C$72))"),"電話費")</f>
        <v>電話費</v>
      </c>
      <c r="K587" s="61" t="str">
        <f>IFERROR(__xludf.DUMMYFUNCTION("INDIRECT(""'收支紀錄'!K""&amp;TO_TEXT(ROW()-$C$72))"),"")</f>
        <v/>
      </c>
      <c r="L587" s="61" t="str">
        <f>IFERROR(__xludf.DUMMYFUNCTION("INDIRECT(""'收支紀錄'!L""&amp;TO_TEXT(ROW()-$C$72))"),"")</f>
        <v/>
      </c>
      <c r="M587" s="61" t="str">
        <f>IFERROR(__xludf.DUMMYFUNCTION("INDIRECT(""'收支紀錄'!M""&amp;TO_TEXT(ROW()-$C$72))"),"")</f>
        <v/>
      </c>
      <c r="N587" s="61" t="str">
        <f>IFERROR(__xludf.DUMMYFUNCTION("INDIRECT(""'收支紀錄'!N""&amp;TO_TEXT(ROW()-$C$72))"),"")</f>
        <v/>
      </c>
      <c r="O587" s="61" t="str">
        <f>IFERROR(__xludf.DUMMYFUNCTION("INDIRECT(""'收支紀錄'!O""&amp;TO_TEXT(ROW()-$C$72))"),"")</f>
        <v/>
      </c>
      <c r="P587" s="61" t="str">
        <f>IFERROR(__xludf.DUMMYFUNCTION("INDIRECT(""'收支紀錄'!P""&amp;TO_TEXT(ROW()-$C$72))"),"")</f>
        <v/>
      </c>
      <c r="Q587" s="61" t="str">
        <f>IFERROR(__xludf.DUMMYFUNCTION("INDIRECT(""'收支紀錄'!Q""&amp;TO_TEXT(ROW()-$C$72))"),"")</f>
        <v/>
      </c>
      <c r="R587" s="61" t="str">
        <f>IFERROR(__xludf.DUMMYFUNCTION("INDIRECT(""'收支紀錄'!R""&amp;TO_TEXT(ROW()-$C$72))"),"")</f>
        <v/>
      </c>
      <c r="S587" s="61" t="str">
        <f>IFERROR(__xludf.DUMMYFUNCTION("INDIRECT(""'收支紀錄'!S""&amp;TO_TEXT(ROW()-$C$72))"),"")</f>
        <v/>
      </c>
      <c r="T587" s="61" t="str">
        <f>IFERROR(__xludf.DUMMYFUNCTION("INDIRECT(""'收支紀錄'!T""&amp;TO_TEXT(ROW()-$C$72))"),"")</f>
        <v/>
      </c>
      <c r="U587" s="62" t="str">
        <f>IFERROR(__xludf.DUMMYFUNCTION("IF(T587=""是"",TEXTJOIN("""", TRUE, ""$"", TO_TEXT(C587), S587),"""")"),"")</f>
        <v/>
      </c>
    </row>
    <row r="588">
      <c r="A588" s="58">
        <f>IFERROR(__xludf.DUMMYFUNCTION("INDIRECT(""'收支紀錄'!A""&amp;TO_TEXT(ROW()-$C$72))"),45673.693918206016)</f>
        <v>45673.69392</v>
      </c>
      <c r="B588" s="59">
        <f>IFERROR(__xludf.DUMMYFUNCTION("IF(ISBLANK(D588), """", IF(ISDATE(D588), D588, IF(D588=""今天"", A588, IF(D588=""昨天 (-1 day)"", A588-1, IF(D588=""前天 (-2 days)"", A588-2, IF(D588=""明天 (+1 day)"", A588+1, DATE(LEFT(D588,4), MID(D588,5,2), RIGHT(D588,2))))))))"),45673.693918206016)</f>
        <v>45673.69392</v>
      </c>
      <c r="C588" s="60">
        <f>IFERROR(__xludf.DUMMYFUNCTION("INDIRECT(""'收支紀錄'!C""&amp;TO_TEXT(ROW()-$C$72))"),152.0)</f>
        <v>152</v>
      </c>
      <c r="D588" s="63" t="str">
        <f>IFERROR(__xludf.DUMMYFUNCTION("INDIRECT(""'收支紀錄'!D""&amp;TO_TEXT(ROW()-$C$72))"),"今天")</f>
        <v>今天</v>
      </c>
      <c r="E588" s="61" t="str">
        <f>IFERROR(__xludf.DUMMYFUNCTION("INDIRECT(""'收支紀錄'!E""&amp;TO_TEXT(ROW()-$C$72))"),"")</f>
        <v/>
      </c>
      <c r="F588" s="61" t="str">
        <f>IFERROR(__xludf.DUMMYFUNCTION("INDIRECT(""'收支紀錄'!F""&amp;TO_TEXT(ROW()-$C$72))"),"")</f>
        <v/>
      </c>
      <c r="G588" s="61" t="str">
        <f>IFERROR(__xludf.DUMMYFUNCTION("INDIRECT(""'收支紀錄'!G""&amp;TO_TEXT(ROW()-$C$72))"),"")</f>
        <v/>
      </c>
      <c r="H588" s="61" t="str">
        <f>IFERROR(__xludf.DUMMYFUNCTION("INDIRECT(""'收支紀錄'!H""&amp;TO_TEXT(ROW()-$C$72))"),"行車交通")</f>
        <v>行車交通</v>
      </c>
      <c r="I588" s="61" t="str">
        <f>IFERROR(__xludf.DUMMYFUNCTION("INDIRECT(""'收支紀錄'!I""&amp;TO_TEXT(ROW()-$C$72))"),"")</f>
        <v/>
      </c>
      <c r="J588" s="61" t="str">
        <f>IFERROR(__xludf.DUMMYFUNCTION("INDIRECT(""'收支紀錄'!J""&amp;TO_TEXT(ROW()-$C$72))"),"")</f>
        <v/>
      </c>
      <c r="K588" s="61" t="str">
        <f>IFERROR(__xludf.DUMMYFUNCTION("INDIRECT(""'收支紀錄'!K""&amp;TO_TEXT(ROW()-$C$72))"),"")</f>
        <v/>
      </c>
      <c r="L588" s="61" t="str">
        <f>IFERROR(__xludf.DUMMYFUNCTION("INDIRECT(""'收支紀錄'!L""&amp;TO_TEXT(ROW()-$C$72))"),"加油")</f>
        <v>加油</v>
      </c>
      <c r="M588" s="61" t="str">
        <f>IFERROR(__xludf.DUMMYFUNCTION("INDIRECT(""'收支紀錄'!M""&amp;TO_TEXT(ROW()-$C$72))"),"")</f>
        <v/>
      </c>
      <c r="N588" s="61" t="str">
        <f>IFERROR(__xludf.DUMMYFUNCTION("INDIRECT(""'收支紀錄'!N""&amp;TO_TEXT(ROW()-$C$72))"),"")</f>
        <v/>
      </c>
      <c r="O588" s="61" t="str">
        <f>IFERROR(__xludf.DUMMYFUNCTION("INDIRECT(""'收支紀錄'!O""&amp;TO_TEXT(ROW()-$C$72))"),"")</f>
        <v/>
      </c>
      <c r="P588" s="61" t="str">
        <f>IFERROR(__xludf.DUMMYFUNCTION("INDIRECT(""'收支紀錄'!P""&amp;TO_TEXT(ROW()-$C$72))"),"")</f>
        <v/>
      </c>
      <c r="Q588" s="61" t="str">
        <f>IFERROR(__xludf.DUMMYFUNCTION("INDIRECT(""'收支紀錄'!Q""&amp;TO_TEXT(ROW()-$C$72))"),"")</f>
        <v/>
      </c>
      <c r="R588" s="61" t="str">
        <f>IFERROR(__xludf.DUMMYFUNCTION("INDIRECT(""'收支紀錄'!R""&amp;TO_TEXT(ROW()-$C$72))"),"")</f>
        <v/>
      </c>
      <c r="S588" s="61" t="str">
        <f>IFERROR(__xludf.DUMMYFUNCTION("INDIRECT(""'收支紀錄'!S""&amp;TO_TEXT(ROW()-$C$72))"),"")</f>
        <v/>
      </c>
      <c r="T588" s="61" t="str">
        <f>IFERROR(__xludf.DUMMYFUNCTION("INDIRECT(""'收支紀錄'!T""&amp;TO_TEXT(ROW()-$C$72))"),"")</f>
        <v/>
      </c>
      <c r="U588" s="62" t="str">
        <f>IFERROR(__xludf.DUMMYFUNCTION("IF(T588=""是"",TEXTJOIN("""", TRUE, ""$"", TO_TEXT(C588), S588),"""")"),"")</f>
        <v/>
      </c>
    </row>
    <row r="589">
      <c r="A589" s="58">
        <f>IFERROR(__xludf.DUMMYFUNCTION("INDIRECT(""'收支紀錄'!A""&amp;TO_TEXT(ROW()-$C$72))"),45673.8661284838)</f>
        <v>45673.86613</v>
      </c>
      <c r="B589" s="59">
        <f>IFERROR(__xludf.DUMMYFUNCTION("IF(ISBLANK(D589), """", IF(ISDATE(D589), D589, IF(D589=""今天"", A589, IF(D589=""昨天 (-1 day)"", A589-1, IF(D589=""前天 (-2 days)"", A589-2, IF(D589=""明天 (+1 day)"", A589+1, DATE(LEFT(D589,4), MID(D589,5,2), RIGHT(D589,2))))))))"),45673.8661284838)</f>
        <v>45673.86613</v>
      </c>
      <c r="C589" s="60">
        <f>IFERROR(__xludf.DUMMYFUNCTION("INDIRECT(""'收支紀錄'!C""&amp;TO_TEXT(ROW()-$C$72))"),40.0)</f>
        <v>40</v>
      </c>
      <c r="D589" s="63" t="str">
        <f>IFERROR(__xludf.DUMMYFUNCTION("INDIRECT(""'收支紀錄'!D""&amp;TO_TEXT(ROW()-$C$72))"),"今天")</f>
        <v>今天</v>
      </c>
      <c r="E589" s="61" t="str">
        <f>IFERROR(__xludf.DUMMYFUNCTION("INDIRECT(""'收支紀錄'!E""&amp;TO_TEXT(ROW()-$C$72))"),"")</f>
        <v/>
      </c>
      <c r="F589" s="61" t="str">
        <f>IFERROR(__xludf.DUMMYFUNCTION("INDIRECT(""'收支紀錄'!F""&amp;TO_TEXT(ROW()-$C$72))"),"")</f>
        <v/>
      </c>
      <c r="G589" s="61" t="str">
        <f>IFERROR(__xludf.DUMMYFUNCTION("INDIRECT(""'收支紀錄'!G""&amp;TO_TEXT(ROW()-$C$72))"),"")</f>
        <v/>
      </c>
      <c r="H589" s="61" t="str">
        <f>IFERROR(__xludf.DUMMYFUNCTION("INDIRECT(""'收支紀錄'!H""&amp;TO_TEXT(ROW()-$C$72))"),"食品酒水")</f>
        <v>食品酒水</v>
      </c>
      <c r="I589" s="61" t="str">
        <f>IFERROR(__xludf.DUMMYFUNCTION("INDIRECT(""'收支紀錄'!I""&amp;TO_TEXT(ROW()-$C$72))"),"飲料酒水")</f>
        <v>飲料酒水</v>
      </c>
      <c r="J589" s="61" t="str">
        <f>IFERROR(__xludf.DUMMYFUNCTION("INDIRECT(""'收支紀錄'!J""&amp;TO_TEXT(ROW()-$C$72))"),"")</f>
        <v/>
      </c>
      <c r="K589" s="61" t="str">
        <f>IFERROR(__xludf.DUMMYFUNCTION("INDIRECT(""'收支紀錄'!K""&amp;TO_TEXT(ROW()-$C$72))"),"")</f>
        <v/>
      </c>
      <c r="L589" s="61" t="str">
        <f>IFERROR(__xludf.DUMMYFUNCTION("INDIRECT(""'收支紀錄'!L""&amp;TO_TEXT(ROW()-$C$72))"),"")</f>
        <v/>
      </c>
      <c r="M589" s="61" t="str">
        <f>IFERROR(__xludf.DUMMYFUNCTION("INDIRECT(""'收支紀錄'!M""&amp;TO_TEXT(ROW()-$C$72))"),"")</f>
        <v/>
      </c>
      <c r="N589" s="61" t="str">
        <f>IFERROR(__xludf.DUMMYFUNCTION("INDIRECT(""'收支紀錄'!N""&amp;TO_TEXT(ROW()-$C$72))"),"")</f>
        <v/>
      </c>
      <c r="O589" s="61" t="str">
        <f>IFERROR(__xludf.DUMMYFUNCTION("INDIRECT(""'收支紀錄'!O""&amp;TO_TEXT(ROW()-$C$72))"),"")</f>
        <v/>
      </c>
      <c r="P589" s="61" t="str">
        <f>IFERROR(__xludf.DUMMYFUNCTION("INDIRECT(""'收支紀錄'!P""&amp;TO_TEXT(ROW()-$C$72))"),"")</f>
        <v/>
      </c>
      <c r="Q589" s="61" t="str">
        <f>IFERROR(__xludf.DUMMYFUNCTION("INDIRECT(""'收支紀錄'!Q""&amp;TO_TEXT(ROW()-$C$72))"),"")</f>
        <v/>
      </c>
      <c r="R589" s="61" t="str">
        <f>IFERROR(__xludf.DUMMYFUNCTION("INDIRECT(""'收支紀錄'!R""&amp;TO_TEXT(ROW()-$C$72))"),"")</f>
        <v/>
      </c>
      <c r="S589" s="61" t="str">
        <f>IFERROR(__xludf.DUMMYFUNCTION("INDIRECT(""'收支紀錄'!S""&amp;TO_TEXT(ROW()-$C$72))"),"")</f>
        <v/>
      </c>
      <c r="T589" s="61" t="str">
        <f>IFERROR(__xludf.DUMMYFUNCTION("INDIRECT(""'收支紀錄'!T""&amp;TO_TEXT(ROW()-$C$72))"),"")</f>
        <v/>
      </c>
      <c r="U589" s="62" t="str">
        <f>IFERROR(__xludf.DUMMYFUNCTION("IF(T589=""是"",TEXTJOIN("""", TRUE, ""$"", TO_TEXT(C589), S589),"""")"),"")</f>
        <v/>
      </c>
    </row>
    <row r="590">
      <c r="A590" s="58">
        <f>IFERROR(__xludf.DUMMYFUNCTION("INDIRECT(""'收支紀錄'!A""&amp;TO_TEXT(ROW()-$C$72))"),45673.86648243056)</f>
        <v>45673.86648</v>
      </c>
      <c r="B590" s="59">
        <f>IFERROR(__xludf.DUMMYFUNCTION("IF(ISBLANK(D590), """", IF(ISDATE(D590), D590, IF(D590=""今天"", A590, IF(D590=""昨天 (-1 day)"", A590-1, IF(D590=""前天 (-2 days)"", A590-2, IF(D590=""明天 (+1 day)"", A590+1, DATE(LEFT(D590,4), MID(D590,5,2), RIGHT(D590,2))))))))"),45673.86648243056)</f>
        <v>45673.86648</v>
      </c>
      <c r="C590" s="60">
        <f>IFERROR(__xludf.DUMMYFUNCTION("INDIRECT(""'收支紀錄'!C""&amp;TO_TEXT(ROW()-$C$72))"),410.0)</f>
        <v>410</v>
      </c>
      <c r="D590" s="63" t="str">
        <f>IFERROR(__xludf.DUMMYFUNCTION("INDIRECT(""'收支紀錄'!D""&amp;TO_TEXT(ROW()-$C$72))"),"今天")</f>
        <v>今天</v>
      </c>
      <c r="E590" s="61" t="str">
        <f>IFERROR(__xludf.DUMMYFUNCTION("INDIRECT(""'收支紀錄'!E""&amp;TO_TEXT(ROW()-$C$72))"),"")</f>
        <v/>
      </c>
      <c r="F590" s="61" t="str">
        <f>IFERROR(__xludf.DUMMYFUNCTION("INDIRECT(""'收支紀錄'!F""&amp;TO_TEXT(ROW()-$C$72))"),"")</f>
        <v/>
      </c>
      <c r="G590" s="61" t="str">
        <f>IFERROR(__xludf.DUMMYFUNCTION("INDIRECT(""'收支紀錄'!G""&amp;TO_TEXT(ROW()-$C$72))"),"")</f>
        <v/>
      </c>
      <c r="H590" s="61" t="str">
        <f>IFERROR(__xludf.DUMMYFUNCTION("INDIRECT(""'收支紀錄'!H""&amp;TO_TEXT(ROW()-$C$72))"),"休閒娛樂")</f>
        <v>休閒娛樂</v>
      </c>
      <c r="I590" s="61" t="str">
        <f>IFERROR(__xludf.DUMMYFUNCTION("INDIRECT(""'收支紀錄'!I""&amp;TO_TEXT(ROW()-$C$72))"),"")</f>
        <v/>
      </c>
      <c r="J590" s="61" t="str">
        <f>IFERROR(__xludf.DUMMYFUNCTION("INDIRECT(""'收支紀錄'!J""&amp;TO_TEXT(ROW()-$C$72))"),"")</f>
        <v/>
      </c>
      <c r="K590" s="61" t="str">
        <f>IFERROR(__xludf.DUMMYFUNCTION("INDIRECT(""'收支紀錄'!K""&amp;TO_TEXT(ROW()-$C$72))"),"")</f>
        <v/>
      </c>
      <c r="L590" s="61" t="str">
        <f>IFERROR(__xludf.DUMMYFUNCTION("INDIRECT(""'收支紀錄'!L""&amp;TO_TEXT(ROW()-$C$72))"),"")</f>
        <v/>
      </c>
      <c r="M590" s="61" t="str">
        <f>IFERROR(__xludf.DUMMYFUNCTION("INDIRECT(""'收支紀錄'!M""&amp;TO_TEXT(ROW()-$C$72))"),"休閒玩樂")</f>
        <v>休閒玩樂</v>
      </c>
      <c r="N590" s="61" t="str">
        <f>IFERROR(__xludf.DUMMYFUNCTION("INDIRECT(""'收支紀錄'!N""&amp;TO_TEXT(ROW()-$C$72))"),"")</f>
        <v/>
      </c>
      <c r="O590" s="61" t="str">
        <f>IFERROR(__xludf.DUMMYFUNCTION("INDIRECT(""'收支紀錄'!O""&amp;TO_TEXT(ROW()-$C$72))"),"")</f>
        <v/>
      </c>
      <c r="P590" s="61" t="str">
        <f>IFERROR(__xludf.DUMMYFUNCTION("INDIRECT(""'收支紀錄'!P""&amp;TO_TEXT(ROW()-$C$72))"),"")</f>
        <v/>
      </c>
      <c r="Q590" s="61" t="str">
        <f>IFERROR(__xludf.DUMMYFUNCTION("INDIRECT(""'收支紀錄'!Q""&amp;TO_TEXT(ROW()-$C$72))"),"")</f>
        <v/>
      </c>
      <c r="R590" s="61" t="str">
        <f>IFERROR(__xludf.DUMMYFUNCTION("INDIRECT(""'收支紀錄'!R""&amp;TO_TEXT(ROW()-$C$72))"),"")</f>
        <v/>
      </c>
      <c r="S590" s="61" t="str">
        <f>IFERROR(__xludf.DUMMYFUNCTION("INDIRECT(""'收支紀錄'!S""&amp;TO_TEXT(ROW()-$C$72))"),"同事好樂迪")</f>
        <v>同事好樂迪</v>
      </c>
      <c r="T590" s="61" t="str">
        <f>IFERROR(__xludf.DUMMYFUNCTION("INDIRECT(""'收支紀錄'!T""&amp;TO_TEXT(ROW()-$C$72))"),"否")</f>
        <v>否</v>
      </c>
      <c r="U590" s="62" t="str">
        <f>IFERROR(__xludf.DUMMYFUNCTION("IF(T590=""是"",TEXTJOIN("""", TRUE, ""$"", TO_TEXT(C590), S590),"""")"),"")</f>
        <v/>
      </c>
    </row>
    <row r="591">
      <c r="A591" s="58">
        <f>IFERROR(__xludf.DUMMYFUNCTION("INDIRECT(""'收支紀錄'!A""&amp;TO_TEXT(ROW()-$C$72))"),45674.391208796296)</f>
        <v>45674.39121</v>
      </c>
      <c r="B591" s="59">
        <f>IFERROR(__xludf.DUMMYFUNCTION("IF(ISBLANK(D591), """", IF(ISDATE(D591), D591, IF(D591=""今天"", A591, IF(D591=""昨天 (-1 day)"", A591-1, IF(D591=""前天 (-2 days)"", A591-2, IF(D591=""明天 (+1 day)"", A591+1, DATE(LEFT(D591,4), MID(D591,5,2), RIGHT(D591,2))))))))"),45674.391208796296)</f>
        <v>45674.39121</v>
      </c>
      <c r="C591" s="60">
        <f>IFERROR(__xludf.DUMMYFUNCTION("INDIRECT(""'收支紀錄'!C""&amp;TO_TEXT(ROW()-$C$72))"),58.0)</f>
        <v>58</v>
      </c>
      <c r="D591" s="63" t="str">
        <f>IFERROR(__xludf.DUMMYFUNCTION("INDIRECT(""'收支紀錄'!D""&amp;TO_TEXT(ROW()-$C$72))"),"今天")</f>
        <v>今天</v>
      </c>
      <c r="E591" s="61" t="str">
        <f>IFERROR(__xludf.DUMMYFUNCTION("INDIRECT(""'收支紀錄'!E""&amp;TO_TEXT(ROW()-$C$72))"),"")</f>
        <v/>
      </c>
      <c r="F591" s="61" t="str">
        <f>IFERROR(__xludf.DUMMYFUNCTION("INDIRECT(""'收支紀錄'!F""&amp;TO_TEXT(ROW()-$C$72))"),"")</f>
        <v/>
      </c>
      <c r="G591" s="61" t="str">
        <f>IFERROR(__xludf.DUMMYFUNCTION("INDIRECT(""'收支紀錄'!G""&amp;TO_TEXT(ROW()-$C$72))"),"")</f>
        <v/>
      </c>
      <c r="H591" s="61" t="str">
        <f>IFERROR(__xludf.DUMMYFUNCTION("INDIRECT(""'收支紀錄'!H""&amp;TO_TEXT(ROW()-$C$72))"),"食品酒水")</f>
        <v>食品酒水</v>
      </c>
      <c r="I591" s="61" t="str">
        <f>IFERROR(__xludf.DUMMYFUNCTION("INDIRECT(""'收支紀錄'!I""&amp;TO_TEXT(ROW()-$C$72))"),"早餐")</f>
        <v>早餐</v>
      </c>
      <c r="J591" s="61" t="str">
        <f>IFERROR(__xludf.DUMMYFUNCTION("INDIRECT(""'收支紀錄'!J""&amp;TO_TEXT(ROW()-$C$72))"),"")</f>
        <v/>
      </c>
      <c r="K591" s="61" t="str">
        <f>IFERROR(__xludf.DUMMYFUNCTION("INDIRECT(""'收支紀錄'!K""&amp;TO_TEXT(ROW()-$C$72))"),"")</f>
        <v/>
      </c>
      <c r="L591" s="61" t="str">
        <f>IFERROR(__xludf.DUMMYFUNCTION("INDIRECT(""'收支紀錄'!L""&amp;TO_TEXT(ROW()-$C$72))"),"")</f>
        <v/>
      </c>
      <c r="M591" s="61" t="str">
        <f>IFERROR(__xludf.DUMMYFUNCTION("INDIRECT(""'收支紀錄'!M""&amp;TO_TEXT(ROW()-$C$72))"),"")</f>
        <v/>
      </c>
      <c r="N591" s="61" t="str">
        <f>IFERROR(__xludf.DUMMYFUNCTION("INDIRECT(""'收支紀錄'!N""&amp;TO_TEXT(ROW()-$C$72))"),"")</f>
        <v/>
      </c>
      <c r="O591" s="61" t="str">
        <f>IFERROR(__xludf.DUMMYFUNCTION("INDIRECT(""'收支紀錄'!O""&amp;TO_TEXT(ROW()-$C$72))"),"")</f>
        <v/>
      </c>
      <c r="P591" s="61" t="str">
        <f>IFERROR(__xludf.DUMMYFUNCTION("INDIRECT(""'收支紀錄'!P""&amp;TO_TEXT(ROW()-$C$72))"),"")</f>
        <v/>
      </c>
      <c r="Q591" s="61" t="str">
        <f>IFERROR(__xludf.DUMMYFUNCTION("INDIRECT(""'收支紀錄'!Q""&amp;TO_TEXT(ROW()-$C$72))"),"")</f>
        <v/>
      </c>
      <c r="R591" s="61" t="str">
        <f>IFERROR(__xludf.DUMMYFUNCTION("INDIRECT(""'收支紀錄'!R""&amp;TO_TEXT(ROW()-$C$72))"),"")</f>
        <v/>
      </c>
      <c r="S591" s="61" t="str">
        <f>IFERROR(__xludf.DUMMYFUNCTION("INDIRECT(""'收支紀錄'!S""&amp;TO_TEXT(ROW()-$C$72))"),"")</f>
        <v/>
      </c>
      <c r="T591" s="61" t="str">
        <f>IFERROR(__xludf.DUMMYFUNCTION("INDIRECT(""'收支紀錄'!T""&amp;TO_TEXT(ROW()-$C$72))"),"")</f>
        <v/>
      </c>
      <c r="U591" s="62" t="str">
        <f>IFERROR(__xludf.DUMMYFUNCTION("IF(T591=""是"",TEXTJOIN("""", TRUE, ""$"", TO_TEXT(C591), S591),"""")"),"")</f>
        <v/>
      </c>
    </row>
    <row r="592">
      <c r="A592" s="58">
        <f>IFERROR(__xludf.DUMMYFUNCTION("INDIRECT(""'收支紀錄'!A""&amp;TO_TEXT(ROW()-$C$72))"),45674.474130208335)</f>
        <v>45674.47413</v>
      </c>
      <c r="B592" s="59">
        <f>IFERROR(__xludf.DUMMYFUNCTION("IF(ISBLANK(D592), """", IF(ISDATE(D592), D592, IF(D592=""今天"", A592, IF(D592=""昨天 (-1 day)"", A592-1, IF(D592=""前天 (-2 days)"", A592-2, IF(D592=""明天 (+1 day)"", A592+1, DATE(LEFT(D592,4), MID(D592,5,2), RIGHT(D592,2))))))))"),45674.474130208335)</f>
        <v>45674.47413</v>
      </c>
      <c r="C592" s="60">
        <f>IFERROR(__xludf.DUMMYFUNCTION("INDIRECT(""'收支紀錄'!C""&amp;TO_TEXT(ROW()-$C$72))"),125.0)</f>
        <v>125</v>
      </c>
      <c r="D592" s="63" t="str">
        <f>IFERROR(__xludf.DUMMYFUNCTION("INDIRECT(""'收支紀錄'!D""&amp;TO_TEXT(ROW()-$C$72))"),"今天")</f>
        <v>今天</v>
      </c>
      <c r="E592" s="61" t="str">
        <f>IFERROR(__xludf.DUMMYFUNCTION("INDIRECT(""'收支紀錄'!E""&amp;TO_TEXT(ROW()-$C$72))"),"")</f>
        <v/>
      </c>
      <c r="F592" s="61" t="str">
        <f>IFERROR(__xludf.DUMMYFUNCTION("INDIRECT(""'收支紀錄'!F""&amp;TO_TEXT(ROW()-$C$72))"),"")</f>
        <v/>
      </c>
      <c r="G592" s="61" t="str">
        <f>IFERROR(__xludf.DUMMYFUNCTION("INDIRECT(""'收支紀錄'!G""&amp;TO_TEXT(ROW()-$C$72))"),"")</f>
        <v/>
      </c>
      <c r="H592" s="61" t="str">
        <f>IFERROR(__xludf.DUMMYFUNCTION("INDIRECT(""'收支紀錄'!H""&amp;TO_TEXT(ROW()-$C$72))"),"食品酒水")</f>
        <v>食品酒水</v>
      </c>
      <c r="I592" s="61" t="str">
        <f>IFERROR(__xludf.DUMMYFUNCTION("INDIRECT(""'收支紀錄'!I""&amp;TO_TEXT(ROW()-$C$72))"),"午餐")</f>
        <v>午餐</v>
      </c>
      <c r="J592" s="61" t="str">
        <f>IFERROR(__xludf.DUMMYFUNCTION("INDIRECT(""'收支紀錄'!J""&amp;TO_TEXT(ROW()-$C$72))"),"")</f>
        <v/>
      </c>
      <c r="K592" s="61" t="str">
        <f>IFERROR(__xludf.DUMMYFUNCTION("INDIRECT(""'收支紀錄'!K""&amp;TO_TEXT(ROW()-$C$72))"),"")</f>
        <v/>
      </c>
      <c r="L592" s="61" t="str">
        <f>IFERROR(__xludf.DUMMYFUNCTION("INDIRECT(""'收支紀錄'!L""&amp;TO_TEXT(ROW()-$C$72))"),"")</f>
        <v/>
      </c>
      <c r="M592" s="61" t="str">
        <f>IFERROR(__xludf.DUMMYFUNCTION("INDIRECT(""'收支紀錄'!M""&amp;TO_TEXT(ROW()-$C$72))"),"")</f>
        <v/>
      </c>
      <c r="N592" s="61" t="str">
        <f>IFERROR(__xludf.DUMMYFUNCTION("INDIRECT(""'收支紀錄'!N""&amp;TO_TEXT(ROW()-$C$72))"),"")</f>
        <v/>
      </c>
      <c r="O592" s="61" t="str">
        <f>IFERROR(__xludf.DUMMYFUNCTION("INDIRECT(""'收支紀錄'!O""&amp;TO_TEXT(ROW()-$C$72))"),"")</f>
        <v/>
      </c>
      <c r="P592" s="61" t="str">
        <f>IFERROR(__xludf.DUMMYFUNCTION("INDIRECT(""'收支紀錄'!P""&amp;TO_TEXT(ROW()-$C$72))"),"")</f>
        <v/>
      </c>
      <c r="Q592" s="61" t="str">
        <f>IFERROR(__xludf.DUMMYFUNCTION("INDIRECT(""'收支紀錄'!Q""&amp;TO_TEXT(ROW()-$C$72))"),"")</f>
        <v/>
      </c>
      <c r="R592" s="61" t="str">
        <f>IFERROR(__xludf.DUMMYFUNCTION("INDIRECT(""'收支紀錄'!R""&amp;TO_TEXT(ROW()-$C$72))"),"")</f>
        <v/>
      </c>
      <c r="S592" s="61" t="str">
        <f>IFERROR(__xludf.DUMMYFUNCTION("INDIRECT(""'收支紀錄'!S""&amp;TO_TEXT(ROW()-$C$72))"),"")</f>
        <v/>
      </c>
      <c r="T592" s="61" t="str">
        <f>IFERROR(__xludf.DUMMYFUNCTION("INDIRECT(""'收支紀錄'!T""&amp;TO_TEXT(ROW()-$C$72))"),"")</f>
        <v/>
      </c>
      <c r="U592" s="62" t="str">
        <f>IFERROR(__xludf.DUMMYFUNCTION("IF(T592=""是"",TEXTJOIN("""", TRUE, ""$"", TO_TEXT(C592), S592),"""")"),"")</f>
        <v/>
      </c>
    </row>
    <row r="593">
      <c r="A593" s="58">
        <f>IFERROR(__xludf.DUMMYFUNCTION("INDIRECT(""'收支紀錄'!A""&amp;TO_TEXT(ROW()-$C$72))"),45674.5792597338)</f>
        <v>45674.57926</v>
      </c>
      <c r="B593" s="59">
        <f>IFERROR(__xludf.DUMMYFUNCTION("IF(ISBLANK(D593), """", IF(ISDATE(D593), D593, IF(D593=""今天"", A593, IF(D593=""昨天 (-1 day)"", A593-1, IF(D593=""前天 (-2 days)"", A593-2, IF(D593=""明天 (+1 day)"", A593+1, DATE(LEFT(D593,4), MID(D593,5,2), RIGHT(D593,2))))))))"),45674.5792597338)</f>
        <v>45674.57926</v>
      </c>
      <c r="C593" s="60">
        <f>IFERROR(__xludf.DUMMYFUNCTION("INDIRECT(""'收支紀錄'!C""&amp;TO_TEXT(ROW()-$C$72))"),116.0)</f>
        <v>116</v>
      </c>
      <c r="D593" s="63" t="str">
        <f>IFERROR(__xludf.DUMMYFUNCTION("INDIRECT(""'收支紀錄'!D""&amp;TO_TEXT(ROW()-$C$72))"),"今天")</f>
        <v>今天</v>
      </c>
      <c r="E593" s="61" t="str">
        <f>IFERROR(__xludf.DUMMYFUNCTION("INDIRECT(""'收支紀錄'!E""&amp;TO_TEXT(ROW()-$C$72))"),"")</f>
        <v/>
      </c>
      <c r="F593" s="61" t="str">
        <f>IFERROR(__xludf.DUMMYFUNCTION("INDIRECT(""'收支紀錄'!F""&amp;TO_TEXT(ROW()-$C$72))"),"")</f>
        <v/>
      </c>
      <c r="G593" s="61" t="str">
        <f>IFERROR(__xludf.DUMMYFUNCTION("INDIRECT(""'收支紀錄'!G""&amp;TO_TEXT(ROW()-$C$72))"),"")</f>
        <v/>
      </c>
      <c r="H593" s="61" t="str">
        <f>IFERROR(__xludf.DUMMYFUNCTION("INDIRECT(""'收支紀錄'!H""&amp;TO_TEXT(ROW()-$C$72))"),"行車交通")</f>
        <v>行車交通</v>
      </c>
      <c r="I593" s="61" t="str">
        <f>IFERROR(__xludf.DUMMYFUNCTION("INDIRECT(""'收支紀錄'!I""&amp;TO_TEXT(ROW()-$C$72))"),"")</f>
        <v/>
      </c>
      <c r="J593" s="61" t="str">
        <f>IFERROR(__xludf.DUMMYFUNCTION("INDIRECT(""'收支紀錄'!J""&amp;TO_TEXT(ROW()-$C$72))"),"")</f>
        <v/>
      </c>
      <c r="K593" s="61" t="str">
        <f>IFERROR(__xludf.DUMMYFUNCTION("INDIRECT(""'收支紀錄'!K""&amp;TO_TEXT(ROW()-$C$72))"),"")</f>
        <v/>
      </c>
      <c r="L593" s="61" t="str">
        <f>IFERROR(__xludf.DUMMYFUNCTION("INDIRECT(""'收支紀錄'!L""&amp;TO_TEXT(ROW()-$C$72))"),"計程車/Uber")</f>
        <v>計程車/Uber</v>
      </c>
      <c r="M593" s="61" t="str">
        <f>IFERROR(__xludf.DUMMYFUNCTION("INDIRECT(""'收支紀錄'!M""&amp;TO_TEXT(ROW()-$C$72))"),"")</f>
        <v/>
      </c>
      <c r="N593" s="61" t="str">
        <f>IFERROR(__xludf.DUMMYFUNCTION("INDIRECT(""'收支紀錄'!N""&amp;TO_TEXT(ROW()-$C$72))"),"")</f>
        <v/>
      </c>
      <c r="O593" s="61" t="str">
        <f>IFERROR(__xludf.DUMMYFUNCTION("INDIRECT(""'收支紀錄'!O""&amp;TO_TEXT(ROW()-$C$72))"),"")</f>
        <v/>
      </c>
      <c r="P593" s="61" t="str">
        <f>IFERROR(__xludf.DUMMYFUNCTION("INDIRECT(""'收支紀錄'!P""&amp;TO_TEXT(ROW()-$C$72))"),"")</f>
        <v/>
      </c>
      <c r="Q593" s="61" t="str">
        <f>IFERROR(__xludf.DUMMYFUNCTION("INDIRECT(""'收支紀錄'!Q""&amp;TO_TEXT(ROW()-$C$72))"),"")</f>
        <v/>
      </c>
      <c r="R593" s="61" t="str">
        <f>IFERROR(__xludf.DUMMYFUNCTION("INDIRECT(""'收支紀錄'!R""&amp;TO_TEXT(ROW()-$C$72))"),"")</f>
        <v/>
      </c>
      <c r="S593" s="61" t="str">
        <f>IFERROR(__xludf.DUMMYFUNCTION("INDIRECT(""'收支紀錄'!S""&amp;TO_TEXT(ROW()-$C$72))"),"")</f>
        <v/>
      </c>
      <c r="T593" s="61" t="str">
        <f>IFERROR(__xludf.DUMMYFUNCTION("INDIRECT(""'收支紀錄'!T""&amp;TO_TEXT(ROW()-$C$72))"),"")</f>
        <v/>
      </c>
      <c r="U593" s="62" t="str">
        <f>IFERROR(__xludf.DUMMYFUNCTION("IF(T593=""是"",TEXTJOIN("""", TRUE, ""$"", TO_TEXT(C593), S593),"""")"),"")</f>
        <v/>
      </c>
    </row>
    <row r="594">
      <c r="A594" s="58">
        <f>IFERROR(__xludf.DUMMYFUNCTION("INDIRECT(""'收支紀錄'!A""&amp;TO_TEXT(ROW()-$C$72))"),45674.60051078704)</f>
        <v>45674.60051</v>
      </c>
      <c r="B594" s="59">
        <f>IFERROR(__xludf.DUMMYFUNCTION("IF(ISBLANK(D594), """", IF(ISDATE(D594), D594, IF(D594=""今天"", A594, IF(D594=""昨天 (-1 day)"", A594-1, IF(D594=""前天 (-2 days)"", A594-2, IF(D594=""明天 (+1 day)"", A594+1, DATE(LEFT(D594,4), MID(D594,5,2), RIGHT(D594,2))))))))"),45674.60051078704)</f>
        <v>45674.60051</v>
      </c>
      <c r="C594" s="60">
        <f>IFERROR(__xludf.DUMMYFUNCTION("INDIRECT(""'收支紀錄'!C""&amp;TO_TEXT(ROW()-$C$72))"),270.0)</f>
        <v>270</v>
      </c>
      <c r="D594" s="63" t="str">
        <f>IFERROR(__xludf.DUMMYFUNCTION("INDIRECT(""'收支紀錄'!D""&amp;TO_TEXT(ROW()-$C$72))"),"今天")</f>
        <v>今天</v>
      </c>
      <c r="E594" s="61" t="str">
        <f>IFERROR(__xludf.DUMMYFUNCTION("INDIRECT(""'收支紀錄'!E""&amp;TO_TEXT(ROW()-$C$72))"),"")</f>
        <v/>
      </c>
      <c r="F594" s="61" t="str">
        <f>IFERROR(__xludf.DUMMYFUNCTION("INDIRECT(""'收支紀錄'!F""&amp;TO_TEXT(ROW()-$C$72))"),"")</f>
        <v/>
      </c>
      <c r="G594" s="61" t="str">
        <f>IFERROR(__xludf.DUMMYFUNCTION("INDIRECT(""'收支紀錄'!G""&amp;TO_TEXT(ROW()-$C$72))"),"")</f>
        <v/>
      </c>
      <c r="H594" s="61" t="str">
        <f>IFERROR(__xludf.DUMMYFUNCTION("INDIRECT(""'收支紀錄'!H""&amp;TO_TEXT(ROW()-$C$72))"),"行車交通")</f>
        <v>行車交通</v>
      </c>
      <c r="I594" s="61" t="str">
        <f>IFERROR(__xludf.DUMMYFUNCTION("INDIRECT(""'收支紀錄'!I""&amp;TO_TEXT(ROW()-$C$72))"),"")</f>
        <v/>
      </c>
      <c r="J594" s="61" t="str">
        <f>IFERROR(__xludf.DUMMYFUNCTION("INDIRECT(""'收支紀錄'!J""&amp;TO_TEXT(ROW()-$C$72))"),"")</f>
        <v/>
      </c>
      <c r="K594" s="61" t="str">
        <f>IFERROR(__xludf.DUMMYFUNCTION("INDIRECT(""'收支紀錄'!K""&amp;TO_TEXT(ROW()-$C$72))"),"")</f>
        <v/>
      </c>
      <c r="L594" s="61" t="str">
        <f>IFERROR(__xludf.DUMMYFUNCTION("INDIRECT(""'收支紀錄'!L""&amp;TO_TEXT(ROW()-$C$72))"),"高鐵")</f>
        <v>高鐵</v>
      </c>
      <c r="M594" s="61" t="str">
        <f>IFERROR(__xludf.DUMMYFUNCTION("INDIRECT(""'收支紀錄'!M""&amp;TO_TEXT(ROW()-$C$72))"),"")</f>
        <v/>
      </c>
      <c r="N594" s="61" t="str">
        <f>IFERROR(__xludf.DUMMYFUNCTION("INDIRECT(""'收支紀錄'!N""&amp;TO_TEXT(ROW()-$C$72))"),"")</f>
        <v/>
      </c>
      <c r="O594" s="61" t="str">
        <f>IFERROR(__xludf.DUMMYFUNCTION("INDIRECT(""'收支紀錄'!O""&amp;TO_TEXT(ROW()-$C$72))"),"")</f>
        <v/>
      </c>
      <c r="P594" s="61" t="str">
        <f>IFERROR(__xludf.DUMMYFUNCTION("INDIRECT(""'收支紀錄'!P""&amp;TO_TEXT(ROW()-$C$72))"),"")</f>
        <v/>
      </c>
      <c r="Q594" s="61" t="str">
        <f>IFERROR(__xludf.DUMMYFUNCTION("INDIRECT(""'收支紀錄'!Q""&amp;TO_TEXT(ROW()-$C$72))"),"")</f>
        <v/>
      </c>
      <c r="R594" s="61" t="str">
        <f>IFERROR(__xludf.DUMMYFUNCTION("INDIRECT(""'收支紀錄'!R""&amp;TO_TEXT(ROW()-$C$72))"),"")</f>
        <v/>
      </c>
      <c r="S594" s="61" t="str">
        <f>IFERROR(__xludf.DUMMYFUNCTION("INDIRECT(""'收支紀錄'!S""&amp;TO_TEXT(ROW()-$C$72))"),"")</f>
        <v/>
      </c>
      <c r="T594" s="61" t="str">
        <f>IFERROR(__xludf.DUMMYFUNCTION("INDIRECT(""'收支紀錄'!T""&amp;TO_TEXT(ROW()-$C$72))"),"")</f>
        <v/>
      </c>
      <c r="U594" s="62" t="str">
        <f>IFERROR(__xludf.DUMMYFUNCTION("IF(T594=""是"",TEXTJOIN("""", TRUE, ""$"", TO_TEXT(C594), S594),"""")"),"")</f>
        <v/>
      </c>
    </row>
    <row r="595">
      <c r="A595" s="58">
        <f>IFERROR(__xludf.DUMMYFUNCTION("INDIRECT(""'收支紀錄'!A""&amp;TO_TEXT(ROW()-$C$72))"),45674.68989876157)</f>
        <v>45674.6899</v>
      </c>
      <c r="B595" s="59">
        <f>IFERROR(__xludf.DUMMYFUNCTION("IF(ISBLANK(D595), """", IF(ISDATE(D595), D595, IF(D595=""今天"", A595, IF(D595=""昨天 (-1 day)"", A595-1, IF(D595=""前天 (-2 days)"", A595-2, IF(D595=""明天 (+1 day)"", A595+1, DATE(LEFT(D595,4), MID(D595,5,2), RIGHT(D595,2))))))))"),45674.68989876157)</f>
        <v>45674.6899</v>
      </c>
      <c r="C595" s="60">
        <f>IFERROR(__xludf.DUMMYFUNCTION("INDIRECT(""'收支紀錄'!C""&amp;TO_TEXT(ROW()-$C$72))"),59.0)</f>
        <v>59</v>
      </c>
      <c r="D595" s="63" t="str">
        <f>IFERROR(__xludf.DUMMYFUNCTION("INDIRECT(""'收支紀錄'!D""&amp;TO_TEXT(ROW()-$C$72))"),"今天")</f>
        <v>今天</v>
      </c>
      <c r="E595" s="61" t="str">
        <f>IFERROR(__xludf.DUMMYFUNCTION("INDIRECT(""'收支紀錄'!E""&amp;TO_TEXT(ROW()-$C$72))"),"")</f>
        <v/>
      </c>
      <c r="F595" s="61" t="str">
        <f>IFERROR(__xludf.DUMMYFUNCTION("INDIRECT(""'收支紀錄'!F""&amp;TO_TEXT(ROW()-$C$72))"),"")</f>
        <v/>
      </c>
      <c r="G595" s="61" t="str">
        <f>IFERROR(__xludf.DUMMYFUNCTION("INDIRECT(""'收支紀錄'!G""&amp;TO_TEXT(ROW()-$C$72))"),"")</f>
        <v/>
      </c>
      <c r="H595" s="61" t="str">
        <f>IFERROR(__xludf.DUMMYFUNCTION("INDIRECT(""'收支紀錄'!H""&amp;TO_TEXT(ROW()-$C$72))"),"食品酒水")</f>
        <v>食品酒水</v>
      </c>
      <c r="I595" s="61" t="str">
        <f>IFERROR(__xludf.DUMMYFUNCTION("INDIRECT(""'收支紀錄'!I""&amp;TO_TEXT(ROW()-$C$72))"),"晚餐")</f>
        <v>晚餐</v>
      </c>
      <c r="J595" s="61" t="str">
        <f>IFERROR(__xludf.DUMMYFUNCTION("INDIRECT(""'收支紀錄'!J""&amp;TO_TEXT(ROW()-$C$72))"),"")</f>
        <v/>
      </c>
      <c r="K595" s="61" t="str">
        <f>IFERROR(__xludf.DUMMYFUNCTION("INDIRECT(""'收支紀錄'!K""&amp;TO_TEXT(ROW()-$C$72))"),"")</f>
        <v/>
      </c>
      <c r="L595" s="61" t="str">
        <f>IFERROR(__xludf.DUMMYFUNCTION("INDIRECT(""'收支紀錄'!L""&amp;TO_TEXT(ROW()-$C$72))"),"")</f>
        <v/>
      </c>
      <c r="M595" s="61" t="str">
        <f>IFERROR(__xludf.DUMMYFUNCTION("INDIRECT(""'收支紀錄'!M""&amp;TO_TEXT(ROW()-$C$72))"),"")</f>
        <v/>
      </c>
      <c r="N595" s="61" t="str">
        <f>IFERROR(__xludf.DUMMYFUNCTION("INDIRECT(""'收支紀錄'!N""&amp;TO_TEXT(ROW()-$C$72))"),"")</f>
        <v/>
      </c>
      <c r="O595" s="61" t="str">
        <f>IFERROR(__xludf.DUMMYFUNCTION("INDIRECT(""'收支紀錄'!O""&amp;TO_TEXT(ROW()-$C$72))"),"")</f>
        <v/>
      </c>
      <c r="P595" s="61" t="str">
        <f>IFERROR(__xludf.DUMMYFUNCTION("INDIRECT(""'收支紀錄'!P""&amp;TO_TEXT(ROW()-$C$72))"),"")</f>
        <v/>
      </c>
      <c r="Q595" s="61" t="str">
        <f>IFERROR(__xludf.DUMMYFUNCTION("INDIRECT(""'收支紀錄'!Q""&amp;TO_TEXT(ROW()-$C$72))"),"")</f>
        <v/>
      </c>
      <c r="R595" s="61" t="str">
        <f>IFERROR(__xludf.DUMMYFUNCTION("INDIRECT(""'收支紀錄'!R""&amp;TO_TEXT(ROW()-$C$72))"),"")</f>
        <v/>
      </c>
      <c r="S595" s="61" t="str">
        <f>IFERROR(__xludf.DUMMYFUNCTION("INDIRECT(""'收支紀錄'!S""&amp;TO_TEXT(ROW()-$C$72))"),"")</f>
        <v/>
      </c>
      <c r="T595" s="61" t="str">
        <f>IFERROR(__xludf.DUMMYFUNCTION("INDIRECT(""'收支紀錄'!T""&amp;TO_TEXT(ROW()-$C$72))"),"")</f>
        <v/>
      </c>
      <c r="U595" s="62" t="str">
        <f>IFERROR(__xludf.DUMMYFUNCTION("IF(T595=""是"",TEXTJOIN("""", TRUE, ""$"", TO_TEXT(C595), S595),"""")"),"")</f>
        <v/>
      </c>
    </row>
    <row r="596">
      <c r="A596" s="58">
        <f>IFERROR(__xludf.DUMMYFUNCTION("INDIRECT(""'收支紀錄'!A""&amp;TO_TEXT(ROW()-$C$72))"),45674.690126898146)</f>
        <v>45674.69013</v>
      </c>
      <c r="B596" s="59">
        <f>IFERROR(__xludf.DUMMYFUNCTION("IF(ISBLANK(D596), """", IF(ISDATE(D596), D596, IF(D596=""今天"", A596, IF(D596=""昨天 (-1 day)"", A596-1, IF(D596=""前天 (-2 days)"", A596-2, IF(D596=""明天 (+1 day)"", A596+1, DATE(LEFT(D596,4), MID(D596,5,2), RIGHT(D596,2))))))))"),45674.690126898146)</f>
        <v>45674.69013</v>
      </c>
      <c r="C596" s="60">
        <f>IFERROR(__xludf.DUMMYFUNCTION("INDIRECT(""'收支紀錄'!C""&amp;TO_TEXT(ROW()-$C$72))"),35.0)</f>
        <v>35</v>
      </c>
      <c r="D596" s="63" t="str">
        <f>IFERROR(__xludf.DUMMYFUNCTION("INDIRECT(""'收支紀錄'!D""&amp;TO_TEXT(ROW()-$C$72))"),"今天")</f>
        <v>今天</v>
      </c>
      <c r="E596" s="61" t="str">
        <f>IFERROR(__xludf.DUMMYFUNCTION("INDIRECT(""'收支紀錄'!E""&amp;TO_TEXT(ROW()-$C$72))"),"")</f>
        <v/>
      </c>
      <c r="F596" s="61" t="str">
        <f>IFERROR(__xludf.DUMMYFUNCTION("INDIRECT(""'收支紀錄'!F""&amp;TO_TEXT(ROW()-$C$72))"),"")</f>
        <v/>
      </c>
      <c r="G596" s="61" t="str">
        <f>IFERROR(__xludf.DUMMYFUNCTION("INDIRECT(""'收支紀錄'!G""&amp;TO_TEXT(ROW()-$C$72))"),"")</f>
        <v/>
      </c>
      <c r="H596" s="61" t="str">
        <f>IFERROR(__xludf.DUMMYFUNCTION("INDIRECT(""'收支紀錄'!H""&amp;TO_TEXT(ROW()-$C$72))"),"行車交通")</f>
        <v>行車交通</v>
      </c>
      <c r="I596" s="61" t="str">
        <f>IFERROR(__xludf.DUMMYFUNCTION("INDIRECT(""'收支紀錄'!I""&amp;TO_TEXT(ROW()-$C$72))"),"")</f>
        <v/>
      </c>
      <c r="J596" s="61" t="str">
        <f>IFERROR(__xludf.DUMMYFUNCTION("INDIRECT(""'收支紀錄'!J""&amp;TO_TEXT(ROW()-$C$72))"),"")</f>
        <v/>
      </c>
      <c r="K596" s="61" t="str">
        <f>IFERROR(__xludf.DUMMYFUNCTION("INDIRECT(""'收支紀錄'!K""&amp;TO_TEXT(ROW()-$C$72))"),"")</f>
        <v/>
      </c>
      <c r="L596" s="61" t="str">
        <f>IFERROR(__xludf.DUMMYFUNCTION("INDIRECT(""'收支紀錄'!L""&amp;TO_TEXT(ROW()-$C$72))"),"捷運費")</f>
        <v>捷運費</v>
      </c>
      <c r="M596" s="61" t="str">
        <f>IFERROR(__xludf.DUMMYFUNCTION("INDIRECT(""'收支紀錄'!M""&amp;TO_TEXT(ROW()-$C$72))"),"")</f>
        <v/>
      </c>
      <c r="N596" s="61" t="str">
        <f>IFERROR(__xludf.DUMMYFUNCTION("INDIRECT(""'收支紀錄'!N""&amp;TO_TEXT(ROW()-$C$72))"),"")</f>
        <v/>
      </c>
      <c r="O596" s="61" t="str">
        <f>IFERROR(__xludf.DUMMYFUNCTION("INDIRECT(""'收支紀錄'!O""&amp;TO_TEXT(ROW()-$C$72))"),"")</f>
        <v/>
      </c>
      <c r="P596" s="61" t="str">
        <f>IFERROR(__xludf.DUMMYFUNCTION("INDIRECT(""'收支紀錄'!P""&amp;TO_TEXT(ROW()-$C$72))"),"")</f>
        <v/>
      </c>
      <c r="Q596" s="61" t="str">
        <f>IFERROR(__xludf.DUMMYFUNCTION("INDIRECT(""'收支紀錄'!Q""&amp;TO_TEXT(ROW()-$C$72))"),"")</f>
        <v/>
      </c>
      <c r="R596" s="61" t="str">
        <f>IFERROR(__xludf.DUMMYFUNCTION("INDIRECT(""'收支紀錄'!R""&amp;TO_TEXT(ROW()-$C$72))"),"")</f>
        <v/>
      </c>
      <c r="S596" s="61" t="str">
        <f>IFERROR(__xludf.DUMMYFUNCTION("INDIRECT(""'收支紀錄'!S""&amp;TO_TEXT(ROW()-$C$72))"),"")</f>
        <v/>
      </c>
      <c r="T596" s="61" t="str">
        <f>IFERROR(__xludf.DUMMYFUNCTION("INDIRECT(""'收支紀錄'!T""&amp;TO_TEXT(ROW()-$C$72))"),"")</f>
        <v/>
      </c>
      <c r="U596" s="62" t="str">
        <f>IFERROR(__xludf.DUMMYFUNCTION("IF(T596=""是"",TEXTJOIN("""", TRUE, ""$"", TO_TEXT(C596), S596),"""")"),"")</f>
        <v/>
      </c>
    </row>
    <row r="597">
      <c r="A597" s="58">
        <f>IFERROR(__xludf.DUMMYFUNCTION("INDIRECT(""'收支紀錄'!A""&amp;TO_TEXT(ROW()-$C$72))"),45676.06277478009)</f>
        <v>45676.06277</v>
      </c>
      <c r="B597" s="59">
        <f>IFERROR(__xludf.DUMMYFUNCTION("IF(ISBLANK(D597), """", IF(ISDATE(D597), D597, IF(D597=""今天"", A597, IF(D597=""昨天 (-1 day)"", A597-1, IF(D597=""前天 (-2 days)"", A597-2, IF(D597=""明天 (+1 day)"", A597+1, DATE(LEFT(D597,4), MID(D597,5,2), RIGHT(D597,2))))))))"),45674.06277478009)</f>
        <v>45674.06277</v>
      </c>
      <c r="C597" s="60">
        <f>IFERROR(__xludf.DUMMYFUNCTION("INDIRECT(""'收支紀錄'!C""&amp;TO_TEXT(ROW()-$C$72))"),495.0)</f>
        <v>495</v>
      </c>
      <c r="D597" s="63" t="str">
        <f>IFERROR(__xludf.DUMMYFUNCTION("INDIRECT(""'收支紀錄'!D""&amp;TO_TEXT(ROW()-$C$72))"),"前天 (-2 days)")</f>
        <v>前天 (-2 days)</v>
      </c>
      <c r="E597" s="61" t="str">
        <f>IFERROR(__xludf.DUMMYFUNCTION("INDIRECT(""'收支紀錄'!E""&amp;TO_TEXT(ROW()-$C$72))"),"")</f>
        <v/>
      </c>
      <c r="F597" s="61" t="str">
        <f>IFERROR(__xludf.DUMMYFUNCTION("INDIRECT(""'收支紀錄'!F""&amp;TO_TEXT(ROW()-$C$72))"),"")</f>
        <v/>
      </c>
      <c r="G597" s="61" t="str">
        <f>IFERROR(__xludf.DUMMYFUNCTION("INDIRECT(""'收支紀錄'!G""&amp;TO_TEXT(ROW()-$C$72))"),"")</f>
        <v/>
      </c>
      <c r="H597" s="61" t="str">
        <f>IFERROR(__xludf.DUMMYFUNCTION("INDIRECT(""'收支紀錄'!H""&amp;TO_TEXT(ROW()-$C$72))"),"行車交通")</f>
        <v>行車交通</v>
      </c>
      <c r="I597" s="61" t="str">
        <f>IFERROR(__xludf.DUMMYFUNCTION("INDIRECT(""'收支紀錄'!I""&amp;TO_TEXT(ROW()-$C$72))"),"")</f>
        <v/>
      </c>
      <c r="J597" s="61" t="str">
        <f>IFERROR(__xludf.DUMMYFUNCTION("INDIRECT(""'收支紀錄'!J""&amp;TO_TEXT(ROW()-$C$72))"),"")</f>
        <v/>
      </c>
      <c r="K597" s="61" t="str">
        <f>IFERROR(__xludf.DUMMYFUNCTION("INDIRECT(""'收支紀錄'!K""&amp;TO_TEXT(ROW()-$C$72))"),"")</f>
        <v/>
      </c>
      <c r="L597" s="61" t="str">
        <f>IFERROR(__xludf.DUMMYFUNCTION("INDIRECT(""'收支紀錄'!L""&amp;TO_TEXT(ROW()-$C$72))"),"計程車/Uber")</f>
        <v>計程車/Uber</v>
      </c>
      <c r="M597" s="61" t="str">
        <f>IFERROR(__xludf.DUMMYFUNCTION("INDIRECT(""'收支紀錄'!M""&amp;TO_TEXT(ROW()-$C$72))"),"")</f>
        <v/>
      </c>
      <c r="N597" s="61" t="str">
        <f>IFERROR(__xludf.DUMMYFUNCTION("INDIRECT(""'收支紀錄'!N""&amp;TO_TEXT(ROW()-$C$72))"),"")</f>
        <v/>
      </c>
      <c r="O597" s="61" t="str">
        <f>IFERROR(__xludf.DUMMYFUNCTION("INDIRECT(""'收支紀錄'!O""&amp;TO_TEXT(ROW()-$C$72))"),"")</f>
        <v/>
      </c>
      <c r="P597" s="61" t="str">
        <f>IFERROR(__xludf.DUMMYFUNCTION("INDIRECT(""'收支紀錄'!P""&amp;TO_TEXT(ROW()-$C$72))"),"")</f>
        <v/>
      </c>
      <c r="Q597" s="61" t="str">
        <f>IFERROR(__xludf.DUMMYFUNCTION("INDIRECT(""'收支紀錄'!Q""&amp;TO_TEXT(ROW()-$C$72))"),"")</f>
        <v/>
      </c>
      <c r="R597" s="61" t="str">
        <f>IFERROR(__xludf.DUMMYFUNCTION("INDIRECT(""'收支紀錄'!R""&amp;TO_TEXT(ROW()-$C$72))"),"")</f>
        <v/>
      </c>
      <c r="S597" s="61" t="str">
        <f>IFERROR(__xludf.DUMMYFUNCTION("INDIRECT(""'收支紀錄'!S""&amp;TO_TEXT(ROW()-$C$72))"),"澳門機場-拱北關閘（港幣$115，匯率4.3）")</f>
        <v>澳門機場-拱北關閘（港幣$115，匯率4.3）</v>
      </c>
      <c r="T597" s="61" t="str">
        <f>IFERROR(__xludf.DUMMYFUNCTION("INDIRECT(""'收支紀錄'!T""&amp;TO_TEXT(ROW()-$C$72))"),"否")</f>
        <v>否</v>
      </c>
      <c r="U597" s="62" t="str">
        <f>IFERROR(__xludf.DUMMYFUNCTION("IF(T597=""是"",TEXTJOIN("""", TRUE, ""$"", TO_TEXT(C597), S597),"""")"),"")</f>
        <v/>
      </c>
    </row>
    <row r="598">
      <c r="A598" s="58">
        <f>IFERROR(__xludf.DUMMYFUNCTION("INDIRECT(""'收支紀錄'!A""&amp;TO_TEXT(ROW()-$C$72))"),45676.063445567124)</f>
        <v>45676.06345</v>
      </c>
      <c r="B598" s="59">
        <f>IFERROR(__xludf.DUMMYFUNCTION("IF(ISBLANK(D598), """", IF(ISDATE(D598), D598, IF(D598=""今天"", A598, IF(D598=""昨天 (-1 day)"", A598-1, IF(D598=""前天 (-2 days)"", A598-2, IF(D598=""明天 (+1 day)"", A598+1, DATE(LEFT(D598,4), MID(D598,5,2), RIGHT(D598,2))))))))"),45675.063445567124)</f>
        <v>45675.06345</v>
      </c>
      <c r="C598" s="60">
        <f>IFERROR(__xludf.DUMMYFUNCTION("INDIRECT(""'收支紀錄'!C""&amp;TO_TEXT(ROW()-$C$72))"),79.0)</f>
        <v>79</v>
      </c>
      <c r="D598" s="63" t="str">
        <f>IFERROR(__xludf.DUMMYFUNCTION("INDIRECT(""'收支紀錄'!D""&amp;TO_TEXT(ROW()-$C$72))"),"昨天 (-1 day)")</f>
        <v>昨天 (-1 day)</v>
      </c>
      <c r="E598" s="61" t="str">
        <f>IFERROR(__xludf.DUMMYFUNCTION("INDIRECT(""'收支紀錄'!E""&amp;TO_TEXT(ROW()-$C$72))"),"")</f>
        <v/>
      </c>
      <c r="F598" s="61" t="str">
        <f>IFERROR(__xludf.DUMMYFUNCTION("INDIRECT(""'收支紀錄'!F""&amp;TO_TEXT(ROW()-$C$72))"),"")</f>
        <v/>
      </c>
      <c r="G598" s="61" t="str">
        <f>IFERROR(__xludf.DUMMYFUNCTION("INDIRECT(""'收支紀錄'!G""&amp;TO_TEXT(ROW()-$C$72))"),"")</f>
        <v/>
      </c>
      <c r="H598" s="61" t="str">
        <f>IFERROR(__xludf.DUMMYFUNCTION("INDIRECT(""'收支紀錄'!H""&amp;TO_TEXT(ROW()-$C$72))"),"食品酒水")</f>
        <v>食品酒水</v>
      </c>
      <c r="I598" s="61" t="str">
        <f>IFERROR(__xludf.DUMMYFUNCTION("INDIRECT(""'收支紀錄'!I""&amp;TO_TEXT(ROW()-$C$72))"),"伴手禮")</f>
        <v>伴手禮</v>
      </c>
      <c r="J598" s="61" t="str">
        <f>IFERROR(__xludf.DUMMYFUNCTION("INDIRECT(""'收支紀錄'!J""&amp;TO_TEXT(ROW()-$C$72))"),"")</f>
        <v/>
      </c>
      <c r="K598" s="61" t="str">
        <f>IFERROR(__xludf.DUMMYFUNCTION("INDIRECT(""'收支紀錄'!K""&amp;TO_TEXT(ROW()-$C$72))"),"")</f>
        <v/>
      </c>
      <c r="L598" s="61" t="str">
        <f>IFERROR(__xludf.DUMMYFUNCTION("INDIRECT(""'收支紀錄'!L""&amp;TO_TEXT(ROW()-$C$72))"),"")</f>
        <v/>
      </c>
      <c r="M598" s="61" t="str">
        <f>IFERROR(__xludf.DUMMYFUNCTION("INDIRECT(""'收支紀錄'!M""&amp;TO_TEXT(ROW()-$C$72))"),"")</f>
        <v/>
      </c>
      <c r="N598" s="61" t="str">
        <f>IFERROR(__xludf.DUMMYFUNCTION("INDIRECT(""'收支紀錄'!N""&amp;TO_TEXT(ROW()-$C$72))"),"")</f>
        <v/>
      </c>
      <c r="O598" s="61" t="str">
        <f>IFERROR(__xludf.DUMMYFUNCTION("INDIRECT(""'收支紀錄'!O""&amp;TO_TEXT(ROW()-$C$72))"),"")</f>
        <v/>
      </c>
      <c r="P598" s="61" t="str">
        <f>IFERROR(__xludf.DUMMYFUNCTION("INDIRECT(""'收支紀錄'!P""&amp;TO_TEXT(ROW()-$C$72))"),"")</f>
        <v/>
      </c>
      <c r="Q598" s="61" t="str">
        <f>IFERROR(__xludf.DUMMYFUNCTION("INDIRECT(""'收支紀錄'!Q""&amp;TO_TEXT(ROW()-$C$72))"),"")</f>
        <v/>
      </c>
      <c r="R598" s="61" t="str">
        <f>IFERROR(__xludf.DUMMYFUNCTION("INDIRECT(""'收支紀錄'!R""&amp;TO_TEXT(ROW()-$C$72))"),"")</f>
        <v/>
      </c>
      <c r="S598" s="61" t="str">
        <f>IFERROR(__xludf.DUMMYFUNCTION("INDIRECT(""'收支紀錄'!S""&amp;TO_TEXT(ROW()-$C$72))"),"")</f>
        <v/>
      </c>
      <c r="T598" s="61" t="str">
        <f>IFERROR(__xludf.DUMMYFUNCTION("INDIRECT(""'收支紀錄'!T""&amp;TO_TEXT(ROW()-$C$72))"),"")</f>
        <v/>
      </c>
      <c r="U598" s="62" t="str">
        <f>IFERROR(__xludf.DUMMYFUNCTION("IF(T598=""是"",TEXTJOIN("""", TRUE, ""$"", TO_TEXT(C598), S598),"""")"),"")</f>
        <v/>
      </c>
    </row>
    <row r="599">
      <c r="A599" s="58">
        <f>IFERROR(__xludf.DUMMYFUNCTION("INDIRECT(""'收支紀錄'!A""&amp;TO_TEXT(ROW()-$C$72))"),45676.06473924768)</f>
        <v>45676.06474</v>
      </c>
      <c r="B599" s="59">
        <f>IFERROR(__xludf.DUMMYFUNCTION("IF(ISBLANK(D599), """", IF(ISDATE(D599), D599, IF(D599=""今天"", A599, IF(D599=""昨天 (-1 day)"", A599-1, IF(D599=""前天 (-2 days)"", A599-2, IF(D599=""明天 (+1 day)"", A599+1, DATE(LEFT(D599,4), MID(D599,5,2), RIGHT(D599,2))))))))"),45675.06473924768)</f>
        <v>45675.06474</v>
      </c>
      <c r="C599" s="60">
        <f>IFERROR(__xludf.DUMMYFUNCTION("INDIRECT(""'收支紀錄'!C""&amp;TO_TEXT(ROW()-$C$72))"),280.0)</f>
        <v>280</v>
      </c>
      <c r="D599" s="63" t="str">
        <f>IFERROR(__xludf.DUMMYFUNCTION("INDIRECT(""'收支紀錄'!D""&amp;TO_TEXT(ROW()-$C$72))"),"昨天 (-1 day)")</f>
        <v>昨天 (-1 day)</v>
      </c>
      <c r="E599" s="61" t="str">
        <f>IFERROR(__xludf.DUMMYFUNCTION("INDIRECT(""'收支紀錄'!E""&amp;TO_TEXT(ROW()-$C$72))"),"")</f>
        <v/>
      </c>
      <c r="F599" s="61" t="str">
        <f>IFERROR(__xludf.DUMMYFUNCTION("INDIRECT(""'收支紀錄'!F""&amp;TO_TEXT(ROW()-$C$72))"),"")</f>
        <v/>
      </c>
      <c r="G599" s="61" t="str">
        <f>IFERROR(__xludf.DUMMYFUNCTION("INDIRECT(""'收支紀錄'!G""&amp;TO_TEXT(ROW()-$C$72))"),"")</f>
        <v/>
      </c>
      <c r="H599" s="61" t="str">
        <f>IFERROR(__xludf.DUMMYFUNCTION("INDIRECT(""'收支紀錄'!H""&amp;TO_TEXT(ROW()-$C$72))"),"行車交通")</f>
        <v>行車交通</v>
      </c>
      <c r="I599" s="61" t="str">
        <f>IFERROR(__xludf.DUMMYFUNCTION("INDIRECT(""'收支紀錄'!I""&amp;TO_TEXT(ROW()-$C$72))"),"")</f>
        <v/>
      </c>
      <c r="J599" s="61" t="str">
        <f>IFERROR(__xludf.DUMMYFUNCTION("INDIRECT(""'收支紀錄'!J""&amp;TO_TEXT(ROW()-$C$72))"),"")</f>
        <v/>
      </c>
      <c r="K599" s="61" t="str">
        <f>IFERROR(__xludf.DUMMYFUNCTION("INDIRECT(""'收支紀錄'!K""&amp;TO_TEXT(ROW()-$C$72))"),"")</f>
        <v/>
      </c>
      <c r="L599" s="61" t="str">
        <f>IFERROR(__xludf.DUMMYFUNCTION("INDIRECT(""'收支紀錄'!L""&amp;TO_TEXT(ROW()-$C$72))"),"計程車/Uber")</f>
        <v>計程車/Uber</v>
      </c>
      <c r="M599" s="61" t="str">
        <f>IFERROR(__xludf.DUMMYFUNCTION("INDIRECT(""'收支紀錄'!M""&amp;TO_TEXT(ROW()-$C$72))"),"")</f>
        <v/>
      </c>
      <c r="N599" s="61" t="str">
        <f>IFERROR(__xludf.DUMMYFUNCTION("INDIRECT(""'收支紀錄'!N""&amp;TO_TEXT(ROW()-$C$72))"),"")</f>
        <v/>
      </c>
      <c r="O599" s="61" t="str">
        <f>IFERROR(__xludf.DUMMYFUNCTION("INDIRECT(""'收支紀錄'!O""&amp;TO_TEXT(ROW()-$C$72))"),"")</f>
        <v/>
      </c>
      <c r="P599" s="61" t="str">
        <f>IFERROR(__xludf.DUMMYFUNCTION("INDIRECT(""'收支紀錄'!P""&amp;TO_TEXT(ROW()-$C$72))"),"")</f>
        <v/>
      </c>
      <c r="Q599" s="61" t="str">
        <f>IFERROR(__xludf.DUMMYFUNCTION("INDIRECT(""'收支紀錄'!Q""&amp;TO_TEXT(ROW()-$C$72))"),"")</f>
        <v/>
      </c>
      <c r="R599" s="61" t="str">
        <f>IFERROR(__xludf.DUMMYFUNCTION("INDIRECT(""'收支紀錄'!R""&amp;TO_TEXT(ROW()-$C$72))"),"")</f>
        <v/>
      </c>
      <c r="S599" s="61" t="str">
        <f>IFERROR(__xludf.DUMMYFUNCTION("INDIRECT(""'收支紀錄'!S""&amp;TO_TEXT(ROW()-$C$72))"),"澳門文華東方-拱北關閘（港幣$65，匯率4.3）")</f>
        <v>澳門文華東方-拱北關閘（港幣$65，匯率4.3）</v>
      </c>
      <c r="T599" s="61" t="str">
        <f>IFERROR(__xludf.DUMMYFUNCTION("INDIRECT(""'收支紀錄'!T""&amp;TO_TEXT(ROW()-$C$72))"),"否")</f>
        <v>否</v>
      </c>
      <c r="U599" s="62" t="str">
        <f>IFERROR(__xludf.DUMMYFUNCTION("IF(T599=""是"",TEXTJOIN("""", TRUE, ""$"", TO_TEXT(C599), S599),"""")"),"")</f>
        <v/>
      </c>
    </row>
    <row r="600">
      <c r="A600" s="58">
        <f>IFERROR(__xludf.DUMMYFUNCTION("INDIRECT(""'收支紀錄'!A""&amp;TO_TEXT(ROW()-$C$72))"),45677.84550164352)</f>
        <v>45677.8455</v>
      </c>
      <c r="B600" s="59">
        <f>IFERROR(__xludf.DUMMYFUNCTION("IF(ISBLANK(D600), """", IF(ISDATE(D600), D600, IF(D600=""今天"", A600, IF(D600=""昨天 (-1 day)"", A600-1, IF(D600=""前天 (-2 days)"", A600-2, IF(D600=""明天 (+1 day)"", A600+1, DATE(LEFT(D600,4), MID(D600,5,2), RIGHT(D600,2))))))))"),45675.84550164352)</f>
        <v>45675.8455</v>
      </c>
      <c r="C600" s="60">
        <f>IFERROR(__xludf.DUMMYFUNCTION("INDIRECT(""'收支紀錄'!C""&amp;TO_TEXT(ROW()-$C$72))"),4000.0)</f>
        <v>4000</v>
      </c>
      <c r="D600" s="63" t="str">
        <f>IFERROR(__xludf.DUMMYFUNCTION("INDIRECT(""'收支紀錄'!D""&amp;TO_TEXT(ROW()-$C$72))"),"前天 (-2 days)")</f>
        <v>前天 (-2 days)</v>
      </c>
      <c r="E600" s="61" t="str">
        <f>IFERROR(__xludf.DUMMYFUNCTION("INDIRECT(""'收支紀錄'!E""&amp;TO_TEXT(ROW()-$C$72))"),"")</f>
        <v/>
      </c>
      <c r="F600" s="61" t="str">
        <f>IFERROR(__xludf.DUMMYFUNCTION("INDIRECT(""'收支紀錄'!F""&amp;TO_TEXT(ROW()-$C$72))"),"")</f>
        <v/>
      </c>
      <c r="G600" s="61" t="str">
        <f>IFERROR(__xludf.DUMMYFUNCTION("INDIRECT(""'收支紀錄'!G""&amp;TO_TEXT(ROW()-$C$72))"),"")</f>
        <v/>
      </c>
      <c r="H600" s="61" t="str">
        <f>IFERROR(__xludf.DUMMYFUNCTION("INDIRECT(""'收支紀錄'!H""&amp;TO_TEXT(ROW()-$C$72))"),"人情往來")</f>
        <v>人情往來</v>
      </c>
      <c r="I600" s="61" t="str">
        <f>IFERROR(__xludf.DUMMYFUNCTION("INDIRECT(""'收支紀錄'!I""&amp;TO_TEXT(ROW()-$C$72))"),"")</f>
        <v/>
      </c>
      <c r="J600" s="61" t="str">
        <f>IFERROR(__xludf.DUMMYFUNCTION("INDIRECT(""'收支紀錄'!J""&amp;TO_TEXT(ROW()-$C$72))"),"")</f>
        <v/>
      </c>
      <c r="K600" s="61" t="str">
        <f>IFERROR(__xludf.DUMMYFUNCTION("INDIRECT(""'收支紀錄'!K""&amp;TO_TEXT(ROW()-$C$72))"),"")</f>
        <v/>
      </c>
      <c r="L600" s="61" t="str">
        <f>IFERROR(__xludf.DUMMYFUNCTION("INDIRECT(""'收支紀錄'!L""&amp;TO_TEXT(ROW()-$C$72))"),"")</f>
        <v/>
      </c>
      <c r="M600" s="61" t="str">
        <f>IFERROR(__xludf.DUMMYFUNCTION("INDIRECT(""'收支紀錄'!M""&amp;TO_TEXT(ROW()-$C$72))"),"")</f>
        <v/>
      </c>
      <c r="N600" s="61" t="str">
        <f>IFERROR(__xludf.DUMMYFUNCTION("INDIRECT(""'收支紀錄'!N""&amp;TO_TEXT(ROW()-$C$72))"),"")</f>
        <v/>
      </c>
      <c r="O600" s="61" t="str">
        <f>IFERROR(__xludf.DUMMYFUNCTION("INDIRECT(""'收支紀錄'!O""&amp;TO_TEXT(ROW()-$C$72))"),"")</f>
        <v/>
      </c>
      <c r="P600" s="61" t="str">
        <f>IFERROR(__xludf.DUMMYFUNCTION("INDIRECT(""'收支紀錄'!P""&amp;TO_TEXT(ROW()-$C$72))"),"")</f>
        <v/>
      </c>
      <c r="Q600" s="61" t="str">
        <f>IFERROR(__xludf.DUMMYFUNCTION("INDIRECT(""'收支紀錄'!Q""&amp;TO_TEXT(ROW()-$C$72))"),"送禮請客")</f>
        <v>送禮請客</v>
      </c>
      <c r="R600" s="61" t="str">
        <f>IFERROR(__xludf.DUMMYFUNCTION("INDIRECT(""'收支紀錄'!R""&amp;TO_TEXT(ROW()-$C$72))"),"")</f>
        <v/>
      </c>
      <c r="S600" s="61" t="str">
        <f>IFERROR(__xludf.DUMMYFUNCTION("INDIRECT(""'收支紀錄'!S""&amp;TO_TEXT(ROW()-$C$72))"),"道格婚禮")</f>
        <v>道格婚禮</v>
      </c>
      <c r="T600" s="61" t="str">
        <f>IFERROR(__xludf.DUMMYFUNCTION("INDIRECT(""'收支紀錄'!T""&amp;TO_TEXT(ROW()-$C$72))"),"是")</f>
        <v>是</v>
      </c>
      <c r="U600" s="62" t="str">
        <f>IFERROR(__xludf.DUMMYFUNCTION("IF(T600=""是"",TEXTJOIN("""", TRUE, ""$"", TO_TEXT(C600), S600),"""")"),"$4000道格婚禮")</f>
        <v>$4000道格婚禮</v>
      </c>
    </row>
    <row r="601">
      <c r="A601" s="58">
        <f>IFERROR(__xludf.DUMMYFUNCTION("INDIRECT(""'收支紀錄'!A""&amp;TO_TEXT(ROW()-$C$72))"),45677.87307444445)</f>
        <v>45677.87307</v>
      </c>
      <c r="B601" s="59">
        <f>IFERROR(__xludf.DUMMYFUNCTION("IF(ISBLANK(D601), """", IF(ISDATE(D601), D601, IF(D601=""今天"", A601, IF(D601=""昨天 (-1 day)"", A601-1, IF(D601=""前天 (-2 days)"", A601-2, IF(D601=""明天 (+1 day)"", A601+1, DATE(LEFT(D601,4), MID(D601,5,2), RIGHT(D601,2))))))))"),45677.87307444445)</f>
        <v>45677.87307</v>
      </c>
      <c r="C601" s="60">
        <f>IFERROR(__xludf.DUMMYFUNCTION("INDIRECT(""'收支紀錄'!C""&amp;TO_TEXT(ROW()-$C$72))"),12000.0)</f>
        <v>12000</v>
      </c>
      <c r="D601" s="63" t="str">
        <f>IFERROR(__xludf.DUMMYFUNCTION("INDIRECT(""'收支紀錄'!D""&amp;TO_TEXT(ROW()-$C$72))"),"今天")</f>
        <v>今天</v>
      </c>
      <c r="E601" s="61" t="str">
        <f>IFERROR(__xludf.DUMMYFUNCTION("INDIRECT(""'收支紀錄'!E""&amp;TO_TEXT(ROW()-$C$72))"),"")</f>
        <v/>
      </c>
      <c r="F601" s="61" t="str">
        <f>IFERROR(__xludf.DUMMYFUNCTION("INDIRECT(""'收支紀錄'!F""&amp;TO_TEXT(ROW()-$C$72))"),"")</f>
        <v/>
      </c>
      <c r="G601" s="61" t="str">
        <f>IFERROR(__xludf.DUMMYFUNCTION("INDIRECT(""'收支紀錄'!G""&amp;TO_TEXT(ROW()-$C$72))"),"")</f>
        <v/>
      </c>
      <c r="H601" s="61" t="str">
        <f>IFERROR(__xludf.DUMMYFUNCTION("INDIRECT(""'收支紀錄'!H""&amp;TO_TEXT(ROW()-$C$72))"),"休閒娛樂")</f>
        <v>休閒娛樂</v>
      </c>
      <c r="I601" s="61" t="str">
        <f>IFERROR(__xludf.DUMMYFUNCTION("INDIRECT(""'收支紀錄'!I""&amp;TO_TEXT(ROW()-$C$72))"),"")</f>
        <v/>
      </c>
      <c r="J601" s="61" t="str">
        <f>IFERROR(__xludf.DUMMYFUNCTION("INDIRECT(""'收支紀錄'!J""&amp;TO_TEXT(ROW()-$C$72))"),"")</f>
        <v/>
      </c>
      <c r="K601" s="61" t="str">
        <f>IFERROR(__xludf.DUMMYFUNCTION("INDIRECT(""'收支紀錄'!K""&amp;TO_TEXT(ROW()-$C$72))"),"")</f>
        <v/>
      </c>
      <c r="L601" s="61" t="str">
        <f>IFERROR(__xludf.DUMMYFUNCTION("INDIRECT(""'收支紀錄'!L""&amp;TO_TEXT(ROW()-$C$72))"),"")</f>
        <v/>
      </c>
      <c r="M601" s="61" t="str">
        <f>IFERROR(__xludf.DUMMYFUNCTION("INDIRECT(""'收支紀錄'!M""&amp;TO_TEXT(ROW()-$C$72))"),"旅遊度假")</f>
        <v>旅遊度假</v>
      </c>
      <c r="N601" s="61" t="str">
        <f>IFERROR(__xludf.DUMMYFUNCTION("INDIRECT(""'收支紀錄'!N""&amp;TO_TEXT(ROW()-$C$72))"),"")</f>
        <v/>
      </c>
      <c r="O601" s="61" t="str">
        <f>IFERROR(__xludf.DUMMYFUNCTION("INDIRECT(""'收支紀錄'!O""&amp;TO_TEXT(ROW()-$C$72))"),"")</f>
        <v/>
      </c>
      <c r="P601" s="61" t="str">
        <f>IFERROR(__xludf.DUMMYFUNCTION("INDIRECT(""'收支紀錄'!P""&amp;TO_TEXT(ROW()-$C$72))"),"")</f>
        <v/>
      </c>
      <c r="Q601" s="61" t="str">
        <f>IFERROR(__xludf.DUMMYFUNCTION("INDIRECT(""'收支紀錄'!Q""&amp;TO_TEXT(ROW()-$C$72))"),"")</f>
        <v/>
      </c>
      <c r="R601" s="61" t="str">
        <f>IFERROR(__xludf.DUMMYFUNCTION("INDIRECT(""'收支紀錄'!R""&amp;TO_TEXT(ROW()-$C$72))"),"")</f>
        <v/>
      </c>
      <c r="S601" s="61" t="str">
        <f>IFERROR(__xludf.DUMMYFUNCTION("INDIRECT(""'收支紀錄'!S""&amp;TO_TEXT(ROW()-$C$72))"),"珠海行轉給蓋")</f>
        <v>珠海行轉給蓋</v>
      </c>
      <c r="T601" s="61" t="str">
        <f>IFERROR(__xludf.DUMMYFUNCTION("INDIRECT(""'收支紀錄'!T""&amp;TO_TEXT(ROW()-$C$72))"),"是")</f>
        <v>是</v>
      </c>
      <c r="U601" s="62" t="str">
        <f>IFERROR(__xludf.DUMMYFUNCTION("IF(T601=""是"",TEXTJOIN("""", TRUE, ""$"", TO_TEXT(C601), S601),"""")"),"$12000珠海行轉給蓋")</f>
        <v>$12000珠海行轉給蓋</v>
      </c>
    </row>
    <row r="602">
      <c r="A602" s="58">
        <f>IFERROR(__xludf.DUMMYFUNCTION("INDIRECT(""'收支紀錄'!A""&amp;TO_TEXT(ROW()-$C$72))"),45677.8733784375)</f>
        <v>45677.87338</v>
      </c>
      <c r="B602" s="59">
        <f>IFERROR(__xludf.DUMMYFUNCTION("IF(ISBLANK(D602), """", IF(ISDATE(D602), D602, IF(D602=""今天"", A602, IF(D602=""昨天 (-1 day)"", A602-1, IF(D602=""前天 (-2 days)"", A602-2, IF(D602=""明天 (+1 day)"", A602+1, DATE(LEFT(D602,4), MID(D602,5,2), RIGHT(D602,2))))))))"),45677.8733784375)</f>
        <v>45677.87338</v>
      </c>
      <c r="C602" s="60">
        <f>IFERROR(__xludf.DUMMYFUNCTION("INDIRECT(""'收支紀錄'!C""&amp;TO_TEXT(ROW()-$C$72))"),800.0)</f>
        <v>800</v>
      </c>
      <c r="D602" s="63" t="str">
        <f>IFERROR(__xludf.DUMMYFUNCTION("INDIRECT(""'收支紀錄'!D""&amp;TO_TEXT(ROW()-$C$72))"),"今天")</f>
        <v>今天</v>
      </c>
      <c r="E602" s="61" t="str">
        <f>IFERROR(__xludf.DUMMYFUNCTION("INDIRECT(""'收支紀錄'!E""&amp;TO_TEXT(ROW()-$C$72))"),"")</f>
        <v/>
      </c>
      <c r="F602" s="61" t="str">
        <f>IFERROR(__xludf.DUMMYFUNCTION("INDIRECT(""'收支紀錄'!F""&amp;TO_TEXT(ROW()-$C$72))"),"")</f>
        <v/>
      </c>
      <c r="G602" s="61" t="str">
        <f>IFERROR(__xludf.DUMMYFUNCTION("INDIRECT(""'收支紀錄'!G""&amp;TO_TEXT(ROW()-$C$72))"),"")</f>
        <v/>
      </c>
      <c r="H602" s="61" t="str">
        <f>IFERROR(__xludf.DUMMYFUNCTION("INDIRECT(""'收支紀錄'!H""&amp;TO_TEXT(ROW()-$C$72))"),"食品酒水")</f>
        <v>食品酒水</v>
      </c>
      <c r="I602" s="61" t="str">
        <f>IFERROR(__xludf.DUMMYFUNCTION("INDIRECT(""'收支紀錄'!I""&amp;TO_TEXT(ROW()-$C$72))"),"伴手禮")</f>
        <v>伴手禮</v>
      </c>
      <c r="J602" s="61" t="str">
        <f>IFERROR(__xludf.DUMMYFUNCTION("INDIRECT(""'收支紀錄'!J""&amp;TO_TEXT(ROW()-$C$72))"),"")</f>
        <v/>
      </c>
      <c r="K602" s="61" t="str">
        <f>IFERROR(__xludf.DUMMYFUNCTION("INDIRECT(""'收支紀錄'!K""&amp;TO_TEXT(ROW()-$C$72))"),"")</f>
        <v/>
      </c>
      <c r="L602" s="61" t="str">
        <f>IFERROR(__xludf.DUMMYFUNCTION("INDIRECT(""'收支紀錄'!L""&amp;TO_TEXT(ROW()-$C$72))"),"")</f>
        <v/>
      </c>
      <c r="M602" s="61" t="str">
        <f>IFERROR(__xludf.DUMMYFUNCTION("INDIRECT(""'收支紀錄'!M""&amp;TO_TEXT(ROW()-$C$72))"),"")</f>
        <v/>
      </c>
      <c r="N602" s="61" t="str">
        <f>IFERROR(__xludf.DUMMYFUNCTION("INDIRECT(""'收支紀錄'!N""&amp;TO_TEXT(ROW()-$C$72))"),"")</f>
        <v/>
      </c>
      <c r="O602" s="61" t="str">
        <f>IFERROR(__xludf.DUMMYFUNCTION("INDIRECT(""'收支紀錄'!O""&amp;TO_TEXT(ROW()-$C$72))"),"")</f>
        <v/>
      </c>
      <c r="P602" s="61" t="str">
        <f>IFERROR(__xludf.DUMMYFUNCTION("INDIRECT(""'收支紀錄'!P""&amp;TO_TEXT(ROW()-$C$72))"),"")</f>
        <v/>
      </c>
      <c r="Q602" s="61" t="str">
        <f>IFERROR(__xludf.DUMMYFUNCTION("INDIRECT(""'收支紀錄'!Q""&amp;TO_TEXT(ROW()-$C$72))"),"")</f>
        <v/>
      </c>
      <c r="R602" s="61" t="str">
        <f>IFERROR(__xludf.DUMMYFUNCTION("INDIRECT(""'收支紀錄'!R""&amp;TO_TEXT(ROW()-$C$72))"),"")</f>
        <v/>
      </c>
      <c r="S602" s="61" t="str">
        <f>IFERROR(__xludf.DUMMYFUNCTION("INDIRECT(""'收支紀錄'!S""&amp;TO_TEXT(ROW()-$C$72))"),"")</f>
        <v/>
      </c>
      <c r="T602" s="61" t="str">
        <f>IFERROR(__xludf.DUMMYFUNCTION("INDIRECT(""'收支紀錄'!T""&amp;TO_TEXT(ROW()-$C$72))"),"")</f>
        <v/>
      </c>
      <c r="U602" s="62" t="str">
        <f>IFERROR(__xludf.DUMMYFUNCTION("IF(T602=""是"",TEXTJOIN("""", TRUE, ""$"", TO_TEXT(C602), S602),"""")"),"")</f>
        <v/>
      </c>
    </row>
    <row r="603">
      <c r="A603" s="58">
        <f>IFERROR(__xludf.DUMMYFUNCTION("INDIRECT(""'收支紀錄'!A""&amp;TO_TEXT(ROW()-$C$72))"),45677.873609120375)</f>
        <v>45677.87361</v>
      </c>
      <c r="B603" s="59">
        <f>IFERROR(__xludf.DUMMYFUNCTION("IF(ISBLANK(D603), """", IF(ISDATE(D603), D603, IF(D603=""今天"", A603, IF(D603=""昨天 (-1 day)"", A603-1, IF(D603=""前天 (-2 days)"", A603-2, IF(D603=""明天 (+1 day)"", A603+1, DATE(LEFT(D603,4), MID(D603,5,2), RIGHT(D603,2))))))))"),45676.873609120375)</f>
        <v>45676.87361</v>
      </c>
      <c r="C603" s="60">
        <f>IFERROR(__xludf.DUMMYFUNCTION("INDIRECT(""'收支紀錄'!C""&amp;TO_TEXT(ROW()-$C$72))"),101.0)</f>
        <v>101</v>
      </c>
      <c r="D603" s="63" t="str">
        <f>IFERROR(__xludf.DUMMYFUNCTION("INDIRECT(""'收支紀錄'!D""&amp;TO_TEXT(ROW()-$C$72))"),"昨天 (-1 day)")</f>
        <v>昨天 (-1 day)</v>
      </c>
      <c r="E603" s="61" t="str">
        <f>IFERROR(__xludf.DUMMYFUNCTION("INDIRECT(""'收支紀錄'!E""&amp;TO_TEXT(ROW()-$C$72))"),"")</f>
        <v/>
      </c>
      <c r="F603" s="61" t="str">
        <f>IFERROR(__xludf.DUMMYFUNCTION("INDIRECT(""'收支紀錄'!F""&amp;TO_TEXT(ROW()-$C$72))"),"")</f>
        <v/>
      </c>
      <c r="G603" s="61" t="str">
        <f>IFERROR(__xludf.DUMMYFUNCTION("INDIRECT(""'收支紀錄'!G""&amp;TO_TEXT(ROW()-$C$72))"),"")</f>
        <v/>
      </c>
      <c r="H603" s="61" t="str">
        <f>IFERROR(__xludf.DUMMYFUNCTION("INDIRECT(""'收支紀錄'!H""&amp;TO_TEXT(ROW()-$C$72))"),"食品酒水")</f>
        <v>食品酒水</v>
      </c>
      <c r="I603" s="61" t="str">
        <f>IFERROR(__xludf.DUMMYFUNCTION("INDIRECT(""'收支紀錄'!I""&amp;TO_TEXT(ROW()-$C$72))"),"伴手禮")</f>
        <v>伴手禮</v>
      </c>
      <c r="J603" s="61" t="str">
        <f>IFERROR(__xludf.DUMMYFUNCTION("INDIRECT(""'收支紀錄'!J""&amp;TO_TEXT(ROW()-$C$72))"),"")</f>
        <v/>
      </c>
      <c r="K603" s="61" t="str">
        <f>IFERROR(__xludf.DUMMYFUNCTION("INDIRECT(""'收支紀錄'!K""&amp;TO_TEXT(ROW()-$C$72))"),"")</f>
        <v/>
      </c>
      <c r="L603" s="61" t="str">
        <f>IFERROR(__xludf.DUMMYFUNCTION("INDIRECT(""'收支紀錄'!L""&amp;TO_TEXT(ROW()-$C$72))"),"")</f>
        <v/>
      </c>
      <c r="M603" s="61" t="str">
        <f>IFERROR(__xludf.DUMMYFUNCTION("INDIRECT(""'收支紀錄'!M""&amp;TO_TEXT(ROW()-$C$72))"),"")</f>
        <v/>
      </c>
      <c r="N603" s="61" t="str">
        <f>IFERROR(__xludf.DUMMYFUNCTION("INDIRECT(""'收支紀錄'!N""&amp;TO_TEXT(ROW()-$C$72))"),"")</f>
        <v/>
      </c>
      <c r="O603" s="61" t="str">
        <f>IFERROR(__xludf.DUMMYFUNCTION("INDIRECT(""'收支紀錄'!O""&amp;TO_TEXT(ROW()-$C$72))"),"")</f>
        <v/>
      </c>
      <c r="P603" s="61" t="str">
        <f>IFERROR(__xludf.DUMMYFUNCTION("INDIRECT(""'收支紀錄'!P""&amp;TO_TEXT(ROW()-$C$72))"),"")</f>
        <v/>
      </c>
      <c r="Q603" s="61" t="str">
        <f>IFERROR(__xludf.DUMMYFUNCTION("INDIRECT(""'收支紀錄'!Q""&amp;TO_TEXT(ROW()-$C$72))"),"")</f>
        <v/>
      </c>
      <c r="R603" s="61" t="str">
        <f>IFERROR(__xludf.DUMMYFUNCTION("INDIRECT(""'收支紀錄'!R""&amp;TO_TEXT(ROW()-$C$72))"),"")</f>
        <v/>
      </c>
      <c r="S603" s="61" t="str">
        <f>IFERROR(__xludf.DUMMYFUNCTION("INDIRECT(""'收支紀錄'!S""&amp;TO_TEXT(ROW()-$C$72))"),"")</f>
        <v/>
      </c>
      <c r="T603" s="61" t="str">
        <f>IFERROR(__xludf.DUMMYFUNCTION("INDIRECT(""'收支紀錄'!T""&amp;TO_TEXT(ROW()-$C$72))"),"")</f>
        <v/>
      </c>
      <c r="U603" s="62" t="str">
        <f>IFERROR(__xludf.DUMMYFUNCTION("IF(T603=""是"",TEXTJOIN("""", TRUE, ""$"", TO_TEXT(C603), S603),"""")"),"")</f>
        <v/>
      </c>
    </row>
    <row r="604">
      <c r="A604" s="58">
        <f>IFERROR(__xludf.DUMMYFUNCTION("INDIRECT(""'收支紀錄'!A""&amp;TO_TEXT(ROW()-$C$72))"),45677.87377185185)</f>
        <v>45677.87377</v>
      </c>
      <c r="B604" s="59">
        <f>IFERROR(__xludf.DUMMYFUNCTION("IF(ISBLANK(D604), """", IF(ISDATE(D604), D604, IF(D604=""今天"", A604, IF(D604=""昨天 (-1 day)"", A604-1, IF(D604=""前天 (-2 days)"", A604-2, IF(D604=""明天 (+1 day)"", A604+1, DATE(LEFT(D604,4), MID(D604,5,2), RIGHT(D604,2))))))))"),45677.87377185185)</f>
        <v>45677.87377</v>
      </c>
      <c r="C604" s="60">
        <f>IFERROR(__xludf.DUMMYFUNCTION("INDIRECT(""'收支紀錄'!C""&amp;TO_TEXT(ROW()-$C$72))"),699.0)</f>
        <v>699</v>
      </c>
      <c r="D604" s="63" t="str">
        <f>IFERROR(__xludf.DUMMYFUNCTION("INDIRECT(""'收支紀錄'!D""&amp;TO_TEXT(ROW()-$C$72))"),"今天")</f>
        <v>今天</v>
      </c>
      <c r="E604" s="61" t="str">
        <f>IFERROR(__xludf.DUMMYFUNCTION("INDIRECT(""'收支紀錄'!E""&amp;TO_TEXT(ROW()-$C$72))"),"")</f>
        <v/>
      </c>
      <c r="F604" s="61" t="str">
        <f>IFERROR(__xludf.DUMMYFUNCTION("INDIRECT(""'收支紀錄'!F""&amp;TO_TEXT(ROW()-$C$72))"),"")</f>
        <v/>
      </c>
      <c r="G604" s="61" t="str">
        <f>IFERROR(__xludf.DUMMYFUNCTION("INDIRECT(""'收支紀錄'!G""&amp;TO_TEXT(ROW()-$C$72))"),"")</f>
        <v/>
      </c>
      <c r="H604" s="61" t="str">
        <f>IFERROR(__xludf.DUMMYFUNCTION("INDIRECT(""'收支紀錄'!H""&amp;TO_TEXT(ROW()-$C$72))"),"食品酒水")</f>
        <v>食品酒水</v>
      </c>
      <c r="I604" s="61" t="str">
        <f>IFERROR(__xludf.DUMMYFUNCTION("INDIRECT(""'收支紀錄'!I""&amp;TO_TEXT(ROW()-$C$72))"),"伴手禮")</f>
        <v>伴手禮</v>
      </c>
      <c r="J604" s="61" t="str">
        <f>IFERROR(__xludf.DUMMYFUNCTION("INDIRECT(""'收支紀錄'!J""&amp;TO_TEXT(ROW()-$C$72))"),"")</f>
        <v/>
      </c>
      <c r="K604" s="61" t="str">
        <f>IFERROR(__xludf.DUMMYFUNCTION("INDIRECT(""'收支紀錄'!K""&amp;TO_TEXT(ROW()-$C$72))"),"")</f>
        <v/>
      </c>
      <c r="L604" s="61" t="str">
        <f>IFERROR(__xludf.DUMMYFUNCTION("INDIRECT(""'收支紀錄'!L""&amp;TO_TEXT(ROW()-$C$72))"),"")</f>
        <v/>
      </c>
      <c r="M604" s="61" t="str">
        <f>IFERROR(__xludf.DUMMYFUNCTION("INDIRECT(""'收支紀錄'!M""&amp;TO_TEXT(ROW()-$C$72))"),"")</f>
        <v/>
      </c>
      <c r="N604" s="61" t="str">
        <f>IFERROR(__xludf.DUMMYFUNCTION("INDIRECT(""'收支紀錄'!N""&amp;TO_TEXT(ROW()-$C$72))"),"")</f>
        <v/>
      </c>
      <c r="O604" s="61" t="str">
        <f>IFERROR(__xludf.DUMMYFUNCTION("INDIRECT(""'收支紀錄'!O""&amp;TO_TEXT(ROW()-$C$72))"),"")</f>
        <v/>
      </c>
      <c r="P604" s="61" t="str">
        <f>IFERROR(__xludf.DUMMYFUNCTION("INDIRECT(""'收支紀錄'!P""&amp;TO_TEXT(ROW()-$C$72))"),"")</f>
        <v/>
      </c>
      <c r="Q604" s="61" t="str">
        <f>IFERROR(__xludf.DUMMYFUNCTION("INDIRECT(""'收支紀錄'!Q""&amp;TO_TEXT(ROW()-$C$72))"),"")</f>
        <v/>
      </c>
      <c r="R604" s="61" t="str">
        <f>IFERROR(__xludf.DUMMYFUNCTION("INDIRECT(""'收支紀錄'!R""&amp;TO_TEXT(ROW()-$C$72))"),"")</f>
        <v/>
      </c>
      <c r="S604" s="61" t="str">
        <f>IFERROR(__xludf.DUMMYFUNCTION("INDIRECT(""'收支紀錄'!S""&amp;TO_TEXT(ROW()-$C$72))"),"")</f>
        <v/>
      </c>
      <c r="T604" s="61" t="str">
        <f>IFERROR(__xludf.DUMMYFUNCTION("INDIRECT(""'收支紀錄'!T""&amp;TO_TEXT(ROW()-$C$72))"),"")</f>
        <v/>
      </c>
      <c r="U604" s="62" t="str">
        <f>IFERROR(__xludf.DUMMYFUNCTION("IF(T604=""是"",TEXTJOIN("""", TRUE, ""$"", TO_TEXT(C604), S604),"""")"),"")</f>
        <v/>
      </c>
    </row>
    <row r="605">
      <c r="A605" s="58">
        <f>IFERROR(__xludf.DUMMYFUNCTION("INDIRECT(""'收支紀錄'!A""&amp;TO_TEXT(ROW()-$C$72))"),45677.87906782408)</f>
        <v>45677.87907</v>
      </c>
      <c r="B605" s="59">
        <f>IFERROR(__xludf.DUMMYFUNCTION("IF(ISBLANK(D605), """", IF(ISDATE(D605), D605, IF(D605=""今天"", A605, IF(D605=""昨天 (-1 day)"", A605-1, IF(D605=""前天 (-2 days)"", A605-2, IF(D605=""明天 (+1 day)"", A605+1, DATE(LEFT(D605,4), MID(D605,5,2), RIGHT(D605,2))))))))"),45677.87906782408)</f>
        <v>45677.87907</v>
      </c>
      <c r="C605" s="60">
        <f>IFERROR(__xludf.DUMMYFUNCTION("INDIRECT(""'收支紀錄'!C""&amp;TO_TEXT(ROW()-$C$72))"),3420.0)</f>
        <v>3420</v>
      </c>
      <c r="D605" s="63" t="str">
        <f>IFERROR(__xludf.DUMMYFUNCTION("INDIRECT(""'收支紀錄'!D""&amp;TO_TEXT(ROW()-$C$72))"),"今天")</f>
        <v>今天</v>
      </c>
      <c r="E605" s="61" t="str">
        <f>IFERROR(__xludf.DUMMYFUNCTION("INDIRECT(""'收支紀錄'!E""&amp;TO_TEXT(ROW()-$C$72))"),"")</f>
        <v/>
      </c>
      <c r="F605" s="61" t="str">
        <f>IFERROR(__xludf.DUMMYFUNCTION("INDIRECT(""'收支紀錄'!F""&amp;TO_TEXT(ROW()-$C$72))"),"")</f>
        <v/>
      </c>
      <c r="G605" s="61" t="str">
        <f>IFERROR(__xludf.DUMMYFUNCTION("INDIRECT(""'收支紀錄'!G""&amp;TO_TEXT(ROW()-$C$72))"),"")</f>
        <v/>
      </c>
      <c r="H605" s="61" t="str">
        <f>IFERROR(__xludf.DUMMYFUNCTION("INDIRECT(""'收支紀錄'!H""&amp;TO_TEXT(ROW()-$C$72))"),"食品酒水")</f>
        <v>食品酒水</v>
      </c>
      <c r="I605" s="61" t="str">
        <f>IFERROR(__xludf.DUMMYFUNCTION("INDIRECT(""'收支紀錄'!I""&amp;TO_TEXT(ROW()-$C$72))"),"飲料酒水")</f>
        <v>飲料酒水</v>
      </c>
      <c r="J605" s="61" t="str">
        <f>IFERROR(__xludf.DUMMYFUNCTION("INDIRECT(""'收支紀錄'!J""&amp;TO_TEXT(ROW()-$C$72))"),"")</f>
        <v/>
      </c>
      <c r="K605" s="61" t="str">
        <f>IFERROR(__xludf.DUMMYFUNCTION("INDIRECT(""'收支紀錄'!K""&amp;TO_TEXT(ROW()-$C$72))"),"")</f>
        <v/>
      </c>
      <c r="L605" s="61" t="str">
        <f>IFERROR(__xludf.DUMMYFUNCTION("INDIRECT(""'收支紀錄'!L""&amp;TO_TEXT(ROW()-$C$72))"),"")</f>
        <v/>
      </c>
      <c r="M605" s="61" t="str">
        <f>IFERROR(__xludf.DUMMYFUNCTION("INDIRECT(""'收支紀錄'!M""&amp;TO_TEXT(ROW()-$C$72))"),"")</f>
        <v/>
      </c>
      <c r="N605" s="61" t="str">
        <f>IFERROR(__xludf.DUMMYFUNCTION("INDIRECT(""'收支紀錄'!N""&amp;TO_TEXT(ROW()-$C$72))"),"")</f>
        <v/>
      </c>
      <c r="O605" s="61" t="str">
        <f>IFERROR(__xludf.DUMMYFUNCTION("INDIRECT(""'收支紀錄'!O""&amp;TO_TEXT(ROW()-$C$72))"),"")</f>
        <v/>
      </c>
      <c r="P605" s="61" t="str">
        <f>IFERROR(__xludf.DUMMYFUNCTION("INDIRECT(""'收支紀錄'!P""&amp;TO_TEXT(ROW()-$C$72))"),"")</f>
        <v/>
      </c>
      <c r="Q605" s="61" t="str">
        <f>IFERROR(__xludf.DUMMYFUNCTION("INDIRECT(""'收支紀錄'!Q""&amp;TO_TEXT(ROW()-$C$72))"),"")</f>
        <v/>
      </c>
      <c r="R605" s="61" t="str">
        <f>IFERROR(__xludf.DUMMYFUNCTION("INDIRECT(""'收支紀錄'!R""&amp;TO_TEXT(ROW()-$C$72))"),"")</f>
        <v/>
      </c>
      <c r="S605" s="61" t="str">
        <f>IFERROR(__xludf.DUMMYFUNCTION("INDIRECT(""'收支紀錄'!S""&amp;TO_TEXT(ROW()-$C$72))"),"免稅店酒")</f>
        <v>免稅店酒</v>
      </c>
      <c r="T605" s="61" t="str">
        <f>IFERROR(__xludf.DUMMYFUNCTION("INDIRECT(""'收支紀錄'!T""&amp;TO_TEXT(ROW()-$C$72))"),"")</f>
        <v/>
      </c>
      <c r="U605" s="62" t="str">
        <f>IFERROR(__xludf.DUMMYFUNCTION("IF(T605=""是"",TEXTJOIN("""", TRUE, ""$"", TO_TEXT(C605), S605),"""")"),"")</f>
        <v/>
      </c>
    </row>
    <row r="606">
      <c r="A606" s="58">
        <f>IFERROR(__xludf.DUMMYFUNCTION("INDIRECT(""'收支紀錄'!A""&amp;TO_TEXT(ROW()-$C$72))"),45677.88030042824)</f>
        <v>45677.8803</v>
      </c>
      <c r="B606" s="59">
        <f>IFERROR(__xludf.DUMMYFUNCTION("IF(ISBLANK(D606), """", IF(ISDATE(D606), D606, IF(D606=""今天"", A606, IF(D606=""昨天 (-1 day)"", A606-1, IF(D606=""前天 (-2 days)"", A606-2, IF(D606=""明天 (+1 day)"", A606+1, DATE(LEFT(D606,4), MID(D606,5,2), RIGHT(D606,2))))))))"),45674.0)</f>
        <v>45674</v>
      </c>
      <c r="C606" s="60">
        <f>IFERROR(__xludf.DUMMYFUNCTION("INDIRECT(""'收支紀錄'!C""&amp;TO_TEXT(ROW()-$C$72))"),1759.0)</f>
        <v>1759</v>
      </c>
      <c r="D606" s="63">
        <f>IFERROR(__xludf.DUMMYFUNCTION("INDIRECT(""'收支紀錄'!D""&amp;TO_TEXT(ROW()-$C$72))"),2.0250117E7)</f>
        <v>20250117</v>
      </c>
      <c r="E606" s="61" t="str">
        <f>IFERROR(__xludf.DUMMYFUNCTION("INDIRECT(""'收支紀錄'!E""&amp;TO_TEXT(ROW()-$C$72))"),"")</f>
        <v/>
      </c>
      <c r="F606" s="61" t="str">
        <f>IFERROR(__xludf.DUMMYFUNCTION("INDIRECT(""'收支紀錄'!F""&amp;TO_TEXT(ROW()-$C$72))"),"")</f>
        <v/>
      </c>
      <c r="G606" s="61" t="str">
        <f>IFERROR(__xludf.DUMMYFUNCTION("INDIRECT(""'收支紀錄'!G""&amp;TO_TEXT(ROW()-$C$72))"),"")</f>
        <v/>
      </c>
      <c r="H606" s="61" t="str">
        <f>IFERROR(__xludf.DUMMYFUNCTION("INDIRECT(""'收支紀錄'!H""&amp;TO_TEXT(ROW()-$C$72))"),"休閒娛樂")</f>
        <v>休閒娛樂</v>
      </c>
      <c r="I606" s="61" t="str">
        <f>IFERROR(__xludf.DUMMYFUNCTION("INDIRECT(""'收支紀錄'!I""&amp;TO_TEXT(ROW()-$C$72))"),"")</f>
        <v/>
      </c>
      <c r="J606" s="61" t="str">
        <f>IFERROR(__xludf.DUMMYFUNCTION("INDIRECT(""'收支紀錄'!J""&amp;TO_TEXT(ROW()-$C$72))"),"")</f>
        <v/>
      </c>
      <c r="K606" s="61" t="str">
        <f>IFERROR(__xludf.DUMMYFUNCTION("INDIRECT(""'收支紀錄'!K""&amp;TO_TEXT(ROW()-$C$72))"),"")</f>
        <v/>
      </c>
      <c r="L606" s="61" t="str">
        <f>IFERROR(__xludf.DUMMYFUNCTION("INDIRECT(""'收支紀錄'!L""&amp;TO_TEXT(ROW()-$C$72))"),"")</f>
        <v/>
      </c>
      <c r="M606" s="61" t="str">
        <f>IFERROR(__xludf.DUMMYFUNCTION("INDIRECT(""'收支紀錄'!M""&amp;TO_TEXT(ROW()-$C$72))"),"旅遊度假")</f>
        <v>旅遊度假</v>
      </c>
      <c r="N606" s="61" t="str">
        <f>IFERROR(__xludf.DUMMYFUNCTION("INDIRECT(""'收支紀錄'!N""&amp;TO_TEXT(ROW()-$C$72))"),"")</f>
        <v/>
      </c>
      <c r="O606" s="61" t="str">
        <f>IFERROR(__xludf.DUMMYFUNCTION("INDIRECT(""'收支紀錄'!O""&amp;TO_TEXT(ROW()-$C$72))"),"")</f>
        <v/>
      </c>
      <c r="P606" s="61" t="str">
        <f>IFERROR(__xludf.DUMMYFUNCTION("INDIRECT(""'收支紀錄'!P""&amp;TO_TEXT(ROW()-$C$72))"),"")</f>
        <v/>
      </c>
      <c r="Q606" s="61" t="str">
        <f>IFERROR(__xludf.DUMMYFUNCTION("INDIRECT(""'收支紀錄'!Q""&amp;TO_TEXT(ROW()-$C$72))"),"")</f>
        <v/>
      </c>
      <c r="R606" s="61" t="str">
        <f>IFERROR(__xludf.DUMMYFUNCTION("INDIRECT(""'收支紀錄'!R""&amp;TO_TEXT(ROW()-$C$72))"),"")</f>
        <v/>
      </c>
      <c r="S606" s="61" t="str">
        <f>IFERROR(__xludf.DUMMYFUNCTION("INDIRECT(""'收支紀錄'!S""&amp;TO_TEXT(ROW()-$C$72))"),"寶免稅店粉底精華")</f>
        <v>寶免稅店粉底精華</v>
      </c>
      <c r="T606" s="61" t="str">
        <f>IFERROR(__xludf.DUMMYFUNCTION("INDIRECT(""'收支紀錄'!T""&amp;TO_TEXT(ROW()-$C$72))"),"否")</f>
        <v>否</v>
      </c>
      <c r="U606" s="62" t="str">
        <f>IFERROR(__xludf.DUMMYFUNCTION("IF(T606=""是"",TEXTJOIN("""", TRUE, ""$"", TO_TEXT(C606), S606),"""")"),"")</f>
        <v/>
      </c>
    </row>
    <row r="607">
      <c r="A607" s="58">
        <f>IFERROR(__xludf.DUMMYFUNCTION("INDIRECT(""'收支紀錄'!A""&amp;TO_TEXT(ROW()-$C$72))"),45678.55528755787)</f>
        <v>45678.55529</v>
      </c>
      <c r="B607" s="59">
        <f>IFERROR(__xludf.DUMMYFUNCTION("IF(ISBLANK(D607), """", IF(ISDATE(D607), D607, IF(D607=""今天"", A607, IF(D607=""昨天 (-1 day)"", A607-1, IF(D607=""前天 (-2 days)"", A607-2, IF(D607=""明天 (+1 day)"", A607+1, DATE(LEFT(D607,4), MID(D607,5,2), RIGHT(D607,2))))))))"),45678.55528755787)</f>
        <v>45678.55529</v>
      </c>
      <c r="C607" s="60">
        <f>IFERROR(__xludf.DUMMYFUNCTION("INDIRECT(""'收支紀錄'!C""&amp;TO_TEXT(ROW()-$C$72))"),930.0)</f>
        <v>930</v>
      </c>
      <c r="D607" s="63" t="str">
        <f>IFERROR(__xludf.DUMMYFUNCTION("INDIRECT(""'收支紀錄'!D""&amp;TO_TEXT(ROW()-$C$72))"),"今天")</f>
        <v>今天</v>
      </c>
      <c r="E607" s="61" t="str">
        <f>IFERROR(__xludf.DUMMYFUNCTION("INDIRECT(""'收支紀錄'!E""&amp;TO_TEXT(ROW()-$C$72))"),"")</f>
        <v/>
      </c>
      <c r="F607" s="61" t="str">
        <f>IFERROR(__xludf.DUMMYFUNCTION("INDIRECT(""'收支紀錄'!F""&amp;TO_TEXT(ROW()-$C$72))"),"")</f>
        <v/>
      </c>
      <c r="G607" s="61" t="str">
        <f>IFERROR(__xludf.DUMMYFUNCTION("INDIRECT(""'收支紀錄'!G""&amp;TO_TEXT(ROW()-$C$72))"),"")</f>
        <v/>
      </c>
      <c r="H607" s="61" t="str">
        <f>IFERROR(__xludf.DUMMYFUNCTION("INDIRECT(""'收支紀錄'!H""&amp;TO_TEXT(ROW()-$C$72))"),"行車交通")</f>
        <v>行車交通</v>
      </c>
      <c r="I607" s="61" t="str">
        <f>IFERROR(__xludf.DUMMYFUNCTION("INDIRECT(""'收支紀錄'!I""&amp;TO_TEXT(ROW()-$C$72))"),"")</f>
        <v/>
      </c>
      <c r="J607" s="61" t="str">
        <f>IFERROR(__xludf.DUMMYFUNCTION("INDIRECT(""'收支紀錄'!J""&amp;TO_TEXT(ROW()-$C$72))"),"")</f>
        <v/>
      </c>
      <c r="K607" s="61" t="str">
        <f>IFERROR(__xludf.DUMMYFUNCTION("INDIRECT(""'收支紀錄'!K""&amp;TO_TEXT(ROW()-$C$72))"),"")</f>
        <v/>
      </c>
      <c r="L607" s="61" t="str">
        <f>IFERROR(__xludf.DUMMYFUNCTION("INDIRECT(""'收支紀錄'!L""&amp;TO_TEXT(ROW()-$C$72))"),"高鐵")</f>
        <v>高鐵</v>
      </c>
      <c r="M607" s="61" t="str">
        <f>IFERROR(__xludf.DUMMYFUNCTION("INDIRECT(""'收支紀錄'!M""&amp;TO_TEXT(ROW()-$C$72))"),"")</f>
        <v/>
      </c>
      <c r="N607" s="61" t="str">
        <f>IFERROR(__xludf.DUMMYFUNCTION("INDIRECT(""'收支紀錄'!N""&amp;TO_TEXT(ROW()-$C$72))"),"")</f>
        <v/>
      </c>
      <c r="O607" s="61" t="str">
        <f>IFERROR(__xludf.DUMMYFUNCTION("INDIRECT(""'收支紀錄'!O""&amp;TO_TEXT(ROW()-$C$72))"),"")</f>
        <v/>
      </c>
      <c r="P607" s="61" t="str">
        <f>IFERROR(__xludf.DUMMYFUNCTION("INDIRECT(""'收支紀錄'!P""&amp;TO_TEXT(ROW()-$C$72))"),"")</f>
        <v/>
      </c>
      <c r="Q607" s="61" t="str">
        <f>IFERROR(__xludf.DUMMYFUNCTION("INDIRECT(""'收支紀錄'!Q""&amp;TO_TEXT(ROW()-$C$72))"),"")</f>
        <v/>
      </c>
      <c r="R607" s="61" t="str">
        <f>IFERROR(__xludf.DUMMYFUNCTION("INDIRECT(""'收支紀錄'!R""&amp;TO_TEXT(ROW()-$C$72))"),"")</f>
        <v/>
      </c>
      <c r="S607" s="61" t="str">
        <f>IFERROR(__xludf.DUMMYFUNCTION("INDIRECT(""'收支紀錄'!S""&amp;TO_TEXT(ROW()-$C$72))"),"")</f>
        <v/>
      </c>
      <c r="T607" s="61" t="str">
        <f>IFERROR(__xludf.DUMMYFUNCTION("INDIRECT(""'收支紀錄'!T""&amp;TO_TEXT(ROW()-$C$72))"),"")</f>
        <v/>
      </c>
      <c r="U607" s="62" t="str">
        <f>IFERROR(__xludf.DUMMYFUNCTION("IF(T607=""是"",TEXTJOIN("""", TRUE, ""$"", TO_TEXT(C607), S607),"""")"),"")</f>
        <v/>
      </c>
    </row>
    <row r="608">
      <c r="A608" s="58">
        <f>IFERROR(__xludf.DUMMYFUNCTION("INDIRECT(""'收支紀錄'!A""&amp;TO_TEXT(ROW()-$C$72))"),45678.55546379629)</f>
        <v>45678.55546</v>
      </c>
      <c r="B608" s="59">
        <f>IFERROR(__xludf.DUMMYFUNCTION("IF(ISBLANK(D608), """", IF(ISDATE(D608), D608, IF(D608=""今天"", A608, IF(D608=""昨天 (-1 day)"", A608-1, IF(D608=""前天 (-2 days)"", A608-2, IF(D608=""明天 (+1 day)"", A608+1, DATE(LEFT(D608,4), MID(D608,5,2), RIGHT(D608,2))))))))"),45678.55546379629)</f>
        <v>45678.55546</v>
      </c>
      <c r="C608" s="60">
        <f>IFERROR(__xludf.DUMMYFUNCTION("INDIRECT(""'收支紀錄'!C""&amp;TO_TEXT(ROW()-$C$72))"),35.0)</f>
        <v>35</v>
      </c>
      <c r="D608" s="63" t="str">
        <f>IFERROR(__xludf.DUMMYFUNCTION("INDIRECT(""'收支紀錄'!D""&amp;TO_TEXT(ROW()-$C$72))"),"今天")</f>
        <v>今天</v>
      </c>
      <c r="E608" s="61" t="str">
        <f>IFERROR(__xludf.DUMMYFUNCTION("INDIRECT(""'收支紀錄'!E""&amp;TO_TEXT(ROW()-$C$72))"),"")</f>
        <v/>
      </c>
      <c r="F608" s="61" t="str">
        <f>IFERROR(__xludf.DUMMYFUNCTION("INDIRECT(""'收支紀錄'!F""&amp;TO_TEXT(ROW()-$C$72))"),"")</f>
        <v/>
      </c>
      <c r="G608" s="61" t="str">
        <f>IFERROR(__xludf.DUMMYFUNCTION("INDIRECT(""'收支紀錄'!G""&amp;TO_TEXT(ROW()-$C$72))"),"")</f>
        <v/>
      </c>
      <c r="H608" s="61" t="str">
        <f>IFERROR(__xludf.DUMMYFUNCTION("INDIRECT(""'收支紀錄'!H""&amp;TO_TEXT(ROW()-$C$72))"),"行車交通")</f>
        <v>行車交通</v>
      </c>
      <c r="I608" s="61" t="str">
        <f>IFERROR(__xludf.DUMMYFUNCTION("INDIRECT(""'收支紀錄'!I""&amp;TO_TEXT(ROW()-$C$72))"),"")</f>
        <v/>
      </c>
      <c r="J608" s="61" t="str">
        <f>IFERROR(__xludf.DUMMYFUNCTION("INDIRECT(""'收支紀錄'!J""&amp;TO_TEXT(ROW()-$C$72))"),"")</f>
        <v/>
      </c>
      <c r="K608" s="61" t="str">
        <f>IFERROR(__xludf.DUMMYFUNCTION("INDIRECT(""'收支紀錄'!K""&amp;TO_TEXT(ROW()-$C$72))"),"")</f>
        <v/>
      </c>
      <c r="L608" s="61" t="str">
        <f>IFERROR(__xludf.DUMMYFUNCTION("INDIRECT(""'收支紀錄'!L""&amp;TO_TEXT(ROW()-$C$72))"),"捷運費")</f>
        <v>捷運費</v>
      </c>
      <c r="M608" s="61" t="str">
        <f>IFERROR(__xludf.DUMMYFUNCTION("INDIRECT(""'收支紀錄'!M""&amp;TO_TEXT(ROW()-$C$72))"),"")</f>
        <v/>
      </c>
      <c r="N608" s="61" t="str">
        <f>IFERROR(__xludf.DUMMYFUNCTION("INDIRECT(""'收支紀錄'!N""&amp;TO_TEXT(ROW()-$C$72))"),"")</f>
        <v/>
      </c>
      <c r="O608" s="61" t="str">
        <f>IFERROR(__xludf.DUMMYFUNCTION("INDIRECT(""'收支紀錄'!O""&amp;TO_TEXT(ROW()-$C$72))"),"")</f>
        <v/>
      </c>
      <c r="P608" s="61" t="str">
        <f>IFERROR(__xludf.DUMMYFUNCTION("INDIRECT(""'收支紀錄'!P""&amp;TO_TEXT(ROW()-$C$72))"),"")</f>
        <v/>
      </c>
      <c r="Q608" s="61" t="str">
        <f>IFERROR(__xludf.DUMMYFUNCTION("INDIRECT(""'收支紀錄'!Q""&amp;TO_TEXT(ROW()-$C$72))"),"")</f>
        <v/>
      </c>
      <c r="R608" s="61" t="str">
        <f>IFERROR(__xludf.DUMMYFUNCTION("INDIRECT(""'收支紀錄'!R""&amp;TO_TEXT(ROW()-$C$72))"),"")</f>
        <v/>
      </c>
      <c r="S608" s="61" t="str">
        <f>IFERROR(__xludf.DUMMYFUNCTION("INDIRECT(""'收支紀錄'!S""&amp;TO_TEXT(ROW()-$C$72))"),"")</f>
        <v/>
      </c>
      <c r="T608" s="61" t="str">
        <f>IFERROR(__xludf.DUMMYFUNCTION("INDIRECT(""'收支紀錄'!T""&amp;TO_TEXT(ROW()-$C$72))"),"")</f>
        <v/>
      </c>
      <c r="U608" s="62" t="str">
        <f>IFERROR(__xludf.DUMMYFUNCTION("IF(T608=""是"",TEXTJOIN("""", TRUE, ""$"", TO_TEXT(C608), S608),"""")"),"")</f>
        <v/>
      </c>
    </row>
    <row r="609">
      <c r="A609" s="58">
        <f>IFERROR(__xludf.DUMMYFUNCTION("INDIRECT(""'收支紀錄'!A""&amp;TO_TEXT(ROW()-$C$72))"),45680.51564033565)</f>
        <v>45680.51564</v>
      </c>
      <c r="B609" s="59">
        <f>IFERROR(__xludf.DUMMYFUNCTION("IF(ISBLANK(D609), """", IF(ISDATE(D609), D609, IF(D609=""今天"", A609, IF(D609=""昨天 (-1 day)"", A609-1, IF(D609=""前天 (-2 days)"", A609-2, IF(D609=""明天 (+1 day)"", A609+1, DATE(LEFT(D609,4), MID(D609,5,2), RIGHT(D609,2))))))))"),45679.51564033565)</f>
        <v>45679.51564</v>
      </c>
      <c r="C609" s="60">
        <f>IFERROR(__xludf.DUMMYFUNCTION("INDIRECT(""'收支紀錄'!C""&amp;TO_TEXT(ROW()-$C$72))"),250.0)</f>
        <v>250</v>
      </c>
      <c r="D609" s="63" t="str">
        <f>IFERROR(__xludf.DUMMYFUNCTION("INDIRECT(""'收支紀錄'!D""&amp;TO_TEXT(ROW()-$C$72))"),"昨天 (-1 day)")</f>
        <v>昨天 (-1 day)</v>
      </c>
      <c r="E609" s="61" t="str">
        <f>IFERROR(__xludf.DUMMYFUNCTION("INDIRECT(""'收支紀錄'!E""&amp;TO_TEXT(ROW()-$C$72))"),"")</f>
        <v/>
      </c>
      <c r="F609" s="61" t="str">
        <f>IFERROR(__xludf.DUMMYFUNCTION("INDIRECT(""'收支紀錄'!F""&amp;TO_TEXT(ROW()-$C$72))"),"")</f>
        <v/>
      </c>
      <c r="G609" s="61" t="str">
        <f>IFERROR(__xludf.DUMMYFUNCTION("INDIRECT(""'收支紀錄'!G""&amp;TO_TEXT(ROW()-$C$72))"),"")</f>
        <v/>
      </c>
      <c r="H609" s="61" t="str">
        <f>IFERROR(__xludf.DUMMYFUNCTION("INDIRECT(""'收支紀錄'!H""&amp;TO_TEXT(ROW()-$C$72))"),"醫療費用")</f>
        <v>醫療費用</v>
      </c>
      <c r="I609" s="61" t="str">
        <f>IFERROR(__xludf.DUMMYFUNCTION("INDIRECT(""'收支紀錄'!I""&amp;TO_TEXT(ROW()-$C$72))"),"")</f>
        <v/>
      </c>
      <c r="J609" s="61" t="str">
        <f>IFERROR(__xludf.DUMMYFUNCTION("INDIRECT(""'收支紀錄'!J""&amp;TO_TEXT(ROW()-$C$72))"),"")</f>
        <v/>
      </c>
      <c r="K609" s="61" t="str">
        <f>IFERROR(__xludf.DUMMYFUNCTION("INDIRECT(""'收支紀錄'!K""&amp;TO_TEXT(ROW()-$C$72))"),"")</f>
        <v/>
      </c>
      <c r="L609" s="61" t="str">
        <f>IFERROR(__xludf.DUMMYFUNCTION("INDIRECT(""'收支紀錄'!L""&amp;TO_TEXT(ROW()-$C$72))"),"")</f>
        <v/>
      </c>
      <c r="M609" s="61" t="str">
        <f>IFERROR(__xludf.DUMMYFUNCTION("INDIRECT(""'收支紀錄'!M""&amp;TO_TEXT(ROW()-$C$72))"),"")</f>
        <v/>
      </c>
      <c r="N609" s="61" t="str">
        <f>IFERROR(__xludf.DUMMYFUNCTION("INDIRECT(""'收支紀錄'!N""&amp;TO_TEXT(ROW()-$C$72))"),"")</f>
        <v/>
      </c>
      <c r="O609" s="61" t="str">
        <f>IFERROR(__xludf.DUMMYFUNCTION("INDIRECT(""'收支紀錄'!O""&amp;TO_TEXT(ROW()-$C$72))"),"生病醫療")</f>
        <v>生病醫療</v>
      </c>
      <c r="P609" s="61" t="str">
        <f>IFERROR(__xludf.DUMMYFUNCTION("INDIRECT(""'收支紀錄'!P""&amp;TO_TEXT(ROW()-$C$72))"),"")</f>
        <v/>
      </c>
      <c r="Q609" s="61" t="str">
        <f>IFERROR(__xludf.DUMMYFUNCTION("INDIRECT(""'收支紀錄'!Q""&amp;TO_TEXT(ROW()-$C$72))"),"")</f>
        <v/>
      </c>
      <c r="R609" s="61" t="str">
        <f>IFERROR(__xludf.DUMMYFUNCTION("INDIRECT(""'收支紀錄'!R""&amp;TO_TEXT(ROW()-$C$72))"),"")</f>
        <v/>
      </c>
      <c r="S609" s="61" t="str">
        <f>IFERROR(__xludf.DUMMYFUNCTION("INDIRECT(""'收支紀錄'!S""&amp;TO_TEXT(ROW()-$C$72))"),"")</f>
        <v/>
      </c>
      <c r="T609" s="61" t="str">
        <f>IFERROR(__xludf.DUMMYFUNCTION("INDIRECT(""'收支紀錄'!T""&amp;TO_TEXT(ROW()-$C$72))"),"")</f>
        <v/>
      </c>
      <c r="U609" s="62" t="str">
        <f>IFERROR(__xludf.DUMMYFUNCTION("IF(T609=""是"",TEXTJOIN("""", TRUE, ""$"", TO_TEXT(C609), S609),"""")"),"")</f>
        <v/>
      </c>
    </row>
    <row r="610">
      <c r="A610" s="58">
        <f>IFERROR(__xludf.DUMMYFUNCTION("INDIRECT(""'收支紀錄'!A""&amp;TO_TEXT(ROW()-$C$72))"),45680.5159290625)</f>
        <v>45680.51593</v>
      </c>
      <c r="B610" s="59">
        <f>IFERROR(__xludf.DUMMYFUNCTION("IF(ISBLANK(D610), """", IF(ISDATE(D610), D610, IF(D610=""今天"", A610, IF(D610=""昨天 (-1 day)"", A610-1, IF(D610=""前天 (-2 days)"", A610-2, IF(D610=""明天 (+1 day)"", A610+1, DATE(LEFT(D610,4), MID(D610,5,2), RIGHT(D610,2))))))))"),45681.5159290625)</f>
        <v>45681.51593</v>
      </c>
      <c r="C610" s="60">
        <f>IFERROR(__xludf.DUMMYFUNCTION("INDIRECT(""'收支紀錄'!C""&amp;TO_TEXT(ROW()-$C$72))"),800.0)</f>
        <v>800</v>
      </c>
      <c r="D610" s="63" t="str">
        <f>IFERROR(__xludf.DUMMYFUNCTION("INDIRECT(""'收支紀錄'!D""&amp;TO_TEXT(ROW()-$C$72))"),"明天 (+1 day)")</f>
        <v>明天 (+1 day)</v>
      </c>
      <c r="E610" s="61" t="str">
        <f>IFERROR(__xludf.DUMMYFUNCTION("INDIRECT(""'收支紀錄'!E""&amp;TO_TEXT(ROW()-$C$72))"),"")</f>
        <v/>
      </c>
      <c r="F610" s="61" t="str">
        <f>IFERROR(__xludf.DUMMYFUNCTION("INDIRECT(""'收支紀錄'!F""&amp;TO_TEXT(ROW()-$C$72))"),"")</f>
        <v/>
      </c>
      <c r="G610" s="61" t="str">
        <f>IFERROR(__xludf.DUMMYFUNCTION("INDIRECT(""'收支紀錄'!G""&amp;TO_TEXT(ROW()-$C$72))"),"")</f>
        <v/>
      </c>
      <c r="H610" s="61" t="str">
        <f>IFERROR(__xludf.DUMMYFUNCTION("INDIRECT(""'收支紀錄'!H""&amp;TO_TEXT(ROW()-$C$72))"),"醫療費用")</f>
        <v>醫療費用</v>
      </c>
      <c r="I610" s="61" t="str">
        <f>IFERROR(__xludf.DUMMYFUNCTION("INDIRECT(""'收支紀錄'!I""&amp;TO_TEXT(ROW()-$C$72))"),"")</f>
        <v/>
      </c>
      <c r="J610" s="61" t="str">
        <f>IFERROR(__xludf.DUMMYFUNCTION("INDIRECT(""'收支紀錄'!J""&amp;TO_TEXT(ROW()-$C$72))"),"")</f>
        <v/>
      </c>
      <c r="K610" s="61" t="str">
        <f>IFERROR(__xludf.DUMMYFUNCTION("INDIRECT(""'收支紀錄'!K""&amp;TO_TEXT(ROW()-$C$72))"),"")</f>
        <v/>
      </c>
      <c r="L610" s="61" t="str">
        <f>IFERROR(__xludf.DUMMYFUNCTION("INDIRECT(""'收支紀錄'!L""&amp;TO_TEXT(ROW()-$C$72))"),"")</f>
        <v/>
      </c>
      <c r="M610" s="61" t="str">
        <f>IFERROR(__xludf.DUMMYFUNCTION("INDIRECT(""'收支紀錄'!M""&amp;TO_TEXT(ROW()-$C$72))"),"")</f>
        <v/>
      </c>
      <c r="N610" s="61" t="str">
        <f>IFERROR(__xludf.DUMMYFUNCTION("INDIRECT(""'收支紀錄'!N""&amp;TO_TEXT(ROW()-$C$72))"),"")</f>
        <v/>
      </c>
      <c r="O610" s="61" t="str">
        <f>IFERROR(__xludf.DUMMYFUNCTION("INDIRECT(""'收支紀錄'!O""&amp;TO_TEXT(ROW()-$C$72))"),"胃鏡")</f>
        <v>胃鏡</v>
      </c>
      <c r="P610" s="61" t="str">
        <f>IFERROR(__xludf.DUMMYFUNCTION("INDIRECT(""'收支紀錄'!P""&amp;TO_TEXT(ROW()-$C$72))"),"")</f>
        <v/>
      </c>
      <c r="Q610" s="61" t="str">
        <f>IFERROR(__xludf.DUMMYFUNCTION("INDIRECT(""'收支紀錄'!Q""&amp;TO_TEXT(ROW()-$C$72))"),"")</f>
        <v/>
      </c>
      <c r="R610" s="61" t="str">
        <f>IFERROR(__xludf.DUMMYFUNCTION("INDIRECT(""'收支紀錄'!R""&amp;TO_TEXT(ROW()-$C$72))"),"")</f>
        <v/>
      </c>
      <c r="S610" s="61" t="str">
        <f>IFERROR(__xludf.DUMMYFUNCTION("INDIRECT(""'收支紀錄'!S""&amp;TO_TEXT(ROW()-$C$72))"),"")</f>
        <v/>
      </c>
      <c r="T610" s="61" t="str">
        <f>IFERROR(__xludf.DUMMYFUNCTION("INDIRECT(""'收支紀錄'!T""&amp;TO_TEXT(ROW()-$C$72))"),"")</f>
        <v/>
      </c>
      <c r="U610" s="62" t="str">
        <f>IFERROR(__xludf.DUMMYFUNCTION("IF(T610=""是"",TEXTJOIN("""", TRUE, ""$"", TO_TEXT(C610), S610),"""")"),"")</f>
        <v/>
      </c>
    </row>
    <row r="611">
      <c r="A611" s="58">
        <f>IFERROR(__xludf.DUMMYFUNCTION("INDIRECT(""'收支紀錄'!A""&amp;TO_TEXT(ROW()-$C$72))"),45680.80715287037)</f>
        <v>45680.80715</v>
      </c>
      <c r="B611" s="59">
        <f>IFERROR(__xludf.DUMMYFUNCTION("IF(ISBLANK(D611), """", IF(ISDATE(D611), D611, IF(D611=""今天"", A611, IF(D611=""昨天 (-1 day)"", A611-1, IF(D611=""前天 (-2 days)"", A611-2, IF(D611=""明天 (+1 day)"", A611+1, DATE(LEFT(D611,4), MID(D611,5,2), RIGHT(D611,2))))))))"),45680.80715287037)</f>
        <v>45680.80715</v>
      </c>
      <c r="C611" s="60">
        <f>IFERROR(__xludf.DUMMYFUNCTION("INDIRECT(""'收支紀錄'!C""&amp;TO_TEXT(ROW()-$C$72))"),95.0)</f>
        <v>95</v>
      </c>
      <c r="D611" s="63" t="str">
        <f>IFERROR(__xludf.DUMMYFUNCTION("INDIRECT(""'收支紀錄'!D""&amp;TO_TEXT(ROW()-$C$72))"),"今天")</f>
        <v>今天</v>
      </c>
      <c r="E611" s="61" t="str">
        <f>IFERROR(__xludf.DUMMYFUNCTION("INDIRECT(""'收支紀錄'!E""&amp;TO_TEXT(ROW()-$C$72))"),"")</f>
        <v/>
      </c>
      <c r="F611" s="61" t="str">
        <f>IFERROR(__xludf.DUMMYFUNCTION("INDIRECT(""'收支紀錄'!F""&amp;TO_TEXT(ROW()-$C$72))"),"")</f>
        <v/>
      </c>
      <c r="G611" s="61" t="str">
        <f>IFERROR(__xludf.DUMMYFUNCTION("INDIRECT(""'收支紀錄'!G""&amp;TO_TEXT(ROW()-$C$72))"),"")</f>
        <v/>
      </c>
      <c r="H611" s="61" t="str">
        <f>IFERROR(__xludf.DUMMYFUNCTION("INDIRECT(""'收支紀錄'!H""&amp;TO_TEXT(ROW()-$C$72))"),"食品酒水")</f>
        <v>食品酒水</v>
      </c>
      <c r="I611" s="61" t="str">
        <f>IFERROR(__xludf.DUMMYFUNCTION("INDIRECT(""'收支紀錄'!I""&amp;TO_TEXT(ROW()-$C$72))"),"晚餐")</f>
        <v>晚餐</v>
      </c>
      <c r="J611" s="61" t="str">
        <f>IFERROR(__xludf.DUMMYFUNCTION("INDIRECT(""'收支紀錄'!J""&amp;TO_TEXT(ROW()-$C$72))"),"")</f>
        <v/>
      </c>
      <c r="K611" s="61" t="str">
        <f>IFERROR(__xludf.DUMMYFUNCTION("INDIRECT(""'收支紀錄'!K""&amp;TO_TEXT(ROW()-$C$72))"),"")</f>
        <v/>
      </c>
      <c r="L611" s="61" t="str">
        <f>IFERROR(__xludf.DUMMYFUNCTION("INDIRECT(""'收支紀錄'!L""&amp;TO_TEXT(ROW()-$C$72))"),"")</f>
        <v/>
      </c>
      <c r="M611" s="61" t="str">
        <f>IFERROR(__xludf.DUMMYFUNCTION("INDIRECT(""'收支紀錄'!M""&amp;TO_TEXT(ROW()-$C$72))"),"")</f>
        <v/>
      </c>
      <c r="N611" s="61" t="str">
        <f>IFERROR(__xludf.DUMMYFUNCTION("INDIRECT(""'收支紀錄'!N""&amp;TO_TEXT(ROW()-$C$72))"),"")</f>
        <v/>
      </c>
      <c r="O611" s="61" t="str">
        <f>IFERROR(__xludf.DUMMYFUNCTION("INDIRECT(""'收支紀錄'!O""&amp;TO_TEXT(ROW()-$C$72))"),"")</f>
        <v/>
      </c>
      <c r="P611" s="61" t="str">
        <f>IFERROR(__xludf.DUMMYFUNCTION("INDIRECT(""'收支紀錄'!P""&amp;TO_TEXT(ROW()-$C$72))"),"")</f>
        <v/>
      </c>
      <c r="Q611" s="61" t="str">
        <f>IFERROR(__xludf.DUMMYFUNCTION("INDIRECT(""'收支紀錄'!Q""&amp;TO_TEXT(ROW()-$C$72))"),"")</f>
        <v/>
      </c>
      <c r="R611" s="61" t="str">
        <f>IFERROR(__xludf.DUMMYFUNCTION("INDIRECT(""'收支紀錄'!R""&amp;TO_TEXT(ROW()-$C$72))"),"")</f>
        <v/>
      </c>
      <c r="S611" s="61" t="str">
        <f>IFERROR(__xludf.DUMMYFUNCTION("INDIRECT(""'收支紀錄'!S""&amp;TO_TEXT(ROW()-$C$72))"),"")</f>
        <v/>
      </c>
      <c r="T611" s="61" t="str">
        <f>IFERROR(__xludf.DUMMYFUNCTION("INDIRECT(""'收支紀錄'!T""&amp;TO_TEXT(ROW()-$C$72))"),"")</f>
        <v/>
      </c>
      <c r="U611" s="62" t="str">
        <f>IFERROR(__xludf.DUMMYFUNCTION("IF(T611=""是"",TEXTJOIN("""", TRUE, ""$"", TO_TEXT(C611), S611),"""")"),"")</f>
        <v/>
      </c>
    </row>
    <row r="612">
      <c r="A612" s="58">
        <f>IFERROR(__xludf.DUMMYFUNCTION("INDIRECT(""'收支紀錄'!A""&amp;TO_TEXT(ROW()-$C$72))"),45681.93975873843)</f>
        <v>45681.93976</v>
      </c>
      <c r="B612" s="59">
        <f>IFERROR(__xludf.DUMMYFUNCTION("IF(ISBLANK(D612), """", IF(ISDATE(D612), D612, IF(D612=""今天"", A612, IF(D612=""昨天 (-1 day)"", A612-1, IF(D612=""前天 (-2 days)"", A612-2, IF(D612=""明天 (+1 day)"", A612+1, DATE(LEFT(D612,4), MID(D612,5,2), RIGHT(D612,2))))))))"),45681.93975873843)</f>
        <v>45681.93976</v>
      </c>
      <c r="C612" s="60">
        <f>IFERROR(__xludf.DUMMYFUNCTION("INDIRECT(""'收支紀錄'!C""&amp;TO_TEXT(ROW()-$C$72))"),250.0)</f>
        <v>250</v>
      </c>
      <c r="D612" s="63" t="str">
        <f>IFERROR(__xludf.DUMMYFUNCTION("INDIRECT(""'收支紀錄'!D""&amp;TO_TEXT(ROW()-$C$72))"),"今天")</f>
        <v>今天</v>
      </c>
      <c r="E612" s="61" t="str">
        <f>IFERROR(__xludf.DUMMYFUNCTION("INDIRECT(""'收支紀錄'!E""&amp;TO_TEXT(ROW()-$C$72))"),"")</f>
        <v/>
      </c>
      <c r="F612" s="61" t="str">
        <f>IFERROR(__xludf.DUMMYFUNCTION("INDIRECT(""'收支紀錄'!F""&amp;TO_TEXT(ROW()-$C$72))"),"")</f>
        <v/>
      </c>
      <c r="G612" s="61" t="str">
        <f>IFERROR(__xludf.DUMMYFUNCTION("INDIRECT(""'收支紀錄'!G""&amp;TO_TEXT(ROW()-$C$72))"),"")</f>
        <v/>
      </c>
      <c r="H612" s="61" t="str">
        <f>IFERROR(__xludf.DUMMYFUNCTION("INDIRECT(""'收支紀錄'!H""&amp;TO_TEXT(ROW()-$C$72))"),"醫療費用")</f>
        <v>醫療費用</v>
      </c>
      <c r="I612" s="61" t="str">
        <f>IFERROR(__xludf.DUMMYFUNCTION("INDIRECT(""'收支紀錄'!I""&amp;TO_TEXT(ROW()-$C$72))"),"")</f>
        <v/>
      </c>
      <c r="J612" s="61" t="str">
        <f>IFERROR(__xludf.DUMMYFUNCTION("INDIRECT(""'收支紀錄'!J""&amp;TO_TEXT(ROW()-$C$72))"),"")</f>
        <v/>
      </c>
      <c r="K612" s="61" t="str">
        <f>IFERROR(__xludf.DUMMYFUNCTION("INDIRECT(""'收支紀錄'!K""&amp;TO_TEXT(ROW()-$C$72))"),"")</f>
        <v/>
      </c>
      <c r="L612" s="61" t="str">
        <f>IFERROR(__xludf.DUMMYFUNCTION("INDIRECT(""'收支紀錄'!L""&amp;TO_TEXT(ROW()-$C$72))"),"")</f>
        <v/>
      </c>
      <c r="M612" s="61" t="str">
        <f>IFERROR(__xludf.DUMMYFUNCTION("INDIRECT(""'收支紀錄'!M""&amp;TO_TEXT(ROW()-$C$72))"),"")</f>
        <v/>
      </c>
      <c r="N612" s="61" t="str">
        <f>IFERROR(__xludf.DUMMYFUNCTION("INDIRECT(""'收支紀錄'!N""&amp;TO_TEXT(ROW()-$C$72))"),"")</f>
        <v/>
      </c>
      <c r="O612" s="61" t="str">
        <f>IFERROR(__xludf.DUMMYFUNCTION("INDIRECT(""'收支紀錄'!O""&amp;TO_TEXT(ROW()-$C$72))"),"生病醫療")</f>
        <v>生病醫療</v>
      </c>
      <c r="P612" s="61" t="str">
        <f>IFERROR(__xludf.DUMMYFUNCTION("INDIRECT(""'收支紀錄'!P""&amp;TO_TEXT(ROW()-$C$72))"),"")</f>
        <v/>
      </c>
      <c r="Q612" s="61" t="str">
        <f>IFERROR(__xludf.DUMMYFUNCTION("INDIRECT(""'收支紀錄'!Q""&amp;TO_TEXT(ROW()-$C$72))"),"")</f>
        <v/>
      </c>
      <c r="R612" s="61" t="str">
        <f>IFERROR(__xludf.DUMMYFUNCTION("INDIRECT(""'收支紀錄'!R""&amp;TO_TEXT(ROW()-$C$72))"),"")</f>
        <v/>
      </c>
      <c r="S612" s="61" t="str">
        <f>IFERROR(__xludf.DUMMYFUNCTION("INDIRECT(""'收支紀錄'!S""&amp;TO_TEXT(ROW()-$C$72))"),"")</f>
        <v/>
      </c>
      <c r="T612" s="61" t="str">
        <f>IFERROR(__xludf.DUMMYFUNCTION("INDIRECT(""'收支紀錄'!T""&amp;TO_TEXT(ROW()-$C$72))"),"")</f>
        <v/>
      </c>
      <c r="U612" s="62" t="str">
        <f>IFERROR(__xludf.DUMMYFUNCTION("IF(T612=""是"",TEXTJOIN("""", TRUE, ""$"", TO_TEXT(C612), S612),"""")"),"")</f>
        <v/>
      </c>
    </row>
    <row r="613">
      <c r="A613" s="58">
        <f>IFERROR(__xludf.DUMMYFUNCTION("INDIRECT(""'收支紀錄'!A""&amp;TO_TEXT(ROW()-$C$72))"),45681.94002900463)</f>
        <v>45681.94003</v>
      </c>
      <c r="B613" s="59">
        <f>IFERROR(__xludf.DUMMYFUNCTION("IF(ISBLANK(D613), """", IF(ISDATE(D613), D613, IF(D613=""今天"", A613, IF(D613=""昨天 (-1 day)"", A613-1, IF(D613=""前天 (-2 days)"", A613-2, IF(D613=""明天 (+1 day)"", A613+1, DATE(LEFT(D613,4), MID(D613,5,2), RIGHT(D613,2))))))))"),45681.94002900463)</f>
        <v>45681.94003</v>
      </c>
      <c r="C613" s="60">
        <f>IFERROR(__xludf.DUMMYFUNCTION("INDIRECT(""'收支紀錄'!C""&amp;TO_TEXT(ROW()-$C$72))"),400.0)</f>
        <v>400</v>
      </c>
      <c r="D613" s="63" t="str">
        <f>IFERROR(__xludf.DUMMYFUNCTION("INDIRECT(""'收支紀錄'!D""&amp;TO_TEXT(ROW()-$C$72))"),"今天")</f>
        <v>今天</v>
      </c>
      <c r="E613" s="61" t="str">
        <f>IFERROR(__xludf.DUMMYFUNCTION("INDIRECT(""'收支紀錄'!E""&amp;TO_TEXT(ROW()-$C$72))"),"")</f>
        <v/>
      </c>
      <c r="F613" s="61" t="str">
        <f>IFERROR(__xludf.DUMMYFUNCTION("INDIRECT(""'收支紀錄'!F""&amp;TO_TEXT(ROW()-$C$72))"),"")</f>
        <v/>
      </c>
      <c r="G613" s="61" t="str">
        <f>IFERROR(__xludf.DUMMYFUNCTION("INDIRECT(""'收支紀錄'!G""&amp;TO_TEXT(ROW()-$C$72))"),"")</f>
        <v/>
      </c>
      <c r="H613" s="61" t="str">
        <f>IFERROR(__xludf.DUMMYFUNCTION("INDIRECT(""'收支紀錄'!H""&amp;TO_TEXT(ROW()-$C$72))"),"醫療費用")</f>
        <v>醫療費用</v>
      </c>
      <c r="I613" s="61" t="str">
        <f>IFERROR(__xludf.DUMMYFUNCTION("INDIRECT(""'收支紀錄'!I""&amp;TO_TEXT(ROW()-$C$72))"),"")</f>
        <v/>
      </c>
      <c r="J613" s="61" t="str">
        <f>IFERROR(__xludf.DUMMYFUNCTION("INDIRECT(""'收支紀錄'!J""&amp;TO_TEXT(ROW()-$C$72))"),"")</f>
        <v/>
      </c>
      <c r="K613" s="61" t="str">
        <f>IFERROR(__xludf.DUMMYFUNCTION("INDIRECT(""'收支紀錄'!K""&amp;TO_TEXT(ROW()-$C$72))"),"")</f>
        <v/>
      </c>
      <c r="L613" s="61" t="str">
        <f>IFERROR(__xludf.DUMMYFUNCTION("INDIRECT(""'收支紀錄'!L""&amp;TO_TEXT(ROW()-$C$72))"),"")</f>
        <v/>
      </c>
      <c r="M613" s="61" t="str">
        <f>IFERROR(__xludf.DUMMYFUNCTION("INDIRECT(""'收支紀錄'!M""&amp;TO_TEXT(ROW()-$C$72))"),"")</f>
        <v/>
      </c>
      <c r="N613" s="61" t="str">
        <f>IFERROR(__xludf.DUMMYFUNCTION("INDIRECT(""'收支紀錄'!N""&amp;TO_TEXT(ROW()-$C$72))"),"")</f>
        <v/>
      </c>
      <c r="O613" s="61" t="str">
        <f>IFERROR(__xludf.DUMMYFUNCTION("INDIRECT(""'收支紀錄'!O""&amp;TO_TEXT(ROW()-$C$72))"),"保健食品")</f>
        <v>保健食品</v>
      </c>
      <c r="P613" s="61" t="str">
        <f>IFERROR(__xludf.DUMMYFUNCTION("INDIRECT(""'收支紀錄'!P""&amp;TO_TEXT(ROW()-$C$72))"),"")</f>
        <v/>
      </c>
      <c r="Q613" s="61" t="str">
        <f>IFERROR(__xludf.DUMMYFUNCTION("INDIRECT(""'收支紀錄'!Q""&amp;TO_TEXT(ROW()-$C$72))"),"")</f>
        <v/>
      </c>
      <c r="R613" s="61" t="str">
        <f>IFERROR(__xludf.DUMMYFUNCTION("INDIRECT(""'收支紀錄'!R""&amp;TO_TEXT(ROW()-$C$72))"),"")</f>
        <v/>
      </c>
      <c r="S613" s="61" t="str">
        <f>IFERROR(__xludf.DUMMYFUNCTION("INDIRECT(""'收支紀錄'!S""&amp;TO_TEXT(ROW()-$C$72))"),"")</f>
        <v/>
      </c>
      <c r="T613" s="61" t="str">
        <f>IFERROR(__xludf.DUMMYFUNCTION("INDIRECT(""'收支紀錄'!T""&amp;TO_TEXT(ROW()-$C$72))"),"")</f>
        <v/>
      </c>
      <c r="U613" s="62" t="str">
        <f>IFERROR(__xludf.DUMMYFUNCTION("IF(T613=""是"",TEXTJOIN("""", TRUE, ""$"", TO_TEXT(C613), S613),"""")"),"")</f>
        <v/>
      </c>
    </row>
    <row r="614">
      <c r="A614" s="58">
        <f>IFERROR(__xludf.DUMMYFUNCTION("INDIRECT(""'收支紀錄'!A""&amp;TO_TEXT(ROW()-$C$72))"),45682.473122256946)</f>
        <v>45682.47312</v>
      </c>
      <c r="B614" s="59">
        <f>IFERROR(__xludf.DUMMYFUNCTION("IF(ISBLANK(D614), """", IF(ISDATE(D614), D614, IF(D614=""今天"", A614, IF(D614=""昨天 (-1 day)"", A614-1, IF(D614=""前天 (-2 days)"", A614-2, IF(D614=""明天 (+1 day)"", A614+1, DATE(LEFT(D614,4), MID(D614,5,2), RIGHT(D614,2))))))))"),45682.473122256946)</f>
        <v>45682.47312</v>
      </c>
      <c r="C614" s="60">
        <f>IFERROR(__xludf.DUMMYFUNCTION("INDIRECT(""'收支紀錄'!C""&amp;TO_TEXT(ROW()-$C$72))"),35.0)</f>
        <v>35</v>
      </c>
      <c r="D614" s="63" t="str">
        <f>IFERROR(__xludf.DUMMYFUNCTION("INDIRECT(""'收支紀錄'!D""&amp;TO_TEXT(ROW()-$C$72))"),"今天")</f>
        <v>今天</v>
      </c>
      <c r="E614" s="61" t="str">
        <f>IFERROR(__xludf.DUMMYFUNCTION("INDIRECT(""'收支紀錄'!E""&amp;TO_TEXT(ROW()-$C$72))"),"")</f>
        <v/>
      </c>
      <c r="F614" s="61" t="str">
        <f>IFERROR(__xludf.DUMMYFUNCTION("INDIRECT(""'收支紀錄'!F""&amp;TO_TEXT(ROW()-$C$72))"),"")</f>
        <v/>
      </c>
      <c r="G614" s="61" t="str">
        <f>IFERROR(__xludf.DUMMYFUNCTION("INDIRECT(""'收支紀錄'!G""&amp;TO_TEXT(ROW()-$C$72))"),"")</f>
        <v/>
      </c>
      <c r="H614" s="61" t="str">
        <f>IFERROR(__xludf.DUMMYFUNCTION("INDIRECT(""'收支紀錄'!H""&amp;TO_TEXT(ROW()-$C$72))"),"食品酒水")</f>
        <v>食品酒水</v>
      </c>
      <c r="I614" s="61" t="str">
        <f>IFERROR(__xludf.DUMMYFUNCTION("INDIRECT(""'收支紀錄'!I""&amp;TO_TEXT(ROW()-$C$72))"),"食材")</f>
        <v>食材</v>
      </c>
      <c r="J614" s="61" t="str">
        <f>IFERROR(__xludf.DUMMYFUNCTION("INDIRECT(""'收支紀錄'!J""&amp;TO_TEXT(ROW()-$C$72))"),"")</f>
        <v/>
      </c>
      <c r="K614" s="61" t="str">
        <f>IFERROR(__xludf.DUMMYFUNCTION("INDIRECT(""'收支紀錄'!K""&amp;TO_TEXT(ROW()-$C$72))"),"")</f>
        <v/>
      </c>
      <c r="L614" s="61" t="str">
        <f>IFERROR(__xludf.DUMMYFUNCTION("INDIRECT(""'收支紀錄'!L""&amp;TO_TEXT(ROW()-$C$72))"),"")</f>
        <v/>
      </c>
      <c r="M614" s="61" t="str">
        <f>IFERROR(__xludf.DUMMYFUNCTION("INDIRECT(""'收支紀錄'!M""&amp;TO_TEXT(ROW()-$C$72))"),"")</f>
        <v/>
      </c>
      <c r="N614" s="61" t="str">
        <f>IFERROR(__xludf.DUMMYFUNCTION("INDIRECT(""'收支紀錄'!N""&amp;TO_TEXT(ROW()-$C$72))"),"")</f>
        <v/>
      </c>
      <c r="O614" s="61" t="str">
        <f>IFERROR(__xludf.DUMMYFUNCTION("INDIRECT(""'收支紀錄'!O""&amp;TO_TEXT(ROW()-$C$72))"),"")</f>
        <v/>
      </c>
      <c r="P614" s="61" t="str">
        <f>IFERROR(__xludf.DUMMYFUNCTION("INDIRECT(""'收支紀錄'!P""&amp;TO_TEXT(ROW()-$C$72))"),"")</f>
        <v/>
      </c>
      <c r="Q614" s="61" t="str">
        <f>IFERROR(__xludf.DUMMYFUNCTION("INDIRECT(""'收支紀錄'!Q""&amp;TO_TEXT(ROW()-$C$72))"),"")</f>
        <v/>
      </c>
      <c r="R614" s="61" t="str">
        <f>IFERROR(__xludf.DUMMYFUNCTION("INDIRECT(""'收支紀錄'!R""&amp;TO_TEXT(ROW()-$C$72))"),"")</f>
        <v/>
      </c>
      <c r="S614" s="61" t="str">
        <f>IFERROR(__xludf.DUMMYFUNCTION("INDIRECT(""'收支紀錄'!S""&amp;TO_TEXT(ROW()-$C$72))"),"")</f>
        <v/>
      </c>
      <c r="T614" s="61" t="str">
        <f>IFERROR(__xludf.DUMMYFUNCTION("INDIRECT(""'收支紀錄'!T""&amp;TO_TEXT(ROW()-$C$72))"),"")</f>
        <v/>
      </c>
      <c r="U614" s="62" t="str">
        <f>IFERROR(__xludf.DUMMYFUNCTION("IF(T614=""是"",TEXTJOIN("""", TRUE, ""$"", TO_TEXT(C614), S614),"""")"),"")</f>
        <v/>
      </c>
    </row>
    <row r="615">
      <c r="A615" s="58">
        <f>IFERROR(__xludf.DUMMYFUNCTION("INDIRECT(""'收支紀錄'!A""&amp;TO_TEXT(ROW()-$C$72))"),45682.473412569445)</f>
        <v>45682.47341</v>
      </c>
      <c r="B615" s="59">
        <f>IFERROR(__xludf.DUMMYFUNCTION("IF(ISBLANK(D615), """", IF(ISDATE(D615), D615, IF(D615=""今天"", A615, IF(D615=""昨天 (-1 day)"", A615-1, IF(D615=""前天 (-2 days)"", A615-2, IF(D615=""明天 (+1 day)"", A615+1, DATE(LEFT(D615,4), MID(D615,5,2), RIGHT(D615,2))))))))"),45682.473412569445)</f>
        <v>45682.47341</v>
      </c>
      <c r="C615" s="60">
        <f>IFERROR(__xludf.DUMMYFUNCTION("INDIRECT(""'收支紀錄'!C""&amp;TO_TEXT(ROW()-$C$72))"),20.0)</f>
        <v>20</v>
      </c>
      <c r="D615" s="63" t="str">
        <f>IFERROR(__xludf.DUMMYFUNCTION("INDIRECT(""'收支紀錄'!D""&amp;TO_TEXT(ROW()-$C$72))"),"今天")</f>
        <v>今天</v>
      </c>
      <c r="E615" s="61" t="str">
        <f>IFERROR(__xludf.DUMMYFUNCTION("INDIRECT(""'收支紀錄'!E""&amp;TO_TEXT(ROW()-$C$72))"),"")</f>
        <v/>
      </c>
      <c r="F615" s="61" t="str">
        <f>IFERROR(__xludf.DUMMYFUNCTION("INDIRECT(""'收支紀錄'!F""&amp;TO_TEXT(ROW()-$C$72))"),"")</f>
        <v/>
      </c>
      <c r="G615" s="61" t="str">
        <f>IFERROR(__xludf.DUMMYFUNCTION("INDIRECT(""'收支紀錄'!G""&amp;TO_TEXT(ROW()-$C$72))"),"")</f>
        <v/>
      </c>
      <c r="H615" s="61" t="str">
        <f>IFERROR(__xludf.DUMMYFUNCTION("INDIRECT(""'收支紀錄'!H""&amp;TO_TEXT(ROW()-$C$72))"),"醫療費用")</f>
        <v>醫療費用</v>
      </c>
      <c r="I615" s="61" t="str">
        <f>IFERROR(__xludf.DUMMYFUNCTION("INDIRECT(""'收支紀錄'!I""&amp;TO_TEXT(ROW()-$C$72))"),"")</f>
        <v/>
      </c>
      <c r="J615" s="61" t="str">
        <f>IFERROR(__xludf.DUMMYFUNCTION("INDIRECT(""'收支紀錄'!J""&amp;TO_TEXT(ROW()-$C$72))"),"")</f>
        <v/>
      </c>
      <c r="K615" s="61" t="str">
        <f>IFERROR(__xludf.DUMMYFUNCTION("INDIRECT(""'收支紀錄'!K""&amp;TO_TEXT(ROW()-$C$72))"),"")</f>
        <v/>
      </c>
      <c r="L615" s="61" t="str">
        <f>IFERROR(__xludf.DUMMYFUNCTION("INDIRECT(""'收支紀錄'!L""&amp;TO_TEXT(ROW()-$C$72))"),"")</f>
        <v/>
      </c>
      <c r="M615" s="61" t="str">
        <f>IFERROR(__xludf.DUMMYFUNCTION("INDIRECT(""'收支紀錄'!M""&amp;TO_TEXT(ROW()-$C$72))"),"")</f>
        <v/>
      </c>
      <c r="N615" s="61" t="str">
        <f>IFERROR(__xludf.DUMMYFUNCTION("INDIRECT(""'收支紀錄'!N""&amp;TO_TEXT(ROW()-$C$72))"),"")</f>
        <v/>
      </c>
      <c r="O615" s="61" t="str">
        <f>IFERROR(__xludf.DUMMYFUNCTION("INDIRECT(""'收支紀錄'!O""&amp;TO_TEXT(ROW()-$C$72))"),"處方簽藥")</f>
        <v>處方簽藥</v>
      </c>
      <c r="P615" s="61" t="str">
        <f>IFERROR(__xludf.DUMMYFUNCTION("INDIRECT(""'收支紀錄'!P""&amp;TO_TEXT(ROW()-$C$72))"),"")</f>
        <v/>
      </c>
      <c r="Q615" s="61" t="str">
        <f>IFERROR(__xludf.DUMMYFUNCTION("INDIRECT(""'收支紀錄'!Q""&amp;TO_TEXT(ROW()-$C$72))"),"")</f>
        <v/>
      </c>
      <c r="R615" s="61" t="str">
        <f>IFERROR(__xludf.DUMMYFUNCTION("INDIRECT(""'收支紀錄'!R""&amp;TO_TEXT(ROW()-$C$72))"),"")</f>
        <v/>
      </c>
      <c r="S615" s="61" t="str">
        <f>IFERROR(__xludf.DUMMYFUNCTION("INDIRECT(""'收支紀錄'!S""&amp;TO_TEXT(ROW()-$C$72))"),"")</f>
        <v/>
      </c>
      <c r="T615" s="61" t="str">
        <f>IFERROR(__xludf.DUMMYFUNCTION("INDIRECT(""'收支紀錄'!T""&amp;TO_TEXT(ROW()-$C$72))"),"")</f>
        <v/>
      </c>
      <c r="U615" s="62" t="str">
        <f>IFERROR(__xludf.DUMMYFUNCTION("IF(T615=""是"",TEXTJOIN("""", TRUE, ""$"", TO_TEXT(C615), S615),"""")"),"")</f>
        <v/>
      </c>
    </row>
    <row r="616">
      <c r="A616" s="58">
        <f>IFERROR(__xludf.DUMMYFUNCTION("INDIRECT(""'收支紀錄'!A""&amp;TO_TEXT(ROW()-$C$72))"),45682.68349457176)</f>
        <v>45682.68349</v>
      </c>
      <c r="B616" s="59">
        <f>IFERROR(__xludf.DUMMYFUNCTION("IF(ISBLANK(D616), """", IF(ISDATE(D616), D616, IF(D616=""今天"", A616, IF(D616=""昨天 (-1 day)"", A616-1, IF(D616=""前天 (-2 days)"", A616-2, IF(D616=""明天 (+1 day)"", A616+1, DATE(LEFT(D616,4), MID(D616,5,2), RIGHT(D616,2))))))))"),45682.68349457176)</f>
        <v>45682.68349</v>
      </c>
      <c r="C616" s="60">
        <f>IFERROR(__xludf.DUMMYFUNCTION("INDIRECT(""'收支紀錄'!C""&amp;TO_TEXT(ROW()-$C$72))"),2999.0)</f>
        <v>2999</v>
      </c>
      <c r="D616" s="63" t="str">
        <f>IFERROR(__xludf.DUMMYFUNCTION("INDIRECT(""'收支紀錄'!D""&amp;TO_TEXT(ROW()-$C$72))"),"今天")</f>
        <v>今天</v>
      </c>
      <c r="E616" s="61" t="str">
        <f>IFERROR(__xludf.DUMMYFUNCTION("INDIRECT(""'收支紀錄'!E""&amp;TO_TEXT(ROW()-$C$72))"),"")</f>
        <v/>
      </c>
      <c r="F616" s="61" t="str">
        <f>IFERROR(__xludf.DUMMYFUNCTION("INDIRECT(""'收支紀錄'!F""&amp;TO_TEXT(ROW()-$C$72))"),"")</f>
        <v/>
      </c>
      <c r="G616" s="61" t="str">
        <f>IFERROR(__xludf.DUMMYFUNCTION("INDIRECT(""'收支紀錄'!G""&amp;TO_TEXT(ROW()-$C$72))"),"")</f>
        <v/>
      </c>
      <c r="H616" s="61" t="str">
        <f>IFERROR(__xludf.DUMMYFUNCTION("INDIRECT(""'收支紀錄'!H""&amp;TO_TEXT(ROW()-$C$72))"),"食品酒水")</f>
        <v>食品酒水</v>
      </c>
      <c r="I616" s="61" t="str">
        <f>IFERROR(__xludf.DUMMYFUNCTION("INDIRECT(""'收支紀錄'!I""&amp;TO_TEXT(ROW()-$C$72))"),"伴手禮")</f>
        <v>伴手禮</v>
      </c>
      <c r="J616" s="61" t="str">
        <f>IFERROR(__xludf.DUMMYFUNCTION("INDIRECT(""'收支紀錄'!J""&amp;TO_TEXT(ROW()-$C$72))"),"")</f>
        <v/>
      </c>
      <c r="K616" s="61" t="str">
        <f>IFERROR(__xludf.DUMMYFUNCTION("INDIRECT(""'收支紀錄'!K""&amp;TO_TEXT(ROW()-$C$72))"),"")</f>
        <v/>
      </c>
      <c r="L616" s="61" t="str">
        <f>IFERROR(__xludf.DUMMYFUNCTION("INDIRECT(""'收支紀錄'!L""&amp;TO_TEXT(ROW()-$C$72))"),"")</f>
        <v/>
      </c>
      <c r="M616" s="61" t="str">
        <f>IFERROR(__xludf.DUMMYFUNCTION("INDIRECT(""'收支紀錄'!M""&amp;TO_TEXT(ROW()-$C$72))"),"")</f>
        <v/>
      </c>
      <c r="N616" s="61" t="str">
        <f>IFERROR(__xludf.DUMMYFUNCTION("INDIRECT(""'收支紀錄'!N""&amp;TO_TEXT(ROW()-$C$72))"),"")</f>
        <v/>
      </c>
      <c r="O616" s="61" t="str">
        <f>IFERROR(__xludf.DUMMYFUNCTION("INDIRECT(""'收支紀錄'!O""&amp;TO_TEXT(ROW()-$C$72))"),"")</f>
        <v/>
      </c>
      <c r="P616" s="61" t="str">
        <f>IFERROR(__xludf.DUMMYFUNCTION("INDIRECT(""'收支紀錄'!P""&amp;TO_TEXT(ROW()-$C$72))"),"")</f>
        <v/>
      </c>
      <c r="Q616" s="61" t="str">
        <f>IFERROR(__xludf.DUMMYFUNCTION("INDIRECT(""'收支紀錄'!Q""&amp;TO_TEXT(ROW()-$C$72))"),"")</f>
        <v/>
      </c>
      <c r="R616" s="61" t="str">
        <f>IFERROR(__xludf.DUMMYFUNCTION("INDIRECT(""'收支紀錄'!R""&amp;TO_TEXT(ROW()-$C$72))"),"")</f>
        <v/>
      </c>
      <c r="S616" s="61" t="str">
        <f>IFERROR(__xludf.DUMMYFUNCTION("INDIRECT(""'收支紀錄'!S""&amp;TO_TEXT(ROW()-$C$72))"),"華齊堂燕窩禮盒")</f>
        <v>華齊堂燕窩禮盒</v>
      </c>
      <c r="T616" s="61" t="str">
        <f>IFERROR(__xludf.DUMMYFUNCTION("INDIRECT(""'收支紀錄'!T""&amp;TO_TEXT(ROW()-$C$72))"),"是")</f>
        <v>是</v>
      </c>
      <c r="U616" s="62" t="str">
        <f>IFERROR(__xludf.DUMMYFUNCTION("IF(T616=""是"",TEXTJOIN("""", TRUE, ""$"", TO_TEXT(C616), S616),"""")"),"$2999華齊堂燕窩禮盒")</f>
        <v>$2999華齊堂燕窩禮盒</v>
      </c>
    </row>
    <row r="617">
      <c r="A617" s="58">
        <f>IFERROR(__xludf.DUMMYFUNCTION("INDIRECT(""'收支紀錄'!A""&amp;TO_TEXT(ROW()-$C$72))"),45682.68381931713)</f>
        <v>45682.68382</v>
      </c>
      <c r="B617" s="59">
        <f>IFERROR(__xludf.DUMMYFUNCTION("IF(ISBLANK(D617), """", IF(ISDATE(D617), D617, IF(D617=""今天"", A617, IF(D617=""昨天 (-1 day)"", A617-1, IF(D617=""前天 (-2 days)"", A617-2, IF(D617=""明天 (+1 day)"", A617+1, DATE(LEFT(D617,4), MID(D617,5,2), RIGHT(D617,2))))))))"),45682.68381931713)</f>
        <v>45682.68382</v>
      </c>
      <c r="C617" s="60">
        <f>IFERROR(__xludf.DUMMYFUNCTION("INDIRECT(""'收支紀錄'!C""&amp;TO_TEXT(ROW()-$C$72))"),84.0)</f>
        <v>84</v>
      </c>
      <c r="D617" s="63" t="str">
        <f>IFERROR(__xludf.DUMMYFUNCTION("INDIRECT(""'收支紀錄'!D""&amp;TO_TEXT(ROW()-$C$72))"),"今天")</f>
        <v>今天</v>
      </c>
      <c r="E617" s="61" t="str">
        <f>IFERROR(__xludf.DUMMYFUNCTION("INDIRECT(""'收支紀錄'!E""&amp;TO_TEXT(ROW()-$C$72))"),"")</f>
        <v/>
      </c>
      <c r="F617" s="61" t="str">
        <f>IFERROR(__xludf.DUMMYFUNCTION("INDIRECT(""'收支紀錄'!F""&amp;TO_TEXT(ROW()-$C$72))"),"")</f>
        <v/>
      </c>
      <c r="G617" s="61" t="str">
        <f>IFERROR(__xludf.DUMMYFUNCTION("INDIRECT(""'收支紀錄'!G""&amp;TO_TEXT(ROW()-$C$72))"),"")</f>
        <v/>
      </c>
      <c r="H617" s="61" t="str">
        <f>IFERROR(__xludf.DUMMYFUNCTION("INDIRECT(""'收支紀錄'!H""&amp;TO_TEXT(ROW()-$C$72))"),"行車交通")</f>
        <v>行車交通</v>
      </c>
      <c r="I617" s="61" t="str">
        <f>IFERROR(__xludf.DUMMYFUNCTION("INDIRECT(""'收支紀錄'!I""&amp;TO_TEXT(ROW()-$C$72))"),"")</f>
        <v/>
      </c>
      <c r="J617" s="61" t="str">
        <f>IFERROR(__xludf.DUMMYFUNCTION("INDIRECT(""'收支紀錄'!J""&amp;TO_TEXT(ROW()-$C$72))"),"")</f>
        <v/>
      </c>
      <c r="K617" s="61" t="str">
        <f>IFERROR(__xludf.DUMMYFUNCTION("INDIRECT(""'收支紀錄'!K""&amp;TO_TEXT(ROW()-$C$72))"),"")</f>
        <v/>
      </c>
      <c r="L617" s="61" t="str">
        <f>IFERROR(__xludf.DUMMYFUNCTION("INDIRECT(""'收支紀錄'!L""&amp;TO_TEXT(ROW()-$C$72))"),"加油")</f>
        <v>加油</v>
      </c>
      <c r="M617" s="61" t="str">
        <f>IFERROR(__xludf.DUMMYFUNCTION("INDIRECT(""'收支紀錄'!M""&amp;TO_TEXT(ROW()-$C$72))"),"")</f>
        <v/>
      </c>
      <c r="N617" s="61" t="str">
        <f>IFERROR(__xludf.DUMMYFUNCTION("INDIRECT(""'收支紀錄'!N""&amp;TO_TEXT(ROW()-$C$72))"),"")</f>
        <v/>
      </c>
      <c r="O617" s="61" t="str">
        <f>IFERROR(__xludf.DUMMYFUNCTION("INDIRECT(""'收支紀錄'!O""&amp;TO_TEXT(ROW()-$C$72))"),"")</f>
        <v/>
      </c>
      <c r="P617" s="61" t="str">
        <f>IFERROR(__xludf.DUMMYFUNCTION("INDIRECT(""'收支紀錄'!P""&amp;TO_TEXT(ROW()-$C$72))"),"")</f>
        <v/>
      </c>
      <c r="Q617" s="61" t="str">
        <f>IFERROR(__xludf.DUMMYFUNCTION("INDIRECT(""'收支紀錄'!Q""&amp;TO_TEXT(ROW()-$C$72))"),"")</f>
        <v/>
      </c>
      <c r="R617" s="61" t="str">
        <f>IFERROR(__xludf.DUMMYFUNCTION("INDIRECT(""'收支紀錄'!R""&amp;TO_TEXT(ROW()-$C$72))"),"")</f>
        <v/>
      </c>
      <c r="S617" s="61" t="str">
        <f>IFERROR(__xludf.DUMMYFUNCTION("INDIRECT(""'收支紀錄'!S""&amp;TO_TEXT(ROW()-$C$72))"),"")</f>
        <v/>
      </c>
      <c r="T617" s="61" t="str">
        <f>IFERROR(__xludf.DUMMYFUNCTION("INDIRECT(""'收支紀錄'!T""&amp;TO_TEXT(ROW()-$C$72))"),"")</f>
        <v/>
      </c>
      <c r="U617" s="62" t="str">
        <f>IFERROR(__xludf.DUMMYFUNCTION("IF(T617=""是"",TEXTJOIN("""", TRUE, ""$"", TO_TEXT(C617), S617),"""")"),"")</f>
        <v/>
      </c>
    </row>
    <row r="618">
      <c r="A618" s="58">
        <f>IFERROR(__xludf.DUMMYFUNCTION("INDIRECT(""'收支紀錄'!A""&amp;TO_TEXT(ROW()-$C$72))"),45682.87746224537)</f>
        <v>45682.87746</v>
      </c>
      <c r="B618" s="59">
        <f>IFERROR(__xludf.DUMMYFUNCTION("IF(ISBLANK(D618), """", IF(ISDATE(D618), D618, IF(D618=""今天"", A618, IF(D618=""昨天 (-1 day)"", A618-1, IF(D618=""前天 (-2 days)"", A618-2, IF(D618=""明天 (+1 day)"", A618+1, DATE(LEFT(D618,4), MID(D618,5,2), RIGHT(D618,2))))))))"),45682.87746224537)</f>
        <v>45682.87746</v>
      </c>
      <c r="C618" s="60">
        <f>IFERROR(__xludf.DUMMYFUNCTION("INDIRECT(""'收支紀錄'!C""&amp;TO_TEXT(ROW()-$C$72))"),857.0)</f>
        <v>857</v>
      </c>
      <c r="D618" s="63" t="str">
        <f>IFERROR(__xludf.DUMMYFUNCTION("INDIRECT(""'收支紀錄'!D""&amp;TO_TEXT(ROW()-$C$72))"),"今天")</f>
        <v>今天</v>
      </c>
      <c r="E618" s="61" t="str">
        <f>IFERROR(__xludf.DUMMYFUNCTION("INDIRECT(""'收支紀錄'!E""&amp;TO_TEXT(ROW()-$C$72))"),"")</f>
        <v/>
      </c>
      <c r="F618" s="61" t="str">
        <f>IFERROR(__xludf.DUMMYFUNCTION("INDIRECT(""'收支紀錄'!F""&amp;TO_TEXT(ROW()-$C$72))"),"")</f>
        <v/>
      </c>
      <c r="G618" s="61" t="str">
        <f>IFERROR(__xludf.DUMMYFUNCTION("INDIRECT(""'收支紀錄'!G""&amp;TO_TEXT(ROW()-$C$72))"),"")</f>
        <v/>
      </c>
      <c r="H618" s="61" t="str">
        <f>IFERROR(__xludf.DUMMYFUNCTION("INDIRECT(""'收支紀錄'!H""&amp;TO_TEXT(ROW()-$C$72))"),"食品酒水")</f>
        <v>食品酒水</v>
      </c>
      <c r="I618" s="61" t="str">
        <f>IFERROR(__xludf.DUMMYFUNCTION("INDIRECT(""'收支紀錄'!I""&amp;TO_TEXT(ROW()-$C$72))"),"晚餐")</f>
        <v>晚餐</v>
      </c>
      <c r="J618" s="61" t="str">
        <f>IFERROR(__xludf.DUMMYFUNCTION("INDIRECT(""'收支紀錄'!J""&amp;TO_TEXT(ROW()-$C$72))"),"")</f>
        <v/>
      </c>
      <c r="K618" s="61" t="str">
        <f>IFERROR(__xludf.DUMMYFUNCTION("INDIRECT(""'收支紀錄'!K""&amp;TO_TEXT(ROW()-$C$72))"),"")</f>
        <v/>
      </c>
      <c r="L618" s="61" t="str">
        <f>IFERROR(__xludf.DUMMYFUNCTION("INDIRECT(""'收支紀錄'!L""&amp;TO_TEXT(ROW()-$C$72))"),"")</f>
        <v/>
      </c>
      <c r="M618" s="61" t="str">
        <f>IFERROR(__xludf.DUMMYFUNCTION("INDIRECT(""'收支紀錄'!M""&amp;TO_TEXT(ROW()-$C$72))"),"")</f>
        <v/>
      </c>
      <c r="N618" s="61" t="str">
        <f>IFERROR(__xludf.DUMMYFUNCTION("INDIRECT(""'收支紀錄'!N""&amp;TO_TEXT(ROW()-$C$72))"),"")</f>
        <v/>
      </c>
      <c r="O618" s="61" t="str">
        <f>IFERROR(__xludf.DUMMYFUNCTION("INDIRECT(""'收支紀錄'!O""&amp;TO_TEXT(ROW()-$C$72))"),"")</f>
        <v/>
      </c>
      <c r="P618" s="61" t="str">
        <f>IFERROR(__xludf.DUMMYFUNCTION("INDIRECT(""'收支紀錄'!P""&amp;TO_TEXT(ROW()-$C$72))"),"")</f>
        <v/>
      </c>
      <c r="Q618" s="61" t="str">
        <f>IFERROR(__xludf.DUMMYFUNCTION("INDIRECT(""'收支紀錄'!Q""&amp;TO_TEXT(ROW()-$C$72))"),"")</f>
        <v/>
      </c>
      <c r="R618" s="61" t="str">
        <f>IFERROR(__xludf.DUMMYFUNCTION("INDIRECT(""'收支紀錄'!R""&amp;TO_TEXT(ROW()-$C$72))"),"")</f>
        <v/>
      </c>
      <c r="S618" s="61" t="str">
        <f>IFERROR(__xludf.DUMMYFUNCTION("INDIRECT(""'收支紀錄'!S""&amp;TO_TEXT(ROW()-$C$72))"),"")</f>
        <v/>
      </c>
      <c r="T618" s="61" t="str">
        <f>IFERROR(__xludf.DUMMYFUNCTION("INDIRECT(""'收支紀錄'!T""&amp;TO_TEXT(ROW()-$C$72))"),"")</f>
        <v/>
      </c>
      <c r="U618" s="62" t="str">
        <f>IFERROR(__xludf.DUMMYFUNCTION("IF(T618=""是"",TEXTJOIN("""", TRUE, ""$"", TO_TEXT(C618), S618),"""")"),"")</f>
        <v/>
      </c>
    </row>
    <row r="619">
      <c r="A619" s="58">
        <f>IFERROR(__xludf.DUMMYFUNCTION("INDIRECT(""'收支紀錄'!A""&amp;TO_TEXT(ROW()-$C$72))"),45682.87935628472)</f>
        <v>45682.87936</v>
      </c>
      <c r="B619" s="59">
        <f>IFERROR(__xludf.DUMMYFUNCTION("IF(ISBLANK(D619), """", IF(ISDATE(D619), D619, IF(D619=""今天"", A619, IF(D619=""昨天 (-1 day)"", A619-1, IF(D619=""前天 (-2 days)"", A619-2, IF(D619=""明天 (+1 day)"", A619+1, DATE(LEFT(D619,4), MID(D619,5,2), RIGHT(D619,2))))))))"),45682.87935628472)</f>
        <v>45682.87936</v>
      </c>
      <c r="C619" s="60">
        <f>IFERROR(__xludf.DUMMYFUNCTION("INDIRECT(""'收支紀錄'!C""&amp;TO_TEXT(ROW()-$C$72))"),13152.0)</f>
        <v>13152</v>
      </c>
      <c r="D619" s="63" t="str">
        <f>IFERROR(__xludf.DUMMYFUNCTION("INDIRECT(""'收支紀錄'!D""&amp;TO_TEXT(ROW()-$C$72))"),"今天")</f>
        <v>今天</v>
      </c>
      <c r="E619" s="61" t="str">
        <f>IFERROR(__xludf.DUMMYFUNCTION("INDIRECT(""'收支紀錄'!E""&amp;TO_TEXT(ROW()-$C$72))"),"")</f>
        <v/>
      </c>
      <c r="F619" s="61" t="str">
        <f>IFERROR(__xludf.DUMMYFUNCTION("INDIRECT(""'收支紀錄'!F""&amp;TO_TEXT(ROW()-$C$72))"),"")</f>
        <v/>
      </c>
      <c r="G619" s="61" t="str">
        <f>IFERROR(__xludf.DUMMYFUNCTION("INDIRECT(""'收支紀錄'!G""&amp;TO_TEXT(ROW()-$C$72))"),"")</f>
        <v/>
      </c>
      <c r="H619" s="61" t="str">
        <f>IFERROR(__xludf.DUMMYFUNCTION("INDIRECT(""'收支紀錄'!H""&amp;TO_TEXT(ROW()-$C$72))"),"人情往來")</f>
        <v>人情往來</v>
      </c>
      <c r="I619" s="61" t="str">
        <f>IFERROR(__xludf.DUMMYFUNCTION("INDIRECT(""'收支紀錄'!I""&amp;TO_TEXT(ROW()-$C$72))"),"")</f>
        <v/>
      </c>
      <c r="J619" s="61" t="str">
        <f>IFERROR(__xludf.DUMMYFUNCTION("INDIRECT(""'收支紀錄'!J""&amp;TO_TEXT(ROW()-$C$72))"),"")</f>
        <v/>
      </c>
      <c r="K619" s="61" t="str">
        <f>IFERROR(__xludf.DUMMYFUNCTION("INDIRECT(""'收支紀錄'!K""&amp;TO_TEXT(ROW()-$C$72))"),"")</f>
        <v/>
      </c>
      <c r="L619" s="61" t="str">
        <f>IFERROR(__xludf.DUMMYFUNCTION("INDIRECT(""'收支紀錄'!L""&amp;TO_TEXT(ROW()-$C$72))"),"")</f>
        <v/>
      </c>
      <c r="M619" s="61" t="str">
        <f>IFERROR(__xludf.DUMMYFUNCTION("INDIRECT(""'收支紀錄'!M""&amp;TO_TEXT(ROW()-$C$72))"),"")</f>
        <v/>
      </c>
      <c r="N619" s="61" t="str">
        <f>IFERROR(__xludf.DUMMYFUNCTION("INDIRECT(""'收支紀錄'!N""&amp;TO_TEXT(ROW()-$C$72))"),"")</f>
        <v/>
      </c>
      <c r="O619" s="61" t="str">
        <f>IFERROR(__xludf.DUMMYFUNCTION("INDIRECT(""'收支紀錄'!O""&amp;TO_TEXT(ROW()-$C$72))"),"")</f>
        <v/>
      </c>
      <c r="P619" s="61" t="str">
        <f>IFERROR(__xludf.DUMMYFUNCTION("INDIRECT(""'收支紀錄'!P""&amp;TO_TEXT(ROW()-$C$72))"),"")</f>
        <v/>
      </c>
      <c r="Q619" s="61" t="str">
        <f>IFERROR(__xludf.DUMMYFUNCTION("INDIRECT(""'收支紀錄'!Q""&amp;TO_TEXT(ROW()-$C$72))"),"送禮請客")</f>
        <v>送禮請客</v>
      </c>
      <c r="R619" s="61" t="str">
        <f>IFERROR(__xludf.DUMMYFUNCTION("INDIRECT(""'收支紀錄'!R""&amp;TO_TEXT(ROW()-$C$72))"),"")</f>
        <v/>
      </c>
      <c r="S619" s="61" t="str">
        <f>IFERROR(__xludf.DUMMYFUNCTION("INDIRECT(""'收支紀錄'!S""&amp;TO_TEXT(ROW()-$C$72))"),"寶紅包自己抽")</f>
        <v>寶紅包自己抽</v>
      </c>
      <c r="T619" s="61" t="str">
        <f>IFERROR(__xludf.DUMMYFUNCTION("INDIRECT(""'收支紀錄'!T""&amp;TO_TEXT(ROW()-$C$72))"),"是")</f>
        <v>是</v>
      </c>
      <c r="U619" s="62" t="str">
        <f>IFERROR(__xludf.DUMMYFUNCTION("IF(T619=""是"",TEXTJOIN("""", TRUE, ""$"", TO_TEXT(C619), S619),"""")"),"$13152寶紅包自己抽")</f>
        <v>$13152寶紅包自己抽</v>
      </c>
    </row>
    <row r="620">
      <c r="A620" s="58">
        <f>IFERROR(__xludf.DUMMYFUNCTION("INDIRECT(""'收支紀錄'!A""&amp;TO_TEXT(ROW()-$C$72))"),45682.880574062496)</f>
        <v>45682.88057</v>
      </c>
      <c r="B620" s="59">
        <f>IFERROR(__xludf.DUMMYFUNCTION("IF(ISBLANK(D620), """", IF(ISDATE(D620), D620, IF(D620=""今天"", A620, IF(D620=""昨天 (-1 day)"", A620-1, IF(D620=""前天 (-2 days)"", A620-2, IF(D620=""明天 (+1 day)"", A620+1, DATE(LEFT(D620,4), MID(D620,5,2), RIGHT(D620,2))))))))"),45682.880574062496)</f>
        <v>45682.88057</v>
      </c>
      <c r="C620" s="60">
        <f>IFERROR(__xludf.DUMMYFUNCTION("INDIRECT(""'收支紀錄'!C""&amp;TO_TEXT(ROW()-$C$72))"),3659.0)</f>
        <v>3659</v>
      </c>
      <c r="D620" s="63" t="str">
        <f>IFERROR(__xludf.DUMMYFUNCTION("INDIRECT(""'收支紀錄'!D""&amp;TO_TEXT(ROW()-$C$72))"),"今天")</f>
        <v>今天</v>
      </c>
      <c r="E620" s="61" t="str">
        <f>IFERROR(__xludf.DUMMYFUNCTION("INDIRECT(""'收支紀錄'!E""&amp;TO_TEXT(ROW()-$C$72))"),"其他業外")</f>
        <v>其他業外</v>
      </c>
      <c r="F620" s="61" t="str">
        <f>IFERROR(__xludf.DUMMYFUNCTION("INDIRECT(""'收支紀錄'!F""&amp;TO_TEXT(ROW()-$C$72))"),"")</f>
        <v/>
      </c>
      <c r="G620" s="61" t="str">
        <f>IFERROR(__xludf.DUMMYFUNCTION("INDIRECT(""'收支紀錄'!G""&amp;TO_TEXT(ROW()-$C$72))"),"發票/彩券/中獎")</f>
        <v>發票/彩券/中獎</v>
      </c>
      <c r="H620" s="61" t="str">
        <f>IFERROR(__xludf.DUMMYFUNCTION("INDIRECT(""'收支紀錄'!H""&amp;TO_TEXT(ROW()-$C$72))"),"")</f>
        <v/>
      </c>
      <c r="I620" s="61" t="str">
        <f>IFERROR(__xludf.DUMMYFUNCTION("INDIRECT(""'收支紀錄'!I""&amp;TO_TEXT(ROW()-$C$72))"),"")</f>
        <v/>
      </c>
      <c r="J620" s="61" t="str">
        <f>IFERROR(__xludf.DUMMYFUNCTION("INDIRECT(""'收支紀錄'!J""&amp;TO_TEXT(ROW()-$C$72))"),"")</f>
        <v/>
      </c>
      <c r="K620" s="61" t="str">
        <f>IFERROR(__xludf.DUMMYFUNCTION("INDIRECT(""'收支紀錄'!K""&amp;TO_TEXT(ROW()-$C$72))"),"")</f>
        <v/>
      </c>
      <c r="L620" s="61" t="str">
        <f>IFERROR(__xludf.DUMMYFUNCTION("INDIRECT(""'收支紀錄'!L""&amp;TO_TEXT(ROW()-$C$72))"),"")</f>
        <v/>
      </c>
      <c r="M620" s="61" t="str">
        <f>IFERROR(__xludf.DUMMYFUNCTION("INDIRECT(""'收支紀錄'!M""&amp;TO_TEXT(ROW()-$C$72))"),"")</f>
        <v/>
      </c>
      <c r="N620" s="61" t="str">
        <f>IFERROR(__xludf.DUMMYFUNCTION("INDIRECT(""'收支紀錄'!N""&amp;TO_TEXT(ROW()-$C$72))"),"")</f>
        <v/>
      </c>
      <c r="O620" s="61" t="str">
        <f>IFERROR(__xludf.DUMMYFUNCTION("INDIRECT(""'收支紀錄'!O""&amp;TO_TEXT(ROW()-$C$72))"),"")</f>
        <v/>
      </c>
      <c r="P620" s="61" t="str">
        <f>IFERROR(__xludf.DUMMYFUNCTION("INDIRECT(""'收支紀錄'!P""&amp;TO_TEXT(ROW()-$C$72))"),"")</f>
        <v/>
      </c>
      <c r="Q620" s="61" t="str">
        <f>IFERROR(__xludf.DUMMYFUNCTION("INDIRECT(""'收支紀錄'!Q""&amp;TO_TEXT(ROW()-$C$72))"),"")</f>
        <v/>
      </c>
      <c r="R620" s="61" t="str">
        <f>IFERROR(__xludf.DUMMYFUNCTION("INDIRECT(""'收支紀錄'!R""&amp;TO_TEXT(ROW()-$C$72))"),"")</f>
        <v/>
      </c>
      <c r="S620" s="61" t="str">
        <f>IFERROR(__xludf.DUMMYFUNCTION("INDIRECT(""'收支紀錄'!S""&amp;TO_TEXT(ROW()-$C$72))"),"紅包自己抽寶")</f>
        <v>紅包自己抽寶</v>
      </c>
      <c r="T620" s="61" t="str">
        <f>IFERROR(__xludf.DUMMYFUNCTION("INDIRECT(""'收支紀錄'!T""&amp;TO_TEXT(ROW()-$C$72))"),"是")</f>
        <v>是</v>
      </c>
      <c r="U620" s="62" t="str">
        <f>IFERROR(__xludf.DUMMYFUNCTION("IF(T620=""是"",TEXTJOIN("""", TRUE, ""$"", TO_TEXT(C620), S620),"""")"),"$3659紅包自己抽寶")</f>
        <v>$3659紅包自己抽寶</v>
      </c>
    </row>
    <row r="621">
      <c r="A621" s="58">
        <f>IFERROR(__xludf.DUMMYFUNCTION("INDIRECT(""'收支紀錄'!A""&amp;TO_TEXT(ROW()-$C$72))"),45682.88116641204)</f>
        <v>45682.88117</v>
      </c>
      <c r="B621" s="59">
        <f>IFERROR(__xludf.DUMMYFUNCTION("IF(ISBLANK(D621), """", IF(ISDATE(D621), D621, IF(D621=""今天"", A621, IF(D621=""昨天 (-1 day)"", A621-1, IF(D621=""前天 (-2 days)"", A621-2, IF(D621=""明天 (+1 day)"", A621+1, DATE(LEFT(D621,4), MID(D621,5,2), RIGHT(D621,2))))))))"),45681.88116641204)</f>
        <v>45681.88117</v>
      </c>
      <c r="C621" s="60">
        <f>IFERROR(__xludf.DUMMYFUNCTION("INDIRECT(""'收支紀錄'!C""&amp;TO_TEXT(ROW()-$C$72))"),1687.0)</f>
        <v>1687</v>
      </c>
      <c r="D621" s="63" t="str">
        <f>IFERROR(__xludf.DUMMYFUNCTION("INDIRECT(""'收支紀錄'!D""&amp;TO_TEXT(ROW()-$C$72))"),"昨天 (-1 day)")</f>
        <v>昨天 (-1 day)</v>
      </c>
      <c r="E621" s="61" t="str">
        <f>IFERROR(__xludf.DUMMYFUNCTION("INDIRECT(""'收支紀錄'!E""&amp;TO_TEXT(ROW()-$C$72))"),"")</f>
        <v/>
      </c>
      <c r="F621" s="61" t="str">
        <f>IFERROR(__xludf.DUMMYFUNCTION("INDIRECT(""'收支紀錄'!F""&amp;TO_TEXT(ROW()-$C$72))"),"")</f>
        <v/>
      </c>
      <c r="G621" s="61" t="str">
        <f>IFERROR(__xludf.DUMMYFUNCTION("INDIRECT(""'收支紀錄'!G""&amp;TO_TEXT(ROW()-$C$72))"),"")</f>
        <v/>
      </c>
      <c r="H621" s="61" t="str">
        <f>IFERROR(__xludf.DUMMYFUNCTION("INDIRECT(""'收支紀錄'!H""&amp;TO_TEXT(ROW()-$C$72))"),"人情往來")</f>
        <v>人情往來</v>
      </c>
      <c r="I621" s="61" t="str">
        <f>IFERROR(__xludf.DUMMYFUNCTION("INDIRECT(""'收支紀錄'!I""&amp;TO_TEXT(ROW()-$C$72))"),"")</f>
        <v/>
      </c>
      <c r="J621" s="61" t="str">
        <f>IFERROR(__xludf.DUMMYFUNCTION("INDIRECT(""'收支紀錄'!J""&amp;TO_TEXT(ROW()-$C$72))"),"")</f>
        <v/>
      </c>
      <c r="K621" s="61" t="str">
        <f>IFERROR(__xludf.DUMMYFUNCTION("INDIRECT(""'收支紀錄'!K""&amp;TO_TEXT(ROW()-$C$72))"),"")</f>
        <v/>
      </c>
      <c r="L621" s="61" t="str">
        <f>IFERROR(__xludf.DUMMYFUNCTION("INDIRECT(""'收支紀錄'!L""&amp;TO_TEXT(ROW()-$C$72))"),"")</f>
        <v/>
      </c>
      <c r="M621" s="61" t="str">
        <f>IFERROR(__xludf.DUMMYFUNCTION("INDIRECT(""'收支紀錄'!M""&amp;TO_TEXT(ROW()-$C$72))"),"")</f>
        <v/>
      </c>
      <c r="N621" s="61" t="str">
        <f>IFERROR(__xludf.DUMMYFUNCTION("INDIRECT(""'收支紀錄'!N""&amp;TO_TEXT(ROW()-$C$72))"),"")</f>
        <v/>
      </c>
      <c r="O621" s="61" t="str">
        <f>IFERROR(__xludf.DUMMYFUNCTION("INDIRECT(""'收支紀錄'!O""&amp;TO_TEXT(ROW()-$C$72))"),"")</f>
        <v/>
      </c>
      <c r="P621" s="61" t="str">
        <f>IFERROR(__xludf.DUMMYFUNCTION("INDIRECT(""'收支紀錄'!P""&amp;TO_TEXT(ROW()-$C$72))"),"")</f>
        <v/>
      </c>
      <c r="Q621" s="61" t="str">
        <f>IFERROR(__xludf.DUMMYFUNCTION("INDIRECT(""'收支紀錄'!Q""&amp;TO_TEXT(ROW()-$C$72))"),"送禮請客")</f>
        <v>送禮請客</v>
      </c>
      <c r="R621" s="61" t="str">
        <f>IFERROR(__xludf.DUMMYFUNCTION("INDIRECT(""'收支紀錄'!R""&amp;TO_TEXT(ROW()-$C$72))"),"")</f>
        <v/>
      </c>
      <c r="S621" s="61" t="str">
        <f>IFERROR(__xludf.DUMMYFUNCTION("INDIRECT(""'收支紀錄'!S""&amp;TO_TEXT(ROW()-$C$72))"),"贊助寶")</f>
        <v>贊助寶</v>
      </c>
      <c r="T621" s="61" t="str">
        <f>IFERROR(__xludf.DUMMYFUNCTION("INDIRECT(""'收支紀錄'!T""&amp;TO_TEXT(ROW()-$C$72))"),"")</f>
        <v/>
      </c>
      <c r="U621" s="62" t="str">
        <f>IFERROR(__xludf.DUMMYFUNCTION("IF(T621=""是"",TEXTJOIN("""", TRUE, ""$"", TO_TEXT(C621), S621),"""")"),"")</f>
        <v/>
      </c>
    </row>
    <row r="622">
      <c r="A622" s="58">
        <f>IFERROR(__xludf.DUMMYFUNCTION("INDIRECT(""'收支紀錄'!A""&amp;TO_TEXT(ROW()-$C$72))"),45682.886664247686)</f>
        <v>45682.88666</v>
      </c>
      <c r="B622" s="59">
        <f>IFERROR(__xludf.DUMMYFUNCTION("IF(ISBLANK(D622), """", IF(ISDATE(D622), D622, IF(D622=""今天"", A622, IF(D622=""昨天 (-1 day)"", A622-1, IF(D622=""前天 (-2 days)"", A622-2, IF(D622=""明天 (+1 day)"", A622+1, DATE(LEFT(D622,4), MID(D622,5,2), RIGHT(D622,2))))))))"),45682.886664247686)</f>
        <v>45682.88666</v>
      </c>
      <c r="C622" s="60">
        <f>IFERROR(__xludf.DUMMYFUNCTION("INDIRECT(""'收支紀錄'!C""&amp;TO_TEXT(ROW()-$C$72))"),56.0)</f>
        <v>56</v>
      </c>
      <c r="D622" s="63" t="str">
        <f>IFERROR(__xludf.DUMMYFUNCTION("INDIRECT(""'收支紀錄'!D""&amp;TO_TEXT(ROW()-$C$72))"),"今天")</f>
        <v>今天</v>
      </c>
      <c r="E622" s="61" t="str">
        <f>IFERROR(__xludf.DUMMYFUNCTION("INDIRECT(""'收支紀錄'!E""&amp;TO_TEXT(ROW()-$C$72))"),"")</f>
        <v/>
      </c>
      <c r="F622" s="61" t="str">
        <f>IFERROR(__xludf.DUMMYFUNCTION("INDIRECT(""'收支紀錄'!F""&amp;TO_TEXT(ROW()-$C$72))"),"")</f>
        <v/>
      </c>
      <c r="G622" s="61" t="str">
        <f>IFERROR(__xludf.DUMMYFUNCTION("INDIRECT(""'收支紀錄'!G""&amp;TO_TEXT(ROW()-$C$72))"),"")</f>
        <v/>
      </c>
      <c r="H622" s="61" t="str">
        <f>IFERROR(__xludf.DUMMYFUNCTION("INDIRECT(""'收支紀錄'!H""&amp;TO_TEXT(ROW()-$C$72))"),"食品酒水")</f>
        <v>食品酒水</v>
      </c>
      <c r="I622" s="61" t="str">
        <f>IFERROR(__xludf.DUMMYFUNCTION("INDIRECT(""'收支紀錄'!I""&amp;TO_TEXT(ROW()-$C$72))"),"下午茶")</f>
        <v>下午茶</v>
      </c>
      <c r="J622" s="61" t="str">
        <f>IFERROR(__xludf.DUMMYFUNCTION("INDIRECT(""'收支紀錄'!J""&amp;TO_TEXT(ROW()-$C$72))"),"")</f>
        <v/>
      </c>
      <c r="K622" s="61" t="str">
        <f>IFERROR(__xludf.DUMMYFUNCTION("INDIRECT(""'收支紀錄'!K""&amp;TO_TEXT(ROW()-$C$72))"),"")</f>
        <v/>
      </c>
      <c r="L622" s="61" t="str">
        <f>IFERROR(__xludf.DUMMYFUNCTION("INDIRECT(""'收支紀錄'!L""&amp;TO_TEXT(ROW()-$C$72))"),"")</f>
        <v/>
      </c>
      <c r="M622" s="61" t="str">
        <f>IFERROR(__xludf.DUMMYFUNCTION("INDIRECT(""'收支紀錄'!M""&amp;TO_TEXT(ROW()-$C$72))"),"")</f>
        <v/>
      </c>
      <c r="N622" s="61" t="str">
        <f>IFERROR(__xludf.DUMMYFUNCTION("INDIRECT(""'收支紀錄'!N""&amp;TO_TEXT(ROW()-$C$72))"),"")</f>
        <v/>
      </c>
      <c r="O622" s="61" t="str">
        <f>IFERROR(__xludf.DUMMYFUNCTION("INDIRECT(""'收支紀錄'!O""&amp;TO_TEXT(ROW()-$C$72))"),"")</f>
        <v/>
      </c>
      <c r="P622" s="61" t="str">
        <f>IFERROR(__xludf.DUMMYFUNCTION("INDIRECT(""'收支紀錄'!P""&amp;TO_TEXT(ROW()-$C$72))"),"")</f>
        <v/>
      </c>
      <c r="Q622" s="61" t="str">
        <f>IFERROR(__xludf.DUMMYFUNCTION("INDIRECT(""'收支紀錄'!Q""&amp;TO_TEXT(ROW()-$C$72))"),"")</f>
        <v/>
      </c>
      <c r="R622" s="61" t="str">
        <f>IFERROR(__xludf.DUMMYFUNCTION("INDIRECT(""'收支紀錄'!R""&amp;TO_TEXT(ROW()-$C$72))"),"")</f>
        <v/>
      </c>
      <c r="S622" s="61" t="str">
        <f>IFERROR(__xludf.DUMMYFUNCTION("INDIRECT(""'收支紀錄'!S""&amp;TO_TEXT(ROW()-$C$72))"),"")</f>
        <v/>
      </c>
      <c r="T622" s="61" t="str">
        <f>IFERROR(__xludf.DUMMYFUNCTION("INDIRECT(""'收支紀錄'!T""&amp;TO_TEXT(ROW()-$C$72))"),"")</f>
        <v/>
      </c>
      <c r="U622" s="62" t="str">
        <f>IFERROR(__xludf.DUMMYFUNCTION("IF(T622=""是"",TEXTJOIN("""", TRUE, ""$"", TO_TEXT(C622), S622),"""")"),"")</f>
        <v/>
      </c>
    </row>
    <row r="623">
      <c r="A623" s="58">
        <f>IFERROR(__xludf.DUMMYFUNCTION("INDIRECT(""'收支紀錄'!A""&amp;TO_TEXT(ROW()-$C$72))"),45683.64011771991)</f>
        <v>45683.64012</v>
      </c>
      <c r="B623" s="59">
        <f>IFERROR(__xludf.DUMMYFUNCTION("IF(ISBLANK(D623), """", IF(ISDATE(D623), D623, IF(D623=""今天"", A623, IF(D623=""昨天 (-1 day)"", A623-1, IF(D623=""前天 (-2 days)"", A623-2, IF(D623=""明天 (+1 day)"", A623+1, DATE(LEFT(D623,4), MID(D623,5,2), RIGHT(D623,2))))))))"),45683.64011771991)</f>
        <v>45683.64012</v>
      </c>
      <c r="C623" s="60">
        <f>IFERROR(__xludf.DUMMYFUNCTION("INDIRECT(""'收支紀錄'!C""&amp;TO_TEXT(ROW()-$C$72))"),765.0)</f>
        <v>765</v>
      </c>
      <c r="D623" s="63" t="str">
        <f>IFERROR(__xludf.DUMMYFUNCTION("INDIRECT(""'收支紀錄'!D""&amp;TO_TEXT(ROW()-$C$72))"),"今天")</f>
        <v>今天</v>
      </c>
      <c r="E623" s="61" t="str">
        <f>IFERROR(__xludf.DUMMYFUNCTION("INDIRECT(""'收支紀錄'!E""&amp;TO_TEXT(ROW()-$C$72))"),"")</f>
        <v/>
      </c>
      <c r="F623" s="61" t="str">
        <f>IFERROR(__xludf.DUMMYFUNCTION("INDIRECT(""'收支紀錄'!F""&amp;TO_TEXT(ROW()-$C$72))"),"")</f>
        <v/>
      </c>
      <c r="G623" s="61" t="str">
        <f>IFERROR(__xludf.DUMMYFUNCTION("INDIRECT(""'收支紀錄'!G""&amp;TO_TEXT(ROW()-$C$72))"),"")</f>
        <v/>
      </c>
      <c r="H623" s="61" t="str">
        <f>IFERROR(__xludf.DUMMYFUNCTION("INDIRECT(""'收支紀錄'!H""&amp;TO_TEXT(ROW()-$C$72))"),"行車交通")</f>
        <v>行車交通</v>
      </c>
      <c r="I623" s="61" t="str">
        <f>IFERROR(__xludf.DUMMYFUNCTION("INDIRECT(""'收支紀錄'!I""&amp;TO_TEXT(ROW()-$C$72))"),"")</f>
        <v/>
      </c>
      <c r="J623" s="61" t="str">
        <f>IFERROR(__xludf.DUMMYFUNCTION("INDIRECT(""'收支紀錄'!J""&amp;TO_TEXT(ROW()-$C$72))"),"")</f>
        <v/>
      </c>
      <c r="K623" s="61" t="str">
        <f>IFERROR(__xludf.DUMMYFUNCTION("INDIRECT(""'收支紀錄'!K""&amp;TO_TEXT(ROW()-$C$72))"),"")</f>
        <v/>
      </c>
      <c r="L623" s="61" t="str">
        <f>IFERROR(__xludf.DUMMYFUNCTION("INDIRECT(""'收支紀錄'!L""&amp;TO_TEXT(ROW()-$C$72))"),"高鐵")</f>
        <v>高鐵</v>
      </c>
      <c r="M623" s="61" t="str">
        <f>IFERROR(__xludf.DUMMYFUNCTION("INDIRECT(""'收支紀錄'!M""&amp;TO_TEXT(ROW()-$C$72))"),"")</f>
        <v/>
      </c>
      <c r="N623" s="61" t="str">
        <f>IFERROR(__xludf.DUMMYFUNCTION("INDIRECT(""'收支紀錄'!N""&amp;TO_TEXT(ROW()-$C$72))"),"")</f>
        <v/>
      </c>
      <c r="O623" s="61" t="str">
        <f>IFERROR(__xludf.DUMMYFUNCTION("INDIRECT(""'收支紀錄'!O""&amp;TO_TEXT(ROW()-$C$72))"),"")</f>
        <v/>
      </c>
      <c r="P623" s="61" t="str">
        <f>IFERROR(__xludf.DUMMYFUNCTION("INDIRECT(""'收支紀錄'!P""&amp;TO_TEXT(ROW()-$C$72))"),"")</f>
        <v/>
      </c>
      <c r="Q623" s="61" t="str">
        <f>IFERROR(__xludf.DUMMYFUNCTION("INDIRECT(""'收支紀錄'!Q""&amp;TO_TEXT(ROW()-$C$72))"),"")</f>
        <v/>
      </c>
      <c r="R623" s="61" t="str">
        <f>IFERROR(__xludf.DUMMYFUNCTION("INDIRECT(""'收支紀錄'!R""&amp;TO_TEXT(ROW()-$C$72))"),"")</f>
        <v/>
      </c>
      <c r="S623" s="61" t="str">
        <f>IFERROR(__xludf.DUMMYFUNCTION("INDIRECT(""'收支紀錄'!S""&amp;TO_TEXT(ROW()-$C$72))"),"")</f>
        <v/>
      </c>
      <c r="T623" s="61" t="str">
        <f>IFERROR(__xludf.DUMMYFUNCTION("INDIRECT(""'收支紀錄'!T""&amp;TO_TEXT(ROW()-$C$72))"),"")</f>
        <v/>
      </c>
      <c r="U623" s="62" t="str">
        <f>IFERROR(__xludf.DUMMYFUNCTION("IF(T623=""是"",TEXTJOIN("""", TRUE, ""$"", TO_TEXT(C623), S623),"""")"),"")</f>
        <v/>
      </c>
    </row>
    <row r="624">
      <c r="A624" s="58">
        <f>IFERROR(__xludf.DUMMYFUNCTION("INDIRECT(""'收支紀錄'!A""&amp;TO_TEXT(ROW()-$C$72))"),45683.64027290509)</f>
        <v>45683.64027</v>
      </c>
      <c r="B624" s="59">
        <f>IFERROR(__xludf.DUMMYFUNCTION("IF(ISBLANK(D624), """", IF(ISDATE(D624), D624, IF(D624=""今天"", A624, IF(D624=""昨天 (-1 day)"", A624-1, IF(D624=""前天 (-2 days)"", A624-2, IF(D624=""明天 (+1 day)"", A624+1, DATE(LEFT(D624,4), MID(D624,5,2), RIGHT(D624,2))))))))"),45683.64027290509)</f>
        <v>45683.64027</v>
      </c>
      <c r="C624" s="60">
        <f>IFERROR(__xludf.DUMMYFUNCTION("INDIRECT(""'收支紀錄'!C""&amp;TO_TEXT(ROW()-$C$72))"),35.0)</f>
        <v>35</v>
      </c>
      <c r="D624" s="63" t="str">
        <f>IFERROR(__xludf.DUMMYFUNCTION("INDIRECT(""'收支紀錄'!D""&amp;TO_TEXT(ROW()-$C$72))"),"今天")</f>
        <v>今天</v>
      </c>
      <c r="E624" s="61" t="str">
        <f>IFERROR(__xludf.DUMMYFUNCTION("INDIRECT(""'收支紀錄'!E""&amp;TO_TEXT(ROW()-$C$72))"),"")</f>
        <v/>
      </c>
      <c r="F624" s="61" t="str">
        <f>IFERROR(__xludf.DUMMYFUNCTION("INDIRECT(""'收支紀錄'!F""&amp;TO_TEXT(ROW()-$C$72))"),"")</f>
        <v/>
      </c>
      <c r="G624" s="61" t="str">
        <f>IFERROR(__xludf.DUMMYFUNCTION("INDIRECT(""'收支紀錄'!G""&amp;TO_TEXT(ROW()-$C$72))"),"")</f>
        <v/>
      </c>
      <c r="H624" s="61" t="str">
        <f>IFERROR(__xludf.DUMMYFUNCTION("INDIRECT(""'收支紀錄'!H""&amp;TO_TEXT(ROW()-$C$72))"),"行車交通")</f>
        <v>行車交通</v>
      </c>
      <c r="I624" s="61" t="str">
        <f>IFERROR(__xludf.DUMMYFUNCTION("INDIRECT(""'收支紀錄'!I""&amp;TO_TEXT(ROW()-$C$72))"),"")</f>
        <v/>
      </c>
      <c r="J624" s="61" t="str">
        <f>IFERROR(__xludf.DUMMYFUNCTION("INDIRECT(""'收支紀錄'!J""&amp;TO_TEXT(ROW()-$C$72))"),"")</f>
        <v/>
      </c>
      <c r="K624" s="61" t="str">
        <f>IFERROR(__xludf.DUMMYFUNCTION("INDIRECT(""'收支紀錄'!K""&amp;TO_TEXT(ROW()-$C$72))"),"")</f>
        <v/>
      </c>
      <c r="L624" s="61" t="str">
        <f>IFERROR(__xludf.DUMMYFUNCTION("INDIRECT(""'收支紀錄'!L""&amp;TO_TEXT(ROW()-$C$72))"),"捷運費")</f>
        <v>捷運費</v>
      </c>
      <c r="M624" s="61" t="str">
        <f>IFERROR(__xludf.DUMMYFUNCTION("INDIRECT(""'收支紀錄'!M""&amp;TO_TEXT(ROW()-$C$72))"),"")</f>
        <v/>
      </c>
      <c r="N624" s="61" t="str">
        <f>IFERROR(__xludf.DUMMYFUNCTION("INDIRECT(""'收支紀錄'!N""&amp;TO_TEXT(ROW()-$C$72))"),"")</f>
        <v/>
      </c>
      <c r="O624" s="61" t="str">
        <f>IFERROR(__xludf.DUMMYFUNCTION("INDIRECT(""'收支紀錄'!O""&amp;TO_TEXT(ROW()-$C$72))"),"")</f>
        <v/>
      </c>
      <c r="P624" s="61" t="str">
        <f>IFERROR(__xludf.DUMMYFUNCTION("INDIRECT(""'收支紀錄'!P""&amp;TO_TEXT(ROW()-$C$72))"),"")</f>
        <v/>
      </c>
      <c r="Q624" s="61" t="str">
        <f>IFERROR(__xludf.DUMMYFUNCTION("INDIRECT(""'收支紀錄'!Q""&amp;TO_TEXT(ROW()-$C$72))"),"")</f>
        <v/>
      </c>
      <c r="R624" s="61" t="str">
        <f>IFERROR(__xludf.DUMMYFUNCTION("INDIRECT(""'收支紀錄'!R""&amp;TO_TEXT(ROW()-$C$72))"),"")</f>
        <v/>
      </c>
      <c r="S624" s="61" t="str">
        <f>IFERROR(__xludf.DUMMYFUNCTION("INDIRECT(""'收支紀錄'!S""&amp;TO_TEXT(ROW()-$C$72))"),"")</f>
        <v/>
      </c>
      <c r="T624" s="61" t="str">
        <f>IFERROR(__xludf.DUMMYFUNCTION("INDIRECT(""'收支紀錄'!T""&amp;TO_TEXT(ROW()-$C$72))"),"")</f>
        <v/>
      </c>
      <c r="U624" s="62" t="str">
        <f>IFERROR(__xludf.DUMMYFUNCTION("IF(T624=""是"",TEXTJOIN("""", TRUE, ""$"", TO_TEXT(C624), S624),"""")"),"")</f>
        <v/>
      </c>
    </row>
    <row r="625">
      <c r="A625" s="58">
        <f>IFERROR(__xludf.DUMMYFUNCTION("INDIRECT(""'收支紀錄'!A""&amp;TO_TEXT(ROW()-$C$72))"),45683.93703965278)</f>
        <v>45683.93704</v>
      </c>
      <c r="B625" s="59">
        <f>IFERROR(__xludf.DUMMYFUNCTION("IF(ISBLANK(D625), """", IF(ISDATE(D625), D625, IF(D625=""今天"", A625, IF(D625=""昨天 (-1 day)"", A625-1, IF(D625=""前天 (-2 days)"", A625-2, IF(D625=""明天 (+1 day)"", A625+1, DATE(LEFT(D625,4), MID(D625,5,2), RIGHT(D625,2))))))))"),45678.0)</f>
        <v>45678</v>
      </c>
      <c r="C625" s="60">
        <f>IFERROR(__xludf.DUMMYFUNCTION("INDIRECT(""'收支紀錄'!C""&amp;TO_TEXT(ROW()-$C$72))"),536987.0)</f>
        <v>536987</v>
      </c>
      <c r="D625" s="63">
        <f>IFERROR(__xludf.DUMMYFUNCTION("INDIRECT(""'收支紀錄'!D""&amp;TO_TEXT(ROW()-$C$72))"),2.0250121E7)</f>
        <v>20250121</v>
      </c>
      <c r="E625" s="61" t="str">
        <f>IFERROR(__xludf.DUMMYFUNCTION("INDIRECT(""'收支紀錄'!E""&amp;TO_TEXT(ROW()-$C$72))"),"工作")</f>
        <v>工作</v>
      </c>
      <c r="F625" s="61" t="str">
        <f>IFERROR(__xludf.DUMMYFUNCTION("INDIRECT(""'收支紀錄'!F""&amp;TO_TEXT(ROW()-$C$72))"),"年終/績效")</f>
        <v>年終/績效</v>
      </c>
      <c r="G625" s="61" t="str">
        <f>IFERROR(__xludf.DUMMYFUNCTION("INDIRECT(""'收支紀錄'!G""&amp;TO_TEXT(ROW()-$C$72))"),"")</f>
        <v/>
      </c>
      <c r="H625" s="61" t="str">
        <f>IFERROR(__xludf.DUMMYFUNCTION("INDIRECT(""'收支紀錄'!H""&amp;TO_TEXT(ROW()-$C$72))"),"")</f>
        <v/>
      </c>
      <c r="I625" s="61" t="str">
        <f>IFERROR(__xludf.DUMMYFUNCTION("INDIRECT(""'收支紀錄'!I""&amp;TO_TEXT(ROW()-$C$72))"),"")</f>
        <v/>
      </c>
      <c r="J625" s="61" t="str">
        <f>IFERROR(__xludf.DUMMYFUNCTION("INDIRECT(""'收支紀錄'!J""&amp;TO_TEXT(ROW()-$C$72))"),"")</f>
        <v/>
      </c>
      <c r="K625" s="61" t="str">
        <f>IFERROR(__xludf.DUMMYFUNCTION("INDIRECT(""'收支紀錄'!K""&amp;TO_TEXT(ROW()-$C$72))"),"")</f>
        <v/>
      </c>
      <c r="L625" s="61" t="str">
        <f>IFERROR(__xludf.DUMMYFUNCTION("INDIRECT(""'收支紀錄'!L""&amp;TO_TEXT(ROW()-$C$72))"),"")</f>
        <v/>
      </c>
      <c r="M625" s="61" t="str">
        <f>IFERROR(__xludf.DUMMYFUNCTION("INDIRECT(""'收支紀錄'!M""&amp;TO_TEXT(ROW()-$C$72))"),"")</f>
        <v/>
      </c>
      <c r="N625" s="61" t="str">
        <f>IFERROR(__xludf.DUMMYFUNCTION("INDIRECT(""'收支紀錄'!N""&amp;TO_TEXT(ROW()-$C$72))"),"")</f>
        <v/>
      </c>
      <c r="O625" s="61" t="str">
        <f>IFERROR(__xludf.DUMMYFUNCTION("INDIRECT(""'收支紀錄'!O""&amp;TO_TEXT(ROW()-$C$72))"),"")</f>
        <v/>
      </c>
      <c r="P625" s="61" t="str">
        <f>IFERROR(__xludf.DUMMYFUNCTION("INDIRECT(""'收支紀錄'!P""&amp;TO_TEXT(ROW()-$C$72))"),"")</f>
        <v/>
      </c>
      <c r="Q625" s="61" t="str">
        <f>IFERROR(__xludf.DUMMYFUNCTION("INDIRECT(""'收支紀錄'!Q""&amp;TO_TEXT(ROW()-$C$72))"),"")</f>
        <v/>
      </c>
      <c r="R625" s="61" t="str">
        <f>IFERROR(__xludf.DUMMYFUNCTION("INDIRECT(""'收支紀錄'!R""&amp;TO_TEXT(ROW()-$C$72))"),"")</f>
        <v/>
      </c>
      <c r="S625" s="61" t="str">
        <f>IFERROR(__xludf.DUMMYFUNCTION("INDIRECT(""'收支紀錄'!S""&amp;TO_TEXT(ROW()-$C$72))"),"註1")</f>
        <v>註1</v>
      </c>
      <c r="T625" s="61" t="str">
        <f>IFERROR(__xludf.DUMMYFUNCTION("INDIRECT(""'收支紀錄'!T""&amp;TO_TEXT(ROW()-$C$72))"),"是")</f>
        <v>是</v>
      </c>
      <c r="U625" s="62" t="str">
        <f>IFERROR(__xludf.DUMMYFUNCTION("IF(T625=""是"",TEXTJOIN("""", TRUE, ""$"", TO_TEXT(C625), S625),"""")"),"$536987註1")</f>
        <v>$536987註1</v>
      </c>
    </row>
    <row r="626">
      <c r="A626" s="58">
        <f>IFERROR(__xludf.DUMMYFUNCTION("INDIRECT(""'收支紀錄'!A""&amp;TO_TEXT(ROW()-$C$72))"),45683.93824)</f>
        <v>45683.93824</v>
      </c>
      <c r="B626" s="59">
        <f>IFERROR(__xludf.DUMMYFUNCTION("IF(ISBLANK(D626), """", IF(ISDATE(D626), D626, IF(D626=""今天"", A626, IF(D626=""昨天 (-1 day)"", A626-1, IF(D626=""前天 (-2 days)"", A626-2, IF(D626=""明天 (+1 day)"", A626+1, DATE(LEFT(D626,4), MID(D626,5,2), RIGHT(D626,2))))))))"),45678.0)</f>
        <v>45678</v>
      </c>
      <c r="C626" s="60">
        <f>IFERROR(__xludf.DUMMYFUNCTION("INDIRECT(""'收支紀錄'!C""&amp;TO_TEXT(ROW()-$C$72))"),29299.0)</f>
        <v>29299</v>
      </c>
      <c r="D626" s="63">
        <f>IFERROR(__xludf.DUMMYFUNCTION("INDIRECT(""'收支紀錄'!D""&amp;TO_TEXT(ROW()-$C$72))"),2.0250121E7)</f>
        <v>20250121</v>
      </c>
      <c r="E626" s="61" t="str">
        <f>IFERROR(__xludf.DUMMYFUNCTION("INDIRECT(""'收支紀錄'!E""&amp;TO_TEXT(ROW()-$C$72))"),"")</f>
        <v/>
      </c>
      <c r="F626" s="61" t="str">
        <f>IFERROR(__xludf.DUMMYFUNCTION("INDIRECT(""'收支紀錄'!F""&amp;TO_TEXT(ROW()-$C$72))"),"")</f>
        <v/>
      </c>
      <c r="G626" s="61" t="str">
        <f>IFERROR(__xludf.DUMMYFUNCTION("INDIRECT(""'收支紀錄'!G""&amp;TO_TEXT(ROW()-$C$72))"),"")</f>
        <v/>
      </c>
      <c r="H626" s="61" t="str">
        <f>IFERROR(__xludf.DUMMYFUNCTION("INDIRECT(""'收支紀錄'!H""&amp;TO_TEXT(ROW()-$C$72))"),"稅金保險")</f>
        <v>稅金保險</v>
      </c>
      <c r="I626" s="61" t="str">
        <f>IFERROR(__xludf.DUMMYFUNCTION("INDIRECT(""'收支紀錄'!I""&amp;TO_TEXT(ROW()-$C$72))"),"")</f>
        <v/>
      </c>
      <c r="J626" s="61" t="str">
        <f>IFERROR(__xludf.DUMMYFUNCTION("INDIRECT(""'收支紀錄'!J""&amp;TO_TEXT(ROW()-$C$72))"),"")</f>
        <v/>
      </c>
      <c r="K626" s="61" t="str">
        <f>IFERROR(__xludf.DUMMYFUNCTION("INDIRECT(""'收支紀錄'!K""&amp;TO_TEXT(ROW()-$C$72))"),"")</f>
        <v/>
      </c>
      <c r="L626" s="61" t="str">
        <f>IFERROR(__xludf.DUMMYFUNCTION("INDIRECT(""'收支紀錄'!L""&amp;TO_TEXT(ROW()-$C$72))"),"")</f>
        <v/>
      </c>
      <c r="M626" s="61" t="str">
        <f>IFERROR(__xludf.DUMMYFUNCTION("INDIRECT(""'收支紀錄'!M""&amp;TO_TEXT(ROW()-$C$72))"),"")</f>
        <v/>
      </c>
      <c r="N626" s="61" t="str">
        <f>IFERROR(__xludf.DUMMYFUNCTION("INDIRECT(""'收支紀錄'!N""&amp;TO_TEXT(ROW()-$C$72))"),"稅金")</f>
        <v>稅金</v>
      </c>
      <c r="O626" s="61" t="str">
        <f>IFERROR(__xludf.DUMMYFUNCTION("INDIRECT(""'收支紀錄'!O""&amp;TO_TEXT(ROW()-$C$72))"),"")</f>
        <v/>
      </c>
      <c r="P626" s="61" t="str">
        <f>IFERROR(__xludf.DUMMYFUNCTION("INDIRECT(""'收支紀錄'!P""&amp;TO_TEXT(ROW()-$C$72))"),"")</f>
        <v/>
      </c>
      <c r="Q626" s="61" t="str">
        <f>IFERROR(__xludf.DUMMYFUNCTION("INDIRECT(""'收支紀錄'!Q""&amp;TO_TEXT(ROW()-$C$72))"),"")</f>
        <v/>
      </c>
      <c r="R626" s="61" t="str">
        <f>IFERROR(__xludf.DUMMYFUNCTION("INDIRECT(""'收支紀錄'!R""&amp;TO_TEXT(ROW()-$C$72))"),"")</f>
        <v/>
      </c>
      <c r="S626" s="61" t="str">
        <f>IFERROR(__xludf.DUMMYFUNCTION("INDIRECT(""'收支紀錄'!S""&amp;TO_TEXT(ROW()-$C$72))"),"")</f>
        <v/>
      </c>
      <c r="T626" s="61" t="str">
        <f>IFERROR(__xludf.DUMMYFUNCTION("INDIRECT(""'收支紀錄'!T""&amp;TO_TEXT(ROW()-$C$72))"),"")</f>
        <v/>
      </c>
      <c r="U626" s="62" t="str">
        <f>IFERROR(__xludf.DUMMYFUNCTION("IF(T626=""是"",TEXTJOIN("""", TRUE, ""$"", TO_TEXT(C626), S626),"""")"),"")</f>
        <v/>
      </c>
    </row>
    <row r="627">
      <c r="A627" s="58">
        <f>IFERROR(__xludf.DUMMYFUNCTION("INDIRECT(""'收支紀錄'!A""&amp;TO_TEXT(ROW()-$C$72))"),45684.627688981476)</f>
        <v>45684.62769</v>
      </c>
      <c r="B627" s="59">
        <f>IFERROR(__xludf.DUMMYFUNCTION("IF(ISBLANK(D627), """", IF(ISDATE(D627), D627, IF(D627=""今天"", A627, IF(D627=""昨天 (-1 day)"", A627-1, IF(D627=""前天 (-2 days)"", A627-2, IF(D627=""明天 (+1 day)"", A627+1, DATE(LEFT(D627,4), MID(D627,5,2), RIGHT(D627,2))))))))"),45684.627688981476)</f>
        <v>45684.62769</v>
      </c>
      <c r="C627" s="60">
        <f>IFERROR(__xludf.DUMMYFUNCTION("INDIRECT(""'收支紀錄'!C""&amp;TO_TEXT(ROW()-$C$72))"),550.0)</f>
        <v>550</v>
      </c>
      <c r="D627" s="63" t="str">
        <f>IFERROR(__xludf.DUMMYFUNCTION("INDIRECT(""'收支紀錄'!D""&amp;TO_TEXT(ROW()-$C$72))"),"今天")</f>
        <v>今天</v>
      </c>
      <c r="E627" s="61" t="str">
        <f>IFERROR(__xludf.DUMMYFUNCTION("INDIRECT(""'收支紀錄'!E""&amp;TO_TEXT(ROW()-$C$72))"),"")</f>
        <v/>
      </c>
      <c r="F627" s="61" t="str">
        <f>IFERROR(__xludf.DUMMYFUNCTION("INDIRECT(""'收支紀錄'!F""&amp;TO_TEXT(ROW()-$C$72))"),"")</f>
        <v/>
      </c>
      <c r="G627" s="61" t="str">
        <f>IFERROR(__xludf.DUMMYFUNCTION("INDIRECT(""'收支紀錄'!G""&amp;TO_TEXT(ROW()-$C$72))"),"")</f>
        <v/>
      </c>
      <c r="H627" s="61" t="str">
        <f>IFERROR(__xludf.DUMMYFUNCTION("INDIRECT(""'收支紀錄'!H""&amp;TO_TEXT(ROW()-$C$72))"),"休閒娛樂")</f>
        <v>休閒娛樂</v>
      </c>
      <c r="I627" s="61" t="str">
        <f>IFERROR(__xludf.DUMMYFUNCTION("INDIRECT(""'收支紀錄'!I""&amp;TO_TEXT(ROW()-$C$72))"),"")</f>
        <v/>
      </c>
      <c r="J627" s="61" t="str">
        <f>IFERROR(__xludf.DUMMYFUNCTION("INDIRECT(""'收支紀錄'!J""&amp;TO_TEXT(ROW()-$C$72))"),"")</f>
        <v/>
      </c>
      <c r="K627" s="61" t="str">
        <f>IFERROR(__xludf.DUMMYFUNCTION("INDIRECT(""'收支紀錄'!K""&amp;TO_TEXT(ROW()-$C$72))"),"")</f>
        <v/>
      </c>
      <c r="L627" s="61" t="str">
        <f>IFERROR(__xludf.DUMMYFUNCTION("INDIRECT(""'收支紀錄'!L""&amp;TO_TEXT(ROW()-$C$72))"),"")</f>
        <v/>
      </c>
      <c r="M627" s="61" t="str">
        <f>IFERROR(__xludf.DUMMYFUNCTION("INDIRECT(""'收支紀錄'!M""&amp;TO_TEXT(ROW()-$C$72))"),"剪髮")</f>
        <v>剪髮</v>
      </c>
      <c r="N627" s="61" t="str">
        <f>IFERROR(__xludf.DUMMYFUNCTION("INDIRECT(""'收支紀錄'!N""&amp;TO_TEXT(ROW()-$C$72))"),"")</f>
        <v/>
      </c>
      <c r="O627" s="61" t="str">
        <f>IFERROR(__xludf.DUMMYFUNCTION("INDIRECT(""'收支紀錄'!O""&amp;TO_TEXT(ROW()-$C$72))"),"")</f>
        <v/>
      </c>
      <c r="P627" s="61" t="str">
        <f>IFERROR(__xludf.DUMMYFUNCTION("INDIRECT(""'收支紀錄'!P""&amp;TO_TEXT(ROW()-$C$72))"),"")</f>
        <v/>
      </c>
      <c r="Q627" s="61" t="str">
        <f>IFERROR(__xludf.DUMMYFUNCTION("INDIRECT(""'收支紀錄'!Q""&amp;TO_TEXT(ROW()-$C$72))"),"")</f>
        <v/>
      </c>
      <c r="R627" s="61" t="str">
        <f>IFERROR(__xludf.DUMMYFUNCTION("INDIRECT(""'收支紀錄'!R""&amp;TO_TEXT(ROW()-$C$72))"),"")</f>
        <v/>
      </c>
      <c r="S627" s="61" t="str">
        <f>IFERROR(__xludf.DUMMYFUNCTION("INDIRECT(""'收支紀錄'!S""&amp;TO_TEXT(ROW()-$C$72))"),"")</f>
        <v/>
      </c>
      <c r="T627" s="61" t="str">
        <f>IFERROR(__xludf.DUMMYFUNCTION("INDIRECT(""'收支紀錄'!T""&amp;TO_TEXT(ROW()-$C$72))"),"")</f>
        <v/>
      </c>
      <c r="U627" s="62" t="str">
        <f>IFERROR(__xludf.DUMMYFUNCTION("IF(T627=""是"",TEXTJOIN("""", TRUE, ""$"", TO_TEXT(C627), S627),"""")"),"")</f>
        <v/>
      </c>
    </row>
    <row r="628">
      <c r="A628" s="58">
        <f>IFERROR(__xludf.DUMMYFUNCTION("INDIRECT(""'收支紀錄'!A""&amp;TO_TEXT(ROW()-$C$72))"),45684.62785611111)</f>
        <v>45684.62786</v>
      </c>
      <c r="B628" s="59">
        <f>IFERROR(__xludf.DUMMYFUNCTION("IF(ISBLANK(D628), """", IF(ISDATE(D628), D628, IF(D628=""今天"", A628, IF(D628=""昨天 (-1 day)"", A628-1, IF(D628=""前天 (-2 days)"", A628-2, IF(D628=""明天 (+1 day)"", A628+1, DATE(LEFT(D628,4), MID(D628,5,2), RIGHT(D628,2))))))))"),45684.62785611111)</f>
        <v>45684.62786</v>
      </c>
      <c r="C628" s="60">
        <f>IFERROR(__xludf.DUMMYFUNCTION("INDIRECT(""'收支紀錄'!C""&amp;TO_TEXT(ROW()-$C$72))"),20.0)</f>
        <v>20</v>
      </c>
      <c r="D628" s="63" t="str">
        <f>IFERROR(__xludf.DUMMYFUNCTION("INDIRECT(""'收支紀錄'!D""&amp;TO_TEXT(ROW()-$C$72))"),"今天")</f>
        <v>今天</v>
      </c>
      <c r="E628" s="61" t="str">
        <f>IFERROR(__xludf.DUMMYFUNCTION("INDIRECT(""'收支紀錄'!E""&amp;TO_TEXT(ROW()-$C$72))"),"")</f>
        <v/>
      </c>
      <c r="F628" s="61" t="str">
        <f>IFERROR(__xludf.DUMMYFUNCTION("INDIRECT(""'收支紀錄'!F""&amp;TO_TEXT(ROW()-$C$72))"),"")</f>
        <v/>
      </c>
      <c r="G628" s="61" t="str">
        <f>IFERROR(__xludf.DUMMYFUNCTION("INDIRECT(""'收支紀錄'!G""&amp;TO_TEXT(ROW()-$C$72))"),"")</f>
        <v/>
      </c>
      <c r="H628" s="61" t="str">
        <f>IFERROR(__xludf.DUMMYFUNCTION("INDIRECT(""'收支紀錄'!H""&amp;TO_TEXT(ROW()-$C$72))"),"行車交通")</f>
        <v>行車交通</v>
      </c>
      <c r="I628" s="61" t="str">
        <f>IFERROR(__xludf.DUMMYFUNCTION("INDIRECT(""'收支紀錄'!I""&amp;TO_TEXT(ROW()-$C$72))"),"")</f>
        <v/>
      </c>
      <c r="J628" s="61" t="str">
        <f>IFERROR(__xludf.DUMMYFUNCTION("INDIRECT(""'收支紀錄'!J""&amp;TO_TEXT(ROW()-$C$72))"),"")</f>
        <v/>
      </c>
      <c r="K628" s="61" t="str">
        <f>IFERROR(__xludf.DUMMYFUNCTION("INDIRECT(""'收支紀錄'!K""&amp;TO_TEXT(ROW()-$C$72))"),"")</f>
        <v/>
      </c>
      <c r="L628" s="61" t="str">
        <f>IFERROR(__xludf.DUMMYFUNCTION("INDIRECT(""'收支紀錄'!L""&amp;TO_TEXT(ROW()-$C$72))"),"捷運費")</f>
        <v>捷運費</v>
      </c>
      <c r="M628" s="61" t="str">
        <f>IFERROR(__xludf.DUMMYFUNCTION("INDIRECT(""'收支紀錄'!M""&amp;TO_TEXT(ROW()-$C$72))"),"")</f>
        <v/>
      </c>
      <c r="N628" s="61" t="str">
        <f>IFERROR(__xludf.DUMMYFUNCTION("INDIRECT(""'收支紀錄'!N""&amp;TO_TEXT(ROW()-$C$72))"),"")</f>
        <v/>
      </c>
      <c r="O628" s="61" t="str">
        <f>IFERROR(__xludf.DUMMYFUNCTION("INDIRECT(""'收支紀錄'!O""&amp;TO_TEXT(ROW()-$C$72))"),"")</f>
        <v/>
      </c>
      <c r="P628" s="61" t="str">
        <f>IFERROR(__xludf.DUMMYFUNCTION("INDIRECT(""'收支紀錄'!P""&amp;TO_TEXT(ROW()-$C$72))"),"")</f>
        <v/>
      </c>
      <c r="Q628" s="61" t="str">
        <f>IFERROR(__xludf.DUMMYFUNCTION("INDIRECT(""'收支紀錄'!Q""&amp;TO_TEXT(ROW()-$C$72))"),"")</f>
        <v/>
      </c>
      <c r="R628" s="61" t="str">
        <f>IFERROR(__xludf.DUMMYFUNCTION("INDIRECT(""'收支紀錄'!R""&amp;TO_TEXT(ROW()-$C$72))"),"")</f>
        <v/>
      </c>
      <c r="S628" s="61" t="str">
        <f>IFERROR(__xludf.DUMMYFUNCTION("INDIRECT(""'收支紀錄'!S""&amp;TO_TEXT(ROW()-$C$72))"),"")</f>
        <v/>
      </c>
      <c r="T628" s="61" t="str">
        <f>IFERROR(__xludf.DUMMYFUNCTION("INDIRECT(""'收支紀錄'!T""&amp;TO_TEXT(ROW()-$C$72))"),"")</f>
        <v/>
      </c>
      <c r="U628" s="62" t="str">
        <f>IFERROR(__xludf.DUMMYFUNCTION("IF(T628=""是"",TEXTJOIN("""", TRUE, ""$"", TO_TEXT(C628), S628),"""")"),"")</f>
        <v/>
      </c>
    </row>
    <row r="629">
      <c r="A629" s="58">
        <f>IFERROR(__xludf.DUMMYFUNCTION("INDIRECT(""'收支紀錄'!A""&amp;TO_TEXT(ROW()-$C$72))"),45685.436748113425)</f>
        <v>45685.43675</v>
      </c>
      <c r="B629" s="59">
        <f>IFERROR(__xludf.DUMMYFUNCTION("IF(ISBLANK(D629), """", IF(ISDATE(D629), D629, IF(D629=""今天"", A629, IF(D629=""昨天 (-1 day)"", A629-1, IF(D629=""前天 (-2 days)"", A629-2, IF(D629=""明天 (+1 day)"", A629+1, DATE(LEFT(D629,4), MID(D629,5,2), RIGHT(D629,2))))))))"),45675.0)</f>
        <v>45675</v>
      </c>
      <c r="C629" s="60">
        <f>IFERROR(__xludf.DUMMYFUNCTION("INDIRECT(""'收支紀錄'!C""&amp;TO_TEXT(ROW()-$C$72))"),1599.0)</f>
        <v>1599</v>
      </c>
      <c r="D629" s="63">
        <f>IFERROR(__xludf.DUMMYFUNCTION("INDIRECT(""'收支紀錄'!D""&amp;TO_TEXT(ROW()-$C$72))"),2.0250118E7)</f>
        <v>20250118</v>
      </c>
      <c r="E629" s="61" t="str">
        <f>IFERROR(__xludf.DUMMYFUNCTION("INDIRECT(""'收支紀錄'!E""&amp;TO_TEXT(ROW()-$C$72))"),"")</f>
        <v/>
      </c>
      <c r="F629" s="61" t="str">
        <f>IFERROR(__xludf.DUMMYFUNCTION("INDIRECT(""'收支紀錄'!F""&amp;TO_TEXT(ROW()-$C$72))"),"")</f>
        <v/>
      </c>
      <c r="G629" s="61" t="str">
        <f>IFERROR(__xludf.DUMMYFUNCTION("INDIRECT(""'收支紀錄'!G""&amp;TO_TEXT(ROW()-$C$72))"),"")</f>
        <v/>
      </c>
      <c r="H629" s="61" t="str">
        <f>IFERROR(__xludf.DUMMYFUNCTION("INDIRECT(""'收支紀錄'!H""&amp;TO_TEXT(ROW()-$C$72))"),"休閒娛樂")</f>
        <v>休閒娛樂</v>
      </c>
      <c r="I629" s="61" t="str">
        <f>IFERROR(__xludf.DUMMYFUNCTION("INDIRECT(""'收支紀錄'!I""&amp;TO_TEXT(ROW()-$C$72))"),"")</f>
        <v/>
      </c>
      <c r="J629" s="61" t="str">
        <f>IFERROR(__xludf.DUMMYFUNCTION("INDIRECT(""'收支紀錄'!J""&amp;TO_TEXT(ROW()-$C$72))"),"")</f>
        <v/>
      </c>
      <c r="K629" s="61" t="str">
        <f>IFERROR(__xludf.DUMMYFUNCTION("INDIRECT(""'收支紀錄'!K""&amp;TO_TEXT(ROW()-$C$72))"),"")</f>
        <v/>
      </c>
      <c r="L629" s="61" t="str">
        <f>IFERROR(__xludf.DUMMYFUNCTION("INDIRECT(""'收支紀錄'!L""&amp;TO_TEXT(ROW()-$C$72))"),"")</f>
        <v/>
      </c>
      <c r="M629" s="61" t="str">
        <f>IFERROR(__xludf.DUMMYFUNCTION("INDIRECT(""'收支紀錄'!M""&amp;TO_TEXT(ROW()-$C$72))"),"旅遊度假")</f>
        <v>旅遊度假</v>
      </c>
      <c r="N629" s="61" t="str">
        <f>IFERROR(__xludf.DUMMYFUNCTION("INDIRECT(""'收支紀錄'!N""&amp;TO_TEXT(ROW()-$C$72))"),"")</f>
        <v/>
      </c>
      <c r="O629" s="61" t="str">
        <f>IFERROR(__xludf.DUMMYFUNCTION("INDIRECT(""'收支紀錄'!O""&amp;TO_TEXT(ROW()-$C$72))"),"")</f>
        <v/>
      </c>
      <c r="P629" s="61" t="str">
        <f>IFERROR(__xludf.DUMMYFUNCTION("INDIRECT(""'收支紀錄'!P""&amp;TO_TEXT(ROW()-$C$72))"),"")</f>
        <v/>
      </c>
      <c r="Q629" s="61" t="str">
        <f>IFERROR(__xludf.DUMMYFUNCTION("INDIRECT(""'收支紀錄'!Q""&amp;TO_TEXT(ROW()-$C$72))"),"")</f>
        <v/>
      </c>
      <c r="R629" s="61" t="str">
        <f>IFERROR(__xludf.DUMMYFUNCTION("INDIRECT(""'收支紀錄'!R""&amp;TO_TEXT(ROW()-$C$72))"),"")</f>
        <v/>
      </c>
      <c r="S629" s="61" t="str">
        <f>IFERROR(__xludf.DUMMYFUNCTION("INDIRECT(""'收支紀錄'!S""&amp;TO_TEXT(ROW()-$C$72))"),"虎航台北-澳門機票（未搭乘，含之後退的機場稅費$500）")</f>
        <v>虎航台北-澳門機票（未搭乘，含之後退的機場稅費$500）</v>
      </c>
      <c r="T629" s="61" t="str">
        <f>IFERROR(__xludf.DUMMYFUNCTION("INDIRECT(""'收支紀錄'!T""&amp;TO_TEXT(ROW()-$C$72))"),"是")</f>
        <v>是</v>
      </c>
      <c r="U629" s="62" t="str">
        <f>IFERROR(__xludf.DUMMYFUNCTION("IF(T629=""是"",TEXTJOIN("""", TRUE, ""$"", TO_TEXT(C629), S629),"""")"),"$1599虎航台北-澳門機票（未搭乘，含之後退的機場稅費$500）")</f>
        <v>$1599虎航台北-澳門機票（未搭乘，含之後退的機場稅費$500）</v>
      </c>
    </row>
    <row r="630">
      <c r="A630" s="58">
        <f>IFERROR(__xludf.DUMMYFUNCTION("INDIRECT(""'收支紀錄'!A""&amp;TO_TEXT(ROW()-$C$72))"),45685.44183947917)</f>
        <v>45685.44184</v>
      </c>
      <c r="B630" s="59">
        <f>IFERROR(__xludf.DUMMYFUNCTION("IF(ISBLANK(D630), """", IF(ISDATE(D630), D630, IF(D630=""今天"", A630, IF(D630=""昨天 (-1 day)"", A630-1, IF(D630=""前天 (-2 days)"", A630-2, IF(D630=""明天 (+1 day)"", A630+1, DATE(LEFT(D630,4), MID(D630,5,2), RIGHT(D630,2))))))))"),45684.44183947917)</f>
        <v>45684.44184</v>
      </c>
      <c r="C630" s="60">
        <f>IFERROR(__xludf.DUMMYFUNCTION("INDIRECT(""'收支紀錄'!C""&amp;TO_TEXT(ROW()-$C$72))"),280.0)</f>
        <v>280</v>
      </c>
      <c r="D630" s="63" t="str">
        <f>IFERROR(__xludf.DUMMYFUNCTION("INDIRECT(""'收支紀錄'!D""&amp;TO_TEXT(ROW()-$C$72))"),"昨天 (-1 day)")</f>
        <v>昨天 (-1 day)</v>
      </c>
      <c r="E630" s="61" t="str">
        <f>IFERROR(__xludf.DUMMYFUNCTION("INDIRECT(""'收支紀錄'!E""&amp;TO_TEXT(ROW()-$C$72))"),"")</f>
        <v/>
      </c>
      <c r="F630" s="61" t="str">
        <f>IFERROR(__xludf.DUMMYFUNCTION("INDIRECT(""'收支紀錄'!F""&amp;TO_TEXT(ROW()-$C$72))"),"")</f>
        <v/>
      </c>
      <c r="G630" s="61" t="str">
        <f>IFERROR(__xludf.DUMMYFUNCTION("INDIRECT(""'收支紀錄'!G""&amp;TO_TEXT(ROW()-$C$72))"),"")</f>
        <v/>
      </c>
      <c r="H630" s="61" t="str">
        <f>IFERROR(__xludf.DUMMYFUNCTION("INDIRECT(""'收支紀錄'!H""&amp;TO_TEXT(ROW()-$C$72))"),"食品酒水")</f>
        <v>食品酒水</v>
      </c>
      <c r="I630" s="61" t="str">
        <f>IFERROR(__xludf.DUMMYFUNCTION("INDIRECT(""'收支紀錄'!I""&amp;TO_TEXT(ROW()-$C$72))"),"晚餐")</f>
        <v>晚餐</v>
      </c>
      <c r="J630" s="61" t="str">
        <f>IFERROR(__xludf.DUMMYFUNCTION("INDIRECT(""'收支紀錄'!J""&amp;TO_TEXT(ROW()-$C$72))"),"")</f>
        <v/>
      </c>
      <c r="K630" s="61" t="str">
        <f>IFERROR(__xludf.DUMMYFUNCTION("INDIRECT(""'收支紀錄'!K""&amp;TO_TEXT(ROW()-$C$72))"),"")</f>
        <v/>
      </c>
      <c r="L630" s="61" t="str">
        <f>IFERROR(__xludf.DUMMYFUNCTION("INDIRECT(""'收支紀錄'!L""&amp;TO_TEXT(ROW()-$C$72))"),"")</f>
        <v/>
      </c>
      <c r="M630" s="61" t="str">
        <f>IFERROR(__xludf.DUMMYFUNCTION("INDIRECT(""'收支紀錄'!M""&amp;TO_TEXT(ROW()-$C$72))"),"")</f>
        <v/>
      </c>
      <c r="N630" s="61" t="str">
        <f>IFERROR(__xludf.DUMMYFUNCTION("INDIRECT(""'收支紀錄'!N""&amp;TO_TEXT(ROW()-$C$72))"),"")</f>
        <v/>
      </c>
      <c r="O630" s="61" t="str">
        <f>IFERROR(__xludf.DUMMYFUNCTION("INDIRECT(""'收支紀錄'!O""&amp;TO_TEXT(ROW()-$C$72))"),"")</f>
        <v/>
      </c>
      <c r="P630" s="61" t="str">
        <f>IFERROR(__xludf.DUMMYFUNCTION("INDIRECT(""'收支紀錄'!P""&amp;TO_TEXT(ROW()-$C$72))"),"")</f>
        <v/>
      </c>
      <c r="Q630" s="61" t="str">
        <f>IFERROR(__xludf.DUMMYFUNCTION("INDIRECT(""'收支紀錄'!Q""&amp;TO_TEXT(ROW()-$C$72))"),"")</f>
        <v/>
      </c>
      <c r="R630" s="61" t="str">
        <f>IFERROR(__xludf.DUMMYFUNCTION("INDIRECT(""'收支紀錄'!R""&amp;TO_TEXT(ROW()-$C$72))"),"")</f>
        <v/>
      </c>
      <c r="S630" s="61" t="str">
        <f>IFERROR(__xludf.DUMMYFUNCTION("INDIRECT(""'收支紀錄'!S""&amp;TO_TEXT(ROW()-$C$72))"),"")</f>
        <v/>
      </c>
      <c r="T630" s="61" t="str">
        <f>IFERROR(__xludf.DUMMYFUNCTION("INDIRECT(""'收支紀錄'!T""&amp;TO_TEXT(ROW()-$C$72))"),"")</f>
        <v/>
      </c>
      <c r="U630" s="62" t="str">
        <f>IFERROR(__xludf.DUMMYFUNCTION("IF(T630=""是"",TEXTJOIN("""", TRUE, ""$"", TO_TEXT(C630), S630),"""")"),"")</f>
        <v/>
      </c>
    </row>
    <row r="631">
      <c r="A631" s="58">
        <f>IFERROR(__xludf.DUMMYFUNCTION("INDIRECT(""'收支紀錄'!A""&amp;TO_TEXT(ROW()-$C$72))"),45685.44203604167)</f>
        <v>45685.44204</v>
      </c>
      <c r="B631" s="59">
        <f>IFERROR(__xludf.DUMMYFUNCTION("IF(ISBLANK(D631), """", IF(ISDATE(D631), D631, IF(D631=""今天"", A631, IF(D631=""昨天 (-1 day)"", A631-1, IF(D631=""前天 (-2 days)"", A631-2, IF(D631=""明天 (+1 day)"", A631+1, DATE(LEFT(D631,4), MID(D631,5,2), RIGHT(D631,2))))))))"),45684.44203604167)</f>
        <v>45684.44204</v>
      </c>
      <c r="C631" s="60">
        <f>IFERROR(__xludf.DUMMYFUNCTION("INDIRECT(""'收支紀錄'!C""&amp;TO_TEXT(ROW()-$C$72))"),5.0)</f>
        <v>5</v>
      </c>
      <c r="D631" s="63" t="str">
        <f>IFERROR(__xludf.DUMMYFUNCTION("INDIRECT(""'收支紀錄'!D""&amp;TO_TEXT(ROW()-$C$72))"),"昨天 (-1 day)")</f>
        <v>昨天 (-1 day)</v>
      </c>
      <c r="E631" s="61" t="str">
        <f>IFERROR(__xludf.DUMMYFUNCTION("INDIRECT(""'收支紀錄'!E""&amp;TO_TEXT(ROW()-$C$72))"),"")</f>
        <v/>
      </c>
      <c r="F631" s="61" t="str">
        <f>IFERROR(__xludf.DUMMYFUNCTION("INDIRECT(""'收支紀錄'!F""&amp;TO_TEXT(ROW()-$C$72))"),"")</f>
        <v/>
      </c>
      <c r="G631" s="61" t="str">
        <f>IFERROR(__xludf.DUMMYFUNCTION("INDIRECT(""'收支紀錄'!G""&amp;TO_TEXT(ROW()-$C$72))"),"")</f>
        <v/>
      </c>
      <c r="H631" s="61" t="str">
        <f>IFERROR(__xludf.DUMMYFUNCTION("INDIRECT(""'收支紀錄'!H""&amp;TO_TEXT(ROW()-$C$72))"),"行車交通")</f>
        <v>行車交通</v>
      </c>
      <c r="I631" s="61" t="str">
        <f>IFERROR(__xludf.DUMMYFUNCTION("INDIRECT(""'收支紀錄'!I""&amp;TO_TEXT(ROW()-$C$72))"),"")</f>
        <v/>
      </c>
      <c r="J631" s="61" t="str">
        <f>IFERROR(__xludf.DUMMYFUNCTION("INDIRECT(""'收支紀錄'!J""&amp;TO_TEXT(ROW()-$C$72))"),"")</f>
        <v/>
      </c>
      <c r="K631" s="61" t="str">
        <f>IFERROR(__xludf.DUMMYFUNCTION("INDIRECT(""'收支紀錄'!K""&amp;TO_TEXT(ROW()-$C$72))"),"")</f>
        <v/>
      </c>
      <c r="L631" s="61" t="str">
        <f>IFERROR(__xludf.DUMMYFUNCTION("INDIRECT(""'收支紀錄'!L""&amp;TO_TEXT(ROW()-$C$72))"),"Ubike")</f>
        <v>Ubike</v>
      </c>
      <c r="M631" s="61" t="str">
        <f>IFERROR(__xludf.DUMMYFUNCTION("INDIRECT(""'收支紀錄'!M""&amp;TO_TEXT(ROW()-$C$72))"),"")</f>
        <v/>
      </c>
      <c r="N631" s="61" t="str">
        <f>IFERROR(__xludf.DUMMYFUNCTION("INDIRECT(""'收支紀錄'!N""&amp;TO_TEXT(ROW()-$C$72))"),"")</f>
        <v/>
      </c>
      <c r="O631" s="61" t="str">
        <f>IFERROR(__xludf.DUMMYFUNCTION("INDIRECT(""'收支紀錄'!O""&amp;TO_TEXT(ROW()-$C$72))"),"")</f>
        <v/>
      </c>
      <c r="P631" s="61" t="str">
        <f>IFERROR(__xludf.DUMMYFUNCTION("INDIRECT(""'收支紀錄'!P""&amp;TO_TEXT(ROW()-$C$72))"),"")</f>
        <v/>
      </c>
      <c r="Q631" s="61" t="str">
        <f>IFERROR(__xludf.DUMMYFUNCTION("INDIRECT(""'收支紀錄'!Q""&amp;TO_TEXT(ROW()-$C$72))"),"")</f>
        <v/>
      </c>
      <c r="R631" s="61" t="str">
        <f>IFERROR(__xludf.DUMMYFUNCTION("INDIRECT(""'收支紀錄'!R""&amp;TO_TEXT(ROW()-$C$72))"),"")</f>
        <v/>
      </c>
      <c r="S631" s="61" t="str">
        <f>IFERROR(__xludf.DUMMYFUNCTION("INDIRECT(""'收支紀錄'!S""&amp;TO_TEXT(ROW()-$C$72))"),"")</f>
        <v/>
      </c>
      <c r="T631" s="61" t="str">
        <f>IFERROR(__xludf.DUMMYFUNCTION("INDIRECT(""'收支紀錄'!T""&amp;TO_TEXT(ROW()-$C$72))"),"")</f>
        <v/>
      </c>
      <c r="U631" s="62" t="str">
        <f>IFERROR(__xludf.DUMMYFUNCTION("IF(T631=""是"",TEXTJOIN("""", TRUE, ""$"", TO_TEXT(C631), S631),"""")"),"")</f>
        <v/>
      </c>
    </row>
    <row r="632">
      <c r="A632" s="58">
        <f>IFERROR(__xludf.DUMMYFUNCTION("INDIRECT(""'收支紀錄'!A""&amp;TO_TEXT(ROW()-$C$72))"),45685.442277662034)</f>
        <v>45685.44228</v>
      </c>
      <c r="B632" s="59">
        <f>IFERROR(__xludf.DUMMYFUNCTION("IF(ISBLANK(D632), """", IF(ISDATE(D632), D632, IF(D632=""今天"", A632, IF(D632=""昨天 (-1 day)"", A632-1, IF(D632=""前天 (-2 days)"", A632-2, IF(D632=""明天 (+1 day)"", A632+1, DATE(LEFT(D632,4), MID(D632,5,2), RIGHT(D632,2))))))))"),45684.442277662034)</f>
        <v>45684.44228</v>
      </c>
      <c r="C632" s="60">
        <f>IFERROR(__xludf.DUMMYFUNCTION("INDIRECT(""'收支紀錄'!C""&amp;TO_TEXT(ROW()-$C$72))"),75.0)</f>
        <v>75</v>
      </c>
      <c r="D632" s="63" t="str">
        <f>IFERROR(__xludf.DUMMYFUNCTION("INDIRECT(""'收支紀錄'!D""&amp;TO_TEXT(ROW()-$C$72))"),"昨天 (-1 day)")</f>
        <v>昨天 (-1 day)</v>
      </c>
      <c r="E632" s="61" t="str">
        <f>IFERROR(__xludf.DUMMYFUNCTION("INDIRECT(""'收支紀錄'!E""&amp;TO_TEXT(ROW()-$C$72))"),"")</f>
        <v/>
      </c>
      <c r="F632" s="61" t="str">
        <f>IFERROR(__xludf.DUMMYFUNCTION("INDIRECT(""'收支紀錄'!F""&amp;TO_TEXT(ROW()-$C$72))"),"")</f>
        <v/>
      </c>
      <c r="G632" s="61" t="str">
        <f>IFERROR(__xludf.DUMMYFUNCTION("INDIRECT(""'收支紀錄'!G""&amp;TO_TEXT(ROW()-$C$72))"),"")</f>
        <v/>
      </c>
      <c r="H632" s="61" t="str">
        <f>IFERROR(__xludf.DUMMYFUNCTION("INDIRECT(""'收支紀錄'!H""&amp;TO_TEXT(ROW()-$C$72))"),"食品酒水")</f>
        <v>食品酒水</v>
      </c>
      <c r="I632" s="61" t="str">
        <f>IFERROR(__xludf.DUMMYFUNCTION("INDIRECT(""'收支紀錄'!I""&amp;TO_TEXT(ROW()-$C$72))"),"飲料酒水")</f>
        <v>飲料酒水</v>
      </c>
      <c r="J632" s="61" t="str">
        <f>IFERROR(__xludf.DUMMYFUNCTION("INDIRECT(""'收支紀錄'!J""&amp;TO_TEXT(ROW()-$C$72))"),"")</f>
        <v/>
      </c>
      <c r="K632" s="61" t="str">
        <f>IFERROR(__xludf.DUMMYFUNCTION("INDIRECT(""'收支紀錄'!K""&amp;TO_TEXT(ROW()-$C$72))"),"")</f>
        <v/>
      </c>
      <c r="L632" s="61" t="str">
        <f>IFERROR(__xludf.DUMMYFUNCTION("INDIRECT(""'收支紀錄'!L""&amp;TO_TEXT(ROW()-$C$72))"),"")</f>
        <v/>
      </c>
      <c r="M632" s="61" t="str">
        <f>IFERROR(__xludf.DUMMYFUNCTION("INDIRECT(""'收支紀錄'!M""&amp;TO_TEXT(ROW()-$C$72))"),"")</f>
        <v/>
      </c>
      <c r="N632" s="61" t="str">
        <f>IFERROR(__xludf.DUMMYFUNCTION("INDIRECT(""'收支紀錄'!N""&amp;TO_TEXT(ROW()-$C$72))"),"")</f>
        <v/>
      </c>
      <c r="O632" s="61" t="str">
        <f>IFERROR(__xludf.DUMMYFUNCTION("INDIRECT(""'收支紀錄'!O""&amp;TO_TEXT(ROW()-$C$72))"),"")</f>
        <v/>
      </c>
      <c r="P632" s="61" t="str">
        <f>IFERROR(__xludf.DUMMYFUNCTION("INDIRECT(""'收支紀錄'!P""&amp;TO_TEXT(ROW()-$C$72))"),"")</f>
        <v/>
      </c>
      <c r="Q632" s="61" t="str">
        <f>IFERROR(__xludf.DUMMYFUNCTION("INDIRECT(""'收支紀錄'!Q""&amp;TO_TEXT(ROW()-$C$72))"),"")</f>
        <v/>
      </c>
      <c r="R632" s="61" t="str">
        <f>IFERROR(__xludf.DUMMYFUNCTION("INDIRECT(""'收支紀錄'!R""&amp;TO_TEXT(ROW()-$C$72))"),"")</f>
        <v/>
      </c>
      <c r="S632" s="61" t="str">
        <f>IFERROR(__xludf.DUMMYFUNCTION("INDIRECT(""'收支紀錄'!S""&amp;TO_TEXT(ROW()-$C$72))"),"")</f>
        <v/>
      </c>
      <c r="T632" s="61" t="str">
        <f>IFERROR(__xludf.DUMMYFUNCTION("INDIRECT(""'收支紀錄'!T""&amp;TO_TEXT(ROW()-$C$72))"),"")</f>
        <v/>
      </c>
      <c r="U632" s="62" t="str">
        <f>IFERROR(__xludf.DUMMYFUNCTION("IF(T632=""是"",TEXTJOIN("""", TRUE, ""$"", TO_TEXT(C632), S632),"""")"),"")</f>
        <v/>
      </c>
    </row>
    <row r="633">
      <c r="A633" s="58">
        <f>IFERROR(__xludf.DUMMYFUNCTION("INDIRECT(""'收支紀錄'!A""&amp;TO_TEXT(ROW()-$C$72))"),45685.651995416665)</f>
        <v>45685.652</v>
      </c>
      <c r="B633" s="59">
        <f>IFERROR(__xludf.DUMMYFUNCTION("IF(ISBLANK(D633), """", IF(ISDATE(D633), D633, IF(D633=""今天"", A633, IF(D633=""昨天 (-1 day)"", A633-1, IF(D633=""前天 (-2 days)"", A633-2, IF(D633=""明天 (+1 day)"", A633+1, DATE(LEFT(D633,4), MID(D633,5,2), RIGHT(D633,2))))))))"),45685.651995416665)</f>
        <v>45685.652</v>
      </c>
      <c r="C633" s="60">
        <f>IFERROR(__xludf.DUMMYFUNCTION("INDIRECT(""'收支紀錄'!C""&amp;TO_TEXT(ROW()-$C$72))"),516.0)</f>
        <v>516</v>
      </c>
      <c r="D633" s="63" t="str">
        <f>IFERROR(__xludf.DUMMYFUNCTION("INDIRECT(""'收支紀錄'!D""&amp;TO_TEXT(ROW()-$C$72))"),"今天")</f>
        <v>今天</v>
      </c>
      <c r="E633" s="61" t="str">
        <f>IFERROR(__xludf.DUMMYFUNCTION("INDIRECT(""'收支紀錄'!E""&amp;TO_TEXT(ROW()-$C$72))"),"")</f>
        <v/>
      </c>
      <c r="F633" s="61" t="str">
        <f>IFERROR(__xludf.DUMMYFUNCTION("INDIRECT(""'收支紀錄'!F""&amp;TO_TEXT(ROW()-$C$72))"),"")</f>
        <v/>
      </c>
      <c r="G633" s="61" t="str">
        <f>IFERROR(__xludf.DUMMYFUNCTION("INDIRECT(""'收支紀錄'!G""&amp;TO_TEXT(ROW()-$C$72))"),"")</f>
        <v/>
      </c>
      <c r="H633" s="61" t="str">
        <f>IFERROR(__xludf.DUMMYFUNCTION("INDIRECT(""'收支紀錄'!H""&amp;TO_TEXT(ROW()-$C$72))"),"房屋支出")</f>
        <v>房屋支出</v>
      </c>
      <c r="I633" s="61" t="str">
        <f>IFERROR(__xludf.DUMMYFUNCTION("INDIRECT(""'收支紀錄'!I""&amp;TO_TEXT(ROW()-$C$72))"),"")</f>
        <v/>
      </c>
      <c r="J633" s="61" t="str">
        <f>IFERROR(__xludf.DUMMYFUNCTION("INDIRECT(""'收支紀錄'!J""&amp;TO_TEXT(ROW()-$C$72))"),"")</f>
        <v/>
      </c>
      <c r="K633" s="61" t="str">
        <f>IFERROR(__xludf.DUMMYFUNCTION("INDIRECT(""'收支紀錄'!K""&amp;TO_TEXT(ROW()-$C$72))"),"租屋電費")</f>
        <v>租屋電費</v>
      </c>
      <c r="L633" s="61" t="str">
        <f>IFERROR(__xludf.DUMMYFUNCTION("INDIRECT(""'收支紀錄'!L""&amp;TO_TEXT(ROW()-$C$72))"),"")</f>
        <v/>
      </c>
      <c r="M633" s="61" t="str">
        <f>IFERROR(__xludf.DUMMYFUNCTION("INDIRECT(""'收支紀錄'!M""&amp;TO_TEXT(ROW()-$C$72))"),"")</f>
        <v/>
      </c>
      <c r="N633" s="61" t="str">
        <f>IFERROR(__xludf.DUMMYFUNCTION("INDIRECT(""'收支紀錄'!N""&amp;TO_TEXT(ROW()-$C$72))"),"")</f>
        <v/>
      </c>
      <c r="O633" s="61" t="str">
        <f>IFERROR(__xludf.DUMMYFUNCTION("INDIRECT(""'收支紀錄'!O""&amp;TO_TEXT(ROW()-$C$72))"),"")</f>
        <v/>
      </c>
      <c r="P633" s="61" t="str">
        <f>IFERROR(__xludf.DUMMYFUNCTION("INDIRECT(""'收支紀錄'!P""&amp;TO_TEXT(ROW()-$C$72))"),"")</f>
        <v/>
      </c>
      <c r="Q633" s="61" t="str">
        <f>IFERROR(__xludf.DUMMYFUNCTION("INDIRECT(""'收支紀錄'!Q""&amp;TO_TEXT(ROW()-$C$72))"),"")</f>
        <v/>
      </c>
      <c r="R633" s="61" t="str">
        <f>IFERROR(__xludf.DUMMYFUNCTION("INDIRECT(""'收支紀錄'!R""&amp;TO_TEXT(ROW()-$C$72))"),"")</f>
        <v/>
      </c>
      <c r="S633" s="61" t="str">
        <f>IFERROR(__xludf.DUMMYFUNCTION("INDIRECT(""'收支紀錄'!S""&amp;TO_TEXT(ROW()-$C$72))"),"")</f>
        <v/>
      </c>
      <c r="T633" s="61" t="str">
        <f>IFERROR(__xludf.DUMMYFUNCTION("INDIRECT(""'收支紀錄'!T""&amp;TO_TEXT(ROW()-$C$72))"),"")</f>
        <v/>
      </c>
      <c r="U633" s="62" t="str">
        <f>IFERROR(__xludf.DUMMYFUNCTION("IF(T633=""是"",TEXTJOIN("""", TRUE, ""$"", TO_TEXT(C633), S633),"""")"),"")</f>
        <v/>
      </c>
    </row>
    <row r="634">
      <c r="A634" s="58">
        <f>IFERROR(__xludf.DUMMYFUNCTION("INDIRECT(""'收支紀錄'!A""&amp;TO_TEXT(ROW()-$C$72))"),45686.448057326386)</f>
        <v>45686.44806</v>
      </c>
      <c r="B634" s="59">
        <f>IFERROR(__xludf.DUMMYFUNCTION("IF(ISBLANK(D634), """", IF(ISDATE(D634), D634, IF(D634=""今天"", A634, IF(D634=""昨天 (-1 day)"", A634-1, IF(D634=""前天 (-2 days)"", A634-2, IF(D634=""明天 (+1 day)"", A634+1, DATE(LEFT(D634,4), MID(D634,5,2), RIGHT(D634,2))))))))"),45686.448057326386)</f>
        <v>45686.44806</v>
      </c>
      <c r="C634" s="60">
        <f>IFERROR(__xludf.DUMMYFUNCTION("INDIRECT(""'收支紀錄'!C""&amp;TO_TEXT(ROW()-$C$72))"),207.0)</f>
        <v>207</v>
      </c>
      <c r="D634" s="63" t="str">
        <f>IFERROR(__xludf.DUMMYFUNCTION("INDIRECT(""'收支紀錄'!D""&amp;TO_TEXT(ROW()-$C$72))"),"今天")</f>
        <v>今天</v>
      </c>
      <c r="E634" s="61" t="str">
        <f>IFERROR(__xludf.DUMMYFUNCTION("INDIRECT(""'收支紀錄'!E""&amp;TO_TEXT(ROW()-$C$72))"),"")</f>
        <v/>
      </c>
      <c r="F634" s="61" t="str">
        <f>IFERROR(__xludf.DUMMYFUNCTION("INDIRECT(""'收支紀錄'!F""&amp;TO_TEXT(ROW()-$C$72))"),"")</f>
        <v/>
      </c>
      <c r="G634" s="61" t="str">
        <f>IFERROR(__xludf.DUMMYFUNCTION("INDIRECT(""'收支紀錄'!G""&amp;TO_TEXT(ROW()-$C$72))"),"")</f>
        <v/>
      </c>
      <c r="H634" s="61" t="str">
        <f>IFERROR(__xludf.DUMMYFUNCTION("INDIRECT(""'收支紀錄'!H""&amp;TO_TEXT(ROW()-$C$72))"),"日常生活")</f>
        <v>日常生活</v>
      </c>
      <c r="I634" s="61" t="str">
        <f>IFERROR(__xludf.DUMMYFUNCTION("INDIRECT(""'收支紀錄'!I""&amp;TO_TEXT(ROW()-$C$72))"),"")</f>
        <v/>
      </c>
      <c r="J634" s="61" t="str">
        <f>IFERROR(__xludf.DUMMYFUNCTION("INDIRECT(""'收支紀錄'!J""&amp;TO_TEXT(ROW()-$C$72))"),"日常用品")</f>
        <v>日常用品</v>
      </c>
      <c r="K634" s="61" t="str">
        <f>IFERROR(__xludf.DUMMYFUNCTION("INDIRECT(""'收支紀錄'!K""&amp;TO_TEXT(ROW()-$C$72))"),"")</f>
        <v/>
      </c>
      <c r="L634" s="61" t="str">
        <f>IFERROR(__xludf.DUMMYFUNCTION("INDIRECT(""'收支紀錄'!L""&amp;TO_TEXT(ROW()-$C$72))"),"")</f>
        <v/>
      </c>
      <c r="M634" s="61" t="str">
        <f>IFERROR(__xludf.DUMMYFUNCTION("INDIRECT(""'收支紀錄'!M""&amp;TO_TEXT(ROW()-$C$72))"),"")</f>
        <v/>
      </c>
      <c r="N634" s="61" t="str">
        <f>IFERROR(__xludf.DUMMYFUNCTION("INDIRECT(""'收支紀錄'!N""&amp;TO_TEXT(ROW()-$C$72))"),"")</f>
        <v/>
      </c>
      <c r="O634" s="61" t="str">
        <f>IFERROR(__xludf.DUMMYFUNCTION("INDIRECT(""'收支紀錄'!O""&amp;TO_TEXT(ROW()-$C$72))"),"")</f>
        <v/>
      </c>
      <c r="P634" s="61" t="str">
        <f>IFERROR(__xludf.DUMMYFUNCTION("INDIRECT(""'收支紀錄'!P""&amp;TO_TEXT(ROW()-$C$72))"),"")</f>
        <v/>
      </c>
      <c r="Q634" s="61" t="str">
        <f>IFERROR(__xludf.DUMMYFUNCTION("INDIRECT(""'收支紀錄'!Q""&amp;TO_TEXT(ROW()-$C$72))"),"")</f>
        <v/>
      </c>
      <c r="R634" s="61" t="str">
        <f>IFERROR(__xludf.DUMMYFUNCTION("INDIRECT(""'收支紀錄'!R""&amp;TO_TEXT(ROW()-$C$72))"),"")</f>
        <v/>
      </c>
      <c r="S634" s="61" t="str">
        <f>IFERROR(__xludf.DUMMYFUNCTION("INDIRECT(""'收支紀錄'!S""&amp;TO_TEXT(ROW()-$C$72))"),"")</f>
        <v/>
      </c>
      <c r="T634" s="61" t="str">
        <f>IFERROR(__xludf.DUMMYFUNCTION("INDIRECT(""'收支紀錄'!T""&amp;TO_TEXT(ROW()-$C$72))"),"")</f>
        <v/>
      </c>
      <c r="U634" s="62" t="str">
        <f>IFERROR(__xludf.DUMMYFUNCTION("IF(T634=""是"",TEXTJOIN("""", TRUE, ""$"", TO_TEXT(C634), S634),"""")"),"")</f>
        <v/>
      </c>
    </row>
    <row r="635">
      <c r="A635" s="58">
        <f>IFERROR(__xludf.DUMMYFUNCTION("INDIRECT(""'收支紀錄'!A""&amp;TO_TEXT(ROW()-$C$72))"),45686.776357152776)</f>
        <v>45686.77636</v>
      </c>
      <c r="B635" s="59">
        <f>IFERROR(__xludf.DUMMYFUNCTION("IF(ISBLANK(D635), """", IF(ISDATE(D635), D635, IF(D635=""今天"", A635, IF(D635=""昨天 (-1 day)"", A635-1, IF(D635=""前天 (-2 days)"", A635-2, IF(D635=""明天 (+1 day)"", A635+1, DATE(LEFT(D635,4), MID(D635,5,2), RIGHT(D635,2))))))))"),45686.776357152776)</f>
        <v>45686.77636</v>
      </c>
      <c r="C635" s="60">
        <f>IFERROR(__xludf.DUMMYFUNCTION("INDIRECT(""'收支紀錄'!C""&amp;TO_TEXT(ROW()-$C$72))"),6000.0)</f>
        <v>6000</v>
      </c>
      <c r="D635" s="63" t="str">
        <f>IFERROR(__xludf.DUMMYFUNCTION("INDIRECT(""'收支紀錄'!D""&amp;TO_TEXT(ROW()-$C$72))"),"今天")</f>
        <v>今天</v>
      </c>
      <c r="E635" s="61" t="str">
        <f>IFERROR(__xludf.DUMMYFUNCTION("INDIRECT(""'收支紀錄'!E""&amp;TO_TEXT(ROW()-$C$72))"),"")</f>
        <v/>
      </c>
      <c r="F635" s="61" t="str">
        <f>IFERROR(__xludf.DUMMYFUNCTION("INDIRECT(""'收支紀錄'!F""&amp;TO_TEXT(ROW()-$C$72))"),"")</f>
        <v/>
      </c>
      <c r="G635" s="61" t="str">
        <f>IFERROR(__xludf.DUMMYFUNCTION("INDIRECT(""'收支紀錄'!G""&amp;TO_TEXT(ROW()-$C$72))"),"")</f>
        <v/>
      </c>
      <c r="H635" s="61" t="str">
        <f>IFERROR(__xludf.DUMMYFUNCTION("INDIRECT(""'收支紀錄'!H""&amp;TO_TEXT(ROW()-$C$72))"),"人情往來")</f>
        <v>人情往來</v>
      </c>
      <c r="I635" s="61" t="str">
        <f>IFERROR(__xludf.DUMMYFUNCTION("INDIRECT(""'收支紀錄'!I""&amp;TO_TEXT(ROW()-$C$72))"),"")</f>
        <v/>
      </c>
      <c r="J635" s="61" t="str">
        <f>IFERROR(__xludf.DUMMYFUNCTION("INDIRECT(""'收支紀錄'!J""&amp;TO_TEXT(ROW()-$C$72))"),"")</f>
        <v/>
      </c>
      <c r="K635" s="61" t="str">
        <f>IFERROR(__xludf.DUMMYFUNCTION("INDIRECT(""'收支紀錄'!K""&amp;TO_TEXT(ROW()-$C$72))"),"")</f>
        <v/>
      </c>
      <c r="L635" s="61" t="str">
        <f>IFERROR(__xludf.DUMMYFUNCTION("INDIRECT(""'收支紀錄'!L""&amp;TO_TEXT(ROW()-$C$72))"),"")</f>
        <v/>
      </c>
      <c r="M635" s="61" t="str">
        <f>IFERROR(__xludf.DUMMYFUNCTION("INDIRECT(""'收支紀錄'!M""&amp;TO_TEXT(ROW()-$C$72))"),"")</f>
        <v/>
      </c>
      <c r="N635" s="61" t="str">
        <f>IFERROR(__xludf.DUMMYFUNCTION("INDIRECT(""'收支紀錄'!N""&amp;TO_TEXT(ROW()-$C$72))"),"")</f>
        <v/>
      </c>
      <c r="O635" s="61" t="str">
        <f>IFERROR(__xludf.DUMMYFUNCTION("INDIRECT(""'收支紀錄'!O""&amp;TO_TEXT(ROW()-$C$72))"),"")</f>
        <v/>
      </c>
      <c r="P635" s="61" t="str">
        <f>IFERROR(__xludf.DUMMYFUNCTION("INDIRECT(""'收支紀錄'!P""&amp;TO_TEXT(ROW()-$C$72))"),"")</f>
        <v/>
      </c>
      <c r="Q635" s="61" t="str">
        <f>IFERROR(__xludf.DUMMYFUNCTION("INDIRECT(""'收支紀錄'!Q""&amp;TO_TEXT(ROW()-$C$72))"),"尊親費用")</f>
        <v>尊親費用</v>
      </c>
      <c r="R635" s="61" t="str">
        <f>IFERROR(__xludf.DUMMYFUNCTION("INDIRECT(""'收支紀錄'!R""&amp;TO_TEXT(ROW()-$C$72))"),"")</f>
        <v/>
      </c>
      <c r="S635" s="61" t="str">
        <f>IFERROR(__xludf.DUMMYFUNCTION("INDIRECT(""'收支紀錄'!S""&amp;TO_TEXT(ROW()-$C$72))"),"給爸紅包")</f>
        <v>給爸紅包</v>
      </c>
      <c r="T635" s="61" t="str">
        <f>IFERROR(__xludf.DUMMYFUNCTION("INDIRECT(""'收支紀錄'!T""&amp;TO_TEXT(ROW()-$C$72))"),"是")</f>
        <v>是</v>
      </c>
      <c r="U635" s="62" t="str">
        <f>IFERROR(__xludf.DUMMYFUNCTION("IF(T635=""是"",TEXTJOIN("""", TRUE, ""$"", TO_TEXT(C635), S635),"""")"),"$6000給爸紅包")</f>
        <v>$6000給爸紅包</v>
      </c>
    </row>
    <row r="636">
      <c r="A636" s="58">
        <f>IFERROR(__xludf.DUMMYFUNCTION("INDIRECT(""'收支紀錄'!A""&amp;TO_TEXT(ROW()-$C$72))"),45687.766712743054)</f>
        <v>45687.76671</v>
      </c>
      <c r="B636" s="59">
        <f>IFERROR(__xludf.DUMMYFUNCTION("IF(ISBLANK(D636), """", IF(ISDATE(D636), D636, IF(D636=""今天"", A636, IF(D636=""昨天 (-1 day)"", A636-1, IF(D636=""前天 (-2 days)"", A636-2, IF(D636=""明天 (+1 day)"", A636+1, DATE(LEFT(D636,4), MID(D636,5,2), RIGHT(D636,2))))))))"),45687.766712743054)</f>
        <v>45687.76671</v>
      </c>
      <c r="C636" s="60">
        <f>IFERROR(__xludf.DUMMYFUNCTION("INDIRECT(""'收支紀錄'!C""&amp;TO_TEXT(ROW()-$C$72))"),184.0)</f>
        <v>184</v>
      </c>
      <c r="D636" s="63" t="str">
        <f>IFERROR(__xludf.DUMMYFUNCTION("INDIRECT(""'收支紀錄'!D""&amp;TO_TEXT(ROW()-$C$72))"),"今天")</f>
        <v>今天</v>
      </c>
      <c r="E636" s="61" t="str">
        <f>IFERROR(__xludf.DUMMYFUNCTION("INDIRECT(""'收支紀錄'!E""&amp;TO_TEXT(ROW()-$C$72))"),"")</f>
        <v/>
      </c>
      <c r="F636" s="61" t="str">
        <f>IFERROR(__xludf.DUMMYFUNCTION("INDIRECT(""'收支紀錄'!F""&amp;TO_TEXT(ROW()-$C$72))"),"")</f>
        <v/>
      </c>
      <c r="G636" s="61" t="str">
        <f>IFERROR(__xludf.DUMMYFUNCTION("INDIRECT(""'收支紀錄'!G""&amp;TO_TEXT(ROW()-$C$72))"),"")</f>
        <v/>
      </c>
      <c r="H636" s="61" t="str">
        <f>IFERROR(__xludf.DUMMYFUNCTION("INDIRECT(""'收支紀錄'!H""&amp;TO_TEXT(ROW()-$C$72))"),"食品酒水")</f>
        <v>食品酒水</v>
      </c>
      <c r="I636" s="61" t="str">
        <f>IFERROR(__xludf.DUMMYFUNCTION("INDIRECT(""'收支紀錄'!I""&amp;TO_TEXT(ROW()-$C$72))"),"晚餐")</f>
        <v>晚餐</v>
      </c>
      <c r="J636" s="61" t="str">
        <f>IFERROR(__xludf.DUMMYFUNCTION("INDIRECT(""'收支紀錄'!J""&amp;TO_TEXT(ROW()-$C$72))"),"")</f>
        <v/>
      </c>
      <c r="K636" s="61" t="str">
        <f>IFERROR(__xludf.DUMMYFUNCTION("INDIRECT(""'收支紀錄'!K""&amp;TO_TEXT(ROW()-$C$72))"),"")</f>
        <v/>
      </c>
      <c r="L636" s="61" t="str">
        <f>IFERROR(__xludf.DUMMYFUNCTION("INDIRECT(""'收支紀錄'!L""&amp;TO_TEXT(ROW()-$C$72))"),"")</f>
        <v/>
      </c>
      <c r="M636" s="61" t="str">
        <f>IFERROR(__xludf.DUMMYFUNCTION("INDIRECT(""'收支紀錄'!M""&amp;TO_TEXT(ROW()-$C$72))"),"")</f>
        <v/>
      </c>
      <c r="N636" s="61" t="str">
        <f>IFERROR(__xludf.DUMMYFUNCTION("INDIRECT(""'收支紀錄'!N""&amp;TO_TEXT(ROW()-$C$72))"),"")</f>
        <v/>
      </c>
      <c r="O636" s="61" t="str">
        <f>IFERROR(__xludf.DUMMYFUNCTION("INDIRECT(""'收支紀錄'!O""&amp;TO_TEXT(ROW()-$C$72))"),"")</f>
        <v/>
      </c>
      <c r="P636" s="61" t="str">
        <f>IFERROR(__xludf.DUMMYFUNCTION("INDIRECT(""'收支紀錄'!P""&amp;TO_TEXT(ROW()-$C$72))"),"")</f>
        <v/>
      </c>
      <c r="Q636" s="61" t="str">
        <f>IFERROR(__xludf.DUMMYFUNCTION("INDIRECT(""'收支紀錄'!Q""&amp;TO_TEXT(ROW()-$C$72))"),"")</f>
        <v/>
      </c>
      <c r="R636" s="61" t="str">
        <f>IFERROR(__xludf.DUMMYFUNCTION("INDIRECT(""'收支紀錄'!R""&amp;TO_TEXT(ROW()-$C$72))"),"")</f>
        <v/>
      </c>
      <c r="S636" s="61" t="str">
        <f>IFERROR(__xludf.DUMMYFUNCTION("INDIRECT(""'收支紀錄'!S""&amp;TO_TEXT(ROW()-$C$72))"),"")</f>
        <v/>
      </c>
      <c r="T636" s="61" t="str">
        <f>IFERROR(__xludf.DUMMYFUNCTION("INDIRECT(""'收支紀錄'!T""&amp;TO_TEXT(ROW()-$C$72))"),"")</f>
        <v/>
      </c>
      <c r="U636" s="62" t="str">
        <f>IFERROR(__xludf.DUMMYFUNCTION("IF(T636=""是"",TEXTJOIN("""", TRUE, ""$"", TO_TEXT(C636), S636),"""")"),"")</f>
        <v/>
      </c>
    </row>
    <row r="637">
      <c r="A637" s="58">
        <f>IFERROR(__xludf.DUMMYFUNCTION("INDIRECT(""'收支紀錄'!A""&amp;TO_TEXT(ROW()-$C$72))"),45687.76688733796)</f>
        <v>45687.76689</v>
      </c>
      <c r="B637" s="59">
        <f>IFERROR(__xludf.DUMMYFUNCTION("IF(ISBLANK(D637), """", IF(ISDATE(D637), D637, IF(D637=""今天"", A637, IF(D637=""昨天 (-1 day)"", A637-1, IF(D637=""前天 (-2 days)"", A637-2, IF(D637=""明天 (+1 day)"", A637+1, DATE(LEFT(D637,4), MID(D637,5,2), RIGHT(D637,2))))))))"),45686.76688733796)</f>
        <v>45686.76689</v>
      </c>
      <c r="C637" s="60">
        <f>IFERROR(__xludf.DUMMYFUNCTION("INDIRECT(""'收支紀錄'!C""&amp;TO_TEXT(ROW()-$C$72))"),340.0)</f>
        <v>340</v>
      </c>
      <c r="D637" s="63" t="str">
        <f>IFERROR(__xludf.DUMMYFUNCTION("INDIRECT(""'收支紀錄'!D""&amp;TO_TEXT(ROW()-$C$72))"),"昨天 (-1 day)")</f>
        <v>昨天 (-1 day)</v>
      </c>
      <c r="E637" s="61" t="str">
        <f>IFERROR(__xludf.DUMMYFUNCTION("INDIRECT(""'收支紀錄'!E""&amp;TO_TEXT(ROW()-$C$72))"),"")</f>
        <v/>
      </c>
      <c r="F637" s="61" t="str">
        <f>IFERROR(__xludf.DUMMYFUNCTION("INDIRECT(""'收支紀錄'!F""&amp;TO_TEXT(ROW()-$C$72))"),"")</f>
        <v/>
      </c>
      <c r="G637" s="61" t="str">
        <f>IFERROR(__xludf.DUMMYFUNCTION("INDIRECT(""'收支紀錄'!G""&amp;TO_TEXT(ROW()-$C$72))"),"")</f>
        <v/>
      </c>
      <c r="H637" s="61" t="str">
        <f>IFERROR(__xludf.DUMMYFUNCTION("INDIRECT(""'收支紀錄'!H""&amp;TO_TEXT(ROW()-$C$72))"),"食品酒水")</f>
        <v>食品酒水</v>
      </c>
      <c r="I637" s="61" t="str">
        <f>IFERROR(__xludf.DUMMYFUNCTION("INDIRECT(""'收支紀錄'!I""&amp;TO_TEXT(ROW()-$C$72))"),"晚餐")</f>
        <v>晚餐</v>
      </c>
      <c r="J637" s="61" t="str">
        <f>IFERROR(__xludf.DUMMYFUNCTION("INDIRECT(""'收支紀錄'!J""&amp;TO_TEXT(ROW()-$C$72))"),"")</f>
        <v/>
      </c>
      <c r="K637" s="61" t="str">
        <f>IFERROR(__xludf.DUMMYFUNCTION("INDIRECT(""'收支紀錄'!K""&amp;TO_TEXT(ROW()-$C$72))"),"")</f>
        <v/>
      </c>
      <c r="L637" s="61" t="str">
        <f>IFERROR(__xludf.DUMMYFUNCTION("INDIRECT(""'收支紀錄'!L""&amp;TO_TEXT(ROW()-$C$72))"),"")</f>
        <v/>
      </c>
      <c r="M637" s="61" t="str">
        <f>IFERROR(__xludf.DUMMYFUNCTION("INDIRECT(""'收支紀錄'!M""&amp;TO_TEXT(ROW()-$C$72))"),"")</f>
        <v/>
      </c>
      <c r="N637" s="61" t="str">
        <f>IFERROR(__xludf.DUMMYFUNCTION("INDIRECT(""'收支紀錄'!N""&amp;TO_TEXT(ROW()-$C$72))"),"")</f>
        <v/>
      </c>
      <c r="O637" s="61" t="str">
        <f>IFERROR(__xludf.DUMMYFUNCTION("INDIRECT(""'收支紀錄'!O""&amp;TO_TEXT(ROW()-$C$72))"),"")</f>
        <v/>
      </c>
      <c r="P637" s="61" t="str">
        <f>IFERROR(__xludf.DUMMYFUNCTION("INDIRECT(""'收支紀錄'!P""&amp;TO_TEXT(ROW()-$C$72))"),"")</f>
        <v/>
      </c>
      <c r="Q637" s="61" t="str">
        <f>IFERROR(__xludf.DUMMYFUNCTION("INDIRECT(""'收支紀錄'!Q""&amp;TO_TEXT(ROW()-$C$72))"),"")</f>
        <v/>
      </c>
      <c r="R637" s="61" t="str">
        <f>IFERROR(__xludf.DUMMYFUNCTION("INDIRECT(""'收支紀錄'!R""&amp;TO_TEXT(ROW()-$C$72))"),"")</f>
        <v/>
      </c>
      <c r="S637" s="61" t="str">
        <f>IFERROR(__xludf.DUMMYFUNCTION("INDIRECT(""'收支紀錄'!S""&amp;TO_TEXT(ROW()-$C$72))"),"")</f>
        <v/>
      </c>
      <c r="T637" s="61" t="str">
        <f>IFERROR(__xludf.DUMMYFUNCTION("INDIRECT(""'收支紀錄'!T""&amp;TO_TEXT(ROW()-$C$72))"),"")</f>
        <v/>
      </c>
      <c r="U637" s="62" t="str">
        <f>IFERROR(__xludf.DUMMYFUNCTION("IF(T637=""是"",TEXTJOIN("""", TRUE, ""$"", TO_TEXT(C637), S637),"""")"),"")</f>
        <v/>
      </c>
    </row>
    <row r="638">
      <c r="A638" s="58">
        <f>IFERROR(__xludf.DUMMYFUNCTION("INDIRECT(""'收支紀錄'!A""&amp;TO_TEXT(ROW()-$C$72))"),45688.39210680556)</f>
        <v>45688.39211</v>
      </c>
      <c r="B638" s="59">
        <f>IFERROR(__xludf.DUMMYFUNCTION("IF(ISBLANK(D638), """", IF(ISDATE(D638), D638, IF(D638=""今天"", A638, IF(D638=""昨天 (-1 day)"", A638-1, IF(D638=""前天 (-2 days)"", A638-2, IF(D638=""明天 (+1 day)"", A638+1, DATE(LEFT(D638,4), MID(D638,5,2), RIGHT(D638,2))))))))"),45687.39210680556)</f>
        <v>45687.39211</v>
      </c>
      <c r="C638" s="60">
        <f>IFERROR(__xludf.DUMMYFUNCTION("INDIRECT(""'收支紀錄'!C""&amp;TO_TEXT(ROW()-$C$72))"),33.0)</f>
        <v>33</v>
      </c>
      <c r="D638" s="63" t="str">
        <f>IFERROR(__xludf.DUMMYFUNCTION("INDIRECT(""'收支紀錄'!D""&amp;TO_TEXT(ROW()-$C$72))"),"昨天 (-1 day)")</f>
        <v>昨天 (-1 day)</v>
      </c>
      <c r="E638" s="61" t="str">
        <f>IFERROR(__xludf.DUMMYFUNCTION("INDIRECT(""'收支紀錄'!E""&amp;TO_TEXT(ROW()-$C$72))"),"")</f>
        <v/>
      </c>
      <c r="F638" s="61" t="str">
        <f>IFERROR(__xludf.DUMMYFUNCTION("INDIRECT(""'收支紀錄'!F""&amp;TO_TEXT(ROW()-$C$72))"),"")</f>
        <v/>
      </c>
      <c r="G638" s="61" t="str">
        <f>IFERROR(__xludf.DUMMYFUNCTION("INDIRECT(""'收支紀錄'!G""&amp;TO_TEXT(ROW()-$C$72))"),"")</f>
        <v/>
      </c>
      <c r="H638" s="61" t="str">
        <f>IFERROR(__xludf.DUMMYFUNCTION("INDIRECT(""'收支紀錄'!H""&amp;TO_TEXT(ROW()-$C$72))"),"行車交通")</f>
        <v>行車交通</v>
      </c>
      <c r="I638" s="61" t="str">
        <f>IFERROR(__xludf.DUMMYFUNCTION("INDIRECT(""'收支紀錄'!I""&amp;TO_TEXT(ROW()-$C$72))"),"")</f>
        <v/>
      </c>
      <c r="J638" s="61" t="str">
        <f>IFERROR(__xludf.DUMMYFUNCTION("INDIRECT(""'收支紀錄'!J""&amp;TO_TEXT(ROW()-$C$72))"),"")</f>
        <v/>
      </c>
      <c r="K638" s="61" t="str">
        <f>IFERROR(__xludf.DUMMYFUNCTION("INDIRECT(""'收支紀錄'!K""&amp;TO_TEXT(ROW()-$C$72))"),"")</f>
        <v/>
      </c>
      <c r="L638" s="61" t="str">
        <f>IFERROR(__xludf.DUMMYFUNCTION("INDIRECT(""'收支紀錄'!L""&amp;TO_TEXT(ROW()-$C$72))"),"租車")</f>
        <v>租車</v>
      </c>
      <c r="M638" s="61" t="str">
        <f>IFERROR(__xludf.DUMMYFUNCTION("INDIRECT(""'收支紀錄'!M""&amp;TO_TEXT(ROW()-$C$72))"),"")</f>
        <v/>
      </c>
      <c r="N638" s="61" t="str">
        <f>IFERROR(__xludf.DUMMYFUNCTION("INDIRECT(""'收支紀錄'!N""&amp;TO_TEXT(ROW()-$C$72))"),"")</f>
        <v/>
      </c>
      <c r="O638" s="61" t="str">
        <f>IFERROR(__xludf.DUMMYFUNCTION("INDIRECT(""'收支紀錄'!O""&amp;TO_TEXT(ROW()-$C$72))"),"")</f>
        <v/>
      </c>
      <c r="P638" s="61" t="str">
        <f>IFERROR(__xludf.DUMMYFUNCTION("INDIRECT(""'收支紀錄'!P""&amp;TO_TEXT(ROW()-$C$72))"),"")</f>
        <v/>
      </c>
      <c r="Q638" s="61" t="str">
        <f>IFERROR(__xludf.DUMMYFUNCTION("INDIRECT(""'收支紀錄'!Q""&amp;TO_TEXT(ROW()-$C$72))"),"")</f>
        <v/>
      </c>
      <c r="R638" s="61" t="str">
        <f>IFERROR(__xludf.DUMMYFUNCTION("INDIRECT(""'收支紀錄'!R""&amp;TO_TEXT(ROW()-$C$72))"),"")</f>
        <v/>
      </c>
      <c r="S638" s="61" t="str">
        <f>IFERROR(__xludf.DUMMYFUNCTION("INDIRECT(""'收支紀錄'!S""&amp;TO_TEXT(ROW()-$C$72))"),"")</f>
        <v/>
      </c>
      <c r="T638" s="61" t="str">
        <f>IFERROR(__xludf.DUMMYFUNCTION("INDIRECT(""'收支紀錄'!T""&amp;TO_TEXT(ROW()-$C$72))"),"")</f>
        <v/>
      </c>
      <c r="U638" s="62" t="str">
        <f>IFERROR(__xludf.DUMMYFUNCTION("IF(T638=""是"",TEXTJOIN("""", TRUE, ""$"", TO_TEXT(C638), S638),"""")"),"")</f>
        <v/>
      </c>
    </row>
    <row r="639">
      <c r="A639" s="58">
        <f>IFERROR(__xludf.DUMMYFUNCTION("INDIRECT(""'收支紀錄'!A""&amp;TO_TEXT(ROW()-$C$72))"),45688.39236803241)</f>
        <v>45688.39237</v>
      </c>
      <c r="B639" s="59">
        <f>IFERROR(__xludf.DUMMYFUNCTION("IF(ISBLANK(D639), """", IF(ISDATE(D639), D639, IF(D639=""今天"", A639, IF(D639=""昨天 (-1 day)"", A639-1, IF(D639=""前天 (-2 days)"", A639-2, IF(D639=""明天 (+1 day)"", A639+1, DATE(LEFT(D639,4), MID(D639,5,2), RIGHT(D639,2))))))))"),45687.39236803241)</f>
        <v>45687.39237</v>
      </c>
      <c r="C639" s="60">
        <f>IFERROR(__xludf.DUMMYFUNCTION("INDIRECT(""'收支紀錄'!C""&amp;TO_TEXT(ROW()-$C$72))"),1000.0)</f>
        <v>1000</v>
      </c>
      <c r="D639" s="63" t="str">
        <f>IFERROR(__xludf.DUMMYFUNCTION("INDIRECT(""'收支紀錄'!D""&amp;TO_TEXT(ROW()-$C$72))"),"昨天 (-1 day)")</f>
        <v>昨天 (-1 day)</v>
      </c>
      <c r="E639" s="61" t="str">
        <f>IFERROR(__xludf.DUMMYFUNCTION("INDIRECT(""'收支紀錄'!E""&amp;TO_TEXT(ROW()-$C$72))"),"")</f>
        <v/>
      </c>
      <c r="F639" s="61" t="str">
        <f>IFERROR(__xludf.DUMMYFUNCTION("INDIRECT(""'收支紀錄'!F""&amp;TO_TEXT(ROW()-$C$72))"),"")</f>
        <v/>
      </c>
      <c r="G639" s="61" t="str">
        <f>IFERROR(__xludf.DUMMYFUNCTION("INDIRECT(""'收支紀錄'!G""&amp;TO_TEXT(ROW()-$C$72))"),"")</f>
        <v/>
      </c>
      <c r="H639" s="61" t="str">
        <f>IFERROR(__xludf.DUMMYFUNCTION("INDIRECT(""'收支紀錄'!H""&amp;TO_TEXT(ROW()-$C$72))"),"食品酒水")</f>
        <v>食品酒水</v>
      </c>
      <c r="I639" s="61" t="str">
        <f>IFERROR(__xludf.DUMMYFUNCTION("INDIRECT(""'收支紀錄'!I""&amp;TO_TEXT(ROW()-$C$72))"),"宵夜")</f>
        <v>宵夜</v>
      </c>
      <c r="J639" s="61" t="str">
        <f>IFERROR(__xludf.DUMMYFUNCTION("INDIRECT(""'收支紀錄'!J""&amp;TO_TEXT(ROW()-$C$72))"),"")</f>
        <v/>
      </c>
      <c r="K639" s="61" t="str">
        <f>IFERROR(__xludf.DUMMYFUNCTION("INDIRECT(""'收支紀錄'!K""&amp;TO_TEXT(ROW()-$C$72))"),"")</f>
        <v/>
      </c>
      <c r="L639" s="61" t="str">
        <f>IFERROR(__xludf.DUMMYFUNCTION("INDIRECT(""'收支紀錄'!L""&amp;TO_TEXT(ROW()-$C$72))"),"")</f>
        <v/>
      </c>
      <c r="M639" s="61" t="str">
        <f>IFERROR(__xludf.DUMMYFUNCTION("INDIRECT(""'收支紀錄'!M""&amp;TO_TEXT(ROW()-$C$72))"),"")</f>
        <v/>
      </c>
      <c r="N639" s="61" t="str">
        <f>IFERROR(__xludf.DUMMYFUNCTION("INDIRECT(""'收支紀錄'!N""&amp;TO_TEXT(ROW()-$C$72))"),"")</f>
        <v/>
      </c>
      <c r="O639" s="61" t="str">
        <f>IFERROR(__xludf.DUMMYFUNCTION("INDIRECT(""'收支紀錄'!O""&amp;TO_TEXT(ROW()-$C$72))"),"")</f>
        <v/>
      </c>
      <c r="P639" s="61" t="str">
        <f>IFERROR(__xludf.DUMMYFUNCTION("INDIRECT(""'收支紀錄'!P""&amp;TO_TEXT(ROW()-$C$72))"),"")</f>
        <v/>
      </c>
      <c r="Q639" s="61" t="str">
        <f>IFERROR(__xludf.DUMMYFUNCTION("INDIRECT(""'收支紀錄'!Q""&amp;TO_TEXT(ROW()-$C$72))"),"")</f>
        <v/>
      </c>
      <c r="R639" s="61" t="str">
        <f>IFERROR(__xludf.DUMMYFUNCTION("INDIRECT(""'收支紀錄'!R""&amp;TO_TEXT(ROW()-$C$72))"),"")</f>
        <v/>
      </c>
      <c r="S639" s="61" t="str">
        <f>IFERROR(__xludf.DUMMYFUNCTION("INDIRECT(""'收支紀錄'!S""&amp;TO_TEXT(ROW()-$C$72))"),"居酒屋")</f>
        <v>居酒屋</v>
      </c>
      <c r="T639" s="61" t="str">
        <f>IFERROR(__xludf.DUMMYFUNCTION("INDIRECT(""'收支紀錄'!T""&amp;TO_TEXT(ROW()-$C$72))"),"")</f>
        <v/>
      </c>
      <c r="U639" s="62" t="str">
        <f>IFERROR(__xludf.DUMMYFUNCTION("IF(T639=""是"",TEXTJOIN("""", TRUE, ""$"", TO_TEXT(C639), S639),"""")"),"")</f>
        <v/>
      </c>
    </row>
    <row r="640">
      <c r="A640" s="58">
        <f>IFERROR(__xludf.DUMMYFUNCTION("INDIRECT(""'收支紀錄'!A""&amp;TO_TEXT(ROW()-$C$72))"),45688.39257210648)</f>
        <v>45688.39257</v>
      </c>
      <c r="B640" s="59">
        <f>IFERROR(__xludf.DUMMYFUNCTION("IF(ISBLANK(D640), """", IF(ISDATE(D640), D640, IF(D640=""今天"", A640, IF(D640=""昨天 (-1 day)"", A640-1, IF(D640=""前天 (-2 days)"", A640-2, IF(D640=""明天 (+1 day)"", A640+1, DATE(LEFT(D640,4), MID(D640,5,2), RIGHT(D640,2))))))))"),45688.39257210648)</f>
        <v>45688.39257</v>
      </c>
      <c r="C640" s="60">
        <f>IFERROR(__xludf.DUMMYFUNCTION("INDIRECT(""'收支紀錄'!C""&amp;TO_TEXT(ROW()-$C$72))"),33.0)</f>
        <v>33</v>
      </c>
      <c r="D640" s="63" t="str">
        <f>IFERROR(__xludf.DUMMYFUNCTION("INDIRECT(""'收支紀錄'!D""&amp;TO_TEXT(ROW()-$C$72))"),"今天")</f>
        <v>今天</v>
      </c>
      <c r="E640" s="61" t="str">
        <f>IFERROR(__xludf.DUMMYFUNCTION("INDIRECT(""'收支紀錄'!E""&amp;TO_TEXT(ROW()-$C$72))"),"")</f>
        <v/>
      </c>
      <c r="F640" s="61" t="str">
        <f>IFERROR(__xludf.DUMMYFUNCTION("INDIRECT(""'收支紀錄'!F""&amp;TO_TEXT(ROW()-$C$72))"),"")</f>
        <v/>
      </c>
      <c r="G640" s="61" t="str">
        <f>IFERROR(__xludf.DUMMYFUNCTION("INDIRECT(""'收支紀錄'!G""&amp;TO_TEXT(ROW()-$C$72))"),"")</f>
        <v/>
      </c>
      <c r="H640" s="61" t="str">
        <f>IFERROR(__xludf.DUMMYFUNCTION("INDIRECT(""'收支紀錄'!H""&amp;TO_TEXT(ROW()-$C$72))"),"食品酒水")</f>
        <v>食品酒水</v>
      </c>
      <c r="I640" s="61" t="str">
        <f>IFERROR(__xludf.DUMMYFUNCTION("INDIRECT(""'收支紀錄'!I""&amp;TO_TEXT(ROW()-$C$72))"),"早餐")</f>
        <v>早餐</v>
      </c>
      <c r="J640" s="61" t="str">
        <f>IFERROR(__xludf.DUMMYFUNCTION("INDIRECT(""'收支紀錄'!J""&amp;TO_TEXT(ROW()-$C$72))"),"")</f>
        <v/>
      </c>
      <c r="K640" s="61" t="str">
        <f>IFERROR(__xludf.DUMMYFUNCTION("INDIRECT(""'收支紀錄'!K""&amp;TO_TEXT(ROW()-$C$72))"),"")</f>
        <v/>
      </c>
      <c r="L640" s="61" t="str">
        <f>IFERROR(__xludf.DUMMYFUNCTION("INDIRECT(""'收支紀錄'!L""&amp;TO_TEXT(ROW()-$C$72))"),"")</f>
        <v/>
      </c>
      <c r="M640" s="61" t="str">
        <f>IFERROR(__xludf.DUMMYFUNCTION("INDIRECT(""'收支紀錄'!M""&amp;TO_TEXT(ROW()-$C$72))"),"")</f>
        <v/>
      </c>
      <c r="N640" s="61" t="str">
        <f>IFERROR(__xludf.DUMMYFUNCTION("INDIRECT(""'收支紀錄'!N""&amp;TO_TEXT(ROW()-$C$72))"),"")</f>
        <v/>
      </c>
      <c r="O640" s="61" t="str">
        <f>IFERROR(__xludf.DUMMYFUNCTION("INDIRECT(""'收支紀錄'!O""&amp;TO_TEXT(ROW()-$C$72))"),"")</f>
        <v/>
      </c>
      <c r="P640" s="61" t="str">
        <f>IFERROR(__xludf.DUMMYFUNCTION("INDIRECT(""'收支紀錄'!P""&amp;TO_TEXT(ROW()-$C$72))"),"")</f>
        <v/>
      </c>
      <c r="Q640" s="61" t="str">
        <f>IFERROR(__xludf.DUMMYFUNCTION("INDIRECT(""'收支紀錄'!Q""&amp;TO_TEXT(ROW()-$C$72))"),"")</f>
        <v/>
      </c>
      <c r="R640" s="61" t="str">
        <f>IFERROR(__xludf.DUMMYFUNCTION("INDIRECT(""'收支紀錄'!R""&amp;TO_TEXT(ROW()-$C$72))"),"")</f>
        <v/>
      </c>
      <c r="S640" s="61" t="str">
        <f>IFERROR(__xludf.DUMMYFUNCTION("INDIRECT(""'收支紀錄'!S""&amp;TO_TEXT(ROW()-$C$72))"),"")</f>
        <v/>
      </c>
      <c r="T640" s="61" t="str">
        <f>IFERROR(__xludf.DUMMYFUNCTION("INDIRECT(""'收支紀錄'!T""&amp;TO_TEXT(ROW()-$C$72))"),"")</f>
        <v/>
      </c>
      <c r="U640" s="62" t="str">
        <f>IFERROR(__xludf.DUMMYFUNCTION("IF(T640=""是"",TEXTJOIN("""", TRUE, ""$"", TO_TEXT(C640), S640),"""")"),"")</f>
        <v/>
      </c>
    </row>
    <row r="641">
      <c r="A641" s="58">
        <f>IFERROR(__xludf.DUMMYFUNCTION("INDIRECT(""'收支紀錄'!A""&amp;TO_TEXT(ROW()-$C$72))"),45688.592078472226)</f>
        <v>45688.59208</v>
      </c>
      <c r="B641" s="59">
        <f>IFERROR(__xludf.DUMMYFUNCTION("IF(ISBLANK(D641), """", IF(ISDATE(D641), D641, IF(D641=""今天"", A641, IF(D641=""昨天 (-1 day)"", A641-1, IF(D641=""前天 (-2 days)"", A641-2, IF(D641=""明天 (+1 day)"", A641+1, DATE(LEFT(D641,4), MID(D641,5,2), RIGHT(D641,2))))))))"),45688.592078472226)</f>
        <v>45688.59208</v>
      </c>
      <c r="C641" s="60">
        <f>IFERROR(__xludf.DUMMYFUNCTION("INDIRECT(""'收支紀錄'!C""&amp;TO_TEXT(ROW()-$C$72))"),165.0)</f>
        <v>165</v>
      </c>
      <c r="D641" s="63" t="str">
        <f>IFERROR(__xludf.DUMMYFUNCTION("INDIRECT(""'收支紀錄'!D""&amp;TO_TEXT(ROW()-$C$72))"),"今天")</f>
        <v>今天</v>
      </c>
      <c r="E641" s="61" t="str">
        <f>IFERROR(__xludf.DUMMYFUNCTION("INDIRECT(""'收支紀錄'!E""&amp;TO_TEXT(ROW()-$C$72))"),"")</f>
        <v/>
      </c>
      <c r="F641" s="61" t="str">
        <f>IFERROR(__xludf.DUMMYFUNCTION("INDIRECT(""'收支紀錄'!F""&amp;TO_TEXT(ROW()-$C$72))"),"")</f>
        <v/>
      </c>
      <c r="G641" s="61" t="str">
        <f>IFERROR(__xludf.DUMMYFUNCTION("INDIRECT(""'收支紀錄'!G""&amp;TO_TEXT(ROW()-$C$72))"),"")</f>
        <v/>
      </c>
      <c r="H641" s="61" t="str">
        <f>IFERROR(__xludf.DUMMYFUNCTION("INDIRECT(""'收支紀錄'!H""&amp;TO_TEXT(ROW()-$C$72))"),"日常生活")</f>
        <v>日常生活</v>
      </c>
      <c r="I641" s="61" t="str">
        <f>IFERROR(__xludf.DUMMYFUNCTION("INDIRECT(""'收支紀錄'!I""&amp;TO_TEXT(ROW()-$C$72))"),"")</f>
        <v/>
      </c>
      <c r="J641" s="61" t="str">
        <f>IFERROR(__xludf.DUMMYFUNCTION("INDIRECT(""'收支紀錄'!J""&amp;TO_TEXT(ROW()-$C$72))"),"日常用品")</f>
        <v>日常用品</v>
      </c>
      <c r="K641" s="61" t="str">
        <f>IFERROR(__xludf.DUMMYFUNCTION("INDIRECT(""'收支紀錄'!K""&amp;TO_TEXT(ROW()-$C$72))"),"")</f>
        <v/>
      </c>
      <c r="L641" s="61" t="str">
        <f>IFERROR(__xludf.DUMMYFUNCTION("INDIRECT(""'收支紀錄'!L""&amp;TO_TEXT(ROW()-$C$72))"),"")</f>
        <v/>
      </c>
      <c r="M641" s="61" t="str">
        <f>IFERROR(__xludf.DUMMYFUNCTION("INDIRECT(""'收支紀錄'!M""&amp;TO_TEXT(ROW()-$C$72))"),"")</f>
        <v/>
      </c>
      <c r="N641" s="61" t="str">
        <f>IFERROR(__xludf.DUMMYFUNCTION("INDIRECT(""'收支紀錄'!N""&amp;TO_TEXT(ROW()-$C$72))"),"")</f>
        <v/>
      </c>
      <c r="O641" s="61" t="str">
        <f>IFERROR(__xludf.DUMMYFUNCTION("INDIRECT(""'收支紀錄'!O""&amp;TO_TEXT(ROW()-$C$72))"),"")</f>
        <v/>
      </c>
      <c r="P641" s="61" t="str">
        <f>IFERROR(__xludf.DUMMYFUNCTION("INDIRECT(""'收支紀錄'!P""&amp;TO_TEXT(ROW()-$C$72))"),"")</f>
        <v/>
      </c>
      <c r="Q641" s="61" t="str">
        <f>IFERROR(__xludf.DUMMYFUNCTION("INDIRECT(""'收支紀錄'!Q""&amp;TO_TEXT(ROW()-$C$72))"),"")</f>
        <v/>
      </c>
      <c r="R641" s="61" t="str">
        <f>IFERROR(__xludf.DUMMYFUNCTION("INDIRECT(""'收支紀錄'!R""&amp;TO_TEXT(ROW()-$C$72))"),"")</f>
        <v/>
      </c>
      <c r="S641" s="61" t="str">
        <f>IFERROR(__xludf.DUMMYFUNCTION("INDIRECT(""'收支紀錄'!S""&amp;TO_TEXT(ROW()-$C$72))"),"")</f>
        <v/>
      </c>
      <c r="T641" s="61" t="str">
        <f>IFERROR(__xludf.DUMMYFUNCTION("INDIRECT(""'收支紀錄'!T""&amp;TO_TEXT(ROW()-$C$72))"),"")</f>
        <v/>
      </c>
      <c r="U641" s="62" t="str">
        <f>IFERROR(__xludf.DUMMYFUNCTION("IF(T641=""是"",TEXTJOIN("""", TRUE, ""$"", TO_TEXT(C641), S641),"""")"),"")</f>
        <v/>
      </c>
    </row>
    <row r="642">
      <c r="A642" s="58">
        <f>IFERROR(__xludf.DUMMYFUNCTION("INDIRECT(""'收支紀錄'!A""&amp;TO_TEXT(ROW()-$C$72))"),45688.59303210648)</f>
        <v>45688.59303</v>
      </c>
      <c r="B642" s="59">
        <f>IFERROR(__xludf.DUMMYFUNCTION("IF(ISBLANK(D642), """", IF(ISDATE(D642), D642, IF(D642=""今天"", A642, IF(D642=""昨天 (-1 day)"", A642-1, IF(D642=""前天 (-2 days)"", A642-2, IF(D642=""明天 (+1 day)"", A642+1, DATE(LEFT(D642,4), MID(D642,5,2), RIGHT(D642,2))))))))"),45688.59303210648)</f>
        <v>45688.59303</v>
      </c>
      <c r="C642" s="60">
        <f>IFERROR(__xludf.DUMMYFUNCTION("INDIRECT(""'收支紀錄'!C""&amp;TO_TEXT(ROW()-$C$72))"),35.0)</f>
        <v>35</v>
      </c>
      <c r="D642" s="63" t="str">
        <f>IFERROR(__xludf.DUMMYFUNCTION("INDIRECT(""'收支紀錄'!D""&amp;TO_TEXT(ROW()-$C$72))"),"今天")</f>
        <v>今天</v>
      </c>
      <c r="E642" s="61" t="str">
        <f>IFERROR(__xludf.DUMMYFUNCTION("INDIRECT(""'收支紀錄'!E""&amp;TO_TEXT(ROW()-$C$72))"),"")</f>
        <v/>
      </c>
      <c r="F642" s="61" t="str">
        <f>IFERROR(__xludf.DUMMYFUNCTION("INDIRECT(""'收支紀錄'!F""&amp;TO_TEXT(ROW()-$C$72))"),"")</f>
        <v/>
      </c>
      <c r="G642" s="61" t="str">
        <f>IFERROR(__xludf.DUMMYFUNCTION("INDIRECT(""'收支紀錄'!G""&amp;TO_TEXT(ROW()-$C$72))"),"")</f>
        <v/>
      </c>
      <c r="H642" s="61" t="str">
        <f>IFERROR(__xludf.DUMMYFUNCTION("INDIRECT(""'收支紀錄'!H""&amp;TO_TEXT(ROW()-$C$72))"),"行車交通")</f>
        <v>行車交通</v>
      </c>
      <c r="I642" s="61" t="str">
        <f>IFERROR(__xludf.DUMMYFUNCTION("INDIRECT(""'收支紀錄'!I""&amp;TO_TEXT(ROW()-$C$72))"),"")</f>
        <v/>
      </c>
      <c r="J642" s="61" t="str">
        <f>IFERROR(__xludf.DUMMYFUNCTION("INDIRECT(""'收支紀錄'!J""&amp;TO_TEXT(ROW()-$C$72))"),"")</f>
        <v/>
      </c>
      <c r="K642" s="61" t="str">
        <f>IFERROR(__xludf.DUMMYFUNCTION("INDIRECT(""'收支紀錄'!K""&amp;TO_TEXT(ROW()-$C$72))"),"")</f>
        <v/>
      </c>
      <c r="L642" s="61" t="str">
        <f>IFERROR(__xludf.DUMMYFUNCTION("INDIRECT(""'收支紀錄'!L""&amp;TO_TEXT(ROW()-$C$72))"),"捷運費")</f>
        <v>捷運費</v>
      </c>
      <c r="M642" s="61" t="str">
        <f>IFERROR(__xludf.DUMMYFUNCTION("INDIRECT(""'收支紀錄'!M""&amp;TO_TEXT(ROW()-$C$72))"),"")</f>
        <v/>
      </c>
      <c r="N642" s="61" t="str">
        <f>IFERROR(__xludf.DUMMYFUNCTION("INDIRECT(""'收支紀錄'!N""&amp;TO_TEXT(ROW()-$C$72))"),"")</f>
        <v/>
      </c>
      <c r="O642" s="61" t="str">
        <f>IFERROR(__xludf.DUMMYFUNCTION("INDIRECT(""'收支紀錄'!O""&amp;TO_TEXT(ROW()-$C$72))"),"")</f>
        <v/>
      </c>
      <c r="P642" s="61" t="str">
        <f>IFERROR(__xludf.DUMMYFUNCTION("INDIRECT(""'收支紀錄'!P""&amp;TO_TEXT(ROW()-$C$72))"),"")</f>
        <v/>
      </c>
      <c r="Q642" s="61" t="str">
        <f>IFERROR(__xludf.DUMMYFUNCTION("INDIRECT(""'收支紀錄'!Q""&amp;TO_TEXT(ROW()-$C$72))"),"")</f>
        <v/>
      </c>
      <c r="R642" s="61" t="str">
        <f>IFERROR(__xludf.DUMMYFUNCTION("INDIRECT(""'收支紀錄'!R""&amp;TO_TEXT(ROW()-$C$72))"),"")</f>
        <v/>
      </c>
      <c r="S642" s="61" t="str">
        <f>IFERROR(__xludf.DUMMYFUNCTION("INDIRECT(""'收支紀錄'!S""&amp;TO_TEXT(ROW()-$C$72))"),"")</f>
        <v/>
      </c>
      <c r="T642" s="61" t="str">
        <f>IFERROR(__xludf.DUMMYFUNCTION("INDIRECT(""'收支紀錄'!T""&amp;TO_TEXT(ROW()-$C$72))"),"")</f>
        <v/>
      </c>
      <c r="U642" s="62" t="str">
        <f>IFERROR(__xludf.DUMMYFUNCTION("IF(T642=""是"",TEXTJOIN("""", TRUE, ""$"", TO_TEXT(C642), S642),"""")"),"")</f>
        <v/>
      </c>
    </row>
    <row r="643">
      <c r="A643" s="58">
        <f>IFERROR(__xludf.DUMMYFUNCTION("INDIRECT(""'收支紀錄'!A""&amp;TO_TEXT(ROW()-$C$72))"),45688.59319724537)</f>
        <v>45688.5932</v>
      </c>
      <c r="B643" s="59">
        <f>IFERROR(__xludf.DUMMYFUNCTION("IF(ISBLANK(D643), """", IF(ISDATE(D643), D643, IF(D643=""今天"", A643, IF(D643=""昨天 (-1 day)"", A643-1, IF(D643=""前天 (-2 days)"", A643-2, IF(D643=""明天 (+1 day)"", A643+1, DATE(LEFT(D643,4), MID(D643,5,2), RIGHT(D643,2))))))))"),45688.59319724537)</f>
        <v>45688.5932</v>
      </c>
      <c r="C643" s="60">
        <f>IFERROR(__xludf.DUMMYFUNCTION("INDIRECT(""'收支紀錄'!C""&amp;TO_TEXT(ROW()-$C$72))"),765.0)</f>
        <v>765</v>
      </c>
      <c r="D643" s="63" t="str">
        <f>IFERROR(__xludf.DUMMYFUNCTION("INDIRECT(""'收支紀錄'!D""&amp;TO_TEXT(ROW()-$C$72))"),"今天")</f>
        <v>今天</v>
      </c>
      <c r="E643" s="61" t="str">
        <f>IFERROR(__xludf.DUMMYFUNCTION("INDIRECT(""'收支紀錄'!E""&amp;TO_TEXT(ROW()-$C$72))"),"")</f>
        <v/>
      </c>
      <c r="F643" s="61" t="str">
        <f>IFERROR(__xludf.DUMMYFUNCTION("INDIRECT(""'收支紀錄'!F""&amp;TO_TEXT(ROW()-$C$72))"),"")</f>
        <v/>
      </c>
      <c r="G643" s="61" t="str">
        <f>IFERROR(__xludf.DUMMYFUNCTION("INDIRECT(""'收支紀錄'!G""&amp;TO_TEXT(ROW()-$C$72))"),"")</f>
        <v/>
      </c>
      <c r="H643" s="61" t="str">
        <f>IFERROR(__xludf.DUMMYFUNCTION("INDIRECT(""'收支紀錄'!H""&amp;TO_TEXT(ROW()-$C$72))"),"行車交通")</f>
        <v>行車交通</v>
      </c>
      <c r="I643" s="61" t="str">
        <f>IFERROR(__xludf.DUMMYFUNCTION("INDIRECT(""'收支紀錄'!I""&amp;TO_TEXT(ROW()-$C$72))"),"")</f>
        <v/>
      </c>
      <c r="J643" s="61" t="str">
        <f>IFERROR(__xludf.DUMMYFUNCTION("INDIRECT(""'收支紀錄'!J""&amp;TO_TEXT(ROW()-$C$72))"),"")</f>
        <v/>
      </c>
      <c r="K643" s="61" t="str">
        <f>IFERROR(__xludf.DUMMYFUNCTION("INDIRECT(""'收支紀錄'!K""&amp;TO_TEXT(ROW()-$C$72))"),"")</f>
        <v/>
      </c>
      <c r="L643" s="61" t="str">
        <f>IFERROR(__xludf.DUMMYFUNCTION("INDIRECT(""'收支紀錄'!L""&amp;TO_TEXT(ROW()-$C$72))"),"高鐵")</f>
        <v>高鐵</v>
      </c>
      <c r="M643" s="61" t="str">
        <f>IFERROR(__xludf.DUMMYFUNCTION("INDIRECT(""'收支紀錄'!M""&amp;TO_TEXT(ROW()-$C$72))"),"")</f>
        <v/>
      </c>
      <c r="N643" s="61" t="str">
        <f>IFERROR(__xludf.DUMMYFUNCTION("INDIRECT(""'收支紀錄'!N""&amp;TO_TEXT(ROW()-$C$72))"),"")</f>
        <v/>
      </c>
      <c r="O643" s="61" t="str">
        <f>IFERROR(__xludf.DUMMYFUNCTION("INDIRECT(""'收支紀錄'!O""&amp;TO_TEXT(ROW()-$C$72))"),"")</f>
        <v/>
      </c>
      <c r="P643" s="61" t="str">
        <f>IFERROR(__xludf.DUMMYFUNCTION("INDIRECT(""'收支紀錄'!P""&amp;TO_TEXT(ROW()-$C$72))"),"")</f>
        <v/>
      </c>
      <c r="Q643" s="61" t="str">
        <f>IFERROR(__xludf.DUMMYFUNCTION("INDIRECT(""'收支紀錄'!Q""&amp;TO_TEXT(ROW()-$C$72))"),"")</f>
        <v/>
      </c>
      <c r="R643" s="61" t="str">
        <f>IFERROR(__xludf.DUMMYFUNCTION("INDIRECT(""'收支紀錄'!R""&amp;TO_TEXT(ROW()-$C$72))"),"")</f>
        <v/>
      </c>
      <c r="S643" s="61" t="str">
        <f>IFERROR(__xludf.DUMMYFUNCTION("INDIRECT(""'收支紀錄'!S""&amp;TO_TEXT(ROW()-$C$72))"),"")</f>
        <v/>
      </c>
      <c r="T643" s="61" t="str">
        <f>IFERROR(__xludf.DUMMYFUNCTION("INDIRECT(""'收支紀錄'!T""&amp;TO_TEXT(ROW()-$C$72))"),"")</f>
        <v/>
      </c>
      <c r="U643" s="62" t="str">
        <f>IFERROR(__xludf.DUMMYFUNCTION("IF(T643=""是"",TEXTJOIN("""", TRUE, ""$"", TO_TEXT(C643), S643),"""")"),"")</f>
        <v/>
      </c>
    </row>
    <row r="644">
      <c r="A644" s="58">
        <f>IFERROR(__xludf.DUMMYFUNCTION("INDIRECT(""'收支紀錄'!A""&amp;TO_TEXT(ROW()-$C$72))"),45688.889369537035)</f>
        <v>45688.88937</v>
      </c>
      <c r="B644" s="59">
        <f>IFERROR(__xludf.DUMMYFUNCTION("IF(ISBLANK(D644), """", IF(ISDATE(D644), D644, IF(D644=""今天"", A644, IF(D644=""昨天 (-1 day)"", A644-1, IF(D644=""前天 (-2 days)"", A644-2, IF(D644=""明天 (+1 day)"", A644+1, DATE(LEFT(D644,4), MID(D644,5,2), RIGHT(D644,2))))))))"),45688.889369537035)</f>
        <v>45688.88937</v>
      </c>
      <c r="C644" s="60">
        <f>IFERROR(__xludf.DUMMYFUNCTION("INDIRECT(""'收支紀錄'!C""&amp;TO_TEXT(ROW()-$C$72))"),699.0)</f>
        <v>699</v>
      </c>
      <c r="D644" s="63" t="str">
        <f>IFERROR(__xludf.DUMMYFUNCTION("INDIRECT(""'收支紀錄'!D""&amp;TO_TEXT(ROW()-$C$72))"),"今天")</f>
        <v>今天</v>
      </c>
      <c r="E644" s="61" t="str">
        <f>IFERROR(__xludf.DUMMYFUNCTION("INDIRECT(""'收支紀錄'!E""&amp;TO_TEXT(ROW()-$C$72))"),"")</f>
        <v/>
      </c>
      <c r="F644" s="61" t="str">
        <f>IFERROR(__xludf.DUMMYFUNCTION("INDIRECT(""'收支紀錄'!F""&amp;TO_TEXT(ROW()-$C$72))"),"")</f>
        <v/>
      </c>
      <c r="G644" s="61" t="str">
        <f>IFERROR(__xludf.DUMMYFUNCTION("INDIRECT(""'收支紀錄'!G""&amp;TO_TEXT(ROW()-$C$72))"),"")</f>
        <v/>
      </c>
      <c r="H644" s="61" t="str">
        <f>IFERROR(__xludf.DUMMYFUNCTION("INDIRECT(""'收支紀錄'!H""&amp;TO_TEXT(ROW()-$C$72))"),"行車交通")</f>
        <v>行車交通</v>
      </c>
      <c r="I644" s="61" t="str">
        <f>IFERROR(__xludf.DUMMYFUNCTION("INDIRECT(""'收支紀錄'!I""&amp;TO_TEXT(ROW()-$C$72))"),"")</f>
        <v/>
      </c>
      <c r="J644" s="61" t="str">
        <f>IFERROR(__xludf.DUMMYFUNCTION("INDIRECT(""'收支紀錄'!J""&amp;TO_TEXT(ROW()-$C$72))"),"")</f>
        <v/>
      </c>
      <c r="K644" s="61" t="str">
        <f>IFERROR(__xludf.DUMMYFUNCTION("INDIRECT(""'收支紀錄'!K""&amp;TO_TEXT(ROW()-$C$72))"),"")</f>
        <v/>
      </c>
      <c r="L644" s="61" t="str">
        <f>IFERROR(__xludf.DUMMYFUNCTION("INDIRECT(""'收支紀錄'!L""&amp;TO_TEXT(ROW()-$C$72))"),"火車費")</f>
        <v>火車費</v>
      </c>
      <c r="M644" s="61" t="str">
        <f>IFERROR(__xludf.DUMMYFUNCTION("INDIRECT(""'收支紀錄'!M""&amp;TO_TEXT(ROW()-$C$72))"),"")</f>
        <v/>
      </c>
      <c r="N644" s="61" t="str">
        <f>IFERROR(__xludf.DUMMYFUNCTION("INDIRECT(""'收支紀錄'!N""&amp;TO_TEXT(ROW()-$C$72))"),"")</f>
        <v/>
      </c>
      <c r="O644" s="61" t="str">
        <f>IFERROR(__xludf.DUMMYFUNCTION("INDIRECT(""'收支紀錄'!O""&amp;TO_TEXT(ROW()-$C$72))"),"")</f>
        <v/>
      </c>
      <c r="P644" s="61" t="str">
        <f>IFERROR(__xludf.DUMMYFUNCTION("INDIRECT(""'收支紀錄'!P""&amp;TO_TEXT(ROW()-$C$72))"),"")</f>
        <v/>
      </c>
      <c r="Q644" s="61" t="str">
        <f>IFERROR(__xludf.DUMMYFUNCTION("INDIRECT(""'收支紀錄'!Q""&amp;TO_TEXT(ROW()-$C$72))"),"")</f>
        <v/>
      </c>
      <c r="R644" s="61" t="str">
        <f>IFERROR(__xludf.DUMMYFUNCTION("INDIRECT(""'收支紀錄'!R""&amp;TO_TEXT(ROW()-$C$72))"),"")</f>
        <v/>
      </c>
      <c r="S644" s="61" t="str">
        <f>IFERROR(__xludf.DUMMYFUNCTION("INDIRECT(""'收支紀錄'!S""&amp;TO_TEXT(ROW()-$C$72))"),"")</f>
        <v/>
      </c>
      <c r="T644" s="61" t="str">
        <f>IFERROR(__xludf.DUMMYFUNCTION("INDIRECT(""'收支紀錄'!T""&amp;TO_TEXT(ROW()-$C$72))"),"")</f>
        <v/>
      </c>
      <c r="U644" s="62" t="str">
        <f>IFERROR(__xludf.DUMMYFUNCTION("IF(T644=""是"",TEXTJOIN("""", TRUE, ""$"", TO_TEXT(C644), S644),"""")"),"")</f>
        <v/>
      </c>
    </row>
    <row r="645">
      <c r="A645" s="58">
        <f>IFERROR(__xludf.DUMMYFUNCTION("INDIRECT(""'收支紀錄'!A""&amp;TO_TEXT(ROW()-$C$72))"),45690.318496886575)</f>
        <v>45690.3185</v>
      </c>
      <c r="B645" s="59">
        <f>IFERROR(__xludf.DUMMYFUNCTION("IF(ISBLANK(D645), """", IF(ISDATE(D645), D645, IF(D645=""今天"", A645, IF(D645=""昨天 (-1 day)"", A645-1, IF(D645=""前天 (-2 days)"", A645-2, IF(D645=""明天 (+1 day)"", A645+1, DATE(LEFT(D645,4), MID(D645,5,2), RIGHT(D645,2))))))))"),45690.318496886575)</f>
        <v>45690.3185</v>
      </c>
      <c r="C645" s="60">
        <f>IFERROR(__xludf.DUMMYFUNCTION("INDIRECT(""'收支紀錄'!C""&amp;TO_TEXT(ROW()-$C$72))"),2588.0)</f>
        <v>2588</v>
      </c>
      <c r="D645" s="63" t="str">
        <f>IFERROR(__xludf.DUMMYFUNCTION("INDIRECT(""'收支紀錄'!D""&amp;TO_TEXT(ROW()-$C$72))"),"今天")</f>
        <v>今天</v>
      </c>
      <c r="E645" s="61" t="str">
        <f>IFERROR(__xludf.DUMMYFUNCTION("INDIRECT(""'收支紀錄'!E""&amp;TO_TEXT(ROW()-$C$72))"),"")</f>
        <v/>
      </c>
      <c r="F645" s="61" t="str">
        <f>IFERROR(__xludf.DUMMYFUNCTION("INDIRECT(""'收支紀錄'!F""&amp;TO_TEXT(ROW()-$C$72))"),"")</f>
        <v/>
      </c>
      <c r="G645" s="61" t="str">
        <f>IFERROR(__xludf.DUMMYFUNCTION("INDIRECT(""'收支紀錄'!G""&amp;TO_TEXT(ROW()-$C$72))"),"")</f>
        <v/>
      </c>
      <c r="H645" s="61" t="str">
        <f>IFERROR(__xludf.DUMMYFUNCTION("INDIRECT(""'收支紀錄'!H""&amp;TO_TEXT(ROW()-$C$72))"),"休閒娛樂")</f>
        <v>休閒娛樂</v>
      </c>
      <c r="I645" s="61" t="str">
        <f>IFERROR(__xludf.DUMMYFUNCTION("INDIRECT(""'收支紀錄'!I""&amp;TO_TEXT(ROW()-$C$72))"),"")</f>
        <v/>
      </c>
      <c r="J645" s="61" t="str">
        <f>IFERROR(__xludf.DUMMYFUNCTION("INDIRECT(""'收支紀錄'!J""&amp;TO_TEXT(ROW()-$C$72))"),"")</f>
        <v/>
      </c>
      <c r="K645" s="61" t="str">
        <f>IFERROR(__xludf.DUMMYFUNCTION("INDIRECT(""'收支紀錄'!K""&amp;TO_TEXT(ROW()-$C$72))"),"")</f>
        <v/>
      </c>
      <c r="L645" s="61" t="str">
        <f>IFERROR(__xludf.DUMMYFUNCTION("INDIRECT(""'收支紀錄'!L""&amp;TO_TEXT(ROW()-$C$72))"),"")</f>
        <v/>
      </c>
      <c r="M645" s="61" t="str">
        <f>IFERROR(__xludf.DUMMYFUNCTION("INDIRECT(""'收支紀錄'!M""&amp;TO_TEXT(ROW()-$C$72))"),"奢侈敗家")</f>
        <v>奢侈敗家</v>
      </c>
      <c r="N645" s="61" t="str">
        <f>IFERROR(__xludf.DUMMYFUNCTION("INDIRECT(""'收支紀錄'!N""&amp;TO_TEXT(ROW()-$C$72))"),"")</f>
        <v/>
      </c>
      <c r="O645" s="61" t="str">
        <f>IFERROR(__xludf.DUMMYFUNCTION("INDIRECT(""'收支紀錄'!O""&amp;TO_TEXT(ROW()-$C$72))"),"")</f>
        <v/>
      </c>
      <c r="P645" s="61" t="str">
        <f>IFERROR(__xludf.DUMMYFUNCTION("INDIRECT(""'收支紀錄'!P""&amp;TO_TEXT(ROW()-$C$72))"),"")</f>
        <v/>
      </c>
      <c r="Q645" s="61" t="str">
        <f>IFERROR(__xludf.DUMMYFUNCTION("INDIRECT(""'收支紀錄'!Q""&amp;TO_TEXT(ROW()-$C$72))"),"")</f>
        <v/>
      </c>
      <c r="R645" s="61" t="str">
        <f>IFERROR(__xludf.DUMMYFUNCTION("INDIRECT(""'收支紀錄'!R""&amp;TO_TEXT(ROW()-$C$72))"),"")</f>
        <v/>
      </c>
      <c r="S645" s="61" t="str">
        <f>IFERROR(__xludf.DUMMYFUNCTION("INDIRECT(""'收支紀錄'!S""&amp;TO_TEXT(ROW()-$C$72))"),"公司遺失記憶體（蝦皮）")</f>
        <v>公司遺失記憶體（蝦皮）</v>
      </c>
      <c r="T645" s="61" t="str">
        <f>IFERROR(__xludf.DUMMYFUNCTION("INDIRECT(""'收支紀錄'!T""&amp;TO_TEXT(ROW()-$C$72))"),"")</f>
        <v/>
      </c>
      <c r="U645" s="62" t="str">
        <f>IFERROR(__xludf.DUMMYFUNCTION("IF(T645=""是"",TEXTJOIN("""", TRUE, ""$"", TO_TEXT(C645), S645),"""")"),"")</f>
        <v/>
      </c>
    </row>
    <row r="646">
      <c r="A646" s="58">
        <f>IFERROR(__xludf.DUMMYFUNCTION("INDIRECT(""'收支紀錄'!A""&amp;TO_TEXT(ROW()-$C$72))"),45690.31907868056)</f>
        <v>45690.31908</v>
      </c>
      <c r="B646" s="59">
        <f>IFERROR(__xludf.DUMMYFUNCTION("IF(ISBLANK(D646), """", IF(ISDATE(D646), D646, IF(D646=""今天"", A646, IF(D646=""昨天 (-1 day)"", A646-1, IF(D646=""前天 (-2 days)"", A646-2, IF(D646=""明天 (+1 day)"", A646+1, DATE(LEFT(D646,4), MID(D646,5,2), RIGHT(D646,2))))))))"),45689.31907868056)</f>
        <v>45689.31908</v>
      </c>
      <c r="C646" s="60">
        <f>IFERROR(__xludf.DUMMYFUNCTION("INDIRECT(""'收支紀錄'!C""&amp;TO_TEXT(ROW()-$C$72))"),589.0)</f>
        <v>589</v>
      </c>
      <c r="D646" s="63" t="str">
        <f>IFERROR(__xludf.DUMMYFUNCTION("INDIRECT(""'收支紀錄'!D""&amp;TO_TEXT(ROW()-$C$72))"),"昨天 (-1 day)")</f>
        <v>昨天 (-1 day)</v>
      </c>
      <c r="E646" s="61" t="str">
        <f>IFERROR(__xludf.DUMMYFUNCTION("INDIRECT(""'收支紀錄'!E""&amp;TO_TEXT(ROW()-$C$72))"),"")</f>
        <v/>
      </c>
      <c r="F646" s="61" t="str">
        <f>IFERROR(__xludf.DUMMYFUNCTION("INDIRECT(""'收支紀錄'!F""&amp;TO_TEXT(ROW()-$C$72))"),"")</f>
        <v/>
      </c>
      <c r="G646" s="61" t="str">
        <f>IFERROR(__xludf.DUMMYFUNCTION("INDIRECT(""'收支紀錄'!G""&amp;TO_TEXT(ROW()-$C$72))"),"")</f>
        <v/>
      </c>
      <c r="H646" s="61" t="str">
        <f>IFERROR(__xludf.DUMMYFUNCTION("INDIRECT(""'收支紀錄'!H""&amp;TO_TEXT(ROW()-$C$72))"),"行車交通")</f>
        <v>行車交通</v>
      </c>
      <c r="I646" s="61" t="str">
        <f>IFERROR(__xludf.DUMMYFUNCTION("INDIRECT(""'收支紀錄'!I""&amp;TO_TEXT(ROW()-$C$72))"),"")</f>
        <v/>
      </c>
      <c r="J646" s="61" t="str">
        <f>IFERROR(__xludf.DUMMYFUNCTION("INDIRECT(""'收支紀錄'!J""&amp;TO_TEXT(ROW()-$C$72))"),"")</f>
        <v/>
      </c>
      <c r="K646" s="61" t="str">
        <f>IFERROR(__xludf.DUMMYFUNCTION("INDIRECT(""'收支紀錄'!K""&amp;TO_TEXT(ROW()-$C$72))"),"")</f>
        <v/>
      </c>
      <c r="L646" s="61" t="str">
        <f>IFERROR(__xludf.DUMMYFUNCTION("INDIRECT(""'收支紀錄'!L""&amp;TO_TEXT(ROW()-$C$72))"),"加油")</f>
        <v>加油</v>
      </c>
      <c r="M646" s="61" t="str">
        <f>IFERROR(__xludf.DUMMYFUNCTION("INDIRECT(""'收支紀錄'!M""&amp;TO_TEXT(ROW()-$C$72))"),"")</f>
        <v/>
      </c>
      <c r="N646" s="61" t="str">
        <f>IFERROR(__xludf.DUMMYFUNCTION("INDIRECT(""'收支紀錄'!N""&amp;TO_TEXT(ROW()-$C$72))"),"")</f>
        <v/>
      </c>
      <c r="O646" s="61" t="str">
        <f>IFERROR(__xludf.DUMMYFUNCTION("INDIRECT(""'收支紀錄'!O""&amp;TO_TEXT(ROW()-$C$72))"),"")</f>
        <v/>
      </c>
      <c r="P646" s="61" t="str">
        <f>IFERROR(__xludf.DUMMYFUNCTION("INDIRECT(""'收支紀錄'!P""&amp;TO_TEXT(ROW()-$C$72))"),"")</f>
        <v/>
      </c>
      <c r="Q646" s="61" t="str">
        <f>IFERROR(__xludf.DUMMYFUNCTION("INDIRECT(""'收支紀錄'!Q""&amp;TO_TEXT(ROW()-$C$72))"),"")</f>
        <v/>
      </c>
      <c r="R646" s="61" t="str">
        <f>IFERROR(__xludf.DUMMYFUNCTION("INDIRECT(""'收支紀錄'!R""&amp;TO_TEXT(ROW()-$C$72))"),"")</f>
        <v/>
      </c>
      <c r="S646" s="61" t="str">
        <f>IFERROR(__xludf.DUMMYFUNCTION("INDIRECT(""'收支紀錄'!S""&amp;TO_TEXT(ROW()-$C$72))"),"")</f>
        <v/>
      </c>
      <c r="T646" s="61" t="str">
        <f>IFERROR(__xludf.DUMMYFUNCTION("INDIRECT(""'收支紀錄'!T""&amp;TO_TEXT(ROW()-$C$72))"),"")</f>
        <v/>
      </c>
      <c r="U646" s="62" t="str">
        <f>IFERROR(__xludf.DUMMYFUNCTION("IF(T646=""是"",TEXTJOIN("""", TRUE, ""$"", TO_TEXT(C646), S646),"""")"),"")</f>
        <v/>
      </c>
    </row>
    <row r="647">
      <c r="A647" s="58">
        <f>IFERROR(__xludf.DUMMYFUNCTION("INDIRECT(""'收支紀錄'!A""&amp;TO_TEXT(ROW()-$C$72))"),45690.42056579861)</f>
        <v>45690.42057</v>
      </c>
      <c r="B647" s="59">
        <f>IFERROR(__xludf.DUMMYFUNCTION("IF(ISBLANK(D647), """", IF(ISDATE(D647), D647, IF(D647=""今天"", A647, IF(D647=""昨天 (-1 day)"", A647-1, IF(D647=""前天 (-2 days)"", A647-2, IF(D647=""明天 (+1 day)"", A647+1, DATE(LEFT(D647,4), MID(D647,5,2), RIGHT(D647,2))))))))"),45689.42056579861)</f>
        <v>45689.42057</v>
      </c>
      <c r="C647" s="60">
        <f>IFERROR(__xludf.DUMMYFUNCTION("INDIRECT(""'收支紀錄'!C""&amp;TO_TEXT(ROW()-$C$72))"),45.0)</f>
        <v>45</v>
      </c>
      <c r="D647" s="63" t="str">
        <f>IFERROR(__xludf.DUMMYFUNCTION("INDIRECT(""'收支紀錄'!D""&amp;TO_TEXT(ROW()-$C$72))"),"昨天 (-1 day)")</f>
        <v>昨天 (-1 day)</v>
      </c>
      <c r="E647" s="61" t="str">
        <f>IFERROR(__xludf.DUMMYFUNCTION("INDIRECT(""'收支紀錄'!E""&amp;TO_TEXT(ROW()-$C$72))"),"")</f>
        <v/>
      </c>
      <c r="F647" s="61" t="str">
        <f>IFERROR(__xludf.DUMMYFUNCTION("INDIRECT(""'收支紀錄'!F""&amp;TO_TEXT(ROW()-$C$72))"),"")</f>
        <v/>
      </c>
      <c r="G647" s="61" t="str">
        <f>IFERROR(__xludf.DUMMYFUNCTION("INDIRECT(""'收支紀錄'!G""&amp;TO_TEXT(ROW()-$C$72))"),"")</f>
        <v/>
      </c>
      <c r="H647" s="61" t="str">
        <f>IFERROR(__xludf.DUMMYFUNCTION("INDIRECT(""'收支紀錄'!H""&amp;TO_TEXT(ROW()-$C$72))"),"食品酒水")</f>
        <v>食品酒水</v>
      </c>
      <c r="I647" s="61" t="str">
        <f>IFERROR(__xludf.DUMMYFUNCTION("INDIRECT(""'收支紀錄'!I""&amp;TO_TEXT(ROW()-$C$72))"),"飲料酒水")</f>
        <v>飲料酒水</v>
      </c>
      <c r="J647" s="61" t="str">
        <f>IFERROR(__xludf.DUMMYFUNCTION("INDIRECT(""'收支紀錄'!J""&amp;TO_TEXT(ROW()-$C$72))"),"")</f>
        <v/>
      </c>
      <c r="K647" s="61" t="str">
        <f>IFERROR(__xludf.DUMMYFUNCTION("INDIRECT(""'收支紀錄'!K""&amp;TO_TEXT(ROW()-$C$72))"),"")</f>
        <v/>
      </c>
      <c r="L647" s="61" t="str">
        <f>IFERROR(__xludf.DUMMYFUNCTION("INDIRECT(""'收支紀錄'!L""&amp;TO_TEXT(ROW()-$C$72))"),"")</f>
        <v/>
      </c>
      <c r="M647" s="61" t="str">
        <f>IFERROR(__xludf.DUMMYFUNCTION("INDIRECT(""'收支紀錄'!M""&amp;TO_TEXT(ROW()-$C$72))"),"")</f>
        <v/>
      </c>
      <c r="N647" s="61" t="str">
        <f>IFERROR(__xludf.DUMMYFUNCTION("INDIRECT(""'收支紀錄'!N""&amp;TO_TEXT(ROW()-$C$72))"),"")</f>
        <v/>
      </c>
      <c r="O647" s="61" t="str">
        <f>IFERROR(__xludf.DUMMYFUNCTION("INDIRECT(""'收支紀錄'!O""&amp;TO_TEXT(ROW()-$C$72))"),"")</f>
        <v/>
      </c>
      <c r="P647" s="61" t="str">
        <f>IFERROR(__xludf.DUMMYFUNCTION("INDIRECT(""'收支紀錄'!P""&amp;TO_TEXT(ROW()-$C$72))"),"")</f>
        <v/>
      </c>
      <c r="Q647" s="61" t="str">
        <f>IFERROR(__xludf.DUMMYFUNCTION("INDIRECT(""'收支紀錄'!Q""&amp;TO_TEXT(ROW()-$C$72))"),"")</f>
        <v/>
      </c>
      <c r="R647" s="61" t="str">
        <f>IFERROR(__xludf.DUMMYFUNCTION("INDIRECT(""'收支紀錄'!R""&amp;TO_TEXT(ROW()-$C$72))"),"")</f>
        <v/>
      </c>
      <c r="S647" s="61" t="str">
        <f>IFERROR(__xludf.DUMMYFUNCTION("INDIRECT(""'收支紀錄'!S""&amp;TO_TEXT(ROW()-$C$72))"),"")</f>
        <v/>
      </c>
      <c r="T647" s="61" t="str">
        <f>IFERROR(__xludf.DUMMYFUNCTION("INDIRECT(""'收支紀錄'!T""&amp;TO_TEXT(ROW()-$C$72))"),"")</f>
        <v/>
      </c>
      <c r="U647" s="62" t="str">
        <f>IFERROR(__xludf.DUMMYFUNCTION("IF(T647=""是"",TEXTJOIN("""", TRUE, ""$"", TO_TEXT(C647), S647),"""")"),"")</f>
        <v/>
      </c>
    </row>
    <row r="648">
      <c r="A648" s="58">
        <f>IFERROR(__xludf.DUMMYFUNCTION("INDIRECT(""'收支紀錄'!A""&amp;TO_TEXT(ROW()-$C$72))"),45690.45082744213)</f>
        <v>45690.45083</v>
      </c>
      <c r="B648" s="59">
        <f>IFERROR(__xludf.DUMMYFUNCTION("IF(ISBLANK(D648), """", IF(ISDATE(D648), D648, IF(D648=""今天"", A648, IF(D648=""昨天 (-1 day)"", A648-1, IF(D648=""前天 (-2 days)"", A648-2, IF(D648=""明天 (+1 day)"", A648+1, DATE(LEFT(D648,4), MID(D648,5,2), RIGHT(D648,2))))))))"),45690.45082744213)</f>
        <v>45690.45083</v>
      </c>
      <c r="C648" s="60">
        <f>IFERROR(__xludf.DUMMYFUNCTION("INDIRECT(""'收支紀錄'!C""&amp;TO_TEXT(ROW()-$C$72))"),915.0)</f>
        <v>915</v>
      </c>
      <c r="D648" s="63" t="str">
        <f>IFERROR(__xludf.DUMMYFUNCTION("INDIRECT(""'收支紀錄'!D""&amp;TO_TEXT(ROW()-$C$72))"),"今天")</f>
        <v>今天</v>
      </c>
      <c r="E648" s="61" t="str">
        <f>IFERROR(__xludf.DUMMYFUNCTION("INDIRECT(""'收支紀錄'!E""&amp;TO_TEXT(ROW()-$C$72))"),"")</f>
        <v/>
      </c>
      <c r="F648" s="61" t="str">
        <f>IFERROR(__xludf.DUMMYFUNCTION("INDIRECT(""'收支紀錄'!F""&amp;TO_TEXT(ROW()-$C$72))"),"")</f>
        <v/>
      </c>
      <c r="G648" s="61" t="str">
        <f>IFERROR(__xludf.DUMMYFUNCTION("INDIRECT(""'收支紀錄'!G""&amp;TO_TEXT(ROW()-$C$72))"),"")</f>
        <v/>
      </c>
      <c r="H648" s="61" t="str">
        <f>IFERROR(__xludf.DUMMYFUNCTION("INDIRECT(""'收支紀錄'!H""&amp;TO_TEXT(ROW()-$C$72))"),"食品酒水")</f>
        <v>食品酒水</v>
      </c>
      <c r="I648" s="61" t="str">
        <f>IFERROR(__xludf.DUMMYFUNCTION("INDIRECT(""'收支紀錄'!I""&amp;TO_TEXT(ROW()-$C$72))"),"食材")</f>
        <v>食材</v>
      </c>
      <c r="J648" s="61" t="str">
        <f>IFERROR(__xludf.DUMMYFUNCTION("INDIRECT(""'收支紀錄'!J""&amp;TO_TEXT(ROW()-$C$72))"),"")</f>
        <v/>
      </c>
      <c r="K648" s="61" t="str">
        <f>IFERROR(__xludf.DUMMYFUNCTION("INDIRECT(""'收支紀錄'!K""&amp;TO_TEXT(ROW()-$C$72))"),"")</f>
        <v/>
      </c>
      <c r="L648" s="61" t="str">
        <f>IFERROR(__xludf.DUMMYFUNCTION("INDIRECT(""'收支紀錄'!L""&amp;TO_TEXT(ROW()-$C$72))"),"")</f>
        <v/>
      </c>
      <c r="M648" s="61" t="str">
        <f>IFERROR(__xludf.DUMMYFUNCTION("INDIRECT(""'收支紀錄'!M""&amp;TO_TEXT(ROW()-$C$72))"),"")</f>
        <v/>
      </c>
      <c r="N648" s="61" t="str">
        <f>IFERROR(__xludf.DUMMYFUNCTION("INDIRECT(""'收支紀錄'!N""&amp;TO_TEXT(ROW()-$C$72))"),"")</f>
        <v/>
      </c>
      <c r="O648" s="61" t="str">
        <f>IFERROR(__xludf.DUMMYFUNCTION("INDIRECT(""'收支紀錄'!O""&amp;TO_TEXT(ROW()-$C$72))"),"")</f>
        <v/>
      </c>
      <c r="P648" s="61" t="str">
        <f>IFERROR(__xludf.DUMMYFUNCTION("INDIRECT(""'收支紀錄'!P""&amp;TO_TEXT(ROW()-$C$72))"),"")</f>
        <v/>
      </c>
      <c r="Q648" s="61" t="str">
        <f>IFERROR(__xludf.DUMMYFUNCTION("INDIRECT(""'收支紀錄'!Q""&amp;TO_TEXT(ROW()-$C$72))"),"")</f>
        <v/>
      </c>
      <c r="R648" s="61" t="str">
        <f>IFERROR(__xludf.DUMMYFUNCTION("INDIRECT(""'收支紀錄'!R""&amp;TO_TEXT(ROW()-$C$72))"),"")</f>
        <v/>
      </c>
      <c r="S648" s="61" t="str">
        <f>IFERROR(__xludf.DUMMYFUNCTION("INDIRECT(""'收支紀錄'!S""&amp;TO_TEXT(ROW()-$C$72))"),"")</f>
        <v/>
      </c>
      <c r="T648" s="61" t="str">
        <f>IFERROR(__xludf.DUMMYFUNCTION("INDIRECT(""'收支紀錄'!T""&amp;TO_TEXT(ROW()-$C$72))"),"")</f>
        <v/>
      </c>
      <c r="U648" s="62" t="str">
        <f>IFERROR(__xludf.DUMMYFUNCTION("IF(T648=""是"",TEXTJOIN("""", TRUE, ""$"", TO_TEXT(C648), S648),"""")"),"")</f>
        <v/>
      </c>
    </row>
    <row r="649">
      <c r="A649" s="58">
        <f>IFERROR(__xludf.DUMMYFUNCTION("INDIRECT(""'收支紀錄'!A""&amp;TO_TEXT(ROW()-$C$72))"),45690.721462500005)</f>
        <v>45690.72146</v>
      </c>
      <c r="B649" s="59">
        <f>IFERROR(__xludf.DUMMYFUNCTION("IF(ISBLANK(D649), """", IF(ISDATE(D649), D649, IF(D649=""今天"", A649, IF(D649=""昨天 (-1 day)"", A649-1, IF(D649=""前天 (-2 days)"", A649-2, IF(D649=""明天 (+1 day)"", A649+1, DATE(LEFT(D649,4), MID(D649,5,2), RIGHT(D649,2))))))))"),45690.721462500005)</f>
        <v>45690.72146</v>
      </c>
      <c r="C649" s="60">
        <f>IFERROR(__xludf.DUMMYFUNCTION("INDIRECT(""'收支紀錄'!C""&amp;TO_TEXT(ROW()-$C$72))"),272.0)</f>
        <v>272</v>
      </c>
      <c r="D649" s="63" t="str">
        <f>IFERROR(__xludf.DUMMYFUNCTION("INDIRECT(""'收支紀錄'!D""&amp;TO_TEXT(ROW()-$C$72))"),"今天")</f>
        <v>今天</v>
      </c>
      <c r="E649" s="61" t="str">
        <f>IFERROR(__xludf.DUMMYFUNCTION("INDIRECT(""'收支紀錄'!E""&amp;TO_TEXT(ROW()-$C$72))"),"")</f>
        <v/>
      </c>
      <c r="F649" s="61" t="str">
        <f>IFERROR(__xludf.DUMMYFUNCTION("INDIRECT(""'收支紀錄'!F""&amp;TO_TEXT(ROW()-$C$72))"),"")</f>
        <v/>
      </c>
      <c r="G649" s="61" t="str">
        <f>IFERROR(__xludf.DUMMYFUNCTION("INDIRECT(""'收支紀錄'!G""&amp;TO_TEXT(ROW()-$C$72))"),"")</f>
        <v/>
      </c>
      <c r="H649" s="61" t="str">
        <f>IFERROR(__xludf.DUMMYFUNCTION("INDIRECT(""'收支紀錄'!H""&amp;TO_TEXT(ROW()-$C$72))"),"食品酒水")</f>
        <v>食品酒水</v>
      </c>
      <c r="I649" s="61" t="str">
        <f>IFERROR(__xludf.DUMMYFUNCTION("INDIRECT(""'收支紀錄'!I""&amp;TO_TEXT(ROW()-$C$72))"),"晚餐")</f>
        <v>晚餐</v>
      </c>
      <c r="J649" s="61" t="str">
        <f>IFERROR(__xludf.DUMMYFUNCTION("INDIRECT(""'收支紀錄'!J""&amp;TO_TEXT(ROW()-$C$72))"),"")</f>
        <v/>
      </c>
      <c r="K649" s="61" t="str">
        <f>IFERROR(__xludf.DUMMYFUNCTION("INDIRECT(""'收支紀錄'!K""&amp;TO_TEXT(ROW()-$C$72))"),"")</f>
        <v/>
      </c>
      <c r="L649" s="61" t="str">
        <f>IFERROR(__xludf.DUMMYFUNCTION("INDIRECT(""'收支紀錄'!L""&amp;TO_TEXT(ROW()-$C$72))"),"")</f>
        <v/>
      </c>
      <c r="M649" s="61" t="str">
        <f>IFERROR(__xludf.DUMMYFUNCTION("INDIRECT(""'收支紀錄'!M""&amp;TO_TEXT(ROW()-$C$72))"),"")</f>
        <v/>
      </c>
      <c r="N649" s="61" t="str">
        <f>IFERROR(__xludf.DUMMYFUNCTION("INDIRECT(""'收支紀錄'!N""&amp;TO_TEXT(ROW()-$C$72))"),"")</f>
        <v/>
      </c>
      <c r="O649" s="61" t="str">
        <f>IFERROR(__xludf.DUMMYFUNCTION("INDIRECT(""'收支紀錄'!O""&amp;TO_TEXT(ROW()-$C$72))"),"")</f>
        <v/>
      </c>
      <c r="P649" s="61" t="str">
        <f>IFERROR(__xludf.DUMMYFUNCTION("INDIRECT(""'收支紀錄'!P""&amp;TO_TEXT(ROW()-$C$72))"),"")</f>
        <v/>
      </c>
      <c r="Q649" s="61" t="str">
        <f>IFERROR(__xludf.DUMMYFUNCTION("INDIRECT(""'收支紀錄'!Q""&amp;TO_TEXT(ROW()-$C$72))"),"")</f>
        <v/>
      </c>
      <c r="R649" s="61" t="str">
        <f>IFERROR(__xludf.DUMMYFUNCTION("INDIRECT(""'收支紀錄'!R""&amp;TO_TEXT(ROW()-$C$72))"),"")</f>
        <v/>
      </c>
      <c r="S649" s="61" t="str">
        <f>IFERROR(__xludf.DUMMYFUNCTION("INDIRECT(""'收支紀錄'!S""&amp;TO_TEXT(ROW()-$C$72))"),"")</f>
        <v/>
      </c>
      <c r="T649" s="61" t="str">
        <f>IFERROR(__xludf.DUMMYFUNCTION("INDIRECT(""'收支紀錄'!T""&amp;TO_TEXT(ROW()-$C$72))"),"")</f>
        <v/>
      </c>
      <c r="U649" s="62" t="str">
        <f>IFERROR(__xludf.DUMMYFUNCTION("IF(T649=""是"",TEXTJOIN("""", TRUE, ""$"", TO_TEXT(C649), S649),"""")"),"")</f>
        <v/>
      </c>
    </row>
    <row r="650">
      <c r="A650" s="58">
        <f>IFERROR(__xludf.DUMMYFUNCTION("INDIRECT(""'收支紀錄'!A""&amp;TO_TEXT(ROW()-$C$72))"),45691.86229752315)</f>
        <v>45691.8623</v>
      </c>
      <c r="B650" s="59">
        <f>IFERROR(__xludf.DUMMYFUNCTION("IF(ISBLANK(D650), """", IF(ISDATE(D650), D650, IF(D650=""今天"", A650, IF(D650=""昨天 (-1 day)"", A650-1, IF(D650=""前天 (-2 days)"", A650-2, IF(D650=""明天 (+1 day)"", A650+1, DATE(LEFT(D650,4), MID(D650,5,2), RIGHT(D650,2))))))))"),45691.86229752315)</f>
        <v>45691.8623</v>
      </c>
      <c r="C650" s="60">
        <f>IFERROR(__xludf.DUMMYFUNCTION("INDIRECT(""'收支紀錄'!C""&amp;TO_TEXT(ROW()-$C$72))"),5000.0)</f>
        <v>5000</v>
      </c>
      <c r="D650" s="63" t="str">
        <f>IFERROR(__xludf.DUMMYFUNCTION("INDIRECT(""'收支紀錄'!D""&amp;TO_TEXT(ROW()-$C$72))"),"今天")</f>
        <v>今天</v>
      </c>
      <c r="E650" s="61" t="str">
        <f>IFERROR(__xludf.DUMMYFUNCTION("INDIRECT(""'收支紀錄'!E""&amp;TO_TEXT(ROW()-$C$72))"),"其他業外")</f>
        <v>其他業外</v>
      </c>
      <c r="F650" s="61" t="str">
        <f>IFERROR(__xludf.DUMMYFUNCTION("INDIRECT(""'收支紀錄'!F""&amp;TO_TEXT(ROW()-$C$72))"),"")</f>
        <v/>
      </c>
      <c r="G650" s="61" t="str">
        <f>IFERROR(__xludf.DUMMYFUNCTION("INDIRECT(""'收支紀錄'!G""&amp;TO_TEXT(ROW()-$C$72))"),"房屋補貼")</f>
        <v>房屋補貼</v>
      </c>
      <c r="H650" s="61" t="str">
        <f>IFERROR(__xludf.DUMMYFUNCTION("INDIRECT(""'收支紀錄'!H""&amp;TO_TEXT(ROW()-$C$72))"),"")</f>
        <v/>
      </c>
      <c r="I650" s="61" t="str">
        <f>IFERROR(__xludf.DUMMYFUNCTION("INDIRECT(""'收支紀錄'!I""&amp;TO_TEXT(ROW()-$C$72))"),"")</f>
        <v/>
      </c>
      <c r="J650" s="61" t="str">
        <f>IFERROR(__xludf.DUMMYFUNCTION("INDIRECT(""'收支紀錄'!J""&amp;TO_TEXT(ROW()-$C$72))"),"")</f>
        <v/>
      </c>
      <c r="K650" s="61" t="str">
        <f>IFERROR(__xludf.DUMMYFUNCTION("INDIRECT(""'收支紀錄'!K""&amp;TO_TEXT(ROW()-$C$72))"),"")</f>
        <v/>
      </c>
      <c r="L650" s="61" t="str">
        <f>IFERROR(__xludf.DUMMYFUNCTION("INDIRECT(""'收支紀錄'!L""&amp;TO_TEXT(ROW()-$C$72))"),"")</f>
        <v/>
      </c>
      <c r="M650" s="61" t="str">
        <f>IFERROR(__xludf.DUMMYFUNCTION("INDIRECT(""'收支紀錄'!M""&amp;TO_TEXT(ROW()-$C$72))"),"")</f>
        <v/>
      </c>
      <c r="N650" s="61" t="str">
        <f>IFERROR(__xludf.DUMMYFUNCTION("INDIRECT(""'收支紀錄'!N""&amp;TO_TEXT(ROW()-$C$72))"),"")</f>
        <v/>
      </c>
      <c r="O650" s="61" t="str">
        <f>IFERROR(__xludf.DUMMYFUNCTION("INDIRECT(""'收支紀錄'!O""&amp;TO_TEXT(ROW()-$C$72))"),"")</f>
        <v/>
      </c>
      <c r="P650" s="61" t="str">
        <f>IFERROR(__xludf.DUMMYFUNCTION("INDIRECT(""'收支紀錄'!P""&amp;TO_TEXT(ROW()-$C$72))"),"")</f>
        <v/>
      </c>
      <c r="Q650" s="61" t="str">
        <f>IFERROR(__xludf.DUMMYFUNCTION("INDIRECT(""'收支紀錄'!Q""&amp;TO_TEXT(ROW()-$C$72))"),"")</f>
        <v/>
      </c>
      <c r="R650" s="61" t="str">
        <f>IFERROR(__xludf.DUMMYFUNCTION("INDIRECT(""'收支紀錄'!R""&amp;TO_TEXT(ROW()-$C$72))"),"")</f>
        <v/>
      </c>
      <c r="S650" s="61" t="str">
        <f>IFERROR(__xludf.DUMMYFUNCTION("INDIRECT(""'收支紀錄'!S""&amp;TO_TEXT(ROW()-$C$72))"),"")</f>
        <v/>
      </c>
      <c r="T650" s="61" t="str">
        <f>IFERROR(__xludf.DUMMYFUNCTION("INDIRECT(""'收支紀錄'!T""&amp;TO_TEXT(ROW()-$C$72))"),"")</f>
        <v/>
      </c>
      <c r="U650" s="62" t="str">
        <f>IFERROR(__xludf.DUMMYFUNCTION("IF(T650=""是"",TEXTJOIN("""", TRUE, ""$"", TO_TEXT(C650), S650),"""")"),"")</f>
        <v/>
      </c>
    </row>
    <row r="651">
      <c r="A651" s="58">
        <f>IFERROR(__xludf.DUMMYFUNCTION("INDIRECT(""'收支紀錄'!A""&amp;TO_TEXT(ROW()-$C$72))"),45693.82624296296)</f>
        <v>45693.82624</v>
      </c>
      <c r="B651" s="59">
        <f>IFERROR(__xludf.DUMMYFUNCTION("IF(ISBLANK(D651), """", IF(ISDATE(D651), D651, IF(D651=""今天"", A651, IF(D651=""昨天 (-1 day)"", A651-1, IF(D651=""前天 (-2 days)"", A651-2, IF(D651=""明天 (+1 day)"", A651+1, DATE(LEFT(D651,4), MID(D651,5,2), RIGHT(D651,2))))))))"),45692.82624296296)</f>
        <v>45692.82624</v>
      </c>
      <c r="C651" s="60">
        <f>IFERROR(__xludf.DUMMYFUNCTION("INDIRECT(""'收支紀錄'!C""&amp;TO_TEXT(ROW()-$C$72))"),500.0)</f>
        <v>500</v>
      </c>
      <c r="D651" s="63" t="str">
        <f>IFERROR(__xludf.DUMMYFUNCTION("INDIRECT(""'收支紀錄'!D""&amp;TO_TEXT(ROW()-$C$72))"),"昨天 (-1 day)")</f>
        <v>昨天 (-1 day)</v>
      </c>
      <c r="E651" s="61" t="str">
        <f>IFERROR(__xludf.DUMMYFUNCTION("INDIRECT(""'收支紀錄'!E""&amp;TO_TEXT(ROW()-$C$72))"),"其他業外")</f>
        <v>其他業外</v>
      </c>
      <c r="F651" s="61" t="str">
        <f>IFERROR(__xludf.DUMMYFUNCTION("INDIRECT(""'收支紀錄'!F""&amp;TO_TEXT(ROW()-$C$72))"),"")</f>
        <v/>
      </c>
      <c r="G651" s="61" t="str">
        <f>IFERROR(__xludf.DUMMYFUNCTION("INDIRECT(""'收支紀錄'!G""&amp;TO_TEXT(ROW()-$C$72))"),"其他")</f>
        <v>其他</v>
      </c>
      <c r="H651" s="61" t="str">
        <f>IFERROR(__xludf.DUMMYFUNCTION("INDIRECT(""'收支紀錄'!H""&amp;TO_TEXT(ROW()-$C$72))"),"")</f>
        <v/>
      </c>
      <c r="I651" s="61" t="str">
        <f>IFERROR(__xludf.DUMMYFUNCTION("INDIRECT(""'收支紀錄'!I""&amp;TO_TEXT(ROW()-$C$72))"),"")</f>
        <v/>
      </c>
      <c r="J651" s="61" t="str">
        <f>IFERROR(__xludf.DUMMYFUNCTION("INDIRECT(""'收支紀錄'!J""&amp;TO_TEXT(ROW()-$C$72))"),"")</f>
        <v/>
      </c>
      <c r="K651" s="61" t="str">
        <f>IFERROR(__xludf.DUMMYFUNCTION("INDIRECT(""'收支紀錄'!K""&amp;TO_TEXT(ROW()-$C$72))"),"")</f>
        <v/>
      </c>
      <c r="L651" s="61" t="str">
        <f>IFERROR(__xludf.DUMMYFUNCTION("INDIRECT(""'收支紀錄'!L""&amp;TO_TEXT(ROW()-$C$72))"),"")</f>
        <v/>
      </c>
      <c r="M651" s="61" t="str">
        <f>IFERROR(__xludf.DUMMYFUNCTION("INDIRECT(""'收支紀錄'!M""&amp;TO_TEXT(ROW()-$C$72))"),"")</f>
        <v/>
      </c>
      <c r="N651" s="61" t="str">
        <f>IFERROR(__xludf.DUMMYFUNCTION("INDIRECT(""'收支紀錄'!N""&amp;TO_TEXT(ROW()-$C$72))"),"")</f>
        <v/>
      </c>
      <c r="O651" s="61" t="str">
        <f>IFERROR(__xludf.DUMMYFUNCTION("INDIRECT(""'收支紀錄'!O""&amp;TO_TEXT(ROW()-$C$72))"),"")</f>
        <v/>
      </c>
      <c r="P651" s="61" t="str">
        <f>IFERROR(__xludf.DUMMYFUNCTION("INDIRECT(""'收支紀錄'!P""&amp;TO_TEXT(ROW()-$C$72))"),"")</f>
        <v/>
      </c>
      <c r="Q651" s="61" t="str">
        <f>IFERROR(__xludf.DUMMYFUNCTION("INDIRECT(""'收支紀錄'!Q""&amp;TO_TEXT(ROW()-$C$72))"),"")</f>
        <v/>
      </c>
      <c r="R651" s="61" t="str">
        <f>IFERROR(__xludf.DUMMYFUNCTION("INDIRECT(""'收支紀錄'!R""&amp;TO_TEXT(ROW()-$C$72))"),"")</f>
        <v/>
      </c>
      <c r="S651" s="61" t="str">
        <f>IFERROR(__xludf.DUMMYFUNCTION("INDIRECT(""'收支紀錄'!S""&amp;TO_TEXT(ROW()-$C$72))"),"除濕機退稅")</f>
        <v>除濕機退稅</v>
      </c>
      <c r="T651" s="61" t="str">
        <f>IFERROR(__xludf.DUMMYFUNCTION("INDIRECT(""'收支紀錄'!T""&amp;TO_TEXT(ROW()-$C$72))"),"是")</f>
        <v>是</v>
      </c>
      <c r="U651" s="62" t="str">
        <f>IFERROR(__xludf.DUMMYFUNCTION("IF(T651=""是"",TEXTJOIN("""", TRUE, ""$"", TO_TEXT(C651), S651),"""")"),"$500除濕機退稅")</f>
        <v>$500除濕機退稅</v>
      </c>
    </row>
    <row r="652">
      <c r="A652" s="58">
        <f>IFERROR(__xludf.DUMMYFUNCTION("INDIRECT(""'收支紀錄'!A""&amp;TO_TEXT(ROW()-$C$72))"),45693.84793541666)</f>
        <v>45693.84794</v>
      </c>
      <c r="B652" s="59">
        <f>IFERROR(__xludf.DUMMYFUNCTION("IF(ISBLANK(D652), """", IF(ISDATE(D652), D652, IF(D652=""今天"", A652, IF(D652=""昨天 (-1 day)"", A652-1, IF(D652=""前天 (-2 days)"", A652-2, IF(D652=""明天 (+1 day)"", A652+1, DATE(LEFT(D652,4), MID(D652,5,2), RIGHT(D652,2))))))))"),45693.84793541666)</f>
        <v>45693.84794</v>
      </c>
      <c r="C652" s="60">
        <f>IFERROR(__xludf.DUMMYFUNCTION("INDIRECT(""'收支紀錄'!C""&amp;TO_TEXT(ROW()-$C$72))"),114.0)</f>
        <v>114</v>
      </c>
      <c r="D652" s="63" t="str">
        <f>IFERROR(__xludf.DUMMYFUNCTION("INDIRECT(""'收支紀錄'!D""&amp;TO_TEXT(ROW()-$C$72))"),"今天")</f>
        <v>今天</v>
      </c>
      <c r="E652" s="61" t="str">
        <f>IFERROR(__xludf.DUMMYFUNCTION("INDIRECT(""'收支紀錄'!E""&amp;TO_TEXT(ROW()-$C$72))"),"")</f>
        <v/>
      </c>
      <c r="F652" s="61" t="str">
        <f>IFERROR(__xludf.DUMMYFUNCTION("INDIRECT(""'收支紀錄'!F""&amp;TO_TEXT(ROW()-$C$72))"),"")</f>
        <v/>
      </c>
      <c r="G652" s="61" t="str">
        <f>IFERROR(__xludf.DUMMYFUNCTION("INDIRECT(""'收支紀錄'!G""&amp;TO_TEXT(ROW()-$C$72))"),"")</f>
        <v/>
      </c>
      <c r="H652" s="61" t="str">
        <f>IFERROR(__xludf.DUMMYFUNCTION("INDIRECT(""'收支紀錄'!H""&amp;TO_TEXT(ROW()-$C$72))"),"食品酒水")</f>
        <v>食品酒水</v>
      </c>
      <c r="I652" s="61" t="str">
        <f>IFERROR(__xludf.DUMMYFUNCTION("INDIRECT(""'收支紀錄'!I""&amp;TO_TEXT(ROW()-$C$72))"),"宵夜")</f>
        <v>宵夜</v>
      </c>
      <c r="J652" s="61" t="str">
        <f>IFERROR(__xludf.DUMMYFUNCTION("INDIRECT(""'收支紀錄'!J""&amp;TO_TEXT(ROW()-$C$72))"),"")</f>
        <v/>
      </c>
      <c r="K652" s="61" t="str">
        <f>IFERROR(__xludf.DUMMYFUNCTION("INDIRECT(""'收支紀錄'!K""&amp;TO_TEXT(ROW()-$C$72))"),"")</f>
        <v/>
      </c>
      <c r="L652" s="61" t="str">
        <f>IFERROR(__xludf.DUMMYFUNCTION("INDIRECT(""'收支紀錄'!L""&amp;TO_TEXT(ROW()-$C$72))"),"")</f>
        <v/>
      </c>
      <c r="M652" s="61" t="str">
        <f>IFERROR(__xludf.DUMMYFUNCTION("INDIRECT(""'收支紀錄'!M""&amp;TO_TEXT(ROW()-$C$72))"),"")</f>
        <v/>
      </c>
      <c r="N652" s="61" t="str">
        <f>IFERROR(__xludf.DUMMYFUNCTION("INDIRECT(""'收支紀錄'!N""&amp;TO_TEXT(ROW()-$C$72))"),"")</f>
        <v/>
      </c>
      <c r="O652" s="61" t="str">
        <f>IFERROR(__xludf.DUMMYFUNCTION("INDIRECT(""'收支紀錄'!O""&amp;TO_TEXT(ROW()-$C$72))"),"")</f>
        <v/>
      </c>
      <c r="P652" s="61" t="str">
        <f>IFERROR(__xludf.DUMMYFUNCTION("INDIRECT(""'收支紀錄'!P""&amp;TO_TEXT(ROW()-$C$72))"),"")</f>
        <v/>
      </c>
      <c r="Q652" s="61" t="str">
        <f>IFERROR(__xludf.DUMMYFUNCTION("INDIRECT(""'收支紀錄'!Q""&amp;TO_TEXT(ROW()-$C$72))"),"")</f>
        <v/>
      </c>
      <c r="R652" s="61" t="str">
        <f>IFERROR(__xludf.DUMMYFUNCTION("INDIRECT(""'收支紀錄'!R""&amp;TO_TEXT(ROW()-$C$72))"),"")</f>
        <v/>
      </c>
      <c r="S652" s="61" t="str">
        <f>IFERROR(__xludf.DUMMYFUNCTION("INDIRECT(""'收支紀錄'!S""&amp;TO_TEXT(ROW()-$C$72))"),"")</f>
        <v/>
      </c>
      <c r="T652" s="61" t="str">
        <f>IFERROR(__xludf.DUMMYFUNCTION("INDIRECT(""'收支紀錄'!T""&amp;TO_TEXT(ROW()-$C$72))"),"")</f>
        <v/>
      </c>
      <c r="U652" s="62" t="str">
        <f>IFERROR(__xludf.DUMMYFUNCTION("IF(T652=""是"",TEXTJOIN("""", TRUE, ""$"", TO_TEXT(C652), S652),"""")"),"")</f>
        <v/>
      </c>
    </row>
    <row r="653">
      <c r="A653" s="58">
        <f>IFERROR(__xludf.DUMMYFUNCTION("INDIRECT(""'收支紀錄'!A""&amp;TO_TEXT(ROW()-$C$72))"),45694.89881770834)</f>
        <v>45694.89882</v>
      </c>
      <c r="B653" s="59">
        <f>IFERROR(__xludf.DUMMYFUNCTION("IF(ISBLANK(D653), """", IF(ISDATE(D653), D653, IF(D653=""今天"", A653, IF(D653=""昨天 (-1 day)"", A653-1, IF(D653=""前天 (-2 days)"", A653-2, IF(D653=""明天 (+1 day)"", A653+1, DATE(LEFT(D653,4), MID(D653,5,2), RIGHT(D653,2))))))))"),45693.89881770834)</f>
        <v>45693.89882</v>
      </c>
      <c r="C653" s="60">
        <f>IFERROR(__xludf.DUMMYFUNCTION("INDIRECT(""'收支紀錄'!C""&amp;TO_TEXT(ROW()-$C$72))"),101185.0)</f>
        <v>101185</v>
      </c>
      <c r="D653" s="63" t="str">
        <f>IFERROR(__xludf.DUMMYFUNCTION("INDIRECT(""'收支紀錄'!D""&amp;TO_TEXT(ROW()-$C$72))"),"昨天 (-1 day)")</f>
        <v>昨天 (-1 day)</v>
      </c>
      <c r="E653" s="61" t="str">
        <f>IFERROR(__xludf.DUMMYFUNCTION("INDIRECT(""'收支紀錄'!E""&amp;TO_TEXT(ROW()-$C$72))"),"工作")</f>
        <v>工作</v>
      </c>
      <c r="F653" s="61" t="str">
        <f>IFERROR(__xludf.DUMMYFUNCTION("INDIRECT(""'收支紀錄'!F""&amp;TO_TEXT(ROW()-$C$72))"),"底薪")</f>
        <v>底薪</v>
      </c>
      <c r="G653" s="61" t="str">
        <f>IFERROR(__xludf.DUMMYFUNCTION("INDIRECT(""'收支紀錄'!G""&amp;TO_TEXT(ROW()-$C$72))"),"")</f>
        <v/>
      </c>
      <c r="H653" s="61" t="str">
        <f>IFERROR(__xludf.DUMMYFUNCTION("INDIRECT(""'收支紀錄'!H""&amp;TO_TEXT(ROW()-$C$72))"),"")</f>
        <v/>
      </c>
      <c r="I653" s="61" t="str">
        <f>IFERROR(__xludf.DUMMYFUNCTION("INDIRECT(""'收支紀錄'!I""&amp;TO_TEXT(ROW()-$C$72))"),"")</f>
        <v/>
      </c>
      <c r="J653" s="61" t="str">
        <f>IFERROR(__xludf.DUMMYFUNCTION("INDIRECT(""'收支紀錄'!J""&amp;TO_TEXT(ROW()-$C$72))"),"")</f>
        <v/>
      </c>
      <c r="K653" s="61" t="str">
        <f>IFERROR(__xludf.DUMMYFUNCTION("INDIRECT(""'收支紀錄'!K""&amp;TO_TEXT(ROW()-$C$72))"),"")</f>
        <v/>
      </c>
      <c r="L653" s="61" t="str">
        <f>IFERROR(__xludf.DUMMYFUNCTION("INDIRECT(""'收支紀錄'!L""&amp;TO_TEXT(ROW()-$C$72))"),"")</f>
        <v/>
      </c>
      <c r="M653" s="61" t="str">
        <f>IFERROR(__xludf.DUMMYFUNCTION("INDIRECT(""'收支紀錄'!M""&amp;TO_TEXT(ROW()-$C$72))"),"")</f>
        <v/>
      </c>
      <c r="N653" s="61" t="str">
        <f>IFERROR(__xludf.DUMMYFUNCTION("INDIRECT(""'收支紀錄'!N""&amp;TO_TEXT(ROW()-$C$72))"),"")</f>
        <v/>
      </c>
      <c r="O653" s="61" t="str">
        <f>IFERROR(__xludf.DUMMYFUNCTION("INDIRECT(""'收支紀錄'!O""&amp;TO_TEXT(ROW()-$C$72))"),"")</f>
        <v/>
      </c>
      <c r="P653" s="61" t="str">
        <f>IFERROR(__xludf.DUMMYFUNCTION("INDIRECT(""'收支紀錄'!P""&amp;TO_TEXT(ROW()-$C$72))"),"")</f>
        <v/>
      </c>
      <c r="Q653" s="61" t="str">
        <f>IFERROR(__xludf.DUMMYFUNCTION("INDIRECT(""'收支紀錄'!Q""&amp;TO_TEXT(ROW()-$C$72))"),"")</f>
        <v/>
      </c>
      <c r="R653" s="61" t="str">
        <f>IFERROR(__xludf.DUMMYFUNCTION("INDIRECT(""'收支紀錄'!R""&amp;TO_TEXT(ROW()-$C$72))"),"")</f>
        <v/>
      </c>
      <c r="S653" s="61" t="str">
        <f>IFERROR(__xludf.DUMMYFUNCTION("INDIRECT(""'收支紀錄'!S""&amp;TO_TEXT(ROW()-$C$72))"),"含請假扣款")</f>
        <v>含請假扣款</v>
      </c>
      <c r="T653" s="61" t="str">
        <f>IFERROR(__xludf.DUMMYFUNCTION("INDIRECT(""'收支紀錄'!T""&amp;TO_TEXT(ROW()-$C$72))"),"是")</f>
        <v>是</v>
      </c>
      <c r="U653" s="62" t="str">
        <f>IFERROR(__xludf.DUMMYFUNCTION("IF(T653=""是"",TEXTJOIN("""", TRUE, ""$"", TO_TEXT(C653), S653),"""")"),"$101185含請假扣款")</f>
        <v>$101185含請假扣款</v>
      </c>
    </row>
    <row r="654">
      <c r="A654" s="58">
        <f>IFERROR(__xludf.DUMMYFUNCTION("INDIRECT(""'收支紀錄'!A""&amp;TO_TEXT(ROW()-$C$72))"),45694.900254872686)</f>
        <v>45694.90025</v>
      </c>
      <c r="B654" s="59">
        <f>IFERROR(__xludf.DUMMYFUNCTION("IF(ISBLANK(D654), """", IF(ISDATE(D654), D654, IF(D654=""今天"", A654, IF(D654=""昨天 (-1 day)"", A654-1, IF(D654=""前天 (-2 days)"", A654-2, IF(D654=""明天 (+1 day)"", A654+1, DATE(LEFT(D654,4), MID(D654,5,2), RIGHT(D654,2))))))))"),45693.900254872686)</f>
        <v>45693.90025</v>
      </c>
      <c r="C654" s="60">
        <f>IFERROR(__xludf.DUMMYFUNCTION("INDIRECT(""'收支紀錄'!C""&amp;TO_TEXT(ROW()-$C$72))"),1162.0)</f>
        <v>1162</v>
      </c>
      <c r="D654" s="63" t="str">
        <f>IFERROR(__xludf.DUMMYFUNCTION("INDIRECT(""'收支紀錄'!D""&amp;TO_TEXT(ROW()-$C$72))"),"昨天 (-1 day)")</f>
        <v>昨天 (-1 day)</v>
      </c>
      <c r="E654" s="61" t="str">
        <f>IFERROR(__xludf.DUMMYFUNCTION("INDIRECT(""'收支紀錄'!E""&amp;TO_TEXT(ROW()-$C$72))"),"")</f>
        <v/>
      </c>
      <c r="F654" s="61" t="str">
        <f>IFERROR(__xludf.DUMMYFUNCTION("INDIRECT(""'收支紀錄'!F""&amp;TO_TEXT(ROW()-$C$72))"),"")</f>
        <v/>
      </c>
      <c r="G654" s="61" t="str">
        <f>IFERROR(__xludf.DUMMYFUNCTION("INDIRECT(""'收支紀錄'!G""&amp;TO_TEXT(ROW()-$C$72))"),"")</f>
        <v/>
      </c>
      <c r="H654" s="61" t="str">
        <f>IFERROR(__xludf.DUMMYFUNCTION("INDIRECT(""'收支紀錄'!H""&amp;TO_TEXT(ROW()-$C$72))"),"食品酒水")</f>
        <v>食品酒水</v>
      </c>
      <c r="I654" s="61" t="str">
        <f>IFERROR(__xludf.DUMMYFUNCTION("INDIRECT(""'收支紀錄'!I""&amp;TO_TEXT(ROW()-$C$72))"),"前月公司餐費扣款")</f>
        <v>前月公司餐費扣款</v>
      </c>
      <c r="J654" s="61" t="str">
        <f>IFERROR(__xludf.DUMMYFUNCTION("INDIRECT(""'收支紀錄'!J""&amp;TO_TEXT(ROW()-$C$72))"),"")</f>
        <v/>
      </c>
      <c r="K654" s="61" t="str">
        <f>IFERROR(__xludf.DUMMYFUNCTION("INDIRECT(""'收支紀錄'!K""&amp;TO_TEXT(ROW()-$C$72))"),"")</f>
        <v/>
      </c>
      <c r="L654" s="61" t="str">
        <f>IFERROR(__xludf.DUMMYFUNCTION("INDIRECT(""'收支紀錄'!L""&amp;TO_TEXT(ROW()-$C$72))"),"")</f>
        <v/>
      </c>
      <c r="M654" s="61" t="str">
        <f>IFERROR(__xludf.DUMMYFUNCTION("INDIRECT(""'收支紀錄'!M""&amp;TO_TEXT(ROW()-$C$72))"),"")</f>
        <v/>
      </c>
      <c r="N654" s="61" t="str">
        <f>IFERROR(__xludf.DUMMYFUNCTION("INDIRECT(""'收支紀錄'!N""&amp;TO_TEXT(ROW()-$C$72))"),"")</f>
        <v/>
      </c>
      <c r="O654" s="61" t="str">
        <f>IFERROR(__xludf.DUMMYFUNCTION("INDIRECT(""'收支紀錄'!O""&amp;TO_TEXT(ROW()-$C$72))"),"")</f>
        <v/>
      </c>
      <c r="P654" s="61" t="str">
        <f>IFERROR(__xludf.DUMMYFUNCTION("INDIRECT(""'收支紀錄'!P""&amp;TO_TEXT(ROW()-$C$72))"),"")</f>
        <v/>
      </c>
      <c r="Q654" s="61" t="str">
        <f>IFERROR(__xludf.DUMMYFUNCTION("INDIRECT(""'收支紀錄'!Q""&amp;TO_TEXT(ROW()-$C$72))"),"")</f>
        <v/>
      </c>
      <c r="R654" s="61" t="str">
        <f>IFERROR(__xludf.DUMMYFUNCTION("INDIRECT(""'收支紀錄'!R""&amp;TO_TEXT(ROW()-$C$72))"),"")</f>
        <v/>
      </c>
      <c r="S654" s="61" t="str">
        <f>IFERROR(__xludf.DUMMYFUNCTION("INDIRECT(""'收支紀錄'!S""&amp;TO_TEXT(ROW()-$C$72))"),"")</f>
        <v/>
      </c>
      <c r="T654" s="61" t="str">
        <f>IFERROR(__xludf.DUMMYFUNCTION("INDIRECT(""'收支紀錄'!T""&amp;TO_TEXT(ROW()-$C$72))"),"")</f>
        <v/>
      </c>
      <c r="U654" s="62" t="str">
        <f>IFERROR(__xludf.DUMMYFUNCTION("IF(T654=""是"",TEXTJOIN("""", TRUE, ""$"", TO_TEXT(C654), S654),"""")"),"")</f>
        <v/>
      </c>
    </row>
    <row r="655">
      <c r="A655" s="58">
        <f>IFERROR(__xludf.DUMMYFUNCTION("INDIRECT(""'收支紀錄'!A""&amp;TO_TEXT(ROW()-$C$72))"),45694.90086190972)</f>
        <v>45694.90086</v>
      </c>
      <c r="B655" s="59">
        <f>IFERROR(__xludf.DUMMYFUNCTION("IF(ISBLANK(D655), """", IF(ISDATE(D655), D655, IF(D655=""今天"", A655, IF(D655=""昨天 (-1 day)"", A655-1, IF(D655=""前天 (-2 days)"", A655-2, IF(D655=""明天 (+1 day)"", A655+1, DATE(LEFT(D655,4), MID(D655,5,2), RIGHT(D655,2))))))))"),45693.90086190972)</f>
        <v>45693.90086</v>
      </c>
      <c r="C655" s="60">
        <f>IFERROR(__xludf.DUMMYFUNCTION("INDIRECT(""'收支紀錄'!C""&amp;TO_TEXT(ROW()-$C$72))"),3087.0)</f>
        <v>3087</v>
      </c>
      <c r="D655" s="63" t="str">
        <f>IFERROR(__xludf.DUMMYFUNCTION("INDIRECT(""'收支紀錄'!D""&amp;TO_TEXT(ROW()-$C$72))"),"昨天 (-1 day)")</f>
        <v>昨天 (-1 day)</v>
      </c>
      <c r="E655" s="61" t="str">
        <f>IFERROR(__xludf.DUMMYFUNCTION("INDIRECT(""'收支紀錄'!E""&amp;TO_TEXT(ROW()-$C$72))"),"")</f>
        <v/>
      </c>
      <c r="F655" s="61" t="str">
        <f>IFERROR(__xludf.DUMMYFUNCTION("INDIRECT(""'收支紀錄'!F""&amp;TO_TEXT(ROW()-$C$72))"),"")</f>
        <v/>
      </c>
      <c r="G655" s="61" t="str">
        <f>IFERROR(__xludf.DUMMYFUNCTION("INDIRECT(""'收支紀錄'!G""&amp;TO_TEXT(ROW()-$C$72))"),"")</f>
        <v/>
      </c>
      <c r="H655" s="61" t="str">
        <f>IFERROR(__xludf.DUMMYFUNCTION("INDIRECT(""'收支紀錄'!H""&amp;TO_TEXT(ROW()-$C$72))"),"投資及其他")</f>
        <v>投資及其他</v>
      </c>
      <c r="I655" s="61" t="str">
        <f>IFERROR(__xludf.DUMMYFUNCTION("INDIRECT(""'收支紀錄'!I""&amp;TO_TEXT(ROW()-$C$72))"),"")</f>
        <v/>
      </c>
      <c r="J655" s="61" t="str">
        <f>IFERROR(__xludf.DUMMYFUNCTION("INDIRECT(""'收支紀錄'!J""&amp;TO_TEXT(ROW()-$C$72))"),"")</f>
        <v/>
      </c>
      <c r="K655" s="61" t="str">
        <f>IFERROR(__xludf.DUMMYFUNCTION("INDIRECT(""'收支紀錄'!K""&amp;TO_TEXT(ROW()-$C$72))"),"")</f>
        <v/>
      </c>
      <c r="L655" s="61" t="str">
        <f>IFERROR(__xludf.DUMMYFUNCTION("INDIRECT(""'收支紀錄'!L""&amp;TO_TEXT(ROW()-$C$72))"),"")</f>
        <v/>
      </c>
      <c r="M655" s="61" t="str">
        <f>IFERROR(__xludf.DUMMYFUNCTION("INDIRECT(""'收支紀錄'!M""&amp;TO_TEXT(ROW()-$C$72))"),"")</f>
        <v/>
      </c>
      <c r="N655" s="61" t="str">
        <f>IFERROR(__xludf.DUMMYFUNCTION("INDIRECT(""'收支紀錄'!N""&amp;TO_TEXT(ROW()-$C$72))"),"")</f>
        <v/>
      </c>
      <c r="O655" s="61" t="str">
        <f>IFERROR(__xludf.DUMMYFUNCTION("INDIRECT(""'收支紀錄'!O""&amp;TO_TEXT(ROW()-$C$72))"),"")</f>
        <v/>
      </c>
      <c r="P655" s="61" t="str">
        <f>IFERROR(__xludf.DUMMYFUNCTION("INDIRECT(""'收支紀錄'!P""&amp;TO_TEXT(ROW()-$C$72))"),"")</f>
        <v/>
      </c>
      <c r="Q655" s="61" t="str">
        <f>IFERROR(__xludf.DUMMYFUNCTION("INDIRECT(""'收支紀錄'!Q""&amp;TO_TEXT(ROW()-$C$72))"),"")</f>
        <v/>
      </c>
      <c r="R655" s="61" t="str">
        <f>IFERROR(__xludf.DUMMYFUNCTION("INDIRECT(""'收支紀錄'!R""&amp;TO_TEXT(ROW()-$C$72))"),"公司認股")</f>
        <v>公司認股</v>
      </c>
      <c r="S655" s="61" t="str">
        <f>IFERROR(__xludf.DUMMYFUNCTION("INDIRECT(""'收支紀錄'!S""&amp;TO_TEXT(ROW()-$C$72))"),"")</f>
        <v/>
      </c>
      <c r="T655" s="61" t="str">
        <f>IFERROR(__xludf.DUMMYFUNCTION("INDIRECT(""'收支紀錄'!T""&amp;TO_TEXT(ROW()-$C$72))"),"")</f>
        <v/>
      </c>
      <c r="U655" s="62" t="str">
        <f>IFERROR(__xludf.DUMMYFUNCTION("IF(T655=""是"",TEXTJOIN("""", TRUE, ""$"", TO_TEXT(C655), S655),"""")"),"")</f>
        <v/>
      </c>
    </row>
    <row r="656">
      <c r="A656" s="58">
        <f>IFERROR(__xludf.DUMMYFUNCTION("INDIRECT(""'收支紀錄'!A""&amp;TO_TEXT(ROW()-$C$72))"),45694.9013319213)</f>
        <v>45694.90133</v>
      </c>
      <c r="B656" s="59">
        <f>IFERROR(__xludf.DUMMYFUNCTION("IF(ISBLANK(D656), """", IF(ISDATE(D656), D656, IF(D656=""今天"", A656, IF(D656=""昨天 (-1 day)"", A656-1, IF(D656=""前天 (-2 days)"", A656-2, IF(D656=""明天 (+1 day)"", A656+1, DATE(LEFT(D656,4), MID(D656,5,2), RIGHT(D656,2))))))))"),45693.9013319213)</f>
        <v>45693.90133</v>
      </c>
      <c r="C656" s="60">
        <f>IFERROR(__xludf.DUMMYFUNCTION("INDIRECT(""'收支紀錄'!C""&amp;TO_TEXT(ROW()-$C$72))"),2816.0)</f>
        <v>2816</v>
      </c>
      <c r="D656" s="63" t="str">
        <f>IFERROR(__xludf.DUMMYFUNCTION("INDIRECT(""'收支紀錄'!D""&amp;TO_TEXT(ROW()-$C$72))"),"昨天 (-1 day)")</f>
        <v>昨天 (-1 day)</v>
      </c>
      <c r="E656" s="61" t="str">
        <f>IFERROR(__xludf.DUMMYFUNCTION("INDIRECT(""'收支紀錄'!E""&amp;TO_TEXT(ROW()-$C$72))"),"")</f>
        <v/>
      </c>
      <c r="F656" s="61" t="str">
        <f>IFERROR(__xludf.DUMMYFUNCTION("INDIRECT(""'收支紀錄'!F""&amp;TO_TEXT(ROW()-$C$72))"),"")</f>
        <v/>
      </c>
      <c r="G656" s="61" t="str">
        <f>IFERROR(__xludf.DUMMYFUNCTION("INDIRECT(""'收支紀錄'!G""&amp;TO_TEXT(ROW()-$C$72))"),"")</f>
        <v/>
      </c>
      <c r="H656" s="61" t="str">
        <f>IFERROR(__xludf.DUMMYFUNCTION("INDIRECT(""'收支紀錄'!H""&amp;TO_TEXT(ROW()-$C$72))"),"稅金保險")</f>
        <v>稅金保險</v>
      </c>
      <c r="I656" s="61" t="str">
        <f>IFERROR(__xludf.DUMMYFUNCTION("INDIRECT(""'收支紀錄'!I""&amp;TO_TEXT(ROW()-$C$72))"),"")</f>
        <v/>
      </c>
      <c r="J656" s="61" t="str">
        <f>IFERROR(__xludf.DUMMYFUNCTION("INDIRECT(""'收支紀錄'!J""&amp;TO_TEXT(ROW()-$C$72))"),"")</f>
        <v/>
      </c>
      <c r="K656" s="61" t="str">
        <f>IFERROR(__xludf.DUMMYFUNCTION("INDIRECT(""'收支紀錄'!K""&amp;TO_TEXT(ROW()-$C$72))"),"")</f>
        <v/>
      </c>
      <c r="L656" s="61" t="str">
        <f>IFERROR(__xludf.DUMMYFUNCTION("INDIRECT(""'收支紀錄'!L""&amp;TO_TEXT(ROW()-$C$72))"),"")</f>
        <v/>
      </c>
      <c r="M656" s="61" t="str">
        <f>IFERROR(__xludf.DUMMYFUNCTION("INDIRECT(""'收支紀錄'!M""&amp;TO_TEXT(ROW()-$C$72))"),"")</f>
        <v/>
      </c>
      <c r="N656" s="61" t="str">
        <f>IFERROR(__xludf.DUMMYFUNCTION("INDIRECT(""'收支紀錄'!N""&amp;TO_TEXT(ROW()-$C$72))"),"勞健保")</f>
        <v>勞健保</v>
      </c>
      <c r="O656" s="61" t="str">
        <f>IFERROR(__xludf.DUMMYFUNCTION("INDIRECT(""'收支紀錄'!O""&amp;TO_TEXT(ROW()-$C$72))"),"")</f>
        <v/>
      </c>
      <c r="P656" s="61" t="str">
        <f>IFERROR(__xludf.DUMMYFUNCTION("INDIRECT(""'收支紀錄'!P""&amp;TO_TEXT(ROW()-$C$72))"),"")</f>
        <v/>
      </c>
      <c r="Q656" s="61" t="str">
        <f>IFERROR(__xludf.DUMMYFUNCTION("INDIRECT(""'收支紀錄'!Q""&amp;TO_TEXT(ROW()-$C$72))"),"")</f>
        <v/>
      </c>
      <c r="R656" s="61" t="str">
        <f>IFERROR(__xludf.DUMMYFUNCTION("INDIRECT(""'收支紀錄'!R""&amp;TO_TEXT(ROW()-$C$72))"),"")</f>
        <v/>
      </c>
      <c r="S656" s="61" t="str">
        <f>IFERROR(__xludf.DUMMYFUNCTION("INDIRECT(""'收支紀錄'!S""&amp;TO_TEXT(ROW()-$C$72))"),"")</f>
        <v/>
      </c>
      <c r="T656" s="61" t="str">
        <f>IFERROR(__xludf.DUMMYFUNCTION("INDIRECT(""'收支紀錄'!T""&amp;TO_TEXT(ROW()-$C$72))"),"")</f>
        <v/>
      </c>
      <c r="U656" s="62" t="str">
        <f>IFERROR(__xludf.DUMMYFUNCTION("IF(T656=""是"",TEXTJOIN("""", TRUE, ""$"", TO_TEXT(C656), S656),"""")"),"")</f>
        <v/>
      </c>
    </row>
    <row r="657">
      <c r="A657" s="58">
        <f>IFERROR(__xludf.DUMMYFUNCTION("INDIRECT(""'收支紀錄'!A""&amp;TO_TEXT(ROW()-$C$72))"),45694.9015425463)</f>
        <v>45694.90154</v>
      </c>
      <c r="B657" s="59">
        <f>IFERROR(__xludf.DUMMYFUNCTION("IF(ISBLANK(D657), """", IF(ISDATE(D657), D657, IF(D657=""今天"", A657, IF(D657=""昨天 (-1 day)"", A657-1, IF(D657=""前天 (-2 days)"", A657-2, IF(D657=""明天 (+1 day)"", A657+1, DATE(LEFT(D657,4), MID(D657,5,2), RIGHT(D657,2))))))))"),45693.9015425463)</f>
        <v>45693.90154</v>
      </c>
      <c r="C657" s="60">
        <f>IFERROR(__xludf.DUMMYFUNCTION("INDIRECT(""'收支紀錄'!C""&amp;TO_TEXT(ROW()-$C$72))"),515.0)</f>
        <v>515</v>
      </c>
      <c r="D657" s="63" t="str">
        <f>IFERROR(__xludf.DUMMYFUNCTION("INDIRECT(""'收支紀錄'!D""&amp;TO_TEXT(ROW()-$C$72))"),"昨天 (-1 day)")</f>
        <v>昨天 (-1 day)</v>
      </c>
      <c r="E657" s="61" t="str">
        <f>IFERROR(__xludf.DUMMYFUNCTION("INDIRECT(""'收支紀錄'!E""&amp;TO_TEXT(ROW()-$C$72))"),"")</f>
        <v/>
      </c>
      <c r="F657" s="61" t="str">
        <f>IFERROR(__xludf.DUMMYFUNCTION("INDIRECT(""'收支紀錄'!F""&amp;TO_TEXT(ROW()-$C$72))"),"")</f>
        <v/>
      </c>
      <c r="G657" s="61" t="str">
        <f>IFERROR(__xludf.DUMMYFUNCTION("INDIRECT(""'收支紀錄'!G""&amp;TO_TEXT(ROW()-$C$72))"),"")</f>
        <v/>
      </c>
      <c r="H657" s="61" t="str">
        <f>IFERROR(__xludf.DUMMYFUNCTION("INDIRECT(""'收支紀錄'!H""&amp;TO_TEXT(ROW()-$C$72))"),"休閒娛樂")</f>
        <v>休閒娛樂</v>
      </c>
      <c r="I657" s="61" t="str">
        <f>IFERROR(__xludf.DUMMYFUNCTION("INDIRECT(""'收支紀錄'!I""&amp;TO_TEXT(ROW()-$C$72))"),"")</f>
        <v/>
      </c>
      <c r="J657" s="61" t="str">
        <f>IFERROR(__xludf.DUMMYFUNCTION("INDIRECT(""'收支紀錄'!J""&amp;TO_TEXT(ROW()-$C$72))"),"")</f>
        <v/>
      </c>
      <c r="K657" s="61" t="str">
        <f>IFERROR(__xludf.DUMMYFUNCTION("INDIRECT(""'收支紀錄'!K""&amp;TO_TEXT(ROW()-$C$72))"),"")</f>
        <v/>
      </c>
      <c r="L657" s="61" t="str">
        <f>IFERROR(__xludf.DUMMYFUNCTION("INDIRECT(""'收支紀錄'!L""&amp;TO_TEXT(ROW()-$C$72))"),"")</f>
        <v/>
      </c>
      <c r="M657" s="61" t="str">
        <f>IFERROR(__xludf.DUMMYFUNCTION("INDIRECT(""'收支紀錄'!M""&amp;TO_TEXT(ROW()-$C$72))"),"公司福利金")</f>
        <v>公司福利金</v>
      </c>
      <c r="N657" s="61" t="str">
        <f>IFERROR(__xludf.DUMMYFUNCTION("INDIRECT(""'收支紀錄'!N""&amp;TO_TEXT(ROW()-$C$72))"),"")</f>
        <v/>
      </c>
      <c r="O657" s="61" t="str">
        <f>IFERROR(__xludf.DUMMYFUNCTION("INDIRECT(""'收支紀錄'!O""&amp;TO_TEXT(ROW()-$C$72))"),"")</f>
        <v/>
      </c>
      <c r="P657" s="61" t="str">
        <f>IFERROR(__xludf.DUMMYFUNCTION("INDIRECT(""'收支紀錄'!P""&amp;TO_TEXT(ROW()-$C$72))"),"")</f>
        <v/>
      </c>
      <c r="Q657" s="61" t="str">
        <f>IFERROR(__xludf.DUMMYFUNCTION("INDIRECT(""'收支紀錄'!Q""&amp;TO_TEXT(ROW()-$C$72))"),"")</f>
        <v/>
      </c>
      <c r="R657" s="61" t="str">
        <f>IFERROR(__xludf.DUMMYFUNCTION("INDIRECT(""'收支紀錄'!R""&amp;TO_TEXT(ROW()-$C$72))"),"")</f>
        <v/>
      </c>
      <c r="S657" s="61" t="str">
        <f>IFERROR(__xludf.DUMMYFUNCTION("INDIRECT(""'收支紀錄'!S""&amp;TO_TEXT(ROW()-$C$72))"),"")</f>
        <v/>
      </c>
      <c r="T657" s="61" t="str">
        <f>IFERROR(__xludf.DUMMYFUNCTION("INDIRECT(""'收支紀錄'!T""&amp;TO_TEXT(ROW()-$C$72))"),"")</f>
        <v/>
      </c>
      <c r="U657" s="62" t="str">
        <f>IFERROR(__xludf.DUMMYFUNCTION("IF(T657=""是"",TEXTJOIN("""", TRUE, ""$"", TO_TEXT(C657), S657),"""")"),"")</f>
        <v/>
      </c>
    </row>
    <row r="658">
      <c r="A658" s="58">
        <f>IFERROR(__xludf.DUMMYFUNCTION("INDIRECT(""'收支紀錄'!A""&amp;TO_TEXT(ROW()-$C$72))"),45694.90171298611)</f>
        <v>45694.90171</v>
      </c>
      <c r="B658" s="59">
        <f>IFERROR(__xludf.DUMMYFUNCTION("IF(ISBLANK(D658), """", IF(ISDATE(D658), D658, IF(D658=""今天"", A658, IF(D658=""昨天 (-1 day)"", A658-1, IF(D658=""前天 (-2 days)"", A658-2, IF(D658=""明天 (+1 day)"", A658+1, DATE(LEFT(D658,4), MID(D658,5,2), RIGHT(D658,2))))))))"),45693.90171298611)</f>
        <v>45693.90171</v>
      </c>
      <c r="C658" s="60">
        <f>IFERROR(__xludf.DUMMYFUNCTION("INDIRECT(""'收支紀錄'!C""&amp;TO_TEXT(ROW()-$C$72))"),3080.0)</f>
        <v>3080</v>
      </c>
      <c r="D658" s="63" t="str">
        <f>IFERROR(__xludf.DUMMYFUNCTION("INDIRECT(""'收支紀錄'!D""&amp;TO_TEXT(ROW()-$C$72))"),"昨天 (-1 day)")</f>
        <v>昨天 (-1 day)</v>
      </c>
      <c r="E658" s="61" t="str">
        <f>IFERROR(__xludf.DUMMYFUNCTION("INDIRECT(""'收支紀錄'!E""&amp;TO_TEXT(ROW()-$C$72))"),"")</f>
        <v/>
      </c>
      <c r="F658" s="61" t="str">
        <f>IFERROR(__xludf.DUMMYFUNCTION("INDIRECT(""'收支紀錄'!F""&amp;TO_TEXT(ROW()-$C$72))"),"")</f>
        <v/>
      </c>
      <c r="G658" s="61" t="str">
        <f>IFERROR(__xludf.DUMMYFUNCTION("INDIRECT(""'收支紀錄'!G""&amp;TO_TEXT(ROW()-$C$72))"),"")</f>
        <v/>
      </c>
      <c r="H658" s="61" t="str">
        <f>IFERROR(__xludf.DUMMYFUNCTION("INDIRECT(""'收支紀錄'!H""&amp;TO_TEXT(ROW()-$C$72))"),"稅金保險")</f>
        <v>稅金保險</v>
      </c>
      <c r="I658" s="61" t="str">
        <f>IFERROR(__xludf.DUMMYFUNCTION("INDIRECT(""'收支紀錄'!I""&amp;TO_TEXT(ROW()-$C$72))"),"")</f>
        <v/>
      </c>
      <c r="J658" s="61" t="str">
        <f>IFERROR(__xludf.DUMMYFUNCTION("INDIRECT(""'收支紀錄'!J""&amp;TO_TEXT(ROW()-$C$72))"),"")</f>
        <v/>
      </c>
      <c r="K658" s="61" t="str">
        <f>IFERROR(__xludf.DUMMYFUNCTION("INDIRECT(""'收支紀錄'!K""&amp;TO_TEXT(ROW()-$C$72))"),"")</f>
        <v/>
      </c>
      <c r="L658" s="61" t="str">
        <f>IFERROR(__xludf.DUMMYFUNCTION("INDIRECT(""'收支紀錄'!L""&amp;TO_TEXT(ROW()-$C$72))"),"")</f>
        <v/>
      </c>
      <c r="M658" s="61" t="str">
        <f>IFERROR(__xludf.DUMMYFUNCTION("INDIRECT(""'收支紀錄'!M""&amp;TO_TEXT(ROW()-$C$72))"),"")</f>
        <v/>
      </c>
      <c r="N658" s="61" t="str">
        <f>IFERROR(__xludf.DUMMYFUNCTION("INDIRECT(""'收支紀錄'!N""&amp;TO_TEXT(ROW()-$C$72))"),"稅金")</f>
        <v>稅金</v>
      </c>
      <c r="O658" s="61" t="str">
        <f>IFERROR(__xludf.DUMMYFUNCTION("INDIRECT(""'收支紀錄'!O""&amp;TO_TEXT(ROW()-$C$72))"),"")</f>
        <v/>
      </c>
      <c r="P658" s="61" t="str">
        <f>IFERROR(__xludf.DUMMYFUNCTION("INDIRECT(""'收支紀錄'!P""&amp;TO_TEXT(ROW()-$C$72))"),"")</f>
        <v/>
      </c>
      <c r="Q658" s="61" t="str">
        <f>IFERROR(__xludf.DUMMYFUNCTION("INDIRECT(""'收支紀錄'!Q""&amp;TO_TEXT(ROW()-$C$72))"),"")</f>
        <v/>
      </c>
      <c r="R658" s="61" t="str">
        <f>IFERROR(__xludf.DUMMYFUNCTION("INDIRECT(""'收支紀錄'!R""&amp;TO_TEXT(ROW()-$C$72))"),"")</f>
        <v/>
      </c>
      <c r="S658" s="61" t="str">
        <f>IFERROR(__xludf.DUMMYFUNCTION("INDIRECT(""'收支紀錄'!S""&amp;TO_TEXT(ROW()-$C$72))"),"")</f>
        <v/>
      </c>
      <c r="T658" s="61" t="str">
        <f>IFERROR(__xludf.DUMMYFUNCTION("INDIRECT(""'收支紀錄'!T""&amp;TO_TEXT(ROW()-$C$72))"),"")</f>
        <v/>
      </c>
      <c r="U658" s="62" t="str">
        <f>IFERROR(__xludf.DUMMYFUNCTION("IF(T658=""是"",TEXTJOIN("""", TRUE, ""$"", TO_TEXT(C658), S658),"""")"),"")</f>
        <v/>
      </c>
    </row>
    <row r="659">
      <c r="A659" s="58">
        <f>IFERROR(__xludf.DUMMYFUNCTION("INDIRECT(""'收支紀錄'!A""&amp;TO_TEXT(ROW()-$C$72))"),45694.902321875)</f>
        <v>45694.90232</v>
      </c>
      <c r="B659" s="59">
        <f>IFERROR(__xludf.DUMMYFUNCTION("IF(ISBLANK(D659), """", IF(ISDATE(D659), D659, IF(D659=""今天"", A659, IF(D659=""昨天 (-1 day)"", A659-1, IF(D659=""前天 (-2 days)"", A659-2, IF(D659=""明天 (+1 day)"", A659+1, DATE(LEFT(D659,4), MID(D659,5,2), RIGHT(D659,2))))))))"),45689.0)</f>
        <v>45689</v>
      </c>
      <c r="C659" s="60">
        <f>IFERROR(__xludf.DUMMYFUNCTION("INDIRECT(""'收支紀錄'!C""&amp;TO_TEXT(ROW()-$C$72))"),20000.0)</f>
        <v>20000</v>
      </c>
      <c r="D659" s="63">
        <f>IFERROR(__xludf.DUMMYFUNCTION("INDIRECT(""'收支紀錄'!D""&amp;TO_TEXT(ROW()-$C$72))"),2.0250201E7)</f>
        <v>20250201</v>
      </c>
      <c r="E659" s="61" t="str">
        <f>IFERROR(__xludf.DUMMYFUNCTION("INDIRECT(""'收支紀錄'!E""&amp;TO_TEXT(ROW()-$C$72))"),"")</f>
        <v/>
      </c>
      <c r="F659" s="61" t="str">
        <f>IFERROR(__xludf.DUMMYFUNCTION("INDIRECT(""'收支紀錄'!F""&amp;TO_TEXT(ROW()-$C$72))"),"")</f>
        <v/>
      </c>
      <c r="G659" s="61" t="str">
        <f>IFERROR(__xludf.DUMMYFUNCTION("INDIRECT(""'收支紀錄'!G""&amp;TO_TEXT(ROW()-$C$72))"),"")</f>
        <v/>
      </c>
      <c r="H659" s="61" t="str">
        <f>IFERROR(__xludf.DUMMYFUNCTION("INDIRECT(""'收支紀錄'!H""&amp;TO_TEXT(ROW()-$C$72))"),"房屋支出")</f>
        <v>房屋支出</v>
      </c>
      <c r="I659" s="61" t="str">
        <f>IFERROR(__xludf.DUMMYFUNCTION("INDIRECT(""'收支紀錄'!I""&amp;TO_TEXT(ROW()-$C$72))"),"")</f>
        <v/>
      </c>
      <c r="J659" s="61" t="str">
        <f>IFERROR(__xludf.DUMMYFUNCTION("INDIRECT(""'收支紀錄'!J""&amp;TO_TEXT(ROW()-$C$72))"),"")</f>
        <v/>
      </c>
      <c r="K659" s="61" t="str">
        <f>IFERROR(__xludf.DUMMYFUNCTION("INDIRECT(""'收支紀錄'!K""&amp;TO_TEXT(ROW()-$C$72))"),"文心1房貸代繳")</f>
        <v>文心1房貸代繳</v>
      </c>
      <c r="L659" s="61" t="str">
        <f>IFERROR(__xludf.DUMMYFUNCTION("INDIRECT(""'收支紀錄'!L""&amp;TO_TEXT(ROW()-$C$72))"),"")</f>
        <v/>
      </c>
      <c r="M659" s="61" t="str">
        <f>IFERROR(__xludf.DUMMYFUNCTION("INDIRECT(""'收支紀錄'!M""&amp;TO_TEXT(ROW()-$C$72))"),"")</f>
        <v/>
      </c>
      <c r="N659" s="61" t="str">
        <f>IFERROR(__xludf.DUMMYFUNCTION("INDIRECT(""'收支紀錄'!N""&amp;TO_TEXT(ROW()-$C$72))"),"")</f>
        <v/>
      </c>
      <c r="O659" s="61" t="str">
        <f>IFERROR(__xludf.DUMMYFUNCTION("INDIRECT(""'收支紀錄'!O""&amp;TO_TEXT(ROW()-$C$72))"),"")</f>
        <v/>
      </c>
      <c r="P659" s="61" t="str">
        <f>IFERROR(__xludf.DUMMYFUNCTION("INDIRECT(""'收支紀錄'!P""&amp;TO_TEXT(ROW()-$C$72))"),"")</f>
        <v/>
      </c>
      <c r="Q659" s="61" t="str">
        <f>IFERROR(__xludf.DUMMYFUNCTION("INDIRECT(""'收支紀錄'!Q""&amp;TO_TEXT(ROW()-$C$72))"),"")</f>
        <v/>
      </c>
      <c r="R659" s="61" t="str">
        <f>IFERROR(__xludf.DUMMYFUNCTION("INDIRECT(""'收支紀錄'!R""&amp;TO_TEXT(ROW()-$C$72))"),"")</f>
        <v/>
      </c>
      <c r="S659" s="61" t="str">
        <f>IFERROR(__xludf.DUMMYFUNCTION("INDIRECT(""'收支紀錄'!S""&amp;TO_TEXT(ROW()-$C$72))"),"")</f>
        <v/>
      </c>
      <c r="T659" s="61" t="str">
        <f>IFERROR(__xludf.DUMMYFUNCTION("INDIRECT(""'收支紀錄'!T""&amp;TO_TEXT(ROW()-$C$72))"),"")</f>
        <v/>
      </c>
      <c r="U659" s="62" t="str">
        <f>IFERROR(__xludf.DUMMYFUNCTION("IF(T659=""是"",TEXTJOIN("""", TRUE, ""$"", TO_TEXT(C659), S659),"""")"),"")</f>
        <v/>
      </c>
    </row>
    <row r="660">
      <c r="A660" s="58">
        <f>IFERROR(__xludf.DUMMYFUNCTION("INDIRECT(""'收支紀錄'!A""&amp;TO_TEXT(ROW()-$C$72))"),45694.90256657408)</f>
        <v>45694.90257</v>
      </c>
      <c r="B660" s="59">
        <f>IFERROR(__xludf.DUMMYFUNCTION("IF(ISBLANK(D660), """", IF(ISDATE(D660), D660, IF(D660=""今天"", A660, IF(D660=""昨天 (-1 day)"", A660-1, IF(D660=""前天 (-2 days)"", A660-2, IF(D660=""明天 (+1 day)"", A660+1, DATE(LEFT(D660,4), MID(D660,5,2), RIGHT(D660,2))))))))"),45689.0)</f>
        <v>45689</v>
      </c>
      <c r="C660" s="60">
        <f>IFERROR(__xludf.DUMMYFUNCTION("INDIRECT(""'收支紀錄'!C""&amp;TO_TEXT(ROW()-$C$72))"),6000.0)</f>
        <v>6000</v>
      </c>
      <c r="D660" s="63">
        <f>IFERROR(__xludf.DUMMYFUNCTION("INDIRECT(""'收支紀錄'!D""&amp;TO_TEXT(ROW()-$C$72))"),2.0250201E7)</f>
        <v>20250201</v>
      </c>
      <c r="E660" s="61" t="str">
        <f>IFERROR(__xludf.DUMMYFUNCTION("INDIRECT(""'收支紀錄'!E""&amp;TO_TEXT(ROW()-$C$72))"),"")</f>
        <v/>
      </c>
      <c r="F660" s="61" t="str">
        <f>IFERROR(__xludf.DUMMYFUNCTION("INDIRECT(""'收支紀錄'!F""&amp;TO_TEXT(ROW()-$C$72))"),"")</f>
        <v/>
      </c>
      <c r="G660" s="61" t="str">
        <f>IFERROR(__xludf.DUMMYFUNCTION("INDIRECT(""'收支紀錄'!G""&amp;TO_TEXT(ROW()-$C$72))"),"")</f>
        <v/>
      </c>
      <c r="H660" s="61" t="str">
        <f>IFERROR(__xludf.DUMMYFUNCTION("INDIRECT(""'收支紀錄'!H""&amp;TO_TEXT(ROW()-$C$72))"),"房屋支出")</f>
        <v>房屋支出</v>
      </c>
      <c r="I660" s="61" t="str">
        <f>IFERROR(__xludf.DUMMYFUNCTION("INDIRECT(""'收支紀錄'!I""&amp;TO_TEXT(ROW()-$C$72))"),"")</f>
        <v/>
      </c>
      <c r="J660" s="61" t="str">
        <f>IFERROR(__xludf.DUMMYFUNCTION("INDIRECT(""'收支紀錄'!J""&amp;TO_TEXT(ROW()-$C$72))"),"")</f>
        <v/>
      </c>
      <c r="K660" s="61" t="str">
        <f>IFERROR(__xludf.DUMMYFUNCTION("INDIRECT(""'收支紀錄'!K""&amp;TO_TEXT(ROW()-$C$72))"),"租屋")</f>
        <v>租屋</v>
      </c>
      <c r="L660" s="61" t="str">
        <f>IFERROR(__xludf.DUMMYFUNCTION("INDIRECT(""'收支紀錄'!L""&amp;TO_TEXT(ROW()-$C$72))"),"")</f>
        <v/>
      </c>
      <c r="M660" s="61" t="str">
        <f>IFERROR(__xludf.DUMMYFUNCTION("INDIRECT(""'收支紀錄'!M""&amp;TO_TEXT(ROW()-$C$72))"),"")</f>
        <v/>
      </c>
      <c r="N660" s="61" t="str">
        <f>IFERROR(__xludf.DUMMYFUNCTION("INDIRECT(""'收支紀錄'!N""&amp;TO_TEXT(ROW()-$C$72))"),"")</f>
        <v/>
      </c>
      <c r="O660" s="61" t="str">
        <f>IFERROR(__xludf.DUMMYFUNCTION("INDIRECT(""'收支紀錄'!O""&amp;TO_TEXT(ROW()-$C$72))"),"")</f>
        <v/>
      </c>
      <c r="P660" s="61" t="str">
        <f>IFERROR(__xludf.DUMMYFUNCTION("INDIRECT(""'收支紀錄'!P""&amp;TO_TEXT(ROW()-$C$72))"),"")</f>
        <v/>
      </c>
      <c r="Q660" s="61" t="str">
        <f>IFERROR(__xludf.DUMMYFUNCTION("INDIRECT(""'收支紀錄'!Q""&amp;TO_TEXT(ROW()-$C$72))"),"")</f>
        <v/>
      </c>
      <c r="R660" s="61" t="str">
        <f>IFERROR(__xludf.DUMMYFUNCTION("INDIRECT(""'收支紀錄'!R""&amp;TO_TEXT(ROW()-$C$72))"),"")</f>
        <v/>
      </c>
      <c r="S660" s="61" t="str">
        <f>IFERROR(__xludf.DUMMYFUNCTION("INDIRECT(""'收支紀錄'!S""&amp;TO_TEXT(ROW()-$C$72))"),"")</f>
        <v/>
      </c>
      <c r="T660" s="61" t="str">
        <f>IFERROR(__xludf.DUMMYFUNCTION("INDIRECT(""'收支紀錄'!T""&amp;TO_TEXT(ROW()-$C$72))"),"")</f>
        <v/>
      </c>
      <c r="U660" s="62" t="str">
        <f>IFERROR(__xludf.DUMMYFUNCTION("IF(T660=""是"",TEXTJOIN("""", TRUE, ""$"", TO_TEXT(C660), S660),"""")"),"")</f>
        <v/>
      </c>
    </row>
    <row r="661">
      <c r="A661" s="58">
        <f>IFERROR(__xludf.DUMMYFUNCTION("INDIRECT(""'收支紀錄'!A""&amp;TO_TEXT(ROW()-$C$72))"),45694.90347611111)</f>
        <v>45694.90348</v>
      </c>
      <c r="B661" s="59">
        <f>IFERROR(__xludf.DUMMYFUNCTION("IF(ISBLANK(D661), """", IF(ISDATE(D661), D661, IF(D661=""今天"", A661, IF(D661=""昨天 (-1 day)"", A661-1, IF(D661=""前天 (-2 days)"", A661-2, IF(D661=""明天 (+1 day)"", A661+1, DATE(LEFT(D661,4), MID(D661,5,2), RIGHT(D661,2))))))))"),45688.0)</f>
        <v>45688</v>
      </c>
      <c r="C661" s="60">
        <f>IFERROR(__xludf.DUMMYFUNCTION("INDIRECT(""'收支紀錄'!C""&amp;TO_TEXT(ROW()-$C$72))"),12.0)</f>
        <v>12</v>
      </c>
      <c r="D661" s="63">
        <f>IFERROR(__xludf.DUMMYFUNCTION("INDIRECT(""'收支紀錄'!D""&amp;TO_TEXT(ROW()-$C$72))"),2.0250131E7)</f>
        <v>20250131</v>
      </c>
      <c r="E661" s="61" t="str">
        <f>IFERROR(__xludf.DUMMYFUNCTION("INDIRECT(""'收支紀錄'!E""&amp;TO_TEXT(ROW()-$C$72))"),"")</f>
        <v/>
      </c>
      <c r="F661" s="61" t="str">
        <f>IFERROR(__xludf.DUMMYFUNCTION("INDIRECT(""'收支紀錄'!F""&amp;TO_TEXT(ROW()-$C$72))"),"")</f>
        <v/>
      </c>
      <c r="G661" s="61" t="str">
        <f>IFERROR(__xludf.DUMMYFUNCTION("INDIRECT(""'收支紀錄'!G""&amp;TO_TEXT(ROW()-$C$72))"),"")</f>
        <v/>
      </c>
      <c r="H661" s="61" t="str">
        <f>IFERROR(__xludf.DUMMYFUNCTION("INDIRECT(""'收支紀錄'!H""&amp;TO_TEXT(ROW()-$C$72))"),"行車交通")</f>
        <v>行車交通</v>
      </c>
      <c r="I661" s="61" t="str">
        <f>IFERROR(__xludf.DUMMYFUNCTION("INDIRECT(""'收支紀錄'!I""&amp;TO_TEXT(ROW()-$C$72))"),"")</f>
        <v/>
      </c>
      <c r="J661" s="61" t="str">
        <f>IFERROR(__xludf.DUMMYFUNCTION("INDIRECT(""'收支紀錄'!J""&amp;TO_TEXT(ROW()-$C$72))"),"")</f>
        <v/>
      </c>
      <c r="K661" s="61" t="str">
        <f>IFERROR(__xludf.DUMMYFUNCTION("INDIRECT(""'收支紀錄'!K""&amp;TO_TEXT(ROW()-$C$72))"),"")</f>
        <v/>
      </c>
      <c r="L661" s="61" t="str">
        <f>IFERROR(__xludf.DUMMYFUNCTION("INDIRECT(""'收支紀錄'!L""&amp;TO_TEXT(ROW()-$C$72))"),"停車")</f>
        <v>停車</v>
      </c>
      <c r="M661" s="61" t="str">
        <f>IFERROR(__xludf.DUMMYFUNCTION("INDIRECT(""'收支紀錄'!M""&amp;TO_TEXT(ROW()-$C$72))"),"")</f>
        <v/>
      </c>
      <c r="N661" s="61" t="str">
        <f>IFERROR(__xludf.DUMMYFUNCTION("INDIRECT(""'收支紀錄'!N""&amp;TO_TEXT(ROW()-$C$72))"),"")</f>
        <v/>
      </c>
      <c r="O661" s="61" t="str">
        <f>IFERROR(__xludf.DUMMYFUNCTION("INDIRECT(""'收支紀錄'!O""&amp;TO_TEXT(ROW()-$C$72))"),"")</f>
        <v/>
      </c>
      <c r="P661" s="61" t="str">
        <f>IFERROR(__xludf.DUMMYFUNCTION("INDIRECT(""'收支紀錄'!P""&amp;TO_TEXT(ROW()-$C$72))"),"")</f>
        <v/>
      </c>
      <c r="Q661" s="61" t="str">
        <f>IFERROR(__xludf.DUMMYFUNCTION("INDIRECT(""'收支紀錄'!Q""&amp;TO_TEXT(ROW()-$C$72))"),"")</f>
        <v/>
      </c>
      <c r="R661" s="61" t="str">
        <f>IFERROR(__xludf.DUMMYFUNCTION("INDIRECT(""'收支紀錄'!R""&amp;TO_TEXT(ROW()-$C$72))"),"")</f>
        <v/>
      </c>
      <c r="S661" s="61" t="str">
        <f>IFERROR(__xludf.DUMMYFUNCTION("INDIRECT(""'收支紀錄'!S""&amp;TO_TEXT(ROW()-$C$72))"),"")</f>
        <v/>
      </c>
      <c r="T661" s="61" t="str">
        <f>IFERROR(__xludf.DUMMYFUNCTION("INDIRECT(""'收支紀錄'!T""&amp;TO_TEXT(ROW()-$C$72))"),"")</f>
        <v/>
      </c>
      <c r="U661" s="62" t="str">
        <f>IFERROR(__xludf.DUMMYFUNCTION("IF(T661=""是"",TEXTJOIN("""", TRUE, ""$"", TO_TEXT(C661), S661),"""")"),"")</f>
        <v/>
      </c>
    </row>
    <row r="662">
      <c r="A662" s="58">
        <f>IFERROR(__xludf.DUMMYFUNCTION("INDIRECT(""'收支紀錄'!A""&amp;TO_TEXT(ROW()-$C$72))"),45695.926459560185)</f>
        <v>45695.92646</v>
      </c>
      <c r="B662" s="59">
        <f>IFERROR(__xludf.DUMMYFUNCTION("IF(ISBLANK(D662), """", IF(ISDATE(D662), D662, IF(D662=""今天"", A662, IF(D662=""昨天 (-1 day)"", A662-1, IF(D662=""前天 (-2 days)"", A662-2, IF(D662=""明天 (+1 day)"", A662+1, DATE(LEFT(D662,4), MID(D662,5,2), RIGHT(D662,2))))))))"),45695.926459560185)</f>
        <v>45695.92646</v>
      </c>
      <c r="C662" s="60">
        <f>IFERROR(__xludf.DUMMYFUNCTION("INDIRECT(""'收支紀錄'!C""&amp;TO_TEXT(ROW()-$C$72))"),250.0)</f>
        <v>250</v>
      </c>
      <c r="D662" s="63" t="str">
        <f>IFERROR(__xludf.DUMMYFUNCTION("INDIRECT(""'收支紀錄'!D""&amp;TO_TEXT(ROW()-$C$72))"),"今天")</f>
        <v>今天</v>
      </c>
      <c r="E662" s="61" t="str">
        <f>IFERROR(__xludf.DUMMYFUNCTION("INDIRECT(""'收支紀錄'!E""&amp;TO_TEXT(ROW()-$C$72))"),"")</f>
        <v/>
      </c>
      <c r="F662" s="61" t="str">
        <f>IFERROR(__xludf.DUMMYFUNCTION("INDIRECT(""'收支紀錄'!F""&amp;TO_TEXT(ROW()-$C$72))"),"")</f>
        <v/>
      </c>
      <c r="G662" s="61" t="str">
        <f>IFERROR(__xludf.DUMMYFUNCTION("INDIRECT(""'收支紀錄'!G""&amp;TO_TEXT(ROW()-$C$72))"),"")</f>
        <v/>
      </c>
      <c r="H662" s="61" t="str">
        <f>IFERROR(__xludf.DUMMYFUNCTION("INDIRECT(""'收支紀錄'!H""&amp;TO_TEXT(ROW()-$C$72))"),"醫療費用")</f>
        <v>醫療費用</v>
      </c>
      <c r="I662" s="61" t="str">
        <f>IFERROR(__xludf.DUMMYFUNCTION("INDIRECT(""'收支紀錄'!I""&amp;TO_TEXT(ROW()-$C$72))"),"")</f>
        <v/>
      </c>
      <c r="J662" s="61" t="str">
        <f>IFERROR(__xludf.DUMMYFUNCTION("INDIRECT(""'收支紀錄'!J""&amp;TO_TEXT(ROW()-$C$72))"),"")</f>
        <v/>
      </c>
      <c r="K662" s="61" t="str">
        <f>IFERROR(__xludf.DUMMYFUNCTION("INDIRECT(""'收支紀錄'!K""&amp;TO_TEXT(ROW()-$C$72))"),"")</f>
        <v/>
      </c>
      <c r="L662" s="61" t="str">
        <f>IFERROR(__xludf.DUMMYFUNCTION("INDIRECT(""'收支紀錄'!L""&amp;TO_TEXT(ROW()-$C$72))"),"")</f>
        <v/>
      </c>
      <c r="M662" s="61" t="str">
        <f>IFERROR(__xludf.DUMMYFUNCTION("INDIRECT(""'收支紀錄'!M""&amp;TO_TEXT(ROW()-$C$72))"),"")</f>
        <v/>
      </c>
      <c r="N662" s="61" t="str">
        <f>IFERROR(__xludf.DUMMYFUNCTION("INDIRECT(""'收支紀錄'!N""&amp;TO_TEXT(ROW()-$C$72))"),"")</f>
        <v/>
      </c>
      <c r="O662" s="61" t="str">
        <f>IFERROR(__xludf.DUMMYFUNCTION("INDIRECT(""'收支紀錄'!O""&amp;TO_TEXT(ROW()-$C$72))"),"生病醫療")</f>
        <v>生病醫療</v>
      </c>
      <c r="P662" s="61" t="str">
        <f>IFERROR(__xludf.DUMMYFUNCTION("INDIRECT(""'收支紀錄'!P""&amp;TO_TEXT(ROW()-$C$72))"),"")</f>
        <v/>
      </c>
      <c r="Q662" s="61" t="str">
        <f>IFERROR(__xludf.DUMMYFUNCTION("INDIRECT(""'收支紀錄'!Q""&amp;TO_TEXT(ROW()-$C$72))"),"")</f>
        <v/>
      </c>
      <c r="R662" s="61" t="str">
        <f>IFERROR(__xludf.DUMMYFUNCTION("INDIRECT(""'收支紀錄'!R""&amp;TO_TEXT(ROW()-$C$72))"),"")</f>
        <v/>
      </c>
      <c r="S662" s="61" t="str">
        <f>IFERROR(__xludf.DUMMYFUNCTION("INDIRECT(""'收支紀錄'!S""&amp;TO_TEXT(ROW()-$C$72))"),"")</f>
        <v/>
      </c>
      <c r="T662" s="61" t="str">
        <f>IFERROR(__xludf.DUMMYFUNCTION("INDIRECT(""'收支紀錄'!T""&amp;TO_TEXT(ROW()-$C$72))"),"")</f>
        <v/>
      </c>
      <c r="U662" s="62" t="str">
        <f>IFERROR(__xludf.DUMMYFUNCTION("IF(T662=""是"",TEXTJOIN("""", TRUE, ""$"", TO_TEXT(C662), S662),"""")"),"")</f>
        <v/>
      </c>
    </row>
    <row r="663">
      <c r="A663" s="58">
        <f>IFERROR(__xludf.DUMMYFUNCTION("INDIRECT(""'收支紀錄'!A""&amp;TO_TEXT(ROW()-$C$72))"),45696.48572398148)</f>
        <v>45696.48572</v>
      </c>
      <c r="B663" s="59">
        <f>IFERROR(__xludf.DUMMYFUNCTION("IF(ISBLANK(D663), """", IF(ISDATE(D663), D663, IF(D663=""今天"", A663, IF(D663=""昨天 (-1 day)"", A663-1, IF(D663=""前天 (-2 days)"", A663-2, IF(D663=""明天 (+1 day)"", A663+1, DATE(LEFT(D663,4), MID(D663,5,2), RIGHT(D663,2))))))))"),45696.48572398148)</f>
        <v>45696.48572</v>
      </c>
      <c r="C663" s="60">
        <f>IFERROR(__xludf.DUMMYFUNCTION("INDIRECT(""'收支紀錄'!C""&amp;TO_TEXT(ROW()-$C$72))"),20.0)</f>
        <v>20</v>
      </c>
      <c r="D663" s="63" t="str">
        <f>IFERROR(__xludf.DUMMYFUNCTION("INDIRECT(""'收支紀錄'!D""&amp;TO_TEXT(ROW()-$C$72))"),"今天")</f>
        <v>今天</v>
      </c>
      <c r="E663" s="61" t="str">
        <f>IFERROR(__xludf.DUMMYFUNCTION("INDIRECT(""'收支紀錄'!E""&amp;TO_TEXT(ROW()-$C$72))"),"")</f>
        <v/>
      </c>
      <c r="F663" s="61" t="str">
        <f>IFERROR(__xludf.DUMMYFUNCTION("INDIRECT(""'收支紀錄'!F""&amp;TO_TEXT(ROW()-$C$72))"),"")</f>
        <v/>
      </c>
      <c r="G663" s="61" t="str">
        <f>IFERROR(__xludf.DUMMYFUNCTION("INDIRECT(""'收支紀錄'!G""&amp;TO_TEXT(ROW()-$C$72))"),"")</f>
        <v/>
      </c>
      <c r="H663" s="61" t="str">
        <f>IFERROR(__xludf.DUMMYFUNCTION("INDIRECT(""'收支紀錄'!H""&amp;TO_TEXT(ROW()-$C$72))"),"醫療費用")</f>
        <v>醫療費用</v>
      </c>
      <c r="I663" s="61" t="str">
        <f>IFERROR(__xludf.DUMMYFUNCTION("INDIRECT(""'收支紀錄'!I""&amp;TO_TEXT(ROW()-$C$72))"),"")</f>
        <v/>
      </c>
      <c r="J663" s="61" t="str">
        <f>IFERROR(__xludf.DUMMYFUNCTION("INDIRECT(""'收支紀錄'!J""&amp;TO_TEXT(ROW()-$C$72))"),"")</f>
        <v/>
      </c>
      <c r="K663" s="61" t="str">
        <f>IFERROR(__xludf.DUMMYFUNCTION("INDIRECT(""'收支紀錄'!K""&amp;TO_TEXT(ROW()-$C$72))"),"")</f>
        <v/>
      </c>
      <c r="L663" s="61" t="str">
        <f>IFERROR(__xludf.DUMMYFUNCTION("INDIRECT(""'收支紀錄'!L""&amp;TO_TEXT(ROW()-$C$72))"),"")</f>
        <v/>
      </c>
      <c r="M663" s="61" t="str">
        <f>IFERROR(__xludf.DUMMYFUNCTION("INDIRECT(""'收支紀錄'!M""&amp;TO_TEXT(ROW()-$C$72))"),"")</f>
        <v/>
      </c>
      <c r="N663" s="61" t="str">
        <f>IFERROR(__xludf.DUMMYFUNCTION("INDIRECT(""'收支紀錄'!N""&amp;TO_TEXT(ROW()-$C$72))"),"")</f>
        <v/>
      </c>
      <c r="O663" s="61" t="str">
        <f>IFERROR(__xludf.DUMMYFUNCTION("INDIRECT(""'收支紀錄'!O""&amp;TO_TEXT(ROW()-$C$72))"),"生病醫療")</f>
        <v>生病醫療</v>
      </c>
      <c r="P663" s="61" t="str">
        <f>IFERROR(__xludf.DUMMYFUNCTION("INDIRECT(""'收支紀錄'!P""&amp;TO_TEXT(ROW()-$C$72))"),"")</f>
        <v/>
      </c>
      <c r="Q663" s="61" t="str">
        <f>IFERROR(__xludf.DUMMYFUNCTION("INDIRECT(""'收支紀錄'!Q""&amp;TO_TEXT(ROW()-$C$72))"),"")</f>
        <v/>
      </c>
      <c r="R663" s="61" t="str">
        <f>IFERROR(__xludf.DUMMYFUNCTION("INDIRECT(""'收支紀錄'!R""&amp;TO_TEXT(ROW()-$C$72))"),"")</f>
        <v/>
      </c>
      <c r="S663" s="61" t="str">
        <f>IFERROR(__xludf.DUMMYFUNCTION("INDIRECT(""'收支紀錄'!S""&amp;TO_TEXT(ROW()-$C$72))"),"")</f>
        <v/>
      </c>
      <c r="T663" s="61" t="str">
        <f>IFERROR(__xludf.DUMMYFUNCTION("INDIRECT(""'收支紀錄'!T""&amp;TO_TEXT(ROW()-$C$72))"),"")</f>
        <v/>
      </c>
      <c r="U663" s="62" t="str">
        <f>IFERROR(__xludf.DUMMYFUNCTION("IF(T663=""是"",TEXTJOIN("""", TRUE, ""$"", TO_TEXT(C663), S663),"""")"),"")</f>
        <v/>
      </c>
    </row>
    <row r="664">
      <c r="A664" s="58">
        <f>IFERROR(__xludf.DUMMYFUNCTION("INDIRECT(""'收支紀錄'!A""&amp;TO_TEXT(ROW()-$C$72))"),45696.485998379634)</f>
        <v>45696.486</v>
      </c>
      <c r="B664" s="59">
        <f>IFERROR(__xludf.DUMMYFUNCTION("IF(ISBLANK(D664), """", IF(ISDATE(D664), D664, IF(D664=""今天"", A664, IF(D664=""昨天 (-1 day)"", A664-1, IF(D664=""前天 (-2 days)"", A664-2, IF(D664=""明天 (+1 day)"", A664+1, DATE(LEFT(D664,4), MID(D664,5,2), RIGHT(D664,2))))))))"),45696.485998379634)</f>
        <v>45696.486</v>
      </c>
      <c r="C664" s="60">
        <f>IFERROR(__xludf.DUMMYFUNCTION("INDIRECT(""'收支紀錄'!C""&amp;TO_TEXT(ROW()-$C$72))"),200.0)</f>
        <v>200</v>
      </c>
      <c r="D664" s="63" t="str">
        <f>IFERROR(__xludf.DUMMYFUNCTION("INDIRECT(""'收支紀錄'!D""&amp;TO_TEXT(ROW()-$C$72))"),"今天")</f>
        <v>今天</v>
      </c>
      <c r="E664" s="61" t="str">
        <f>IFERROR(__xludf.DUMMYFUNCTION("INDIRECT(""'收支紀錄'!E""&amp;TO_TEXT(ROW()-$C$72))"),"")</f>
        <v/>
      </c>
      <c r="F664" s="61" t="str">
        <f>IFERROR(__xludf.DUMMYFUNCTION("INDIRECT(""'收支紀錄'!F""&amp;TO_TEXT(ROW()-$C$72))"),"")</f>
        <v/>
      </c>
      <c r="G664" s="61" t="str">
        <f>IFERROR(__xludf.DUMMYFUNCTION("INDIRECT(""'收支紀錄'!G""&amp;TO_TEXT(ROW()-$C$72))"),"")</f>
        <v/>
      </c>
      <c r="H664" s="61" t="str">
        <f>IFERROR(__xludf.DUMMYFUNCTION("INDIRECT(""'收支紀錄'!H""&amp;TO_TEXT(ROW()-$C$72))"),"醫療費用")</f>
        <v>醫療費用</v>
      </c>
      <c r="I664" s="61" t="str">
        <f>IFERROR(__xludf.DUMMYFUNCTION("INDIRECT(""'收支紀錄'!I""&amp;TO_TEXT(ROW()-$C$72))"),"")</f>
        <v/>
      </c>
      <c r="J664" s="61" t="str">
        <f>IFERROR(__xludf.DUMMYFUNCTION("INDIRECT(""'收支紀錄'!J""&amp;TO_TEXT(ROW()-$C$72))"),"")</f>
        <v/>
      </c>
      <c r="K664" s="61" t="str">
        <f>IFERROR(__xludf.DUMMYFUNCTION("INDIRECT(""'收支紀錄'!K""&amp;TO_TEXT(ROW()-$C$72))"),"")</f>
        <v/>
      </c>
      <c r="L664" s="61" t="str">
        <f>IFERROR(__xludf.DUMMYFUNCTION("INDIRECT(""'收支紀錄'!L""&amp;TO_TEXT(ROW()-$C$72))"),"")</f>
        <v/>
      </c>
      <c r="M664" s="61" t="str">
        <f>IFERROR(__xludf.DUMMYFUNCTION("INDIRECT(""'收支紀錄'!M""&amp;TO_TEXT(ROW()-$C$72))"),"")</f>
        <v/>
      </c>
      <c r="N664" s="61" t="str">
        <f>IFERROR(__xludf.DUMMYFUNCTION("INDIRECT(""'收支紀錄'!N""&amp;TO_TEXT(ROW()-$C$72))"),"")</f>
        <v/>
      </c>
      <c r="O664" s="61" t="str">
        <f>IFERROR(__xludf.DUMMYFUNCTION("INDIRECT(""'收支紀錄'!O""&amp;TO_TEXT(ROW()-$C$72))"),"生病醫療")</f>
        <v>生病醫療</v>
      </c>
      <c r="P664" s="61" t="str">
        <f>IFERROR(__xludf.DUMMYFUNCTION("INDIRECT(""'收支紀錄'!P""&amp;TO_TEXT(ROW()-$C$72))"),"")</f>
        <v/>
      </c>
      <c r="Q664" s="61" t="str">
        <f>IFERROR(__xludf.DUMMYFUNCTION("INDIRECT(""'收支紀錄'!Q""&amp;TO_TEXT(ROW()-$C$72))"),"")</f>
        <v/>
      </c>
      <c r="R664" s="61" t="str">
        <f>IFERROR(__xludf.DUMMYFUNCTION("INDIRECT(""'收支紀錄'!R""&amp;TO_TEXT(ROW()-$C$72))"),"")</f>
        <v/>
      </c>
      <c r="S664" s="61" t="str">
        <f>IFERROR(__xludf.DUMMYFUNCTION("INDIRECT(""'收支紀錄'!S""&amp;TO_TEXT(ROW()-$C$72))"),"")</f>
        <v/>
      </c>
      <c r="T664" s="61" t="str">
        <f>IFERROR(__xludf.DUMMYFUNCTION("INDIRECT(""'收支紀錄'!T""&amp;TO_TEXT(ROW()-$C$72))"),"")</f>
        <v/>
      </c>
      <c r="U664" s="62" t="str">
        <f>IFERROR(__xludf.DUMMYFUNCTION("IF(T664=""是"",TEXTJOIN("""", TRUE, ""$"", TO_TEXT(C664), S664),"""")"),"")</f>
        <v/>
      </c>
    </row>
    <row r="665">
      <c r="A665" s="58">
        <f>IFERROR(__xludf.DUMMYFUNCTION("INDIRECT(""'收支紀錄'!A""&amp;TO_TEXT(ROW()-$C$72))"),45696.556420740744)</f>
        <v>45696.55642</v>
      </c>
      <c r="B665" s="59">
        <f>IFERROR(__xludf.DUMMYFUNCTION("IF(ISBLANK(D665), """", IF(ISDATE(D665), D665, IF(D665=""今天"", A665, IF(D665=""昨天 (-1 day)"", A665-1, IF(D665=""前天 (-2 days)"", A665-2, IF(D665=""明天 (+1 day)"", A665+1, DATE(LEFT(D665,4), MID(D665,5,2), RIGHT(D665,2))))))))"),45696.556420740744)</f>
        <v>45696.55642</v>
      </c>
      <c r="C665" s="60">
        <f>IFERROR(__xludf.DUMMYFUNCTION("INDIRECT(""'收支紀錄'!C""&amp;TO_TEXT(ROW()-$C$72))"),597.0)</f>
        <v>597</v>
      </c>
      <c r="D665" s="63" t="str">
        <f>IFERROR(__xludf.DUMMYFUNCTION("INDIRECT(""'收支紀錄'!D""&amp;TO_TEXT(ROW()-$C$72))"),"今天")</f>
        <v>今天</v>
      </c>
      <c r="E665" s="61" t="str">
        <f>IFERROR(__xludf.DUMMYFUNCTION("INDIRECT(""'收支紀錄'!E""&amp;TO_TEXT(ROW()-$C$72))"),"")</f>
        <v/>
      </c>
      <c r="F665" s="61" t="str">
        <f>IFERROR(__xludf.DUMMYFUNCTION("INDIRECT(""'收支紀錄'!F""&amp;TO_TEXT(ROW()-$C$72))"),"")</f>
        <v/>
      </c>
      <c r="G665" s="61" t="str">
        <f>IFERROR(__xludf.DUMMYFUNCTION("INDIRECT(""'收支紀錄'!G""&amp;TO_TEXT(ROW()-$C$72))"),"")</f>
        <v/>
      </c>
      <c r="H665" s="61" t="str">
        <f>IFERROR(__xludf.DUMMYFUNCTION("INDIRECT(""'收支紀錄'!H""&amp;TO_TEXT(ROW()-$C$72))"),"行車交通")</f>
        <v>行車交通</v>
      </c>
      <c r="I665" s="61" t="str">
        <f>IFERROR(__xludf.DUMMYFUNCTION("INDIRECT(""'收支紀錄'!I""&amp;TO_TEXT(ROW()-$C$72))"),"")</f>
        <v/>
      </c>
      <c r="J665" s="61" t="str">
        <f>IFERROR(__xludf.DUMMYFUNCTION("INDIRECT(""'收支紀錄'!J""&amp;TO_TEXT(ROW()-$C$72))"),"")</f>
        <v/>
      </c>
      <c r="K665" s="61" t="str">
        <f>IFERROR(__xludf.DUMMYFUNCTION("INDIRECT(""'收支紀錄'!K""&amp;TO_TEXT(ROW()-$C$72))"),"")</f>
        <v/>
      </c>
      <c r="L665" s="61" t="str">
        <f>IFERROR(__xludf.DUMMYFUNCTION("INDIRECT(""'收支紀錄'!L""&amp;TO_TEXT(ROW()-$C$72))"),"加油")</f>
        <v>加油</v>
      </c>
      <c r="M665" s="61" t="str">
        <f>IFERROR(__xludf.DUMMYFUNCTION("INDIRECT(""'收支紀錄'!M""&amp;TO_TEXT(ROW()-$C$72))"),"")</f>
        <v/>
      </c>
      <c r="N665" s="61" t="str">
        <f>IFERROR(__xludf.DUMMYFUNCTION("INDIRECT(""'收支紀錄'!N""&amp;TO_TEXT(ROW()-$C$72))"),"")</f>
        <v/>
      </c>
      <c r="O665" s="61" t="str">
        <f>IFERROR(__xludf.DUMMYFUNCTION("INDIRECT(""'收支紀錄'!O""&amp;TO_TEXT(ROW()-$C$72))"),"")</f>
        <v/>
      </c>
      <c r="P665" s="61" t="str">
        <f>IFERROR(__xludf.DUMMYFUNCTION("INDIRECT(""'收支紀錄'!P""&amp;TO_TEXT(ROW()-$C$72))"),"")</f>
        <v/>
      </c>
      <c r="Q665" s="61" t="str">
        <f>IFERROR(__xludf.DUMMYFUNCTION("INDIRECT(""'收支紀錄'!Q""&amp;TO_TEXT(ROW()-$C$72))"),"")</f>
        <v/>
      </c>
      <c r="R665" s="61" t="str">
        <f>IFERROR(__xludf.DUMMYFUNCTION("INDIRECT(""'收支紀錄'!R""&amp;TO_TEXT(ROW()-$C$72))"),"")</f>
        <v/>
      </c>
      <c r="S665" s="61" t="str">
        <f>IFERROR(__xludf.DUMMYFUNCTION("INDIRECT(""'收支紀錄'!S""&amp;TO_TEXT(ROW()-$C$72))"),"")</f>
        <v/>
      </c>
      <c r="T665" s="61" t="str">
        <f>IFERROR(__xludf.DUMMYFUNCTION("INDIRECT(""'收支紀錄'!T""&amp;TO_TEXT(ROW()-$C$72))"),"")</f>
        <v/>
      </c>
      <c r="U665" s="62" t="str">
        <f>IFERROR(__xludf.DUMMYFUNCTION("IF(T665=""是"",TEXTJOIN("""", TRUE, ""$"", TO_TEXT(C665), S665),"""")"),"")</f>
        <v/>
      </c>
    </row>
    <row r="666">
      <c r="A666" s="58">
        <f>IFERROR(__xludf.DUMMYFUNCTION("INDIRECT(""'收支紀錄'!A""&amp;TO_TEXT(ROW()-$C$72))"),45697.693317060184)</f>
        <v>45697.69332</v>
      </c>
      <c r="B666" s="59">
        <f>IFERROR(__xludf.DUMMYFUNCTION("IF(ISBLANK(D666), """", IF(ISDATE(D666), D666, IF(D666=""今天"", A666, IF(D666=""昨天 (-1 day)"", A666-1, IF(D666=""前天 (-2 days)"", A666-2, IF(D666=""明天 (+1 day)"", A666+1, DATE(LEFT(D666,4), MID(D666,5,2), RIGHT(D666,2))))))))"),45732.0)</f>
        <v>45732</v>
      </c>
      <c r="C666" s="60">
        <f>IFERROR(__xludf.DUMMYFUNCTION("INDIRECT(""'收支紀錄'!C""&amp;TO_TEXT(ROW()-$C$72))"),1080.0)</f>
        <v>1080</v>
      </c>
      <c r="D666" s="63">
        <f>IFERROR(__xludf.DUMMYFUNCTION("INDIRECT(""'收支紀錄'!D""&amp;TO_TEXT(ROW()-$C$72))"),2.0250316E7)</f>
        <v>20250316</v>
      </c>
      <c r="E666" s="61" t="str">
        <f>IFERROR(__xludf.DUMMYFUNCTION("INDIRECT(""'收支紀錄'!E""&amp;TO_TEXT(ROW()-$C$72))"),"")</f>
        <v/>
      </c>
      <c r="F666" s="61" t="str">
        <f>IFERROR(__xludf.DUMMYFUNCTION("INDIRECT(""'收支紀錄'!F""&amp;TO_TEXT(ROW()-$C$72))"),"")</f>
        <v/>
      </c>
      <c r="G666" s="61" t="str">
        <f>IFERROR(__xludf.DUMMYFUNCTION("INDIRECT(""'收支紀錄'!G""&amp;TO_TEXT(ROW()-$C$72))"),"")</f>
        <v/>
      </c>
      <c r="H666" s="61" t="str">
        <f>IFERROR(__xludf.DUMMYFUNCTION("INDIRECT(""'收支紀錄'!H""&amp;TO_TEXT(ROW()-$C$72))"),"休閒娛樂")</f>
        <v>休閒娛樂</v>
      </c>
      <c r="I666" s="61" t="str">
        <f>IFERROR(__xludf.DUMMYFUNCTION("INDIRECT(""'收支紀錄'!I""&amp;TO_TEXT(ROW()-$C$72))"),"")</f>
        <v/>
      </c>
      <c r="J666" s="61" t="str">
        <f>IFERROR(__xludf.DUMMYFUNCTION("INDIRECT(""'收支紀錄'!J""&amp;TO_TEXT(ROW()-$C$72))"),"")</f>
        <v/>
      </c>
      <c r="K666" s="61" t="str">
        <f>IFERROR(__xludf.DUMMYFUNCTION("INDIRECT(""'收支紀錄'!K""&amp;TO_TEXT(ROW()-$C$72))"),"")</f>
        <v/>
      </c>
      <c r="L666" s="61" t="str">
        <f>IFERROR(__xludf.DUMMYFUNCTION("INDIRECT(""'收支紀錄'!L""&amp;TO_TEXT(ROW()-$C$72))"),"")</f>
        <v/>
      </c>
      <c r="M666" s="61" t="str">
        <f>IFERROR(__xludf.DUMMYFUNCTION("INDIRECT(""'收支紀錄'!M""&amp;TO_TEXT(ROW()-$C$72))"),"運動健身")</f>
        <v>運動健身</v>
      </c>
      <c r="N666" s="61" t="str">
        <f>IFERROR(__xludf.DUMMYFUNCTION("INDIRECT(""'收支紀錄'!N""&amp;TO_TEXT(ROW()-$C$72))"),"")</f>
        <v/>
      </c>
      <c r="O666" s="61" t="str">
        <f>IFERROR(__xludf.DUMMYFUNCTION("INDIRECT(""'收支紀錄'!O""&amp;TO_TEXT(ROW()-$C$72))"),"")</f>
        <v/>
      </c>
      <c r="P666" s="61" t="str">
        <f>IFERROR(__xludf.DUMMYFUNCTION("INDIRECT(""'收支紀錄'!P""&amp;TO_TEXT(ROW()-$C$72))"),"")</f>
        <v/>
      </c>
      <c r="Q666" s="61" t="str">
        <f>IFERROR(__xludf.DUMMYFUNCTION("INDIRECT(""'收支紀錄'!Q""&amp;TO_TEXT(ROW()-$C$72))"),"")</f>
        <v/>
      </c>
      <c r="R666" s="61" t="str">
        <f>IFERROR(__xludf.DUMMYFUNCTION("INDIRECT(""'收支紀錄'!R""&amp;TO_TEXT(ROW()-$C$72))"),"")</f>
        <v/>
      </c>
      <c r="S666" s="61" t="str">
        <f>IFERROR(__xludf.DUMMYFUNCTION("INDIRECT(""'收支紀錄'!S""&amp;TO_TEXT(ROW()-$C$72))"),"")</f>
        <v/>
      </c>
      <c r="T666" s="61" t="str">
        <f>IFERROR(__xludf.DUMMYFUNCTION("INDIRECT(""'收支紀錄'!T""&amp;TO_TEXT(ROW()-$C$72))"),"")</f>
        <v/>
      </c>
      <c r="U666" s="62" t="str">
        <f>IFERROR(__xludf.DUMMYFUNCTION("IF(T666=""是"",TEXTJOIN("""", TRUE, ""$"", TO_TEXT(C666), S666),"""")"),"")</f>
        <v/>
      </c>
    </row>
    <row r="667">
      <c r="A667" s="58">
        <f>IFERROR(__xludf.DUMMYFUNCTION("INDIRECT(""'收支紀錄'!A""&amp;TO_TEXT(ROW()-$C$72))"),45697.919648877316)</f>
        <v>45697.91965</v>
      </c>
      <c r="B667" s="59">
        <f>IFERROR(__xludf.DUMMYFUNCTION("IF(ISBLANK(D667), """", IF(ISDATE(D667), D667, IF(D667=""今天"", A667, IF(D667=""昨天 (-1 day)"", A667-1, IF(D667=""前天 (-2 days)"", A667-2, IF(D667=""明天 (+1 day)"", A667+1, DATE(LEFT(D667,4), MID(D667,5,2), RIGHT(D667,2))))))))"),45697.919648877316)</f>
        <v>45697.91965</v>
      </c>
      <c r="C667" s="60">
        <f>IFERROR(__xludf.DUMMYFUNCTION("INDIRECT(""'收支紀錄'!C""&amp;TO_TEXT(ROW()-$C$72))"),1012.0)</f>
        <v>1012</v>
      </c>
      <c r="D667" s="63" t="str">
        <f>IFERROR(__xludf.DUMMYFUNCTION("INDIRECT(""'收支紀錄'!D""&amp;TO_TEXT(ROW()-$C$72))"),"今天")</f>
        <v>今天</v>
      </c>
      <c r="E667" s="61" t="str">
        <f>IFERROR(__xludf.DUMMYFUNCTION("INDIRECT(""'收支紀錄'!E""&amp;TO_TEXT(ROW()-$C$72))"),"")</f>
        <v/>
      </c>
      <c r="F667" s="61" t="str">
        <f>IFERROR(__xludf.DUMMYFUNCTION("INDIRECT(""'收支紀錄'!F""&amp;TO_TEXT(ROW()-$C$72))"),"")</f>
        <v/>
      </c>
      <c r="G667" s="61" t="str">
        <f>IFERROR(__xludf.DUMMYFUNCTION("INDIRECT(""'收支紀錄'!G""&amp;TO_TEXT(ROW()-$C$72))"),"")</f>
        <v/>
      </c>
      <c r="H667" s="61" t="str">
        <f>IFERROR(__xludf.DUMMYFUNCTION("INDIRECT(""'收支紀錄'!H""&amp;TO_TEXT(ROW()-$C$72))"),"食品酒水")</f>
        <v>食品酒水</v>
      </c>
      <c r="I667" s="61" t="str">
        <f>IFERROR(__xludf.DUMMYFUNCTION("INDIRECT(""'收支紀錄'!I""&amp;TO_TEXT(ROW()-$C$72))"),"晚餐")</f>
        <v>晚餐</v>
      </c>
      <c r="J667" s="61" t="str">
        <f>IFERROR(__xludf.DUMMYFUNCTION("INDIRECT(""'收支紀錄'!J""&amp;TO_TEXT(ROW()-$C$72))"),"")</f>
        <v/>
      </c>
      <c r="K667" s="61" t="str">
        <f>IFERROR(__xludf.DUMMYFUNCTION("INDIRECT(""'收支紀錄'!K""&amp;TO_TEXT(ROW()-$C$72))"),"")</f>
        <v/>
      </c>
      <c r="L667" s="61" t="str">
        <f>IFERROR(__xludf.DUMMYFUNCTION("INDIRECT(""'收支紀錄'!L""&amp;TO_TEXT(ROW()-$C$72))"),"")</f>
        <v/>
      </c>
      <c r="M667" s="61" t="str">
        <f>IFERROR(__xludf.DUMMYFUNCTION("INDIRECT(""'收支紀錄'!M""&amp;TO_TEXT(ROW()-$C$72))"),"")</f>
        <v/>
      </c>
      <c r="N667" s="61" t="str">
        <f>IFERROR(__xludf.DUMMYFUNCTION("INDIRECT(""'收支紀錄'!N""&amp;TO_TEXT(ROW()-$C$72))"),"")</f>
        <v/>
      </c>
      <c r="O667" s="61" t="str">
        <f>IFERROR(__xludf.DUMMYFUNCTION("INDIRECT(""'收支紀錄'!O""&amp;TO_TEXT(ROW()-$C$72))"),"")</f>
        <v/>
      </c>
      <c r="P667" s="61" t="str">
        <f>IFERROR(__xludf.DUMMYFUNCTION("INDIRECT(""'收支紀錄'!P""&amp;TO_TEXT(ROW()-$C$72))"),"")</f>
        <v/>
      </c>
      <c r="Q667" s="61" t="str">
        <f>IFERROR(__xludf.DUMMYFUNCTION("INDIRECT(""'收支紀錄'!Q""&amp;TO_TEXT(ROW()-$C$72))"),"")</f>
        <v/>
      </c>
      <c r="R667" s="61" t="str">
        <f>IFERROR(__xludf.DUMMYFUNCTION("INDIRECT(""'收支紀錄'!R""&amp;TO_TEXT(ROW()-$C$72))"),"")</f>
        <v/>
      </c>
      <c r="S667" s="61" t="str">
        <f>IFERROR(__xludf.DUMMYFUNCTION("INDIRECT(""'收支紀錄'!S""&amp;TO_TEXT(ROW()-$C$72))"),"")</f>
        <v/>
      </c>
      <c r="T667" s="61" t="str">
        <f>IFERROR(__xludf.DUMMYFUNCTION("INDIRECT(""'收支紀錄'!T""&amp;TO_TEXT(ROW()-$C$72))"),"")</f>
        <v/>
      </c>
      <c r="U667" s="62" t="str">
        <f>IFERROR(__xludf.DUMMYFUNCTION("IF(T667=""是"",TEXTJOIN("""", TRUE, ""$"", TO_TEXT(C667), S667),"""")"),"")</f>
        <v/>
      </c>
    </row>
    <row r="668">
      <c r="A668" s="58">
        <f>IFERROR(__xludf.DUMMYFUNCTION("INDIRECT(""'收支紀錄'!A""&amp;TO_TEXT(ROW()-$C$72))"),45697.91979641204)</f>
        <v>45697.9198</v>
      </c>
      <c r="B668" s="59">
        <f>IFERROR(__xludf.DUMMYFUNCTION("IF(ISBLANK(D668), """", IF(ISDATE(D668), D668, IF(D668=""今天"", A668, IF(D668=""昨天 (-1 day)"", A668-1, IF(D668=""前天 (-2 days)"", A668-2, IF(D668=""明天 (+1 day)"", A668+1, DATE(LEFT(D668,4), MID(D668,5,2), RIGHT(D668,2))))))))"),45697.91979641204)</f>
        <v>45697.9198</v>
      </c>
      <c r="C668" s="60">
        <f>IFERROR(__xludf.DUMMYFUNCTION("INDIRECT(""'收支紀錄'!C""&amp;TO_TEXT(ROW()-$C$72))"),1138.0)</f>
        <v>1138</v>
      </c>
      <c r="D668" s="63" t="str">
        <f>IFERROR(__xludf.DUMMYFUNCTION("INDIRECT(""'收支紀錄'!D""&amp;TO_TEXT(ROW()-$C$72))"),"今天")</f>
        <v>今天</v>
      </c>
      <c r="E668" s="61" t="str">
        <f>IFERROR(__xludf.DUMMYFUNCTION("INDIRECT(""'收支紀錄'!E""&amp;TO_TEXT(ROW()-$C$72))"),"")</f>
        <v/>
      </c>
      <c r="F668" s="61" t="str">
        <f>IFERROR(__xludf.DUMMYFUNCTION("INDIRECT(""'收支紀錄'!F""&amp;TO_TEXT(ROW()-$C$72))"),"")</f>
        <v/>
      </c>
      <c r="G668" s="61" t="str">
        <f>IFERROR(__xludf.DUMMYFUNCTION("INDIRECT(""'收支紀錄'!G""&amp;TO_TEXT(ROW()-$C$72))"),"")</f>
        <v/>
      </c>
      <c r="H668" s="61" t="str">
        <f>IFERROR(__xludf.DUMMYFUNCTION("INDIRECT(""'收支紀錄'!H""&amp;TO_TEXT(ROW()-$C$72))"),"食品酒水")</f>
        <v>食品酒水</v>
      </c>
      <c r="I668" s="61" t="str">
        <f>IFERROR(__xludf.DUMMYFUNCTION("INDIRECT(""'收支紀錄'!I""&amp;TO_TEXT(ROW()-$C$72))"),"食材")</f>
        <v>食材</v>
      </c>
      <c r="J668" s="61" t="str">
        <f>IFERROR(__xludf.DUMMYFUNCTION("INDIRECT(""'收支紀錄'!J""&amp;TO_TEXT(ROW()-$C$72))"),"")</f>
        <v/>
      </c>
      <c r="K668" s="61" t="str">
        <f>IFERROR(__xludf.DUMMYFUNCTION("INDIRECT(""'收支紀錄'!K""&amp;TO_TEXT(ROW()-$C$72))"),"")</f>
        <v/>
      </c>
      <c r="L668" s="61" t="str">
        <f>IFERROR(__xludf.DUMMYFUNCTION("INDIRECT(""'收支紀錄'!L""&amp;TO_TEXT(ROW()-$C$72))"),"")</f>
        <v/>
      </c>
      <c r="M668" s="61" t="str">
        <f>IFERROR(__xludf.DUMMYFUNCTION("INDIRECT(""'收支紀錄'!M""&amp;TO_TEXT(ROW()-$C$72))"),"")</f>
        <v/>
      </c>
      <c r="N668" s="61" t="str">
        <f>IFERROR(__xludf.DUMMYFUNCTION("INDIRECT(""'收支紀錄'!N""&amp;TO_TEXT(ROW()-$C$72))"),"")</f>
        <v/>
      </c>
      <c r="O668" s="61" t="str">
        <f>IFERROR(__xludf.DUMMYFUNCTION("INDIRECT(""'收支紀錄'!O""&amp;TO_TEXT(ROW()-$C$72))"),"")</f>
        <v/>
      </c>
      <c r="P668" s="61" t="str">
        <f>IFERROR(__xludf.DUMMYFUNCTION("INDIRECT(""'收支紀錄'!P""&amp;TO_TEXT(ROW()-$C$72))"),"")</f>
        <v/>
      </c>
      <c r="Q668" s="61" t="str">
        <f>IFERROR(__xludf.DUMMYFUNCTION("INDIRECT(""'收支紀錄'!Q""&amp;TO_TEXT(ROW()-$C$72))"),"")</f>
        <v/>
      </c>
      <c r="R668" s="61" t="str">
        <f>IFERROR(__xludf.DUMMYFUNCTION("INDIRECT(""'收支紀錄'!R""&amp;TO_TEXT(ROW()-$C$72))"),"")</f>
        <v/>
      </c>
      <c r="S668" s="61" t="str">
        <f>IFERROR(__xludf.DUMMYFUNCTION("INDIRECT(""'收支紀錄'!S""&amp;TO_TEXT(ROW()-$C$72))"),"")</f>
        <v/>
      </c>
      <c r="T668" s="61" t="str">
        <f>IFERROR(__xludf.DUMMYFUNCTION("INDIRECT(""'收支紀錄'!T""&amp;TO_TEXT(ROW()-$C$72))"),"")</f>
        <v/>
      </c>
      <c r="U668" s="62" t="str">
        <f>IFERROR(__xludf.DUMMYFUNCTION("IF(T668=""是"",TEXTJOIN("""", TRUE, ""$"", TO_TEXT(C668), S668),"""")"),"")</f>
        <v/>
      </c>
    </row>
    <row r="669">
      <c r="A669" s="58">
        <f>IFERROR(__xludf.DUMMYFUNCTION("INDIRECT(""'收支紀錄'!A""&amp;TO_TEXT(ROW()-$C$72))"),45698.98048430556)</f>
        <v>45698.98048</v>
      </c>
      <c r="B669" s="59">
        <f>IFERROR(__xludf.DUMMYFUNCTION("IF(ISBLANK(D669), """", IF(ISDATE(D669), D669, IF(D669=""今天"", A669, IF(D669=""昨天 (-1 day)"", A669-1, IF(D669=""前天 (-2 days)"", A669-2, IF(D669=""明天 (+1 day)"", A669+1, DATE(LEFT(D669,4), MID(D669,5,2), RIGHT(D669,2))))))))"),45698.98048430556)</f>
        <v>45698.98048</v>
      </c>
      <c r="C669" s="60">
        <f>IFERROR(__xludf.DUMMYFUNCTION("INDIRECT(""'收支紀錄'!C""&amp;TO_TEXT(ROW()-$C$72))"),568.0)</f>
        <v>568</v>
      </c>
      <c r="D669" s="63" t="str">
        <f>IFERROR(__xludf.DUMMYFUNCTION("INDIRECT(""'收支紀錄'!D""&amp;TO_TEXT(ROW()-$C$72))"),"今天")</f>
        <v>今天</v>
      </c>
      <c r="E669" s="61" t="str">
        <f>IFERROR(__xludf.DUMMYFUNCTION("INDIRECT(""'收支紀錄'!E""&amp;TO_TEXT(ROW()-$C$72))"),"")</f>
        <v/>
      </c>
      <c r="F669" s="61" t="str">
        <f>IFERROR(__xludf.DUMMYFUNCTION("INDIRECT(""'收支紀錄'!F""&amp;TO_TEXT(ROW()-$C$72))"),"")</f>
        <v/>
      </c>
      <c r="G669" s="61" t="str">
        <f>IFERROR(__xludf.DUMMYFUNCTION("INDIRECT(""'收支紀錄'!G""&amp;TO_TEXT(ROW()-$C$72))"),"")</f>
        <v/>
      </c>
      <c r="H669" s="61" t="str">
        <f>IFERROR(__xludf.DUMMYFUNCTION("INDIRECT(""'收支紀錄'!H""&amp;TO_TEXT(ROW()-$C$72))"),"進修學習")</f>
        <v>進修學習</v>
      </c>
      <c r="I669" s="61" t="str">
        <f>IFERROR(__xludf.DUMMYFUNCTION("INDIRECT(""'收支紀錄'!I""&amp;TO_TEXT(ROW()-$C$72))"),"")</f>
        <v/>
      </c>
      <c r="J669" s="61" t="str">
        <f>IFERROR(__xludf.DUMMYFUNCTION("INDIRECT(""'收支紀錄'!J""&amp;TO_TEXT(ROW()-$C$72))"),"")</f>
        <v/>
      </c>
      <c r="K669" s="61" t="str">
        <f>IFERROR(__xludf.DUMMYFUNCTION("INDIRECT(""'收支紀錄'!K""&amp;TO_TEXT(ROW()-$C$72))"),"")</f>
        <v/>
      </c>
      <c r="L669" s="61" t="str">
        <f>IFERROR(__xludf.DUMMYFUNCTION("INDIRECT(""'收支紀錄'!L""&amp;TO_TEXT(ROW()-$C$72))"),"")</f>
        <v/>
      </c>
      <c r="M669" s="61" t="str">
        <f>IFERROR(__xludf.DUMMYFUNCTION("INDIRECT(""'收支紀錄'!M""&amp;TO_TEXT(ROW()-$C$72))"),"")</f>
        <v/>
      </c>
      <c r="N669" s="61" t="str">
        <f>IFERROR(__xludf.DUMMYFUNCTION("INDIRECT(""'收支紀錄'!N""&amp;TO_TEXT(ROW()-$C$72))"),"")</f>
        <v/>
      </c>
      <c r="O669" s="61" t="str">
        <f>IFERROR(__xludf.DUMMYFUNCTION("INDIRECT(""'收支紀錄'!O""&amp;TO_TEXT(ROW()-$C$72))"),"")</f>
        <v/>
      </c>
      <c r="P669" s="61" t="str">
        <f>IFERROR(__xludf.DUMMYFUNCTION("INDIRECT(""'收支紀錄'!P""&amp;TO_TEXT(ROW()-$C$72))"),"書報雜誌")</f>
        <v>書報雜誌</v>
      </c>
      <c r="Q669" s="61" t="str">
        <f>IFERROR(__xludf.DUMMYFUNCTION("INDIRECT(""'收支紀錄'!Q""&amp;TO_TEXT(ROW()-$C$72))"),"")</f>
        <v/>
      </c>
      <c r="R669" s="61" t="str">
        <f>IFERROR(__xludf.DUMMYFUNCTION("INDIRECT(""'收支紀錄'!R""&amp;TO_TEXT(ROW()-$C$72))"),"")</f>
        <v/>
      </c>
      <c r="S669" s="61" t="str">
        <f>IFERROR(__xludf.DUMMYFUNCTION("INDIRECT(""'收支紀錄'!S""&amp;TO_TEXT(ROW()-$C$72))"),"")</f>
        <v/>
      </c>
      <c r="T669" s="61" t="str">
        <f>IFERROR(__xludf.DUMMYFUNCTION("INDIRECT(""'收支紀錄'!T""&amp;TO_TEXT(ROW()-$C$72))"),"")</f>
        <v/>
      </c>
      <c r="U669" s="62" t="str">
        <f>IFERROR(__xludf.DUMMYFUNCTION("IF(T669=""是"",TEXTJOIN("""", TRUE, ""$"", TO_TEXT(C669), S669),"""")"),"")</f>
        <v/>
      </c>
    </row>
    <row r="670">
      <c r="A670" s="58">
        <f>IFERROR(__xludf.DUMMYFUNCTION("INDIRECT(""'收支紀錄'!A""&amp;TO_TEXT(ROW()-$C$72))"),45699.95438502315)</f>
        <v>45699.95439</v>
      </c>
      <c r="B670" s="59">
        <f>IFERROR(__xludf.DUMMYFUNCTION("IF(ISBLANK(D670), """", IF(ISDATE(D670), D670, IF(D670=""今天"", A670, IF(D670=""昨天 (-1 day)"", A670-1, IF(D670=""前天 (-2 days)"", A670-2, IF(D670=""明天 (+1 day)"", A670+1, DATE(LEFT(D670,4), MID(D670,5,2), RIGHT(D670,2))))))))"),45699.95438502315)</f>
        <v>45699.95439</v>
      </c>
      <c r="C670" s="60">
        <f>IFERROR(__xludf.DUMMYFUNCTION("INDIRECT(""'收支紀錄'!C""&amp;TO_TEXT(ROW()-$C$72))"),134.0)</f>
        <v>134</v>
      </c>
      <c r="D670" s="63" t="str">
        <f>IFERROR(__xludf.DUMMYFUNCTION("INDIRECT(""'收支紀錄'!D""&amp;TO_TEXT(ROW()-$C$72))"),"今天")</f>
        <v>今天</v>
      </c>
      <c r="E670" s="61" t="str">
        <f>IFERROR(__xludf.DUMMYFUNCTION("INDIRECT(""'收支紀錄'!E""&amp;TO_TEXT(ROW()-$C$72))"),"")</f>
        <v/>
      </c>
      <c r="F670" s="61" t="str">
        <f>IFERROR(__xludf.DUMMYFUNCTION("INDIRECT(""'收支紀錄'!F""&amp;TO_TEXT(ROW()-$C$72))"),"")</f>
        <v/>
      </c>
      <c r="G670" s="61" t="str">
        <f>IFERROR(__xludf.DUMMYFUNCTION("INDIRECT(""'收支紀錄'!G""&amp;TO_TEXT(ROW()-$C$72))"),"")</f>
        <v/>
      </c>
      <c r="H670" s="61" t="str">
        <f>IFERROR(__xludf.DUMMYFUNCTION("INDIRECT(""'收支紀錄'!H""&amp;TO_TEXT(ROW()-$C$72))"),"行車交通")</f>
        <v>行車交通</v>
      </c>
      <c r="I670" s="61" t="str">
        <f>IFERROR(__xludf.DUMMYFUNCTION("INDIRECT(""'收支紀錄'!I""&amp;TO_TEXT(ROW()-$C$72))"),"")</f>
        <v/>
      </c>
      <c r="J670" s="61" t="str">
        <f>IFERROR(__xludf.DUMMYFUNCTION("INDIRECT(""'收支紀錄'!J""&amp;TO_TEXT(ROW()-$C$72))"),"")</f>
        <v/>
      </c>
      <c r="K670" s="61" t="str">
        <f>IFERROR(__xludf.DUMMYFUNCTION("INDIRECT(""'收支紀錄'!K""&amp;TO_TEXT(ROW()-$C$72))"),"")</f>
        <v/>
      </c>
      <c r="L670" s="61" t="str">
        <f>IFERROR(__xludf.DUMMYFUNCTION("INDIRECT(""'收支紀錄'!L""&amp;TO_TEXT(ROW()-$C$72))"),"加油")</f>
        <v>加油</v>
      </c>
      <c r="M670" s="61" t="str">
        <f>IFERROR(__xludf.DUMMYFUNCTION("INDIRECT(""'收支紀錄'!M""&amp;TO_TEXT(ROW()-$C$72))"),"")</f>
        <v/>
      </c>
      <c r="N670" s="61" t="str">
        <f>IFERROR(__xludf.DUMMYFUNCTION("INDIRECT(""'收支紀錄'!N""&amp;TO_TEXT(ROW()-$C$72))"),"")</f>
        <v/>
      </c>
      <c r="O670" s="61" t="str">
        <f>IFERROR(__xludf.DUMMYFUNCTION("INDIRECT(""'收支紀錄'!O""&amp;TO_TEXT(ROW()-$C$72))"),"")</f>
        <v/>
      </c>
      <c r="P670" s="61" t="str">
        <f>IFERROR(__xludf.DUMMYFUNCTION("INDIRECT(""'收支紀錄'!P""&amp;TO_TEXT(ROW()-$C$72))"),"")</f>
        <v/>
      </c>
      <c r="Q670" s="61" t="str">
        <f>IFERROR(__xludf.DUMMYFUNCTION("INDIRECT(""'收支紀錄'!Q""&amp;TO_TEXT(ROW()-$C$72))"),"")</f>
        <v/>
      </c>
      <c r="R670" s="61" t="str">
        <f>IFERROR(__xludf.DUMMYFUNCTION("INDIRECT(""'收支紀錄'!R""&amp;TO_TEXT(ROW()-$C$72))"),"")</f>
        <v/>
      </c>
      <c r="S670" s="61" t="str">
        <f>IFERROR(__xludf.DUMMYFUNCTION("INDIRECT(""'收支紀錄'!S""&amp;TO_TEXT(ROW()-$C$72))"),"")</f>
        <v/>
      </c>
      <c r="T670" s="61" t="str">
        <f>IFERROR(__xludf.DUMMYFUNCTION("INDIRECT(""'收支紀錄'!T""&amp;TO_TEXT(ROW()-$C$72))"),"")</f>
        <v/>
      </c>
      <c r="U670" s="62" t="str">
        <f>IFERROR(__xludf.DUMMYFUNCTION("IF(T670=""是"",TEXTJOIN("""", TRUE, ""$"", TO_TEXT(C670), S670),"""")"),"")</f>
        <v/>
      </c>
    </row>
    <row r="671">
      <c r="A671" s="58">
        <f>IFERROR(__xludf.DUMMYFUNCTION("INDIRECT(""'收支紀錄'!A""&amp;TO_TEXT(ROW()-$C$72))"),45700.570233425926)</f>
        <v>45700.57023</v>
      </c>
      <c r="B671" s="59">
        <f>IFERROR(__xludf.DUMMYFUNCTION("IF(ISBLANK(D671), """", IF(ISDATE(D671), D671, IF(D671=""今天"", A671, IF(D671=""昨天 (-1 day)"", A671-1, IF(D671=""前天 (-2 days)"", A671-2, IF(D671=""明天 (+1 day)"", A671+1, DATE(LEFT(D671,4), MID(D671,5,2), RIGHT(D671,2))))))))"),45700.570233425926)</f>
        <v>45700.57023</v>
      </c>
      <c r="C671" s="60">
        <f>IFERROR(__xludf.DUMMYFUNCTION("INDIRECT(""'收支紀錄'!C""&amp;TO_TEXT(ROW()-$C$72))"),468.0)</f>
        <v>468</v>
      </c>
      <c r="D671" s="63" t="str">
        <f>IFERROR(__xludf.DUMMYFUNCTION("INDIRECT(""'收支紀錄'!D""&amp;TO_TEXT(ROW()-$C$72))"),"今天")</f>
        <v>今天</v>
      </c>
      <c r="E671" s="61" t="str">
        <f>IFERROR(__xludf.DUMMYFUNCTION("INDIRECT(""'收支紀錄'!E""&amp;TO_TEXT(ROW()-$C$72))"),"")</f>
        <v/>
      </c>
      <c r="F671" s="61" t="str">
        <f>IFERROR(__xludf.DUMMYFUNCTION("INDIRECT(""'收支紀錄'!F""&amp;TO_TEXT(ROW()-$C$72))"),"")</f>
        <v/>
      </c>
      <c r="G671" s="61" t="str">
        <f>IFERROR(__xludf.DUMMYFUNCTION("INDIRECT(""'收支紀錄'!G""&amp;TO_TEXT(ROW()-$C$72))"),"")</f>
        <v/>
      </c>
      <c r="H671" s="61" t="str">
        <f>IFERROR(__xludf.DUMMYFUNCTION("INDIRECT(""'收支紀錄'!H""&amp;TO_TEXT(ROW()-$C$72))"),"食品酒水")</f>
        <v>食品酒水</v>
      </c>
      <c r="I671" s="61" t="str">
        <f>IFERROR(__xludf.DUMMYFUNCTION("INDIRECT(""'收支紀錄'!I""&amp;TO_TEXT(ROW()-$C$72))"),"食材")</f>
        <v>食材</v>
      </c>
      <c r="J671" s="61" t="str">
        <f>IFERROR(__xludf.DUMMYFUNCTION("INDIRECT(""'收支紀錄'!J""&amp;TO_TEXT(ROW()-$C$72))"),"")</f>
        <v/>
      </c>
      <c r="K671" s="61" t="str">
        <f>IFERROR(__xludf.DUMMYFUNCTION("INDIRECT(""'收支紀錄'!K""&amp;TO_TEXT(ROW()-$C$72))"),"")</f>
        <v/>
      </c>
      <c r="L671" s="61" t="str">
        <f>IFERROR(__xludf.DUMMYFUNCTION("INDIRECT(""'收支紀錄'!L""&amp;TO_TEXT(ROW()-$C$72))"),"")</f>
        <v/>
      </c>
      <c r="M671" s="61" t="str">
        <f>IFERROR(__xludf.DUMMYFUNCTION("INDIRECT(""'收支紀錄'!M""&amp;TO_TEXT(ROW()-$C$72))"),"")</f>
        <v/>
      </c>
      <c r="N671" s="61" t="str">
        <f>IFERROR(__xludf.DUMMYFUNCTION("INDIRECT(""'收支紀錄'!N""&amp;TO_TEXT(ROW()-$C$72))"),"")</f>
        <v/>
      </c>
      <c r="O671" s="61" t="str">
        <f>IFERROR(__xludf.DUMMYFUNCTION("INDIRECT(""'收支紀錄'!O""&amp;TO_TEXT(ROW()-$C$72))"),"")</f>
        <v/>
      </c>
      <c r="P671" s="61" t="str">
        <f>IFERROR(__xludf.DUMMYFUNCTION("INDIRECT(""'收支紀錄'!P""&amp;TO_TEXT(ROW()-$C$72))"),"")</f>
        <v/>
      </c>
      <c r="Q671" s="61" t="str">
        <f>IFERROR(__xludf.DUMMYFUNCTION("INDIRECT(""'收支紀錄'!Q""&amp;TO_TEXT(ROW()-$C$72))"),"")</f>
        <v/>
      </c>
      <c r="R671" s="61" t="str">
        <f>IFERROR(__xludf.DUMMYFUNCTION("INDIRECT(""'收支紀錄'!R""&amp;TO_TEXT(ROW()-$C$72))"),"")</f>
        <v/>
      </c>
      <c r="S671" s="61" t="str">
        <f>IFERROR(__xludf.DUMMYFUNCTION("INDIRECT(""'收支紀錄'!S""&amp;TO_TEXT(ROW()-$C$72))"),"咖啡豆")</f>
        <v>咖啡豆</v>
      </c>
      <c r="T671" s="61" t="str">
        <f>IFERROR(__xludf.DUMMYFUNCTION("INDIRECT(""'收支紀錄'!T""&amp;TO_TEXT(ROW()-$C$72))"),"")</f>
        <v/>
      </c>
      <c r="U671" s="62" t="str">
        <f>IFERROR(__xludf.DUMMYFUNCTION("IF(T671=""是"",TEXTJOIN("""", TRUE, ""$"", TO_TEXT(C671), S671),"""")"),"")</f>
        <v/>
      </c>
    </row>
    <row r="672">
      <c r="A672" s="58">
        <f>IFERROR(__xludf.DUMMYFUNCTION("INDIRECT(""'收支紀錄'!A""&amp;TO_TEXT(ROW()-$C$72))"),45703.417509039355)</f>
        <v>45703.41751</v>
      </c>
      <c r="B672" s="59">
        <f>IFERROR(__xludf.DUMMYFUNCTION("IF(ISBLANK(D672), """", IF(ISDATE(D672), D672, IF(D672=""今天"", A672, IF(D672=""昨天 (-1 day)"", A672-1, IF(D672=""前天 (-2 days)"", A672-2, IF(D672=""明天 (+1 day)"", A672+1, DATE(LEFT(D672,4), MID(D672,5,2), RIGHT(D672,2))))))))"),45702.417509039355)</f>
        <v>45702.41751</v>
      </c>
      <c r="C672" s="60">
        <f>IFERROR(__xludf.DUMMYFUNCTION("INDIRECT(""'收支紀錄'!C""&amp;TO_TEXT(ROW()-$C$72))"),154.0)</f>
        <v>154</v>
      </c>
      <c r="D672" s="63" t="str">
        <f>IFERROR(__xludf.DUMMYFUNCTION("INDIRECT(""'收支紀錄'!D""&amp;TO_TEXT(ROW()-$C$72))"),"昨天 (-1 day)")</f>
        <v>昨天 (-1 day)</v>
      </c>
      <c r="E672" s="61" t="str">
        <f>IFERROR(__xludf.DUMMYFUNCTION("INDIRECT(""'收支紀錄'!E""&amp;TO_TEXT(ROW()-$C$72))"),"")</f>
        <v/>
      </c>
      <c r="F672" s="61" t="str">
        <f>IFERROR(__xludf.DUMMYFUNCTION("INDIRECT(""'收支紀錄'!F""&amp;TO_TEXT(ROW()-$C$72))"),"")</f>
        <v/>
      </c>
      <c r="G672" s="61" t="str">
        <f>IFERROR(__xludf.DUMMYFUNCTION("INDIRECT(""'收支紀錄'!G""&amp;TO_TEXT(ROW()-$C$72))"),"")</f>
        <v/>
      </c>
      <c r="H672" s="61" t="str">
        <f>IFERROR(__xludf.DUMMYFUNCTION("INDIRECT(""'收支紀錄'!H""&amp;TO_TEXT(ROW()-$C$72))"),"食品酒水")</f>
        <v>食品酒水</v>
      </c>
      <c r="I672" s="61" t="str">
        <f>IFERROR(__xludf.DUMMYFUNCTION("INDIRECT(""'收支紀錄'!I""&amp;TO_TEXT(ROW()-$C$72))"),"午餐")</f>
        <v>午餐</v>
      </c>
      <c r="J672" s="61" t="str">
        <f>IFERROR(__xludf.DUMMYFUNCTION("INDIRECT(""'收支紀錄'!J""&amp;TO_TEXT(ROW()-$C$72))"),"")</f>
        <v/>
      </c>
      <c r="K672" s="61" t="str">
        <f>IFERROR(__xludf.DUMMYFUNCTION("INDIRECT(""'收支紀錄'!K""&amp;TO_TEXT(ROW()-$C$72))"),"")</f>
        <v/>
      </c>
      <c r="L672" s="61" t="str">
        <f>IFERROR(__xludf.DUMMYFUNCTION("INDIRECT(""'收支紀錄'!L""&amp;TO_TEXT(ROW()-$C$72))"),"")</f>
        <v/>
      </c>
      <c r="M672" s="61" t="str">
        <f>IFERROR(__xludf.DUMMYFUNCTION("INDIRECT(""'收支紀錄'!M""&amp;TO_TEXT(ROW()-$C$72))"),"")</f>
        <v/>
      </c>
      <c r="N672" s="61" t="str">
        <f>IFERROR(__xludf.DUMMYFUNCTION("INDIRECT(""'收支紀錄'!N""&amp;TO_TEXT(ROW()-$C$72))"),"")</f>
        <v/>
      </c>
      <c r="O672" s="61" t="str">
        <f>IFERROR(__xludf.DUMMYFUNCTION("INDIRECT(""'收支紀錄'!O""&amp;TO_TEXT(ROW()-$C$72))"),"")</f>
        <v/>
      </c>
      <c r="P672" s="61" t="str">
        <f>IFERROR(__xludf.DUMMYFUNCTION("INDIRECT(""'收支紀錄'!P""&amp;TO_TEXT(ROW()-$C$72))"),"")</f>
        <v/>
      </c>
      <c r="Q672" s="61" t="str">
        <f>IFERROR(__xludf.DUMMYFUNCTION("INDIRECT(""'收支紀錄'!Q""&amp;TO_TEXT(ROW()-$C$72))"),"")</f>
        <v/>
      </c>
      <c r="R672" s="61" t="str">
        <f>IFERROR(__xludf.DUMMYFUNCTION("INDIRECT(""'收支紀錄'!R""&amp;TO_TEXT(ROW()-$C$72))"),"")</f>
        <v/>
      </c>
      <c r="S672" s="61" t="str">
        <f>IFERROR(__xludf.DUMMYFUNCTION("INDIRECT(""'收支紀錄'!S""&amp;TO_TEXT(ROW()-$C$72))"),"")</f>
        <v/>
      </c>
      <c r="T672" s="61" t="str">
        <f>IFERROR(__xludf.DUMMYFUNCTION("INDIRECT(""'收支紀錄'!T""&amp;TO_TEXT(ROW()-$C$72))"),"")</f>
        <v/>
      </c>
      <c r="U672" s="62" t="str">
        <f>IFERROR(__xludf.DUMMYFUNCTION("IF(T672=""是"",TEXTJOIN("""", TRUE, ""$"", TO_TEXT(C672), S672),"""")"),"")</f>
        <v/>
      </c>
    </row>
    <row r="673">
      <c r="A673" s="58">
        <f>IFERROR(__xludf.DUMMYFUNCTION("INDIRECT(""'收支紀錄'!A""&amp;TO_TEXT(ROW()-$C$72))"),45703.41767420139)</f>
        <v>45703.41767</v>
      </c>
      <c r="B673" s="59">
        <f>IFERROR(__xludf.DUMMYFUNCTION("IF(ISBLANK(D673), """", IF(ISDATE(D673), D673, IF(D673=""今天"", A673, IF(D673=""昨天 (-1 day)"", A673-1, IF(D673=""前天 (-2 days)"", A673-2, IF(D673=""明天 (+1 day)"", A673+1, DATE(LEFT(D673,4), MID(D673,5,2), RIGHT(D673,2))))))))"),45703.41767420139)</f>
        <v>45703.41767</v>
      </c>
      <c r="C673" s="60">
        <f>IFERROR(__xludf.DUMMYFUNCTION("INDIRECT(""'收支紀錄'!C""&amp;TO_TEXT(ROW()-$C$72))"),250.0)</f>
        <v>250</v>
      </c>
      <c r="D673" s="63" t="str">
        <f>IFERROR(__xludf.DUMMYFUNCTION("INDIRECT(""'收支紀錄'!D""&amp;TO_TEXT(ROW()-$C$72))"),"今天")</f>
        <v>今天</v>
      </c>
      <c r="E673" s="61" t="str">
        <f>IFERROR(__xludf.DUMMYFUNCTION("INDIRECT(""'收支紀錄'!E""&amp;TO_TEXT(ROW()-$C$72))"),"")</f>
        <v/>
      </c>
      <c r="F673" s="61" t="str">
        <f>IFERROR(__xludf.DUMMYFUNCTION("INDIRECT(""'收支紀錄'!F""&amp;TO_TEXT(ROW()-$C$72))"),"")</f>
        <v/>
      </c>
      <c r="G673" s="61" t="str">
        <f>IFERROR(__xludf.DUMMYFUNCTION("INDIRECT(""'收支紀錄'!G""&amp;TO_TEXT(ROW()-$C$72))"),"")</f>
        <v/>
      </c>
      <c r="H673" s="61" t="str">
        <f>IFERROR(__xludf.DUMMYFUNCTION("INDIRECT(""'收支紀錄'!H""&amp;TO_TEXT(ROW()-$C$72))"),"醫療費用")</f>
        <v>醫療費用</v>
      </c>
      <c r="I673" s="61" t="str">
        <f>IFERROR(__xludf.DUMMYFUNCTION("INDIRECT(""'收支紀錄'!I""&amp;TO_TEXT(ROW()-$C$72))"),"")</f>
        <v/>
      </c>
      <c r="J673" s="61" t="str">
        <f>IFERROR(__xludf.DUMMYFUNCTION("INDIRECT(""'收支紀錄'!J""&amp;TO_TEXT(ROW()-$C$72))"),"")</f>
        <v/>
      </c>
      <c r="K673" s="61" t="str">
        <f>IFERROR(__xludf.DUMMYFUNCTION("INDIRECT(""'收支紀錄'!K""&amp;TO_TEXT(ROW()-$C$72))"),"")</f>
        <v/>
      </c>
      <c r="L673" s="61" t="str">
        <f>IFERROR(__xludf.DUMMYFUNCTION("INDIRECT(""'收支紀錄'!L""&amp;TO_TEXT(ROW()-$C$72))"),"")</f>
        <v/>
      </c>
      <c r="M673" s="61" t="str">
        <f>IFERROR(__xludf.DUMMYFUNCTION("INDIRECT(""'收支紀錄'!M""&amp;TO_TEXT(ROW()-$C$72))"),"")</f>
        <v/>
      </c>
      <c r="N673" s="61" t="str">
        <f>IFERROR(__xludf.DUMMYFUNCTION("INDIRECT(""'收支紀錄'!N""&amp;TO_TEXT(ROW()-$C$72))"),"")</f>
        <v/>
      </c>
      <c r="O673" s="61" t="str">
        <f>IFERROR(__xludf.DUMMYFUNCTION("INDIRECT(""'收支紀錄'!O""&amp;TO_TEXT(ROW()-$C$72))"),"生病醫療")</f>
        <v>生病醫療</v>
      </c>
      <c r="P673" s="61" t="str">
        <f>IFERROR(__xludf.DUMMYFUNCTION("INDIRECT(""'收支紀錄'!P""&amp;TO_TEXT(ROW()-$C$72))"),"")</f>
        <v/>
      </c>
      <c r="Q673" s="61" t="str">
        <f>IFERROR(__xludf.DUMMYFUNCTION("INDIRECT(""'收支紀錄'!Q""&amp;TO_TEXT(ROW()-$C$72))"),"")</f>
        <v/>
      </c>
      <c r="R673" s="61" t="str">
        <f>IFERROR(__xludf.DUMMYFUNCTION("INDIRECT(""'收支紀錄'!R""&amp;TO_TEXT(ROW()-$C$72))"),"")</f>
        <v/>
      </c>
      <c r="S673" s="61" t="str">
        <f>IFERROR(__xludf.DUMMYFUNCTION("INDIRECT(""'收支紀錄'!S""&amp;TO_TEXT(ROW()-$C$72))"),"")</f>
        <v/>
      </c>
      <c r="T673" s="61" t="str">
        <f>IFERROR(__xludf.DUMMYFUNCTION("INDIRECT(""'收支紀錄'!T""&amp;TO_TEXT(ROW()-$C$72))"),"")</f>
        <v/>
      </c>
      <c r="U673" s="62" t="str">
        <f>IFERROR(__xludf.DUMMYFUNCTION("IF(T673=""是"",TEXTJOIN("""", TRUE, ""$"", TO_TEXT(C673), S673),"""")"),"")</f>
        <v/>
      </c>
    </row>
    <row r="674">
      <c r="A674" s="58">
        <f>IFERROR(__xludf.DUMMYFUNCTION("INDIRECT(""'收支紀錄'!A""&amp;TO_TEXT(ROW()-$C$72))"),45703.80069679398)</f>
        <v>45703.8007</v>
      </c>
      <c r="B674" s="59">
        <f>IFERROR(__xludf.DUMMYFUNCTION("IF(ISBLANK(D674), """", IF(ISDATE(D674), D674, IF(D674=""今天"", A674, IF(D674=""昨天 (-1 day)"", A674-1, IF(D674=""前天 (-2 days)"", A674-2, IF(D674=""明天 (+1 day)"", A674+1, DATE(LEFT(D674,4), MID(D674,5,2), RIGHT(D674,2))))))))"),45703.80069679398)</f>
        <v>45703.8007</v>
      </c>
      <c r="C674" s="60">
        <f>IFERROR(__xludf.DUMMYFUNCTION("INDIRECT(""'收支紀錄'!C""&amp;TO_TEXT(ROW()-$C$72))"),445.0)</f>
        <v>445</v>
      </c>
      <c r="D674" s="63" t="str">
        <f>IFERROR(__xludf.DUMMYFUNCTION("INDIRECT(""'收支紀錄'!D""&amp;TO_TEXT(ROW()-$C$72))"),"今天")</f>
        <v>今天</v>
      </c>
      <c r="E674" s="61" t="str">
        <f>IFERROR(__xludf.DUMMYFUNCTION("INDIRECT(""'收支紀錄'!E""&amp;TO_TEXT(ROW()-$C$72))"),"")</f>
        <v/>
      </c>
      <c r="F674" s="61" t="str">
        <f>IFERROR(__xludf.DUMMYFUNCTION("INDIRECT(""'收支紀錄'!F""&amp;TO_TEXT(ROW()-$C$72))"),"")</f>
        <v/>
      </c>
      <c r="G674" s="61" t="str">
        <f>IFERROR(__xludf.DUMMYFUNCTION("INDIRECT(""'收支紀錄'!G""&amp;TO_TEXT(ROW()-$C$72))"),"")</f>
        <v/>
      </c>
      <c r="H674" s="61" t="str">
        <f>IFERROR(__xludf.DUMMYFUNCTION("INDIRECT(""'收支紀錄'!H""&amp;TO_TEXT(ROW()-$C$72))"),"食品酒水")</f>
        <v>食品酒水</v>
      </c>
      <c r="I674" s="61" t="str">
        <f>IFERROR(__xludf.DUMMYFUNCTION("INDIRECT(""'收支紀錄'!I""&amp;TO_TEXT(ROW()-$C$72))"),"午餐")</f>
        <v>午餐</v>
      </c>
      <c r="J674" s="61" t="str">
        <f>IFERROR(__xludf.DUMMYFUNCTION("INDIRECT(""'收支紀錄'!J""&amp;TO_TEXT(ROW()-$C$72))"),"")</f>
        <v/>
      </c>
      <c r="K674" s="61" t="str">
        <f>IFERROR(__xludf.DUMMYFUNCTION("INDIRECT(""'收支紀錄'!K""&amp;TO_TEXT(ROW()-$C$72))"),"")</f>
        <v/>
      </c>
      <c r="L674" s="61" t="str">
        <f>IFERROR(__xludf.DUMMYFUNCTION("INDIRECT(""'收支紀錄'!L""&amp;TO_TEXT(ROW()-$C$72))"),"")</f>
        <v/>
      </c>
      <c r="M674" s="61" t="str">
        <f>IFERROR(__xludf.DUMMYFUNCTION("INDIRECT(""'收支紀錄'!M""&amp;TO_TEXT(ROW()-$C$72))"),"")</f>
        <v/>
      </c>
      <c r="N674" s="61" t="str">
        <f>IFERROR(__xludf.DUMMYFUNCTION("INDIRECT(""'收支紀錄'!N""&amp;TO_TEXT(ROW()-$C$72))"),"")</f>
        <v/>
      </c>
      <c r="O674" s="61" t="str">
        <f>IFERROR(__xludf.DUMMYFUNCTION("INDIRECT(""'收支紀錄'!O""&amp;TO_TEXT(ROW()-$C$72))"),"")</f>
        <v/>
      </c>
      <c r="P674" s="61" t="str">
        <f>IFERROR(__xludf.DUMMYFUNCTION("INDIRECT(""'收支紀錄'!P""&amp;TO_TEXT(ROW()-$C$72))"),"")</f>
        <v/>
      </c>
      <c r="Q674" s="61" t="str">
        <f>IFERROR(__xludf.DUMMYFUNCTION("INDIRECT(""'收支紀錄'!Q""&amp;TO_TEXT(ROW()-$C$72))"),"")</f>
        <v/>
      </c>
      <c r="R674" s="61" t="str">
        <f>IFERROR(__xludf.DUMMYFUNCTION("INDIRECT(""'收支紀錄'!R""&amp;TO_TEXT(ROW()-$C$72))"),"")</f>
        <v/>
      </c>
      <c r="S674" s="61" t="str">
        <f>IFERROR(__xludf.DUMMYFUNCTION("INDIRECT(""'收支紀錄'!S""&amp;TO_TEXT(ROW()-$C$72))"),"")</f>
        <v/>
      </c>
      <c r="T674" s="61" t="str">
        <f>IFERROR(__xludf.DUMMYFUNCTION("INDIRECT(""'收支紀錄'!T""&amp;TO_TEXT(ROW()-$C$72))"),"")</f>
        <v/>
      </c>
      <c r="U674" s="62" t="str">
        <f>IFERROR(__xludf.DUMMYFUNCTION("IF(T674=""是"",TEXTJOIN("""", TRUE, ""$"", TO_TEXT(C674), S674),"""")"),"")</f>
        <v/>
      </c>
    </row>
    <row r="675">
      <c r="A675" s="58">
        <f>IFERROR(__xludf.DUMMYFUNCTION("INDIRECT(""'收支紀錄'!A""&amp;TO_TEXT(ROW()-$C$72))"),45703.80087006945)</f>
        <v>45703.80087</v>
      </c>
      <c r="B675" s="59">
        <f>IFERROR(__xludf.DUMMYFUNCTION("IF(ISBLANK(D675), """", IF(ISDATE(D675), D675, IF(D675=""今天"", A675, IF(D675=""昨天 (-1 day)"", A675-1, IF(D675=""前天 (-2 days)"", A675-2, IF(D675=""明天 (+1 day)"", A675+1, DATE(LEFT(D675,4), MID(D675,5,2), RIGHT(D675,2))))))))"),45703.80087006945)</f>
        <v>45703.80087</v>
      </c>
      <c r="C675" s="60">
        <f>IFERROR(__xludf.DUMMYFUNCTION("INDIRECT(""'收支紀錄'!C""&amp;TO_TEXT(ROW()-$C$72))"),429.0)</f>
        <v>429</v>
      </c>
      <c r="D675" s="63" t="str">
        <f>IFERROR(__xludf.DUMMYFUNCTION("INDIRECT(""'收支紀錄'!D""&amp;TO_TEXT(ROW()-$C$72))"),"今天")</f>
        <v>今天</v>
      </c>
      <c r="E675" s="61" t="str">
        <f>IFERROR(__xludf.DUMMYFUNCTION("INDIRECT(""'收支紀錄'!E""&amp;TO_TEXT(ROW()-$C$72))"),"")</f>
        <v/>
      </c>
      <c r="F675" s="61" t="str">
        <f>IFERROR(__xludf.DUMMYFUNCTION("INDIRECT(""'收支紀錄'!F""&amp;TO_TEXT(ROW()-$C$72))"),"")</f>
        <v/>
      </c>
      <c r="G675" s="61" t="str">
        <f>IFERROR(__xludf.DUMMYFUNCTION("INDIRECT(""'收支紀錄'!G""&amp;TO_TEXT(ROW()-$C$72))"),"")</f>
        <v/>
      </c>
      <c r="H675" s="61" t="str">
        <f>IFERROR(__xludf.DUMMYFUNCTION("INDIRECT(""'收支紀錄'!H""&amp;TO_TEXT(ROW()-$C$72))"),"食品酒水")</f>
        <v>食品酒水</v>
      </c>
      <c r="I675" s="61" t="str">
        <f>IFERROR(__xludf.DUMMYFUNCTION("INDIRECT(""'收支紀錄'!I""&amp;TO_TEXT(ROW()-$C$72))"),"食材")</f>
        <v>食材</v>
      </c>
      <c r="J675" s="61" t="str">
        <f>IFERROR(__xludf.DUMMYFUNCTION("INDIRECT(""'收支紀錄'!J""&amp;TO_TEXT(ROW()-$C$72))"),"")</f>
        <v/>
      </c>
      <c r="K675" s="61" t="str">
        <f>IFERROR(__xludf.DUMMYFUNCTION("INDIRECT(""'收支紀錄'!K""&amp;TO_TEXT(ROW()-$C$72))"),"")</f>
        <v/>
      </c>
      <c r="L675" s="61" t="str">
        <f>IFERROR(__xludf.DUMMYFUNCTION("INDIRECT(""'收支紀錄'!L""&amp;TO_TEXT(ROW()-$C$72))"),"")</f>
        <v/>
      </c>
      <c r="M675" s="61" t="str">
        <f>IFERROR(__xludf.DUMMYFUNCTION("INDIRECT(""'收支紀錄'!M""&amp;TO_TEXT(ROW()-$C$72))"),"")</f>
        <v/>
      </c>
      <c r="N675" s="61" t="str">
        <f>IFERROR(__xludf.DUMMYFUNCTION("INDIRECT(""'收支紀錄'!N""&amp;TO_TEXT(ROW()-$C$72))"),"")</f>
        <v/>
      </c>
      <c r="O675" s="61" t="str">
        <f>IFERROR(__xludf.DUMMYFUNCTION("INDIRECT(""'收支紀錄'!O""&amp;TO_TEXT(ROW()-$C$72))"),"")</f>
        <v/>
      </c>
      <c r="P675" s="61" t="str">
        <f>IFERROR(__xludf.DUMMYFUNCTION("INDIRECT(""'收支紀錄'!P""&amp;TO_TEXT(ROW()-$C$72))"),"")</f>
        <v/>
      </c>
      <c r="Q675" s="61" t="str">
        <f>IFERROR(__xludf.DUMMYFUNCTION("INDIRECT(""'收支紀錄'!Q""&amp;TO_TEXT(ROW()-$C$72))"),"")</f>
        <v/>
      </c>
      <c r="R675" s="61" t="str">
        <f>IFERROR(__xludf.DUMMYFUNCTION("INDIRECT(""'收支紀錄'!R""&amp;TO_TEXT(ROW()-$C$72))"),"")</f>
        <v/>
      </c>
      <c r="S675" s="61" t="str">
        <f>IFERROR(__xludf.DUMMYFUNCTION("INDIRECT(""'收支紀錄'!S""&amp;TO_TEXT(ROW()-$C$72))"),"")</f>
        <v/>
      </c>
      <c r="T675" s="61" t="str">
        <f>IFERROR(__xludf.DUMMYFUNCTION("INDIRECT(""'收支紀錄'!T""&amp;TO_TEXT(ROW()-$C$72))"),"")</f>
        <v/>
      </c>
      <c r="U675" s="62" t="str">
        <f>IFERROR(__xludf.DUMMYFUNCTION("IF(T675=""是"",TEXTJOIN("""", TRUE, ""$"", TO_TEXT(C675), S675),"""")"),"")</f>
        <v/>
      </c>
    </row>
    <row r="676">
      <c r="A676" s="58">
        <f>IFERROR(__xludf.DUMMYFUNCTION("INDIRECT(""'收支紀錄'!A""&amp;TO_TEXT(ROW()-$C$72))"),45704.68327112269)</f>
        <v>45704.68327</v>
      </c>
      <c r="B676" s="59">
        <f>IFERROR(__xludf.DUMMYFUNCTION("IF(ISBLANK(D676), """", IF(ISDATE(D676), D676, IF(D676=""今天"", A676, IF(D676=""昨天 (-1 day)"", A676-1, IF(D676=""前天 (-2 days)"", A676-2, IF(D676=""明天 (+1 day)"", A676+1, DATE(LEFT(D676,4), MID(D676,5,2), RIGHT(D676,2))))))))"),45704.68327112269)</f>
        <v>45704.68327</v>
      </c>
      <c r="C676" s="60">
        <f>IFERROR(__xludf.DUMMYFUNCTION("INDIRECT(""'收支紀錄'!C""&amp;TO_TEXT(ROW()-$C$72))"),331.0)</f>
        <v>331</v>
      </c>
      <c r="D676" s="63" t="str">
        <f>IFERROR(__xludf.DUMMYFUNCTION("INDIRECT(""'收支紀錄'!D""&amp;TO_TEXT(ROW()-$C$72))"),"今天")</f>
        <v>今天</v>
      </c>
      <c r="E676" s="61" t="str">
        <f>IFERROR(__xludf.DUMMYFUNCTION("INDIRECT(""'收支紀錄'!E""&amp;TO_TEXT(ROW()-$C$72))"),"")</f>
        <v/>
      </c>
      <c r="F676" s="61" t="str">
        <f>IFERROR(__xludf.DUMMYFUNCTION("INDIRECT(""'收支紀錄'!F""&amp;TO_TEXT(ROW()-$C$72))"),"")</f>
        <v/>
      </c>
      <c r="G676" s="61" t="str">
        <f>IFERROR(__xludf.DUMMYFUNCTION("INDIRECT(""'收支紀錄'!G""&amp;TO_TEXT(ROW()-$C$72))"),"")</f>
        <v/>
      </c>
      <c r="H676" s="61" t="str">
        <f>IFERROR(__xludf.DUMMYFUNCTION("INDIRECT(""'收支紀錄'!H""&amp;TO_TEXT(ROW()-$C$72))"),"食品酒水")</f>
        <v>食品酒水</v>
      </c>
      <c r="I676" s="61" t="str">
        <f>IFERROR(__xludf.DUMMYFUNCTION("INDIRECT(""'收支紀錄'!I""&amp;TO_TEXT(ROW()-$C$72))"),"早餐")</f>
        <v>早餐</v>
      </c>
      <c r="J676" s="61" t="str">
        <f>IFERROR(__xludf.DUMMYFUNCTION("INDIRECT(""'收支紀錄'!J""&amp;TO_TEXT(ROW()-$C$72))"),"")</f>
        <v/>
      </c>
      <c r="K676" s="61" t="str">
        <f>IFERROR(__xludf.DUMMYFUNCTION("INDIRECT(""'收支紀錄'!K""&amp;TO_TEXT(ROW()-$C$72))"),"")</f>
        <v/>
      </c>
      <c r="L676" s="61" t="str">
        <f>IFERROR(__xludf.DUMMYFUNCTION("INDIRECT(""'收支紀錄'!L""&amp;TO_TEXT(ROW()-$C$72))"),"")</f>
        <v/>
      </c>
      <c r="M676" s="61" t="str">
        <f>IFERROR(__xludf.DUMMYFUNCTION("INDIRECT(""'收支紀錄'!M""&amp;TO_TEXT(ROW()-$C$72))"),"")</f>
        <v/>
      </c>
      <c r="N676" s="61" t="str">
        <f>IFERROR(__xludf.DUMMYFUNCTION("INDIRECT(""'收支紀錄'!N""&amp;TO_TEXT(ROW()-$C$72))"),"")</f>
        <v/>
      </c>
      <c r="O676" s="61" t="str">
        <f>IFERROR(__xludf.DUMMYFUNCTION("INDIRECT(""'收支紀錄'!O""&amp;TO_TEXT(ROW()-$C$72))"),"")</f>
        <v/>
      </c>
      <c r="P676" s="61" t="str">
        <f>IFERROR(__xludf.DUMMYFUNCTION("INDIRECT(""'收支紀錄'!P""&amp;TO_TEXT(ROW()-$C$72))"),"")</f>
        <v/>
      </c>
      <c r="Q676" s="61" t="str">
        <f>IFERROR(__xludf.DUMMYFUNCTION("INDIRECT(""'收支紀錄'!Q""&amp;TO_TEXT(ROW()-$C$72))"),"")</f>
        <v/>
      </c>
      <c r="R676" s="61" t="str">
        <f>IFERROR(__xludf.DUMMYFUNCTION("INDIRECT(""'收支紀錄'!R""&amp;TO_TEXT(ROW()-$C$72))"),"")</f>
        <v/>
      </c>
      <c r="S676" s="61" t="str">
        <f>IFERROR(__xludf.DUMMYFUNCTION("INDIRECT(""'收支紀錄'!S""&amp;TO_TEXT(ROW()-$C$72))"),"")</f>
        <v/>
      </c>
      <c r="T676" s="61" t="str">
        <f>IFERROR(__xludf.DUMMYFUNCTION("INDIRECT(""'收支紀錄'!T""&amp;TO_TEXT(ROW()-$C$72))"),"")</f>
        <v/>
      </c>
      <c r="U676" s="62" t="str">
        <f>IFERROR(__xludf.DUMMYFUNCTION("IF(T676=""是"",TEXTJOIN("""", TRUE, ""$"", TO_TEXT(C676), S676),"""")"),"")</f>
        <v/>
      </c>
    </row>
    <row r="677">
      <c r="A677" s="58">
        <f>IFERROR(__xludf.DUMMYFUNCTION("INDIRECT(""'收支紀錄'!A""&amp;TO_TEXT(ROW()-$C$72))"),45704.68349452547)</f>
        <v>45704.68349</v>
      </c>
      <c r="B677" s="59">
        <f>IFERROR(__xludf.DUMMYFUNCTION("IF(ISBLANK(D677), """", IF(ISDATE(D677), D677, IF(D677=""今天"", A677, IF(D677=""昨天 (-1 day)"", A677-1, IF(D677=""前天 (-2 days)"", A677-2, IF(D677=""明天 (+1 day)"", A677+1, DATE(LEFT(D677,4), MID(D677,5,2), RIGHT(D677,2))))))))"),45704.68349452547)</f>
        <v>45704.68349</v>
      </c>
      <c r="C677" s="60">
        <f>IFERROR(__xludf.DUMMYFUNCTION("INDIRECT(""'收支紀錄'!C""&amp;TO_TEXT(ROW()-$C$72))"),10.0)</f>
        <v>10</v>
      </c>
      <c r="D677" s="63" t="str">
        <f>IFERROR(__xludf.DUMMYFUNCTION("INDIRECT(""'收支紀錄'!D""&amp;TO_TEXT(ROW()-$C$72))"),"今天")</f>
        <v>今天</v>
      </c>
      <c r="E677" s="61" t="str">
        <f>IFERROR(__xludf.DUMMYFUNCTION("INDIRECT(""'收支紀錄'!E""&amp;TO_TEXT(ROW()-$C$72))"),"")</f>
        <v/>
      </c>
      <c r="F677" s="61" t="str">
        <f>IFERROR(__xludf.DUMMYFUNCTION("INDIRECT(""'收支紀錄'!F""&amp;TO_TEXT(ROW()-$C$72))"),"")</f>
        <v/>
      </c>
      <c r="G677" s="61" t="str">
        <f>IFERROR(__xludf.DUMMYFUNCTION("INDIRECT(""'收支紀錄'!G""&amp;TO_TEXT(ROW()-$C$72))"),"")</f>
        <v/>
      </c>
      <c r="H677" s="61" t="str">
        <f>IFERROR(__xludf.DUMMYFUNCTION("INDIRECT(""'收支紀錄'!H""&amp;TO_TEXT(ROW()-$C$72))"),"休閒娛樂")</f>
        <v>休閒娛樂</v>
      </c>
      <c r="I677" s="61" t="str">
        <f>IFERROR(__xludf.DUMMYFUNCTION("INDIRECT(""'收支紀錄'!I""&amp;TO_TEXT(ROW()-$C$72))"),"")</f>
        <v/>
      </c>
      <c r="J677" s="61" t="str">
        <f>IFERROR(__xludf.DUMMYFUNCTION("INDIRECT(""'收支紀錄'!J""&amp;TO_TEXT(ROW()-$C$72))"),"")</f>
        <v/>
      </c>
      <c r="K677" s="61" t="str">
        <f>IFERROR(__xludf.DUMMYFUNCTION("INDIRECT(""'收支紀錄'!K""&amp;TO_TEXT(ROW()-$C$72))"),"")</f>
        <v/>
      </c>
      <c r="L677" s="61" t="str">
        <f>IFERROR(__xludf.DUMMYFUNCTION("INDIRECT(""'收支紀錄'!L""&amp;TO_TEXT(ROW()-$C$72))"),"")</f>
        <v/>
      </c>
      <c r="M677" s="61" t="str">
        <f>IFERROR(__xludf.DUMMYFUNCTION("INDIRECT(""'收支紀錄'!M""&amp;TO_TEXT(ROW()-$C$72))"),"運動健身")</f>
        <v>運動健身</v>
      </c>
      <c r="N677" s="61" t="str">
        <f>IFERROR(__xludf.DUMMYFUNCTION("INDIRECT(""'收支紀錄'!N""&amp;TO_TEXT(ROW()-$C$72))"),"")</f>
        <v/>
      </c>
      <c r="O677" s="61" t="str">
        <f>IFERROR(__xludf.DUMMYFUNCTION("INDIRECT(""'收支紀錄'!O""&amp;TO_TEXT(ROW()-$C$72))"),"")</f>
        <v/>
      </c>
      <c r="P677" s="61" t="str">
        <f>IFERROR(__xludf.DUMMYFUNCTION("INDIRECT(""'收支紀錄'!P""&amp;TO_TEXT(ROW()-$C$72))"),"")</f>
        <v/>
      </c>
      <c r="Q677" s="61" t="str">
        <f>IFERROR(__xludf.DUMMYFUNCTION("INDIRECT(""'收支紀錄'!Q""&amp;TO_TEXT(ROW()-$C$72))"),"")</f>
        <v/>
      </c>
      <c r="R677" s="61" t="str">
        <f>IFERROR(__xludf.DUMMYFUNCTION("INDIRECT(""'收支紀錄'!R""&amp;TO_TEXT(ROW()-$C$72))"),"")</f>
        <v/>
      </c>
      <c r="S677" s="61" t="str">
        <f>IFERROR(__xludf.DUMMYFUNCTION("INDIRECT(""'收支紀錄'!S""&amp;TO_TEXT(ROW()-$C$72))"),"")</f>
        <v/>
      </c>
      <c r="T677" s="61" t="str">
        <f>IFERROR(__xludf.DUMMYFUNCTION("INDIRECT(""'收支紀錄'!T""&amp;TO_TEXT(ROW()-$C$72))"),"")</f>
        <v/>
      </c>
      <c r="U677" s="62" t="str">
        <f>IFERROR(__xludf.DUMMYFUNCTION("IF(T677=""是"",TEXTJOIN("""", TRUE, ""$"", TO_TEXT(C677), S677),"""")"),"")</f>
        <v/>
      </c>
    </row>
    <row r="678">
      <c r="A678" s="58">
        <f>IFERROR(__xludf.DUMMYFUNCTION("INDIRECT(""'收支紀錄'!A""&amp;TO_TEXT(ROW()-$C$72))"),45705.58004153935)</f>
        <v>45705.58004</v>
      </c>
      <c r="B678" s="59">
        <f>IFERROR(__xludf.DUMMYFUNCTION("IF(ISBLANK(D678), """", IF(ISDATE(D678), D678, IF(D678=""今天"", A678, IF(D678=""昨天 (-1 day)"", A678-1, IF(D678=""前天 (-2 days)"", A678-2, IF(D678=""明天 (+1 day)"", A678+1, DATE(LEFT(D678,4), MID(D678,5,2), RIGHT(D678,2))))))))"),45705.58004153935)</f>
        <v>45705.58004</v>
      </c>
      <c r="C678" s="60">
        <f>IFERROR(__xludf.DUMMYFUNCTION("INDIRECT(""'收支紀錄'!C""&amp;TO_TEXT(ROW()-$C$72))"),1154.0)</f>
        <v>1154</v>
      </c>
      <c r="D678" s="63" t="str">
        <f>IFERROR(__xludf.DUMMYFUNCTION("INDIRECT(""'收支紀錄'!D""&amp;TO_TEXT(ROW()-$C$72))"),"今天")</f>
        <v>今天</v>
      </c>
      <c r="E678" s="61" t="str">
        <f>IFERROR(__xludf.DUMMYFUNCTION("INDIRECT(""'收支紀錄'!E""&amp;TO_TEXT(ROW()-$C$72))"),"")</f>
        <v/>
      </c>
      <c r="F678" s="61" t="str">
        <f>IFERROR(__xludf.DUMMYFUNCTION("INDIRECT(""'收支紀錄'!F""&amp;TO_TEXT(ROW()-$C$72))"),"")</f>
        <v/>
      </c>
      <c r="G678" s="61" t="str">
        <f>IFERROR(__xludf.DUMMYFUNCTION("INDIRECT(""'收支紀錄'!G""&amp;TO_TEXT(ROW()-$C$72))"),"")</f>
        <v/>
      </c>
      <c r="H678" s="61" t="str">
        <f>IFERROR(__xludf.DUMMYFUNCTION("INDIRECT(""'收支紀錄'!H""&amp;TO_TEXT(ROW()-$C$72))"),"房屋支出")</f>
        <v>房屋支出</v>
      </c>
      <c r="I678" s="61" t="str">
        <f>IFERROR(__xludf.DUMMYFUNCTION("INDIRECT(""'收支紀錄'!I""&amp;TO_TEXT(ROW()-$C$72))"),"")</f>
        <v/>
      </c>
      <c r="J678" s="61" t="str">
        <f>IFERROR(__xludf.DUMMYFUNCTION("INDIRECT(""'收支紀錄'!J""&amp;TO_TEXT(ROW()-$C$72))"),"")</f>
        <v/>
      </c>
      <c r="K678" s="61" t="str">
        <f>IFERROR(__xludf.DUMMYFUNCTION("INDIRECT(""'收支紀錄'!K""&amp;TO_TEXT(ROW()-$C$72))"),"電費")</f>
        <v>電費</v>
      </c>
      <c r="L678" s="61" t="str">
        <f>IFERROR(__xludf.DUMMYFUNCTION("INDIRECT(""'收支紀錄'!L""&amp;TO_TEXT(ROW()-$C$72))"),"")</f>
        <v/>
      </c>
      <c r="M678" s="61" t="str">
        <f>IFERROR(__xludf.DUMMYFUNCTION("INDIRECT(""'收支紀錄'!M""&amp;TO_TEXT(ROW()-$C$72))"),"")</f>
        <v/>
      </c>
      <c r="N678" s="61" t="str">
        <f>IFERROR(__xludf.DUMMYFUNCTION("INDIRECT(""'收支紀錄'!N""&amp;TO_TEXT(ROW()-$C$72))"),"")</f>
        <v/>
      </c>
      <c r="O678" s="61" t="str">
        <f>IFERROR(__xludf.DUMMYFUNCTION("INDIRECT(""'收支紀錄'!O""&amp;TO_TEXT(ROW()-$C$72))"),"")</f>
        <v/>
      </c>
      <c r="P678" s="61" t="str">
        <f>IFERROR(__xludf.DUMMYFUNCTION("INDIRECT(""'收支紀錄'!P""&amp;TO_TEXT(ROW()-$C$72))"),"")</f>
        <v/>
      </c>
      <c r="Q678" s="61" t="str">
        <f>IFERROR(__xludf.DUMMYFUNCTION("INDIRECT(""'收支紀錄'!Q""&amp;TO_TEXT(ROW()-$C$72))"),"")</f>
        <v/>
      </c>
      <c r="R678" s="61" t="str">
        <f>IFERROR(__xludf.DUMMYFUNCTION("INDIRECT(""'收支紀錄'!R""&amp;TO_TEXT(ROW()-$C$72))"),"")</f>
        <v/>
      </c>
      <c r="S678" s="61" t="str">
        <f>IFERROR(__xludf.DUMMYFUNCTION("INDIRECT(""'收支紀錄'!S""&amp;TO_TEXT(ROW()-$C$72))"),"")</f>
        <v/>
      </c>
      <c r="T678" s="61" t="str">
        <f>IFERROR(__xludf.DUMMYFUNCTION("INDIRECT(""'收支紀錄'!T""&amp;TO_TEXT(ROW()-$C$72))"),"")</f>
        <v/>
      </c>
      <c r="U678" s="62" t="str">
        <f>IFERROR(__xludf.DUMMYFUNCTION("IF(T678=""是"",TEXTJOIN("""", TRUE, ""$"", TO_TEXT(C678), S678),"""")"),"")</f>
        <v/>
      </c>
    </row>
    <row r="679">
      <c r="A679" s="58">
        <f>IFERROR(__xludf.DUMMYFUNCTION("INDIRECT(""'收支紀錄'!A""&amp;TO_TEXT(ROW()-$C$72))"),45705.897001562495)</f>
        <v>45705.897</v>
      </c>
      <c r="B679" s="59">
        <f>IFERROR(__xludf.DUMMYFUNCTION("IF(ISBLANK(D679), """", IF(ISDATE(D679), D679, IF(D679=""今天"", A679, IF(D679=""昨天 (-1 day)"", A679-1, IF(D679=""前天 (-2 days)"", A679-2, IF(D679=""明天 (+1 day)"", A679+1, DATE(LEFT(D679,4), MID(D679,5,2), RIGHT(D679,2))))))))"),45710.0)</f>
        <v>45710</v>
      </c>
      <c r="C679" s="60">
        <f>IFERROR(__xludf.DUMMYFUNCTION("INDIRECT(""'收支紀錄'!C""&amp;TO_TEXT(ROW()-$C$72))"),3471.0)</f>
        <v>3471</v>
      </c>
      <c r="D679" s="63">
        <f>IFERROR(__xludf.DUMMYFUNCTION("INDIRECT(""'收支紀錄'!D""&amp;TO_TEXT(ROW()-$C$72))"),2.0250222E7)</f>
        <v>20250222</v>
      </c>
      <c r="E679" s="61" t="str">
        <f>IFERROR(__xludf.DUMMYFUNCTION("INDIRECT(""'收支紀錄'!E""&amp;TO_TEXT(ROW()-$C$72))"),"")</f>
        <v/>
      </c>
      <c r="F679" s="61" t="str">
        <f>IFERROR(__xludf.DUMMYFUNCTION("INDIRECT(""'收支紀錄'!F""&amp;TO_TEXT(ROW()-$C$72))"),"")</f>
        <v/>
      </c>
      <c r="G679" s="61" t="str">
        <f>IFERROR(__xludf.DUMMYFUNCTION("INDIRECT(""'收支紀錄'!G""&amp;TO_TEXT(ROW()-$C$72))"),"")</f>
        <v/>
      </c>
      <c r="H679" s="61" t="str">
        <f>IFERROR(__xludf.DUMMYFUNCTION("INDIRECT(""'收支紀錄'!H""&amp;TO_TEXT(ROW()-$C$72))"),"休閒娛樂")</f>
        <v>休閒娛樂</v>
      </c>
      <c r="I679" s="61" t="str">
        <f>IFERROR(__xludf.DUMMYFUNCTION("INDIRECT(""'收支紀錄'!I""&amp;TO_TEXT(ROW()-$C$72))"),"")</f>
        <v/>
      </c>
      <c r="J679" s="61" t="str">
        <f>IFERROR(__xludf.DUMMYFUNCTION("INDIRECT(""'收支紀錄'!J""&amp;TO_TEXT(ROW()-$C$72))"),"")</f>
        <v/>
      </c>
      <c r="K679" s="61" t="str">
        <f>IFERROR(__xludf.DUMMYFUNCTION("INDIRECT(""'收支紀錄'!K""&amp;TO_TEXT(ROW()-$C$72))"),"")</f>
        <v/>
      </c>
      <c r="L679" s="61" t="str">
        <f>IFERROR(__xludf.DUMMYFUNCTION("INDIRECT(""'收支紀錄'!L""&amp;TO_TEXT(ROW()-$C$72))"),"")</f>
        <v/>
      </c>
      <c r="M679" s="61" t="str">
        <f>IFERROR(__xludf.DUMMYFUNCTION("INDIRECT(""'收支紀錄'!M""&amp;TO_TEXT(ROW()-$C$72))"),"旅遊度假")</f>
        <v>旅遊度假</v>
      </c>
      <c r="N679" s="61" t="str">
        <f>IFERROR(__xludf.DUMMYFUNCTION("INDIRECT(""'收支紀錄'!N""&amp;TO_TEXT(ROW()-$C$72))"),"")</f>
        <v/>
      </c>
      <c r="O679" s="61" t="str">
        <f>IFERROR(__xludf.DUMMYFUNCTION("INDIRECT(""'收支紀錄'!O""&amp;TO_TEXT(ROW()-$C$72))"),"")</f>
        <v/>
      </c>
      <c r="P679" s="61" t="str">
        <f>IFERROR(__xludf.DUMMYFUNCTION("INDIRECT(""'收支紀錄'!P""&amp;TO_TEXT(ROW()-$C$72))"),"")</f>
        <v/>
      </c>
      <c r="Q679" s="61" t="str">
        <f>IFERROR(__xludf.DUMMYFUNCTION("INDIRECT(""'收支紀錄'!Q""&amp;TO_TEXT(ROW()-$C$72))"),"")</f>
        <v/>
      </c>
      <c r="R679" s="61" t="str">
        <f>IFERROR(__xludf.DUMMYFUNCTION("INDIRECT(""'收支紀錄'!R""&amp;TO_TEXT(ROW()-$C$72))"),"")</f>
        <v/>
      </c>
      <c r="S679" s="61" t="str">
        <f>IFERROR(__xludf.DUMMYFUNCTION("INDIRECT(""'收支紀錄'!S""&amp;TO_TEXT(ROW()-$C$72))"),"左腳右腳按摩（momo買）$1899*2-$327寶補助")</f>
        <v>左腳右腳按摩（momo買）$1899*2-$327寶補助</v>
      </c>
      <c r="T679" s="61" t="str">
        <f>IFERROR(__xludf.DUMMYFUNCTION("INDIRECT(""'收支紀錄'!T""&amp;TO_TEXT(ROW()-$C$72))"),"否")</f>
        <v>否</v>
      </c>
      <c r="U679" s="62" t="str">
        <f>IFERROR(__xludf.DUMMYFUNCTION("IF(T679=""是"",TEXTJOIN("""", TRUE, ""$"", TO_TEXT(C679), S679),"""")"),"")</f>
        <v/>
      </c>
    </row>
    <row r="680">
      <c r="A680" s="58">
        <f>IFERROR(__xludf.DUMMYFUNCTION("INDIRECT(""'收支紀錄'!A""&amp;TO_TEXT(ROW()-$C$72))"),45707.4105255787)</f>
        <v>45707.41053</v>
      </c>
      <c r="B680" s="59">
        <f>IFERROR(__xludf.DUMMYFUNCTION("IF(ISBLANK(D680), """", IF(ISDATE(D680), D680, IF(D680=""今天"", A680, IF(D680=""昨天 (-1 day)"", A680-1, IF(D680=""前天 (-2 days)"", A680-2, IF(D680=""明天 (+1 day)"", A680+1, DATE(LEFT(D680,4), MID(D680,5,2), RIGHT(D680,2))))))))"),45707.4105255787)</f>
        <v>45707.41053</v>
      </c>
      <c r="C680" s="60">
        <f>IFERROR(__xludf.DUMMYFUNCTION("INDIRECT(""'收支紀錄'!C""&amp;TO_TEXT(ROW()-$C$72))"),700.0)</f>
        <v>700</v>
      </c>
      <c r="D680" s="63" t="str">
        <f>IFERROR(__xludf.DUMMYFUNCTION("INDIRECT(""'收支紀錄'!D""&amp;TO_TEXT(ROW()-$C$72))"),"今天")</f>
        <v>今天</v>
      </c>
      <c r="E680" s="61" t="str">
        <f>IFERROR(__xludf.DUMMYFUNCTION("INDIRECT(""'收支紀錄'!E""&amp;TO_TEXT(ROW()-$C$72))"),"")</f>
        <v/>
      </c>
      <c r="F680" s="61" t="str">
        <f>IFERROR(__xludf.DUMMYFUNCTION("INDIRECT(""'收支紀錄'!F""&amp;TO_TEXT(ROW()-$C$72))"),"")</f>
        <v/>
      </c>
      <c r="G680" s="61" t="str">
        <f>IFERROR(__xludf.DUMMYFUNCTION("INDIRECT(""'收支紀錄'!G""&amp;TO_TEXT(ROW()-$C$72))"),"")</f>
        <v/>
      </c>
      <c r="H680" s="61" t="str">
        <f>IFERROR(__xludf.DUMMYFUNCTION("INDIRECT(""'收支紀錄'!H""&amp;TO_TEXT(ROW()-$C$72))"),"日常生活")</f>
        <v>日常生活</v>
      </c>
      <c r="I680" s="61" t="str">
        <f>IFERROR(__xludf.DUMMYFUNCTION("INDIRECT(""'收支紀錄'!I""&amp;TO_TEXT(ROW()-$C$72))"),"")</f>
        <v/>
      </c>
      <c r="J680" s="61" t="str">
        <f>IFERROR(__xludf.DUMMYFUNCTION("INDIRECT(""'收支紀錄'!J""&amp;TO_TEXT(ROW()-$C$72))"),"日常用品")</f>
        <v>日常用品</v>
      </c>
      <c r="K680" s="61" t="str">
        <f>IFERROR(__xludf.DUMMYFUNCTION("INDIRECT(""'收支紀錄'!K""&amp;TO_TEXT(ROW()-$C$72))"),"")</f>
        <v/>
      </c>
      <c r="L680" s="61" t="str">
        <f>IFERROR(__xludf.DUMMYFUNCTION("INDIRECT(""'收支紀錄'!L""&amp;TO_TEXT(ROW()-$C$72))"),"")</f>
        <v/>
      </c>
      <c r="M680" s="61" t="str">
        <f>IFERROR(__xludf.DUMMYFUNCTION("INDIRECT(""'收支紀錄'!M""&amp;TO_TEXT(ROW()-$C$72))"),"")</f>
        <v/>
      </c>
      <c r="N680" s="61" t="str">
        <f>IFERROR(__xludf.DUMMYFUNCTION("INDIRECT(""'收支紀錄'!N""&amp;TO_TEXT(ROW()-$C$72))"),"")</f>
        <v/>
      </c>
      <c r="O680" s="61" t="str">
        <f>IFERROR(__xludf.DUMMYFUNCTION("INDIRECT(""'收支紀錄'!O""&amp;TO_TEXT(ROW()-$C$72))"),"")</f>
        <v/>
      </c>
      <c r="P680" s="61" t="str">
        <f>IFERROR(__xludf.DUMMYFUNCTION("INDIRECT(""'收支紀錄'!P""&amp;TO_TEXT(ROW()-$C$72))"),"")</f>
        <v/>
      </c>
      <c r="Q680" s="61" t="str">
        <f>IFERROR(__xludf.DUMMYFUNCTION("INDIRECT(""'收支紀錄'!Q""&amp;TO_TEXT(ROW()-$C$72))"),"")</f>
        <v/>
      </c>
      <c r="R680" s="61" t="str">
        <f>IFERROR(__xludf.DUMMYFUNCTION("INDIRECT(""'收支紀錄'!R""&amp;TO_TEXT(ROW()-$C$72))"),"")</f>
        <v/>
      </c>
      <c r="S680" s="61" t="str">
        <f>IFERROR(__xludf.DUMMYFUNCTION("INDIRECT(""'收支紀錄'!S""&amp;TO_TEXT(ROW()-$C$72))"),"手沖咖啡組")</f>
        <v>手沖咖啡組</v>
      </c>
      <c r="T680" s="61" t="str">
        <f>IFERROR(__xludf.DUMMYFUNCTION("INDIRECT(""'收支紀錄'!T""&amp;TO_TEXT(ROW()-$C$72))"),"")</f>
        <v/>
      </c>
      <c r="U680" s="62" t="str">
        <f>IFERROR(__xludf.DUMMYFUNCTION("IF(T680=""是"",TEXTJOIN("""", TRUE, ""$"", TO_TEXT(C680), S680),"""")"),"")</f>
        <v/>
      </c>
    </row>
    <row r="681">
      <c r="A681" s="58">
        <f>IFERROR(__xludf.DUMMYFUNCTION("INDIRECT(""'收支紀錄'!A""&amp;TO_TEXT(ROW()-$C$72))"),45709.89635471065)</f>
        <v>45709.89635</v>
      </c>
      <c r="B681" s="59">
        <f>IFERROR(__xludf.DUMMYFUNCTION("IF(ISBLANK(D681), """", IF(ISDATE(D681), D681, IF(D681=""今天"", A681, IF(D681=""昨天 (-1 day)"", A681-1, IF(D681=""前天 (-2 days)"", A681-2, IF(D681=""明天 (+1 day)"", A681+1, DATE(LEFT(D681,4), MID(D681,5,2), RIGHT(D681,2))))))))"),45709.89635471065)</f>
        <v>45709.89635</v>
      </c>
      <c r="C681" s="60">
        <f>IFERROR(__xludf.DUMMYFUNCTION("INDIRECT(""'收支紀錄'!C""&amp;TO_TEXT(ROW()-$C$72))"),503.0)</f>
        <v>503</v>
      </c>
      <c r="D681" s="63" t="str">
        <f>IFERROR(__xludf.DUMMYFUNCTION("INDIRECT(""'收支紀錄'!D""&amp;TO_TEXT(ROW()-$C$72))"),"今天")</f>
        <v>今天</v>
      </c>
      <c r="E681" s="61" t="str">
        <f>IFERROR(__xludf.DUMMYFUNCTION("INDIRECT(""'收支紀錄'!E""&amp;TO_TEXT(ROW()-$C$72))"),"")</f>
        <v/>
      </c>
      <c r="F681" s="61" t="str">
        <f>IFERROR(__xludf.DUMMYFUNCTION("INDIRECT(""'收支紀錄'!F""&amp;TO_TEXT(ROW()-$C$72))"),"")</f>
        <v/>
      </c>
      <c r="G681" s="61" t="str">
        <f>IFERROR(__xludf.DUMMYFUNCTION("INDIRECT(""'收支紀錄'!G""&amp;TO_TEXT(ROW()-$C$72))"),"")</f>
        <v/>
      </c>
      <c r="H681" s="61" t="str">
        <f>IFERROR(__xludf.DUMMYFUNCTION("INDIRECT(""'收支紀錄'!H""&amp;TO_TEXT(ROW()-$C$72))"),"行車交通")</f>
        <v>行車交通</v>
      </c>
      <c r="I681" s="61" t="str">
        <f>IFERROR(__xludf.DUMMYFUNCTION("INDIRECT(""'收支紀錄'!I""&amp;TO_TEXT(ROW()-$C$72))"),"")</f>
        <v/>
      </c>
      <c r="J681" s="61" t="str">
        <f>IFERROR(__xludf.DUMMYFUNCTION("INDIRECT(""'收支紀錄'!J""&amp;TO_TEXT(ROW()-$C$72))"),"")</f>
        <v/>
      </c>
      <c r="K681" s="61" t="str">
        <f>IFERROR(__xludf.DUMMYFUNCTION("INDIRECT(""'收支紀錄'!K""&amp;TO_TEXT(ROW()-$C$72))"),"")</f>
        <v/>
      </c>
      <c r="L681" s="61" t="str">
        <f>IFERROR(__xludf.DUMMYFUNCTION("INDIRECT(""'收支紀錄'!L""&amp;TO_TEXT(ROW()-$C$72))"),"加油")</f>
        <v>加油</v>
      </c>
      <c r="M681" s="61" t="str">
        <f>IFERROR(__xludf.DUMMYFUNCTION("INDIRECT(""'收支紀錄'!M""&amp;TO_TEXT(ROW()-$C$72))"),"")</f>
        <v/>
      </c>
      <c r="N681" s="61" t="str">
        <f>IFERROR(__xludf.DUMMYFUNCTION("INDIRECT(""'收支紀錄'!N""&amp;TO_TEXT(ROW()-$C$72))"),"")</f>
        <v/>
      </c>
      <c r="O681" s="61" t="str">
        <f>IFERROR(__xludf.DUMMYFUNCTION("INDIRECT(""'收支紀錄'!O""&amp;TO_TEXT(ROW()-$C$72))"),"")</f>
        <v/>
      </c>
      <c r="P681" s="61" t="str">
        <f>IFERROR(__xludf.DUMMYFUNCTION("INDIRECT(""'收支紀錄'!P""&amp;TO_TEXT(ROW()-$C$72))"),"")</f>
        <v/>
      </c>
      <c r="Q681" s="61" t="str">
        <f>IFERROR(__xludf.DUMMYFUNCTION("INDIRECT(""'收支紀錄'!Q""&amp;TO_TEXT(ROW()-$C$72))"),"")</f>
        <v/>
      </c>
      <c r="R681" s="61" t="str">
        <f>IFERROR(__xludf.DUMMYFUNCTION("INDIRECT(""'收支紀錄'!R""&amp;TO_TEXT(ROW()-$C$72))"),"")</f>
        <v/>
      </c>
      <c r="S681" s="61" t="str">
        <f>IFERROR(__xludf.DUMMYFUNCTION("INDIRECT(""'收支紀錄'!S""&amp;TO_TEXT(ROW()-$C$72))"),"")</f>
        <v/>
      </c>
      <c r="T681" s="61" t="str">
        <f>IFERROR(__xludf.DUMMYFUNCTION("INDIRECT(""'收支紀錄'!T""&amp;TO_TEXT(ROW()-$C$72))"),"")</f>
        <v/>
      </c>
      <c r="U681" s="62" t="str">
        <f>IFERROR(__xludf.DUMMYFUNCTION("IF(T681=""是"",TEXTJOIN("""", TRUE, ""$"", TO_TEXT(C681), S681),"""")"),"")</f>
        <v/>
      </c>
    </row>
    <row r="682">
      <c r="A682" s="58">
        <f>IFERROR(__xludf.DUMMYFUNCTION("INDIRECT(""'收支紀錄'!A""&amp;TO_TEXT(ROW()-$C$72))"),45709.89658598379)</f>
        <v>45709.89659</v>
      </c>
      <c r="B682" s="59">
        <f>IFERROR(__xludf.DUMMYFUNCTION("IF(ISBLANK(D682), """", IF(ISDATE(D682), D682, IF(D682=""今天"", A682, IF(D682=""昨天 (-1 day)"", A682-1, IF(D682=""前天 (-2 days)"", A682-2, IF(D682=""明天 (+1 day)"", A682+1, DATE(LEFT(D682,4), MID(D682,5,2), RIGHT(D682,2))))))))"),45709.89658598379)</f>
        <v>45709.89659</v>
      </c>
      <c r="C682" s="60">
        <f>IFERROR(__xludf.DUMMYFUNCTION("INDIRECT(""'收支紀錄'!C""&amp;TO_TEXT(ROW()-$C$72))"),461.0)</f>
        <v>461</v>
      </c>
      <c r="D682" s="63" t="str">
        <f>IFERROR(__xludf.DUMMYFUNCTION("INDIRECT(""'收支紀錄'!D""&amp;TO_TEXT(ROW()-$C$72))"),"今天")</f>
        <v>今天</v>
      </c>
      <c r="E682" s="61" t="str">
        <f>IFERROR(__xludf.DUMMYFUNCTION("INDIRECT(""'收支紀錄'!E""&amp;TO_TEXT(ROW()-$C$72))"),"")</f>
        <v/>
      </c>
      <c r="F682" s="61" t="str">
        <f>IFERROR(__xludf.DUMMYFUNCTION("INDIRECT(""'收支紀錄'!F""&amp;TO_TEXT(ROW()-$C$72))"),"")</f>
        <v/>
      </c>
      <c r="G682" s="61" t="str">
        <f>IFERROR(__xludf.DUMMYFUNCTION("INDIRECT(""'收支紀錄'!G""&amp;TO_TEXT(ROW()-$C$72))"),"")</f>
        <v/>
      </c>
      <c r="H682" s="61" t="str">
        <f>IFERROR(__xludf.DUMMYFUNCTION("INDIRECT(""'收支紀錄'!H""&amp;TO_TEXT(ROW()-$C$72))"),"食品酒水")</f>
        <v>食品酒水</v>
      </c>
      <c r="I682" s="61" t="str">
        <f>IFERROR(__xludf.DUMMYFUNCTION("INDIRECT(""'收支紀錄'!I""&amp;TO_TEXT(ROW()-$C$72))"),"晚餐")</f>
        <v>晚餐</v>
      </c>
      <c r="J682" s="61" t="str">
        <f>IFERROR(__xludf.DUMMYFUNCTION("INDIRECT(""'收支紀錄'!J""&amp;TO_TEXT(ROW()-$C$72))"),"")</f>
        <v/>
      </c>
      <c r="K682" s="61" t="str">
        <f>IFERROR(__xludf.DUMMYFUNCTION("INDIRECT(""'收支紀錄'!K""&amp;TO_TEXT(ROW()-$C$72))"),"")</f>
        <v/>
      </c>
      <c r="L682" s="61" t="str">
        <f>IFERROR(__xludf.DUMMYFUNCTION("INDIRECT(""'收支紀錄'!L""&amp;TO_TEXT(ROW()-$C$72))"),"")</f>
        <v/>
      </c>
      <c r="M682" s="61" t="str">
        <f>IFERROR(__xludf.DUMMYFUNCTION("INDIRECT(""'收支紀錄'!M""&amp;TO_TEXT(ROW()-$C$72))"),"")</f>
        <v/>
      </c>
      <c r="N682" s="61" t="str">
        <f>IFERROR(__xludf.DUMMYFUNCTION("INDIRECT(""'收支紀錄'!N""&amp;TO_TEXT(ROW()-$C$72))"),"")</f>
        <v/>
      </c>
      <c r="O682" s="61" t="str">
        <f>IFERROR(__xludf.DUMMYFUNCTION("INDIRECT(""'收支紀錄'!O""&amp;TO_TEXT(ROW()-$C$72))"),"")</f>
        <v/>
      </c>
      <c r="P682" s="61" t="str">
        <f>IFERROR(__xludf.DUMMYFUNCTION("INDIRECT(""'收支紀錄'!P""&amp;TO_TEXT(ROW()-$C$72))"),"")</f>
        <v/>
      </c>
      <c r="Q682" s="61" t="str">
        <f>IFERROR(__xludf.DUMMYFUNCTION("INDIRECT(""'收支紀錄'!Q""&amp;TO_TEXT(ROW()-$C$72))"),"")</f>
        <v/>
      </c>
      <c r="R682" s="61" t="str">
        <f>IFERROR(__xludf.DUMMYFUNCTION("INDIRECT(""'收支紀錄'!R""&amp;TO_TEXT(ROW()-$C$72))"),"")</f>
        <v/>
      </c>
      <c r="S682" s="61" t="str">
        <f>IFERROR(__xludf.DUMMYFUNCTION("INDIRECT(""'收支紀錄'!S""&amp;TO_TEXT(ROW()-$C$72))"),"")</f>
        <v/>
      </c>
      <c r="T682" s="61" t="str">
        <f>IFERROR(__xludf.DUMMYFUNCTION("INDIRECT(""'收支紀錄'!T""&amp;TO_TEXT(ROW()-$C$72))"),"")</f>
        <v/>
      </c>
      <c r="U682" s="62" t="str">
        <f>IFERROR(__xludf.DUMMYFUNCTION("IF(T682=""是"",TEXTJOIN("""", TRUE, ""$"", TO_TEXT(C682), S682),"""")"),"")</f>
        <v/>
      </c>
    </row>
    <row r="683">
      <c r="A683" s="58">
        <f>IFERROR(__xludf.DUMMYFUNCTION("INDIRECT(""'收支紀錄'!A""&amp;TO_TEXT(ROW()-$C$72))"),45710.594379305556)</f>
        <v>45710.59438</v>
      </c>
      <c r="B683" s="59">
        <f>IFERROR(__xludf.DUMMYFUNCTION("IF(ISBLANK(D683), """", IF(ISDATE(D683), D683, IF(D683=""今天"", A683, IF(D683=""昨天 (-1 day)"", A683-1, IF(D683=""前天 (-2 days)"", A683-2, IF(D683=""明天 (+1 day)"", A683+1, DATE(LEFT(D683,4), MID(D683,5,2), RIGHT(D683,2))))))))"),45710.594379305556)</f>
        <v>45710.59438</v>
      </c>
      <c r="C683" s="60">
        <f>IFERROR(__xludf.DUMMYFUNCTION("INDIRECT(""'收支紀錄'!C""&amp;TO_TEXT(ROW()-$C$72))"),258.0)</f>
        <v>258</v>
      </c>
      <c r="D683" s="63" t="str">
        <f>IFERROR(__xludf.DUMMYFUNCTION("INDIRECT(""'收支紀錄'!D""&amp;TO_TEXT(ROW()-$C$72))"),"今天")</f>
        <v>今天</v>
      </c>
      <c r="E683" s="61" t="str">
        <f>IFERROR(__xludf.DUMMYFUNCTION("INDIRECT(""'收支紀錄'!E""&amp;TO_TEXT(ROW()-$C$72))"),"")</f>
        <v/>
      </c>
      <c r="F683" s="61" t="str">
        <f>IFERROR(__xludf.DUMMYFUNCTION("INDIRECT(""'收支紀錄'!F""&amp;TO_TEXT(ROW()-$C$72))"),"")</f>
        <v/>
      </c>
      <c r="G683" s="61" t="str">
        <f>IFERROR(__xludf.DUMMYFUNCTION("INDIRECT(""'收支紀錄'!G""&amp;TO_TEXT(ROW()-$C$72))"),"")</f>
        <v/>
      </c>
      <c r="H683" s="61" t="str">
        <f>IFERROR(__xludf.DUMMYFUNCTION("INDIRECT(""'收支紀錄'!H""&amp;TO_TEXT(ROW()-$C$72))"),"食品酒水")</f>
        <v>食品酒水</v>
      </c>
      <c r="I683" s="61" t="str">
        <f>IFERROR(__xludf.DUMMYFUNCTION("INDIRECT(""'收支紀錄'!I""&amp;TO_TEXT(ROW()-$C$72))"),"早餐")</f>
        <v>早餐</v>
      </c>
      <c r="J683" s="61" t="str">
        <f>IFERROR(__xludf.DUMMYFUNCTION("INDIRECT(""'收支紀錄'!J""&amp;TO_TEXT(ROW()-$C$72))"),"")</f>
        <v/>
      </c>
      <c r="K683" s="61" t="str">
        <f>IFERROR(__xludf.DUMMYFUNCTION("INDIRECT(""'收支紀錄'!K""&amp;TO_TEXT(ROW()-$C$72))"),"")</f>
        <v/>
      </c>
      <c r="L683" s="61" t="str">
        <f>IFERROR(__xludf.DUMMYFUNCTION("INDIRECT(""'收支紀錄'!L""&amp;TO_TEXT(ROW()-$C$72))"),"")</f>
        <v/>
      </c>
      <c r="M683" s="61" t="str">
        <f>IFERROR(__xludf.DUMMYFUNCTION("INDIRECT(""'收支紀錄'!M""&amp;TO_TEXT(ROW()-$C$72))"),"")</f>
        <v/>
      </c>
      <c r="N683" s="61" t="str">
        <f>IFERROR(__xludf.DUMMYFUNCTION("INDIRECT(""'收支紀錄'!N""&amp;TO_TEXT(ROW()-$C$72))"),"")</f>
        <v/>
      </c>
      <c r="O683" s="61" t="str">
        <f>IFERROR(__xludf.DUMMYFUNCTION("INDIRECT(""'收支紀錄'!O""&amp;TO_TEXT(ROW()-$C$72))"),"")</f>
        <v/>
      </c>
      <c r="P683" s="61" t="str">
        <f>IFERROR(__xludf.DUMMYFUNCTION("INDIRECT(""'收支紀錄'!P""&amp;TO_TEXT(ROW()-$C$72))"),"")</f>
        <v/>
      </c>
      <c r="Q683" s="61" t="str">
        <f>IFERROR(__xludf.DUMMYFUNCTION("INDIRECT(""'收支紀錄'!Q""&amp;TO_TEXT(ROW()-$C$72))"),"")</f>
        <v/>
      </c>
      <c r="R683" s="61" t="str">
        <f>IFERROR(__xludf.DUMMYFUNCTION("INDIRECT(""'收支紀錄'!R""&amp;TO_TEXT(ROW()-$C$72))"),"")</f>
        <v/>
      </c>
      <c r="S683" s="61" t="str">
        <f>IFERROR(__xludf.DUMMYFUNCTION("INDIRECT(""'收支紀錄'!S""&amp;TO_TEXT(ROW()-$C$72))"),"")</f>
        <v/>
      </c>
      <c r="T683" s="61" t="str">
        <f>IFERROR(__xludf.DUMMYFUNCTION("INDIRECT(""'收支紀錄'!T""&amp;TO_TEXT(ROW()-$C$72))"),"")</f>
        <v/>
      </c>
      <c r="U683" s="62" t="str">
        <f>IFERROR(__xludf.DUMMYFUNCTION("IF(T683=""是"",TEXTJOIN("""", TRUE, ""$"", TO_TEXT(C683), S683),"""")"),"")</f>
        <v/>
      </c>
    </row>
    <row r="684">
      <c r="A684" s="58">
        <f>IFERROR(__xludf.DUMMYFUNCTION("INDIRECT(""'收支紀錄'!A""&amp;TO_TEXT(ROW()-$C$72))"),45710.59451471065)</f>
        <v>45710.59451</v>
      </c>
      <c r="B684" s="59">
        <f>IFERROR(__xludf.DUMMYFUNCTION("IF(ISBLANK(D684), """", IF(ISDATE(D684), D684, IF(D684=""今天"", A684, IF(D684=""昨天 (-1 day)"", A684-1, IF(D684=""前天 (-2 days)"", A684-2, IF(D684=""明天 (+1 day)"", A684+1, DATE(LEFT(D684,4), MID(D684,5,2), RIGHT(D684,2))))))))"),45710.59451471065)</f>
        <v>45710.59451</v>
      </c>
      <c r="C684" s="60">
        <f>IFERROR(__xludf.DUMMYFUNCTION("INDIRECT(""'收支紀錄'!C""&amp;TO_TEXT(ROW()-$C$72))"),150.0)</f>
        <v>150</v>
      </c>
      <c r="D684" s="63" t="str">
        <f>IFERROR(__xludf.DUMMYFUNCTION("INDIRECT(""'收支紀錄'!D""&amp;TO_TEXT(ROW()-$C$72))"),"今天")</f>
        <v>今天</v>
      </c>
      <c r="E684" s="61" t="str">
        <f>IFERROR(__xludf.DUMMYFUNCTION("INDIRECT(""'收支紀錄'!E""&amp;TO_TEXT(ROW()-$C$72))"),"")</f>
        <v/>
      </c>
      <c r="F684" s="61" t="str">
        <f>IFERROR(__xludf.DUMMYFUNCTION("INDIRECT(""'收支紀錄'!F""&amp;TO_TEXT(ROW()-$C$72))"),"")</f>
        <v/>
      </c>
      <c r="G684" s="61" t="str">
        <f>IFERROR(__xludf.DUMMYFUNCTION("INDIRECT(""'收支紀錄'!G""&amp;TO_TEXT(ROW()-$C$72))"),"")</f>
        <v/>
      </c>
      <c r="H684" s="61" t="str">
        <f>IFERROR(__xludf.DUMMYFUNCTION("INDIRECT(""'收支紀錄'!H""&amp;TO_TEXT(ROW()-$C$72))"),"食品酒水")</f>
        <v>食品酒水</v>
      </c>
      <c r="I684" s="61" t="str">
        <f>IFERROR(__xludf.DUMMYFUNCTION("INDIRECT(""'收支紀錄'!I""&amp;TO_TEXT(ROW()-$C$72))"),"食材")</f>
        <v>食材</v>
      </c>
      <c r="J684" s="61" t="str">
        <f>IFERROR(__xludf.DUMMYFUNCTION("INDIRECT(""'收支紀錄'!J""&amp;TO_TEXT(ROW()-$C$72))"),"")</f>
        <v/>
      </c>
      <c r="K684" s="61" t="str">
        <f>IFERROR(__xludf.DUMMYFUNCTION("INDIRECT(""'收支紀錄'!K""&amp;TO_TEXT(ROW()-$C$72))"),"")</f>
        <v/>
      </c>
      <c r="L684" s="61" t="str">
        <f>IFERROR(__xludf.DUMMYFUNCTION("INDIRECT(""'收支紀錄'!L""&amp;TO_TEXT(ROW()-$C$72))"),"")</f>
        <v/>
      </c>
      <c r="M684" s="61" t="str">
        <f>IFERROR(__xludf.DUMMYFUNCTION("INDIRECT(""'收支紀錄'!M""&amp;TO_TEXT(ROW()-$C$72))"),"")</f>
        <v/>
      </c>
      <c r="N684" s="61" t="str">
        <f>IFERROR(__xludf.DUMMYFUNCTION("INDIRECT(""'收支紀錄'!N""&amp;TO_TEXT(ROW()-$C$72))"),"")</f>
        <v/>
      </c>
      <c r="O684" s="61" t="str">
        <f>IFERROR(__xludf.DUMMYFUNCTION("INDIRECT(""'收支紀錄'!O""&amp;TO_TEXT(ROW()-$C$72))"),"")</f>
        <v/>
      </c>
      <c r="P684" s="61" t="str">
        <f>IFERROR(__xludf.DUMMYFUNCTION("INDIRECT(""'收支紀錄'!P""&amp;TO_TEXT(ROW()-$C$72))"),"")</f>
        <v/>
      </c>
      <c r="Q684" s="61" t="str">
        <f>IFERROR(__xludf.DUMMYFUNCTION("INDIRECT(""'收支紀錄'!Q""&amp;TO_TEXT(ROW()-$C$72))"),"")</f>
        <v/>
      </c>
      <c r="R684" s="61" t="str">
        <f>IFERROR(__xludf.DUMMYFUNCTION("INDIRECT(""'收支紀錄'!R""&amp;TO_TEXT(ROW()-$C$72))"),"")</f>
        <v/>
      </c>
      <c r="S684" s="61" t="str">
        <f>IFERROR(__xludf.DUMMYFUNCTION("INDIRECT(""'收支紀錄'!S""&amp;TO_TEXT(ROW()-$C$72))"),"")</f>
        <v/>
      </c>
      <c r="T684" s="61" t="str">
        <f>IFERROR(__xludf.DUMMYFUNCTION("INDIRECT(""'收支紀錄'!T""&amp;TO_TEXT(ROW()-$C$72))"),"")</f>
        <v/>
      </c>
      <c r="U684" s="62" t="str">
        <f>IFERROR(__xludf.DUMMYFUNCTION("IF(T684=""是"",TEXTJOIN("""", TRUE, ""$"", TO_TEXT(C684), S684),"""")"),"")</f>
        <v/>
      </c>
    </row>
    <row r="685">
      <c r="A685" s="58">
        <f>IFERROR(__xludf.DUMMYFUNCTION("INDIRECT(""'收支紀錄'!A""&amp;TO_TEXT(ROW()-$C$72))"),45710.59464452547)</f>
        <v>45710.59464</v>
      </c>
      <c r="B685" s="59">
        <f>IFERROR(__xludf.DUMMYFUNCTION("IF(ISBLANK(D685), """", IF(ISDATE(D685), D685, IF(D685=""今天"", A685, IF(D685=""昨天 (-1 day)"", A685-1, IF(D685=""前天 (-2 days)"", A685-2, IF(D685=""明天 (+1 day)"", A685+1, DATE(LEFT(D685,4), MID(D685,5,2), RIGHT(D685,2))))))))"),45710.59464452547)</f>
        <v>45710.59464</v>
      </c>
      <c r="C685" s="60">
        <f>IFERROR(__xludf.DUMMYFUNCTION("INDIRECT(""'收支紀錄'!C""&amp;TO_TEXT(ROW()-$C$72))"),188.0)</f>
        <v>188</v>
      </c>
      <c r="D685" s="63" t="str">
        <f>IFERROR(__xludf.DUMMYFUNCTION("INDIRECT(""'收支紀錄'!D""&amp;TO_TEXT(ROW()-$C$72))"),"今天")</f>
        <v>今天</v>
      </c>
      <c r="E685" s="61" t="str">
        <f>IFERROR(__xludf.DUMMYFUNCTION("INDIRECT(""'收支紀錄'!E""&amp;TO_TEXT(ROW()-$C$72))"),"")</f>
        <v/>
      </c>
      <c r="F685" s="61" t="str">
        <f>IFERROR(__xludf.DUMMYFUNCTION("INDIRECT(""'收支紀錄'!F""&amp;TO_TEXT(ROW()-$C$72))"),"")</f>
        <v/>
      </c>
      <c r="G685" s="61" t="str">
        <f>IFERROR(__xludf.DUMMYFUNCTION("INDIRECT(""'收支紀錄'!G""&amp;TO_TEXT(ROW()-$C$72))"),"")</f>
        <v/>
      </c>
      <c r="H685" s="61" t="str">
        <f>IFERROR(__xludf.DUMMYFUNCTION("INDIRECT(""'收支紀錄'!H""&amp;TO_TEXT(ROW()-$C$72))"),"日常生活")</f>
        <v>日常生活</v>
      </c>
      <c r="I685" s="61" t="str">
        <f>IFERROR(__xludf.DUMMYFUNCTION("INDIRECT(""'收支紀錄'!I""&amp;TO_TEXT(ROW()-$C$72))"),"")</f>
        <v/>
      </c>
      <c r="J685" s="61" t="str">
        <f>IFERROR(__xludf.DUMMYFUNCTION("INDIRECT(""'收支紀錄'!J""&amp;TO_TEXT(ROW()-$C$72))"),"日常用品")</f>
        <v>日常用品</v>
      </c>
      <c r="K685" s="61" t="str">
        <f>IFERROR(__xludf.DUMMYFUNCTION("INDIRECT(""'收支紀錄'!K""&amp;TO_TEXT(ROW()-$C$72))"),"")</f>
        <v/>
      </c>
      <c r="L685" s="61" t="str">
        <f>IFERROR(__xludf.DUMMYFUNCTION("INDIRECT(""'收支紀錄'!L""&amp;TO_TEXT(ROW()-$C$72))"),"")</f>
        <v/>
      </c>
      <c r="M685" s="61" t="str">
        <f>IFERROR(__xludf.DUMMYFUNCTION("INDIRECT(""'收支紀錄'!M""&amp;TO_TEXT(ROW()-$C$72))"),"")</f>
        <v/>
      </c>
      <c r="N685" s="61" t="str">
        <f>IFERROR(__xludf.DUMMYFUNCTION("INDIRECT(""'收支紀錄'!N""&amp;TO_TEXT(ROW()-$C$72))"),"")</f>
        <v/>
      </c>
      <c r="O685" s="61" t="str">
        <f>IFERROR(__xludf.DUMMYFUNCTION("INDIRECT(""'收支紀錄'!O""&amp;TO_TEXT(ROW()-$C$72))"),"")</f>
        <v/>
      </c>
      <c r="P685" s="61" t="str">
        <f>IFERROR(__xludf.DUMMYFUNCTION("INDIRECT(""'收支紀錄'!P""&amp;TO_TEXT(ROW()-$C$72))"),"")</f>
        <v/>
      </c>
      <c r="Q685" s="61" t="str">
        <f>IFERROR(__xludf.DUMMYFUNCTION("INDIRECT(""'收支紀錄'!Q""&amp;TO_TEXT(ROW()-$C$72))"),"")</f>
        <v/>
      </c>
      <c r="R685" s="61" t="str">
        <f>IFERROR(__xludf.DUMMYFUNCTION("INDIRECT(""'收支紀錄'!R""&amp;TO_TEXT(ROW()-$C$72))"),"")</f>
        <v/>
      </c>
      <c r="S685" s="61" t="str">
        <f>IFERROR(__xludf.DUMMYFUNCTION("INDIRECT(""'收支紀錄'!S""&amp;TO_TEXT(ROW()-$C$72))"),"")</f>
        <v/>
      </c>
      <c r="T685" s="61" t="str">
        <f>IFERROR(__xludf.DUMMYFUNCTION("INDIRECT(""'收支紀錄'!T""&amp;TO_TEXT(ROW()-$C$72))"),"")</f>
        <v/>
      </c>
      <c r="U685" s="62" t="str">
        <f>IFERROR(__xludf.DUMMYFUNCTION("IF(T685=""是"",TEXTJOIN("""", TRUE, ""$"", TO_TEXT(C685), S685),"""")"),"")</f>
        <v/>
      </c>
    </row>
    <row r="686">
      <c r="A686" s="58">
        <f>IFERROR(__xludf.DUMMYFUNCTION("INDIRECT(""'收支紀錄'!A""&amp;TO_TEXT(ROW()-$C$72))"),45710.59505482639)</f>
        <v>45710.59505</v>
      </c>
      <c r="B686" s="59">
        <f>IFERROR(__xludf.DUMMYFUNCTION("IF(ISBLANK(D686), """", IF(ISDATE(D686), D686, IF(D686=""今天"", A686, IF(D686=""昨天 (-1 day)"", A686-1, IF(D686=""前天 (-2 days)"", A686-2, IF(D686=""明天 (+1 day)"", A686+1, DATE(LEFT(D686,4), MID(D686,5,2), RIGHT(D686,2))))))))"),45710.59505482639)</f>
        <v>45710.59505</v>
      </c>
      <c r="C686" s="60">
        <f>IFERROR(__xludf.DUMMYFUNCTION("INDIRECT(""'收支紀錄'!C""&amp;TO_TEXT(ROW()-$C$72))"),580.0)</f>
        <v>580</v>
      </c>
      <c r="D686" s="63" t="str">
        <f>IFERROR(__xludf.DUMMYFUNCTION("INDIRECT(""'收支紀錄'!D""&amp;TO_TEXT(ROW()-$C$72))"),"今天")</f>
        <v>今天</v>
      </c>
      <c r="E686" s="61" t="str">
        <f>IFERROR(__xludf.DUMMYFUNCTION("INDIRECT(""'收支紀錄'!E""&amp;TO_TEXT(ROW()-$C$72))"),"")</f>
        <v/>
      </c>
      <c r="F686" s="61" t="str">
        <f>IFERROR(__xludf.DUMMYFUNCTION("INDIRECT(""'收支紀錄'!F""&amp;TO_TEXT(ROW()-$C$72))"),"")</f>
        <v/>
      </c>
      <c r="G686" s="61" t="str">
        <f>IFERROR(__xludf.DUMMYFUNCTION("INDIRECT(""'收支紀錄'!G""&amp;TO_TEXT(ROW()-$C$72))"),"")</f>
        <v/>
      </c>
      <c r="H686" s="61" t="str">
        <f>IFERROR(__xludf.DUMMYFUNCTION("INDIRECT(""'收支紀錄'!H""&amp;TO_TEXT(ROW()-$C$72))"),"食品酒水")</f>
        <v>食品酒水</v>
      </c>
      <c r="I686" s="61" t="str">
        <f>IFERROR(__xludf.DUMMYFUNCTION("INDIRECT(""'收支紀錄'!I""&amp;TO_TEXT(ROW()-$C$72))"),"午餐")</f>
        <v>午餐</v>
      </c>
      <c r="J686" s="61" t="str">
        <f>IFERROR(__xludf.DUMMYFUNCTION("INDIRECT(""'收支紀錄'!J""&amp;TO_TEXT(ROW()-$C$72))"),"")</f>
        <v/>
      </c>
      <c r="K686" s="61" t="str">
        <f>IFERROR(__xludf.DUMMYFUNCTION("INDIRECT(""'收支紀錄'!K""&amp;TO_TEXT(ROW()-$C$72))"),"")</f>
        <v/>
      </c>
      <c r="L686" s="61" t="str">
        <f>IFERROR(__xludf.DUMMYFUNCTION("INDIRECT(""'收支紀錄'!L""&amp;TO_TEXT(ROW()-$C$72))"),"")</f>
        <v/>
      </c>
      <c r="M686" s="61" t="str">
        <f>IFERROR(__xludf.DUMMYFUNCTION("INDIRECT(""'收支紀錄'!M""&amp;TO_TEXT(ROW()-$C$72))"),"")</f>
        <v/>
      </c>
      <c r="N686" s="61" t="str">
        <f>IFERROR(__xludf.DUMMYFUNCTION("INDIRECT(""'收支紀錄'!N""&amp;TO_TEXT(ROW()-$C$72))"),"")</f>
        <v/>
      </c>
      <c r="O686" s="61" t="str">
        <f>IFERROR(__xludf.DUMMYFUNCTION("INDIRECT(""'收支紀錄'!O""&amp;TO_TEXT(ROW()-$C$72))"),"")</f>
        <v/>
      </c>
      <c r="P686" s="61" t="str">
        <f>IFERROR(__xludf.DUMMYFUNCTION("INDIRECT(""'收支紀錄'!P""&amp;TO_TEXT(ROW()-$C$72))"),"")</f>
        <v/>
      </c>
      <c r="Q686" s="61" t="str">
        <f>IFERROR(__xludf.DUMMYFUNCTION("INDIRECT(""'收支紀錄'!Q""&amp;TO_TEXT(ROW()-$C$72))"),"")</f>
        <v/>
      </c>
      <c r="R686" s="61" t="str">
        <f>IFERROR(__xludf.DUMMYFUNCTION("INDIRECT(""'收支紀錄'!R""&amp;TO_TEXT(ROW()-$C$72))"),"")</f>
        <v/>
      </c>
      <c r="S686" s="61" t="str">
        <f>IFERROR(__xludf.DUMMYFUNCTION("INDIRECT(""'收支紀錄'!S""&amp;TO_TEXT(ROW()-$C$72))"),"")</f>
        <v/>
      </c>
      <c r="T686" s="61" t="str">
        <f>IFERROR(__xludf.DUMMYFUNCTION("INDIRECT(""'收支紀錄'!T""&amp;TO_TEXT(ROW()-$C$72))"),"")</f>
        <v/>
      </c>
      <c r="U686" s="62" t="str">
        <f>IFERROR(__xludf.DUMMYFUNCTION("IF(T686=""是"",TEXTJOIN("""", TRUE, ""$"", TO_TEXT(C686), S686),"""")"),"")</f>
        <v/>
      </c>
    </row>
    <row r="687">
      <c r="A687" s="58">
        <f>IFERROR(__xludf.DUMMYFUNCTION("INDIRECT(""'收支紀錄'!A""&amp;TO_TEXT(ROW()-$C$72))"),45710.596900046294)</f>
        <v>45710.5969</v>
      </c>
      <c r="B687" s="59">
        <f>IFERROR(__xludf.DUMMYFUNCTION("IF(ISBLANK(D687), """", IF(ISDATE(D687), D687, IF(D687=""今天"", A687, IF(D687=""昨天 (-1 day)"", A687-1, IF(D687=""前天 (-2 days)"", A687-2, IF(D687=""明天 (+1 day)"", A687+1, DATE(LEFT(D687,4), MID(D687,5,2), RIGHT(D687,2))))))))"),45710.596900046294)</f>
        <v>45710.5969</v>
      </c>
      <c r="C687" s="60">
        <f>IFERROR(__xludf.DUMMYFUNCTION("INDIRECT(""'收支紀錄'!C""&amp;TO_TEXT(ROW()-$C$72))"),94.0)</f>
        <v>94</v>
      </c>
      <c r="D687" s="63" t="str">
        <f>IFERROR(__xludf.DUMMYFUNCTION("INDIRECT(""'收支紀錄'!D""&amp;TO_TEXT(ROW()-$C$72))"),"今天")</f>
        <v>今天</v>
      </c>
      <c r="E687" s="61" t="str">
        <f>IFERROR(__xludf.DUMMYFUNCTION("INDIRECT(""'收支紀錄'!E""&amp;TO_TEXT(ROW()-$C$72))"),"")</f>
        <v/>
      </c>
      <c r="F687" s="61" t="str">
        <f>IFERROR(__xludf.DUMMYFUNCTION("INDIRECT(""'收支紀錄'!F""&amp;TO_TEXT(ROW()-$C$72))"),"")</f>
        <v/>
      </c>
      <c r="G687" s="61" t="str">
        <f>IFERROR(__xludf.DUMMYFUNCTION("INDIRECT(""'收支紀錄'!G""&amp;TO_TEXT(ROW()-$C$72))"),"")</f>
        <v/>
      </c>
      <c r="H687" s="61" t="str">
        <f>IFERROR(__xludf.DUMMYFUNCTION("INDIRECT(""'收支紀錄'!H""&amp;TO_TEXT(ROW()-$C$72))"),"食品酒水")</f>
        <v>食品酒水</v>
      </c>
      <c r="I687" s="61" t="str">
        <f>IFERROR(__xludf.DUMMYFUNCTION("INDIRECT(""'收支紀錄'!I""&amp;TO_TEXT(ROW()-$C$72))"),"飲料酒水")</f>
        <v>飲料酒水</v>
      </c>
      <c r="J687" s="61" t="str">
        <f>IFERROR(__xludf.DUMMYFUNCTION("INDIRECT(""'收支紀錄'!J""&amp;TO_TEXT(ROW()-$C$72))"),"")</f>
        <v/>
      </c>
      <c r="K687" s="61" t="str">
        <f>IFERROR(__xludf.DUMMYFUNCTION("INDIRECT(""'收支紀錄'!K""&amp;TO_TEXT(ROW()-$C$72))"),"")</f>
        <v/>
      </c>
      <c r="L687" s="61" t="str">
        <f>IFERROR(__xludf.DUMMYFUNCTION("INDIRECT(""'收支紀錄'!L""&amp;TO_TEXT(ROW()-$C$72))"),"")</f>
        <v/>
      </c>
      <c r="M687" s="61" t="str">
        <f>IFERROR(__xludf.DUMMYFUNCTION("INDIRECT(""'收支紀錄'!M""&amp;TO_TEXT(ROW()-$C$72))"),"")</f>
        <v/>
      </c>
      <c r="N687" s="61" t="str">
        <f>IFERROR(__xludf.DUMMYFUNCTION("INDIRECT(""'收支紀錄'!N""&amp;TO_TEXT(ROW()-$C$72))"),"")</f>
        <v/>
      </c>
      <c r="O687" s="61" t="str">
        <f>IFERROR(__xludf.DUMMYFUNCTION("INDIRECT(""'收支紀錄'!O""&amp;TO_TEXT(ROW()-$C$72))"),"")</f>
        <v/>
      </c>
      <c r="P687" s="61" t="str">
        <f>IFERROR(__xludf.DUMMYFUNCTION("INDIRECT(""'收支紀錄'!P""&amp;TO_TEXT(ROW()-$C$72))"),"")</f>
        <v/>
      </c>
      <c r="Q687" s="61" t="str">
        <f>IFERROR(__xludf.DUMMYFUNCTION("INDIRECT(""'收支紀錄'!Q""&amp;TO_TEXT(ROW()-$C$72))"),"")</f>
        <v/>
      </c>
      <c r="R687" s="61" t="str">
        <f>IFERROR(__xludf.DUMMYFUNCTION("INDIRECT(""'收支紀錄'!R""&amp;TO_TEXT(ROW()-$C$72))"),"")</f>
        <v/>
      </c>
      <c r="S687" s="61" t="str">
        <f>IFERROR(__xludf.DUMMYFUNCTION("INDIRECT(""'收支紀錄'!S""&amp;TO_TEXT(ROW()-$C$72))"),"")</f>
        <v/>
      </c>
      <c r="T687" s="61" t="str">
        <f>IFERROR(__xludf.DUMMYFUNCTION("INDIRECT(""'收支紀錄'!T""&amp;TO_TEXT(ROW()-$C$72))"),"")</f>
        <v/>
      </c>
      <c r="U687" s="62" t="str">
        <f>IFERROR(__xludf.DUMMYFUNCTION("IF(T687=""是"",TEXTJOIN("""", TRUE, ""$"", TO_TEXT(C687), S687),"""")"),"")</f>
        <v/>
      </c>
    </row>
    <row r="688">
      <c r="A688" s="58">
        <f>IFERROR(__xludf.DUMMYFUNCTION("INDIRECT(""'收支紀錄'!A""&amp;TO_TEXT(ROW()-$C$72))"),45710.970692118055)</f>
        <v>45710.97069</v>
      </c>
      <c r="B688" s="59">
        <f>IFERROR(__xludf.DUMMYFUNCTION("IF(ISBLANK(D688), """", IF(ISDATE(D688), D688, IF(D688=""今天"", A688, IF(D688=""昨天 (-1 day)"", A688-1, IF(D688=""前天 (-2 days)"", A688-2, IF(D688=""明天 (+1 day)"", A688+1, DATE(LEFT(D688,4), MID(D688,5,2), RIGHT(D688,2))))))))"),45710.970692118055)</f>
        <v>45710.97069</v>
      </c>
      <c r="C688" s="60">
        <f>IFERROR(__xludf.DUMMYFUNCTION("INDIRECT(""'收支紀錄'!C""&amp;TO_TEXT(ROW()-$C$72))"),110.0)</f>
        <v>110</v>
      </c>
      <c r="D688" s="63" t="str">
        <f>IFERROR(__xludf.DUMMYFUNCTION("INDIRECT(""'收支紀錄'!D""&amp;TO_TEXT(ROW()-$C$72))"),"今天")</f>
        <v>今天</v>
      </c>
      <c r="E688" s="61" t="str">
        <f>IFERROR(__xludf.DUMMYFUNCTION("INDIRECT(""'收支紀錄'!E""&amp;TO_TEXT(ROW()-$C$72))"),"")</f>
        <v/>
      </c>
      <c r="F688" s="61" t="str">
        <f>IFERROR(__xludf.DUMMYFUNCTION("INDIRECT(""'收支紀錄'!F""&amp;TO_TEXT(ROW()-$C$72))"),"")</f>
        <v/>
      </c>
      <c r="G688" s="61" t="str">
        <f>IFERROR(__xludf.DUMMYFUNCTION("INDIRECT(""'收支紀錄'!G""&amp;TO_TEXT(ROW()-$C$72))"),"")</f>
        <v/>
      </c>
      <c r="H688" s="61" t="str">
        <f>IFERROR(__xludf.DUMMYFUNCTION("INDIRECT(""'收支紀錄'!H""&amp;TO_TEXT(ROW()-$C$72))"),"食品酒水")</f>
        <v>食品酒水</v>
      </c>
      <c r="I688" s="61" t="str">
        <f>IFERROR(__xludf.DUMMYFUNCTION("INDIRECT(""'收支紀錄'!I""&amp;TO_TEXT(ROW()-$C$72))"),"宵夜")</f>
        <v>宵夜</v>
      </c>
      <c r="J688" s="61" t="str">
        <f>IFERROR(__xludf.DUMMYFUNCTION("INDIRECT(""'收支紀錄'!J""&amp;TO_TEXT(ROW()-$C$72))"),"")</f>
        <v/>
      </c>
      <c r="K688" s="61" t="str">
        <f>IFERROR(__xludf.DUMMYFUNCTION("INDIRECT(""'收支紀錄'!K""&amp;TO_TEXT(ROW()-$C$72))"),"")</f>
        <v/>
      </c>
      <c r="L688" s="61" t="str">
        <f>IFERROR(__xludf.DUMMYFUNCTION("INDIRECT(""'收支紀錄'!L""&amp;TO_TEXT(ROW()-$C$72))"),"")</f>
        <v/>
      </c>
      <c r="M688" s="61" t="str">
        <f>IFERROR(__xludf.DUMMYFUNCTION("INDIRECT(""'收支紀錄'!M""&amp;TO_TEXT(ROW()-$C$72))"),"")</f>
        <v/>
      </c>
      <c r="N688" s="61" t="str">
        <f>IFERROR(__xludf.DUMMYFUNCTION("INDIRECT(""'收支紀錄'!N""&amp;TO_TEXT(ROW()-$C$72))"),"")</f>
        <v/>
      </c>
      <c r="O688" s="61" t="str">
        <f>IFERROR(__xludf.DUMMYFUNCTION("INDIRECT(""'收支紀錄'!O""&amp;TO_TEXT(ROW()-$C$72))"),"")</f>
        <v/>
      </c>
      <c r="P688" s="61" t="str">
        <f>IFERROR(__xludf.DUMMYFUNCTION("INDIRECT(""'收支紀錄'!P""&amp;TO_TEXT(ROW()-$C$72))"),"")</f>
        <v/>
      </c>
      <c r="Q688" s="61" t="str">
        <f>IFERROR(__xludf.DUMMYFUNCTION("INDIRECT(""'收支紀錄'!Q""&amp;TO_TEXT(ROW()-$C$72))"),"")</f>
        <v/>
      </c>
      <c r="R688" s="61" t="str">
        <f>IFERROR(__xludf.DUMMYFUNCTION("INDIRECT(""'收支紀錄'!R""&amp;TO_TEXT(ROW()-$C$72))"),"")</f>
        <v/>
      </c>
      <c r="S688" s="61" t="str">
        <f>IFERROR(__xludf.DUMMYFUNCTION("INDIRECT(""'收支紀錄'!S""&amp;TO_TEXT(ROW()-$C$72))"),"")</f>
        <v/>
      </c>
      <c r="T688" s="61" t="str">
        <f>IFERROR(__xludf.DUMMYFUNCTION("INDIRECT(""'收支紀錄'!T""&amp;TO_TEXT(ROW()-$C$72))"),"")</f>
        <v/>
      </c>
      <c r="U688" s="62" t="str">
        <f>IFERROR(__xludf.DUMMYFUNCTION("IF(T688=""是"",TEXTJOIN("""", TRUE, ""$"", TO_TEXT(C688), S688),"""")"),"")</f>
        <v/>
      </c>
    </row>
    <row r="689">
      <c r="A689" s="58">
        <f>IFERROR(__xludf.DUMMYFUNCTION("INDIRECT(""'收支紀錄'!A""&amp;TO_TEXT(ROW()-$C$72))"),45712.77236596065)</f>
        <v>45712.77237</v>
      </c>
      <c r="B689" s="59">
        <f>IFERROR(__xludf.DUMMYFUNCTION("IF(ISBLANK(D689), """", IF(ISDATE(D689), D689, IF(D689=""今天"", A689, IF(D689=""昨天 (-1 day)"", A689-1, IF(D689=""前天 (-2 days)"", A689-2, IF(D689=""明天 (+1 day)"", A689+1, DATE(LEFT(D689,4), MID(D689,5,2), RIGHT(D689,2))))))))"),45711.77236596065)</f>
        <v>45711.77237</v>
      </c>
      <c r="C689" s="60">
        <f>IFERROR(__xludf.DUMMYFUNCTION("INDIRECT(""'收支紀錄'!C""&amp;TO_TEXT(ROW()-$C$72))"),410.0)</f>
        <v>410</v>
      </c>
      <c r="D689" s="63" t="str">
        <f>IFERROR(__xludf.DUMMYFUNCTION("INDIRECT(""'收支紀錄'!D""&amp;TO_TEXT(ROW()-$C$72))"),"昨天 (-1 day)")</f>
        <v>昨天 (-1 day)</v>
      </c>
      <c r="E689" s="61" t="str">
        <f>IFERROR(__xludf.DUMMYFUNCTION("INDIRECT(""'收支紀錄'!E""&amp;TO_TEXT(ROW()-$C$72))"),"")</f>
        <v/>
      </c>
      <c r="F689" s="61" t="str">
        <f>IFERROR(__xludf.DUMMYFUNCTION("INDIRECT(""'收支紀錄'!F""&amp;TO_TEXT(ROW()-$C$72))"),"")</f>
        <v/>
      </c>
      <c r="G689" s="61" t="str">
        <f>IFERROR(__xludf.DUMMYFUNCTION("INDIRECT(""'收支紀錄'!G""&amp;TO_TEXT(ROW()-$C$72))"),"")</f>
        <v/>
      </c>
      <c r="H689" s="61" t="str">
        <f>IFERROR(__xludf.DUMMYFUNCTION("INDIRECT(""'收支紀錄'!H""&amp;TO_TEXT(ROW()-$C$72))"),"食品酒水")</f>
        <v>食品酒水</v>
      </c>
      <c r="I689" s="61" t="str">
        <f>IFERROR(__xludf.DUMMYFUNCTION("INDIRECT(""'收支紀錄'!I""&amp;TO_TEXT(ROW()-$C$72))"),"午餐")</f>
        <v>午餐</v>
      </c>
      <c r="J689" s="61" t="str">
        <f>IFERROR(__xludf.DUMMYFUNCTION("INDIRECT(""'收支紀錄'!J""&amp;TO_TEXT(ROW()-$C$72))"),"")</f>
        <v/>
      </c>
      <c r="K689" s="61" t="str">
        <f>IFERROR(__xludf.DUMMYFUNCTION("INDIRECT(""'收支紀錄'!K""&amp;TO_TEXT(ROW()-$C$72))"),"")</f>
        <v/>
      </c>
      <c r="L689" s="61" t="str">
        <f>IFERROR(__xludf.DUMMYFUNCTION("INDIRECT(""'收支紀錄'!L""&amp;TO_TEXT(ROW()-$C$72))"),"")</f>
        <v/>
      </c>
      <c r="M689" s="61" t="str">
        <f>IFERROR(__xludf.DUMMYFUNCTION("INDIRECT(""'收支紀錄'!M""&amp;TO_TEXT(ROW()-$C$72))"),"")</f>
        <v/>
      </c>
      <c r="N689" s="61" t="str">
        <f>IFERROR(__xludf.DUMMYFUNCTION("INDIRECT(""'收支紀錄'!N""&amp;TO_TEXT(ROW()-$C$72))"),"")</f>
        <v/>
      </c>
      <c r="O689" s="61" t="str">
        <f>IFERROR(__xludf.DUMMYFUNCTION("INDIRECT(""'收支紀錄'!O""&amp;TO_TEXT(ROW()-$C$72))"),"")</f>
        <v/>
      </c>
      <c r="P689" s="61" t="str">
        <f>IFERROR(__xludf.DUMMYFUNCTION("INDIRECT(""'收支紀錄'!P""&amp;TO_TEXT(ROW()-$C$72))"),"")</f>
        <v/>
      </c>
      <c r="Q689" s="61" t="str">
        <f>IFERROR(__xludf.DUMMYFUNCTION("INDIRECT(""'收支紀錄'!Q""&amp;TO_TEXT(ROW()-$C$72))"),"")</f>
        <v/>
      </c>
      <c r="R689" s="61" t="str">
        <f>IFERROR(__xludf.DUMMYFUNCTION("INDIRECT(""'收支紀錄'!R""&amp;TO_TEXT(ROW()-$C$72))"),"")</f>
        <v/>
      </c>
      <c r="S689" s="61" t="str">
        <f>IFERROR(__xludf.DUMMYFUNCTION("INDIRECT(""'收支紀錄'!S""&amp;TO_TEXT(ROW()-$C$72))"),"")</f>
        <v/>
      </c>
      <c r="T689" s="61" t="str">
        <f>IFERROR(__xludf.DUMMYFUNCTION("INDIRECT(""'收支紀錄'!T""&amp;TO_TEXT(ROW()-$C$72))"),"")</f>
        <v/>
      </c>
      <c r="U689" s="62" t="str">
        <f>IFERROR(__xludf.DUMMYFUNCTION("IF(T689=""是"",TEXTJOIN("""", TRUE, ""$"", TO_TEXT(C689), S689),"""")"),"")</f>
        <v/>
      </c>
    </row>
    <row r="690">
      <c r="A690" s="58">
        <f>IFERROR(__xludf.DUMMYFUNCTION("INDIRECT(""'收支紀錄'!A""&amp;TO_TEXT(ROW()-$C$72))"),45712.772604224534)</f>
        <v>45712.7726</v>
      </c>
      <c r="B690" s="59">
        <f>IFERROR(__xludf.DUMMYFUNCTION("IF(ISBLANK(D690), """", IF(ISDATE(D690), D690, IF(D690=""今天"", A690, IF(D690=""昨天 (-1 day)"", A690-1, IF(D690=""前天 (-2 days)"", A690-2, IF(D690=""明天 (+1 day)"", A690+1, DATE(LEFT(D690,4), MID(D690,5,2), RIGHT(D690,2))))))))"),45711.772604224534)</f>
        <v>45711.7726</v>
      </c>
      <c r="C690" s="60">
        <f>IFERROR(__xludf.DUMMYFUNCTION("INDIRECT(""'收支紀錄'!C""&amp;TO_TEXT(ROW()-$C$72))"),180.0)</f>
        <v>180</v>
      </c>
      <c r="D690" s="63" t="str">
        <f>IFERROR(__xludf.DUMMYFUNCTION("INDIRECT(""'收支紀錄'!D""&amp;TO_TEXT(ROW()-$C$72))"),"昨天 (-1 day)")</f>
        <v>昨天 (-1 day)</v>
      </c>
      <c r="E690" s="61" t="str">
        <f>IFERROR(__xludf.DUMMYFUNCTION("INDIRECT(""'收支紀錄'!E""&amp;TO_TEXT(ROW()-$C$72))"),"")</f>
        <v/>
      </c>
      <c r="F690" s="61" t="str">
        <f>IFERROR(__xludf.DUMMYFUNCTION("INDIRECT(""'收支紀錄'!F""&amp;TO_TEXT(ROW()-$C$72))"),"")</f>
        <v/>
      </c>
      <c r="G690" s="61" t="str">
        <f>IFERROR(__xludf.DUMMYFUNCTION("INDIRECT(""'收支紀錄'!G""&amp;TO_TEXT(ROW()-$C$72))"),"")</f>
        <v/>
      </c>
      <c r="H690" s="61" t="str">
        <f>IFERROR(__xludf.DUMMYFUNCTION("INDIRECT(""'收支紀錄'!H""&amp;TO_TEXT(ROW()-$C$72))"),"食品酒水")</f>
        <v>食品酒水</v>
      </c>
      <c r="I690" s="61" t="str">
        <f>IFERROR(__xludf.DUMMYFUNCTION("INDIRECT(""'收支紀錄'!I""&amp;TO_TEXT(ROW()-$C$72))"),"飲料酒水")</f>
        <v>飲料酒水</v>
      </c>
      <c r="J690" s="61" t="str">
        <f>IFERROR(__xludf.DUMMYFUNCTION("INDIRECT(""'收支紀錄'!J""&amp;TO_TEXT(ROW()-$C$72))"),"")</f>
        <v/>
      </c>
      <c r="K690" s="61" t="str">
        <f>IFERROR(__xludf.DUMMYFUNCTION("INDIRECT(""'收支紀錄'!K""&amp;TO_TEXT(ROW()-$C$72))"),"")</f>
        <v/>
      </c>
      <c r="L690" s="61" t="str">
        <f>IFERROR(__xludf.DUMMYFUNCTION("INDIRECT(""'收支紀錄'!L""&amp;TO_TEXT(ROW()-$C$72))"),"")</f>
        <v/>
      </c>
      <c r="M690" s="61" t="str">
        <f>IFERROR(__xludf.DUMMYFUNCTION("INDIRECT(""'收支紀錄'!M""&amp;TO_TEXT(ROW()-$C$72))"),"")</f>
        <v/>
      </c>
      <c r="N690" s="61" t="str">
        <f>IFERROR(__xludf.DUMMYFUNCTION("INDIRECT(""'收支紀錄'!N""&amp;TO_TEXT(ROW()-$C$72))"),"")</f>
        <v/>
      </c>
      <c r="O690" s="61" t="str">
        <f>IFERROR(__xludf.DUMMYFUNCTION("INDIRECT(""'收支紀錄'!O""&amp;TO_TEXT(ROW()-$C$72))"),"")</f>
        <v/>
      </c>
      <c r="P690" s="61" t="str">
        <f>IFERROR(__xludf.DUMMYFUNCTION("INDIRECT(""'收支紀錄'!P""&amp;TO_TEXT(ROW()-$C$72))"),"")</f>
        <v/>
      </c>
      <c r="Q690" s="61" t="str">
        <f>IFERROR(__xludf.DUMMYFUNCTION("INDIRECT(""'收支紀錄'!Q""&amp;TO_TEXT(ROW()-$C$72))"),"")</f>
        <v/>
      </c>
      <c r="R690" s="61" t="str">
        <f>IFERROR(__xludf.DUMMYFUNCTION("INDIRECT(""'收支紀錄'!R""&amp;TO_TEXT(ROW()-$C$72))"),"")</f>
        <v/>
      </c>
      <c r="S690" s="61" t="str">
        <f>IFERROR(__xludf.DUMMYFUNCTION("INDIRECT(""'收支紀錄'!S""&amp;TO_TEXT(ROW()-$C$72))"),"")</f>
        <v/>
      </c>
      <c r="T690" s="61" t="str">
        <f>IFERROR(__xludf.DUMMYFUNCTION("INDIRECT(""'收支紀錄'!T""&amp;TO_TEXT(ROW()-$C$72))"),"")</f>
        <v/>
      </c>
      <c r="U690" s="62" t="str">
        <f>IFERROR(__xludf.DUMMYFUNCTION("IF(T690=""是"",TEXTJOIN("""", TRUE, ""$"", TO_TEXT(C690), S690),"""")"),"")</f>
        <v/>
      </c>
    </row>
    <row r="691">
      <c r="A691" s="58">
        <f>IFERROR(__xludf.DUMMYFUNCTION("INDIRECT(""'收支紀錄'!A""&amp;TO_TEXT(ROW()-$C$72))"),45712.7727447338)</f>
        <v>45712.77274</v>
      </c>
      <c r="B691" s="59">
        <f>IFERROR(__xludf.DUMMYFUNCTION("IF(ISBLANK(D691), """", IF(ISDATE(D691), D691, IF(D691=""今天"", A691, IF(D691=""昨天 (-1 day)"", A691-1, IF(D691=""前天 (-2 days)"", A691-2, IF(D691=""明天 (+1 day)"", A691+1, DATE(LEFT(D691,4), MID(D691,5,2), RIGHT(D691,2))))))))"),45711.7727447338)</f>
        <v>45711.77274</v>
      </c>
      <c r="C691" s="60">
        <f>IFERROR(__xludf.DUMMYFUNCTION("INDIRECT(""'收支紀錄'!C""&amp;TO_TEXT(ROW()-$C$72))"),226.0)</f>
        <v>226</v>
      </c>
      <c r="D691" s="63" t="str">
        <f>IFERROR(__xludf.DUMMYFUNCTION("INDIRECT(""'收支紀錄'!D""&amp;TO_TEXT(ROW()-$C$72))"),"昨天 (-1 day)")</f>
        <v>昨天 (-1 day)</v>
      </c>
      <c r="E691" s="61" t="str">
        <f>IFERROR(__xludf.DUMMYFUNCTION("INDIRECT(""'收支紀錄'!E""&amp;TO_TEXT(ROW()-$C$72))"),"")</f>
        <v/>
      </c>
      <c r="F691" s="61" t="str">
        <f>IFERROR(__xludf.DUMMYFUNCTION("INDIRECT(""'收支紀錄'!F""&amp;TO_TEXT(ROW()-$C$72))"),"")</f>
        <v/>
      </c>
      <c r="G691" s="61" t="str">
        <f>IFERROR(__xludf.DUMMYFUNCTION("INDIRECT(""'收支紀錄'!G""&amp;TO_TEXT(ROW()-$C$72))"),"")</f>
        <v/>
      </c>
      <c r="H691" s="61" t="str">
        <f>IFERROR(__xludf.DUMMYFUNCTION("INDIRECT(""'收支紀錄'!H""&amp;TO_TEXT(ROW()-$C$72))"),"食品酒水")</f>
        <v>食品酒水</v>
      </c>
      <c r="I691" s="61" t="str">
        <f>IFERROR(__xludf.DUMMYFUNCTION("INDIRECT(""'收支紀錄'!I""&amp;TO_TEXT(ROW()-$C$72))"),"晚餐")</f>
        <v>晚餐</v>
      </c>
      <c r="J691" s="61" t="str">
        <f>IFERROR(__xludf.DUMMYFUNCTION("INDIRECT(""'收支紀錄'!J""&amp;TO_TEXT(ROW()-$C$72))"),"")</f>
        <v/>
      </c>
      <c r="K691" s="61" t="str">
        <f>IFERROR(__xludf.DUMMYFUNCTION("INDIRECT(""'收支紀錄'!K""&amp;TO_TEXT(ROW()-$C$72))"),"")</f>
        <v/>
      </c>
      <c r="L691" s="61" t="str">
        <f>IFERROR(__xludf.DUMMYFUNCTION("INDIRECT(""'收支紀錄'!L""&amp;TO_TEXT(ROW()-$C$72))"),"")</f>
        <v/>
      </c>
      <c r="M691" s="61" t="str">
        <f>IFERROR(__xludf.DUMMYFUNCTION("INDIRECT(""'收支紀錄'!M""&amp;TO_TEXT(ROW()-$C$72))"),"")</f>
        <v/>
      </c>
      <c r="N691" s="61" t="str">
        <f>IFERROR(__xludf.DUMMYFUNCTION("INDIRECT(""'收支紀錄'!N""&amp;TO_TEXT(ROW()-$C$72))"),"")</f>
        <v/>
      </c>
      <c r="O691" s="61" t="str">
        <f>IFERROR(__xludf.DUMMYFUNCTION("INDIRECT(""'收支紀錄'!O""&amp;TO_TEXT(ROW()-$C$72))"),"")</f>
        <v/>
      </c>
      <c r="P691" s="61" t="str">
        <f>IFERROR(__xludf.DUMMYFUNCTION("INDIRECT(""'收支紀錄'!P""&amp;TO_TEXT(ROW()-$C$72))"),"")</f>
        <v/>
      </c>
      <c r="Q691" s="61" t="str">
        <f>IFERROR(__xludf.DUMMYFUNCTION("INDIRECT(""'收支紀錄'!Q""&amp;TO_TEXT(ROW()-$C$72))"),"")</f>
        <v/>
      </c>
      <c r="R691" s="61" t="str">
        <f>IFERROR(__xludf.DUMMYFUNCTION("INDIRECT(""'收支紀錄'!R""&amp;TO_TEXT(ROW()-$C$72))"),"")</f>
        <v/>
      </c>
      <c r="S691" s="61" t="str">
        <f>IFERROR(__xludf.DUMMYFUNCTION("INDIRECT(""'收支紀錄'!S""&amp;TO_TEXT(ROW()-$C$72))"),"")</f>
        <v/>
      </c>
      <c r="T691" s="61" t="str">
        <f>IFERROR(__xludf.DUMMYFUNCTION("INDIRECT(""'收支紀錄'!T""&amp;TO_TEXT(ROW()-$C$72))"),"")</f>
        <v/>
      </c>
      <c r="U691" s="62" t="str">
        <f>IFERROR(__xludf.DUMMYFUNCTION("IF(T691=""是"",TEXTJOIN("""", TRUE, ""$"", TO_TEXT(C691), S691),"""")"),"")</f>
        <v/>
      </c>
    </row>
    <row r="692">
      <c r="A692" s="58">
        <f>IFERROR(__xludf.DUMMYFUNCTION("INDIRECT(""'收支紀錄'!A""&amp;TO_TEXT(ROW()-$C$72))"),45712.77294081019)</f>
        <v>45712.77294</v>
      </c>
      <c r="B692" s="59">
        <f>IFERROR(__xludf.DUMMYFUNCTION("IF(ISBLANK(D692), """", IF(ISDATE(D692), D692, IF(D692=""今天"", A692, IF(D692=""昨天 (-1 day)"", A692-1, IF(D692=""前天 (-2 days)"", A692-2, IF(D692=""明天 (+1 day)"", A692+1, DATE(LEFT(D692,4), MID(D692,5,2), RIGHT(D692,2))))))))"),45712.77294081019)</f>
        <v>45712.77294</v>
      </c>
      <c r="C692" s="60">
        <f>IFERROR(__xludf.DUMMYFUNCTION("INDIRECT(""'收支紀錄'!C""&amp;TO_TEXT(ROW()-$C$72))"),932.0)</f>
        <v>932</v>
      </c>
      <c r="D692" s="63" t="str">
        <f>IFERROR(__xludf.DUMMYFUNCTION("INDIRECT(""'收支紀錄'!D""&amp;TO_TEXT(ROW()-$C$72))"),"今天")</f>
        <v>今天</v>
      </c>
      <c r="E692" s="61" t="str">
        <f>IFERROR(__xludf.DUMMYFUNCTION("INDIRECT(""'收支紀錄'!E""&amp;TO_TEXT(ROW()-$C$72))"),"")</f>
        <v/>
      </c>
      <c r="F692" s="61" t="str">
        <f>IFERROR(__xludf.DUMMYFUNCTION("INDIRECT(""'收支紀錄'!F""&amp;TO_TEXT(ROW()-$C$72))"),"")</f>
        <v/>
      </c>
      <c r="G692" s="61" t="str">
        <f>IFERROR(__xludf.DUMMYFUNCTION("INDIRECT(""'收支紀錄'!G""&amp;TO_TEXT(ROW()-$C$72))"),"")</f>
        <v/>
      </c>
      <c r="H692" s="61" t="str">
        <f>IFERROR(__xludf.DUMMYFUNCTION("INDIRECT(""'收支紀錄'!H""&amp;TO_TEXT(ROW()-$C$72))"),"行車交通")</f>
        <v>行車交通</v>
      </c>
      <c r="I692" s="61" t="str">
        <f>IFERROR(__xludf.DUMMYFUNCTION("INDIRECT(""'收支紀錄'!I""&amp;TO_TEXT(ROW()-$C$72))"),"")</f>
        <v/>
      </c>
      <c r="J692" s="61" t="str">
        <f>IFERROR(__xludf.DUMMYFUNCTION("INDIRECT(""'收支紀錄'!J""&amp;TO_TEXT(ROW()-$C$72))"),"")</f>
        <v/>
      </c>
      <c r="K692" s="61" t="str">
        <f>IFERROR(__xludf.DUMMYFUNCTION("INDIRECT(""'收支紀錄'!K""&amp;TO_TEXT(ROW()-$C$72))"),"")</f>
        <v/>
      </c>
      <c r="L692" s="61" t="str">
        <f>IFERROR(__xludf.DUMMYFUNCTION("INDIRECT(""'收支紀錄'!L""&amp;TO_TEXT(ROW()-$C$72))"),"加油")</f>
        <v>加油</v>
      </c>
      <c r="M692" s="61" t="str">
        <f>IFERROR(__xludf.DUMMYFUNCTION("INDIRECT(""'收支紀錄'!M""&amp;TO_TEXT(ROW()-$C$72))"),"")</f>
        <v/>
      </c>
      <c r="N692" s="61" t="str">
        <f>IFERROR(__xludf.DUMMYFUNCTION("INDIRECT(""'收支紀錄'!N""&amp;TO_TEXT(ROW()-$C$72))"),"")</f>
        <v/>
      </c>
      <c r="O692" s="61" t="str">
        <f>IFERROR(__xludf.DUMMYFUNCTION("INDIRECT(""'收支紀錄'!O""&amp;TO_TEXT(ROW()-$C$72))"),"")</f>
        <v/>
      </c>
      <c r="P692" s="61" t="str">
        <f>IFERROR(__xludf.DUMMYFUNCTION("INDIRECT(""'收支紀錄'!P""&amp;TO_TEXT(ROW()-$C$72))"),"")</f>
        <v/>
      </c>
      <c r="Q692" s="61" t="str">
        <f>IFERROR(__xludf.DUMMYFUNCTION("INDIRECT(""'收支紀錄'!Q""&amp;TO_TEXT(ROW()-$C$72))"),"")</f>
        <v/>
      </c>
      <c r="R692" s="61" t="str">
        <f>IFERROR(__xludf.DUMMYFUNCTION("INDIRECT(""'收支紀錄'!R""&amp;TO_TEXT(ROW()-$C$72))"),"")</f>
        <v/>
      </c>
      <c r="S692" s="61" t="str">
        <f>IFERROR(__xludf.DUMMYFUNCTION("INDIRECT(""'收支紀錄'!S""&amp;TO_TEXT(ROW()-$C$72))"),"")</f>
        <v/>
      </c>
      <c r="T692" s="61" t="str">
        <f>IFERROR(__xludf.DUMMYFUNCTION("INDIRECT(""'收支紀錄'!T""&amp;TO_TEXT(ROW()-$C$72))"),"")</f>
        <v/>
      </c>
      <c r="U692" s="62" t="str">
        <f>IFERROR(__xludf.DUMMYFUNCTION("IF(T692=""是"",TEXTJOIN("""", TRUE, ""$"", TO_TEXT(C692), S692),"""")"),"")</f>
        <v/>
      </c>
    </row>
    <row r="693">
      <c r="A693" s="58">
        <f>IFERROR(__xludf.DUMMYFUNCTION("INDIRECT(""'收支紀錄'!A""&amp;TO_TEXT(ROW()-$C$72))"),45712.77315459491)</f>
        <v>45712.77315</v>
      </c>
      <c r="B693" s="59">
        <f>IFERROR(__xludf.DUMMYFUNCTION("IF(ISBLANK(D693), """", IF(ISDATE(D693), D693, IF(D693=""今天"", A693, IF(D693=""昨天 (-1 day)"", A693-1, IF(D693=""前天 (-2 days)"", A693-2, IF(D693=""明天 (+1 day)"", A693+1, DATE(LEFT(D693,4), MID(D693,5,2), RIGHT(D693,2))))))))"),45712.77315459491)</f>
        <v>45712.77315</v>
      </c>
      <c r="C693" s="60">
        <f>IFERROR(__xludf.DUMMYFUNCTION("INDIRECT(""'收支紀錄'!C""&amp;TO_TEXT(ROW()-$C$72))"),985.0)</f>
        <v>985</v>
      </c>
      <c r="D693" s="63" t="str">
        <f>IFERROR(__xludf.DUMMYFUNCTION("INDIRECT(""'收支紀錄'!D""&amp;TO_TEXT(ROW()-$C$72))"),"今天")</f>
        <v>今天</v>
      </c>
      <c r="E693" s="61" t="str">
        <f>IFERROR(__xludf.DUMMYFUNCTION("INDIRECT(""'收支紀錄'!E""&amp;TO_TEXT(ROW()-$C$72))"),"")</f>
        <v/>
      </c>
      <c r="F693" s="61" t="str">
        <f>IFERROR(__xludf.DUMMYFUNCTION("INDIRECT(""'收支紀錄'!F""&amp;TO_TEXT(ROW()-$C$72))"),"")</f>
        <v/>
      </c>
      <c r="G693" s="61" t="str">
        <f>IFERROR(__xludf.DUMMYFUNCTION("INDIRECT(""'收支紀錄'!G""&amp;TO_TEXT(ROW()-$C$72))"),"")</f>
        <v/>
      </c>
      <c r="H693" s="61" t="str">
        <f>IFERROR(__xludf.DUMMYFUNCTION("INDIRECT(""'收支紀錄'!H""&amp;TO_TEXT(ROW()-$C$72))"),"食品酒水")</f>
        <v>食品酒水</v>
      </c>
      <c r="I693" s="61" t="str">
        <f>IFERROR(__xludf.DUMMYFUNCTION("INDIRECT(""'收支紀錄'!I""&amp;TO_TEXT(ROW()-$C$72))"),"食材")</f>
        <v>食材</v>
      </c>
      <c r="J693" s="61" t="str">
        <f>IFERROR(__xludf.DUMMYFUNCTION("INDIRECT(""'收支紀錄'!J""&amp;TO_TEXT(ROW()-$C$72))"),"")</f>
        <v/>
      </c>
      <c r="K693" s="61" t="str">
        <f>IFERROR(__xludf.DUMMYFUNCTION("INDIRECT(""'收支紀錄'!K""&amp;TO_TEXT(ROW()-$C$72))"),"")</f>
        <v/>
      </c>
      <c r="L693" s="61" t="str">
        <f>IFERROR(__xludf.DUMMYFUNCTION("INDIRECT(""'收支紀錄'!L""&amp;TO_TEXT(ROW()-$C$72))"),"")</f>
        <v/>
      </c>
      <c r="M693" s="61" t="str">
        <f>IFERROR(__xludf.DUMMYFUNCTION("INDIRECT(""'收支紀錄'!M""&amp;TO_TEXT(ROW()-$C$72))"),"")</f>
        <v/>
      </c>
      <c r="N693" s="61" t="str">
        <f>IFERROR(__xludf.DUMMYFUNCTION("INDIRECT(""'收支紀錄'!N""&amp;TO_TEXT(ROW()-$C$72))"),"")</f>
        <v/>
      </c>
      <c r="O693" s="61" t="str">
        <f>IFERROR(__xludf.DUMMYFUNCTION("INDIRECT(""'收支紀錄'!O""&amp;TO_TEXT(ROW()-$C$72))"),"")</f>
        <v/>
      </c>
      <c r="P693" s="61" t="str">
        <f>IFERROR(__xludf.DUMMYFUNCTION("INDIRECT(""'收支紀錄'!P""&amp;TO_TEXT(ROW()-$C$72))"),"")</f>
        <v/>
      </c>
      <c r="Q693" s="61" t="str">
        <f>IFERROR(__xludf.DUMMYFUNCTION("INDIRECT(""'收支紀錄'!Q""&amp;TO_TEXT(ROW()-$C$72))"),"")</f>
        <v/>
      </c>
      <c r="R693" s="61" t="str">
        <f>IFERROR(__xludf.DUMMYFUNCTION("INDIRECT(""'收支紀錄'!R""&amp;TO_TEXT(ROW()-$C$72))"),"")</f>
        <v/>
      </c>
      <c r="S693" s="61" t="str">
        <f>IFERROR(__xludf.DUMMYFUNCTION("INDIRECT(""'收支紀錄'!S""&amp;TO_TEXT(ROW()-$C$72))"),"")</f>
        <v/>
      </c>
      <c r="T693" s="61" t="str">
        <f>IFERROR(__xludf.DUMMYFUNCTION("INDIRECT(""'收支紀錄'!T""&amp;TO_TEXT(ROW()-$C$72))"),"")</f>
        <v/>
      </c>
      <c r="U693" s="62" t="str">
        <f>IFERROR(__xludf.DUMMYFUNCTION("IF(T693=""是"",TEXTJOIN("""", TRUE, ""$"", TO_TEXT(C693), S693),"""")"),"")</f>
        <v/>
      </c>
    </row>
    <row r="694">
      <c r="A694" s="58">
        <f>IFERROR(__xludf.DUMMYFUNCTION("INDIRECT(""'收支紀錄'!A""&amp;TO_TEXT(ROW()-$C$72))"),45712.77339364583)</f>
        <v>45712.77339</v>
      </c>
      <c r="B694" s="59">
        <f>IFERROR(__xludf.DUMMYFUNCTION("IF(ISBLANK(D694), """", IF(ISDATE(D694), D694, IF(D694=""今天"", A694, IF(D694=""昨天 (-1 day)"", A694-1, IF(D694=""前天 (-2 days)"", A694-2, IF(D694=""明天 (+1 day)"", A694+1, DATE(LEFT(D694,4), MID(D694,5,2), RIGHT(D694,2))))))))"),45712.77339364583)</f>
        <v>45712.77339</v>
      </c>
      <c r="C694" s="60">
        <f>IFERROR(__xludf.DUMMYFUNCTION("INDIRECT(""'收支紀錄'!C""&amp;TO_TEXT(ROW()-$C$72))"),1848.0)</f>
        <v>1848</v>
      </c>
      <c r="D694" s="63" t="str">
        <f>IFERROR(__xludf.DUMMYFUNCTION("INDIRECT(""'收支紀錄'!D""&amp;TO_TEXT(ROW()-$C$72))"),"今天")</f>
        <v>今天</v>
      </c>
      <c r="E694" s="61" t="str">
        <f>IFERROR(__xludf.DUMMYFUNCTION("INDIRECT(""'收支紀錄'!E""&amp;TO_TEXT(ROW()-$C$72))"),"")</f>
        <v/>
      </c>
      <c r="F694" s="61" t="str">
        <f>IFERROR(__xludf.DUMMYFUNCTION("INDIRECT(""'收支紀錄'!F""&amp;TO_TEXT(ROW()-$C$72))"),"")</f>
        <v/>
      </c>
      <c r="G694" s="61" t="str">
        <f>IFERROR(__xludf.DUMMYFUNCTION("INDIRECT(""'收支紀錄'!G""&amp;TO_TEXT(ROW()-$C$72))"),"")</f>
        <v/>
      </c>
      <c r="H694" s="61" t="str">
        <f>IFERROR(__xludf.DUMMYFUNCTION("INDIRECT(""'收支紀錄'!H""&amp;TO_TEXT(ROW()-$C$72))"),"日常生活")</f>
        <v>日常生活</v>
      </c>
      <c r="I694" s="61" t="str">
        <f>IFERROR(__xludf.DUMMYFUNCTION("INDIRECT(""'收支紀錄'!I""&amp;TO_TEXT(ROW()-$C$72))"),"")</f>
        <v/>
      </c>
      <c r="J694" s="61" t="str">
        <f>IFERROR(__xludf.DUMMYFUNCTION("INDIRECT(""'收支紀錄'!J""&amp;TO_TEXT(ROW()-$C$72))"),"日常用品")</f>
        <v>日常用品</v>
      </c>
      <c r="K694" s="61" t="str">
        <f>IFERROR(__xludf.DUMMYFUNCTION("INDIRECT(""'收支紀錄'!K""&amp;TO_TEXT(ROW()-$C$72))"),"")</f>
        <v/>
      </c>
      <c r="L694" s="61" t="str">
        <f>IFERROR(__xludf.DUMMYFUNCTION("INDIRECT(""'收支紀錄'!L""&amp;TO_TEXT(ROW()-$C$72))"),"")</f>
        <v/>
      </c>
      <c r="M694" s="61" t="str">
        <f>IFERROR(__xludf.DUMMYFUNCTION("INDIRECT(""'收支紀錄'!M""&amp;TO_TEXT(ROW()-$C$72))"),"")</f>
        <v/>
      </c>
      <c r="N694" s="61" t="str">
        <f>IFERROR(__xludf.DUMMYFUNCTION("INDIRECT(""'收支紀錄'!N""&amp;TO_TEXT(ROW()-$C$72))"),"")</f>
        <v/>
      </c>
      <c r="O694" s="61" t="str">
        <f>IFERROR(__xludf.DUMMYFUNCTION("INDIRECT(""'收支紀錄'!O""&amp;TO_TEXT(ROW()-$C$72))"),"")</f>
        <v/>
      </c>
      <c r="P694" s="61" t="str">
        <f>IFERROR(__xludf.DUMMYFUNCTION("INDIRECT(""'收支紀錄'!P""&amp;TO_TEXT(ROW()-$C$72))"),"")</f>
        <v/>
      </c>
      <c r="Q694" s="61" t="str">
        <f>IFERROR(__xludf.DUMMYFUNCTION("INDIRECT(""'收支紀錄'!Q""&amp;TO_TEXT(ROW()-$C$72))"),"")</f>
        <v/>
      </c>
      <c r="R694" s="61" t="str">
        <f>IFERROR(__xludf.DUMMYFUNCTION("INDIRECT(""'收支紀錄'!R""&amp;TO_TEXT(ROW()-$C$72))"),"")</f>
        <v/>
      </c>
      <c r="S694" s="61" t="str">
        <f>IFERROR(__xludf.DUMMYFUNCTION("INDIRECT(""'收支紀錄'!S""&amp;TO_TEXT(ROW()-$C$72))"),"")</f>
        <v/>
      </c>
      <c r="T694" s="61" t="str">
        <f>IFERROR(__xludf.DUMMYFUNCTION("INDIRECT(""'收支紀錄'!T""&amp;TO_TEXT(ROW()-$C$72))"),"")</f>
        <v/>
      </c>
      <c r="U694" s="62" t="str">
        <f>IFERROR(__xludf.DUMMYFUNCTION("IF(T694=""是"",TEXTJOIN("""", TRUE, ""$"", TO_TEXT(C694), S694),"""")"),"")</f>
        <v/>
      </c>
    </row>
    <row r="695">
      <c r="A695" s="58">
        <f>IFERROR(__xludf.DUMMYFUNCTION("INDIRECT(""'收支紀錄'!A""&amp;TO_TEXT(ROW()-$C$72))"),45715.920078298615)</f>
        <v>45715.92008</v>
      </c>
      <c r="B695" s="59">
        <f>IFERROR(__xludf.DUMMYFUNCTION("IF(ISBLANK(D695), """", IF(ISDATE(D695), D695, IF(D695=""今天"", A695, IF(D695=""昨天 (-1 day)"", A695-1, IF(D695=""前天 (-2 days)"", A695-2, IF(D695=""明天 (+1 day)"", A695+1, DATE(LEFT(D695,4), MID(D695,5,2), RIGHT(D695,2))))))))"),45715.920078298615)</f>
        <v>45715.92008</v>
      </c>
      <c r="C695" s="60">
        <f>IFERROR(__xludf.DUMMYFUNCTION("INDIRECT(""'收支紀錄'!C""&amp;TO_TEXT(ROW()-$C$72))"),699.0)</f>
        <v>699</v>
      </c>
      <c r="D695" s="63" t="str">
        <f>IFERROR(__xludf.DUMMYFUNCTION("INDIRECT(""'收支紀錄'!D""&amp;TO_TEXT(ROW()-$C$72))"),"今天")</f>
        <v>今天</v>
      </c>
      <c r="E695" s="61" t="str">
        <f>IFERROR(__xludf.DUMMYFUNCTION("INDIRECT(""'收支紀錄'!E""&amp;TO_TEXT(ROW()-$C$72))"),"")</f>
        <v/>
      </c>
      <c r="F695" s="61" t="str">
        <f>IFERROR(__xludf.DUMMYFUNCTION("INDIRECT(""'收支紀錄'!F""&amp;TO_TEXT(ROW()-$C$72))"),"")</f>
        <v/>
      </c>
      <c r="G695" s="61" t="str">
        <f>IFERROR(__xludf.DUMMYFUNCTION("INDIRECT(""'收支紀錄'!G""&amp;TO_TEXT(ROW()-$C$72))"),"")</f>
        <v/>
      </c>
      <c r="H695" s="61" t="str">
        <f>IFERROR(__xludf.DUMMYFUNCTION("INDIRECT(""'收支紀錄'!H""&amp;TO_TEXT(ROW()-$C$72))"),"行車交通")</f>
        <v>行車交通</v>
      </c>
      <c r="I695" s="61" t="str">
        <f>IFERROR(__xludf.DUMMYFUNCTION("INDIRECT(""'收支紀錄'!I""&amp;TO_TEXT(ROW()-$C$72))"),"")</f>
        <v/>
      </c>
      <c r="J695" s="61" t="str">
        <f>IFERROR(__xludf.DUMMYFUNCTION("INDIRECT(""'收支紀錄'!J""&amp;TO_TEXT(ROW()-$C$72))"),"")</f>
        <v/>
      </c>
      <c r="K695" s="61" t="str">
        <f>IFERROR(__xludf.DUMMYFUNCTION("INDIRECT(""'收支紀錄'!K""&amp;TO_TEXT(ROW()-$C$72))"),"")</f>
        <v/>
      </c>
      <c r="L695" s="61" t="str">
        <f>IFERROR(__xludf.DUMMYFUNCTION("INDIRECT(""'收支紀錄'!L""&amp;TO_TEXT(ROW()-$C$72))"),"火車費")</f>
        <v>火車費</v>
      </c>
      <c r="M695" s="61" t="str">
        <f>IFERROR(__xludf.DUMMYFUNCTION("INDIRECT(""'收支紀錄'!M""&amp;TO_TEXT(ROW()-$C$72))"),"")</f>
        <v/>
      </c>
      <c r="N695" s="61" t="str">
        <f>IFERROR(__xludf.DUMMYFUNCTION("INDIRECT(""'收支紀錄'!N""&amp;TO_TEXT(ROW()-$C$72))"),"")</f>
        <v/>
      </c>
      <c r="O695" s="61" t="str">
        <f>IFERROR(__xludf.DUMMYFUNCTION("INDIRECT(""'收支紀錄'!O""&amp;TO_TEXT(ROW()-$C$72))"),"")</f>
        <v/>
      </c>
      <c r="P695" s="61" t="str">
        <f>IFERROR(__xludf.DUMMYFUNCTION("INDIRECT(""'收支紀錄'!P""&amp;TO_TEXT(ROW()-$C$72))"),"")</f>
        <v/>
      </c>
      <c r="Q695" s="61" t="str">
        <f>IFERROR(__xludf.DUMMYFUNCTION("INDIRECT(""'收支紀錄'!Q""&amp;TO_TEXT(ROW()-$C$72))"),"")</f>
        <v/>
      </c>
      <c r="R695" s="61" t="str">
        <f>IFERROR(__xludf.DUMMYFUNCTION("INDIRECT(""'收支紀錄'!R""&amp;TO_TEXT(ROW()-$C$72))"),"")</f>
        <v/>
      </c>
      <c r="S695" s="61" t="str">
        <f>IFERROR(__xludf.DUMMYFUNCTION("INDIRECT(""'收支紀錄'!S""&amp;TO_TEXT(ROW()-$C$72))"),"")</f>
        <v/>
      </c>
      <c r="T695" s="61" t="str">
        <f>IFERROR(__xludf.DUMMYFUNCTION("INDIRECT(""'收支紀錄'!T""&amp;TO_TEXT(ROW()-$C$72))"),"")</f>
        <v/>
      </c>
      <c r="U695" s="62" t="str">
        <f>IFERROR(__xludf.DUMMYFUNCTION("IF(T695=""是"",TEXTJOIN("""", TRUE, ""$"", TO_TEXT(C695), S695),"""")"),"")</f>
        <v/>
      </c>
    </row>
    <row r="696">
      <c r="A696" s="58">
        <f>IFERROR(__xludf.DUMMYFUNCTION("INDIRECT(""'收支紀錄'!A""&amp;TO_TEXT(ROW()-$C$72))"),45716.95764946759)</f>
        <v>45716.95765</v>
      </c>
      <c r="B696" s="59">
        <f>IFERROR(__xludf.DUMMYFUNCTION("IF(ISBLANK(D696), """", IF(ISDATE(D696), D696, IF(D696=""今天"", A696, IF(D696=""昨天 (-1 day)"", A696-1, IF(D696=""前天 (-2 days)"", A696-2, IF(D696=""明天 (+1 day)"", A696+1, DATE(LEFT(D696,4), MID(D696,5,2), RIGHT(D696,2))))))))"),45716.95764946759)</f>
        <v>45716.95765</v>
      </c>
      <c r="C696" s="60">
        <f>IFERROR(__xludf.DUMMYFUNCTION("INDIRECT(""'收支紀錄'!C""&amp;TO_TEXT(ROW()-$C$72))"),50.0)</f>
        <v>50</v>
      </c>
      <c r="D696" s="63" t="str">
        <f>IFERROR(__xludf.DUMMYFUNCTION("INDIRECT(""'收支紀錄'!D""&amp;TO_TEXT(ROW()-$C$72))"),"今天")</f>
        <v>今天</v>
      </c>
      <c r="E696" s="61" t="str">
        <f>IFERROR(__xludf.DUMMYFUNCTION("INDIRECT(""'收支紀錄'!E""&amp;TO_TEXT(ROW()-$C$72))"),"")</f>
        <v/>
      </c>
      <c r="F696" s="61" t="str">
        <f>IFERROR(__xludf.DUMMYFUNCTION("INDIRECT(""'收支紀錄'!F""&amp;TO_TEXT(ROW()-$C$72))"),"")</f>
        <v/>
      </c>
      <c r="G696" s="61" t="str">
        <f>IFERROR(__xludf.DUMMYFUNCTION("INDIRECT(""'收支紀錄'!G""&amp;TO_TEXT(ROW()-$C$72))"),"")</f>
        <v/>
      </c>
      <c r="H696" s="61" t="str">
        <f>IFERROR(__xludf.DUMMYFUNCTION("INDIRECT(""'收支紀錄'!H""&amp;TO_TEXT(ROW()-$C$72))"),"休閒娛樂")</f>
        <v>休閒娛樂</v>
      </c>
      <c r="I696" s="61" t="str">
        <f>IFERROR(__xludf.DUMMYFUNCTION("INDIRECT(""'收支紀錄'!I""&amp;TO_TEXT(ROW()-$C$72))"),"")</f>
        <v/>
      </c>
      <c r="J696" s="61" t="str">
        <f>IFERROR(__xludf.DUMMYFUNCTION("INDIRECT(""'收支紀錄'!J""&amp;TO_TEXT(ROW()-$C$72))"),"")</f>
        <v/>
      </c>
      <c r="K696" s="61" t="str">
        <f>IFERROR(__xludf.DUMMYFUNCTION("INDIRECT(""'收支紀錄'!K""&amp;TO_TEXT(ROW()-$C$72))"),"")</f>
        <v/>
      </c>
      <c r="L696" s="61" t="str">
        <f>IFERROR(__xludf.DUMMYFUNCTION("INDIRECT(""'收支紀錄'!L""&amp;TO_TEXT(ROW()-$C$72))"),"")</f>
        <v/>
      </c>
      <c r="M696" s="61" t="str">
        <f>IFERROR(__xludf.DUMMYFUNCTION("INDIRECT(""'收支紀錄'!M""&amp;TO_TEXT(ROW()-$C$72))"),"休閒玩樂")</f>
        <v>休閒玩樂</v>
      </c>
      <c r="N696" s="61" t="str">
        <f>IFERROR(__xludf.DUMMYFUNCTION("INDIRECT(""'收支紀錄'!N""&amp;TO_TEXT(ROW()-$C$72))"),"")</f>
        <v/>
      </c>
      <c r="O696" s="61" t="str">
        <f>IFERROR(__xludf.DUMMYFUNCTION("INDIRECT(""'收支紀錄'!O""&amp;TO_TEXT(ROW()-$C$72))"),"")</f>
        <v/>
      </c>
      <c r="P696" s="61" t="str">
        <f>IFERROR(__xludf.DUMMYFUNCTION("INDIRECT(""'收支紀錄'!P""&amp;TO_TEXT(ROW()-$C$72))"),"")</f>
        <v/>
      </c>
      <c r="Q696" s="61" t="str">
        <f>IFERROR(__xludf.DUMMYFUNCTION("INDIRECT(""'收支紀錄'!Q""&amp;TO_TEXT(ROW()-$C$72))"),"")</f>
        <v/>
      </c>
      <c r="R696" s="61" t="str">
        <f>IFERROR(__xludf.DUMMYFUNCTION("INDIRECT(""'收支紀錄'!R""&amp;TO_TEXT(ROW()-$C$72))"),"")</f>
        <v/>
      </c>
      <c r="S696" s="61" t="str">
        <f>IFERROR(__xludf.DUMMYFUNCTION("INDIRECT(""'收支紀錄'!S""&amp;TO_TEXT(ROW()-$C$72))"),"")</f>
        <v/>
      </c>
      <c r="T696" s="61" t="str">
        <f>IFERROR(__xludf.DUMMYFUNCTION("INDIRECT(""'收支紀錄'!T""&amp;TO_TEXT(ROW()-$C$72))"),"")</f>
        <v/>
      </c>
      <c r="U696" s="62" t="str">
        <f>IFERROR(__xludf.DUMMYFUNCTION("IF(T696=""是"",TEXTJOIN("""", TRUE, ""$"", TO_TEXT(C696), S696),"""")"),"")</f>
        <v/>
      </c>
    </row>
    <row r="697">
      <c r="A697" s="58">
        <f>IFERROR(__xludf.DUMMYFUNCTION("INDIRECT(""'收支紀錄'!A""&amp;TO_TEXT(ROW()-$C$72))"),45716.95790057871)</f>
        <v>45716.9579</v>
      </c>
      <c r="B697" s="59">
        <f>IFERROR(__xludf.DUMMYFUNCTION("IF(ISBLANK(D697), """", IF(ISDATE(D697), D697, IF(D697=""今天"", A697, IF(D697=""昨天 (-1 day)"", A697-1, IF(D697=""前天 (-2 days)"", A697-2, IF(D697=""明天 (+1 day)"", A697+1, DATE(LEFT(D697,4), MID(D697,5,2), RIGHT(D697,2))))))))"),45716.95790057871)</f>
        <v>45716.9579</v>
      </c>
      <c r="C697" s="60">
        <f>IFERROR(__xludf.DUMMYFUNCTION("INDIRECT(""'收支紀錄'!C""&amp;TO_TEXT(ROW()-$C$72))"),350.0)</f>
        <v>350</v>
      </c>
      <c r="D697" s="63" t="str">
        <f>IFERROR(__xludf.DUMMYFUNCTION("INDIRECT(""'收支紀錄'!D""&amp;TO_TEXT(ROW()-$C$72))"),"今天")</f>
        <v>今天</v>
      </c>
      <c r="E697" s="61" t="str">
        <f>IFERROR(__xludf.DUMMYFUNCTION("INDIRECT(""'收支紀錄'!E""&amp;TO_TEXT(ROW()-$C$72))"),"")</f>
        <v/>
      </c>
      <c r="F697" s="61" t="str">
        <f>IFERROR(__xludf.DUMMYFUNCTION("INDIRECT(""'收支紀錄'!F""&amp;TO_TEXT(ROW()-$C$72))"),"")</f>
        <v/>
      </c>
      <c r="G697" s="61" t="str">
        <f>IFERROR(__xludf.DUMMYFUNCTION("INDIRECT(""'收支紀錄'!G""&amp;TO_TEXT(ROW()-$C$72))"),"")</f>
        <v/>
      </c>
      <c r="H697" s="61" t="str">
        <f>IFERROR(__xludf.DUMMYFUNCTION("INDIRECT(""'收支紀錄'!H""&amp;TO_TEXT(ROW()-$C$72))"),"食品酒水")</f>
        <v>食品酒水</v>
      </c>
      <c r="I697" s="61" t="str">
        <f>IFERROR(__xludf.DUMMYFUNCTION("INDIRECT(""'收支紀錄'!I""&amp;TO_TEXT(ROW()-$C$72))"),"午餐")</f>
        <v>午餐</v>
      </c>
      <c r="J697" s="61" t="str">
        <f>IFERROR(__xludf.DUMMYFUNCTION("INDIRECT(""'收支紀錄'!J""&amp;TO_TEXT(ROW()-$C$72))"),"")</f>
        <v/>
      </c>
      <c r="K697" s="61" t="str">
        <f>IFERROR(__xludf.DUMMYFUNCTION("INDIRECT(""'收支紀錄'!K""&amp;TO_TEXT(ROW()-$C$72))"),"")</f>
        <v/>
      </c>
      <c r="L697" s="61" t="str">
        <f>IFERROR(__xludf.DUMMYFUNCTION("INDIRECT(""'收支紀錄'!L""&amp;TO_TEXT(ROW()-$C$72))"),"")</f>
        <v/>
      </c>
      <c r="M697" s="61" t="str">
        <f>IFERROR(__xludf.DUMMYFUNCTION("INDIRECT(""'收支紀錄'!M""&amp;TO_TEXT(ROW()-$C$72))"),"")</f>
        <v/>
      </c>
      <c r="N697" s="61" t="str">
        <f>IFERROR(__xludf.DUMMYFUNCTION("INDIRECT(""'收支紀錄'!N""&amp;TO_TEXT(ROW()-$C$72))"),"")</f>
        <v/>
      </c>
      <c r="O697" s="61" t="str">
        <f>IFERROR(__xludf.DUMMYFUNCTION("INDIRECT(""'收支紀錄'!O""&amp;TO_TEXT(ROW()-$C$72))"),"")</f>
        <v/>
      </c>
      <c r="P697" s="61" t="str">
        <f>IFERROR(__xludf.DUMMYFUNCTION("INDIRECT(""'收支紀錄'!P""&amp;TO_TEXT(ROW()-$C$72))"),"")</f>
        <v/>
      </c>
      <c r="Q697" s="61" t="str">
        <f>IFERROR(__xludf.DUMMYFUNCTION("INDIRECT(""'收支紀錄'!Q""&amp;TO_TEXT(ROW()-$C$72))"),"")</f>
        <v/>
      </c>
      <c r="R697" s="61" t="str">
        <f>IFERROR(__xludf.DUMMYFUNCTION("INDIRECT(""'收支紀錄'!R""&amp;TO_TEXT(ROW()-$C$72))"),"")</f>
        <v/>
      </c>
      <c r="S697" s="61" t="str">
        <f>IFERROR(__xludf.DUMMYFUNCTION("INDIRECT(""'收支紀錄'!S""&amp;TO_TEXT(ROW()-$C$72))"),"")</f>
        <v/>
      </c>
      <c r="T697" s="61" t="str">
        <f>IFERROR(__xludf.DUMMYFUNCTION("INDIRECT(""'收支紀錄'!T""&amp;TO_TEXT(ROW()-$C$72))"),"")</f>
        <v/>
      </c>
      <c r="U697" s="62" t="str">
        <f>IFERROR(__xludf.DUMMYFUNCTION("IF(T697=""是"",TEXTJOIN("""", TRUE, ""$"", TO_TEXT(C697), S697),"""")"),"")</f>
        <v/>
      </c>
    </row>
    <row r="698">
      <c r="A698" s="58">
        <f>IFERROR(__xludf.DUMMYFUNCTION("INDIRECT(""'收支紀錄'!A""&amp;TO_TEXT(ROW()-$C$72))"),45716.95813138889)</f>
        <v>45716.95813</v>
      </c>
      <c r="B698" s="59">
        <f>IFERROR(__xludf.DUMMYFUNCTION("IF(ISBLANK(D698), """", IF(ISDATE(D698), D698, IF(D698=""今天"", A698, IF(D698=""昨天 (-1 day)"", A698-1, IF(D698=""前天 (-2 days)"", A698-2, IF(D698=""明天 (+1 day)"", A698+1, DATE(LEFT(D698,4), MID(D698,5,2), RIGHT(D698,2))))))))"),45716.95813138889)</f>
        <v>45716.95813</v>
      </c>
      <c r="C698" s="60">
        <f>IFERROR(__xludf.DUMMYFUNCTION("INDIRECT(""'收支紀錄'!C""&amp;TO_TEXT(ROW()-$C$72))"),30.0)</f>
        <v>30</v>
      </c>
      <c r="D698" s="63" t="str">
        <f>IFERROR(__xludf.DUMMYFUNCTION("INDIRECT(""'收支紀錄'!D""&amp;TO_TEXT(ROW()-$C$72))"),"今天")</f>
        <v>今天</v>
      </c>
      <c r="E698" s="61" t="str">
        <f>IFERROR(__xludf.DUMMYFUNCTION("INDIRECT(""'收支紀錄'!E""&amp;TO_TEXT(ROW()-$C$72))"),"")</f>
        <v/>
      </c>
      <c r="F698" s="61" t="str">
        <f>IFERROR(__xludf.DUMMYFUNCTION("INDIRECT(""'收支紀錄'!F""&amp;TO_TEXT(ROW()-$C$72))"),"")</f>
        <v/>
      </c>
      <c r="G698" s="61" t="str">
        <f>IFERROR(__xludf.DUMMYFUNCTION("INDIRECT(""'收支紀錄'!G""&amp;TO_TEXT(ROW()-$C$72))"),"")</f>
        <v/>
      </c>
      <c r="H698" s="61" t="str">
        <f>IFERROR(__xludf.DUMMYFUNCTION("INDIRECT(""'收支紀錄'!H""&amp;TO_TEXT(ROW()-$C$72))"),"食品酒水")</f>
        <v>食品酒水</v>
      </c>
      <c r="I698" s="61" t="str">
        <f>IFERROR(__xludf.DUMMYFUNCTION("INDIRECT(""'收支紀錄'!I""&amp;TO_TEXT(ROW()-$C$72))"),"飲料酒水")</f>
        <v>飲料酒水</v>
      </c>
      <c r="J698" s="61" t="str">
        <f>IFERROR(__xludf.DUMMYFUNCTION("INDIRECT(""'收支紀錄'!J""&amp;TO_TEXT(ROW()-$C$72))"),"")</f>
        <v/>
      </c>
      <c r="K698" s="61" t="str">
        <f>IFERROR(__xludf.DUMMYFUNCTION("INDIRECT(""'收支紀錄'!K""&amp;TO_TEXT(ROW()-$C$72))"),"")</f>
        <v/>
      </c>
      <c r="L698" s="61" t="str">
        <f>IFERROR(__xludf.DUMMYFUNCTION("INDIRECT(""'收支紀錄'!L""&amp;TO_TEXT(ROW()-$C$72))"),"")</f>
        <v/>
      </c>
      <c r="M698" s="61" t="str">
        <f>IFERROR(__xludf.DUMMYFUNCTION("INDIRECT(""'收支紀錄'!M""&amp;TO_TEXT(ROW()-$C$72))"),"")</f>
        <v/>
      </c>
      <c r="N698" s="61" t="str">
        <f>IFERROR(__xludf.DUMMYFUNCTION("INDIRECT(""'收支紀錄'!N""&amp;TO_TEXT(ROW()-$C$72))"),"")</f>
        <v/>
      </c>
      <c r="O698" s="61" t="str">
        <f>IFERROR(__xludf.DUMMYFUNCTION("INDIRECT(""'收支紀錄'!O""&amp;TO_TEXT(ROW()-$C$72))"),"")</f>
        <v/>
      </c>
      <c r="P698" s="61" t="str">
        <f>IFERROR(__xludf.DUMMYFUNCTION("INDIRECT(""'收支紀錄'!P""&amp;TO_TEXT(ROW()-$C$72))"),"")</f>
        <v/>
      </c>
      <c r="Q698" s="61" t="str">
        <f>IFERROR(__xludf.DUMMYFUNCTION("INDIRECT(""'收支紀錄'!Q""&amp;TO_TEXT(ROW()-$C$72))"),"")</f>
        <v/>
      </c>
      <c r="R698" s="61" t="str">
        <f>IFERROR(__xludf.DUMMYFUNCTION("INDIRECT(""'收支紀錄'!R""&amp;TO_TEXT(ROW()-$C$72))"),"")</f>
        <v/>
      </c>
      <c r="S698" s="61" t="str">
        <f>IFERROR(__xludf.DUMMYFUNCTION("INDIRECT(""'收支紀錄'!S""&amp;TO_TEXT(ROW()-$C$72))"),"")</f>
        <v/>
      </c>
      <c r="T698" s="61" t="str">
        <f>IFERROR(__xludf.DUMMYFUNCTION("INDIRECT(""'收支紀錄'!T""&amp;TO_TEXT(ROW()-$C$72))"),"")</f>
        <v/>
      </c>
      <c r="U698" s="62" t="str">
        <f>IFERROR(__xludf.DUMMYFUNCTION("IF(T698=""是"",TEXTJOIN("""", TRUE, ""$"", TO_TEXT(C698), S698),"""")"),"")</f>
        <v/>
      </c>
    </row>
    <row r="699">
      <c r="A699" s="58">
        <f>IFERROR(__xludf.DUMMYFUNCTION("INDIRECT(""'收支紀錄'!A""&amp;TO_TEXT(ROW()-$C$72))"),45716.95831939815)</f>
        <v>45716.95832</v>
      </c>
      <c r="B699" s="59">
        <f>IFERROR(__xludf.DUMMYFUNCTION("IF(ISBLANK(D699), """", IF(ISDATE(D699), D699, IF(D699=""今天"", A699, IF(D699=""昨天 (-1 day)"", A699-1, IF(D699=""前天 (-2 days)"", A699-2, IF(D699=""明天 (+1 day)"", A699+1, DATE(LEFT(D699,4), MID(D699,5,2), RIGHT(D699,2))))))))"),45716.95831939815)</f>
        <v>45716.95832</v>
      </c>
      <c r="C699" s="60">
        <f>IFERROR(__xludf.DUMMYFUNCTION("INDIRECT(""'收支紀錄'!C""&amp;TO_TEXT(ROW()-$C$72))"),350.0)</f>
        <v>350</v>
      </c>
      <c r="D699" s="63" t="str">
        <f>IFERROR(__xludf.DUMMYFUNCTION("INDIRECT(""'收支紀錄'!D""&amp;TO_TEXT(ROW()-$C$72))"),"今天")</f>
        <v>今天</v>
      </c>
      <c r="E699" s="61" t="str">
        <f>IFERROR(__xludf.DUMMYFUNCTION("INDIRECT(""'收支紀錄'!E""&amp;TO_TEXT(ROW()-$C$72))"),"")</f>
        <v/>
      </c>
      <c r="F699" s="61" t="str">
        <f>IFERROR(__xludf.DUMMYFUNCTION("INDIRECT(""'收支紀錄'!F""&amp;TO_TEXT(ROW()-$C$72))"),"")</f>
        <v/>
      </c>
      <c r="G699" s="61" t="str">
        <f>IFERROR(__xludf.DUMMYFUNCTION("INDIRECT(""'收支紀錄'!G""&amp;TO_TEXT(ROW()-$C$72))"),"")</f>
        <v/>
      </c>
      <c r="H699" s="61" t="str">
        <f>IFERROR(__xludf.DUMMYFUNCTION("INDIRECT(""'收支紀錄'!H""&amp;TO_TEXT(ROW()-$C$72))"),"食品酒水")</f>
        <v>食品酒水</v>
      </c>
      <c r="I699" s="61" t="str">
        <f>IFERROR(__xludf.DUMMYFUNCTION("INDIRECT(""'收支紀錄'!I""&amp;TO_TEXT(ROW()-$C$72))"),"晚餐")</f>
        <v>晚餐</v>
      </c>
      <c r="J699" s="61" t="str">
        <f>IFERROR(__xludf.DUMMYFUNCTION("INDIRECT(""'收支紀錄'!J""&amp;TO_TEXT(ROW()-$C$72))"),"")</f>
        <v/>
      </c>
      <c r="K699" s="61" t="str">
        <f>IFERROR(__xludf.DUMMYFUNCTION("INDIRECT(""'收支紀錄'!K""&amp;TO_TEXT(ROW()-$C$72))"),"")</f>
        <v/>
      </c>
      <c r="L699" s="61" t="str">
        <f>IFERROR(__xludf.DUMMYFUNCTION("INDIRECT(""'收支紀錄'!L""&amp;TO_TEXT(ROW()-$C$72))"),"")</f>
        <v/>
      </c>
      <c r="M699" s="61" t="str">
        <f>IFERROR(__xludf.DUMMYFUNCTION("INDIRECT(""'收支紀錄'!M""&amp;TO_TEXT(ROW()-$C$72))"),"")</f>
        <v/>
      </c>
      <c r="N699" s="61" t="str">
        <f>IFERROR(__xludf.DUMMYFUNCTION("INDIRECT(""'收支紀錄'!N""&amp;TO_TEXT(ROW()-$C$72))"),"")</f>
        <v/>
      </c>
      <c r="O699" s="61" t="str">
        <f>IFERROR(__xludf.DUMMYFUNCTION("INDIRECT(""'收支紀錄'!O""&amp;TO_TEXT(ROW()-$C$72))"),"")</f>
        <v/>
      </c>
      <c r="P699" s="61" t="str">
        <f>IFERROR(__xludf.DUMMYFUNCTION("INDIRECT(""'收支紀錄'!P""&amp;TO_TEXT(ROW()-$C$72))"),"")</f>
        <v/>
      </c>
      <c r="Q699" s="61" t="str">
        <f>IFERROR(__xludf.DUMMYFUNCTION("INDIRECT(""'收支紀錄'!Q""&amp;TO_TEXT(ROW()-$C$72))"),"")</f>
        <v/>
      </c>
      <c r="R699" s="61" t="str">
        <f>IFERROR(__xludf.DUMMYFUNCTION("INDIRECT(""'收支紀錄'!R""&amp;TO_TEXT(ROW()-$C$72))"),"")</f>
        <v/>
      </c>
      <c r="S699" s="61" t="str">
        <f>IFERROR(__xludf.DUMMYFUNCTION("INDIRECT(""'收支紀錄'!S""&amp;TO_TEXT(ROW()-$C$72))"),"")</f>
        <v/>
      </c>
      <c r="T699" s="61" t="str">
        <f>IFERROR(__xludf.DUMMYFUNCTION("INDIRECT(""'收支紀錄'!T""&amp;TO_TEXT(ROW()-$C$72))"),"")</f>
        <v/>
      </c>
      <c r="U699" s="62" t="str">
        <f>IFERROR(__xludf.DUMMYFUNCTION("IF(T699=""是"",TEXTJOIN("""", TRUE, ""$"", TO_TEXT(C699), S699),"""")"),"")</f>
        <v/>
      </c>
    </row>
    <row r="700">
      <c r="A700" s="58">
        <f>IFERROR(__xludf.DUMMYFUNCTION("INDIRECT(""'收支紀錄'!A""&amp;TO_TEXT(ROW()-$C$72))"),45717.4152405787)</f>
        <v>45717.41524</v>
      </c>
      <c r="B700" s="59">
        <f>IFERROR(__xludf.DUMMYFUNCTION("IF(ISBLANK(D700), """", IF(ISDATE(D700), D700, IF(D700=""今天"", A700, IF(D700=""昨天 (-1 day)"", A700-1, IF(D700=""前天 (-2 days)"", A700-2, IF(D700=""明天 (+1 day)"", A700+1, DATE(LEFT(D700,4), MID(D700,5,2), RIGHT(D700,2))))))))"),45717.4152405787)</f>
        <v>45717.41524</v>
      </c>
      <c r="C700" s="60">
        <f>IFERROR(__xludf.DUMMYFUNCTION("INDIRECT(""'收支紀錄'!C""&amp;TO_TEXT(ROW()-$C$72))"),5000.0)</f>
        <v>5000</v>
      </c>
      <c r="D700" s="63" t="str">
        <f>IFERROR(__xludf.DUMMYFUNCTION("INDIRECT(""'收支紀錄'!D""&amp;TO_TEXT(ROW()-$C$72))"),"今天")</f>
        <v>今天</v>
      </c>
      <c r="E700" s="61" t="str">
        <f>IFERROR(__xludf.DUMMYFUNCTION("INDIRECT(""'收支紀錄'!E""&amp;TO_TEXT(ROW()-$C$72))"),"其他業外")</f>
        <v>其他業外</v>
      </c>
      <c r="F700" s="61" t="str">
        <f>IFERROR(__xludf.DUMMYFUNCTION("INDIRECT(""'收支紀錄'!F""&amp;TO_TEXT(ROW()-$C$72))"),"")</f>
        <v/>
      </c>
      <c r="G700" s="61" t="str">
        <f>IFERROR(__xludf.DUMMYFUNCTION("INDIRECT(""'收支紀錄'!G""&amp;TO_TEXT(ROW()-$C$72))"),"房屋補貼")</f>
        <v>房屋補貼</v>
      </c>
      <c r="H700" s="61" t="str">
        <f>IFERROR(__xludf.DUMMYFUNCTION("INDIRECT(""'收支紀錄'!H""&amp;TO_TEXT(ROW()-$C$72))"),"")</f>
        <v/>
      </c>
      <c r="I700" s="61" t="str">
        <f>IFERROR(__xludf.DUMMYFUNCTION("INDIRECT(""'收支紀錄'!I""&amp;TO_TEXT(ROW()-$C$72))"),"")</f>
        <v/>
      </c>
      <c r="J700" s="61" t="str">
        <f>IFERROR(__xludf.DUMMYFUNCTION("INDIRECT(""'收支紀錄'!J""&amp;TO_TEXT(ROW()-$C$72))"),"")</f>
        <v/>
      </c>
      <c r="K700" s="61" t="str">
        <f>IFERROR(__xludf.DUMMYFUNCTION("INDIRECT(""'收支紀錄'!K""&amp;TO_TEXT(ROW()-$C$72))"),"")</f>
        <v/>
      </c>
      <c r="L700" s="61" t="str">
        <f>IFERROR(__xludf.DUMMYFUNCTION("INDIRECT(""'收支紀錄'!L""&amp;TO_TEXT(ROW()-$C$72))"),"")</f>
        <v/>
      </c>
      <c r="M700" s="61" t="str">
        <f>IFERROR(__xludf.DUMMYFUNCTION("INDIRECT(""'收支紀錄'!M""&amp;TO_TEXT(ROW()-$C$72))"),"")</f>
        <v/>
      </c>
      <c r="N700" s="61" t="str">
        <f>IFERROR(__xludf.DUMMYFUNCTION("INDIRECT(""'收支紀錄'!N""&amp;TO_TEXT(ROW()-$C$72))"),"")</f>
        <v/>
      </c>
      <c r="O700" s="61" t="str">
        <f>IFERROR(__xludf.DUMMYFUNCTION("INDIRECT(""'收支紀錄'!O""&amp;TO_TEXT(ROW()-$C$72))"),"")</f>
        <v/>
      </c>
      <c r="P700" s="61" t="str">
        <f>IFERROR(__xludf.DUMMYFUNCTION("INDIRECT(""'收支紀錄'!P""&amp;TO_TEXT(ROW()-$C$72))"),"")</f>
        <v/>
      </c>
      <c r="Q700" s="61" t="str">
        <f>IFERROR(__xludf.DUMMYFUNCTION("INDIRECT(""'收支紀錄'!Q""&amp;TO_TEXT(ROW()-$C$72))"),"")</f>
        <v/>
      </c>
      <c r="R700" s="61" t="str">
        <f>IFERROR(__xludf.DUMMYFUNCTION("INDIRECT(""'收支紀錄'!R""&amp;TO_TEXT(ROW()-$C$72))"),"")</f>
        <v/>
      </c>
      <c r="S700" s="61" t="str">
        <f>IFERROR(__xludf.DUMMYFUNCTION("INDIRECT(""'收支紀錄'!S""&amp;TO_TEXT(ROW()-$C$72))"),"")</f>
        <v/>
      </c>
      <c r="T700" s="61" t="str">
        <f>IFERROR(__xludf.DUMMYFUNCTION("INDIRECT(""'收支紀錄'!T""&amp;TO_TEXT(ROW()-$C$72))"),"")</f>
        <v/>
      </c>
      <c r="U700" s="62" t="str">
        <f>IFERROR(__xludf.DUMMYFUNCTION("IF(T700=""是"",TEXTJOIN("""", TRUE, ""$"", TO_TEXT(C700), S700),"""")"),"")</f>
        <v/>
      </c>
    </row>
    <row r="701">
      <c r="A701" s="58">
        <f>IFERROR(__xludf.DUMMYFUNCTION("INDIRECT(""'收支紀錄'!A""&amp;TO_TEXT(ROW()-$C$72))"),45717.415491203705)</f>
        <v>45717.41549</v>
      </c>
      <c r="B701" s="59">
        <f>IFERROR(__xludf.DUMMYFUNCTION("IF(ISBLANK(D701), """", IF(ISDATE(D701), D701, IF(D701=""今天"", A701, IF(D701=""昨天 (-1 day)"", A701-1, IF(D701=""前天 (-2 days)"", A701-2, IF(D701=""明天 (+1 day)"", A701+1, DATE(LEFT(D701,4), MID(D701,5,2), RIGHT(D701,2))))))))"),45717.415491203705)</f>
        <v>45717.41549</v>
      </c>
      <c r="C701" s="60">
        <f>IFERROR(__xludf.DUMMYFUNCTION("INDIRECT(""'收支紀錄'!C""&amp;TO_TEXT(ROW()-$C$72))"),20000.0)</f>
        <v>20000</v>
      </c>
      <c r="D701" s="63" t="str">
        <f>IFERROR(__xludf.DUMMYFUNCTION("INDIRECT(""'收支紀錄'!D""&amp;TO_TEXT(ROW()-$C$72))"),"今天")</f>
        <v>今天</v>
      </c>
      <c r="E701" s="61" t="str">
        <f>IFERROR(__xludf.DUMMYFUNCTION("INDIRECT(""'收支紀錄'!E""&amp;TO_TEXT(ROW()-$C$72))"),"")</f>
        <v/>
      </c>
      <c r="F701" s="61" t="str">
        <f>IFERROR(__xludf.DUMMYFUNCTION("INDIRECT(""'收支紀錄'!F""&amp;TO_TEXT(ROW()-$C$72))"),"")</f>
        <v/>
      </c>
      <c r="G701" s="61" t="str">
        <f>IFERROR(__xludf.DUMMYFUNCTION("INDIRECT(""'收支紀錄'!G""&amp;TO_TEXT(ROW()-$C$72))"),"")</f>
        <v/>
      </c>
      <c r="H701" s="61" t="str">
        <f>IFERROR(__xludf.DUMMYFUNCTION("INDIRECT(""'收支紀錄'!H""&amp;TO_TEXT(ROW()-$C$72))"),"房屋支出")</f>
        <v>房屋支出</v>
      </c>
      <c r="I701" s="61" t="str">
        <f>IFERROR(__xludf.DUMMYFUNCTION("INDIRECT(""'收支紀錄'!I""&amp;TO_TEXT(ROW()-$C$72))"),"")</f>
        <v/>
      </c>
      <c r="J701" s="61" t="str">
        <f>IFERROR(__xludf.DUMMYFUNCTION("INDIRECT(""'收支紀錄'!J""&amp;TO_TEXT(ROW()-$C$72))"),"")</f>
        <v/>
      </c>
      <c r="K701" s="61" t="str">
        <f>IFERROR(__xludf.DUMMYFUNCTION("INDIRECT(""'收支紀錄'!K""&amp;TO_TEXT(ROW()-$C$72))"),"文心1房貸代繳")</f>
        <v>文心1房貸代繳</v>
      </c>
      <c r="L701" s="61" t="str">
        <f>IFERROR(__xludf.DUMMYFUNCTION("INDIRECT(""'收支紀錄'!L""&amp;TO_TEXT(ROW()-$C$72))"),"")</f>
        <v/>
      </c>
      <c r="M701" s="61" t="str">
        <f>IFERROR(__xludf.DUMMYFUNCTION("INDIRECT(""'收支紀錄'!M""&amp;TO_TEXT(ROW()-$C$72))"),"")</f>
        <v/>
      </c>
      <c r="N701" s="61" t="str">
        <f>IFERROR(__xludf.DUMMYFUNCTION("INDIRECT(""'收支紀錄'!N""&amp;TO_TEXT(ROW()-$C$72))"),"")</f>
        <v/>
      </c>
      <c r="O701" s="61" t="str">
        <f>IFERROR(__xludf.DUMMYFUNCTION("INDIRECT(""'收支紀錄'!O""&amp;TO_TEXT(ROW()-$C$72))"),"")</f>
        <v/>
      </c>
      <c r="P701" s="61" t="str">
        <f>IFERROR(__xludf.DUMMYFUNCTION("INDIRECT(""'收支紀錄'!P""&amp;TO_TEXT(ROW()-$C$72))"),"")</f>
        <v/>
      </c>
      <c r="Q701" s="61" t="str">
        <f>IFERROR(__xludf.DUMMYFUNCTION("INDIRECT(""'收支紀錄'!Q""&amp;TO_TEXT(ROW()-$C$72))"),"")</f>
        <v/>
      </c>
      <c r="R701" s="61" t="str">
        <f>IFERROR(__xludf.DUMMYFUNCTION("INDIRECT(""'收支紀錄'!R""&amp;TO_TEXT(ROW()-$C$72))"),"")</f>
        <v/>
      </c>
      <c r="S701" s="61" t="str">
        <f>IFERROR(__xludf.DUMMYFUNCTION("INDIRECT(""'收支紀錄'!S""&amp;TO_TEXT(ROW()-$C$72))"),"")</f>
        <v/>
      </c>
      <c r="T701" s="61" t="str">
        <f>IFERROR(__xludf.DUMMYFUNCTION("INDIRECT(""'收支紀錄'!T""&amp;TO_TEXT(ROW()-$C$72))"),"")</f>
        <v/>
      </c>
      <c r="U701" s="62" t="str">
        <f>IFERROR(__xludf.DUMMYFUNCTION("IF(T701=""是"",TEXTJOIN("""", TRUE, ""$"", TO_TEXT(C701), S701),"""")"),"")</f>
        <v/>
      </c>
    </row>
    <row r="702">
      <c r="A702" s="58">
        <f>IFERROR(__xludf.DUMMYFUNCTION("INDIRECT(""'收支紀錄'!A""&amp;TO_TEXT(ROW()-$C$72))"),45717.41566274306)</f>
        <v>45717.41566</v>
      </c>
      <c r="B702" s="59">
        <f>IFERROR(__xludf.DUMMYFUNCTION("IF(ISBLANK(D702), """", IF(ISDATE(D702), D702, IF(D702=""今天"", A702, IF(D702=""昨天 (-1 day)"", A702-1, IF(D702=""前天 (-2 days)"", A702-2, IF(D702=""明天 (+1 day)"", A702+1, DATE(LEFT(D702,4), MID(D702,5,2), RIGHT(D702,2))))))))"),45717.41566274306)</f>
        <v>45717.41566</v>
      </c>
      <c r="C702" s="60">
        <f>IFERROR(__xludf.DUMMYFUNCTION("INDIRECT(""'收支紀錄'!C""&amp;TO_TEXT(ROW()-$C$72))"),6000.0)</f>
        <v>6000</v>
      </c>
      <c r="D702" s="63" t="str">
        <f>IFERROR(__xludf.DUMMYFUNCTION("INDIRECT(""'收支紀錄'!D""&amp;TO_TEXT(ROW()-$C$72))"),"今天")</f>
        <v>今天</v>
      </c>
      <c r="E702" s="61" t="str">
        <f>IFERROR(__xludf.DUMMYFUNCTION("INDIRECT(""'收支紀錄'!E""&amp;TO_TEXT(ROW()-$C$72))"),"")</f>
        <v/>
      </c>
      <c r="F702" s="61" t="str">
        <f>IFERROR(__xludf.DUMMYFUNCTION("INDIRECT(""'收支紀錄'!F""&amp;TO_TEXT(ROW()-$C$72))"),"")</f>
        <v/>
      </c>
      <c r="G702" s="61" t="str">
        <f>IFERROR(__xludf.DUMMYFUNCTION("INDIRECT(""'收支紀錄'!G""&amp;TO_TEXT(ROW()-$C$72))"),"")</f>
        <v/>
      </c>
      <c r="H702" s="61" t="str">
        <f>IFERROR(__xludf.DUMMYFUNCTION("INDIRECT(""'收支紀錄'!H""&amp;TO_TEXT(ROW()-$C$72))"),"房屋支出")</f>
        <v>房屋支出</v>
      </c>
      <c r="I702" s="61" t="str">
        <f>IFERROR(__xludf.DUMMYFUNCTION("INDIRECT(""'收支紀錄'!I""&amp;TO_TEXT(ROW()-$C$72))"),"")</f>
        <v/>
      </c>
      <c r="J702" s="61" t="str">
        <f>IFERROR(__xludf.DUMMYFUNCTION("INDIRECT(""'收支紀錄'!J""&amp;TO_TEXT(ROW()-$C$72))"),"")</f>
        <v/>
      </c>
      <c r="K702" s="61" t="str">
        <f>IFERROR(__xludf.DUMMYFUNCTION("INDIRECT(""'收支紀錄'!K""&amp;TO_TEXT(ROW()-$C$72))"),"租屋")</f>
        <v>租屋</v>
      </c>
      <c r="L702" s="61" t="str">
        <f>IFERROR(__xludf.DUMMYFUNCTION("INDIRECT(""'收支紀錄'!L""&amp;TO_TEXT(ROW()-$C$72))"),"")</f>
        <v/>
      </c>
      <c r="M702" s="61" t="str">
        <f>IFERROR(__xludf.DUMMYFUNCTION("INDIRECT(""'收支紀錄'!M""&amp;TO_TEXT(ROW()-$C$72))"),"")</f>
        <v/>
      </c>
      <c r="N702" s="61" t="str">
        <f>IFERROR(__xludf.DUMMYFUNCTION("INDIRECT(""'收支紀錄'!N""&amp;TO_TEXT(ROW()-$C$72))"),"")</f>
        <v/>
      </c>
      <c r="O702" s="61" t="str">
        <f>IFERROR(__xludf.DUMMYFUNCTION("INDIRECT(""'收支紀錄'!O""&amp;TO_TEXT(ROW()-$C$72))"),"")</f>
        <v/>
      </c>
      <c r="P702" s="61" t="str">
        <f>IFERROR(__xludf.DUMMYFUNCTION("INDIRECT(""'收支紀錄'!P""&amp;TO_TEXT(ROW()-$C$72))"),"")</f>
        <v/>
      </c>
      <c r="Q702" s="61" t="str">
        <f>IFERROR(__xludf.DUMMYFUNCTION("INDIRECT(""'收支紀錄'!Q""&amp;TO_TEXT(ROW()-$C$72))"),"")</f>
        <v/>
      </c>
      <c r="R702" s="61" t="str">
        <f>IFERROR(__xludf.DUMMYFUNCTION("INDIRECT(""'收支紀錄'!R""&amp;TO_TEXT(ROW()-$C$72))"),"")</f>
        <v/>
      </c>
      <c r="S702" s="61" t="str">
        <f>IFERROR(__xludf.DUMMYFUNCTION("INDIRECT(""'收支紀錄'!S""&amp;TO_TEXT(ROW()-$C$72))"),"")</f>
        <v/>
      </c>
      <c r="T702" s="61" t="str">
        <f>IFERROR(__xludf.DUMMYFUNCTION("INDIRECT(""'收支紀錄'!T""&amp;TO_TEXT(ROW()-$C$72))"),"")</f>
        <v/>
      </c>
      <c r="U702" s="62" t="str">
        <f>IFERROR(__xludf.DUMMYFUNCTION("IF(T702=""是"",TEXTJOIN("""", TRUE, ""$"", TO_TEXT(C702), S702),"""")"),"")</f>
        <v/>
      </c>
    </row>
    <row r="703">
      <c r="A703" s="58">
        <f>IFERROR(__xludf.DUMMYFUNCTION("INDIRECT(""'收支紀錄'!A""&amp;TO_TEXT(ROW()-$C$72))"),45717.73442519676)</f>
        <v>45717.73443</v>
      </c>
      <c r="B703" s="59">
        <f>IFERROR(__xludf.DUMMYFUNCTION("IF(ISBLANK(D703), """", IF(ISDATE(D703), D703, IF(D703=""今天"", A703, IF(D703=""昨天 (-1 day)"", A703-1, IF(D703=""前天 (-2 days)"", A703-2, IF(D703=""明天 (+1 day)"", A703+1, DATE(LEFT(D703,4), MID(D703,5,2), RIGHT(D703,2))))))))"),45717.73442519676)</f>
        <v>45717.73443</v>
      </c>
      <c r="C703" s="60">
        <f>IFERROR(__xludf.DUMMYFUNCTION("INDIRECT(""'收支紀錄'!C""&amp;TO_TEXT(ROW()-$C$72))"),460.0)</f>
        <v>460</v>
      </c>
      <c r="D703" s="63" t="str">
        <f>IFERROR(__xludf.DUMMYFUNCTION("INDIRECT(""'收支紀錄'!D""&amp;TO_TEXT(ROW()-$C$72))"),"今天")</f>
        <v>今天</v>
      </c>
      <c r="E703" s="61" t="str">
        <f>IFERROR(__xludf.DUMMYFUNCTION("INDIRECT(""'收支紀錄'!E""&amp;TO_TEXT(ROW()-$C$72))"),"")</f>
        <v/>
      </c>
      <c r="F703" s="61" t="str">
        <f>IFERROR(__xludf.DUMMYFUNCTION("INDIRECT(""'收支紀錄'!F""&amp;TO_TEXT(ROW()-$C$72))"),"")</f>
        <v/>
      </c>
      <c r="G703" s="61" t="str">
        <f>IFERROR(__xludf.DUMMYFUNCTION("INDIRECT(""'收支紀錄'!G""&amp;TO_TEXT(ROW()-$C$72))"),"")</f>
        <v/>
      </c>
      <c r="H703" s="61" t="str">
        <f>IFERROR(__xludf.DUMMYFUNCTION("INDIRECT(""'收支紀錄'!H""&amp;TO_TEXT(ROW()-$C$72))"),"食品酒水")</f>
        <v>食品酒水</v>
      </c>
      <c r="I703" s="61" t="str">
        <f>IFERROR(__xludf.DUMMYFUNCTION("INDIRECT(""'收支紀錄'!I""&amp;TO_TEXT(ROW()-$C$72))"),"午餐")</f>
        <v>午餐</v>
      </c>
      <c r="J703" s="61" t="str">
        <f>IFERROR(__xludf.DUMMYFUNCTION("INDIRECT(""'收支紀錄'!J""&amp;TO_TEXT(ROW()-$C$72))"),"")</f>
        <v/>
      </c>
      <c r="K703" s="61" t="str">
        <f>IFERROR(__xludf.DUMMYFUNCTION("INDIRECT(""'收支紀錄'!K""&amp;TO_TEXT(ROW()-$C$72))"),"")</f>
        <v/>
      </c>
      <c r="L703" s="61" t="str">
        <f>IFERROR(__xludf.DUMMYFUNCTION("INDIRECT(""'收支紀錄'!L""&amp;TO_TEXT(ROW()-$C$72))"),"")</f>
        <v/>
      </c>
      <c r="M703" s="61" t="str">
        <f>IFERROR(__xludf.DUMMYFUNCTION("INDIRECT(""'收支紀錄'!M""&amp;TO_TEXT(ROW()-$C$72))"),"")</f>
        <v/>
      </c>
      <c r="N703" s="61" t="str">
        <f>IFERROR(__xludf.DUMMYFUNCTION("INDIRECT(""'收支紀錄'!N""&amp;TO_TEXT(ROW()-$C$72))"),"")</f>
        <v/>
      </c>
      <c r="O703" s="61" t="str">
        <f>IFERROR(__xludf.DUMMYFUNCTION("INDIRECT(""'收支紀錄'!O""&amp;TO_TEXT(ROW()-$C$72))"),"")</f>
        <v/>
      </c>
      <c r="P703" s="61" t="str">
        <f>IFERROR(__xludf.DUMMYFUNCTION("INDIRECT(""'收支紀錄'!P""&amp;TO_TEXT(ROW()-$C$72))"),"")</f>
        <v/>
      </c>
      <c r="Q703" s="61" t="str">
        <f>IFERROR(__xludf.DUMMYFUNCTION("INDIRECT(""'收支紀錄'!Q""&amp;TO_TEXT(ROW()-$C$72))"),"")</f>
        <v/>
      </c>
      <c r="R703" s="61" t="str">
        <f>IFERROR(__xludf.DUMMYFUNCTION("INDIRECT(""'收支紀錄'!R""&amp;TO_TEXT(ROW()-$C$72))"),"")</f>
        <v/>
      </c>
      <c r="S703" s="61" t="str">
        <f>IFERROR(__xludf.DUMMYFUNCTION("INDIRECT(""'收支紀錄'!S""&amp;TO_TEXT(ROW()-$C$72))"),"大溪老街")</f>
        <v>大溪老街</v>
      </c>
      <c r="T703" s="61" t="str">
        <f>IFERROR(__xludf.DUMMYFUNCTION("INDIRECT(""'收支紀錄'!T""&amp;TO_TEXT(ROW()-$C$72))"),"")</f>
        <v/>
      </c>
      <c r="U703" s="62" t="str">
        <f>IFERROR(__xludf.DUMMYFUNCTION("IF(T703=""是"",TEXTJOIN("""", TRUE, ""$"", TO_TEXT(C703), S703),"""")"),"")</f>
        <v/>
      </c>
    </row>
    <row r="704">
      <c r="A704" s="58">
        <f>IFERROR(__xludf.DUMMYFUNCTION("INDIRECT(""'收支紀錄'!A""&amp;TO_TEXT(ROW()-$C$72))"),45718.32944716435)</f>
        <v>45718.32945</v>
      </c>
      <c r="B704" s="59">
        <f>IFERROR(__xludf.DUMMYFUNCTION("IF(ISBLANK(D704), """", IF(ISDATE(D704), D704, IF(D704=""今天"", A704, IF(D704=""昨天 (-1 day)"", A704-1, IF(D704=""前天 (-2 days)"", A704-2, IF(D704=""明天 (+1 day)"", A704+1, DATE(LEFT(D704,4), MID(D704,5,2), RIGHT(D704,2))))))))"),45717.32944716435)</f>
        <v>45717.32945</v>
      </c>
      <c r="C704" s="60">
        <f>IFERROR(__xludf.DUMMYFUNCTION("INDIRECT(""'收支紀錄'!C""&amp;TO_TEXT(ROW()-$C$72))"),49000.0)</f>
        <v>49000</v>
      </c>
      <c r="D704" s="63" t="str">
        <f>IFERROR(__xludf.DUMMYFUNCTION("INDIRECT(""'收支紀錄'!D""&amp;TO_TEXT(ROW()-$C$72))"),"昨天 (-1 day)")</f>
        <v>昨天 (-1 day)</v>
      </c>
      <c r="E704" s="61" t="str">
        <f>IFERROR(__xludf.DUMMYFUNCTION("INDIRECT(""'收支紀錄'!E""&amp;TO_TEXT(ROW()-$C$72))"),"")</f>
        <v/>
      </c>
      <c r="F704" s="61" t="str">
        <f>IFERROR(__xludf.DUMMYFUNCTION("INDIRECT(""'收支紀錄'!F""&amp;TO_TEXT(ROW()-$C$72))"),"")</f>
        <v/>
      </c>
      <c r="G704" s="61" t="str">
        <f>IFERROR(__xludf.DUMMYFUNCTION("INDIRECT(""'收支紀錄'!G""&amp;TO_TEXT(ROW()-$C$72))"),"")</f>
        <v/>
      </c>
      <c r="H704" s="61" t="str">
        <f>IFERROR(__xludf.DUMMYFUNCTION("INDIRECT(""'收支紀錄'!H""&amp;TO_TEXT(ROW()-$C$72))"),"人情往來")</f>
        <v>人情往來</v>
      </c>
      <c r="I704" s="61" t="str">
        <f>IFERROR(__xludf.DUMMYFUNCTION("INDIRECT(""'收支紀錄'!I""&amp;TO_TEXT(ROW()-$C$72))"),"")</f>
        <v/>
      </c>
      <c r="J704" s="61" t="str">
        <f>IFERROR(__xludf.DUMMYFUNCTION("INDIRECT(""'收支紀錄'!J""&amp;TO_TEXT(ROW()-$C$72))"),"")</f>
        <v/>
      </c>
      <c r="K704" s="61" t="str">
        <f>IFERROR(__xludf.DUMMYFUNCTION("INDIRECT(""'收支紀錄'!K""&amp;TO_TEXT(ROW()-$C$72))"),"")</f>
        <v/>
      </c>
      <c r="L704" s="61" t="str">
        <f>IFERROR(__xludf.DUMMYFUNCTION("INDIRECT(""'收支紀錄'!L""&amp;TO_TEXT(ROW()-$C$72))"),"")</f>
        <v/>
      </c>
      <c r="M704" s="61" t="str">
        <f>IFERROR(__xludf.DUMMYFUNCTION("INDIRECT(""'收支紀錄'!M""&amp;TO_TEXT(ROW()-$C$72))"),"")</f>
        <v/>
      </c>
      <c r="N704" s="61" t="str">
        <f>IFERROR(__xludf.DUMMYFUNCTION("INDIRECT(""'收支紀錄'!N""&amp;TO_TEXT(ROW()-$C$72))"),"")</f>
        <v/>
      </c>
      <c r="O704" s="61" t="str">
        <f>IFERROR(__xludf.DUMMYFUNCTION("INDIRECT(""'收支紀錄'!O""&amp;TO_TEXT(ROW()-$C$72))"),"")</f>
        <v/>
      </c>
      <c r="P704" s="61" t="str">
        <f>IFERROR(__xludf.DUMMYFUNCTION("INDIRECT(""'收支紀錄'!P""&amp;TO_TEXT(ROW()-$C$72))"),"")</f>
        <v/>
      </c>
      <c r="Q704" s="61" t="str">
        <f>IFERROR(__xludf.DUMMYFUNCTION("INDIRECT(""'收支紀錄'!Q""&amp;TO_TEXT(ROW()-$C$72))"),"送禮請客")</f>
        <v>送禮請客</v>
      </c>
      <c r="R704" s="61" t="str">
        <f>IFERROR(__xludf.DUMMYFUNCTION("INDIRECT(""'收支紀錄'!R""&amp;TO_TEXT(ROW()-$C$72))"),"")</f>
        <v/>
      </c>
      <c r="S704" s="61" t="str">
        <f>IFERROR(__xludf.DUMMYFUNCTION("INDIRECT(""'收支紀錄'!S""&amp;TO_TEXT(ROW()-$C$72))"),"哥洗衣機")</f>
        <v>哥洗衣機</v>
      </c>
      <c r="T704" s="61" t="str">
        <f>IFERROR(__xludf.DUMMYFUNCTION("INDIRECT(""'收支紀錄'!T""&amp;TO_TEXT(ROW()-$C$72))"),"是")</f>
        <v>是</v>
      </c>
      <c r="U704" s="62" t="str">
        <f>IFERROR(__xludf.DUMMYFUNCTION("IF(T704=""是"",TEXTJOIN("""", TRUE, ""$"", TO_TEXT(C704), S704),"""")"),"$49000哥洗衣機")</f>
        <v>$49000哥洗衣機</v>
      </c>
    </row>
    <row r="705">
      <c r="A705" s="58">
        <f>IFERROR(__xludf.DUMMYFUNCTION("INDIRECT(""'收支紀錄'!A""&amp;TO_TEXT(ROW()-$C$72))"),45718.51098358796)</f>
        <v>45718.51098</v>
      </c>
      <c r="B705" s="59">
        <f>IFERROR(__xludf.DUMMYFUNCTION("IF(ISBLANK(D705), """", IF(ISDATE(D705), D705, IF(D705=""今天"", A705, IF(D705=""昨天 (-1 day)"", A705-1, IF(D705=""前天 (-2 days)"", A705-2, IF(D705=""明天 (+1 day)"", A705+1, DATE(LEFT(D705,4), MID(D705,5,2), RIGHT(D705,2))))))))"),45718.51098358796)</f>
        <v>45718.51098</v>
      </c>
      <c r="C705" s="60">
        <f>IFERROR(__xludf.DUMMYFUNCTION("INDIRECT(""'收支紀錄'!C""&amp;TO_TEXT(ROW()-$C$72))"),197.0)</f>
        <v>197</v>
      </c>
      <c r="D705" s="63" t="str">
        <f>IFERROR(__xludf.DUMMYFUNCTION("INDIRECT(""'收支紀錄'!D""&amp;TO_TEXT(ROW()-$C$72))"),"今天")</f>
        <v>今天</v>
      </c>
      <c r="E705" s="61" t="str">
        <f>IFERROR(__xludf.DUMMYFUNCTION("INDIRECT(""'收支紀錄'!E""&amp;TO_TEXT(ROW()-$C$72))"),"")</f>
        <v/>
      </c>
      <c r="F705" s="61" t="str">
        <f>IFERROR(__xludf.DUMMYFUNCTION("INDIRECT(""'收支紀錄'!F""&amp;TO_TEXT(ROW()-$C$72))"),"")</f>
        <v/>
      </c>
      <c r="G705" s="61" t="str">
        <f>IFERROR(__xludf.DUMMYFUNCTION("INDIRECT(""'收支紀錄'!G""&amp;TO_TEXT(ROW()-$C$72))"),"")</f>
        <v/>
      </c>
      <c r="H705" s="61" t="str">
        <f>IFERROR(__xludf.DUMMYFUNCTION("INDIRECT(""'收支紀錄'!H""&amp;TO_TEXT(ROW()-$C$72))"),"房屋支出")</f>
        <v>房屋支出</v>
      </c>
      <c r="I705" s="61" t="str">
        <f>IFERROR(__xludf.DUMMYFUNCTION("INDIRECT(""'收支紀錄'!I""&amp;TO_TEXT(ROW()-$C$72))"),"")</f>
        <v/>
      </c>
      <c r="J705" s="61" t="str">
        <f>IFERROR(__xludf.DUMMYFUNCTION("INDIRECT(""'收支紀錄'!J""&amp;TO_TEXT(ROW()-$C$72))"),"")</f>
        <v/>
      </c>
      <c r="K705" s="61" t="str">
        <f>IFERROR(__xludf.DUMMYFUNCTION("INDIRECT(""'收支紀錄'!K""&amp;TO_TEXT(ROW()-$C$72))"),"水費")</f>
        <v>水費</v>
      </c>
      <c r="L705" s="61" t="str">
        <f>IFERROR(__xludf.DUMMYFUNCTION("INDIRECT(""'收支紀錄'!L""&amp;TO_TEXT(ROW()-$C$72))"),"")</f>
        <v/>
      </c>
      <c r="M705" s="61" t="str">
        <f>IFERROR(__xludf.DUMMYFUNCTION("INDIRECT(""'收支紀錄'!M""&amp;TO_TEXT(ROW()-$C$72))"),"")</f>
        <v/>
      </c>
      <c r="N705" s="61" t="str">
        <f>IFERROR(__xludf.DUMMYFUNCTION("INDIRECT(""'收支紀錄'!N""&amp;TO_TEXT(ROW()-$C$72))"),"")</f>
        <v/>
      </c>
      <c r="O705" s="61" t="str">
        <f>IFERROR(__xludf.DUMMYFUNCTION("INDIRECT(""'收支紀錄'!O""&amp;TO_TEXT(ROW()-$C$72))"),"")</f>
        <v/>
      </c>
      <c r="P705" s="61" t="str">
        <f>IFERROR(__xludf.DUMMYFUNCTION("INDIRECT(""'收支紀錄'!P""&amp;TO_TEXT(ROW()-$C$72))"),"")</f>
        <v/>
      </c>
      <c r="Q705" s="61" t="str">
        <f>IFERROR(__xludf.DUMMYFUNCTION("INDIRECT(""'收支紀錄'!Q""&amp;TO_TEXT(ROW()-$C$72))"),"")</f>
        <v/>
      </c>
      <c r="R705" s="61" t="str">
        <f>IFERROR(__xludf.DUMMYFUNCTION("INDIRECT(""'收支紀錄'!R""&amp;TO_TEXT(ROW()-$C$72))"),"")</f>
        <v/>
      </c>
      <c r="S705" s="61" t="str">
        <f>IFERROR(__xludf.DUMMYFUNCTION("INDIRECT(""'收支紀錄'!S""&amp;TO_TEXT(ROW()-$C$72))"),"")</f>
        <v/>
      </c>
      <c r="T705" s="61" t="str">
        <f>IFERROR(__xludf.DUMMYFUNCTION("INDIRECT(""'收支紀錄'!T""&amp;TO_TEXT(ROW()-$C$72))"),"")</f>
        <v/>
      </c>
      <c r="U705" s="62" t="str">
        <f>IFERROR(__xludf.DUMMYFUNCTION("IF(T705=""是"",TEXTJOIN("""", TRUE, ""$"", TO_TEXT(C705), S705),"""")"),"")</f>
        <v/>
      </c>
    </row>
    <row r="706">
      <c r="A706" s="58">
        <f>IFERROR(__xludf.DUMMYFUNCTION("INDIRECT(""'收支紀錄'!A""&amp;TO_TEXT(ROW()-$C$72))"),45718.94453356482)</f>
        <v>45718.94453</v>
      </c>
      <c r="B706" s="59">
        <f>IFERROR(__xludf.DUMMYFUNCTION("IF(ISBLANK(D706), """", IF(ISDATE(D706), D706, IF(D706=""今天"", A706, IF(D706=""昨天 (-1 day)"", A706-1, IF(D706=""前天 (-2 days)"", A706-2, IF(D706=""明天 (+1 day)"", A706+1, DATE(LEFT(D706,4), MID(D706,5,2), RIGHT(D706,2))))))))"),45718.94453356482)</f>
        <v>45718.94453</v>
      </c>
      <c r="C706" s="60">
        <f>IFERROR(__xludf.DUMMYFUNCTION("INDIRECT(""'收支紀錄'!C""&amp;TO_TEXT(ROW()-$C$72))"),370.0)</f>
        <v>370</v>
      </c>
      <c r="D706" s="63" t="str">
        <f>IFERROR(__xludf.DUMMYFUNCTION("INDIRECT(""'收支紀錄'!D""&amp;TO_TEXT(ROW()-$C$72))"),"今天")</f>
        <v>今天</v>
      </c>
      <c r="E706" s="61" t="str">
        <f>IFERROR(__xludf.DUMMYFUNCTION("INDIRECT(""'收支紀錄'!E""&amp;TO_TEXT(ROW()-$C$72))"),"")</f>
        <v/>
      </c>
      <c r="F706" s="61" t="str">
        <f>IFERROR(__xludf.DUMMYFUNCTION("INDIRECT(""'收支紀錄'!F""&amp;TO_TEXT(ROW()-$C$72))"),"")</f>
        <v/>
      </c>
      <c r="G706" s="61" t="str">
        <f>IFERROR(__xludf.DUMMYFUNCTION("INDIRECT(""'收支紀錄'!G""&amp;TO_TEXT(ROW()-$C$72))"),"")</f>
        <v/>
      </c>
      <c r="H706" s="61" t="str">
        <f>IFERROR(__xludf.DUMMYFUNCTION("INDIRECT(""'收支紀錄'!H""&amp;TO_TEXT(ROW()-$C$72))"),"食品酒水")</f>
        <v>食品酒水</v>
      </c>
      <c r="I706" s="61" t="str">
        <f>IFERROR(__xludf.DUMMYFUNCTION("INDIRECT(""'收支紀錄'!I""&amp;TO_TEXT(ROW()-$C$72))"),"午餐")</f>
        <v>午餐</v>
      </c>
      <c r="J706" s="61" t="str">
        <f>IFERROR(__xludf.DUMMYFUNCTION("INDIRECT(""'收支紀錄'!J""&amp;TO_TEXT(ROW()-$C$72))"),"")</f>
        <v/>
      </c>
      <c r="K706" s="61" t="str">
        <f>IFERROR(__xludf.DUMMYFUNCTION("INDIRECT(""'收支紀錄'!K""&amp;TO_TEXT(ROW()-$C$72))"),"")</f>
        <v/>
      </c>
      <c r="L706" s="61" t="str">
        <f>IFERROR(__xludf.DUMMYFUNCTION("INDIRECT(""'收支紀錄'!L""&amp;TO_TEXT(ROW()-$C$72))"),"")</f>
        <v/>
      </c>
      <c r="M706" s="61" t="str">
        <f>IFERROR(__xludf.DUMMYFUNCTION("INDIRECT(""'收支紀錄'!M""&amp;TO_TEXT(ROW()-$C$72))"),"")</f>
        <v/>
      </c>
      <c r="N706" s="61" t="str">
        <f>IFERROR(__xludf.DUMMYFUNCTION("INDIRECT(""'收支紀錄'!N""&amp;TO_TEXT(ROW()-$C$72))"),"")</f>
        <v/>
      </c>
      <c r="O706" s="61" t="str">
        <f>IFERROR(__xludf.DUMMYFUNCTION("INDIRECT(""'收支紀錄'!O""&amp;TO_TEXT(ROW()-$C$72))"),"")</f>
        <v/>
      </c>
      <c r="P706" s="61" t="str">
        <f>IFERROR(__xludf.DUMMYFUNCTION("INDIRECT(""'收支紀錄'!P""&amp;TO_TEXT(ROW()-$C$72))"),"")</f>
        <v/>
      </c>
      <c r="Q706" s="61" t="str">
        <f>IFERROR(__xludf.DUMMYFUNCTION("INDIRECT(""'收支紀錄'!Q""&amp;TO_TEXT(ROW()-$C$72))"),"")</f>
        <v/>
      </c>
      <c r="R706" s="61" t="str">
        <f>IFERROR(__xludf.DUMMYFUNCTION("INDIRECT(""'收支紀錄'!R""&amp;TO_TEXT(ROW()-$C$72))"),"")</f>
        <v/>
      </c>
      <c r="S706" s="61" t="str">
        <f>IFERROR(__xludf.DUMMYFUNCTION("INDIRECT(""'收支紀錄'!S""&amp;TO_TEXT(ROW()-$C$72))"),"")</f>
        <v/>
      </c>
      <c r="T706" s="61" t="str">
        <f>IFERROR(__xludf.DUMMYFUNCTION("INDIRECT(""'收支紀錄'!T""&amp;TO_TEXT(ROW()-$C$72))"),"")</f>
        <v/>
      </c>
      <c r="U706" s="62" t="str">
        <f>IFERROR(__xludf.DUMMYFUNCTION("IF(T706=""是"",TEXTJOIN("""", TRUE, ""$"", TO_TEXT(C706), S706),"""")"),"")</f>
        <v/>
      </c>
    </row>
    <row r="707">
      <c r="A707" s="58">
        <f>IFERROR(__xludf.DUMMYFUNCTION("INDIRECT(""'收支紀錄'!A""&amp;TO_TEXT(ROW()-$C$72))"),45718.94466689815)</f>
        <v>45718.94467</v>
      </c>
      <c r="B707" s="59">
        <f>IFERROR(__xludf.DUMMYFUNCTION("IF(ISBLANK(D707), """", IF(ISDATE(D707), D707, IF(D707=""今天"", A707, IF(D707=""昨天 (-1 day)"", A707-1, IF(D707=""前天 (-2 days)"", A707-2, IF(D707=""明天 (+1 day)"", A707+1, DATE(LEFT(D707,4), MID(D707,5,2), RIGHT(D707,2))))))))"),45718.94466689815)</f>
        <v>45718.94467</v>
      </c>
      <c r="C707" s="60">
        <f>IFERROR(__xludf.DUMMYFUNCTION("INDIRECT(""'收支紀錄'!C""&amp;TO_TEXT(ROW()-$C$72))"),299.0)</f>
        <v>299</v>
      </c>
      <c r="D707" s="63" t="str">
        <f>IFERROR(__xludf.DUMMYFUNCTION("INDIRECT(""'收支紀錄'!D""&amp;TO_TEXT(ROW()-$C$72))"),"今天")</f>
        <v>今天</v>
      </c>
      <c r="E707" s="61" t="str">
        <f>IFERROR(__xludf.DUMMYFUNCTION("INDIRECT(""'收支紀錄'!E""&amp;TO_TEXT(ROW()-$C$72))"),"")</f>
        <v/>
      </c>
      <c r="F707" s="61" t="str">
        <f>IFERROR(__xludf.DUMMYFUNCTION("INDIRECT(""'收支紀錄'!F""&amp;TO_TEXT(ROW()-$C$72))"),"")</f>
        <v/>
      </c>
      <c r="G707" s="61" t="str">
        <f>IFERROR(__xludf.DUMMYFUNCTION("INDIRECT(""'收支紀錄'!G""&amp;TO_TEXT(ROW()-$C$72))"),"")</f>
        <v/>
      </c>
      <c r="H707" s="61" t="str">
        <f>IFERROR(__xludf.DUMMYFUNCTION("INDIRECT(""'收支紀錄'!H""&amp;TO_TEXT(ROW()-$C$72))"),"食品酒水")</f>
        <v>食品酒水</v>
      </c>
      <c r="I707" s="61" t="str">
        <f>IFERROR(__xludf.DUMMYFUNCTION("INDIRECT(""'收支紀錄'!I""&amp;TO_TEXT(ROW()-$C$72))"),"晚餐")</f>
        <v>晚餐</v>
      </c>
      <c r="J707" s="61" t="str">
        <f>IFERROR(__xludf.DUMMYFUNCTION("INDIRECT(""'收支紀錄'!J""&amp;TO_TEXT(ROW()-$C$72))"),"")</f>
        <v/>
      </c>
      <c r="K707" s="61" t="str">
        <f>IFERROR(__xludf.DUMMYFUNCTION("INDIRECT(""'收支紀錄'!K""&amp;TO_TEXT(ROW()-$C$72))"),"")</f>
        <v/>
      </c>
      <c r="L707" s="61" t="str">
        <f>IFERROR(__xludf.DUMMYFUNCTION("INDIRECT(""'收支紀錄'!L""&amp;TO_TEXT(ROW()-$C$72))"),"")</f>
        <v/>
      </c>
      <c r="M707" s="61" t="str">
        <f>IFERROR(__xludf.DUMMYFUNCTION("INDIRECT(""'收支紀錄'!M""&amp;TO_TEXT(ROW()-$C$72))"),"")</f>
        <v/>
      </c>
      <c r="N707" s="61" t="str">
        <f>IFERROR(__xludf.DUMMYFUNCTION("INDIRECT(""'收支紀錄'!N""&amp;TO_TEXT(ROW()-$C$72))"),"")</f>
        <v/>
      </c>
      <c r="O707" s="61" t="str">
        <f>IFERROR(__xludf.DUMMYFUNCTION("INDIRECT(""'收支紀錄'!O""&amp;TO_TEXT(ROW()-$C$72))"),"")</f>
        <v/>
      </c>
      <c r="P707" s="61" t="str">
        <f>IFERROR(__xludf.DUMMYFUNCTION("INDIRECT(""'收支紀錄'!P""&amp;TO_TEXT(ROW()-$C$72))"),"")</f>
        <v/>
      </c>
      <c r="Q707" s="61" t="str">
        <f>IFERROR(__xludf.DUMMYFUNCTION("INDIRECT(""'收支紀錄'!Q""&amp;TO_TEXT(ROW()-$C$72))"),"")</f>
        <v/>
      </c>
      <c r="R707" s="61" t="str">
        <f>IFERROR(__xludf.DUMMYFUNCTION("INDIRECT(""'收支紀錄'!R""&amp;TO_TEXT(ROW()-$C$72))"),"")</f>
        <v/>
      </c>
      <c r="S707" s="61" t="str">
        <f>IFERROR(__xludf.DUMMYFUNCTION("INDIRECT(""'收支紀錄'!S""&amp;TO_TEXT(ROW()-$C$72))"),"")</f>
        <v/>
      </c>
      <c r="T707" s="61" t="str">
        <f>IFERROR(__xludf.DUMMYFUNCTION("INDIRECT(""'收支紀錄'!T""&amp;TO_TEXT(ROW()-$C$72))"),"")</f>
        <v/>
      </c>
      <c r="U707" s="62" t="str">
        <f>IFERROR(__xludf.DUMMYFUNCTION("IF(T707=""是"",TEXTJOIN("""", TRUE, ""$"", TO_TEXT(C707), S707),"""")"),"")</f>
        <v/>
      </c>
    </row>
    <row r="708">
      <c r="A708" s="58">
        <f>IFERROR(__xludf.DUMMYFUNCTION("INDIRECT(""'收支紀錄'!A""&amp;TO_TEXT(ROW()-$C$72))"),45718.94487746528)</f>
        <v>45718.94488</v>
      </c>
      <c r="B708" s="59">
        <f>IFERROR(__xludf.DUMMYFUNCTION("IF(ISBLANK(D708), """", IF(ISDATE(D708), D708, IF(D708=""今天"", A708, IF(D708=""昨天 (-1 day)"", A708-1, IF(D708=""前天 (-2 days)"", A708-2, IF(D708=""明天 (+1 day)"", A708+1, DATE(LEFT(D708,4), MID(D708,5,2), RIGHT(D708,2))))))))"),45718.94487746528)</f>
        <v>45718.94488</v>
      </c>
      <c r="C708" s="60">
        <f>IFERROR(__xludf.DUMMYFUNCTION("INDIRECT(""'收支紀錄'!C""&amp;TO_TEXT(ROW()-$C$72))"),585.0)</f>
        <v>585</v>
      </c>
      <c r="D708" s="63" t="str">
        <f>IFERROR(__xludf.DUMMYFUNCTION("INDIRECT(""'收支紀錄'!D""&amp;TO_TEXT(ROW()-$C$72))"),"今天")</f>
        <v>今天</v>
      </c>
      <c r="E708" s="61" t="str">
        <f>IFERROR(__xludf.DUMMYFUNCTION("INDIRECT(""'收支紀錄'!E""&amp;TO_TEXT(ROW()-$C$72))"),"")</f>
        <v/>
      </c>
      <c r="F708" s="61" t="str">
        <f>IFERROR(__xludf.DUMMYFUNCTION("INDIRECT(""'收支紀錄'!F""&amp;TO_TEXT(ROW()-$C$72))"),"")</f>
        <v/>
      </c>
      <c r="G708" s="61" t="str">
        <f>IFERROR(__xludf.DUMMYFUNCTION("INDIRECT(""'收支紀錄'!G""&amp;TO_TEXT(ROW()-$C$72))"),"")</f>
        <v/>
      </c>
      <c r="H708" s="61" t="str">
        <f>IFERROR(__xludf.DUMMYFUNCTION("INDIRECT(""'收支紀錄'!H""&amp;TO_TEXT(ROW()-$C$72))"),"食品酒水")</f>
        <v>食品酒水</v>
      </c>
      <c r="I708" s="61" t="str">
        <f>IFERROR(__xludf.DUMMYFUNCTION("INDIRECT(""'收支紀錄'!I""&amp;TO_TEXT(ROW()-$C$72))"),"食材")</f>
        <v>食材</v>
      </c>
      <c r="J708" s="61" t="str">
        <f>IFERROR(__xludf.DUMMYFUNCTION("INDIRECT(""'收支紀錄'!J""&amp;TO_TEXT(ROW()-$C$72))"),"")</f>
        <v/>
      </c>
      <c r="K708" s="61" t="str">
        <f>IFERROR(__xludf.DUMMYFUNCTION("INDIRECT(""'收支紀錄'!K""&amp;TO_TEXT(ROW()-$C$72))"),"")</f>
        <v/>
      </c>
      <c r="L708" s="61" t="str">
        <f>IFERROR(__xludf.DUMMYFUNCTION("INDIRECT(""'收支紀錄'!L""&amp;TO_TEXT(ROW()-$C$72))"),"")</f>
        <v/>
      </c>
      <c r="M708" s="61" t="str">
        <f>IFERROR(__xludf.DUMMYFUNCTION("INDIRECT(""'收支紀錄'!M""&amp;TO_TEXT(ROW()-$C$72))"),"")</f>
        <v/>
      </c>
      <c r="N708" s="61" t="str">
        <f>IFERROR(__xludf.DUMMYFUNCTION("INDIRECT(""'收支紀錄'!N""&amp;TO_TEXT(ROW()-$C$72))"),"")</f>
        <v/>
      </c>
      <c r="O708" s="61" t="str">
        <f>IFERROR(__xludf.DUMMYFUNCTION("INDIRECT(""'收支紀錄'!O""&amp;TO_TEXT(ROW()-$C$72))"),"")</f>
        <v/>
      </c>
      <c r="P708" s="61" t="str">
        <f>IFERROR(__xludf.DUMMYFUNCTION("INDIRECT(""'收支紀錄'!P""&amp;TO_TEXT(ROW()-$C$72))"),"")</f>
        <v/>
      </c>
      <c r="Q708" s="61" t="str">
        <f>IFERROR(__xludf.DUMMYFUNCTION("INDIRECT(""'收支紀錄'!Q""&amp;TO_TEXT(ROW()-$C$72))"),"")</f>
        <v/>
      </c>
      <c r="R708" s="61" t="str">
        <f>IFERROR(__xludf.DUMMYFUNCTION("INDIRECT(""'收支紀錄'!R""&amp;TO_TEXT(ROW()-$C$72))"),"")</f>
        <v/>
      </c>
      <c r="S708" s="61" t="str">
        <f>IFERROR(__xludf.DUMMYFUNCTION("INDIRECT(""'收支紀錄'!S""&amp;TO_TEXT(ROW()-$C$72))"),"")</f>
        <v/>
      </c>
      <c r="T708" s="61" t="str">
        <f>IFERROR(__xludf.DUMMYFUNCTION("INDIRECT(""'收支紀錄'!T""&amp;TO_TEXT(ROW()-$C$72))"),"")</f>
        <v/>
      </c>
      <c r="U708" s="62" t="str">
        <f>IFERROR(__xludf.DUMMYFUNCTION("IF(T708=""是"",TEXTJOIN("""", TRUE, ""$"", TO_TEXT(C708), S708),"""")"),"")</f>
        <v/>
      </c>
    </row>
    <row r="709">
      <c r="A709" s="58">
        <f>IFERROR(__xludf.DUMMYFUNCTION("INDIRECT(""'收支紀錄'!A""&amp;TO_TEXT(ROW()-$C$72))"),45718.94514766204)</f>
        <v>45718.94515</v>
      </c>
      <c r="B709" s="59">
        <f>IFERROR(__xludf.DUMMYFUNCTION("IF(ISBLANK(D709), """", IF(ISDATE(D709), D709, IF(D709=""今天"", A709, IF(D709=""昨天 (-1 day)"", A709-1, IF(D709=""前天 (-2 days)"", A709-2, IF(D709=""明天 (+1 day)"", A709+1, DATE(LEFT(D709,4), MID(D709,5,2), RIGHT(D709,2))))))))"),45718.94514766204)</f>
        <v>45718.94515</v>
      </c>
      <c r="C709" s="60">
        <f>IFERROR(__xludf.DUMMYFUNCTION("INDIRECT(""'收支紀錄'!C""&amp;TO_TEXT(ROW()-$C$72))"),100.0)</f>
        <v>100</v>
      </c>
      <c r="D709" s="63" t="str">
        <f>IFERROR(__xludf.DUMMYFUNCTION("INDIRECT(""'收支紀錄'!D""&amp;TO_TEXT(ROW()-$C$72))"),"今天")</f>
        <v>今天</v>
      </c>
      <c r="E709" s="61" t="str">
        <f>IFERROR(__xludf.DUMMYFUNCTION("INDIRECT(""'收支紀錄'!E""&amp;TO_TEXT(ROW()-$C$72))"),"")</f>
        <v/>
      </c>
      <c r="F709" s="61" t="str">
        <f>IFERROR(__xludf.DUMMYFUNCTION("INDIRECT(""'收支紀錄'!F""&amp;TO_TEXT(ROW()-$C$72))"),"")</f>
        <v/>
      </c>
      <c r="G709" s="61" t="str">
        <f>IFERROR(__xludf.DUMMYFUNCTION("INDIRECT(""'收支紀錄'!G""&amp;TO_TEXT(ROW()-$C$72))"),"")</f>
        <v/>
      </c>
      <c r="H709" s="61" t="str">
        <f>IFERROR(__xludf.DUMMYFUNCTION("INDIRECT(""'收支紀錄'!H""&amp;TO_TEXT(ROW()-$C$72))"),"行車交通")</f>
        <v>行車交通</v>
      </c>
      <c r="I709" s="61" t="str">
        <f>IFERROR(__xludf.DUMMYFUNCTION("INDIRECT(""'收支紀錄'!I""&amp;TO_TEXT(ROW()-$C$72))"),"")</f>
        <v/>
      </c>
      <c r="J709" s="61" t="str">
        <f>IFERROR(__xludf.DUMMYFUNCTION("INDIRECT(""'收支紀錄'!J""&amp;TO_TEXT(ROW()-$C$72))"),"")</f>
        <v/>
      </c>
      <c r="K709" s="61" t="str">
        <f>IFERROR(__xludf.DUMMYFUNCTION("INDIRECT(""'收支紀錄'!K""&amp;TO_TEXT(ROW()-$C$72))"),"")</f>
        <v/>
      </c>
      <c r="L709" s="61" t="str">
        <f>IFERROR(__xludf.DUMMYFUNCTION("INDIRECT(""'收支紀錄'!L""&amp;TO_TEXT(ROW()-$C$72))"),"其他(洗車,罰單,配件)")</f>
        <v>其他(洗車,罰單,配件)</v>
      </c>
      <c r="M709" s="61" t="str">
        <f>IFERROR(__xludf.DUMMYFUNCTION("INDIRECT(""'收支紀錄'!M""&amp;TO_TEXT(ROW()-$C$72))"),"")</f>
        <v/>
      </c>
      <c r="N709" s="61" t="str">
        <f>IFERROR(__xludf.DUMMYFUNCTION("INDIRECT(""'收支紀錄'!N""&amp;TO_TEXT(ROW()-$C$72))"),"")</f>
        <v/>
      </c>
      <c r="O709" s="61" t="str">
        <f>IFERROR(__xludf.DUMMYFUNCTION("INDIRECT(""'收支紀錄'!O""&amp;TO_TEXT(ROW()-$C$72))"),"")</f>
        <v/>
      </c>
      <c r="P709" s="61" t="str">
        <f>IFERROR(__xludf.DUMMYFUNCTION("INDIRECT(""'收支紀錄'!P""&amp;TO_TEXT(ROW()-$C$72))"),"")</f>
        <v/>
      </c>
      <c r="Q709" s="61" t="str">
        <f>IFERROR(__xludf.DUMMYFUNCTION("INDIRECT(""'收支紀錄'!Q""&amp;TO_TEXT(ROW()-$C$72))"),"")</f>
        <v/>
      </c>
      <c r="R709" s="61" t="str">
        <f>IFERROR(__xludf.DUMMYFUNCTION("INDIRECT(""'收支紀錄'!R""&amp;TO_TEXT(ROW()-$C$72))"),"")</f>
        <v/>
      </c>
      <c r="S709" s="61" t="str">
        <f>IFERROR(__xludf.DUMMYFUNCTION("INDIRECT(""'收支紀錄'!S""&amp;TO_TEXT(ROW()-$C$72))"),"")</f>
        <v/>
      </c>
      <c r="T709" s="61" t="str">
        <f>IFERROR(__xludf.DUMMYFUNCTION("INDIRECT(""'收支紀錄'!T""&amp;TO_TEXT(ROW()-$C$72))"),"")</f>
        <v/>
      </c>
      <c r="U709" s="62" t="str">
        <f>IFERROR(__xludf.DUMMYFUNCTION("IF(T709=""是"",TEXTJOIN("""", TRUE, ""$"", TO_TEXT(C709), S709),"""")"),"")</f>
        <v/>
      </c>
    </row>
    <row r="710">
      <c r="A710" s="58">
        <f>IFERROR(__xludf.DUMMYFUNCTION("INDIRECT(""'收支紀錄'!A""&amp;TO_TEXT(ROW()-$C$72))"),45718.945416828705)</f>
        <v>45718.94542</v>
      </c>
      <c r="B710" s="59">
        <f>IFERROR(__xludf.DUMMYFUNCTION("IF(ISBLANK(D710), """", IF(ISDATE(D710), D710, IF(D710=""今天"", A710, IF(D710=""昨天 (-1 day)"", A710-1, IF(D710=""前天 (-2 days)"", A710-2, IF(D710=""明天 (+1 day)"", A710+1, DATE(LEFT(D710,4), MID(D710,5,2), RIGHT(D710,2))))))))"),45718.945416828705)</f>
        <v>45718.94542</v>
      </c>
      <c r="C710" s="60">
        <f>IFERROR(__xludf.DUMMYFUNCTION("INDIRECT(""'收支紀錄'!C""&amp;TO_TEXT(ROW()-$C$72))"),1257.0)</f>
        <v>1257</v>
      </c>
      <c r="D710" s="63" t="str">
        <f>IFERROR(__xludf.DUMMYFUNCTION("INDIRECT(""'收支紀錄'!D""&amp;TO_TEXT(ROW()-$C$72))"),"今天")</f>
        <v>今天</v>
      </c>
      <c r="E710" s="61" t="str">
        <f>IFERROR(__xludf.DUMMYFUNCTION("INDIRECT(""'收支紀錄'!E""&amp;TO_TEXT(ROW()-$C$72))"),"")</f>
        <v/>
      </c>
      <c r="F710" s="61" t="str">
        <f>IFERROR(__xludf.DUMMYFUNCTION("INDIRECT(""'收支紀錄'!F""&amp;TO_TEXT(ROW()-$C$72))"),"")</f>
        <v/>
      </c>
      <c r="G710" s="61" t="str">
        <f>IFERROR(__xludf.DUMMYFUNCTION("INDIRECT(""'收支紀錄'!G""&amp;TO_TEXT(ROW()-$C$72))"),"")</f>
        <v/>
      </c>
      <c r="H710" s="61" t="str">
        <f>IFERROR(__xludf.DUMMYFUNCTION("INDIRECT(""'收支紀錄'!H""&amp;TO_TEXT(ROW()-$C$72))"),"休閒娛樂")</f>
        <v>休閒娛樂</v>
      </c>
      <c r="I710" s="61" t="str">
        <f>IFERROR(__xludf.DUMMYFUNCTION("INDIRECT(""'收支紀錄'!I""&amp;TO_TEXT(ROW()-$C$72))"),"")</f>
        <v/>
      </c>
      <c r="J710" s="61" t="str">
        <f>IFERROR(__xludf.DUMMYFUNCTION("INDIRECT(""'收支紀錄'!J""&amp;TO_TEXT(ROW()-$C$72))"),"")</f>
        <v/>
      </c>
      <c r="K710" s="61" t="str">
        <f>IFERROR(__xludf.DUMMYFUNCTION("INDIRECT(""'收支紀錄'!K""&amp;TO_TEXT(ROW()-$C$72))"),"")</f>
        <v/>
      </c>
      <c r="L710" s="61" t="str">
        <f>IFERROR(__xludf.DUMMYFUNCTION("INDIRECT(""'收支紀錄'!L""&amp;TO_TEXT(ROW()-$C$72))"),"")</f>
        <v/>
      </c>
      <c r="M710" s="61" t="str">
        <f>IFERROR(__xludf.DUMMYFUNCTION("INDIRECT(""'收支紀錄'!M""&amp;TO_TEXT(ROW()-$C$72))"),"衣物鞋帽")</f>
        <v>衣物鞋帽</v>
      </c>
      <c r="N710" s="61" t="str">
        <f>IFERROR(__xludf.DUMMYFUNCTION("INDIRECT(""'收支紀錄'!N""&amp;TO_TEXT(ROW()-$C$72))"),"")</f>
        <v/>
      </c>
      <c r="O710" s="61" t="str">
        <f>IFERROR(__xludf.DUMMYFUNCTION("INDIRECT(""'收支紀錄'!O""&amp;TO_TEXT(ROW()-$C$72))"),"")</f>
        <v/>
      </c>
      <c r="P710" s="61" t="str">
        <f>IFERROR(__xludf.DUMMYFUNCTION("INDIRECT(""'收支紀錄'!P""&amp;TO_TEXT(ROW()-$C$72))"),"")</f>
        <v/>
      </c>
      <c r="Q710" s="61" t="str">
        <f>IFERROR(__xludf.DUMMYFUNCTION("INDIRECT(""'收支紀錄'!Q""&amp;TO_TEXT(ROW()-$C$72))"),"")</f>
        <v/>
      </c>
      <c r="R710" s="61" t="str">
        <f>IFERROR(__xludf.DUMMYFUNCTION("INDIRECT(""'收支紀錄'!R""&amp;TO_TEXT(ROW()-$C$72))"),"")</f>
        <v/>
      </c>
      <c r="S710" s="61" t="str">
        <f>IFERROR(__xludf.DUMMYFUNCTION("INDIRECT(""'收支紀錄'!S""&amp;TO_TEXT(ROW()-$C$72))"),"")</f>
        <v/>
      </c>
      <c r="T710" s="61" t="str">
        <f>IFERROR(__xludf.DUMMYFUNCTION("INDIRECT(""'收支紀錄'!T""&amp;TO_TEXT(ROW()-$C$72))"),"")</f>
        <v/>
      </c>
      <c r="U710" s="62" t="str">
        <f>IFERROR(__xludf.DUMMYFUNCTION("IF(T710=""是"",TEXTJOIN("""", TRUE, ""$"", TO_TEXT(C710), S710),"""")"),"")</f>
        <v/>
      </c>
    </row>
    <row r="711">
      <c r="A711" s="58">
        <f>IFERROR(__xludf.DUMMYFUNCTION("INDIRECT(""'收支紀錄'!A""&amp;TO_TEXT(ROW()-$C$72))"),45719.873299189814)</f>
        <v>45719.8733</v>
      </c>
      <c r="B711" s="59">
        <f>IFERROR(__xludf.DUMMYFUNCTION("IF(ISBLANK(D711), """", IF(ISDATE(D711), D711, IF(D711=""今天"", A711, IF(D711=""昨天 (-1 day)"", A711-1, IF(D711=""前天 (-2 days)"", A711-2, IF(D711=""明天 (+1 day)"", A711+1, DATE(LEFT(D711,4), MID(D711,5,2), RIGHT(D711,2))))))))"),45719.873299189814)</f>
        <v>45719.8733</v>
      </c>
      <c r="C711" s="60">
        <f>IFERROR(__xludf.DUMMYFUNCTION("INDIRECT(""'收支紀錄'!C""&amp;TO_TEXT(ROW()-$C$72))"),103.0)</f>
        <v>103</v>
      </c>
      <c r="D711" s="63" t="str">
        <f>IFERROR(__xludf.DUMMYFUNCTION("INDIRECT(""'收支紀錄'!D""&amp;TO_TEXT(ROW()-$C$72))"),"今天")</f>
        <v>今天</v>
      </c>
      <c r="E711" s="61" t="str">
        <f>IFERROR(__xludf.DUMMYFUNCTION("INDIRECT(""'收支紀錄'!E""&amp;TO_TEXT(ROW()-$C$72))"),"")</f>
        <v/>
      </c>
      <c r="F711" s="61" t="str">
        <f>IFERROR(__xludf.DUMMYFUNCTION("INDIRECT(""'收支紀錄'!F""&amp;TO_TEXT(ROW()-$C$72))"),"")</f>
        <v/>
      </c>
      <c r="G711" s="61" t="str">
        <f>IFERROR(__xludf.DUMMYFUNCTION("INDIRECT(""'收支紀錄'!G""&amp;TO_TEXT(ROW()-$C$72))"),"")</f>
        <v/>
      </c>
      <c r="H711" s="61" t="str">
        <f>IFERROR(__xludf.DUMMYFUNCTION("INDIRECT(""'收支紀錄'!H""&amp;TO_TEXT(ROW()-$C$72))"),"行車交通")</f>
        <v>行車交通</v>
      </c>
      <c r="I711" s="61" t="str">
        <f>IFERROR(__xludf.DUMMYFUNCTION("INDIRECT(""'收支紀錄'!I""&amp;TO_TEXT(ROW()-$C$72))"),"")</f>
        <v/>
      </c>
      <c r="J711" s="61" t="str">
        <f>IFERROR(__xludf.DUMMYFUNCTION("INDIRECT(""'收支紀錄'!J""&amp;TO_TEXT(ROW()-$C$72))"),"")</f>
        <v/>
      </c>
      <c r="K711" s="61" t="str">
        <f>IFERROR(__xludf.DUMMYFUNCTION("INDIRECT(""'收支紀錄'!K""&amp;TO_TEXT(ROW()-$C$72))"),"")</f>
        <v/>
      </c>
      <c r="L711" s="61" t="str">
        <f>IFERROR(__xludf.DUMMYFUNCTION("INDIRECT(""'收支紀錄'!L""&amp;TO_TEXT(ROW()-$C$72))"),"加油")</f>
        <v>加油</v>
      </c>
      <c r="M711" s="61" t="str">
        <f>IFERROR(__xludf.DUMMYFUNCTION("INDIRECT(""'收支紀錄'!M""&amp;TO_TEXT(ROW()-$C$72))"),"")</f>
        <v/>
      </c>
      <c r="N711" s="61" t="str">
        <f>IFERROR(__xludf.DUMMYFUNCTION("INDIRECT(""'收支紀錄'!N""&amp;TO_TEXT(ROW()-$C$72))"),"")</f>
        <v/>
      </c>
      <c r="O711" s="61" t="str">
        <f>IFERROR(__xludf.DUMMYFUNCTION("INDIRECT(""'收支紀錄'!O""&amp;TO_TEXT(ROW()-$C$72))"),"")</f>
        <v/>
      </c>
      <c r="P711" s="61" t="str">
        <f>IFERROR(__xludf.DUMMYFUNCTION("INDIRECT(""'收支紀錄'!P""&amp;TO_TEXT(ROW()-$C$72))"),"")</f>
        <v/>
      </c>
      <c r="Q711" s="61" t="str">
        <f>IFERROR(__xludf.DUMMYFUNCTION("INDIRECT(""'收支紀錄'!Q""&amp;TO_TEXT(ROW()-$C$72))"),"")</f>
        <v/>
      </c>
      <c r="R711" s="61" t="str">
        <f>IFERROR(__xludf.DUMMYFUNCTION("INDIRECT(""'收支紀錄'!R""&amp;TO_TEXT(ROW()-$C$72))"),"")</f>
        <v/>
      </c>
      <c r="S711" s="61" t="str">
        <f>IFERROR(__xludf.DUMMYFUNCTION("INDIRECT(""'收支紀錄'!S""&amp;TO_TEXT(ROW()-$C$72))"),"")</f>
        <v/>
      </c>
      <c r="T711" s="61" t="str">
        <f>IFERROR(__xludf.DUMMYFUNCTION("INDIRECT(""'收支紀錄'!T""&amp;TO_TEXT(ROW()-$C$72))"),"")</f>
        <v/>
      </c>
      <c r="U711" s="62" t="str">
        <f>IFERROR(__xludf.DUMMYFUNCTION("IF(T711=""是"",TEXTJOIN("""", TRUE, ""$"", TO_TEXT(C711), S711),"""")"),"")</f>
        <v/>
      </c>
    </row>
    <row r="712">
      <c r="A712" s="58">
        <f>IFERROR(__xludf.DUMMYFUNCTION("INDIRECT(""'收支紀錄'!A""&amp;TO_TEXT(ROW()-$C$72))"),45719.91112802083)</f>
        <v>45719.91113</v>
      </c>
      <c r="B712" s="59">
        <f>IFERROR(__xludf.DUMMYFUNCTION("IF(ISBLANK(D712), """", IF(ISDATE(D712), D712, IF(D712=""今天"", A712, IF(D712=""昨天 (-1 day)"", A712-1, IF(D712=""前天 (-2 days)"", A712-2, IF(D712=""明天 (+1 day)"", A712+1, DATE(LEFT(D712,4), MID(D712,5,2), RIGHT(D712,2))))))))"),45717.0)</f>
        <v>45717</v>
      </c>
      <c r="C712" s="60">
        <f>IFERROR(__xludf.DUMMYFUNCTION("INDIRECT(""'收支紀錄'!C""&amp;TO_TEXT(ROW()-$C$72))"),1534.0)</f>
        <v>1534</v>
      </c>
      <c r="D712" s="63">
        <f>IFERROR(__xludf.DUMMYFUNCTION("INDIRECT(""'收支紀錄'!D""&amp;TO_TEXT(ROW()-$C$72))"),2.0250301E7)</f>
        <v>20250301</v>
      </c>
      <c r="E712" s="61" t="str">
        <f>IFERROR(__xludf.DUMMYFUNCTION("INDIRECT(""'收支紀錄'!E""&amp;TO_TEXT(ROW()-$C$72))"),"")</f>
        <v/>
      </c>
      <c r="F712" s="61" t="str">
        <f>IFERROR(__xludf.DUMMYFUNCTION("INDIRECT(""'收支紀錄'!F""&amp;TO_TEXT(ROW()-$C$72))"),"")</f>
        <v/>
      </c>
      <c r="G712" s="61" t="str">
        <f>IFERROR(__xludf.DUMMYFUNCTION("INDIRECT(""'收支紀錄'!G""&amp;TO_TEXT(ROW()-$C$72))"),"")</f>
        <v/>
      </c>
      <c r="H712" s="61" t="str">
        <f>IFERROR(__xludf.DUMMYFUNCTION("INDIRECT(""'收支紀錄'!H""&amp;TO_TEXT(ROW()-$C$72))"),"休閒娛樂")</f>
        <v>休閒娛樂</v>
      </c>
      <c r="I712" s="61" t="str">
        <f>IFERROR(__xludf.DUMMYFUNCTION("INDIRECT(""'收支紀錄'!I""&amp;TO_TEXT(ROW()-$C$72))"),"")</f>
        <v/>
      </c>
      <c r="J712" s="61" t="str">
        <f>IFERROR(__xludf.DUMMYFUNCTION("INDIRECT(""'收支紀錄'!J""&amp;TO_TEXT(ROW()-$C$72))"),"")</f>
        <v/>
      </c>
      <c r="K712" s="61" t="str">
        <f>IFERROR(__xludf.DUMMYFUNCTION("INDIRECT(""'收支紀錄'!K""&amp;TO_TEXT(ROW()-$C$72))"),"")</f>
        <v/>
      </c>
      <c r="L712" s="61" t="str">
        <f>IFERROR(__xludf.DUMMYFUNCTION("INDIRECT(""'收支紀錄'!L""&amp;TO_TEXT(ROW()-$C$72))"),"")</f>
        <v/>
      </c>
      <c r="M712" s="61" t="str">
        <f>IFERROR(__xludf.DUMMYFUNCTION("INDIRECT(""'收支紀錄'!M""&amp;TO_TEXT(ROW()-$C$72))"),"旅遊度假")</f>
        <v>旅遊度假</v>
      </c>
      <c r="N712" s="61" t="str">
        <f>IFERROR(__xludf.DUMMYFUNCTION("INDIRECT(""'收支紀錄'!N""&amp;TO_TEXT(ROW()-$C$72))"),"")</f>
        <v/>
      </c>
      <c r="O712" s="61" t="str">
        <f>IFERROR(__xludf.DUMMYFUNCTION("INDIRECT(""'收支紀錄'!O""&amp;TO_TEXT(ROW()-$C$72))"),"")</f>
        <v/>
      </c>
      <c r="P712" s="61" t="str">
        <f>IFERROR(__xludf.DUMMYFUNCTION("INDIRECT(""'收支紀錄'!P""&amp;TO_TEXT(ROW()-$C$72))"),"")</f>
        <v/>
      </c>
      <c r="Q712" s="61" t="str">
        <f>IFERROR(__xludf.DUMMYFUNCTION("INDIRECT(""'收支紀錄'!Q""&amp;TO_TEXT(ROW()-$C$72))"),"")</f>
        <v/>
      </c>
      <c r="R712" s="61" t="str">
        <f>IFERROR(__xludf.DUMMYFUNCTION("INDIRECT(""'收支紀錄'!R""&amp;TO_TEXT(ROW()-$C$72))"),"")</f>
        <v/>
      </c>
      <c r="S712" s="61" t="str">
        <f>IFERROR(__xludf.DUMMYFUNCTION("INDIRECT(""'收支紀錄'!S""&amp;TO_TEXT(ROW()-$C$72))"),"大溪住宿及其他")</f>
        <v>大溪住宿及其他</v>
      </c>
      <c r="T712" s="61" t="str">
        <f>IFERROR(__xludf.DUMMYFUNCTION("INDIRECT(""'收支紀錄'!T""&amp;TO_TEXT(ROW()-$C$72))"),"")</f>
        <v/>
      </c>
      <c r="U712" s="62" t="str">
        <f>IFERROR(__xludf.DUMMYFUNCTION("IF(T712=""是"",TEXTJOIN("""", TRUE, ""$"", TO_TEXT(C712), S712),"""")"),"")</f>
        <v/>
      </c>
    </row>
    <row r="713">
      <c r="A713" s="58">
        <f>IFERROR(__xludf.DUMMYFUNCTION("INDIRECT(""'收支紀錄'!A""&amp;TO_TEXT(ROW()-$C$72))"),45720.91655807871)</f>
        <v>45720.91656</v>
      </c>
      <c r="B713" s="59">
        <f>IFERROR(__xludf.DUMMYFUNCTION("IF(ISBLANK(D713), """", IF(ISDATE(D713), D713, IF(D713=""今天"", A713, IF(D713=""昨天 (-1 day)"", A713-1, IF(D713=""前天 (-2 days)"", A713-2, IF(D713=""明天 (+1 day)"", A713+1, DATE(LEFT(D713,4), MID(D713,5,2), RIGHT(D713,2))))))))"),45720.91655807871)</f>
        <v>45720.91656</v>
      </c>
      <c r="C713" s="60">
        <f>IFERROR(__xludf.DUMMYFUNCTION("INDIRECT(""'收支紀錄'!C""&amp;TO_TEXT(ROW()-$C$72))"),7802.0)</f>
        <v>7802</v>
      </c>
      <c r="D713" s="63" t="str">
        <f>IFERROR(__xludf.DUMMYFUNCTION("INDIRECT(""'收支紀錄'!D""&amp;TO_TEXT(ROW()-$C$72))"),"今天")</f>
        <v>今天</v>
      </c>
      <c r="E713" s="61" t="str">
        <f>IFERROR(__xludf.DUMMYFUNCTION("INDIRECT(""'收支紀錄'!E""&amp;TO_TEXT(ROW()-$C$72))"),"")</f>
        <v/>
      </c>
      <c r="F713" s="61" t="str">
        <f>IFERROR(__xludf.DUMMYFUNCTION("INDIRECT(""'收支紀錄'!F""&amp;TO_TEXT(ROW()-$C$72))"),"")</f>
        <v/>
      </c>
      <c r="G713" s="61" t="str">
        <f>IFERROR(__xludf.DUMMYFUNCTION("INDIRECT(""'收支紀錄'!G""&amp;TO_TEXT(ROW()-$C$72))"),"")</f>
        <v/>
      </c>
      <c r="H713" s="61" t="str">
        <f>IFERROR(__xludf.DUMMYFUNCTION("INDIRECT(""'收支紀錄'!H""&amp;TO_TEXT(ROW()-$C$72))"),"房屋支出")</f>
        <v>房屋支出</v>
      </c>
      <c r="I713" s="61" t="str">
        <f>IFERROR(__xludf.DUMMYFUNCTION("INDIRECT(""'收支紀錄'!I""&amp;TO_TEXT(ROW()-$C$72))"),"")</f>
        <v/>
      </c>
      <c r="J713" s="61" t="str">
        <f>IFERROR(__xludf.DUMMYFUNCTION("INDIRECT(""'收支紀錄'!J""&amp;TO_TEXT(ROW()-$C$72))"),"")</f>
        <v/>
      </c>
      <c r="K713" s="61" t="str">
        <f>IFERROR(__xludf.DUMMYFUNCTION("INDIRECT(""'收支紀錄'!K""&amp;TO_TEXT(ROW()-$C$72))"),"管理費")</f>
        <v>管理費</v>
      </c>
      <c r="L713" s="61" t="str">
        <f>IFERROR(__xludf.DUMMYFUNCTION("INDIRECT(""'收支紀錄'!L""&amp;TO_TEXT(ROW()-$C$72))"),"")</f>
        <v/>
      </c>
      <c r="M713" s="61" t="str">
        <f>IFERROR(__xludf.DUMMYFUNCTION("INDIRECT(""'收支紀錄'!M""&amp;TO_TEXT(ROW()-$C$72))"),"")</f>
        <v/>
      </c>
      <c r="N713" s="61" t="str">
        <f>IFERROR(__xludf.DUMMYFUNCTION("INDIRECT(""'收支紀錄'!N""&amp;TO_TEXT(ROW()-$C$72))"),"")</f>
        <v/>
      </c>
      <c r="O713" s="61" t="str">
        <f>IFERROR(__xludf.DUMMYFUNCTION("INDIRECT(""'收支紀錄'!O""&amp;TO_TEXT(ROW()-$C$72))"),"")</f>
        <v/>
      </c>
      <c r="P713" s="61" t="str">
        <f>IFERROR(__xludf.DUMMYFUNCTION("INDIRECT(""'收支紀錄'!P""&amp;TO_TEXT(ROW()-$C$72))"),"")</f>
        <v/>
      </c>
      <c r="Q713" s="61" t="str">
        <f>IFERROR(__xludf.DUMMYFUNCTION("INDIRECT(""'收支紀錄'!Q""&amp;TO_TEXT(ROW()-$C$72))"),"")</f>
        <v/>
      </c>
      <c r="R713" s="61" t="str">
        <f>IFERROR(__xludf.DUMMYFUNCTION("INDIRECT(""'收支紀錄'!R""&amp;TO_TEXT(ROW()-$C$72))"),"")</f>
        <v/>
      </c>
      <c r="S713" s="61" t="str">
        <f>IFERROR(__xludf.DUMMYFUNCTION("INDIRECT(""'收支紀錄'!S""&amp;TO_TEXT(ROW()-$C$72))"),"")</f>
        <v/>
      </c>
      <c r="T713" s="61" t="str">
        <f>IFERROR(__xludf.DUMMYFUNCTION("INDIRECT(""'收支紀錄'!T""&amp;TO_TEXT(ROW()-$C$72))"),"")</f>
        <v/>
      </c>
      <c r="U713" s="62" t="str">
        <f>IFERROR(__xludf.DUMMYFUNCTION("IF(T713=""是"",TEXTJOIN("""", TRUE, ""$"", TO_TEXT(C713), S713),"""")"),"")</f>
        <v/>
      </c>
    </row>
    <row r="714">
      <c r="A714" s="58">
        <f>IFERROR(__xludf.DUMMYFUNCTION("INDIRECT(""'收支紀錄'!A""&amp;TO_TEXT(ROW()-$C$72))"),45721.953146643515)</f>
        <v>45721.95315</v>
      </c>
      <c r="B714" s="59">
        <f>IFERROR(__xludf.DUMMYFUNCTION("IF(ISBLANK(D714), """", IF(ISDATE(D714), D714, IF(D714=""今天"", A714, IF(D714=""昨天 (-1 day)"", A714-1, IF(D714=""前天 (-2 days)"", A714-2, IF(D714=""明天 (+1 day)"", A714+1, DATE(LEFT(D714,4), MID(D714,5,2), RIGHT(D714,2))))))))"),45721.953146643515)</f>
        <v>45721.95315</v>
      </c>
      <c r="C714" s="60">
        <f>IFERROR(__xludf.DUMMYFUNCTION("INDIRECT(""'收支紀錄'!C""&amp;TO_TEXT(ROW()-$C$72))"),433.0)</f>
        <v>433</v>
      </c>
      <c r="D714" s="63" t="str">
        <f>IFERROR(__xludf.DUMMYFUNCTION("INDIRECT(""'收支紀錄'!D""&amp;TO_TEXT(ROW()-$C$72))"),"今天")</f>
        <v>今天</v>
      </c>
      <c r="E714" s="61" t="str">
        <f>IFERROR(__xludf.DUMMYFUNCTION("INDIRECT(""'收支紀錄'!E""&amp;TO_TEXT(ROW()-$C$72))"),"")</f>
        <v/>
      </c>
      <c r="F714" s="61" t="str">
        <f>IFERROR(__xludf.DUMMYFUNCTION("INDIRECT(""'收支紀錄'!F""&amp;TO_TEXT(ROW()-$C$72))"),"")</f>
        <v/>
      </c>
      <c r="G714" s="61" t="str">
        <f>IFERROR(__xludf.DUMMYFUNCTION("INDIRECT(""'收支紀錄'!G""&amp;TO_TEXT(ROW()-$C$72))"),"")</f>
        <v/>
      </c>
      <c r="H714" s="61" t="str">
        <f>IFERROR(__xludf.DUMMYFUNCTION("INDIRECT(""'收支紀錄'!H""&amp;TO_TEXT(ROW()-$C$72))"),"食品酒水")</f>
        <v>食品酒水</v>
      </c>
      <c r="I714" s="61" t="str">
        <f>IFERROR(__xludf.DUMMYFUNCTION("INDIRECT(""'收支紀錄'!I""&amp;TO_TEXT(ROW()-$C$72))"),"下午茶")</f>
        <v>下午茶</v>
      </c>
      <c r="J714" s="61" t="str">
        <f>IFERROR(__xludf.DUMMYFUNCTION("INDIRECT(""'收支紀錄'!J""&amp;TO_TEXT(ROW()-$C$72))"),"")</f>
        <v/>
      </c>
      <c r="K714" s="61" t="str">
        <f>IFERROR(__xludf.DUMMYFUNCTION("INDIRECT(""'收支紀錄'!K""&amp;TO_TEXT(ROW()-$C$72))"),"")</f>
        <v/>
      </c>
      <c r="L714" s="61" t="str">
        <f>IFERROR(__xludf.DUMMYFUNCTION("INDIRECT(""'收支紀錄'!L""&amp;TO_TEXT(ROW()-$C$72))"),"")</f>
        <v/>
      </c>
      <c r="M714" s="61" t="str">
        <f>IFERROR(__xludf.DUMMYFUNCTION("INDIRECT(""'收支紀錄'!M""&amp;TO_TEXT(ROW()-$C$72))"),"")</f>
        <v/>
      </c>
      <c r="N714" s="61" t="str">
        <f>IFERROR(__xludf.DUMMYFUNCTION("INDIRECT(""'收支紀錄'!N""&amp;TO_TEXT(ROW()-$C$72))"),"")</f>
        <v/>
      </c>
      <c r="O714" s="61" t="str">
        <f>IFERROR(__xludf.DUMMYFUNCTION("INDIRECT(""'收支紀錄'!O""&amp;TO_TEXT(ROW()-$C$72))"),"")</f>
        <v/>
      </c>
      <c r="P714" s="61" t="str">
        <f>IFERROR(__xludf.DUMMYFUNCTION("INDIRECT(""'收支紀錄'!P""&amp;TO_TEXT(ROW()-$C$72))"),"")</f>
        <v/>
      </c>
      <c r="Q714" s="61" t="str">
        <f>IFERROR(__xludf.DUMMYFUNCTION("INDIRECT(""'收支紀錄'!Q""&amp;TO_TEXT(ROW()-$C$72))"),"")</f>
        <v/>
      </c>
      <c r="R714" s="61" t="str">
        <f>IFERROR(__xludf.DUMMYFUNCTION("INDIRECT(""'收支紀錄'!R""&amp;TO_TEXT(ROW()-$C$72))"),"")</f>
        <v/>
      </c>
      <c r="S714" s="61" t="str">
        <f>IFERROR(__xludf.DUMMYFUNCTION("INDIRECT(""'收支紀錄'!S""&amp;TO_TEXT(ROW()-$C$72))"),"厚片吐司")</f>
        <v>厚片吐司</v>
      </c>
      <c r="T714" s="61" t="str">
        <f>IFERROR(__xludf.DUMMYFUNCTION("INDIRECT(""'收支紀錄'!T""&amp;TO_TEXT(ROW()-$C$72))"),"")</f>
        <v/>
      </c>
      <c r="U714" s="62" t="str">
        <f>IFERROR(__xludf.DUMMYFUNCTION("IF(T714=""是"",TEXTJOIN("""", TRUE, ""$"", TO_TEXT(C714), S714),"""")"),"")</f>
        <v/>
      </c>
    </row>
    <row r="715">
      <c r="A715" s="58">
        <f>IFERROR(__xludf.DUMMYFUNCTION("INDIRECT(""'收支紀錄'!A""&amp;TO_TEXT(ROW()-$C$72))"),45722.90571190973)</f>
        <v>45722.90571</v>
      </c>
      <c r="B715" s="59">
        <f>IFERROR(__xludf.DUMMYFUNCTION("IF(ISBLANK(D715), """", IF(ISDATE(D715), D715, IF(D715=""今天"", A715, IF(D715=""昨天 (-1 day)"", A715-1, IF(D715=""前天 (-2 days)"", A715-2, IF(D715=""明天 (+1 day)"", A715+1, DATE(LEFT(D715,4), MID(D715,5,2), RIGHT(D715,2))))))))"),45721.90571190973)</f>
        <v>45721.90571</v>
      </c>
      <c r="C715" s="60">
        <f>IFERROR(__xludf.DUMMYFUNCTION("INDIRECT(""'收支紀錄'!C""&amp;TO_TEXT(ROW()-$C$72))"),101078.0)</f>
        <v>101078</v>
      </c>
      <c r="D715" s="63" t="str">
        <f>IFERROR(__xludf.DUMMYFUNCTION("INDIRECT(""'收支紀錄'!D""&amp;TO_TEXT(ROW()-$C$72))"),"昨天 (-1 day)")</f>
        <v>昨天 (-1 day)</v>
      </c>
      <c r="E715" s="61" t="str">
        <f>IFERROR(__xludf.DUMMYFUNCTION("INDIRECT(""'收支紀錄'!E""&amp;TO_TEXT(ROW()-$C$72))"),"工作")</f>
        <v>工作</v>
      </c>
      <c r="F715" s="61" t="str">
        <f>IFERROR(__xludf.DUMMYFUNCTION("INDIRECT(""'收支紀錄'!F""&amp;TO_TEXT(ROW()-$C$72))"),"底薪")</f>
        <v>底薪</v>
      </c>
      <c r="G715" s="61" t="str">
        <f>IFERROR(__xludf.DUMMYFUNCTION("INDIRECT(""'收支紀錄'!G""&amp;TO_TEXT(ROW()-$C$72))"),"")</f>
        <v/>
      </c>
      <c r="H715" s="61" t="str">
        <f>IFERROR(__xludf.DUMMYFUNCTION("INDIRECT(""'收支紀錄'!H""&amp;TO_TEXT(ROW()-$C$72))"),"")</f>
        <v/>
      </c>
      <c r="I715" s="61" t="str">
        <f>IFERROR(__xludf.DUMMYFUNCTION("INDIRECT(""'收支紀錄'!I""&amp;TO_TEXT(ROW()-$C$72))"),"")</f>
        <v/>
      </c>
      <c r="J715" s="61" t="str">
        <f>IFERROR(__xludf.DUMMYFUNCTION("INDIRECT(""'收支紀錄'!J""&amp;TO_TEXT(ROW()-$C$72))"),"")</f>
        <v/>
      </c>
      <c r="K715" s="61" t="str">
        <f>IFERROR(__xludf.DUMMYFUNCTION("INDIRECT(""'收支紀錄'!K""&amp;TO_TEXT(ROW()-$C$72))"),"")</f>
        <v/>
      </c>
      <c r="L715" s="61" t="str">
        <f>IFERROR(__xludf.DUMMYFUNCTION("INDIRECT(""'收支紀錄'!L""&amp;TO_TEXT(ROW()-$C$72))"),"")</f>
        <v/>
      </c>
      <c r="M715" s="61" t="str">
        <f>IFERROR(__xludf.DUMMYFUNCTION("INDIRECT(""'收支紀錄'!M""&amp;TO_TEXT(ROW()-$C$72))"),"")</f>
        <v/>
      </c>
      <c r="N715" s="61" t="str">
        <f>IFERROR(__xludf.DUMMYFUNCTION("INDIRECT(""'收支紀錄'!N""&amp;TO_TEXT(ROW()-$C$72))"),"")</f>
        <v/>
      </c>
      <c r="O715" s="61" t="str">
        <f>IFERROR(__xludf.DUMMYFUNCTION("INDIRECT(""'收支紀錄'!O""&amp;TO_TEXT(ROW()-$C$72))"),"")</f>
        <v/>
      </c>
      <c r="P715" s="61" t="str">
        <f>IFERROR(__xludf.DUMMYFUNCTION("INDIRECT(""'收支紀錄'!P""&amp;TO_TEXT(ROW()-$C$72))"),"")</f>
        <v/>
      </c>
      <c r="Q715" s="61" t="str">
        <f>IFERROR(__xludf.DUMMYFUNCTION("INDIRECT(""'收支紀錄'!Q""&amp;TO_TEXT(ROW()-$C$72))"),"")</f>
        <v/>
      </c>
      <c r="R715" s="61" t="str">
        <f>IFERROR(__xludf.DUMMYFUNCTION("INDIRECT(""'收支紀錄'!R""&amp;TO_TEXT(ROW()-$C$72))"),"")</f>
        <v/>
      </c>
      <c r="S715" s="61" t="str">
        <f>IFERROR(__xludf.DUMMYFUNCTION("INDIRECT(""'收支紀錄'!S""&amp;TO_TEXT(ROW()-$C$72))")," $1822請假扣款")</f>
        <v> $1822請假扣款</v>
      </c>
      <c r="T715" s="61" t="str">
        <f>IFERROR(__xludf.DUMMYFUNCTION("INDIRECT(""'收支紀錄'!T""&amp;TO_TEXT(ROW()-$C$72))"),"是")</f>
        <v>是</v>
      </c>
      <c r="U715" s="62" t="str">
        <f>IFERROR(__xludf.DUMMYFUNCTION("IF(T715=""是"",TEXTJOIN("""", TRUE, ""$"", TO_TEXT(C715), S715),"""")"),"$101078 $1822請假扣款")</f>
        <v>$101078 $1822請假扣款</v>
      </c>
    </row>
    <row r="716">
      <c r="A716" s="58">
        <f>IFERROR(__xludf.DUMMYFUNCTION("INDIRECT(""'收支紀錄'!A""&amp;TO_TEXT(ROW()-$C$72))"),45722.90612275463)</f>
        <v>45722.90612</v>
      </c>
      <c r="B716" s="59">
        <f>IFERROR(__xludf.DUMMYFUNCTION("IF(ISBLANK(D716), """", IF(ISDATE(D716), D716, IF(D716=""今天"", A716, IF(D716=""昨天 (-1 day)"", A716-1, IF(D716=""前天 (-2 days)"", A716-2, IF(D716=""明天 (+1 day)"", A716+1, DATE(LEFT(D716,4), MID(D716,5,2), RIGHT(D716,2))))))))"),45721.90612275463)</f>
        <v>45721.90612</v>
      </c>
      <c r="C716" s="60">
        <f>IFERROR(__xludf.DUMMYFUNCTION("INDIRECT(""'收支紀錄'!C""&amp;TO_TEXT(ROW()-$C$72))"),7443.0)</f>
        <v>7443</v>
      </c>
      <c r="D716" s="63" t="str">
        <f>IFERROR(__xludf.DUMMYFUNCTION("INDIRECT(""'收支紀錄'!D""&amp;TO_TEXT(ROW()-$C$72))"),"昨天 (-1 day)")</f>
        <v>昨天 (-1 day)</v>
      </c>
      <c r="E716" s="61" t="str">
        <f>IFERROR(__xludf.DUMMYFUNCTION("INDIRECT(""'收支紀錄'!E""&amp;TO_TEXT(ROW()-$C$72))"),"工作")</f>
        <v>工作</v>
      </c>
      <c r="F716" s="61" t="str">
        <f>IFERROR(__xludf.DUMMYFUNCTION("INDIRECT(""'收支紀錄'!F""&amp;TO_TEXT(ROW()-$C$72))"),"加班/津貼")</f>
        <v>加班/津貼</v>
      </c>
      <c r="G716" s="61" t="str">
        <f>IFERROR(__xludf.DUMMYFUNCTION("INDIRECT(""'收支紀錄'!G""&amp;TO_TEXT(ROW()-$C$72))"),"")</f>
        <v/>
      </c>
      <c r="H716" s="61" t="str">
        <f>IFERROR(__xludf.DUMMYFUNCTION("INDIRECT(""'收支紀錄'!H""&amp;TO_TEXT(ROW()-$C$72))"),"")</f>
        <v/>
      </c>
      <c r="I716" s="61" t="str">
        <f>IFERROR(__xludf.DUMMYFUNCTION("INDIRECT(""'收支紀錄'!I""&amp;TO_TEXT(ROW()-$C$72))"),"")</f>
        <v/>
      </c>
      <c r="J716" s="61" t="str">
        <f>IFERROR(__xludf.DUMMYFUNCTION("INDIRECT(""'收支紀錄'!J""&amp;TO_TEXT(ROW()-$C$72))"),"")</f>
        <v/>
      </c>
      <c r="K716" s="61" t="str">
        <f>IFERROR(__xludf.DUMMYFUNCTION("INDIRECT(""'收支紀錄'!K""&amp;TO_TEXT(ROW()-$C$72))"),"")</f>
        <v/>
      </c>
      <c r="L716" s="61" t="str">
        <f>IFERROR(__xludf.DUMMYFUNCTION("INDIRECT(""'收支紀錄'!L""&amp;TO_TEXT(ROW()-$C$72))"),"")</f>
        <v/>
      </c>
      <c r="M716" s="61" t="str">
        <f>IFERROR(__xludf.DUMMYFUNCTION("INDIRECT(""'收支紀錄'!M""&amp;TO_TEXT(ROW()-$C$72))"),"")</f>
        <v/>
      </c>
      <c r="N716" s="61" t="str">
        <f>IFERROR(__xludf.DUMMYFUNCTION("INDIRECT(""'收支紀錄'!N""&amp;TO_TEXT(ROW()-$C$72))"),"")</f>
        <v/>
      </c>
      <c r="O716" s="61" t="str">
        <f>IFERROR(__xludf.DUMMYFUNCTION("INDIRECT(""'收支紀錄'!O""&amp;TO_TEXT(ROW()-$C$72))"),"")</f>
        <v/>
      </c>
      <c r="P716" s="61" t="str">
        <f>IFERROR(__xludf.DUMMYFUNCTION("INDIRECT(""'收支紀錄'!P""&amp;TO_TEXT(ROW()-$C$72))"),"")</f>
        <v/>
      </c>
      <c r="Q716" s="61" t="str">
        <f>IFERROR(__xludf.DUMMYFUNCTION("INDIRECT(""'收支紀錄'!Q""&amp;TO_TEXT(ROW()-$C$72))"),"")</f>
        <v/>
      </c>
      <c r="R716" s="61" t="str">
        <f>IFERROR(__xludf.DUMMYFUNCTION("INDIRECT(""'收支紀錄'!R""&amp;TO_TEXT(ROW()-$C$72))"),"")</f>
        <v/>
      </c>
      <c r="S716" s="61" t="str">
        <f>IFERROR(__xludf.DUMMYFUNCTION("INDIRECT(""'收支紀錄'!S""&amp;TO_TEXT(ROW()-$C$72))"),"加班")</f>
        <v>加班</v>
      </c>
      <c r="T716" s="61" t="str">
        <f>IFERROR(__xludf.DUMMYFUNCTION("INDIRECT(""'收支紀錄'!T""&amp;TO_TEXT(ROW()-$C$72))"),"是")</f>
        <v>是</v>
      </c>
      <c r="U716" s="62" t="str">
        <f>IFERROR(__xludf.DUMMYFUNCTION("IF(T716=""是"",TEXTJOIN("""", TRUE, ""$"", TO_TEXT(C716), S716),"""")"),"$7443加班")</f>
        <v>$7443加班</v>
      </c>
    </row>
    <row r="717">
      <c r="A717" s="58">
        <f>IFERROR(__xludf.DUMMYFUNCTION("INDIRECT(""'收支紀錄'!A""&amp;TO_TEXT(ROW()-$C$72))"),45722.906396817125)</f>
        <v>45722.9064</v>
      </c>
      <c r="B717" s="59">
        <f>IFERROR(__xludf.DUMMYFUNCTION("IF(ISBLANK(D717), """", IF(ISDATE(D717), D717, IF(D717=""今天"", A717, IF(D717=""昨天 (-1 day)"", A717-1, IF(D717=""前天 (-2 days)"", A717-2, IF(D717=""明天 (+1 day)"", A717+1, DATE(LEFT(D717,4), MID(D717,5,2), RIGHT(D717,2))))))))"),45721.906396817125)</f>
        <v>45721.9064</v>
      </c>
      <c r="C717" s="60">
        <f>IFERROR(__xludf.DUMMYFUNCTION("INDIRECT(""'收支紀錄'!C""&amp;TO_TEXT(ROW()-$C$72))"),120.0)</f>
        <v>120</v>
      </c>
      <c r="D717" s="63" t="str">
        <f>IFERROR(__xludf.DUMMYFUNCTION("INDIRECT(""'收支紀錄'!D""&amp;TO_TEXT(ROW()-$C$72))"),"昨天 (-1 day)")</f>
        <v>昨天 (-1 day)</v>
      </c>
      <c r="E717" s="61" t="str">
        <f>IFERROR(__xludf.DUMMYFUNCTION("INDIRECT(""'收支紀錄'!E""&amp;TO_TEXT(ROW()-$C$72))"),"工作")</f>
        <v>工作</v>
      </c>
      <c r="F717" s="61" t="str">
        <f>IFERROR(__xludf.DUMMYFUNCTION("INDIRECT(""'收支紀錄'!F""&amp;TO_TEXT(ROW()-$C$72))"),"加班/津貼")</f>
        <v>加班/津貼</v>
      </c>
      <c r="G717" s="61" t="str">
        <f>IFERROR(__xludf.DUMMYFUNCTION("INDIRECT(""'收支紀錄'!G""&amp;TO_TEXT(ROW()-$C$72))"),"")</f>
        <v/>
      </c>
      <c r="H717" s="61" t="str">
        <f>IFERROR(__xludf.DUMMYFUNCTION("INDIRECT(""'收支紀錄'!H""&amp;TO_TEXT(ROW()-$C$72))"),"")</f>
        <v/>
      </c>
      <c r="I717" s="61" t="str">
        <f>IFERROR(__xludf.DUMMYFUNCTION("INDIRECT(""'收支紀錄'!I""&amp;TO_TEXT(ROW()-$C$72))"),"")</f>
        <v/>
      </c>
      <c r="J717" s="61" t="str">
        <f>IFERROR(__xludf.DUMMYFUNCTION("INDIRECT(""'收支紀錄'!J""&amp;TO_TEXT(ROW()-$C$72))"),"")</f>
        <v/>
      </c>
      <c r="K717" s="61" t="str">
        <f>IFERROR(__xludf.DUMMYFUNCTION("INDIRECT(""'收支紀錄'!K""&amp;TO_TEXT(ROW()-$C$72))"),"")</f>
        <v/>
      </c>
      <c r="L717" s="61" t="str">
        <f>IFERROR(__xludf.DUMMYFUNCTION("INDIRECT(""'收支紀錄'!L""&amp;TO_TEXT(ROW()-$C$72))"),"")</f>
        <v/>
      </c>
      <c r="M717" s="61" t="str">
        <f>IFERROR(__xludf.DUMMYFUNCTION("INDIRECT(""'收支紀錄'!M""&amp;TO_TEXT(ROW()-$C$72))"),"")</f>
        <v/>
      </c>
      <c r="N717" s="61" t="str">
        <f>IFERROR(__xludf.DUMMYFUNCTION("INDIRECT(""'收支紀錄'!N""&amp;TO_TEXT(ROW()-$C$72))"),"")</f>
        <v/>
      </c>
      <c r="O717" s="61" t="str">
        <f>IFERROR(__xludf.DUMMYFUNCTION("INDIRECT(""'收支紀錄'!O""&amp;TO_TEXT(ROW()-$C$72))"),"")</f>
        <v/>
      </c>
      <c r="P717" s="61" t="str">
        <f>IFERROR(__xludf.DUMMYFUNCTION("INDIRECT(""'收支紀錄'!P""&amp;TO_TEXT(ROW()-$C$72))"),"")</f>
        <v/>
      </c>
      <c r="Q717" s="61" t="str">
        <f>IFERROR(__xludf.DUMMYFUNCTION("INDIRECT(""'收支紀錄'!Q""&amp;TO_TEXT(ROW()-$C$72))"),"")</f>
        <v/>
      </c>
      <c r="R717" s="61" t="str">
        <f>IFERROR(__xludf.DUMMYFUNCTION("INDIRECT(""'收支紀錄'!R""&amp;TO_TEXT(ROW()-$C$72))"),"")</f>
        <v/>
      </c>
      <c r="S717" s="61" t="str">
        <f>IFERROR(__xludf.DUMMYFUNCTION("INDIRECT(""'收支紀錄'!S""&amp;TO_TEXT(ROW()-$C$72))"),"加班誤餐費")</f>
        <v>加班誤餐費</v>
      </c>
      <c r="T717" s="61" t="str">
        <f>IFERROR(__xludf.DUMMYFUNCTION("INDIRECT(""'收支紀錄'!T""&amp;TO_TEXT(ROW()-$C$72))"),"是")</f>
        <v>是</v>
      </c>
      <c r="U717" s="62" t="str">
        <f>IFERROR(__xludf.DUMMYFUNCTION("IF(T717=""是"",TEXTJOIN("""", TRUE, ""$"", TO_TEXT(C717), S717),"""")"),"$120加班誤餐費")</f>
        <v>$120加班誤餐費</v>
      </c>
    </row>
    <row r="718">
      <c r="A718" s="58">
        <f>IFERROR(__xludf.DUMMYFUNCTION("INDIRECT(""'收支紀錄'!A""&amp;TO_TEXT(ROW()-$C$72))"),45722.906713460645)</f>
        <v>45722.90671</v>
      </c>
      <c r="B718" s="59">
        <f>IFERROR(__xludf.DUMMYFUNCTION("IF(ISBLANK(D718), """", IF(ISDATE(D718), D718, IF(D718=""今天"", A718, IF(D718=""昨天 (-1 day)"", A718-1, IF(D718=""前天 (-2 days)"", A718-2, IF(D718=""明天 (+1 day)"", A718+1, DATE(LEFT(D718,4), MID(D718,5,2), RIGHT(D718,2))))))))"),45721.906713460645)</f>
        <v>45721.90671</v>
      </c>
      <c r="C718" s="60">
        <f>IFERROR(__xludf.DUMMYFUNCTION("INDIRECT(""'收支紀錄'!C""&amp;TO_TEXT(ROW()-$C$72))"),1192.0)</f>
        <v>1192</v>
      </c>
      <c r="D718" s="63" t="str">
        <f>IFERROR(__xludf.DUMMYFUNCTION("INDIRECT(""'收支紀錄'!D""&amp;TO_TEXT(ROW()-$C$72))"),"昨天 (-1 day)")</f>
        <v>昨天 (-1 day)</v>
      </c>
      <c r="E718" s="61" t="str">
        <f>IFERROR(__xludf.DUMMYFUNCTION("INDIRECT(""'收支紀錄'!E""&amp;TO_TEXT(ROW()-$C$72))"),"")</f>
        <v/>
      </c>
      <c r="F718" s="61" t="str">
        <f>IFERROR(__xludf.DUMMYFUNCTION("INDIRECT(""'收支紀錄'!F""&amp;TO_TEXT(ROW()-$C$72))"),"")</f>
        <v/>
      </c>
      <c r="G718" s="61" t="str">
        <f>IFERROR(__xludf.DUMMYFUNCTION("INDIRECT(""'收支紀錄'!G""&amp;TO_TEXT(ROW()-$C$72))"),"")</f>
        <v/>
      </c>
      <c r="H718" s="61" t="str">
        <f>IFERROR(__xludf.DUMMYFUNCTION("INDIRECT(""'收支紀錄'!H""&amp;TO_TEXT(ROW()-$C$72))"),"食品酒水")</f>
        <v>食品酒水</v>
      </c>
      <c r="I718" s="61" t="str">
        <f>IFERROR(__xludf.DUMMYFUNCTION("INDIRECT(""'收支紀錄'!I""&amp;TO_TEXT(ROW()-$C$72))"),"前月公司餐費扣款")</f>
        <v>前月公司餐費扣款</v>
      </c>
      <c r="J718" s="61" t="str">
        <f>IFERROR(__xludf.DUMMYFUNCTION("INDIRECT(""'收支紀錄'!J""&amp;TO_TEXT(ROW()-$C$72))"),"")</f>
        <v/>
      </c>
      <c r="K718" s="61" t="str">
        <f>IFERROR(__xludf.DUMMYFUNCTION("INDIRECT(""'收支紀錄'!K""&amp;TO_TEXT(ROW()-$C$72))"),"")</f>
        <v/>
      </c>
      <c r="L718" s="61" t="str">
        <f>IFERROR(__xludf.DUMMYFUNCTION("INDIRECT(""'收支紀錄'!L""&amp;TO_TEXT(ROW()-$C$72))"),"")</f>
        <v/>
      </c>
      <c r="M718" s="61" t="str">
        <f>IFERROR(__xludf.DUMMYFUNCTION("INDIRECT(""'收支紀錄'!M""&amp;TO_TEXT(ROW()-$C$72))"),"")</f>
        <v/>
      </c>
      <c r="N718" s="61" t="str">
        <f>IFERROR(__xludf.DUMMYFUNCTION("INDIRECT(""'收支紀錄'!N""&amp;TO_TEXT(ROW()-$C$72))"),"")</f>
        <v/>
      </c>
      <c r="O718" s="61" t="str">
        <f>IFERROR(__xludf.DUMMYFUNCTION("INDIRECT(""'收支紀錄'!O""&amp;TO_TEXT(ROW()-$C$72))"),"")</f>
        <v/>
      </c>
      <c r="P718" s="61" t="str">
        <f>IFERROR(__xludf.DUMMYFUNCTION("INDIRECT(""'收支紀錄'!P""&amp;TO_TEXT(ROW()-$C$72))"),"")</f>
        <v/>
      </c>
      <c r="Q718" s="61" t="str">
        <f>IFERROR(__xludf.DUMMYFUNCTION("INDIRECT(""'收支紀錄'!Q""&amp;TO_TEXT(ROW()-$C$72))"),"")</f>
        <v/>
      </c>
      <c r="R718" s="61" t="str">
        <f>IFERROR(__xludf.DUMMYFUNCTION("INDIRECT(""'收支紀錄'!R""&amp;TO_TEXT(ROW()-$C$72))"),"")</f>
        <v/>
      </c>
      <c r="S718" s="61" t="str">
        <f>IFERROR(__xludf.DUMMYFUNCTION("INDIRECT(""'收支紀錄'!S""&amp;TO_TEXT(ROW()-$C$72))"),"")</f>
        <v/>
      </c>
      <c r="T718" s="61" t="str">
        <f>IFERROR(__xludf.DUMMYFUNCTION("INDIRECT(""'收支紀錄'!T""&amp;TO_TEXT(ROW()-$C$72))"),"")</f>
        <v/>
      </c>
      <c r="U718" s="62" t="str">
        <f>IFERROR(__xludf.DUMMYFUNCTION("IF(T718=""是"",TEXTJOIN("""", TRUE, ""$"", TO_TEXT(C718), S718),"""")"),"")</f>
        <v/>
      </c>
    </row>
    <row r="719">
      <c r="A719" s="58">
        <f>IFERROR(__xludf.DUMMYFUNCTION("INDIRECT(""'收支紀錄'!A""&amp;TO_TEXT(ROW()-$C$72))"),45722.90734262731)</f>
        <v>45722.90734</v>
      </c>
      <c r="B719" s="59">
        <f>IFERROR(__xludf.DUMMYFUNCTION("IF(ISBLANK(D719), """", IF(ISDATE(D719), D719, IF(D719=""今天"", A719, IF(D719=""昨天 (-1 day)"", A719-1, IF(D719=""前天 (-2 days)"", A719-2, IF(D719=""明天 (+1 day)"", A719+1, DATE(LEFT(D719,4), MID(D719,5,2), RIGHT(D719,2))))))))"),45721.90734262731)</f>
        <v>45721.90734</v>
      </c>
      <c r="C719" s="60">
        <f>IFERROR(__xludf.DUMMYFUNCTION("INDIRECT(""'收支紀錄'!C""&amp;TO_TEXT(ROW()-$C$72))"),2816.0)</f>
        <v>2816</v>
      </c>
      <c r="D719" s="63" t="str">
        <f>IFERROR(__xludf.DUMMYFUNCTION("INDIRECT(""'收支紀錄'!D""&amp;TO_TEXT(ROW()-$C$72))"),"昨天 (-1 day)")</f>
        <v>昨天 (-1 day)</v>
      </c>
      <c r="E719" s="61" t="str">
        <f>IFERROR(__xludf.DUMMYFUNCTION("INDIRECT(""'收支紀錄'!E""&amp;TO_TEXT(ROW()-$C$72))"),"")</f>
        <v/>
      </c>
      <c r="F719" s="61" t="str">
        <f>IFERROR(__xludf.DUMMYFUNCTION("INDIRECT(""'收支紀錄'!F""&amp;TO_TEXT(ROW()-$C$72))"),"")</f>
        <v/>
      </c>
      <c r="G719" s="61" t="str">
        <f>IFERROR(__xludf.DUMMYFUNCTION("INDIRECT(""'收支紀錄'!G""&amp;TO_TEXT(ROW()-$C$72))"),"")</f>
        <v/>
      </c>
      <c r="H719" s="61" t="str">
        <f>IFERROR(__xludf.DUMMYFUNCTION("INDIRECT(""'收支紀錄'!H""&amp;TO_TEXT(ROW()-$C$72))"),"稅金保險")</f>
        <v>稅金保險</v>
      </c>
      <c r="I719" s="61" t="str">
        <f>IFERROR(__xludf.DUMMYFUNCTION("INDIRECT(""'收支紀錄'!I""&amp;TO_TEXT(ROW()-$C$72))"),"")</f>
        <v/>
      </c>
      <c r="J719" s="61" t="str">
        <f>IFERROR(__xludf.DUMMYFUNCTION("INDIRECT(""'收支紀錄'!J""&amp;TO_TEXT(ROW()-$C$72))"),"")</f>
        <v/>
      </c>
      <c r="K719" s="61" t="str">
        <f>IFERROR(__xludf.DUMMYFUNCTION("INDIRECT(""'收支紀錄'!K""&amp;TO_TEXT(ROW()-$C$72))"),"")</f>
        <v/>
      </c>
      <c r="L719" s="61" t="str">
        <f>IFERROR(__xludf.DUMMYFUNCTION("INDIRECT(""'收支紀錄'!L""&amp;TO_TEXT(ROW()-$C$72))"),"")</f>
        <v/>
      </c>
      <c r="M719" s="61" t="str">
        <f>IFERROR(__xludf.DUMMYFUNCTION("INDIRECT(""'收支紀錄'!M""&amp;TO_TEXT(ROW()-$C$72))"),"")</f>
        <v/>
      </c>
      <c r="N719" s="61" t="str">
        <f>IFERROR(__xludf.DUMMYFUNCTION("INDIRECT(""'收支紀錄'!N""&amp;TO_TEXT(ROW()-$C$72))"),"勞健保")</f>
        <v>勞健保</v>
      </c>
      <c r="O719" s="61" t="str">
        <f>IFERROR(__xludf.DUMMYFUNCTION("INDIRECT(""'收支紀錄'!O""&amp;TO_TEXT(ROW()-$C$72))"),"")</f>
        <v/>
      </c>
      <c r="P719" s="61" t="str">
        <f>IFERROR(__xludf.DUMMYFUNCTION("INDIRECT(""'收支紀錄'!P""&amp;TO_TEXT(ROW()-$C$72))"),"")</f>
        <v/>
      </c>
      <c r="Q719" s="61" t="str">
        <f>IFERROR(__xludf.DUMMYFUNCTION("INDIRECT(""'收支紀錄'!Q""&amp;TO_TEXT(ROW()-$C$72))"),"")</f>
        <v/>
      </c>
      <c r="R719" s="61" t="str">
        <f>IFERROR(__xludf.DUMMYFUNCTION("INDIRECT(""'收支紀錄'!R""&amp;TO_TEXT(ROW()-$C$72))"),"")</f>
        <v/>
      </c>
      <c r="S719" s="61" t="str">
        <f>IFERROR(__xludf.DUMMYFUNCTION("INDIRECT(""'收支紀錄'!S""&amp;TO_TEXT(ROW()-$C$72))"),"")</f>
        <v/>
      </c>
      <c r="T719" s="61" t="str">
        <f>IFERROR(__xludf.DUMMYFUNCTION("INDIRECT(""'收支紀錄'!T""&amp;TO_TEXT(ROW()-$C$72))"),"")</f>
        <v/>
      </c>
      <c r="U719" s="62" t="str">
        <f>IFERROR(__xludf.DUMMYFUNCTION("IF(T719=""是"",TEXTJOIN("""", TRUE, ""$"", TO_TEXT(C719), S719),"""")"),"")</f>
        <v/>
      </c>
    </row>
    <row r="720">
      <c r="A720" s="58">
        <f>IFERROR(__xludf.DUMMYFUNCTION("INDIRECT(""'收支紀錄'!A""&amp;TO_TEXT(ROW()-$C$72))"),45722.90753829861)</f>
        <v>45722.90754</v>
      </c>
      <c r="B720" s="59">
        <f>IFERROR(__xludf.DUMMYFUNCTION("IF(ISBLANK(D720), """", IF(ISDATE(D720), D720, IF(D720=""今天"", A720, IF(D720=""昨天 (-1 day)"", A720-1, IF(D720=""前天 (-2 days)"", A720-2, IF(D720=""明天 (+1 day)"", A720+1, DATE(LEFT(D720,4), MID(D720,5,2), RIGHT(D720,2))))))))"),45721.90753829861)</f>
        <v>45721.90754</v>
      </c>
      <c r="C720" s="60">
        <f>IFERROR(__xludf.DUMMYFUNCTION("INDIRECT(""'收支紀錄'!C""&amp;TO_TEXT(ROW()-$C$72))"),515.0)</f>
        <v>515</v>
      </c>
      <c r="D720" s="63" t="str">
        <f>IFERROR(__xludf.DUMMYFUNCTION("INDIRECT(""'收支紀錄'!D""&amp;TO_TEXT(ROW()-$C$72))"),"昨天 (-1 day)")</f>
        <v>昨天 (-1 day)</v>
      </c>
      <c r="E720" s="61" t="str">
        <f>IFERROR(__xludf.DUMMYFUNCTION("INDIRECT(""'收支紀錄'!E""&amp;TO_TEXT(ROW()-$C$72))"),"")</f>
        <v/>
      </c>
      <c r="F720" s="61" t="str">
        <f>IFERROR(__xludf.DUMMYFUNCTION("INDIRECT(""'收支紀錄'!F""&amp;TO_TEXT(ROW()-$C$72))"),"")</f>
        <v/>
      </c>
      <c r="G720" s="61" t="str">
        <f>IFERROR(__xludf.DUMMYFUNCTION("INDIRECT(""'收支紀錄'!G""&amp;TO_TEXT(ROW()-$C$72))"),"")</f>
        <v/>
      </c>
      <c r="H720" s="61" t="str">
        <f>IFERROR(__xludf.DUMMYFUNCTION("INDIRECT(""'收支紀錄'!H""&amp;TO_TEXT(ROW()-$C$72))"),"休閒娛樂")</f>
        <v>休閒娛樂</v>
      </c>
      <c r="I720" s="61" t="str">
        <f>IFERROR(__xludf.DUMMYFUNCTION("INDIRECT(""'收支紀錄'!I""&amp;TO_TEXT(ROW()-$C$72))"),"")</f>
        <v/>
      </c>
      <c r="J720" s="61" t="str">
        <f>IFERROR(__xludf.DUMMYFUNCTION("INDIRECT(""'收支紀錄'!J""&amp;TO_TEXT(ROW()-$C$72))"),"")</f>
        <v/>
      </c>
      <c r="K720" s="61" t="str">
        <f>IFERROR(__xludf.DUMMYFUNCTION("INDIRECT(""'收支紀錄'!K""&amp;TO_TEXT(ROW()-$C$72))"),"")</f>
        <v/>
      </c>
      <c r="L720" s="61" t="str">
        <f>IFERROR(__xludf.DUMMYFUNCTION("INDIRECT(""'收支紀錄'!L""&amp;TO_TEXT(ROW()-$C$72))"),"")</f>
        <v/>
      </c>
      <c r="M720" s="61" t="str">
        <f>IFERROR(__xludf.DUMMYFUNCTION("INDIRECT(""'收支紀錄'!M""&amp;TO_TEXT(ROW()-$C$72))"),"公司福利金")</f>
        <v>公司福利金</v>
      </c>
      <c r="N720" s="61" t="str">
        <f>IFERROR(__xludf.DUMMYFUNCTION("INDIRECT(""'收支紀錄'!N""&amp;TO_TEXT(ROW()-$C$72))"),"")</f>
        <v/>
      </c>
      <c r="O720" s="61" t="str">
        <f>IFERROR(__xludf.DUMMYFUNCTION("INDIRECT(""'收支紀錄'!O""&amp;TO_TEXT(ROW()-$C$72))"),"")</f>
        <v/>
      </c>
      <c r="P720" s="61" t="str">
        <f>IFERROR(__xludf.DUMMYFUNCTION("INDIRECT(""'收支紀錄'!P""&amp;TO_TEXT(ROW()-$C$72))"),"")</f>
        <v/>
      </c>
      <c r="Q720" s="61" t="str">
        <f>IFERROR(__xludf.DUMMYFUNCTION("INDIRECT(""'收支紀錄'!Q""&amp;TO_TEXT(ROW()-$C$72))"),"")</f>
        <v/>
      </c>
      <c r="R720" s="61" t="str">
        <f>IFERROR(__xludf.DUMMYFUNCTION("INDIRECT(""'收支紀錄'!R""&amp;TO_TEXT(ROW()-$C$72))"),"")</f>
        <v/>
      </c>
      <c r="S720" s="61" t="str">
        <f>IFERROR(__xludf.DUMMYFUNCTION("INDIRECT(""'收支紀錄'!S""&amp;TO_TEXT(ROW()-$C$72))"),"")</f>
        <v/>
      </c>
      <c r="T720" s="61" t="str">
        <f>IFERROR(__xludf.DUMMYFUNCTION("INDIRECT(""'收支紀錄'!T""&amp;TO_TEXT(ROW()-$C$72))"),"")</f>
        <v/>
      </c>
      <c r="U720" s="62" t="str">
        <f>IFERROR(__xludf.DUMMYFUNCTION("IF(T720=""是"",TEXTJOIN("""", TRUE, ""$"", TO_TEXT(C720), S720),"""")"),"")</f>
        <v/>
      </c>
    </row>
    <row r="721">
      <c r="A721" s="58">
        <f>IFERROR(__xludf.DUMMYFUNCTION("INDIRECT(""'收支紀錄'!A""&amp;TO_TEXT(ROW()-$C$72))"),45722.90779545139)</f>
        <v>45722.9078</v>
      </c>
      <c r="B721" s="59">
        <f>IFERROR(__xludf.DUMMYFUNCTION("IF(ISBLANK(D721), """", IF(ISDATE(D721), D721, IF(D721=""今天"", A721, IF(D721=""昨天 (-1 day)"", A721-1, IF(D721=""前天 (-2 days)"", A721-2, IF(D721=""明天 (+1 day)"", A721+1, DATE(LEFT(D721,4), MID(D721,5,2), RIGHT(D721,2))))))))"),45721.90779545139)</f>
        <v>45721.9078</v>
      </c>
      <c r="C721" s="60">
        <f>IFERROR(__xludf.DUMMYFUNCTION("INDIRECT(""'收支紀錄'!C""&amp;TO_TEXT(ROW()-$C$72))"),3080.0)</f>
        <v>3080</v>
      </c>
      <c r="D721" s="63" t="str">
        <f>IFERROR(__xludf.DUMMYFUNCTION("INDIRECT(""'收支紀錄'!D""&amp;TO_TEXT(ROW()-$C$72))"),"昨天 (-1 day)")</f>
        <v>昨天 (-1 day)</v>
      </c>
      <c r="E721" s="61" t="str">
        <f>IFERROR(__xludf.DUMMYFUNCTION("INDIRECT(""'收支紀錄'!E""&amp;TO_TEXT(ROW()-$C$72))"),"")</f>
        <v/>
      </c>
      <c r="F721" s="61" t="str">
        <f>IFERROR(__xludf.DUMMYFUNCTION("INDIRECT(""'收支紀錄'!F""&amp;TO_TEXT(ROW()-$C$72))"),"")</f>
        <v/>
      </c>
      <c r="G721" s="61" t="str">
        <f>IFERROR(__xludf.DUMMYFUNCTION("INDIRECT(""'收支紀錄'!G""&amp;TO_TEXT(ROW()-$C$72))"),"")</f>
        <v/>
      </c>
      <c r="H721" s="61" t="str">
        <f>IFERROR(__xludf.DUMMYFUNCTION("INDIRECT(""'收支紀錄'!H""&amp;TO_TEXT(ROW()-$C$72))"),"稅金保險")</f>
        <v>稅金保險</v>
      </c>
      <c r="I721" s="61" t="str">
        <f>IFERROR(__xludf.DUMMYFUNCTION("INDIRECT(""'收支紀錄'!I""&amp;TO_TEXT(ROW()-$C$72))"),"")</f>
        <v/>
      </c>
      <c r="J721" s="61" t="str">
        <f>IFERROR(__xludf.DUMMYFUNCTION("INDIRECT(""'收支紀錄'!J""&amp;TO_TEXT(ROW()-$C$72))"),"")</f>
        <v/>
      </c>
      <c r="K721" s="61" t="str">
        <f>IFERROR(__xludf.DUMMYFUNCTION("INDIRECT(""'收支紀錄'!K""&amp;TO_TEXT(ROW()-$C$72))"),"")</f>
        <v/>
      </c>
      <c r="L721" s="61" t="str">
        <f>IFERROR(__xludf.DUMMYFUNCTION("INDIRECT(""'收支紀錄'!L""&amp;TO_TEXT(ROW()-$C$72))"),"")</f>
        <v/>
      </c>
      <c r="M721" s="61" t="str">
        <f>IFERROR(__xludf.DUMMYFUNCTION("INDIRECT(""'收支紀錄'!M""&amp;TO_TEXT(ROW()-$C$72))"),"")</f>
        <v/>
      </c>
      <c r="N721" s="61" t="str">
        <f>IFERROR(__xludf.DUMMYFUNCTION("INDIRECT(""'收支紀錄'!N""&amp;TO_TEXT(ROW()-$C$72))"),"稅金")</f>
        <v>稅金</v>
      </c>
      <c r="O721" s="61" t="str">
        <f>IFERROR(__xludf.DUMMYFUNCTION("INDIRECT(""'收支紀錄'!O""&amp;TO_TEXT(ROW()-$C$72))"),"")</f>
        <v/>
      </c>
      <c r="P721" s="61" t="str">
        <f>IFERROR(__xludf.DUMMYFUNCTION("INDIRECT(""'收支紀錄'!P""&amp;TO_TEXT(ROW()-$C$72))"),"")</f>
        <v/>
      </c>
      <c r="Q721" s="61" t="str">
        <f>IFERROR(__xludf.DUMMYFUNCTION("INDIRECT(""'收支紀錄'!Q""&amp;TO_TEXT(ROW()-$C$72))"),"")</f>
        <v/>
      </c>
      <c r="R721" s="61" t="str">
        <f>IFERROR(__xludf.DUMMYFUNCTION("INDIRECT(""'收支紀錄'!R""&amp;TO_TEXT(ROW()-$C$72))"),"")</f>
        <v/>
      </c>
      <c r="S721" s="61" t="str">
        <f>IFERROR(__xludf.DUMMYFUNCTION("INDIRECT(""'收支紀錄'!S""&amp;TO_TEXT(ROW()-$C$72))"),"")</f>
        <v/>
      </c>
      <c r="T721" s="61" t="str">
        <f>IFERROR(__xludf.DUMMYFUNCTION("INDIRECT(""'收支紀錄'!T""&amp;TO_TEXT(ROW()-$C$72))"),"")</f>
        <v/>
      </c>
      <c r="U721" s="62" t="str">
        <f>IFERROR(__xludf.DUMMYFUNCTION("IF(T721=""是"",TEXTJOIN("""", TRUE, ""$"", TO_TEXT(C721), S721),"""")"),"")</f>
        <v/>
      </c>
    </row>
    <row r="722">
      <c r="A722" s="58">
        <f>IFERROR(__xludf.DUMMYFUNCTION("INDIRECT(""'收支紀錄'!A""&amp;TO_TEXT(ROW()-$C$72))"),45722.97587039352)</f>
        <v>45722.97587</v>
      </c>
      <c r="B722" s="59">
        <f>IFERROR(__xludf.DUMMYFUNCTION("IF(ISBLANK(D722), """", IF(ISDATE(D722), D722, IF(D722=""今天"", A722, IF(D722=""昨天 (-1 day)"", A722-1, IF(D722=""前天 (-2 days)"", A722-2, IF(D722=""明天 (+1 day)"", A722+1, DATE(LEFT(D722,4), MID(D722,5,2), RIGHT(D722,2))))))))"),45670.0)</f>
        <v>45670</v>
      </c>
      <c r="C722" s="60">
        <f>IFERROR(__xludf.DUMMYFUNCTION("INDIRECT(""'收支紀錄'!C""&amp;TO_TEXT(ROW()-$C$72))"),6890.0)</f>
        <v>6890</v>
      </c>
      <c r="D722" s="63">
        <f>IFERROR(__xludf.DUMMYFUNCTION("INDIRECT(""'收支紀錄'!D""&amp;TO_TEXT(ROW()-$C$72))"),2.0250113E7)</f>
        <v>20250113</v>
      </c>
      <c r="E722" s="61" t="str">
        <f>IFERROR(__xludf.DUMMYFUNCTION("INDIRECT(""'收支紀錄'!E""&amp;TO_TEXT(ROW()-$C$72))"),"其他業外")</f>
        <v>其他業外</v>
      </c>
      <c r="F722" s="61" t="str">
        <f>IFERROR(__xludf.DUMMYFUNCTION("INDIRECT(""'收支紀錄'!F""&amp;TO_TEXT(ROW()-$C$72))"),"")</f>
        <v/>
      </c>
      <c r="G722" s="61" t="str">
        <f>IFERROR(__xludf.DUMMYFUNCTION("INDIRECT(""'收支紀錄'!G""&amp;TO_TEXT(ROW()-$C$72))"),"股票配息")</f>
        <v>股票配息</v>
      </c>
      <c r="H722" s="61" t="str">
        <f>IFERROR(__xludf.DUMMYFUNCTION("INDIRECT(""'收支紀錄'!H""&amp;TO_TEXT(ROW()-$C$72))"),"")</f>
        <v/>
      </c>
      <c r="I722" s="61" t="str">
        <f>IFERROR(__xludf.DUMMYFUNCTION("INDIRECT(""'收支紀錄'!I""&amp;TO_TEXT(ROW()-$C$72))"),"")</f>
        <v/>
      </c>
      <c r="J722" s="61" t="str">
        <f>IFERROR(__xludf.DUMMYFUNCTION("INDIRECT(""'收支紀錄'!J""&amp;TO_TEXT(ROW()-$C$72))"),"")</f>
        <v/>
      </c>
      <c r="K722" s="61" t="str">
        <f>IFERROR(__xludf.DUMMYFUNCTION("INDIRECT(""'收支紀錄'!K""&amp;TO_TEXT(ROW()-$C$72))"),"")</f>
        <v/>
      </c>
      <c r="L722" s="61" t="str">
        <f>IFERROR(__xludf.DUMMYFUNCTION("INDIRECT(""'收支紀錄'!L""&amp;TO_TEXT(ROW()-$C$72))"),"")</f>
        <v/>
      </c>
      <c r="M722" s="61" t="str">
        <f>IFERROR(__xludf.DUMMYFUNCTION("INDIRECT(""'收支紀錄'!M""&amp;TO_TEXT(ROW()-$C$72))"),"")</f>
        <v/>
      </c>
      <c r="N722" s="61" t="str">
        <f>IFERROR(__xludf.DUMMYFUNCTION("INDIRECT(""'收支紀錄'!N""&amp;TO_TEXT(ROW()-$C$72))"),"")</f>
        <v/>
      </c>
      <c r="O722" s="61" t="str">
        <f>IFERROR(__xludf.DUMMYFUNCTION("INDIRECT(""'收支紀錄'!O""&amp;TO_TEXT(ROW()-$C$72))"),"")</f>
        <v/>
      </c>
      <c r="P722" s="61" t="str">
        <f>IFERROR(__xludf.DUMMYFUNCTION("INDIRECT(""'收支紀錄'!P""&amp;TO_TEXT(ROW()-$C$72))"),"")</f>
        <v/>
      </c>
      <c r="Q722" s="61" t="str">
        <f>IFERROR(__xludf.DUMMYFUNCTION("INDIRECT(""'收支紀錄'!Q""&amp;TO_TEXT(ROW()-$C$72))"),"")</f>
        <v/>
      </c>
      <c r="R722" s="61" t="str">
        <f>IFERROR(__xludf.DUMMYFUNCTION("INDIRECT(""'收支紀錄'!R""&amp;TO_TEXT(ROW()-$C$72))"),"")</f>
        <v/>
      </c>
      <c r="S722" s="61" t="str">
        <f>IFERROR(__xludf.DUMMYFUNCTION("INDIRECT(""'收支紀錄'!S""&amp;TO_TEXT(ROW()-$C$72))"),"元大A級")</f>
        <v>元大A級</v>
      </c>
      <c r="T722" s="61" t="str">
        <f>IFERROR(__xludf.DUMMYFUNCTION("INDIRECT(""'收支紀錄'!T""&amp;TO_TEXT(ROW()-$C$72))"),"是")</f>
        <v>是</v>
      </c>
      <c r="U722" s="62" t="str">
        <f>IFERROR(__xludf.DUMMYFUNCTION("IF(T722=""是"",TEXTJOIN("""", TRUE, ""$"", TO_TEXT(C722), S722),"""")"),"$6890元大A級")</f>
        <v>$6890元大A級</v>
      </c>
    </row>
    <row r="723">
      <c r="A723" s="58">
        <f>IFERROR(__xludf.DUMMYFUNCTION("INDIRECT(""'收支紀錄'!A""&amp;TO_TEXT(ROW()-$C$72))"),45722.976904317125)</f>
        <v>45722.9769</v>
      </c>
      <c r="B723" s="59">
        <f>IFERROR(__xludf.DUMMYFUNCTION("IF(ISBLANK(D723), """", IF(ISDATE(D723), D723, IF(D723=""今天"", A723, IF(D723=""昨天 (-1 day)"", A723-1, IF(D723=""前天 (-2 days)"", A723-2, IF(D723=""明天 (+1 day)"", A723+1, DATE(LEFT(D723,4), MID(D723,5,2), RIGHT(D723,2))))))))"),45670.0)</f>
        <v>45670</v>
      </c>
      <c r="C723" s="60">
        <f>IFERROR(__xludf.DUMMYFUNCTION("INDIRECT(""'收支紀錄'!C""&amp;TO_TEXT(ROW()-$C$72))"),1820.0)</f>
        <v>1820</v>
      </c>
      <c r="D723" s="63">
        <f>IFERROR(__xludf.DUMMYFUNCTION("INDIRECT(""'收支紀錄'!D""&amp;TO_TEXT(ROW()-$C$72))"),2.0250113E7)</f>
        <v>20250113</v>
      </c>
      <c r="E723" s="61" t="str">
        <f>IFERROR(__xludf.DUMMYFUNCTION("INDIRECT(""'收支紀錄'!E""&amp;TO_TEXT(ROW()-$C$72))"),"其他業外")</f>
        <v>其他業外</v>
      </c>
      <c r="F723" s="61" t="str">
        <f>IFERROR(__xludf.DUMMYFUNCTION("INDIRECT(""'收支紀錄'!F""&amp;TO_TEXT(ROW()-$C$72))"),"")</f>
        <v/>
      </c>
      <c r="G723" s="61" t="str">
        <f>IFERROR(__xludf.DUMMYFUNCTION("INDIRECT(""'收支紀錄'!G""&amp;TO_TEXT(ROW()-$C$72))"),"股票配息")</f>
        <v>股票配息</v>
      </c>
      <c r="H723" s="61" t="str">
        <f>IFERROR(__xludf.DUMMYFUNCTION("INDIRECT(""'收支紀錄'!H""&amp;TO_TEXT(ROW()-$C$72))"),"")</f>
        <v/>
      </c>
      <c r="I723" s="61" t="str">
        <f>IFERROR(__xludf.DUMMYFUNCTION("INDIRECT(""'收支紀錄'!I""&amp;TO_TEXT(ROW()-$C$72))"),"")</f>
        <v/>
      </c>
      <c r="J723" s="61" t="str">
        <f>IFERROR(__xludf.DUMMYFUNCTION("INDIRECT(""'收支紀錄'!J""&amp;TO_TEXT(ROW()-$C$72))"),"")</f>
        <v/>
      </c>
      <c r="K723" s="61" t="str">
        <f>IFERROR(__xludf.DUMMYFUNCTION("INDIRECT(""'收支紀錄'!K""&amp;TO_TEXT(ROW()-$C$72))"),"")</f>
        <v/>
      </c>
      <c r="L723" s="61" t="str">
        <f>IFERROR(__xludf.DUMMYFUNCTION("INDIRECT(""'收支紀錄'!L""&amp;TO_TEXT(ROW()-$C$72))"),"")</f>
        <v/>
      </c>
      <c r="M723" s="61" t="str">
        <f>IFERROR(__xludf.DUMMYFUNCTION("INDIRECT(""'收支紀錄'!M""&amp;TO_TEXT(ROW()-$C$72))"),"")</f>
        <v/>
      </c>
      <c r="N723" s="61" t="str">
        <f>IFERROR(__xludf.DUMMYFUNCTION("INDIRECT(""'收支紀錄'!N""&amp;TO_TEXT(ROW()-$C$72))"),"")</f>
        <v/>
      </c>
      <c r="O723" s="61" t="str">
        <f>IFERROR(__xludf.DUMMYFUNCTION("INDIRECT(""'收支紀錄'!O""&amp;TO_TEXT(ROW()-$C$72))"),"")</f>
        <v/>
      </c>
      <c r="P723" s="61" t="str">
        <f>IFERROR(__xludf.DUMMYFUNCTION("INDIRECT(""'收支紀錄'!P""&amp;TO_TEXT(ROW()-$C$72))"),"")</f>
        <v/>
      </c>
      <c r="Q723" s="61" t="str">
        <f>IFERROR(__xludf.DUMMYFUNCTION("INDIRECT(""'收支紀錄'!Q""&amp;TO_TEXT(ROW()-$C$72))"),"")</f>
        <v/>
      </c>
      <c r="R723" s="61" t="str">
        <f>IFERROR(__xludf.DUMMYFUNCTION("INDIRECT(""'收支紀錄'!R""&amp;TO_TEXT(ROW()-$C$72))"),"")</f>
        <v/>
      </c>
      <c r="S723" s="61" t="str">
        <f>IFERROR(__xludf.DUMMYFUNCTION("INDIRECT(""'收支紀錄'!S""&amp;TO_TEXT(ROW()-$C$72))"),"中信優息")</f>
        <v>中信優息</v>
      </c>
      <c r="T723" s="61" t="str">
        <f>IFERROR(__xludf.DUMMYFUNCTION("INDIRECT(""'收支紀錄'!T""&amp;TO_TEXT(ROW()-$C$72))"),"是")</f>
        <v>是</v>
      </c>
      <c r="U723" s="62" t="str">
        <f>IFERROR(__xludf.DUMMYFUNCTION("IF(T723=""是"",TEXTJOIN("""", TRUE, ""$"", TO_TEXT(C723), S723),"""")"),"$1820中信優息")</f>
        <v>$1820中信優息</v>
      </c>
    </row>
    <row r="724">
      <c r="A724" s="58">
        <f>IFERROR(__xludf.DUMMYFUNCTION("INDIRECT(""'收支紀錄'!A""&amp;TO_TEXT(ROW()-$C$72))"),45722.97766391204)</f>
        <v>45722.97766</v>
      </c>
      <c r="B724" s="59">
        <f>IFERROR(__xludf.DUMMYFUNCTION("IF(ISBLANK(D724), """", IF(ISDATE(D724), D724, IF(D724=""今天"", A724, IF(D724=""昨天 (-1 day)"", A724-1, IF(D724=""前天 (-2 days)"", A724-2, IF(D724=""明天 (+1 day)"", A724+1, DATE(LEFT(D724,4), MID(D724,5,2), RIGHT(D724,2))))))))"),45708.0)</f>
        <v>45708</v>
      </c>
      <c r="C724" s="60">
        <f>IFERROR(__xludf.DUMMYFUNCTION("INDIRECT(""'收支紀錄'!C""&amp;TO_TEXT(ROW()-$C$72))"),1680.0)</f>
        <v>1680</v>
      </c>
      <c r="D724" s="63">
        <f>IFERROR(__xludf.DUMMYFUNCTION("INDIRECT(""'收支紀錄'!D""&amp;TO_TEXT(ROW()-$C$72))"),2.025022E7)</f>
        <v>20250220</v>
      </c>
      <c r="E724" s="61" t="str">
        <f>IFERROR(__xludf.DUMMYFUNCTION("INDIRECT(""'收支紀錄'!E""&amp;TO_TEXT(ROW()-$C$72))"),"其他業外")</f>
        <v>其他業外</v>
      </c>
      <c r="F724" s="61" t="str">
        <f>IFERROR(__xludf.DUMMYFUNCTION("INDIRECT(""'收支紀錄'!F""&amp;TO_TEXT(ROW()-$C$72))"),"")</f>
        <v/>
      </c>
      <c r="G724" s="61" t="str">
        <f>IFERROR(__xludf.DUMMYFUNCTION("INDIRECT(""'收支紀錄'!G""&amp;TO_TEXT(ROW()-$C$72))"),"股票配息")</f>
        <v>股票配息</v>
      </c>
      <c r="H724" s="61" t="str">
        <f>IFERROR(__xludf.DUMMYFUNCTION("INDIRECT(""'收支紀錄'!H""&amp;TO_TEXT(ROW()-$C$72))"),"")</f>
        <v/>
      </c>
      <c r="I724" s="61" t="str">
        <f>IFERROR(__xludf.DUMMYFUNCTION("INDIRECT(""'收支紀錄'!I""&amp;TO_TEXT(ROW()-$C$72))"),"")</f>
        <v/>
      </c>
      <c r="J724" s="61" t="str">
        <f>IFERROR(__xludf.DUMMYFUNCTION("INDIRECT(""'收支紀錄'!J""&amp;TO_TEXT(ROW()-$C$72))"),"")</f>
        <v/>
      </c>
      <c r="K724" s="61" t="str">
        <f>IFERROR(__xludf.DUMMYFUNCTION("INDIRECT(""'收支紀錄'!K""&amp;TO_TEXT(ROW()-$C$72))"),"")</f>
        <v/>
      </c>
      <c r="L724" s="61" t="str">
        <f>IFERROR(__xludf.DUMMYFUNCTION("INDIRECT(""'收支紀錄'!L""&amp;TO_TEXT(ROW()-$C$72))"),"")</f>
        <v/>
      </c>
      <c r="M724" s="61" t="str">
        <f>IFERROR(__xludf.DUMMYFUNCTION("INDIRECT(""'收支紀錄'!M""&amp;TO_TEXT(ROW()-$C$72))"),"")</f>
        <v/>
      </c>
      <c r="N724" s="61" t="str">
        <f>IFERROR(__xludf.DUMMYFUNCTION("INDIRECT(""'收支紀錄'!N""&amp;TO_TEXT(ROW()-$C$72))"),"")</f>
        <v/>
      </c>
      <c r="O724" s="61" t="str">
        <f>IFERROR(__xludf.DUMMYFUNCTION("INDIRECT(""'收支紀錄'!O""&amp;TO_TEXT(ROW()-$C$72))"),"")</f>
        <v/>
      </c>
      <c r="P724" s="61" t="str">
        <f>IFERROR(__xludf.DUMMYFUNCTION("INDIRECT(""'收支紀錄'!P""&amp;TO_TEXT(ROW()-$C$72))"),"")</f>
        <v/>
      </c>
      <c r="Q724" s="61" t="str">
        <f>IFERROR(__xludf.DUMMYFUNCTION("INDIRECT(""'收支紀錄'!Q""&amp;TO_TEXT(ROW()-$C$72))"),"")</f>
        <v/>
      </c>
      <c r="R724" s="61" t="str">
        <f>IFERROR(__xludf.DUMMYFUNCTION("INDIRECT(""'收支紀錄'!R""&amp;TO_TEXT(ROW()-$C$72))"),"")</f>
        <v/>
      </c>
      <c r="S724" s="61" t="str">
        <f>IFERROR(__xludf.DUMMYFUNCTION("INDIRECT(""'收支紀錄'!S""&amp;TO_TEXT(ROW()-$C$72))"),"中信優息")</f>
        <v>中信優息</v>
      </c>
      <c r="T724" s="61" t="str">
        <f>IFERROR(__xludf.DUMMYFUNCTION("INDIRECT(""'收支紀錄'!T""&amp;TO_TEXT(ROW()-$C$72))"),"是")</f>
        <v>是</v>
      </c>
      <c r="U724" s="62" t="str">
        <f>IFERROR(__xludf.DUMMYFUNCTION("IF(T724=""是"",TEXTJOIN("""", TRUE, ""$"", TO_TEXT(C724), S724),"""")"),"$1680中信優息")</f>
        <v>$1680中信優息</v>
      </c>
    </row>
    <row r="725">
      <c r="A725" s="58">
        <f>IFERROR(__xludf.DUMMYFUNCTION("INDIRECT(""'收支紀錄'!A""&amp;TO_TEXT(ROW()-$C$72))"),45722.97995230324)</f>
        <v>45722.97995</v>
      </c>
      <c r="B725" s="59">
        <f>IFERROR(__xludf.DUMMYFUNCTION("IF(ISBLANK(D725), """", IF(ISDATE(D725), D725, IF(D725=""今天"", A725, IF(D725=""昨天 (-1 day)"", A725-1, IF(D725=""前天 (-2 days)"", A725-2, IF(D725=""明天 (+1 day)"", A725+1, DATE(LEFT(D725,4), MID(D725,5,2), RIGHT(D725,2))))))))"),45711.0)</f>
        <v>45711</v>
      </c>
      <c r="C725" s="60">
        <f>IFERROR(__xludf.DUMMYFUNCTION("INDIRECT(""'收支紀錄'!C""&amp;TO_TEXT(ROW()-$C$72))"),400.0)</f>
        <v>400</v>
      </c>
      <c r="D725" s="63">
        <f>IFERROR(__xludf.DUMMYFUNCTION("INDIRECT(""'收支紀錄'!D""&amp;TO_TEXT(ROW()-$C$72))"),2.0250223E7)</f>
        <v>20250223</v>
      </c>
      <c r="E725" s="61" t="str">
        <f>IFERROR(__xludf.DUMMYFUNCTION("INDIRECT(""'收支紀錄'!E""&amp;TO_TEXT(ROW()-$C$72))"),"")</f>
        <v/>
      </c>
      <c r="F725" s="61" t="str">
        <f>IFERROR(__xludf.DUMMYFUNCTION("INDIRECT(""'收支紀錄'!F""&amp;TO_TEXT(ROW()-$C$72))"),"")</f>
        <v/>
      </c>
      <c r="G725" s="61" t="str">
        <f>IFERROR(__xludf.DUMMYFUNCTION("INDIRECT(""'收支紀錄'!G""&amp;TO_TEXT(ROW()-$C$72))"),"")</f>
        <v/>
      </c>
      <c r="H725" s="61" t="str">
        <f>IFERROR(__xludf.DUMMYFUNCTION("INDIRECT(""'收支紀錄'!H""&amp;TO_TEXT(ROW()-$C$72))"),"行車交通")</f>
        <v>行車交通</v>
      </c>
      <c r="I725" s="61" t="str">
        <f>IFERROR(__xludf.DUMMYFUNCTION("INDIRECT(""'收支紀錄'!I""&amp;TO_TEXT(ROW()-$C$72))"),"")</f>
        <v/>
      </c>
      <c r="J725" s="61" t="str">
        <f>IFERROR(__xludf.DUMMYFUNCTION("INDIRECT(""'收支紀錄'!J""&amp;TO_TEXT(ROW()-$C$72))"),"")</f>
        <v/>
      </c>
      <c r="K725" s="61" t="str">
        <f>IFERROR(__xludf.DUMMYFUNCTION("INDIRECT(""'收支紀錄'!K""&amp;TO_TEXT(ROW()-$C$72))"),"")</f>
        <v/>
      </c>
      <c r="L725" s="61" t="str">
        <f>IFERROR(__xludf.DUMMYFUNCTION("INDIRECT(""'收支紀錄'!L""&amp;TO_TEXT(ROW()-$C$72))"),"Etag")</f>
        <v>Etag</v>
      </c>
      <c r="M725" s="61" t="str">
        <f>IFERROR(__xludf.DUMMYFUNCTION("INDIRECT(""'收支紀錄'!M""&amp;TO_TEXT(ROW()-$C$72))"),"")</f>
        <v/>
      </c>
      <c r="N725" s="61" t="str">
        <f>IFERROR(__xludf.DUMMYFUNCTION("INDIRECT(""'收支紀錄'!N""&amp;TO_TEXT(ROW()-$C$72))"),"")</f>
        <v/>
      </c>
      <c r="O725" s="61" t="str">
        <f>IFERROR(__xludf.DUMMYFUNCTION("INDIRECT(""'收支紀錄'!O""&amp;TO_TEXT(ROW()-$C$72))"),"")</f>
        <v/>
      </c>
      <c r="P725" s="61" t="str">
        <f>IFERROR(__xludf.DUMMYFUNCTION("INDIRECT(""'收支紀錄'!P""&amp;TO_TEXT(ROW()-$C$72))"),"")</f>
        <v/>
      </c>
      <c r="Q725" s="61" t="str">
        <f>IFERROR(__xludf.DUMMYFUNCTION("INDIRECT(""'收支紀錄'!Q""&amp;TO_TEXT(ROW()-$C$72))"),"")</f>
        <v/>
      </c>
      <c r="R725" s="61" t="str">
        <f>IFERROR(__xludf.DUMMYFUNCTION("INDIRECT(""'收支紀錄'!R""&amp;TO_TEXT(ROW()-$C$72))"),"")</f>
        <v/>
      </c>
      <c r="S725" s="61" t="str">
        <f>IFERROR(__xludf.DUMMYFUNCTION("INDIRECT(""'收支紀錄'!S""&amp;TO_TEXT(ROW()-$C$72))"),"")</f>
        <v/>
      </c>
      <c r="T725" s="61" t="str">
        <f>IFERROR(__xludf.DUMMYFUNCTION("INDIRECT(""'收支紀錄'!T""&amp;TO_TEXT(ROW()-$C$72))"),"")</f>
        <v/>
      </c>
      <c r="U725" s="62" t="str">
        <f>IFERROR(__xludf.DUMMYFUNCTION("IF(T725=""是"",TEXTJOIN("""", TRUE, ""$"", TO_TEXT(C725), S725),"""")"),"")</f>
        <v/>
      </c>
    </row>
    <row r="726">
      <c r="A726" s="58">
        <f>IFERROR(__xludf.DUMMYFUNCTION("INDIRECT(""'收支紀錄'!A""&amp;TO_TEXT(ROW()-$C$72))"),45722.980767256944)</f>
        <v>45722.98077</v>
      </c>
      <c r="B726" s="59">
        <f>IFERROR(__xludf.DUMMYFUNCTION("IF(ISBLANK(D726), """", IF(ISDATE(D726), D726, IF(D726=""今天"", A726, IF(D726=""昨天 (-1 day)"", A726-1, IF(D726=""前天 (-2 days)"", A726-2, IF(D726=""明天 (+1 day)"", A726+1, DATE(LEFT(D726,4), MID(D726,5,2), RIGHT(D726,2))))))))"),45716.0)</f>
        <v>45716</v>
      </c>
      <c r="C726" s="60">
        <f>IFERROR(__xludf.DUMMYFUNCTION("INDIRECT(""'收支紀錄'!C""&amp;TO_TEXT(ROW()-$C$72))"),285.0)</f>
        <v>285</v>
      </c>
      <c r="D726" s="63">
        <f>IFERROR(__xludf.DUMMYFUNCTION("INDIRECT(""'收支紀錄'!D""&amp;TO_TEXT(ROW()-$C$72))"),2.0250228E7)</f>
        <v>20250228</v>
      </c>
      <c r="E726" s="61" t="str">
        <f>IFERROR(__xludf.DUMMYFUNCTION("INDIRECT(""'收支紀錄'!E""&amp;TO_TEXT(ROW()-$C$72))"),"")</f>
        <v/>
      </c>
      <c r="F726" s="61" t="str">
        <f>IFERROR(__xludf.DUMMYFUNCTION("INDIRECT(""'收支紀錄'!F""&amp;TO_TEXT(ROW()-$C$72))"),"")</f>
        <v/>
      </c>
      <c r="G726" s="61" t="str">
        <f>IFERROR(__xludf.DUMMYFUNCTION("INDIRECT(""'收支紀錄'!G""&amp;TO_TEXT(ROW()-$C$72))"),"")</f>
        <v/>
      </c>
      <c r="H726" s="61" t="str">
        <f>IFERROR(__xludf.DUMMYFUNCTION("INDIRECT(""'收支紀錄'!H""&amp;TO_TEXT(ROW()-$C$72))"),"行車交通")</f>
        <v>行車交通</v>
      </c>
      <c r="I726" s="61" t="str">
        <f>IFERROR(__xludf.DUMMYFUNCTION("INDIRECT(""'收支紀錄'!I""&amp;TO_TEXT(ROW()-$C$72))"),"")</f>
        <v/>
      </c>
      <c r="J726" s="61" t="str">
        <f>IFERROR(__xludf.DUMMYFUNCTION("INDIRECT(""'收支紀錄'!J""&amp;TO_TEXT(ROW()-$C$72))"),"")</f>
        <v/>
      </c>
      <c r="K726" s="61" t="str">
        <f>IFERROR(__xludf.DUMMYFUNCTION("INDIRECT(""'收支紀錄'!K""&amp;TO_TEXT(ROW()-$C$72))"),"")</f>
        <v/>
      </c>
      <c r="L726" s="61" t="str">
        <f>IFERROR(__xludf.DUMMYFUNCTION("INDIRECT(""'收支紀錄'!L""&amp;TO_TEXT(ROW()-$C$72))"),"停車")</f>
        <v>停車</v>
      </c>
      <c r="M726" s="61" t="str">
        <f>IFERROR(__xludf.DUMMYFUNCTION("INDIRECT(""'收支紀錄'!M""&amp;TO_TEXT(ROW()-$C$72))"),"")</f>
        <v/>
      </c>
      <c r="N726" s="61" t="str">
        <f>IFERROR(__xludf.DUMMYFUNCTION("INDIRECT(""'收支紀錄'!N""&amp;TO_TEXT(ROW()-$C$72))"),"")</f>
        <v/>
      </c>
      <c r="O726" s="61" t="str">
        <f>IFERROR(__xludf.DUMMYFUNCTION("INDIRECT(""'收支紀錄'!O""&amp;TO_TEXT(ROW()-$C$72))"),"")</f>
        <v/>
      </c>
      <c r="P726" s="61" t="str">
        <f>IFERROR(__xludf.DUMMYFUNCTION("INDIRECT(""'收支紀錄'!P""&amp;TO_TEXT(ROW()-$C$72))"),"")</f>
        <v/>
      </c>
      <c r="Q726" s="61" t="str">
        <f>IFERROR(__xludf.DUMMYFUNCTION("INDIRECT(""'收支紀錄'!Q""&amp;TO_TEXT(ROW()-$C$72))"),"")</f>
        <v/>
      </c>
      <c r="R726" s="61" t="str">
        <f>IFERROR(__xludf.DUMMYFUNCTION("INDIRECT(""'收支紀錄'!R""&amp;TO_TEXT(ROW()-$C$72))"),"")</f>
        <v/>
      </c>
      <c r="S726" s="61" t="str">
        <f>IFERROR(__xludf.DUMMYFUNCTION("INDIRECT(""'收支紀錄'!S""&amp;TO_TEXT(ROW()-$C$72))"),"")</f>
        <v/>
      </c>
      <c r="T726" s="61" t="str">
        <f>IFERROR(__xludf.DUMMYFUNCTION("INDIRECT(""'收支紀錄'!T""&amp;TO_TEXT(ROW()-$C$72))"),"")</f>
        <v/>
      </c>
      <c r="U726" s="62" t="str">
        <f>IFERROR(__xludf.DUMMYFUNCTION("IF(T726=""是"",TEXTJOIN("""", TRUE, ""$"", TO_TEXT(C726), S726),"""")"),"")</f>
        <v/>
      </c>
    </row>
    <row r="727">
      <c r="A727" s="58">
        <f>IFERROR(__xludf.DUMMYFUNCTION("INDIRECT(""'收支紀錄'!A""&amp;TO_TEXT(ROW()-$C$72))"),45722.982821365746)</f>
        <v>45722.98282</v>
      </c>
      <c r="B727" s="59">
        <f>IFERROR(__xludf.DUMMYFUNCTION("IF(ISBLANK(D727), """", IF(ISDATE(D727), D727, IF(D727=""今天"", A727, IF(D727=""昨天 (-1 day)"", A727-1, IF(D727=""前天 (-2 days)"", A727-2, IF(D727=""明天 (+1 day)"", A727+1, DATE(LEFT(D727,4), MID(D727,5,2), RIGHT(D727,2))))))))"),45721.982821365746)</f>
        <v>45721.98282</v>
      </c>
      <c r="C727" s="60">
        <f>IFERROR(__xludf.DUMMYFUNCTION("INDIRECT(""'收支紀錄'!C""&amp;TO_TEXT(ROW()-$C$72))"),3087.0)</f>
        <v>3087</v>
      </c>
      <c r="D727" s="63" t="str">
        <f>IFERROR(__xludf.DUMMYFUNCTION("INDIRECT(""'收支紀錄'!D""&amp;TO_TEXT(ROW()-$C$72))"),"昨天 (-1 day)")</f>
        <v>昨天 (-1 day)</v>
      </c>
      <c r="E727" s="61" t="str">
        <f>IFERROR(__xludf.DUMMYFUNCTION("INDIRECT(""'收支紀錄'!E""&amp;TO_TEXT(ROW()-$C$72))"),"")</f>
        <v/>
      </c>
      <c r="F727" s="61" t="str">
        <f>IFERROR(__xludf.DUMMYFUNCTION("INDIRECT(""'收支紀錄'!F""&amp;TO_TEXT(ROW()-$C$72))"),"")</f>
        <v/>
      </c>
      <c r="G727" s="61" t="str">
        <f>IFERROR(__xludf.DUMMYFUNCTION("INDIRECT(""'收支紀錄'!G""&amp;TO_TEXT(ROW()-$C$72))"),"")</f>
        <v/>
      </c>
      <c r="H727" s="61" t="str">
        <f>IFERROR(__xludf.DUMMYFUNCTION("INDIRECT(""'收支紀錄'!H""&amp;TO_TEXT(ROW()-$C$72))"),"投資及其他")</f>
        <v>投資及其他</v>
      </c>
      <c r="I727" s="61" t="str">
        <f>IFERROR(__xludf.DUMMYFUNCTION("INDIRECT(""'收支紀錄'!I""&amp;TO_TEXT(ROW()-$C$72))"),"")</f>
        <v/>
      </c>
      <c r="J727" s="61" t="str">
        <f>IFERROR(__xludf.DUMMYFUNCTION("INDIRECT(""'收支紀錄'!J""&amp;TO_TEXT(ROW()-$C$72))"),"")</f>
        <v/>
      </c>
      <c r="K727" s="61" t="str">
        <f>IFERROR(__xludf.DUMMYFUNCTION("INDIRECT(""'收支紀錄'!K""&amp;TO_TEXT(ROW()-$C$72))"),"")</f>
        <v/>
      </c>
      <c r="L727" s="61" t="str">
        <f>IFERROR(__xludf.DUMMYFUNCTION("INDIRECT(""'收支紀錄'!L""&amp;TO_TEXT(ROW()-$C$72))"),"")</f>
        <v/>
      </c>
      <c r="M727" s="61" t="str">
        <f>IFERROR(__xludf.DUMMYFUNCTION("INDIRECT(""'收支紀錄'!M""&amp;TO_TEXT(ROW()-$C$72))"),"")</f>
        <v/>
      </c>
      <c r="N727" s="61" t="str">
        <f>IFERROR(__xludf.DUMMYFUNCTION("INDIRECT(""'收支紀錄'!N""&amp;TO_TEXT(ROW()-$C$72))"),"")</f>
        <v/>
      </c>
      <c r="O727" s="61" t="str">
        <f>IFERROR(__xludf.DUMMYFUNCTION("INDIRECT(""'收支紀錄'!O""&amp;TO_TEXT(ROW()-$C$72))"),"")</f>
        <v/>
      </c>
      <c r="P727" s="61" t="str">
        <f>IFERROR(__xludf.DUMMYFUNCTION("INDIRECT(""'收支紀錄'!P""&amp;TO_TEXT(ROW()-$C$72))"),"")</f>
        <v/>
      </c>
      <c r="Q727" s="61" t="str">
        <f>IFERROR(__xludf.DUMMYFUNCTION("INDIRECT(""'收支紀錄'!Q""&amp;TO_TEXT(ROW()-$C$72))"),"")</f>
        <v/>
      </c>
      <c r="R727" s="61" t="str">
        <f>IFERROR(__xludf.DUMMYFUNCTION("INDIRECT(""'收支紀錄'!R""&amp;TO_TEXT(ROW()-$C$72))"),"公司認股")</f>
        <v>公司認股</v>
      </c>
      <c r="S727" s="61" t="str">
        <f>IFERROR(__xludf.DUMMYFUNCTION("INDIRECT(""'收支紀錄'!S""&amp;TO_TEXT(ROW()-$C$72))"),"")</f>
        <v/>
      </c>
      <c r="T727" s="61" t="str">
        <f>IFERROR(__xludf.DUMMYFUNCTION("INDIRECT(""'收支紀錄'!T""&amp;TO_TEXT(ROW()-$C$72))"),"")</f>
        <v/>
      </c>
      <c r="U727" s="62" t="str">
        <f>IFERROR(__xludf.DUMMYFUNCTION("IF(T727=""是"",TEXTJOIN("""", TRUE, ""$"", TO_TEXT(C727), S727),"""")"),"")</f>
        <v/>
      </c>
    </row>
    <row r="728">
      <c r="A728" s="58">
        <f>IFERROR(__xludf.DUMMYFUNCTION("INDIRECT(""'收支紀錄'!A""&amp;TO_TEXT(ROW()-$C$72))"),45724.40633304398)</f>
        <v>45724.40633</v>
      </c>
      <c r="B728" s="59">
        <f>IFERROR(__xludf.DUMMYFUNCTION("IF(ISBLANK(D728), """", IF(ISDATE(D728), D728, IF(D728=""今天"", A728, IF(D728=""昨天 (-1 day)"", A728-1, IF(D728=""前天 (-2 days)"", A728-2, IF(D728=""明天 (+1 day)"", A728+1, DATE(LEFT(D728,4), MID(D728,5,2), RIGHT(D728,2))))))))"),45724.40633304398)</f>
        <v>45724.40633</v>
      </c>
      <c r="C728" s="60">
        <f>IFERROR(__xludf.DUMMYFUNCTION("INDIRECT(""'收支紀錄'!C""&amp;TO_TEXT(ROW()-$C$72))"),10.0)</f>
        <v>10</v>
      </c>
      <c r="D728" s="63" t="str">
        <f>IFERROR(__xludf.DUMMYFUNCTION("INDIRECT(""'收支紀錄'!D""&amp;TO_TEXT(ROW()-$C$72))"),"今天")</f>
        <v>今天</v>
      </c>
      <c r="E728" s="61" t="str">
        <f>IFERROR(__xludf.DUMMYFUNCTION("INDIRECT(""'收支紀錄'!E""&amp;TO_TEXT(ROW()-$C$72))"),"")</f>
        <v/>
      </c>
      <c r="F728" s="61" t="str">
        <f>IFERROR(__xludf.DUMMYFUNCTION("INDIRECT(""'收支紀錄'!F""&amp;TO_TEXT(ROW()-$C$72))"),"")</f>
        <v/>
      </c>
      <c r="G728" s="61" t="str">
        <f>IFERROR(__xludf.DUMMYFUNCTION("INDIRECT(""'收支紀錄'!G""&amp;TO_TEXT(ROW()-$C$72))"),"")</f>
        <v/>
      </c>
      <c r="H728" s="61" t="str">
        <f>IFERROR(__xludf.DUMMYFUNCTION("INDIRECT(""'收支紀錄'!H""&amp;TO_TEXT(ROW()-$C$72))"),"行車交通")</f>
        <v>行車交通</v>
      </c>
      <c r="I728" s="61" t="str">
        <f>IFERROR(__xludf.DUMMYFUNCTION("INDIRECT(""'收支紀錄'!I""&amp;TO_TEXT(ROW()-$C$72))"),"")</f>
        <v/>
      </c>
      <c r="J728" s="61" t="str">
        <f>IFERROR(__xludf.DUMMYFUNCTION("INDIRECT(""'收支紀錄'!J""&amp;TO_TEXT(ROW()-$C$72))"),"")</f>
        <v/>
      </c>
      <c r="K728" s="61" t="str">
        <f>IFERROR(__xludf.DUMMYFUNCTION("INDIRECT(""'收支紀錄'!K""&amp;TO_TEXT(ROW()-$C$72))"),"")</f>
        <v/>
      </c>
      <c r="L728" s="61" t="str">
        <f>IFERROR(__xludf.DUMMYFUNCTION("INDIRECT(""'收支紀錄'!L""&amp;TO_TEXT(ROW()-$C$72))"),"Ubike")</f>
        <v>Ubike</v>
      </c>
      <c r="M728" s="61" t="str">
        <f>IFERROR(__xludf.DUMMYFUNCTION("INDIRECT(""'收支紀錄'!M""&amp;TO_TEXT(ROW()-$C$72))"),"")</f>
        <v/>
      </c>
      <c r="N728" s="61" t="str">
        <f>IFERROR(__xludf.DUMMYFUNCTION("INDIRECT(""'收支紀錄'!N""&amp;TO_TEXT(ROW()-$C$72))"),"")</f>
        <v/>
      </c>
      <c r="O728" s="61" t="str">
        <f>IFERROR(__xludf.DUMMYFUNCTION("INDIRECT(""'收支紀錄'!O""&amp;TO_TEXT(ROW()-$C$72))"),"")</f>
        <v/>
      </c>
      <c r="P728" s="61" t="str">
        <f>IFERROR(__xludf.DUMMYFUNCTION("INDIRECT(""'收支紀錄'!P""&amp;TO_TEXT(ROW()-$C$72))"),"")</f>
        <v/>
      </c>
      <c r="Q728" s="61" t="str">
        <f>IFERROR(__xludf.DUMMYFUNCTION("INDIRECT(""'收支紀錄'!Q""&amp;TO_TEXT(ROW()-$C$72))"),"")</f>
        <v/>
      </c>
      <c r="R728" s="61" t="str">
        <f>IFERROR(__xludf.DUMMYFUNCTION("INDIRECT(""'收支紀錄'!R""&amp;TO_TEXT(ROW()-$C$72))"),"")</f>
        <v/>
      </c>
      <c r="S728" s="61" t="str">
        <f>IFERROR(__xludf.DUMMYFUNCTION("INDIRECT(""'收支紀錄'!S""&amp;TO_TEXT(ROW()-$C$72))"),"")</f>
        <v/>
      </c>
      <c r="T728" s="61" t="str">
        <f>IFERROR(__xludf.DUMMYFUNCTION("INDIRECT(""'收支紀錄'!T""&amp;TO_TEXT(ROW()-$C$72))"),"")</f>
        <v/>
      </c>
      <c r="U728" s="62" t="str">
        <f>IFERROR(__xludf.DUMMYFUNCTION("IF(T728=""是"",TEXTJOIN("""", TRUE, ""$"", TO_TEXT(C728), S728),"""")"),"")</f>
        <v/>
      </c>
    </row>
    <row r="729">
      <c r="A729" s="58">
        <f>IFERROR(__xludf.DUMMYFUNCTION("INDIRECT(""'收支紀錄'!A""&amp;TO_TEXT(ROW()-$C$72))"),45724.99054134259)</f>
        <v>45724.99054</v>
      </c>
      <c r="B729" s="59">
        <f>IFERROR(__xludf.DUMMYFUNCTION("IF(ISBLANK(D729), """", IF(ISDATE(D729), D729, IF(D729=""今天"", A729, IF(D729=""昨天 (-1 day)"", A729-1, IF(D729=""前天 (-2 days)"", A729-2, IF(D729=""明天 (+1 day)"", A729+1, DATE(LEFT(D729,4), MID(D729,5,2), RIGHT(D729,2))))))))"),45724.99054134259)</f>
        <v>45724.99054</v>
      </c>
      <c r="C729" s="60">
        <f>IFERROR(__xludf.DUMMYFUNCTION("INDIRECT(""'收支紀錄'!C""&amp;TO_TEXT(ROW()-$C$72))"),335.0)</f>
        <v>335</v>
      </c>
      <c r="D729" s="63" t="str">
        <f>IFERROR(__xludf.DUMMYFUNCTION("INDIRECT(""'收支紀錄'!D""&amp;TO_TEXT(ROW()-$C$72))"),"今天")</f>
        <v>今天</v>
      </c>
      <c r="E729" s="61" t="str">
        <f>IFERROR(__xludf.DUMMYFUNCTION("INDIRECT(""'收支紀錄'!E""&amp;TO_TEXT(ROW()-$C$72))"),"")</f>
        <v/>
      </c>
      <c r="F729" s="61" t="str">
        <f>IFERROR(__xludf.DUMMYFUNCTION("INDIRECT(""'收支紀錄'!F""&amp;TO_TEXT(ROW()-$C$72))"),"")</f>
        <v/>
      </c>
      <c r="G729" s="61" t="str">
        <f>IFERROR(__xludf.DUMMYFUNCTION("INDIRECT(""'收支紀錄'!G""&amp;TO_TEXT(ROW()-$C$72))"),"")</f>
        <v/>
      </c>
      <c r="H729" s="61" t="str">
        <f>IFERROR(__xludf.DUMMYFUNCTION("INDIRECT(""'收支紀錄'!H""&amp;TO_TEXT(ROW()-$C$72))"),"食品酒水")</f>
        <v>食品酒水</v>
      </c>
      <c r="I729" s="61" t="str">
        <f>IFERROR(__xludf.DUMMYFUNCTION("INDIRECT(""'收支紀錄'!I""&amp;TO_TEXT(ROW()-$C$72))"),"晚餐")</f>
        <v>晚餐</v>
      </c>
      <c r="J729" s="61" t="str">
        <f>IFERROR(__xludf.DUMMYFUNCTION("INDIRECT(""'收支紀錄'!J""&amp;TO_TEXT(ROW()-$C$72))"),"")</f>
        <v/>
      </c>
      <c r="K729" s="61" t="str">
        <f>IFERROR(__xludf.DUMMYFUNCTION("INDIRECT(""'收支紀錄'!K""&amp;TO_TEXT(ROW()-$C$72))"),"")</f>
        <v/>
      </c>
      <c r="L729" s="61" t="str">
        <f>IFERROR(__xludf.DUMMYFUNCTION("INDIRECT(""'收支紀錄'!L""&amp;TO_TEXT(ROW()-$C$72))"),"")</f>
        <v/>
      </c>
      <c r="M729" s="61" t="str">
        <f>IFERROR(__xludf.DUMMYFUNCTION("INDIRECT(""'收支紀錄'!M""&amp;TO_TEXT(ROW()-$C$72))"),"")</f>
        <v/>
      </c>
      <c r="N729" s="61" t="str">
        <f>IFERROR(__xludf.DUMMYFUNCTION("INDIRECT(""'收支紀錄'!N""&amp;TO_TEXT(ROW()-$C$72))"),"")</f>
        <v/>
      </c>
      <c r="O729" s="61" t="str">
        <f>IFERROR(__xludf.DUMMYFUNCTION("INDIRECT(""'收支紀錄'!O""&amp;TO_TEXT(ROW()-$C$72))"),"")</f>
        <v/>
      </c>
      <c r="P729" s="61" t="str">
        <f>IFERROR(__xludf.DUMMYFUNCTION("INDIRECT(""'收支紀錄'!P""&amp;TO_TEXT(ROW()-$C$72))"),"")</f>
        <v/>
      </c>
      <c r="Q729" s="61" t="str">
        <f>IFERROR(__xludf.DUMMYFUNCTION("INDIRECT(""'收支紀錄'!Q""&amp;TO_TEXT(ROW()-$C$72))"),"")</f>
        <v/>
      </c>
      <c r="R729" s="61" t="str">
        <f>IFERROR(__xludf.DUMMYFUNCTION("INDIRECT(""'收支紀錄'!R""&amp;TO_TEXT(ROW()-$C$72))"),"")</f>
        <v/>
      </c>
      <c r="S729" s="61" t="str">
        <f>IFERROR(__xludf.DUMMYFUNCTION("INDIRECT(""'收支紀錄'!S""&amp;TO_TEXT(ROW()-$C$72))"),"")</f>
        <v/>
      </c>
      <c r="T729" s="61" t="str">
        <f>IFERROR(__xludf.DUMMYFUNCTION("INDIRECT(""'收支紀錄'!T""&amp;TO_TEXT(ROW()-$C$72))"),"")</f>
        <v/>
      </c>
      <c r="U729" s="62" t="str">
        <f>IFERROR(__xludf.DUMMYFUNCTION("IF(T729=""是"",TEXTJOIN("""", TRUE, ""$"", TO_TEXT(C729), S729),"""")"),"")</f>
        <v/>
      </c>
    </row>
    <row r="730">
      <c r="A730" s="58">
        <f>IFERROR(__xludf.DUMMYFUNCTION("INDIRECT(""'收支紀錄'!A""&amp;TO_TEXT(ROW()-$C$72))"),45724.99074858797)</f>
        <v>45724.99075</v>
      </c>
      <c r="B730" s="59">
        <f>IFERROR(__xludf.DUMMYFUNCTION("IF(ISBLANK(D730), """", IF(ISDATE(D730), D730, IF(D730=""今天"", A730, IF(D730=""昨天 (-1 day)"", A730-1, IF(D730=""前天 (-2 days)"", A730-2, IF(D730=""明天 (+1 day)"", A730+1, DATE(LEFT(D730,4), MID(D730,5,2), RIGHT(D730,2))))))))"),45724.99074858797)</f>
        <v>45724.99075</v>
      </c>
      <c r="C730" s="60">
        <f>IFERROR(__xludf.DUMMYFUNCTION("INDIRECT(""'收支紀錄'!C""&amp;TO_TEXT(ROW()-$C$72))"),25.0)</f>
        <v>25</v>
      </c>
      <c r="D730" s="63" t="str">
        <f>IFERROR(__xludf.DUMMYFUNCTION("INDIRECT(""'收支紀錄'!D""&amp;TO_TEXT(ROW()-$C$72))"),"今天")</f>
        <v>今天</v>
      </c>
      <c r="E730" s="61" t="str">
        <f>IFERROR(__xludf.DUMMYFUNCTION("INDIRECT(""'收支紀錄'!E""&amp;TO_TEXT(ROW()-$C$72))"),"")</f>
        <v/>
      </c>
      <c r="F730" s="61" t="str">
        <f>IFERROR(__xludf.DUMMYFUNCTION("INDIRECT(""'收支紀錄'!F""&amp;TO_TEXT(ROW()-$C$72))"),"")</f>
        <v/>
      </c>
      <c r="G730" s="61" t="str">
        <f>IFERROR(__xludf.DUMMYFUNCTION("INDIRECT(""'收支紀錄'!G""&amp;TO_TEXT(ROW()-$C$72))"),"")</f>
        <v/>
      </c>
      <c r="H730" s="61" t="str">
        <f>IFERROR(__xludf.DUMMYFUNCTION("INDIRECT(""'收支紀錄'!H""&amp;TO_TEXT(ROW()-$C$72))"),"行車交通")</f>
        <v>行車交通</v>
      </c>
      <c r="I730" s="61" t="str">
        <f>IFERROR(__xludf.DUMMYFUNCTION("INDIRECT(""'收支紀錄'!I""&amp;TO_TEXT(ROW()-$C$72))"),"")</f>
        <v/>
      </c>
      <c r="J730" s="61" t="str">
        <f>IFERROR(__xludf.DUMMYFUNCTION("INDIRECT(""'收支紀錄'!J""&amp;TO_TEXT(ROW()-$C$72))"),"")</f>
        <v/>
      </c>
      <c r="K730" s="61" t="str">
        <f>IFERROR(__xludf.DUMMYFUNCTION("INDIRECT(""'收支紀錄'!K""&amp;TO_TEXT(ROW()-$C$72))"),"")</f>
        <v/>
      </c>
      <c r="L730" s="61" t="str">
        <f>IFERROR(__xludf.DUMMYFUNCTION("INDIRECT(""'收支紀錄'!L""&amp;TO_TEXT(ROW()-$C$72))"),"停車")</f>
        <v>停車</v>
      </c>
      <c r="M730" s="61" t="str">
        <f>IFERROR(__xludf.DUMMYFUNCTION("INDIRECT(""'收支紀錄'!M""&amp;TO_TEXT(ROW()-$C$72))"),"")</f>
        <v/>
      </c>
      <c r="N730" s="61" t="str">
        <f>IFERROR(__xludf.DUMMYFUNCTION("INDIRECT(""'收支紀錄'!N""&amp;TO_TEXT(ROW()-$C$72))"),"")</f>
        <v/>
      </c>
      <c r="O730" s="61" t="str">
        <f>IFERROR(__xludf.DUMMYFUNCTION("INDIRECT(""'收支紀錄'!O""&amp;TO_TEXT(ROW()-$C$72))"),"")</f>
        <v/>
      </c>
      <c r="P730" s="61" t="str">
        <f>IFERROR(__xludf.DUMMYFUNCTION("INDIRECT(""'收支紀錄'!P""&amp;TO_TEXT(ROW()-$C$72))"),"")</f>
        <v/>
      </c>
      <c r="Q730" s="61" t="str">
        <f>IFERROR(__xludf.DUMMYFUNCTION("INDIRECT(""'收支紀錄'!Q""&amp;TO_TEXT(ROW()-$C$72))"),"")</f>
        <v/>
      </c>
      <c r="R730" s="61" t="str">
        <f>IFERROR(__xludf.DUMMYFUNCTION("INDIRECT(""'收支紀錄'!R""&amp;TO_TEXT(ROW()-$C$72))"),"")</f>
        <v/>
      </c>
      <c r="S730" s="61" t="str">
        <f>IFERROR(__xludf.DUMMYFUNCTION("INDIRECT(""'收支紀錄'!S""&amp;TO_TEXT(ROW()-$C$72))"),"")</f>
        <v/>
      </c>
      <c r="T730" s="61" t="str">
        <f>IFERROR(__xludf.DUMMYFUNCTION("INDIRECT(""'收支紀錄'!T""&amp;TO_TEXT(ROW()-$C$72))"),"")</f>
        <v/>
      </c>
      <c r="U730" s="62" t="str">
        <f>IFERROR(__xludf.DUMMYFUNCTION("IF(T730=""是"",TEXTJOIN("""", TRUE, ""$"", TO_TEXT(C730), S730),"""")"),"")</f>
        <v/>
      </c>
    </row>
    <row r="731">
      <c r="A731" s="58">
        <f>IFERROR(__xludf.DUMMYFUNCTION("INDIRECT(""'收支紀錄'!A""&amp;TO_TEXT(ROW()-$C$72))"),45725.928454016204)</f>
        <v>45725.92845</v>
      </c>
      <c r="B731" s="59">
        <f>IFERROR(__xludf.DUMMYFUNCTION("IF(ISBLANK(D731), """", IF(ISDATE(D731), D731, IF(D731=""今天"", A731, IF(D731=""昨天 (-1 day)"", A731-1, IF(D731=""前天 (-2 days)"", A731-2, IF(D731=""明天 (+1 day)"", A731+1, DATE(LEFT(D731,4), MID(D731,5,2), RIGHT(D731,2))))))))"),45725.928454016204)</f>
        <v>45725.92845</v>
      </c>
      <c r="C731" s="60">
        <f>IFERROR(__xludf.DUMMYFUNCTION("INDIRECT(""'收支紀錄'!C""&amp;TO_TEXT(ROW()-$C$72))"),1656.0)</f>
        <v>1656</v>
      </c>
      <c r="D731" s="63" t="str">
        <f>IFERROR(__xludf.DUMMYFUNCTION("INDIRECT(""'收支紀錄'!D""&amp;TO_TEXT(ROW()-$C$72))"),"今天")</f>
        <v>今天</v>
      </c>
      <c r="E731" s="61" t="str">
        <f>IFERROR(__xludf.DUMMYFUNCTION("INDIRECT(""'收支紀錄'!E""&amp;TO_TEXT(ROW()-$C$72))"),"")</f>
        <v/>
      </c>
      <c r="F731" s="61" t="str">
        <f>IFERROR(__xludf.DUMMYFUNCTION("INDIRECT(""'收支紀錄'!F""&amp;TO_TEXT(ROW()-$C$72))"),"")</f>
        <v/>
      </c>
      <c r="G731" s="61" t="str">
        <f>IFERROR(__xludf.DUMMYFUNCTION("INDIRECT(""'收支紀錄'!G""&amp;TO_TEXT(ROW()-$C$72))"),"")</f>
        <v/>
      </c>
      <c r="H731" s="61" t="str">
        <f>IFERROR(__xludf.DUMMYFUNCTION("INDIRECT(""'收支紀錄'!H""&amp;TO_TEXT(ROW()-$C$72))"),"食品酒水")</f>
        <v>食品酒水</v>
      </c>
      <c r="I731" s="61" t="str">
        <f>IFERROR(__xludf.DUMMYFUNCTION("INDIRECT(""'收支紀錄'!I""&amp;TO_TEXT(ROW()-$C$72))"),"食材")</f>
        <v>食材</v>
      </c>
      <c r="J731" s="61" t="str">
        <f>IFERROR(__xludf.DUMMYFUNCTION("INDIRECT(""'收支紀錄'!J""&amp;TO_TEXT(ROW()-$C$72))"),"")</f>
        <v/>
      </c>
      <c r="K731" s="61" t="str">
        <f>IFERROR(__xludf.DUMMYFUNCTION("INDIRECT(""'收支紀錄'!K""&amp;TO_TEXT(ROW()-$C$72))"),"")</f>
        <v/>
      </c>
      <c r="L731" s="61" t="str">
        <f>IFERROR(__xludf.DUMMYFUNCTION("INDIRECT(""'收支紀錄'!L""&amp;TO_TEXT(ROW()-$C$72))"),"")</f>
        <v/>
      </c>
      <c r="M731" s="61" t="str">
        <f>IFERROR(__xludf.DUMMYFUNCTION("INDIRECT(""'收支紀錄'!M""&amp;TO_TEXT(ROW()-$C$72))"),"")</f>
        <v/>
      </c>
      <c r="N731" s="61" t="str">
        <f>IFERROR(__xludf.DUMMYFUNCTION("INDIRECT(""'收支紀錄'!N""&amp;TO_TEXT(ROW()-$C$72))"),"")</f>
        <v/>
      </c>
      <c r="O731" s="61" t="str">
        <f>IFERROR(__xludf.DUMMYFUNCTION("INDIRECT(""'收支紀錄'!O""&amp;TO_TEXT(ROW()-$C$72))"),"")</f>
        <v/>
      </c>
      <c r="P731" s="61" t="str">
        <f>IFERROR(__xludf.DUMMYFUNCTION("INDIRECT(""'收支紀錄'!P""&amp;TO_TEXT(ROW()-$C$72))"),"")</f>
        <v/>
      </c>
      <c r="Q731" s="61" t="str">
        <f>IFERROR(__xludf.DUMMYFUNCTION("INDIRECT(""'收支紀錄'!Q""&amp;TO_TEXT(ROW()-$C$72))"),"")</f>
        <v/>
      </c>
      <c r="R731" s="61" t="str">
        <f>IFERROR(__xludf.DUMMYFUNCTION("INDIRECT(""'收支紀錄'!R""&amp;TO_TEXT(ROW()-$C$72))"),"")</f>
        <v/>
      </c>
      <c r="S731" s="61" t="str">
        <f>IFERROR(__xludf.DUMMYFUNCTION("INDIRECT(""'收支紀錄'!S""&amp;TO_TEXT(ROW()-$C$72))"),"好市多")</f>
        <v>好市多</v>
      </c>
      <c r="T731" s="61" t="str">
        <f>IFERROR(__xludf.DUMMYFUNCTION("INDIRECT(""'收支紀錄'!T""&amp;TO_TEXT(ROW()-$C$72))"),"")</f>
        <v/>
      </c>
      <c r="U731" s="62" t="str">
        <f>IFERROR(__xludf.DUMMYFUNCTION("IF(T731=""是"",TEXTJOIN("""", TRUE, ""$"", TO_TEXT(C731), S731),"""")"),"")</f>
        <v/>
      </c>
    </row>
    <row r="732">
      <c r="A732" s="58">
        <f>IFERROR(__xludf.DUMMYFUNCTION("INDIRECT(""'收支紀錄'!A""&amp;TO_TEXT(ROW()-$C$72))"),45730.56880252315)</f>
        <v>45730.5688</v>
      </c>
      <c r="B732" s="59">
        <f>IFERROR(__xludf.DUMMYFUNCTION("IF(ISBLANK(D732), """", IF(ISDATE(D732), D732, IF(D732=""今天"", A732, IF(D732=""昨天 (-1 day)"", A732-1, IF(D732=""前天 (-2 days)"", A732-2, IF(D732=""明天 (+1 day)"", A732+1, DATE(LEFT(D732,4), MID(D732,5,2), RIGHT(D732,2))))))))"),45729.56880252315)</f>
        <v>45729.5688</v>
      </c>
      <c r="C732" s="60">
        <f>IFERROR(__xludf.DUMMYFUNCTION("INDIRECT(""'收支紀錄'!C""&amp;TO_TEXT(ROW()-$C$72))"),420.0)</f>
        <v>420</v>
      </c>
      <c r="D732" s="63" t="str">
        <f>IFERROR(__xludf.DUMMYFUNCTION("INDIRECT(""'收支紀錄'!D""&amp;TO_TEXT(ROW()-$C$72))"),"昨天 (-1 day)")</f>
        <v>昨天 (-1 day)</v>
      </c>
      <c r="E732" s="61" t="str">
        <f>IFERROR(__xludf.DUMMYFUNCTION("INDIRECT(""'收支紀錄'!E""&amp;TO_TEXT(ROW()-$C$72))"),"")</f>
        <v/>
      </c>
      <c r="F732" s="61" t="str">
        <f>IFERROR(__xludf.DUMMYFUNCTION("INDIRECT(""'收支紀錄'!F""&amp;TO_TEXT(ROW()-$C$72))"),"")</f>
        <v/>
      </c>
      <c r="G732" s="61" t="str">
        <f>IFERROR(__xludf.DUMMYFUNCTION("INDIRECT(""'收支紀錄'!G""&amp;TO_TEXT(ROW()-$C$72))"),"")</f>
        <v/>
      </c>
      <c r="H732" s="61" t="str">
        <f>IFERROR(__xludf.DUMMYFUNCTION("INDIRECT(""'收支紀錄'!H""&amp;TO_TEXT(ROW()-$C$72))"),"食品酒水")</f>
        <v>食品酒水</v>
      </c>
      <c r="I732" s="61" t="str">
        <f>IFERROR(__xludf.DUMMYFUNCTION("INDIRECT(""'收支紀錄'!I""&amp;TO_TEXT(ROW()-$C$72))"),"宵夜")</f>
        <v>宵夜</v>
      </c>
      <c r="J732" s="61" t="str">
        <f>IFERROR(__xludf.DUMMYFUNCTION("INDIRECT(""'收支紀錄'!J""&amp;TO_TEXT(ROW()-$C$72))"),"")</f>
        <v/>
      </c>
      <c r="K732" s="61" t="str">
        <f>IFERROR(__xludf.DUMMYFUNCTION("INDIRECT(""'收支紀錄'!K""&amp;TO_TEXT(ROW()-$C$72))"),"")</f>
        <v/>
      </c>
      <c r="L732" s="61" t="str">
        <f>IFERROR(__xludf.DUMMYFUNCTION("INDIRECT(""'收支紀錄'!L""&amp;TO_TEXT(ROW()-$C$72))"),"")</f>
        <v/>
      </c>
      <c r="M732" s="61" t="str">
        <f>IFERROR(__xludf.DUMMYFUNCTION("INDIRECT(""'收支紀錄'!M""&amp;TO_TEXT(ROW()-$C$72))"),"")</f>
        <v/>
      </c>
      <c r="N732" s="61" t="str">
        <f>IFERROR(__xludf.DUMMYFUNCTION("INDIRECT(""'收支紀錄'!N""&amp;TO_TEXT(ROW()-$C$72))"),"")</f>
        <v/>
      </c>
      <c r="O732" s="61" t="str">
        <f>IFERROR(__xludf.DUMMYFUNCTION("INDIRECT(""'收支紀錄'!O""&amp;TO_TEXT(ROW()-$C$72))"),"")</f>
        <v/>
      </c>
      <c r="P732" s="61" t="str">
        <f>IFERROR(__xludf.DUMMYFUNCTION("INDIRECT(""'收支紀錄'!P""&amp;TO_TEXT(ROW()-$C$72))"),"")</f>
        <v/>
      </c>
      <c r="Q732" s="61" t="str">
        <f>IFERROR(__xludf.DUMMYFUNCTION("INDIRECT(""'收支紀錄'!Q""&amp;TO_TEXT(ROW()-$C$72))"),"")</f>
        <v/>
      </c>
      <c r="R732" s="61" t="str">
        <f>IFERROR(__xludf.DUMMYFUNCTION("INDIRECT(""'收支紀錄'!R""&amp;TO_TEXT(ROW()-$C$72))"),"")</f>
        <v/>
      </c>
      <c r="S732" s="61" t="str">
        <f>IFERROR(__xludf.DUMMYFUNCTION("INDIRECT(""'收支紀錄'!S""&amp;TO_TEXT(ROW()-$C$72))"),"")</f>
        <v/>
      </c>
      <c r="T732" s="61" t="str">
        <f>IFERROR(__xludf.DUMMYFUNCTION("INDIRECT(""'收支紀錄'!T""&amp;TO_TEXT(ROW()-$C$72))"),"")</f>
        <v/>
      </c>
      <c r="U732" s="62" t="str">
        <f>IFERROR(__xludf.DUMMYFUNCTION("IF(T732=""是"",TEXTJOIN("""", TRUE, ""$"", TO_TEXT(C732), S732),"""")"),"")</f>
        <v/>
      </c>
    </row>
    <row r="733">
      <c r="A733" s="58">
        <f>IFERROR(__xludf.DUMMYFUNCTION("INDIRECT(""'收支紀錄'!A""&amp;TO_TEXT(ROW()-$C$72))"),45731.757509421295)</f>
        <v>45731.75751</v>
      </c>
      <c r="B733" s="59">
        <f>IFERROR(__xludf.DUMMYFUNCTION("IF(ISBLANK(D733), """", IF(ISDATE(D733), D733, IF(D733=""今天"", A733, IF(D733=""昨天 (-1 day)"", A733-1, IF(D733=""前天 (-2 days)"", A733-2, IF(D733=""明天 (+1 day)"", A733+1, DATE(LEFT(D733,4), MID(D733,5,2), RIGHT(D733,2))))))))"),45731.757509421295)</f>
        <v>45731.75751</v>
      </c>
      <c r="C733" s="60">
        <f>IFERROR(__xludf.DUMMYFUNCTION("INDIRECT(""'收支紀錄'!C""&amp;TO_TEXT(ROW()-$C$72))"),1000.0)</f>
        <v>1000</v>
      </c>
      <c r="D733" s="63" t="str">
        <f>IFERROR(__xludf.DUMMYFUNCTION("INDIRECT(""'收支紀錄'!D""&amp;TO_TEXT(ROW()-$C$72))"),"今天")</f>
        <v>今天</v>
      </c>
      <c r="E733" s="61" t="str">
        <f>IFERROR(__xludf.DUMMYFUNCTION("INDIRECT(""'收支紀錄'!E""&amp;TO_TEXT(ROW()-$C$72))"),"")</f>
        <v/>
      </c>
      <c r="F733" s="61" t="str">
        <f>IFERROR(__xludf.DUMMYFUNCTION("INDIRECT(""'收支紀錄'!F""&amp;TO_TEXT(ROW()-$C$72))"),"")</f>
        <v/>
      </c>
      <c r="G733" s="61" t="str">
        <f>IFERROR(__xludf.DUMMYFUNCTION("INDIRECT(""'收支紀錄'!G""&amp;TO_TEXT(ROW()-$C$72))"),"")</f>
        <v/>
      </c>
      <c r="H733" s="61" t="str">
        <f>IFERROR(__xludf.DUMMYFUNCTION("INDIRECT(""'收支紀錄'!H""&amp;TO_TEXT(ROW()-$C$72))"),"食品酒水")</f>
        <v>食品酒水</v>
      </c>
      <c r="I733" s="61" t="str">
        <f>IFERROR(__xludf.DUMMYFUNCTION("INDIRECT(""'收支紀錄'!I""&amp;TO_TEXT(ROW()-$C$72))"),"午餐")</f>
        <v>午餐</v>
      </c>
      <c r="J733" s="61" t="str">
        <f>IFERROR(__xludf.DUMMYFUNCTION("INDIRECT(""'收支紀錄'!J""&amp;TO_TEXT(ROW()-$C$72))"),"")</f>
        <v/>
      </c>
      <c r="K733" s="61" t="str">
        <f>IFERROR(__xludf.DUMMYFUNCTION("INDIRECT(""'收支紀錄'!K""&amp;TO_TEXT(ROW()-$C$72))"),"")</f>
        <v/>
      </c>
      <c r="L733" s="61" t="str">
        <f>IFERROR(__xludf.DUMMYFUNCTION("INDIRECT(""'收支紀錄'!L""&amp;TO_TEXT(ROW()-$C$72))"),"")</f>
        <v/>
      </c>
      <c r="M733" s="61" t="str">
        <f>IFERROR(__xludf.DUMMYFUNCTION("INDIRECT(""'收支紀錄'!M""&amp;TO_TEXT(ROW()-$C$72))"),"")</f>
        <v/>
      </c>
      <c r="N733" s="61" t="str">
        <f>IFERROR(__xludf.DUMMYFUNCTION("INDIRECT(""'收支紀錄'!N""&amp;TO_TEXT(ROW()-$C$72))"),"")</f>
        <v/>
      </c>
      <c r="O733" s="61" t="str">
        <f>IFERROR(__xludf.DUMMYFUNCTION("INDIRECT(""'收支紀錄'!O""&amp;TO_TEXT(ROW()-$C$72))"),"")</f>
        <v/>
      </c>
      <c r="P733" s="61" t="str">
        <f>IFERROR(__xludf.DUMMYFUNCTION("INDIRECT(""'收支紀錄'!P""&amp;TO_TEXT(ROW()-$C$72))"),"")</f>
        <v/>
      </c>
      <c r="Q733" s="61" t="str">
        <f>IFERROR(__xludf.DUMMYFUNCTION("INDIRECT(""'收支紀錄'!Q""&amp;TO_TEXT(ROW()-$C$72))"),"")</f>
        <v/>
      </c>
      <c r="R733" s="61" t="str">
        <f>IFERROR(__xludf.DUMMYFUNCTION("INDIRECT(""'收支紀錄'!R""&amp;TO_TEXT(ROW()-$C$72))"),"")</f>
        <v/>
      </c>
      <c r="S733" s="61" t="str">
        <f>IFERROR(__xludf.DUMMYFUNCTION("INDIRECT(""'收支紀錄'!S""&amp;TO_TEXT(ROW()-$C$72))"),"海底撈")</f>
        <v>海底撈</v>
      </c>
      <c r="T733" s="61" t="str">
        <f>IFERROR(__xludf.DUMMYFUNCTION("INDIRECT(""'收支紀錄'!T""&amp;TO_TEXT(ROW()-$C$72))"),"")</f>
        <v/>
      </c>
      <c r="U733" s="62" t="str">
        <f>IFERROR(__xludf.DUMMYFUNCTION("IF(T733=""是"",TEXTJOIN("""", TRUE, ""$"", TO_TEXT(C733), S733),"""")"),"")</f>
        <v/>
      </c>
    </row>
    <row r="734">
      <c r="A734" s="58">
        <f>IFERROR(__xludf.DUMMYFUNCTION("INDIRECT(""'收支紀錄'!A""&amp;TO_TEXT(ROW()-$C$72))"),45731.75772096065)</f>
        <v>45731.75772</v>
      </c>
      <c r="B734" s="59">
        <f>IFERROR(__xludf.DUMMYFUNCTION("IF(ISBLANK(D734), """", IF(ISDATE(D734), D734, IF(D734=""今天"", A734, IF(D734=""昨天 (-1 day)"", A734-1, IF(D734=""前天 (-2 days)"", A734-2, IF(D734=""明天 (+1 day)"", A734+1, DATE(LEFT(D734,4), MID(D734,5,2), RIGHT(D734,2))))))))"),45731.75772096065)</f>
        <v>45731.75772</v>
      </c>
      <c r="C734" s="60">
        <f>IFERROR(__xludf.DUMMYFUNCTION("INDIRECT(""'收支紀錄'!C""&amp;TO_TEXT(ROW()-$C$72))"),180.0)</f>
        <v>180</v>
      </c>
      <c r="D734" s="63" t="str">
        <f>IFERROR(__xludf.DUMMYFUNCTION("INDIRECT(""'收支紀錄'!D""&amp;TO_TEXT(ROW()-$C$72))"),"今天")</f>
        <v>今天</v>
      </c>
      <c r="E734" s="61" t="str">
        <f>IFERROR(__xludf.DUMMYFUNCTION("INDIRECT(""'收支紀錄'!E""&amp;TO_TEXT(ROW()-$C$72))"),"")</f>
        <v/>
      </c>
      <c r="F734" s="61" t="str">
        <f>IFERROR(__xludf.DUMMYFUNCTION("INDIRECT(""'收支紀錄'!F""&amp;TO_TEXT(ROW()-$C$72))"),"")</f>
        <v/>
      </c>
      <c r="G734" s="61" t="str">
        <f>IFERROR(__xludf.DUMMYFUNCTION("INDIRECT(""'收支紀錄'!G""&amp;TO_TEXT(ROW()-$C$72))"),"")</f>
        <v/>
      </c>
      <c r="H734" s="61" t="str">
        <f>IFERROR(__xludf.DUMMYFUNCTION("INDIRECT(""'收支紀錄'!H""&amp;TO_TEXT(ROW()-$C$72))"),"行車交通")</f>
        <v>行車交通</v>
      </c>
      <c r="I734" s="61" t="str">
        <f>IFERROR(__xludf.DUMMYFUNCTION("INDIRECT(""'收支紀錄'!I""&amp;TO_TEXT(ROW()-$C$72))"),"")</f>
        <v/>
      </c>
      <c r="J734" s="61" t="str">
        <f>IFERROR(__xludf.DUMMYFUNCTION("INDIRECT(""'收支紀錄'!J""&amp;TO_TEXT(ROW()-$C$72))"),"")</f>
        <v/>
      </c>
      <c r="K734" s="61" t="str">
        <f>IFERROR(__xludf.DUMMYFUNCTION("INDIRECT(""'收支紀錄'!K""&amp;TO_TEXT(ROW()-$C$72))"),"")</f>
        <v/>
      </c>
      <c r="L734" s="61" t="str">
        <f>IFERROR(__xludf.DUMMYFUNCTION("INDIRECT(""'收支紀錄'!L""&amp;TO_TEXT(ROW()-$C$72))"),"停車")</f>
        <v>停車</v>
      </c>
      <c r="M734" s="61" t="str">
        <f>IFERROR(__xludf.DUMMYFUNCTION("INDIRECT(""'收支紀錄'!M""&amp;TO_TEXT(ROW()-$C$72))"),"")</f>
        <v/>
      </c>
      <c r="N734" s="61" t="str">
        <f>IFERROR(__xludf.DUMMYFUNCTION("INDIRECT(""'收支紀錄'!N""&amp;TO_TEXT(ROW()-$C$72))"),"")</f>
        <v/>
      </c>
      <c r="O734" s="61" t="str">
        <f>IFERROR(__xludf.DUMMYFUNCTION("INDIRECT(""'收支紀錄'!O""&amp;TO_TEXT(ROW()-$C$72))"),"")</f>
        <v/>
      </c>
      <c r="P734" s="61" t="str">
        <f>IFERROR(__xludf.DUMMYFUNCTION("INDIRECT(""'收支紀錄'!P""&amp;TO_TEXT(ROW()-$C$72))"),"")</f>
        <v/>
      </c>
      <c r="Q734" s="61" t="str">
        <f>IFERROR(__xludf.DUMMYFUNCTION("INDIRECT(""'收支紀錄'!Q""&amp;TO_TEXT(ROW()-$C$72))"),"")</f>
        <v/>
      </c>
      <c r="R734" s="61" t="str">
        <f>IFERROR(__xludf.DUMMYFUNCTION("INDIRECT(""'收支紀錄'!R""&amp;TO_TEXT(ROW()-$C$72))"),"")</f>
        <v/>
      </c>
      <c r="S734" s="61" t="str">
        <f>IFERROR(__xludf.DUMMYFUNCTION("INDIRECT(""'收支紀錄'!S""&amp;TO_TEXT(ROW()-$C$72))"),"")</f>
        <v/>
      </c>
      <c r="T734" s="61" t="str">
        <f>IFERROR(__xludf.DUMMYFUNCTION("INDIRECT(""'收支紀錄'!T""&amp;TO_TEXT(ROW()-$C$72))"),"")</f>
        <v/>
      </c>
      <c r="U734" s="62" t="str">
        <f>IFERROR(__xludf.DUMMYFUNCTION("IF(T734=""是"",TEXTJOIN("""", TRUE, ""$"", TO_TEXT(C734), S734),"""")"),"")</f>
        <v/>
      </c>
    </row>
    <row r="735">
      <c r="A735" s="58">
        <f>IFERROR(__xludf.DUMMYFUNCTION("INDIRECT(""'收支紀錄'!A""&amp;TO_TEXT(ROW()-$C$72))"),45731.757927071754)</f>
        <v>45731.75793</v>
      </c>
      <c r="B735" s="59">
        <f>IFERROR(__xludf.DUMMYFUNCTION("IF(ISBLANK(D735), """", IF(ISDATE(D735), D735, IF(D735=""今天"", A735, IF(D735=""昨天 (-1 day)"", A735-1, IF(D735=""前天 (-2 days)"", A735-2, IF(D735=""明天 (+1 day)"", A735+1, DATE(LEFT(D735,4), MID(D735,5,2), RIGHT(D735,2))))))))"),45731.757927071754)</f>
        <v>45731.75793</v>
      </c>
      <c r="C735" s="60">
        <f>IFERROR(__xludf.DUMMYFUNCTION("INDIRECT(""'收支紀錄'!C""&amp;TO_TEXT(ROW()-$C$72))"),686.0)</f>
        <v>686</v>
      </c>
      <c r="D735" s="63" t="str">
        <f>IFERROR(__xludf.DUMMYFUNCTION("INDIRECT(""'收支紀錄'!D""&amp;TO_TEXT(ROW()-$C$72))"),"今天")</f>
        <v>今天</v>
      </c>
      <c r="E735" s="61" t="str">
        <f>IFERROR(__xludf.DUMMYFUNCTION("INDIRECT(""'收支紀錄'!E""&amp;TO_TEXT(ROW()-$C$72))"),"")</f>
        <v/>
      </c>
      <c r="F735" s="61" t="str">
        <f>IFERROR(__xludf.DUMMYFUNCTION("INDIRECT(""'收支紀錄'!F""&amp;TO_TEXT(ROW()-$C$72))"),"")</f>
        <v/>
      </c>
      <c r="G735" s="61" t="str">
        <f>IFERROR(__xludf.DUMMYFUNCTION("INDIRECT(""'收支紀錄'!G""&amp;TO_TEXT(ROW()-$C$72))"),"")</f>
        <v/>
      </c>
      <c r="H735" s="61" t="str">
        <f>IFERROR(__xludf.DUMMYFUNCTION("INDIRECT(""'收支紀錄'!H""&amp;TO_TEXT(ROW()-$C$72))"),"行車交通")</f>
        <v>行車交通</v>
      </c>
      <c r="I735" s="61" t="str">
        <f>IFERROR(__xludf.DUMMYFUNCTION("INDIRECT(""'收支紀錄'!I""&amp;TO_TEXT(ROW()-$C$72))"),"")</f>
        <v/>
      </c>
      <c r="J735" s="61" t="str">
        <f>IFERROR(__xludf.DUMMYFUNCTION("INDIRECT(""'收支紀錄'!J""&amp;TO_TEXT(ROW()-$C$72))"),"")</f>
        <v/>
      </c>
      <c r="K735" s="61" t="str">
        <f>IFERROR(__xludf.DUMMYFUNCTION("INDIRECT(""'收支紀錄'!K""&amp;TO_TEXT(ROW()-$C$72))"),"")</f>
        <v/>
      </c>
      <c r="L735" s="61" t="str">
        <f>IFERROR(__xludf.DUMMYFUNCTION("INDIRECT(""'收支紀錄'!L""&amp;TO_TEXT(ROW()-$C$72))"),"加油")</f>
        <v>加油</v>
      </c>
      <c r="M735" s="61" t="str">
        <f>IFERROR(__xludf.DUMMYFUNCTION("INDIRECT(""'收支紀錄'!M""&amp;TO_TEXT(ROW()-$C$72))"),"")</f>
        <v/>
      </c>
      <c r="N735" s="61" t="str">
        <f>IFERROR(__xludf.DUMMYFUNCTION("INDIRECT(""'收支紀錄'!N""&amp;TO_TEXT(ROW()-$C$72))"),"")</f>
        <v/>
      </c>
      <c r="O735" s="61" t="str">
        <f>IFERROR(__xludf.DUMMYFUNCTION("INDIRECT(""'收支紀錄'!O""&amp;TO_TEXT(ROW()-$C$72))"),"")</f>
        <v/>
      </c>
      <c r="P735" s="61" t="str">
        <f>IFERROR(__xludf.DUMMYFUNCTION("INDIRECT(""'收支紀錄'!P""&amp;TO_TEXT(ROW()-$C$72))"),"")</f>
        <v/>
      </c>
      <c r="Q735" s="61" t="str">
        <f>IFERROR(__xludf.DUMMYFUNCTION("INDIRECT(""'收支紀錄'!Q""&amp;TO_TEXT(ROW()-$C$72))"),"")</f>
        <v/>
      </c>
      <c r="R735" s="61" t="str">
        <f>IFERROR(__xludf.DUMMYFUNCTION("INDIRECT(""'收支紀錄'!R""&amp;TO_TEXT(ROW()-$C$72))"),"")</f>
        <v/>
      </c>
      <c r="S735" s="61" t="str">
        <f>IFERROR(__xludf.DUMMYFUNCTION("INDIRECT(""'收支紀錄'!S""&amp;TO_TEXT(ROW()-$C$72))"),"")</f>
        <v/>
      </c>
      <c r="T735" s="61" t="str">
        <f>IFERROR(__xludf.DUMMYFUNCTION("INDIRECT(""'收支紀錄'!T""&amp;TO_TEXT(ROW()-$C$72))"),"")</f>
        <v/>
      </c>
      <c r="U735" s="62" t="str">
        <f>IFERROR(__xludf.DUMMYFUNCTION("IF(T735=""是"",TEXTJOIN("""", TRUE, ""$"", TO_TEXT(C735), S735),"""")"),"")</f>
        <v/>
      </c>
    </row>
    <row r="736">
      <c r="A736" s="58">
        <f>IFERROR(__xludf.DUMMYFUNCTION("INDIRECT(""'收支紀錄'!A""&amp;TO_TEXT(ROW()-$C$72))"),45732.67928517361)</f>
        <v>45732.67929</v>
      </c>
      <c r="B736" s="59">
        <f>IFERROR(__xludf.DUMMYFUNCTION("IF(ISBLANK(D736), """", IF(ISDATE(D736), D736, IF(D736=""今天"", A736, IF(D736=""昨天 (-1 day)"", A736-1, IF(D736=""前天 (-2 days)"", A736-2, IF(D736=""明天 (+1 day)"", A736+1, DATE(LEFT(D736,4), MID(D736,5,2), RIGHT(D736,2))))))))"),45732.67928517361)</f>
        <v>45732.67929</v>
      </c>
      <c r="C736" s="60">
        <f>IFERROR(__xludf.DUMMYFUNCTION("INDIRECT(""'收支紀錄'!C""&amp;TO_TEXT(ROW()-$C$72))"),235.0)</f>
        <v>235</v>
      </c>
      <c r="D736" s="63" t="str">
        <f>IFERROR(__xludf.DUMMYFUNCTION("INDIRECT(""'收支紀錄'!D""&amp;TO_TEXT(ROW()-$C$72))"),"今天")</f>
        <v>今天</v>
      </c>
      <c r="E736" s="61" t="str">
        <f>IFERROR(__xludf.DUMMYFUNCTION("INDIRECT(""'收支紀錄'!E""&amp;TO_TEXT(ROW()-$C$72))"),"")</f>
        <v/>
      </c>
      <c r="F736" s="61" t="str">
        <f>IFERROR(__xludf.DUMMYFUNCTION("INDIRECT(""'收支紀錄'!F""&amp;TO_TEXT(ROW()-$C$72))"),"")</f>
        <v/>
      </c>
      <c r="G736" s="61" t="str">
        <f>IFERROR(__xludf.DUMMYFUNCTION("INDIRECT(""'收支紀錄'!G""&amp;TO_TEXT(ROW()-$C$72))"),"")</f>
        <v/>
      </c>
      <c r="H736" s="61" t="str">
        <f>IFERROR(__xludf.DUMMYFUNCTION("INDIRECT(""'收支紀錄'!H""&amp;TO_TEXT(ROW()-$C$72))"),"食品酒水")</f>
        <v>食品酒水</v>
      </c>
      <c r="I736" s="61" t="str">
        <f>IFERROR(__xludf.DUMMYFUNCTION("INDIRECT(""'收支紀錄'!I""&amp;TO_TEXT(ROW()-$C$72))"),"下午茶")</f>
        <v>下午茶</v>
      </c>
      <c r="J736" s="61" t="str">
        <f>IFERROR(__xludf.DUMMYFUNCTION("INDIRECT(""'收支紀錄'!J""&amp;TO_TEXT(ROW()-$C$72))"),"")</f>
        <v/>
      </c>
      <c r="K736" s="61" t="str">
        <f>IFERROR(__xludf.DUMMYFUNCTION("INDIRECT(""'收支紀錄'!K""&amp;TO_TEXT(ROW()-$C$72))"),"")</f>
        <v/>
      </c>
      <c r="L736" s="61" t="str">
        <f>IFERROR(__xludf.DUMMYFUNCTION("INDIRECT(""'收支紀錄'!L""&amp;TO_TEXT(ROW()-$C$72))"),"")</f>
        <v/>
      </c>
      <c r="M736" s="61" t="str">
        <f>IFERROR(__xludf.DUMMYFUNCTION("INDIRECT(""'收支紀錄'!M""&amp;TO_TEXT(ROW()-$C$72))"),"")</f>
        <v/>
      </c>
      <c r="N736" s="61" t="str">
        <f>IFERROR(__xludf.DUMMYFUNCTION("INDIRECT(""'收支紀錄'!N""&amp;TO_TEXT(ROW()-$C$72))"),"")</f>
        <v/>
      </c>
      <c r="O736" s="61" t="str">
        <f>IFERROR(__xludf.DUMMYFUNCTION("INDIRECT(""'收支紀錄'!O""&amp;TO_TEXT(ROW()-$C$72))"),"")</f>
        <v/>
      </c>
      <c r="P736" s="61" t="str">
        <f>IFERROR(__xludf.DUMMYFUNCTION("INDIRECT(""'收支紀錄'!P""&amp;TO_TEXT(ROW()-$C$72))"),"")</f>
        <v/>
      </c>
      <c r="Q736" s="61" t="str">
        <f>IFERROR(__xludf.DUMMYFUNCTION("INDIRECT(""'收支紀錄'!Q""&amp;TO_TEXT(ROW()-$C$72))"),"")</f>
        <v/>
      </c>
      <c r="R736" s="61" t="str">
        <f>IFERROR(__xludf.DUMMYFUNCTION("INDIRECT(""'收支紀錄'!R""&amp;TO_TEXT(ROW()-$C$72))"),"")</f>
        <v/>
      </c>
      <c r="S736" s="61" t="str">
        <f>IFERROR(__xludf.DUMMYFUNCTION("INDIRECT(""'收支紀錄'!S""&amp;TO_TEXT(ROW()-$C$72))"),"")</f>
        <v/>
      </c>
      <c r="T736" s="61" t="str">
        <f>IFERROR(__xludf.DUMMYFUNCTION("INDIRECT(""'收支紀錄'!T""&amp;TO_TEXT(ROW()-$C$72))"),"")</f>
        <v/>
      </c>
      <c r="U736" s="62" t="str">
        <f>IFERROR(__xludf.DUMMYFUNCTION("IF(T736=""是"",TEXTJOIN("""", TRUE, ""$"", TO_TEXT(C736), S736),"""")"),"")</f>
        <v/>
      </c>
    </row>
    <row r="737">
      <c r="A737" s="58">
        <f>IFERROR(__xludf.DUMMYFUNCTION("INDIRECT(""'收支紀錄'!A""&amp;TO_TEXT(ROW()-$C$72))"),45732.69018959491)</f>
        <v>45732.69019</v>
      </c>
      <c r="B737" s="59">
        <f>IFERROR(__xludf.DUMMYFUNCTION("IF(ISBLANK(D737), """", IF(ISDATE(D737), D737, IF(D737=""今天"", A737, IF(D737=""昨天 (-1 day)"", A737-1, IF(D737=""前天 (-2 days)"", A737-2, IF(D737=""明天 (+1 day)"", A737+1, DATE(LEFT(D737,4), MID(D737,5,2), RIGHT(D737,2))))))))"),45732.69018959491)</f>
        <v>45732.69019</v>
      </c>
      <c r="C737" s="60">
        <f>IFERROR(__xludf.DUMMYFUNCTION("INDIRECT(""'收支紀錄'!C""&amp;TO_TEXT(ROW()-$C$72))"),137.0)</f>
        <v>137</v>
      </c>
      <c r="D737" s="63" t="str">
        <f>IFERROR(__xludf.DUMMYFUNCTION("INDIRECT(""'收支紀錄'!D""&amp;TO_TEXT(ROW()-$C$72))"),"今天")</f>
        <v>今天</v>
      </c>
      <c r="E737" s="61" t="str">
        <f>IFERROR(__xludf.DUMMYFUNCTION("INDIRECT(""'收支紀錄'!E""&amp;TO_TEXT(ROW()-$C$72))"),"")</f>
        <v/>
      </c>
      <c r="F737" s="61" t="str">
        <f>IFERROR(__xludf.DUMMYFUNCTION("INDIRECT(""'收支紀錄'!F""&amp;TO_TEXT(ROW()-$C$72))"),"")</f>
        <v/>
      </c>
      <c r="G737" s="61" t="str">
        <f>IFERROR(__xludf.DUMMYFUNCTION("INDIRECT(""'收支紀錄'!G""&amp;TO_TEXT(ROW()-$C$72))"),"")</f>
        <v/>
      </c>
      <c r="H737" s="61" t="str">
        <f>IFERROR(__xludf.DUMMYFUNCTION("INDIRECT(""'收支紀錄'!H""&amp;TO_TEXT(ROW()-$C$72))"),"食品酒水")</f>
        <v>食品酒水</v>
      </c>
      <c r="I737" s="61" t="str">
        <f>IFERROR(__xludf.DUMMYFUNCTION("INDIRECT(""'收支紀錄'!I""&amp;TO_TEXT(ROW()-$C$72))"),"晚餐")</f>
        <v>晚餐</v>
      </c>
      <c r="J737" s="61" t="str">
        <f>IFERROR(__xludf.DUMMYFUNCTION("INDIRECT(""'收支紀錄'!J""&amp;TO_TEXT(ROW()-$C$72))"),"")</f>
        <v/>
      </c>
      <c r="K737" s="61" t="str">
        <f>IFERROR(__xludf.DUMMYFUNCTION("INDIRECT(""'收支紀錄'!K""&amp;TO_TEXT(ROW()-$C$72))"),"")</f>
        <v/>
      </c>
      <c r="L737" s="61" t="str">
        <f>IFERROR(__xludf.DUMMYFUNCTION("INDIRECT(""'收支紀錄'!L""&amp;TO_TEXT(ROW()-$C$72))"),"")</f>
        <v/>
      </c>
      <c r="M737" s="61" t="str">
        <f>IFERROR(__xludf.DUMMYFUNCTION("INDIRECT(""'收支紀錄'!M""&amp;TO_TEXT(ROW()-$C$72))"),"")</f>
        <v/>
      </c>
      <c r="N737" s="61" t="str">
        <f>IFERROR(__xludf.DUMMYFUNCTION("INDIRECT(""'收支紀錄'!N""&amp;TO_TEXT(ROW()-$C$72))"),"")</f>
        <v/>
      </c>
      <c r="O737" s="61" t="str">
        <f>IFERROR(__xludf.DUMMYFUNCTION("INDIRECT(""'收支紀錄'!O""&amp;TO_TEXT(ROW()-$C$72))"),"")</f>
        <v/>
      </c>
      <c r="P737" s="61" t="str">
        <f>IFERROR(__xludf.DUMMYFUNCTION("INDIRECT(""'收支紀錄'!P""&amp;TO_TEXT(ROW()-$C$72))"),"")</f>
        <v/>
      </c>
      <c r="Q737" s="61" t="str">
        <f>IFERROR(__xludf.DUMMYFUNCTION("INDIRECT(""'收支紀錄'!Q""&amp;TO_TEXT(ROW()-$C$72))"),"")</f>
        <v/>
      </c>
      <c r="R737" s="61" t="str">
        <f>IFERROR(__xludf.DUMMYFUNCTION("INDIRECT(""'收支紀錄'!R""&amp;TO_TEXT(ROW()-$C$72))"),"")</f>
        <v/>
      </c>
      <c r="S737" s="61" t="str">
        <f>IFERROR(__xludf.DUMMYFUNCTION("INDIRECT(""'收支紀錄'!S""&amp;TO_TEXT(ROW()-$C$72))"),"")</f>
        <v/>
      </c>
      <c r="T737" s="61" t="str">
        <f>IFERROR(__xludf.DUMMYFUNCTION("INDIRECT(""'收支紀錄'!T""&amp;TO_TEXT(ROW()-$C$72))"),"")</f>
        <v/>
      </c>
      <c r="U737" s="62" t="str">
        <f>IFERROR(__xludf.DUMMYFUNCTION("IF(T737=""是"",TEXTJOIN("""", TRUE, ""$"", TO_TEXT(C737), S737),"""")"),"")</f>
        <v/>
      </c>
    </row>
    <row r="738">
      <c r="A738" s="58">
        <f>IFERROR(__xludf.DUMMYFUNCTION("INDIRECT(""'收支紀錄'!A""&amp;TO_TEXT(ROW()-$C$72))"),45733.91129188657)</f>
        <v>45733.91129</v>
      </c>
      <c r="B738" s="59">
        <f>IFERROR(__xludf.DUMMYFUNCTION("IF(ISBLANK(D738), """", IF(ISDATE(D738), D738, IF(D738=""今天"", A738, IF(D738=""昨天 (-1 day)"", A738-1, IF(D738=""前天 (-2 days)"", A738-2, IF(D738=""明天 (+1 day)"", A738+1, DATE(LEFT(D738,4), MID(D738,5,2), RIGHT(D738,2))))))))"),45733.91129188657)</f>
        <v>45733.91129</v>
      </c>
      <c r="C738" s="60">
        <f>IFERROR(__xludf.DUMMYFUNCTION("INDIRECT(""'收支紀錄'!C""&amp;TO_TEXT(ROW()-$C$72))"),113.0)</f>
        <v>113</v>
      </c>
      <c r="D738" s="63" t="str">
        <f>IFERROR(__xludf.DUMMYFUNCTION("INDIRECT(""'收支紀錄'!D""&amp;TO_TEXT(ROW()-$C$72))"),"今天")</f>
        <v>今天</v>
      </c>
      <c r="E738" s="61" t="str">
        <f>IFERROR(__xludf.DUMMYFUNCTION("INDIRECT(""'收支紀錄'!E""&amp;TO_TEXT(ROW()-$C$72))"),"")</f>
        <v/>
      </c>
      <c r="F738" s="61" t="str">
        <f>IFERROR(__xludf.DUMMYFUNCTION("INDIRECT(""'收支紀錄'!F""&amp;TO_TEXT(ROW()-$C$72))"),"")</f>
        <v/>
      </c>
      <c r="G738" s="61" t="str">
        <f>IFERROR(__xludf.DUMMYFUNCTION("INDIRECT(""'收支紀錄'!G""&amp;TO_TEXT(ROW()-$C$72))"),"")</f>
        <v/>
      </c>
      <c r="H738" s="61" t="str">
        <f>IFERROR(__xludf.DUMMYFUNCTION("INDIRECT(""'收支紀錄'!H""&amp;TO_TEXT(ROW()-$C$72))"),"行車交通")</f>
        <v>行車交通</v>
      </c>
      <c r="I738" s="61" t="str">
        <f>IFERROR(__xludf.DUMMYFUNCTION("INDIRECT(""'收支紀錄'!I""&amp;TO_TEXT(ROW()-$C$72))"),"")</f>
        <v/>
      </c>
      <c r="J738" s="61" t="str">
        <f>IFERROR(__xludf.DUMMYFUNCTION("INDIRECT(""'收支紀錄'!J""&amp;TO_TEXT(ROW()-$C$72))"),"")</f>
        <v/>
      </c>
      <c r="K738" s="61" t="str">
        <f>IFERROR(__xludf.DUMMYFUNCTION("INDIRECT(""'收支紀錄'!K""&amp;TO_TEXT(ROW()-$C$72))"),"")</f>
        <v/>
      </c>
      <c r="L738" s="61" t="str">
        <f>IFERROR(__xludf.DUMMYFUNCTION("INDIRECT(""'收支紀錄'!L""&amp;TO_TEXT(ROW()-$C$72))"),"加油")</f>
        <v>加油</v>
      </c>
      <c r="M738" s="61" t="str">
        <f>IFERROR(__xludf.DUMMYFUNCTION("INDIRECT(""'收支紀錄'!M""&amp;TO_TEXT(ROW()-$C$72))"),"")</f>
        <v/>
      </c>
      <c r="N738" s="61" t="str">
        <f>IFERROR(__xludf.DUMMYFUNCTION("INDIRECT(""'收支紀錄'!N""&amp;TO_TEXT(ROW()-$C$72))"),"")</f>
        <v/>
      </c>
      <c r="O738" s="61" t="str">
        <f>IFERROR(__xludf.DUMMYFUNCTION("INDIRECT(""'收支紀錄'!O""&amp;TO_TEXT(ROW()-$C$72))"),"")</f>
        <v/>
      </c>
      <c r="P738" s="61" t="str">
        <f>IFERROR(__xludf.DUMMYFUNCTION("INDIRECT(""'收支紀錄'!P""&amp;TO_TEXT(ROW()-$C$72))"),"")</f>
        <v/>
      </c>
      <c r="Q738" s="61" t="str">
        <f>IFERROR(__xludf.DUMMYFUNCTION("INDIRECT(""'收支紀錄'!Q""&amp;TO_TEXT(ROW()-$C$72))"),"")</f>
        <v/>
      </c>
      <c r="R738" s="61" t="str">
        <f>IFERROR(__xludf.DUMMYFUNCTION("INDIRECT(""'收支紀錄'!R""&amp;TO_TEXT(ROW()-$C$72))"),"")</f>
        <v/>
      </c>
      <c r="S738" s="61" t="str">
        <f>IFERROR(__xludf.DUMMYFUNCTION("INDIRECT(""'收支紀錄'!S""&amp;TO_TEXT(ROW()-$C$72))"),"")</f>
        <v/>
      </c>
      <c r="T738" s="61" t="str">
        <f>IFERROR(__xludf.DUMMYFUNCTION("INDIRECT(""'收支紀錄'!T""&amp;TO_TEXT(ROW()-$C$72))"),"")</f>
        <v/>
      </c>
      <c r="U738" s="62" t="str">
        <f>IFERROR(__xludf.DUMMYFUNCTION("IF(T738=""是"",TEXTJOIN("""", TRUE, ""$"", TO_TEXT(C738), S738),"""")"),"")</f>
        <v/>
      </c>
    </row>
    <row r="739">
      <c r="A739" s="58">
        <f>IFERROR(__xludf.DUMMYFUNCTION("INDIRECT(""'收支紀錄'!A""&amp;TO_TEXT(ROW()-$C$72))"),45734.93815230324)</f>
        <v>45734.93815</v>
      </c>
      <c r="B739" s="59">
        <f>IFERROR(__xludf.DUMMYFUNCTION("IF(ISBLANK(D739), """", IF(ISDATE(D739), D739, IF(D739=""今天"", A739, IF(D739=""昨天 (-1 day)"", A739-1, IF(D739=""前天 (-2 days)"", A739-2, IF(D739=""明天 (+1 day)"", A739+1, DATE(LEFT(D739,4), MID(D739,5,2), RIGHT(D739,2))))))))"),45734.93815230324)</f>
        <v>45734.93815</v>
      </c>
      <c r="C739" s="60">
        <f>IFERROR(__xludf.DUMMYFUNCTION("INDIRECT(""'收支紀錄'!C""&amp;TO_TEXT(ROW()-$C$72))"),200.0)</f>
        <v>200</v>
      </c>
      <c r="D739" s="63" t="str">
        <f>IFERROR(__xludf.DUMMYFUNCTION("INDIRECT(""'收支紀錄'!D""&amp;TO_TEXT(ROW()-$C$72))"),"今天")</f>
        <v>今天</v>
      </c>
      <c r="E739" s="61" t="str">
        <f>IFERROR(__xludf.DUMMYFUNCTION("INDIRECT(""'收支紀錄'!E""&amp;TO_TEXT(ROW()-$C$72))"),"")</f>
        <v/>
      </c>
      <c r="F739" s="61" t="str">
        <f>IFERROR(__xludf.DUMMYFUNCTION("INDIRECT(""'收支紀錄'!F""&amp;TO_TEXT(ROW()-$C$72))"),"")</f>
        <v/>
      </c>
      <c r="G739" s="61" t="str">
        <f>IFERROR(__xludf.DUMMYFUNCTION("INDIRECT(""'收支紀錄'!G""&amp;TO_TEXT(ROW()-$C$72))"),"")</f>
        <v/>
      </c>
      <c r="H739" s="61" t="str">
        <f>IFERROR(__xludf.DUMMYFUNCTION("INDIRECT(""'收支紀錄'!H""&amp;TO_TEXT(ROW()-$C$72))"),"醫療費用")</f>
        <v>醫療費用</v>
      </c>
      <c r="I739" s="61" t="str">
        <f>IFERROR(__xludf.DUMMYFUNCTION("INDIRECT(""'收支紀錄'!I""&amp;TO_TEXT(ROW()-$C$72))"),"")</f>
        <v/>
      </c>
      <c r="J739" s="61" t="str">
        <f>IFERROR(__xludf.DUMMYFUNCTION("INDIRECT(""'收支紀錄'!J""&amp;TO_TEXT(ROW()-$C$72))"),"")</f>
        <v/>
      </c>
      <c r="K739" s="61" t="str">
        <f>IFERROR(__xludf.DUMMYFUNCTION("INDIRECT(""'收支紀錄'!K""&amp;TO_TEXT(ROW()-$C$72))"),"")</f>
        <v/>
      </c>
      <c r="L739" s="61" t="str">
        <f>IFERROR(__xludf.DUMMYFUNCTION("INDIRECT(""'收支紀錄'!L""&amp;TO_TEXT(ROW()-$C$72))"),"")</f>
        <v/>
      </c>
      <c r="M739" s="61" t="str">
        <f>IFERROR(__xludf.DUMMYFUNCTION("INDIRECT(""'收支紀錄'!M""&amp;TO_TEXT(ROW()-$C$72))"),"")</f>
        <v/>
      </c>
      <c r="N739" s="61" t="str">
        <f>IFERROR(__xludf.DUMMYFUNCTION("INDIRECT(""'收支紀錄'!N""&amp;TO_TEXT(ROW()-$C$72))"),"")</f>
        <v/>
      </c>
      <c r="O739" s="61" t="str">
        <f>IFERROR(__xludf.DUMMYFUNCTION("INDIRECT(""'收支紀錄'!O""&amp;TO_TEXT(ROW()-$C$72))"),"生病醫療")</f>
        <v>生病醫療</v>
      </c>
      <c r="P739" s="61" t="str">
        <f>IFERROR(__xludf.DUMMYFUNCTION("INDIRECT(""'收支紀錄'!P""&amp;TO_TEXT(ROW()-$C$72))"),"")</f>
        <v/>
      </c>
      <c r="Q739" s="61" t="str">
        <f>IFERROR(__xludf.DUMMYFUNCTION("INDIRECT(""'收支紀錄'!Q""&amp;TO_TEXT(ROW()-$C$72))"),"")</f>
        <v/>
      </c>
      <c r="R739" s="61" t="str">
        <f>IFERROR(__xludf.DUMMYFUNCTION("INDIRECT(""'收支紀錄'!R""&amp;TO_TEXT(ROW()-$C$72))"),"")</f>
        <v/>
      </c>
      <c r="S739" s="61" t="str">
        <f>IFERROR(__xludf.DUMMYFUNCTION("INDIRECT(""'收支紀錄'!S""&amp;TO_TEXT(ROW()-$C$72))"),"")</f>
        <v/>
      </c>
      <c r="T739" s="61" t="str">
        <f>IFERROR(__xludf.DUMMYFUNCTION("INDIRECT(""'收支紀錄'!T""&amp;TO_TEXT(ROW()-$C$72))"),"")</f>
        <v/>
      </c>
      <c r="U739" s="62" t="str">
        <f>IFERROR(__xludf.DUMMYFUNCTION("IF(T739=""是"",TEXTJOIN("""", TRUE, ""$"", TO_TEXT(C739), S739),"""")"),"")</f>
        <v/>
      </c>
    </row>
    <row r="740">
      <c r="A740" s="58">
        <f>IFERROR(__xludf.DUMMYFUNCTION("INDIRECT(""'收支紀錄'!A""&amp;TO_TEXT(ROW()-$C$72))"),45734.94062487269)</f>
        <v>45734.94062</v>
      </c>
      <c r="B740" s="59">
        <f>IFERROR(__xludf.DUMMYFUNCTION("IF(ISBLANK(D740), """", IF(ISDATE(D740), D740, IF(D740=""今天"", A740, IF(D740=""昨天 (-1 day)"", A740-1, IF(D740=""前天 (-2 days)"", A740-2, IF(D740=""明天 (+1 day)"", A740+1, DATE(LEFT(D740,4), MID(D740,5,2), RIGHT(D740,2))))))))"),45734.94062487269)</f>
        <v>45734.94062</v>
      </c>
      <c r="C740" s="60">
        <f>IFERROR(__xludf.DUMMYFUNCTION("INDIRECT(""'收支紀錄'!C""&amp;TO_TEXT(ROW()-$C$72))"),608.0)</f>
        <v>608</v>
      </c>
      <c r="D740" s="63" t="str">
        <f>IFERROR(__xludf.DUMMYFUNCTION("INDIRECT(""'收支紀錄'!D""&amp;TO_TEXT(ROW()-$C$72))"),"今天")</f>
        <v>今天</v>
      </c>
      <c r="E740" s="61" t="str">
        <f>IFERROR(__xludf.DUMMYFUNCTION("INDIRECT(""'收支紀錄'!E""&amp;TO_TEXT(ROW()-$C$72))"),"")</f>
        <v/>
      </c>
      <c r="F740" s="61" t="str">
        <f>IFERROR(__xludf.DUMMYFUNCTION("INDIRECT(""'收支紀錄'!F""&amp;TO_TEXT(ROW()-$C$72))"),"")</f>
        <v/>
      </c>
      <c r="G740" s="61" t="str">
        <f>IFERROR(__xludf.DUMMYFUNCTION("INDIRECT(""'收支紀錄'!G""&amp;TO_TEXT(ROW()-$C$72))"),"")</f>
        <v/>
      </c>
      <c r="H740" s="61" t="str">
        <f>IFERROR(__xludf.DUMMYFUNCTION("INDIRECT(""'收支紀錄'!H""&amp;TO_TEXT(ROW()-$C$72))"),"房屋支出")</f>
        <v>房屋支出</v>
      </c>
      <c r="I740" s="61" t="str">
        <f>IFERROR(__xludf.DUMMYFUNCTION("INDIRECT(""'收支紀錄'!I""&amp;TO_TEXT(ROW()-$C$72))"),"")</f>
        <v/>
      </c>
      <c r="J740" s="61" t="str">
        <f>IFERROR(__xludf.DUMMYFUNCTION("INDIRECT(""'收支紀錄'!J""&amp;TO_TEXT(ROW()-$C$72))"),"")</f>
        <v/>
      </c>
      <c r="K740" s="61" t="str">
        <f>IFERROR(__xludf.DUMMYFUNCTION("INDIRECT(""'收支紀錄'!K""&amp;TO_TEXT(ROW()-$C$72))"),"瓦斯費")</f>
        <v>瓦斯費</v>
      </c>
      <c r="L740" s="61" t="str">
        <f>IFERROR(__xludf.DUMMYFUNCTION("INDIRECT(""'收支紀錄'!L""&amp;TO_TEXT(ROW()-$C$72))"),"")</f>
        <v/>
      </c>
      <c r="M740" s="61" t="str">
        <f>IFERROR(__xludf.DUMMYFUNCTION("INDIRECT(""'收支紀錄'!M""&amp;TO_TEXT(ROW()-$C$72))"),"")</f>
        <v/>
      </c>
      <c r="N740" s="61" t="str">
        <f>IFERROR(__xludf.DUMMYFUNCTION("INDIRECT(""'收支紀錄'!N""&amp;TO_TEXT(ROW()-$C$72))"),"")</f>
        <v/>
      </c>
      <c r="O740" s="61" t="str">
        <f>IFERROR(__xludf.DUMMYFUNCTION("INDIRECT(""'收支紀錄'!O""&amp;TO_TEXT(ROW()-$C$72))"),"")</f>
        <v/>
      </c>
      <c r="P740" s="61" t="str">
        <f>IFERROR(__xludf.DUMMYFUNCTION("INDIRECT(""'收支紀錄'!P""&amp;TO_TEXT(ROW()-$C$72))"),"")</f>
        <v/>
      </c>
      <c r="Q740" s="61" t="str">
        <f>IFERROR(__xludf.DUMMYFUNCTION("INDIRECT(""'收支紀錄'!Q""&amp;TO_TEXT(ROW()-$C$72))"),"")</f>
        <v/>
      </c>
      <c r="R740" s="61" t="str">
        <f>IFERROR(__xludf.DUMMYFUNCTION("INDIRECT(""'收支紀錄'!R""&amp;TO_TEXT(ROW()-$C$72))"),"")</f>
        <v/>
      </c>
      <c r="S740" s="61" t="str">
        <f>IFERROR(__xludf.DUMMYFUNCTION("INDIRECT(""'收支紀錄'!S""&amp;TO_TEXT(ROW()-$C$72))"),"")</f>
        <v/>
      </c>
      <c r="T740" s="61" t="str">
        <f>IFERROR(__xludf.DUMMYFUNCTION("INDIRECT(""'收支紀錄'!T""&amp;TO_TEXT(ROW()-$C$72))"),"")</f>
        <v/>
      </c>
      <c r="U740" s="62" t="str">
        <f>IFERROR(__xludf.DUMMYFUNCTION("IF(T740=""是"",TEXTJOIN("""", TRUE, ""$"", TO_TEXT(C740), S740),"""")"),"")</f>
        <v/>
      </c>
    </row>
    <row r="741">
      <c r="A741" s="58">
        <f>IFERROR(__xludf.DUMMYFUNCTION("INDIRECT(""'收支紀錄'!A""&amp;TO_TEXT(ROW()-$C$72))"),45737.80016605324)</f>
        <v>45737.80017</v>
      </c>
      <c r="B741" s="59">
        <f>IFERROR(__xludf.DUMMYFUNCTION("IF(ISBLANK(D741), """", IF(ISDATE(D741), D741, IF(D741=""今天"", A741, IF(D741=""昨天 (-1 day)"", A741-1, IF(D741=""前天 (-2 days)"", A741-2, IF(D741=""明天 (+1 day)"", A741+1, DATE(LEFT(D741,4), MID(D741,5,2), RIGHT(D741,2))))))))"),45737.80016605324)</f>
        <v>45737.80017</v>
      </c>
      <c r="C741" s="60">
        <f>IFERROR(__xludf.DUMMYFUNCTION("INDIRECT(""'收支紀錄'!C""&amp;TO_TEXT(ROW()-$C$72))"),950.0)</f>
        <v>950</v>
      </c>
      <c r="D741" s="63" t="str">
        <f>IFERROR(__xludf.DUMMYFUNCTION("INDIRECT(""'收支紀錄'!D""&amp;TO_TEXT(ROW()-$C$72))"),"今天")</f>
        <v>今天</v>
      </c>
      <c r="E741" s="61" t="str">
        <f>IFERROR(__xludf.DUMMYFUNCTION("INDIRECT(""'收支紀錄'!E""&amp;TO_TEXT(ROW()-$C$72))"),"")</f>
        <v/>
      </c>
      <c r="F741" s="61" t="str">
        <f>IFERROR(__xludf.DUMMYFUNCTION("INDIRECT(""'收支紀錄'!F""&amp;TO_TEXT(ROW()-$C$72))"),"")</f>
        <v/>
      </c>
      <c r="G741" s="61" t="str">
        <f>IFERROR(__xludf.DUMMYFUNCTION("INDIRECT(""'收支紀錄'!G""&amp;TO_TEXT(ROW()-$C$72))"),"")</f>
        <v/>
      </c>
      <c r="H741" s="61" t="str">
        <f>IFERROR(__xludf.DUMMYFUNCTION("INDIRECT(""'收支紀錄'!H""&amp;TO_TEXT(ROW()-$C$72))"),"行車交通")</f>
        <v>行車交通</v>
      </c>
      <c r="I741" s="61" t="str">
        <f>IFERROR(__xludf.DUMMYFUNCTION("INDIRECT(""'收支紀錄'!I""&amp;TO_TEXT(ROW()-$C$72))"),"")</f>
        <v/>
      </c>
      <c r="J741" s="61" t="str">
        <f>IFERROR(__xludf.DUMMYFUNCTION("INDIRECT(""'收支紀錄'!J""&amp;TO_TEXT(ROW()-$C$72))"),"")</f>
        <v/>
      </c>
      <c r="K741" s="61" t="str">
        <f>IFERROR(__xludf.DUMMYFUNCTION("INDIRECT(""'收支紀錄'!K""&amp;TO_TEXT(ROW()-$C$72))"),"")</f>
        <v/>
      </c>
      <c r="L741" s="61" t="str">
        <f>IFERROR(__xludf.DUMMYFUNCTION("INDIRECT(""'收支紀錄'!L""&amp;TO_TEXT(ROW()-$C$72))"),"高鐵")</f>
        <v>高鐵</v>
      </c>
      <c r="M741" s="61" t="str">
        <f>IFERROR(__xludf.DUMMYFUNCTION("INDIRECT(""'收支紀錄'!M""&amp;TO_TEXT(ROW()-$C$72))"),"")</f>
        <v/>
      </c>
      <c r="N741" s="61" t="str">
        <f>IFERROR(__xludf.DUMMYFUNCTION("INDIRECT(""'收支紀錄'!N""&amp;TO_TEXT(ROW()-$C$72))"),"")</f>
        <v/>
      </c>
      <c r="O741" s="61" t="str">
        <f>IFERROR(__xludf.DUMMYFUNCTION("INDIRECT(""'收支紀錄'!O""&amp;TO_TEXT(ROW()-$C$72))"),"")</f>
        <v/>
      </c>
      <c r="P741" s="61" t="str">
        <f>IFERROR(__xludf.DUMMYFUNCTION("INDIRECT(""'收支紀錄'!P""&amp;TO_TEXT(ROW()-$C$72))"),"")</f>
        <v/>
      </c>
      <c r="Q741" s="61" t="str">
        <f>IFERROR(__xludf.DUMMYFUNCTION("INDIRECT(""'收支紀錄'!Q""&amp;TO_TEXT(ROW()-$C$72))"),"")</f>
        <v/>
      </c>
      <c r="R741" s="61" t="str">
        <f>IFERROR(__xludf.DUMMYFUNCTION("INDIRECT(""'收支紀錄'!R""&amp;TO_TEXT(ROW()-$C$72))"),"")</f>
        <v/>
      </c>
      <c r="S741" s="61" t="str">
        <f>IFERROR(__xludf.DUMMYFUNCTION("INDIRECT(""'收支紀錄'!S""&amp;TO_TEXT(ROW()-$C$72))"),"")</f>
        <v/>
      </c>
      <c r="T741" s="61" t="str">
        <f>IFERROR(__xludf.DUMMYFUNCTION("INDIRECT(""'收支紀錄'!T""&amp;TO_TEXT(ROW()-$C$72))"),"")</f>
        <v/>
      </c>
      <c r="U741" s="62" t="str">
        <f>IFERROR(__xludf.DUMMYFUNCTION("IF(T741=""是"",TEXTJOIN("""", TRUE, ""$"", TO_TEXT(C741), S741),"""")"),"")</f>
        <v/>
      </c>
    </row>
    <row r="742">
      <c r="A742" s="58">
        <f>IFERROR(__xludf.DUMMYFUNCTION("INDIRECT(""'收支紀錄'!A""&amp;TO_TEXT(ROW()-$C$72))"),45738.263288946764)</f>
        <v>45738.26329</v>
      </c>
      <c r="B742" s="59">
        <f>IFERROR(__xludf.DUMMYFUNCTION("IF(ISBLANK(D742), """", IF(ISDATE(D742), D742, IF(D742=""今天"", A742, IF(D742=""昨天 (-1 day)"", A742-1, IF(D742=""前天 (-2 days)"", A742-2, IF(D742=""明天 (+1 day)"", A742+1, DATE(LEFT(D742,4), MID(D742,5,2), RIGHT(D742,2))))))))"),45737.263288946764)</f>
        <v>45737.26329</v>
      </c>
      <c r="C742" s="60">
        <f>IFERROR(__xludf.DUMMYFUNCTION("INDIRECT(""'收支紀錄'!C""&amp;TO_TEXT(ROW()-$C$72))"),35.0)</f>
        <v>35</v>
      </c>
      <c r="D742" s="63" t="str">
        <f>IFERROR(__xludf.DUMMYFUNCTION("INDIRECT(""'收支紀錄'!D""&amp;TO_TEXT(ROW()-$C$72))"),"昨天 (-1 day)")</f>
        <v>昨天 (-1 day)</v>
      </c>
      <c r="E742" s="61" t="str">
        <f>IFERROR(__xludf.DUMMYFUNCTION("INDIRECT(""'收支紀錄'!E""&amp;TO_TEXT(ROW()-$C$72))"),"")</f>
        <v/>
      </c>
      <c r="F742" s="61" t="str">
        <f>IFERROR(__xludf.DUMMYFUNCTION("INDIRECT(""'收支紀錄'!F""&amp;TO_TEXT(ROW()-$C$72))"),"")</f>
        <v/>
      </c>
      <c r="G742" s="61" t="str">
        <f>IFERROR(__xludf.DUMMYFUNCTION("INDIRECT(""'收支紀錄'!G""&amp;TO_TEXT(ROW()-$C$72))"),"")</f>
        <v/>
      </c>
      <c r="H742" s="61" t="str">
        <f>IFERROR(__xludf.DUMMYFUNCTION("INDIRECT(""'收支紀錄'!H""&amp;TO_TEXT(ROW()-$C$72))"),"行車交通")</f>
        <v>行車交通</v>
      </c>
      <c r="I742" s="61" t="str">
        <f>IFERROR(__xludf.DUMMYFUNCTION("INDIRECT(""'收支紀錄'!I""&amp;TO_TEXT(ROW()-$C$72))"),"")</f>
        <v/>
      </c>
      <c r="J742" s="61" t="str">
        <f>IFERROR(__xludf.DUMMYFUNCTION("INDIRECT(""'收支紀錄'!J""&amp;TO_TEXT(ROW()-$C$72))"),"")</f>
        <v/>
      </c>
      <c r="K742" s="61" t="str">
        <f>IFERROR(__xludf.DUMMYFUNCTION("INDIRECT(""'收支紀錄'!K""&amp;TO_TEXT(ROW()-$C$72))"),"")</f>
        <v/>
      </c>
      <c r="L742" s="61" t="str">
        <f>IFERROR(__xludf.DUMMYFUNCTION("INDIRECT(""'收支紀錄'!L""&amp;TO_TEXT(ROW()-$C$72))"),"捷運費")</f>
        <v>捷運費</v>
      </c>
      <c r="M742" s="61" t="str">
        <f>IFERROR(__xludf.DUMMYFUNCTION("INDIRECT(""'收支紀錄'!M""&amp;TO_TEXT(ROW()-$C$72))"),"")</f>
        <v/>
      </c>
      <c r="N742" s="61" t="str">
        <f>IFERROR(__xludf.DUMMYFUNCTION("INDIRECT(""'收支紀錄'!N""&amp;TO_TEXT(ROW()-$C$72))"),"")</f>
        <v/>
      </c>
      <c r="O742" s="61" t="str">
        <f>IFERROR(__xludf.DUMMYFUNCTION("INDIRECT(""'收支紀錄'!O""&amp;TO_TEXT(ROW()-$C$72))"),"")</f>
        <v/>
      </c>
      <c r="P742" s="61" t="str">
        <f>IFERROR(__xludf.DUMMYFUNCTION("INDIRECT(""'收支紀錄'!P""&amp;TO_TEXT(ROW()-$C$72))"),"")</f>
        <v/>
      </c>
      <c r="Q742" s="61" t="str">
        <f>IFERROR(__xludf.DUMMYFUNCTION("INDIRECT(""'收支紀錄'!Q""&amp;TO_TEXT(ROW()-$C$72))"),"")</f>
        <v/>
      </c>
      <c r="R742" s="61" t="str">
        <f>IFERROR(__xludf.DUMMYFUNCTION("INDIRECT(""'收支紀錄'!R""&amp;TO_TEXT(ROW()-$C$72))"),"")</f>
        <v/>
      </c>
      <c r="S742" s="61" t="str">
        <f>IFERROR(__xludf.DUMMYFUNCTION("INDIRECT(""'收支紀錄'!S""&amp;TO_TEXT(ROW()-$C$72))"),"")</f>
        <v/>
      </c>
      <c r="T742" s="61" t="str">
        <f>IFERROR(__xludf.DUMMYFUNCTION("INDIRECT(""'收支紀錄'!T""&amp;TO_TEXT(ROW()-$C$72))"),"")</f>
        <v/>
      </c>
      <c r="U742" s="62" t="str">
        <f>IFERROR(__xludf.DUMMYFUNCTION("IF(T742=""是"",TEXTJOIN("""", TRUE, ""$"", TO_TEXT(C742), S742),"""")"),"")</f>
        <v/>
      </c>
    </row>
    <row r="743">
      <c r="A743" s="58">
        <f>IFERROR(__xludf.DUMMYFUNCTION("INDIRECT(""'收支紀錄'!A""&amp;TO_TEXT(ROW()-$C$72))"),45738.49714883102)</f>
        <v>45738.49715</v>
      </c>
      <c r="B743" s="59">
        <f>IFERROR(__xludf.DUMMYFUNCTION("IF(ISBLANK(D743), """", IF(ISDATE(D743), D743, IF(D743=""今天"", A743, IF(D743=""昨天 (-1 day)"", A743-1, IF(D743=""前天 (-2 days)"", A743-2, IF(D743=""明天 (+1 day)"", A743+1, DATE(LEFT(D743,4), MID(D743,5,2), RIGHT(D743,2))))))))"),45740.0)</f>
        <v>45740</v>
      </c>
      <c r="C743" s="60">
        <f>IFERROR(__xludf.DUMMYFUNCTION("INDIRECT(""'收支紀錄'!C""&amp;TO_TEXT(ROW()-$C$72))"),622.0)</f>
        <v>622</v>
      </c>
      <c r="D743" s="63">
        <f>IFERROR(__xludf.DUMMYFUNCTION("INDIRECT(""'收支紀錄'!D""&amp;TO_TEXT(ROW()-$C$72))"),2.0250324E7)</f>
        <v>20250324</v>
      </c>
      <c r="E743" s="61" t="str">
        <f>IFERROR(__xludf.DUMMYFUNCTION("INDIRECT(""'收支紀錄'!E""&amp;TO_TEXT(ROW()-$C$72))"),"")</f>
        <v/>
      </c>
      <c r="F743" s="61" t="str">
        <f>IFERROR(__xludf.DUMMYFUNCTION("INDIRECT(""'收支紀錄'!F""&amp;TO_TEXT(ROW()-$C$72))"),"")</f>
        <v/>
      </c>
      <c r="G743" s="61" t="str">
        <f>IFERROR(__xludf.DUMMYFUNCTION("INDIRECT(""'收支紀錄'!G""&amp;TO_TEXT(ROW()-$C$72))"),"")</f>
        <v/>
      </c>
      <c r="H743" s="61" t="str">
        <f>IFERROR(__xludf.DUMMYFUNCTION("INDIRECT(""'收支紀錄'!H""&amp;TO_TEXT(ROW()-$C$72))"),"行車交通")</f>
        <v>行車交通</v>
      </c>
      <c r="I743" s="61" t="str">
        <f>IFERROR(__xludf.DUMMYFUNCTION("INDIRECT(""'收支紀錄'!I""&amp;TO_TEXT(ROW()-$C$72))"),"")</f>
        <v/>
      </c>
      <c r="J743" s="61" t="str">
        <f>IFERROR(__xludf.DUMMYFUNCTION("INDIRECT(""'收支紀錄'!J""&amp;TO_TEXT(ROW()-$C$72))"),"")</f>
        <v/>
      </c>
      <c r="K743" s="61" t="str">
        <f>IFERROR(__xludf.DUMMYFUNCTION("INDIRECT(""'收支紀錄'!K""&amp;TO_TEXT(ROW()-$C$72))"),"")</f>
        <v/>
      </c>
      <c r="L743" s="61" t="str">
        <f>IFERROR(__xludf.DUMMYFUNCTION("INDIRECT(""'收支紀錄'!L""&amp;TO_TEXT(ROW()-$C$72))"),"火車費")</f>
        <v>火車費</v>
      </c>
      <c r="M743" s="61" t="str">
        <f>IFERROR(__xludf.DUMMYFUNCTION("INDIRECT(""'收支紀錄'!M""&amp;TO_TEXT(ROW()-$C$72))"),"")</f>
        <v/>
      </c>
      <c r="N743" s="61" t="str">
        <f>IFERROR(__xludf.DUMMYFUNCTION("INDIRECT(""'收支紀錄'!N""&amp;TO_TEXT(ROW()-$C$72))"),"")</f>
        <v/>
      </c>
      <c r="O743" s="61" t="str">
        <f>IFERROR(__xludf.DUMMYFUNCTION("INDIRECT(""'收支紀錄'!O""&amp;TO_TEXT(ROW()-$C$72))"),"")</f>
        <v/>
      </c>
      <c r="P743" s="61" t="str">
        <f>IFERROR(__xludf.DUMMYFUNCTION("INDIRECT(""'收支紀錄'!P""&amp;TO_TEXT(ROW()-$C$72))"),"")</f>
        <v/>
      </c>
      <c r="Q743" s="61" t="str">
        <f>IFERROR(__xludf.DUMMYFUNCTION("INDIRECT(""'收支紀錄'!Q""&amp;TO_TEXT(ROW()-$C$72))"),"")</f>
        <v/>
      </c>
      <c r="R743" s="61" t="str">
        <f>IFERROR(__xludf.DUMMYFUNCTION("INDIRECT(""'收支紀錄'!R""&amp;TO_TEXT(ROW()-$C$72))"),"")</f>
        <v/>
      </c>
      <c r="S743" s="61" t="str">
        <f>IFERROR(__xludf.DUMMYFUNCTION("INDIRECT(""'收支紀錄'!S""&amp;TO_TEXT(ROW()-$C$72))"),"")</f>
        <v/>
      </c>
      <c r="T743" s="61" t="str">
        <f>IFERROR(__xludf.DUMMYFUNCTION("INDIRECT(""'收支紀錄'!T""&amp;TO_TEXT(ROW()-$C$72))"),"")</f>
        <v/>
      </c>
      <c r="U743" s="62" t="str">
        <f>IFERROR(__xludf.DUMMYFUNCTION("IF(T743=""是"",TEXTJOIN("""", TRUE, ""$"", TO_TEXT(C743), S743),"""")"),"")</f>
        <v/>
      </c>
    </row>
    <row r="744">
      <c r="A744" s="58">
        <f>IFERROR(__xludf.DUMMYFUNCTION("INDIRECT(""'收支紀錄'!A""&amp;TO_TEXT(ROW()-$C$72))"),45739.449772002314)</f>
        <v>45739.44977</v>
      </c>
      <c r="B744" s="59">
        <f>IFERROR(__xludf.DUMMYFUNCTION("IF(ISBLANK(D744), """", IF(ISDATE(D744), D744, IF(D744=""今天"", A744, IF(D744=""昨天 (-1 day)"", A744-1, IF(D744=""前天 (-2 days)"", A744-2, IF(D744=""明天 (+1 day)"", A744+1, DATE(LEFT(D744,4), MID(D744,5,2), RIGHT(D744,2))))))))"),45744.0)</f>
        <v>45744</v>
      </c>
      <c r="C744" s="60">
        <f>IFERROR(__xludf.DUMMYFUNCTION("INDIRECT(""'收支紀錄'!C""&amp;TO_TEXT(ROW()-$C$72))"),722.0)</f>
        <v>722</v>
      </c>
      <c r="D744" s="63">
        <f>IFERROR(__xludf.DUMMYFUNCTION("INDIRECT(""'收支紀錄'!D""&amp;TO_TEXT(ROW()-$C$72))"),2.0250328E7)</f>
        <v>20250328</v>
      </c>
      <c r="E744" s="61" t="str">
        <f>IFERROR(__xludf.DUMMYFUNCTION("INDIRECT(""'收支紀錄'!E""&amp;TO_TEXT(ROW()-$C$72))"),"")</f>
        <v/>
      </c>
      <c r="F744" s="61" t="str">
        <f>IFERROR(__xludf.DUMMYFUNCTION("INDIRECT(""'收支紀錄'!F""&amp;TO_TEXT(ROW()-$C$72))"),"")</f>
        <v/>
      </c>
      <c r="G744" s="61" t="str">
        <f>IFERROR(__xludf.DUMMYFUNCTION("INDIRECT(""'收支紀錄'!G""&amp;TO_TEXT(ROW()-$C$72))"),"")</f>
        <v/>
      </c>
      <c r="H744" s="61" t="str">
        <f>IFERROR(__xludf.DUMMYFUNCTION("INDIRECT(""'收支紀錄'!H""&amp;TO_TEXT(ROW()-$C$72))"),"日常生活")</f>
        <v>日常生活</v>
      </c>
      <c r="I744" s="61" t="str">
        <f>IFERROR(__xludf.DUMMYFUNCTION("INDIRECT(""'收支紀錄'!I""&amp;TO_TEXT(ROW()-$C$72))"),"")</f>
        <v/>
      </c>
      <c r="J744" s="61" t="str">
        <f>IFERROR(__xludf.DUMMYFUNCTION("INDIRECT(""'收支紀錄'!J""&amp;TO_TEXT(ROW()-$C$72))"),"電話費")</f>
        <v>電話費</v>
      </c>
      <c r="K744" s="61" t="str">
        <f>IFERROR(__xludf.DUMMYFUNCTION("INDIRECT(""'收支紀錄'!K""&amp;TO_TEXT(ROW()-$C$72))"),"")</f>
        <v/>
      </c>
      <c r="L744" s="61" t="str">
        <f>IFERROR(__xludf.DUMMYFUNCTION("INDIRECT(""'收支紀錄'!L""&amp;TO_TEXT(ROW()-$C$72))"),"")</f>
        <v/>
      </c>
      <c r="M744" s="61" t="str">
        <f>IFERROR(__xludf.DUMMYFUNCTION("INDIRECT(""'收支紀錄'!M""&amp;TO_TEXT(ROW()-$C$72))"),"")</f>
        <v/>
      </c>
      <c r="N744" s="61" t="str">
        <f>IFERROR(__xludf.DUMMYFUNCTION("INDIRECT(""'收支紀錄'!N""&amp;TO_TEXT(ROW()-$C$72))"),"")</f>
        <v/>
      </c>
      <c r="O744" s="61" t="str">
        <f>IFERROR(__xludf.DUMMYFUNCTION("INDIRECT(""'收支紀錄'!O""&amp;TO_TEXT(ROW()-$C$72))"),"")</f>
        <v/>
      </c>
      <c r="P744" s="61" t="str">
        <f>IFERROR(__xludf.DUMMYFUNCTION("INDIRECT(""'收支紀錄'!P""&amp;TO_TEXT(ROW()-$C$72))"),"")</f>
        <v/>
      </c>
      <c r="Q744" s="61" t="str">
        <f>IFERROR(__xludf.DUMMYFUNCTION("INDIRECT(""'收支紀錄'!Q""&amp;TO_TEXT(ROW()-$C$72))"),"")</f>
        <v/>
      </c>
      <c r="R744" s="61" t="str">
        <f>IFERROR(__xludf.DUMMYFUNCTION("INDIRECT(""'收支紀錄'!R""&amp;TO_TEXT(ROW()-$C$72))"),"")</f>
        <v/>
      </c>
      <c r="S744" s="61" t="str">
        <f>IFERROR(__xludf.DUMMYFUNCTION("INDIRECT(""'收支紀錄'!S""&amp;TO_TEXT(ROW()-$C$72))"),"")</f>
        <v/>
      </c>
      <c r="T744" s="61" t="str">
        <f>IFERROR(__xludf.DUMMYFUNCTION("INDIRECT(""'收支紀錄'!T""&amp;TO_TEXT(ROW()-$C$72))"),"")</f>
        <v/>
      </c>
      <c r="U744" s="62" t="str">
        <f>IFERROR(__xludf.DUMMYFUNCTION("IF(T744=""是"",TEXTJOIN("""", TRUE, ""$"", TO_TEXT(C744), S744),"""")"),"")</f>
        <v/>
      </c>
    </row>
    <row r="745">
      <c r="A745" s="58">
        <f>IFERROR(__xludf.DUMMYFUNCTION("INDIRECT(""'收支紀錄'!A""&amp;TO_TEXT(ROW()-$C$72))"),45739.533486597225)</f>
        <v>45739.53349</v>
      </c>
      <c r="B745" s="59">
        <f>IFERROR(__xludf.DUMMYFUNCTION("IF(ISBLANK(D745), """", IF(ISDATE(D745), D745, IF(D745=""今天"", A745, IF(D745=""昨天 (-1 day)"", A745-1, IF(D745=""前天 (-2 days)"", A745-2, IF(D745=""明天 (+1 day)"", A745+1, DATE(LEFT(D745,4), MID(D745,5,2), RIGHT(D745,2))))))))"),45739.533486597225)</f>
        <v>45739.53349</v>
      </c>
      <c r="C745" s="60">
        <f>IFERROR(__xludf.DUMMYFUNCTION("INDIRECT(""'收支紀錄'!C""&amp;TO_TEXT(ROW()-$C$72))"),550.0)</f>
        <v>550</v>
      </c>
      <c r="D745" s="63" t="str">
        <f>IFERROR(__xludf.DUMMYFUNCTION("INDIRECT(""'收支紀錄'!D""&amp;TO_TEXT(ROW()-$C$72))"),"今天")</f>
        <v>今天</v>
      </c>
      <c r="E745" s="61" t="str">
        <f>IFERROR(__xludf.DUMMYFUNCTION("INDIRECT(""'收支紀錄'!E""&amp;TO_TEXT(ROW()-$C$72))"),"")</f>
        <v/>
      </c>
      <c r="F745" s="61" t="str">
        <f>IFERROR(__xludf.DUMMYFUNCTION("INDIRECT(""'收支紀錄'!F""&amp;TO_TEXT(ROW()-$C$72))"),"")</f>
        <v/>
      </c>
      <c r="G745" s="61" t="str">
        <f>IFERROR(__xludf.DUMMYFUNCTION("INDIRECT(""'收支紀錄'!G""&amp;TO_TEXT(ROW()-$C$72))"),"")</f>
        <v/>
      </c>
      <c r="H745" s="61" t="str">
        <f>IFERROR(__xludf.DUMMYFUNCTION("INDIRECT(""'收支紀錄'!H""&amp;TO_TEXT(ROW()-$C$72))"),"休閒娛樂")</f>
        <v>休閒娛樂</v>
      </c>
      <c r="I745" s="61" t="str">
        <f>IFERROR(__xludf.DUMMYFUNCTION("INDIRECT(""'收支紀錄'!I""&amp;TO_TEXT(ROW()-$C$72))"),"")</f>
        <v/>
      </c>
      <c r="J745" s="61" t="str">
        <f>IFERROR(__xludf.DUMMYFUNCTION("INDIRECT(""'收支紀錄'!J""&amp;TO_TEXT(ROW()-$C$72))"),"")</f>
        <v/>
      </c>
      <c r="K745" s="61" t="str">
        <f>IFERROR(__xludf.DUMMYFUNCTION("INDIRECT(""'收支紀錄'!K""&amp;TO_TEXT(ROW()-$C$72))"),"")</f>
        <v/>
      </c>
      <c r="L745" s="61" t="str">
        <f>IFERROR(__xludf.DUMMYFUNCTION("INDIRECT(""'收支紀錄'!L""&amp;TO_TEXT(ROW()-$C$72))"),"")</f>
        <v/>
      </c>
      <c r="M745" s="61" t="str">
        <f>IFERROR(__xludf.DUMMYFUNCTION("INDIRECT(""'收支紀錄'!M""&amp;TO_TEXT(ROW()-$C$72))"),"剪髮")</f>
        <v>剪髮</v>
      </c>
      <c r="N745" s="61" t="str">
        <f>IFERROR(__xludf.DUMMYFUNCTION("INDIRECT(""'收支紀錄'!N""&amp;TO_TEXT(ROW()-$C$72))"),"")</f>
        <v/>
      </c>
      <c r="O745" s="61" t="str">
        <f>IFERROR(__xludf.DUMMYFUNCTION("INDIRECT(""'收支紀錄'!O""&amp;TO_TEXT(ROW()-$C$72))"),"")</f>
        <v/>
      </c>
      <c r="P745" s="61" t="str">
        <f>IFERROR(__xludf.DUMMYFUNCTION("INDIRECT(""'收支紀錄'!P""&amp;TO_TEXT(ROW()-$C$72))"),"")</f>
        <v/>
      </c>
      <c r="Q745" s="61" t="str">
        <f>IFERROR(__xludf.DUMMYFUNCTION("INDIRECT(""'收支紀錄'!Q""&amp;TO_TEXT(ROW()-$C$72))"),"")</f>
        <v/>
      </c>
      <c r="R745" s="61" t="str">
        <f>IFERROR(__xludf.DUMMYFUNCTION("INDIRECT(""'收支紀錄'!R""&amp;TO_TEXT(ROW()-$C$72))"),"")</f>
        <v/>
      </c>
      <c r="S745" s="61" t="str">
        <f>IFERROR(__xludf.DUMMYFUNCTION("INDIRECT(""'收支紀錄'!S""&amp;TO_TEXT(ROW()-$C$72))"),"")</f>
        <v/>
      </c>
      <c r="T745" s="61" t="str">
        <f>IFERROR(__xludf.DUMMYFUNCTION("INDIRECT(""'收支紀錄'!T""&amp;TO_TEXT(ROW()-$C$72))"),"")</f>
        <v/>
      </c>
      <c r="U745" s="62" t="str">
        <f>IFERROR(__xludf.DUMMYFUNCTION("IF(T745=""是"",TEXTJOIN("""", TRUE, ""$"", TO_TEXT(C745), S745),"""")"),"")</f>
        <v/>
      </c>
    </row>
    <row r="746">
      <c r="A746" s="58">
        <f>IFERROR(__xludf.DUMMYFUNCTION("INDIRECT(""'收支紀錄'!A""&amp;TO_TEXT(ROW()-$C$72))"),45739.55229752314)</f>
        <v>45739.5523</v>
      </c>
      <c r="B746" s="59">
        <f>IFERROR(__xludf.DUMMYFUNCTION("IF(ISBLANK(D746), """", IF(ISDATE(D746), D746, IF(D746=""今天"", A746, IF(D746=""昨天 (-1 day)"", A746-1, IF(D746=""前天 (-2 days)"", A746-2, IF(D746=""明天 (+1 day)"", A746+1, DATE(LEFT(D746,4), MID(D746,5,2), RIGHT(D746,2))))))))"),45739.55229752314)</f>
        <v>45739.5523</v>
      </c>
      <c r="C746" s="60">
        <f>IFERROR(__xludf.DUMMYFUNCTION("INDIRECT(""'收支紀錄'!C""&amp;TO_TEXT(ROW()-$C$72))"),73.0)</f>
        <v>73</v>
      </c>
      <c r="D746" s="63" t="str">
        <f>IFERROR(__xludf.DUMMYFUNCTION("INDIRECT(""'收支紀錄'!D""&amp;TO_TEXT(ROW()-$C$72))"),"今天")</f>
        <v>今天</v>
      </c>
      <c r="E746" s="61" t="str">
        <f>IFERROR(__xludf.DUMMYFUNCTION("INDIRECT(""'收支紀錄'!E""&amp;TO_TEXT(ROW()-$C$72))"),"")</f>
        <v/>
      </c>
      <c r="F746" s="61" t="str">
        <f>IFERROR(__xludf.DUMMYFUNCTION("INDIRECT(""'收支紀錄'!F""&amp;TO_TEXT(ROW()-$C$72))"),"")</f>
        <v/>
      </c>
      <c r="G746" s="61" t="str">
        <f>IFERROR(__xludf.DUMMYFUNCTION("INDIRECT(""'收支紀錄'!G""&amp;TO_TEXT(ROW()-$C$72))"),"")</f>
        <v/>
      </c>
      <c r="H746" s="61" t="str">
        <f>IFERROR(__xludf.DUMMYFUNCTION("INDIRECT(""'收支紀錄'!H""&amp;TO_TEXT(ROW()-$C$72))"),"食品酒水")</f>
        <v>食品酒水</v>
      </c>
      <c r="I746" s="61" t="str">
        <f>IFERROR(__xludf.DUMMYFUNCTION("INDIRECT(""'收支紀錄'!I""&amp;TO_TEXT(ROW()-$C$72))"),"午餐")</f>
        <v>午餐</v>
      </c>
      <c r="J746" s="61" t="str">
        <f>IFERROR(__xludf.DUMMYFUNCTION("INDIRECT(""'收支紀錄'!J""&amp;TO_TEXT(ROW()-$C$72))"),"")</f>
        <v/>
      </c>
      <c r="K746" s="61" t="str">
        <f>IFERROR(__xludf.DUMMYFUNCTION("INDIRECT(""'收支紀錄'!K""&amp;TO_TEXT(ROW()-$C$72))"),"")</f>
        <v/>
      </c>
      <c r="L746" s="61" t="str">
        <f>IFERROR(__xludf.DUMMYFUNCTION("INDIRECT(""'收支紀錄'!L""&amp;TO_TEXT(ROW()-$C$72))"),"")</f>
        <v/>
      </c>
      <c r="M746" s="61" t="str">
        <f>IFERROR(__xludf.DUMMYFUNCTION("INDIRECT(""'收支紀錄'!M""&amp;TO_TEXT(ROW()-$C$72))"),"")</f>
        <v/>
      </c>
      <c r="N746" s="61" t="str">
        <f>IFERROR(__xludf.DUMMYFUNCTION("INDIRECT(""'收支紀錄'!N""&amp;TO_TEXT(ROW()-$C$72))"),"")</f>
        <v/>
      </c>
      <c r="O746" s="61" t="str">
        <f>IFERROR(__xludf.DUMMYFUNCTION("INDIRECT(""'收支紀錄'!O""&amp;TO_TEXT(ROW()-$C$72))"),"")</f>
        <v/>
      </c>
      <c r="P746" s="61" t="str">
        <f>IFERROR(__xludf.DUMMYFUNCTION("INDIRECT(""'收支紀錄'!P""&amp;TO_TEXT(ROW()-$C$72))"),"")</f>
        <v/>
      </c>
      <c r="Q746" s="61" t="str">
        <f>IFERROR(__xludf.DUMMYFUNCTION("INDIRECT(""'收支紀錄'!Q""&amp;TO_TEXT(ROW()-$C$72))"),"")</f>
        <v/>
      </c>
      <c r="R746" s="61" t="str">
        <f>IFERROR(__xludf.DUMMYFUNCTION("INDIRECT(""'收支紀錄'!R""&amp;TO_TEXT(ROW()-$C$72))"),"")</f>
        <v/>
      </c>
      <c r="S746" s="61" t="str">
        <f>IFERROR(__xludf.DUMMYFUNCTION("INDIRECT(""'收支紀錄'!S""&amp;TO_TEXT(ROW()-$C$72))"),"")</f>
        <v/>
      </c>
      <c r="T746" s="61" t="str">
        <f>IFERROR(__xludf.DUMMYFUNCTION("INDIRECT(""'收支紀錄'!T""&amp;TO_TEXT(ROW()-$C$72))"),"")</f>
        <v/>
      </c>
      <c r="U746" s="62" t="str">
        <f>IFERROR(__xludf.DUMMYFUNCTION("IF(T746=""是"",TEXTJOIN("""", TRUE, ""$"", TO_TEXT(C746), S746),"""")"),"")</f>
        <v/>
      </c>
    </row>
    <row r="747">
      <c r="A747" s="58">
        <f>IFERROR(__xludf.DUMMYFUNCTION("INDIRECT(""'收支紀錄'!A""&amp;TO_TEXT(ROW()-$C$72))"),45739.81627597222)</f>
        <v>45739.81628</v>
      </c>
      <c r="B747" s="59">
        <f>IFERROR(__xludf.DUMMYFUNCTION("IF(ISBLANK(D747), """", IF(ISDATE(D747), D747, IF(D747=""今天"", A747, IF(D747=""昨天 (-1 day)"", A747-1, IF(D747=""前天 (-2 days)"", A747-2, IF(D747=""明天 (+1 day)"", A747+1, DATE(LEFT(D747,4), MID(D747,5,2), RIGHT(D747,2))))))))"),45739.81627597222)</f>
        <v>45739.81628</v>
      </c>
      <c r="C747" s="60">
        <f>IFERROR(__xludf.DUMMYFUNCTION("INDIRECT(""'收支紀錄'!C""&amp;TO_TEXT(ROW()-$C$72))"),50.0)</f>
        <v>50</v>
      </c>
      <c r="D747" s="63" t="str">
        <f>IFERROR(__xludf.DUMMYFUNCTION("INDIRECT(""'收支紀錄'!D""&amp;TO_TEXT(ROW()-$C$72))"),"今天")</f>
        <v>今天</v>
      </c>
      <c r="E747" s="61" t="str">
        <f>IFERROR(__xludf.DUMMYFUNCTION("INDIRECT(""'收支紀錄'!E""&amp;TO_TEXT(ROW()-$C$72))"),"")</f>
        <v/>
      </c>
      <c r="F747" s="61" t="str">
        <f>IFERROR(__xludf.DUMMYFUNCTION("INDIRECT(""'收支紀錄'!F""&amp;TO_TEXT(ROW()-$C$72))"),"")</f>
        <v/>
      </c>
      <c r="G747" s="61" t="str">
        <f>IFERROR(__xludf.DUMMYFUNCTION("INDIRECT(""'收支紀錄'!G""&amp;TO_TEXT(ROW()-$C$72))"),"")</f>
        <v/>
      </c>
      <c r="H747" s="61" t="str">
        <f>IFERROR(__xludf.DUMMYFUNCTION("INDIRECT(""'收支紀錄'!H""&amp;TO_TEXT(ROW()-$C$72))"),"行車交通")</f>
        <v>行車交通</v>
      </c>
      <c r="I747" s="61" t="str">
        <f>IFERROR(__xludf.DUMMYFUNCTION("INDIRECT(""'收支紀錄'!I""&amp;TO_TEXT(ROW()-$C$72))"),"")</f>
        <v/>
      </c>
      <c r="J747" s="61" t="str">
        <f>IFERROR(__xludf.DUMMYFUNCTION("INDIRECT(""'收支紀錄'!J""&amp;TO_TEXT(ROW()-$C$72))"),"")</f>
        <v/>
      </c>
      <c r="K747" s="61" t="str">
        <f>IFERROR(__xludf.DUMMYFUNCTION("INDIRECT(""'收支紀錄'!K""&amp;TO_TEXT(ROW()-$C$72))"),"")</f>
        <v/>
      </c>
      <c r="L747" s="61" t="str">
        <f>IFERROR(__xludf.DUMMYFUNCTION("INDIRECT(""'收支紀錄'!L""&amp;TO_TEXT(ROW()-$C$72))"),"捷運費")</f>
        <v>捷運費</v>
      </c>
      <c r="M747" s="61" t="str">
        <f>IFERROR(__xludf.DUMMYFUNCTION("INDIRECT(""'收支紀錄'!M""&amp;TO_TEXT(ROW()-$C$72))"),"")</f>
        <v/>
      </c>
      <c r="N747" s="61" t="str">
        <f>IFERROR(__xludf.DUMMYFUNCTION("INDIRECT(""'收支紀錄'!N""&amp;TO_TEXT(ROW()-$C$72))"),"")</f>
        <v/>
      </c>
      <c r="O747" s="61" t="str">
        <f>IFERROR(__xludf.DUMMYFUNCTION("INDIRECT(""'收支紀錄'!O""&amp;TO_TEXT(ROW()-$C$72))"),"")</f>
        <v/>
      </c>
      <c r="P747" s="61" t="str">
        <f>IFERROR(__xludf.DUMMYFUNCTION("INDIRECT(""'收支紀錄'!P""&amp;TO_TEXT(ROW()-$C$72))"),"")</f>
        <v/>
      </c>
      <c r="Q747" s="61" t="str">
        <f>IFERROR(__xludf.DUMMYFUNCTION("INDIRECT(""'收支紀錄'!Q""&amp;TO_TEXT(ROW()-$C$72))"),"")</f>
        <v/>
      </c>
      <c r="R747" s="61" t="str">
        <f>IFERROR(__xludf.DUMMYFUNCTION("INDIRECT(""'收支紀錄'!R""&amp;TO_TEXT(ROW()-$C$72))"),"")</f>
        <v/>
      </c>
      <c r="S747" s="61" t="str">
        <f>IFERROR(__xludf.DUMMYFUNCTION("INDIRECT(""'收支紀錄'!S""&amp;TO_TEXT(ROW()-$C$72))"),"")</f>
        <v/>
      </c>
      <c r="T747" s="61" t="str">
        <f>IFERROR(__xludf.DUMMYFUNCTION("INDIRECT(""'收支紀錄'!T""&amp;TO_TEXT(ROW()-$C$72))"),"")</f>
        <v/>
      </c>
      <c r="U747" s="62" t="str">
        <f>IFERROR(__xludf.DUMMYFUNCTION("IF(T747=""是"",TEXTJOIN("""", TRUE, ""$"", TO_TEXT(C747), S747),"""")"),"")</f>
        <v/>
      </c>
    </row>
    <row r="748">
      <c r="A748" s="58">
        <f>IFERROR(__xludf.DUMMYFUNCTION("INDIRECT(""'收支紀錄'!A""&amp;TO_TEXT(ROW()-$C$72))"),45742.338128171294)</f>
        <v>45742.33813</v>
      </c>
      <c r="B748" s="59">
        <f>IFERROR(__xludf.DUMMYFUNCTION("IF(ISBLANK(D748), """", IF(ISDATE(D748), D748, IF(D748=""今天"", A748, IF(D748=""昨天 (-1 day)"", A748-1, IF(D748=""前天 (-2 days)"", A748-2, IF(D748=""明天 (+1 day)"", A748+1, DATE(LEFT(D748,4), MID(D748,5,2), RIGHT(D748,2))))))))"),45742.338128171294)</f>
        <v>45742.33813</v>
      </c>
      <c r="C748" s="60">
        <f>IFERROR(__xludf.DUMMYFUNCTION("INDIRECT(""'收支紀錄'!C""&amp;TO_TEXT(ROW()-$C$72))"),508.0)</f>
        <v>508</v>
      </c>
      <c r="D748" s="63" t="str">
        <f>IFERROR(__xludf.DUMMYFUNCTION("INDIRECT(""'收支紀錄'!D""&amp;TO_TEXT(ROW()-$C$72))"),"今天")</f>
        <v>今天</v>
      </c>
      <c r="E748" s="61" t="str">
        <f>IFERROR(__xludf.DUMMYFUNCTION("INDIRECT(""'收支紀錄'!E""&amp;TO_TEXT(ROW()-$C$72))"),"")</f>
        <v/>
      </c>
      <c r="F748" s="61" t="str">
        <f>IFERROR(__xludf.DUMMYFUNCTION("INDIRECT(""'收支紀錄'!F""&amp;TO_TEXT(ROW()-$C$72))"),"")</f>
        <v/>
      </c>
      <c r="G748" s="61" t="str">
        <f>IFERROR(__xludf.DUMMYFUNCTION("INDIRECT(""'收支紀錄'!G""&amp;TO_TEXT(ROW()-$C$72))"),"")</f>
        <v/>
      </c>
      <c r="H748" s="61" t="str">
        <f>IFERROR(__xludf.DUMMYFUNCTION("INDIRECT(""'收支紀錄'!H""&amp;TO_TEXT(ROW()-$C$72))"),"房屋支出")</f>
        <v>房屋支出</v>
      </c>
      <c r="I748" s="61" t="str">
        <f>IFERROR(__xludf.DUMMYFUNCTION("INDIRECT(""'收支紀錄'!I""&amp;TO_TEXT(ROW()-$C$72))"),"")</f>
        <v/>
      </c>
      <c r="J748" s="61" t="str">
        <f>IFERROR(__xludf.DUMMYFUNCTION("INDIRECT(""'收支紀錄'!J""&amp;TO_TEXT(ROW()-$C$72))"),"")</f>
        <v/>
      </c>
      <c r="K748" s="61" t="str">
        <f>IFERROR(__xludf.DUMMYFUNCTION("INDIRECT(""'收支紀錄'!K""&amp;TO_TEXT(ROW()-$C$72))"),"租屋電費")</f>
        <v>租屋電費</v>
      </c>
      <c r="L748" s="61" t="str">
        <f>IFERROR(__xludf.DUMMYFUNCTION("INDIRECT(""'收支紀錄'!L""&amp;TO_TEXT(ROW()-$C$72))"),"")</f>
        <v/>
      </c>
      <c r="M748" s="61" t="str">
        <f>IFERROR(__xludf.DUMMYFUNCTION("INDIRECT(""'收支紀錄'!M""&amp;TO_TEXT(ROW()-$C$72))"),"")</f>
        <v/>
      </c>
      <c r="N748" s="61" t="str">
        <f>IFERROR(__xludf.DUMMYFUNCTION("INDIRECT(""'收支紀錄'!N""&amp;TO_TEXT(ROW()-$C$72))"),"")</f>
        <v/>
      </c>
      <c r="O748" s="61" t="str">
        <f>IFERROR(__xludf.DUMMYFUNCTION("INDIRECT(""'收支紀錄'!O""&amp;TO_TEXT(ROW()-$C$72))"),"")</f>
        <v/>
      </c>
      <c r="P748" s="61" t="str">
        <f>IFERROR(__xludf.DUMMYFUNCTION("INDIRECT(""'收支紀錄'!P""&amp;TO_TEXT(ROW()-$C$72))"),"")</f>
        <v/>
      </c>
      <c r="Q748" s="61" t="str">
        <f>IFERROR(__xludf.DUMMYFUNCTION("INDIRECT(""'收支紀錄'!Q""&amp;TO_TEXT(ROW()-$C$72))"),"")</f>
        <v/>
      </c>
      <c r="R748" s="61" t="str">
        <f>IFERROR(__xludf.DUMMYFUNCTION("INDIRECT(""'收支紀錄'!R""&amp;TO_TEXT(ROW()-$C$72))"),"")</f>
        <v/>
      </c>
      <c r="S748" s="61" t="str">
        <f>IFERROR(__xludf.DUMMYFUNCTION("INDIRECT(""'收支紀錄'!S""&amp;TO_TEXT(ROW()-$C$72))"),"")</f>
        <v/>
      </c>
      <c r="T748" s="61" t="str">
        <f>IFERROR(__xludf.DUMMYFUNCTION("INDIRECT(""'收支紀錄'!T""&amp;TO_TEXT(ROW()-$C$72))"),"")</f>
        <v/>
      </c>
      <c r="U748" s="62" t="str">
        <f>IFERROR(__xludf.DUMMYFUNCTION("IF(T748=""是"",TEXTJOIN("""", TRUE, ""$"", TO_TEXT(C748), S748),"""")"),"")</f>
        <v/>
      </c>
    </row>
    <row r="749">
      <c r="A749" s="58">
        <f>IFERROR(__xludf.DUMMYFUNCTION("INDIRECT(""'收支紀錄'!A""&amp;TO_TEXT(ROW()-$C$72))"),45742.66285209491)</f>
        <v>45742.66285</v>
      </c>
      <c r="B749" s="59">
        <f>IFERROR(__xludf.DUMMYFUNCTION("IF(ISBLANK(D749), """", IF(ISDATE(D749), D749, IF(D749=""今天"", A749, IF(D749=""昨天 (-1 day)"", A749-1, IF(D749=""前天 (-2 days)"", A749-2, IF(D749=""明天 (+1 day)"", A749+1, DATE(LEFT(D749,4), MID(D749,5,2), RIGHT(D749,2))))))))"),45742.66285209491)</f>
        <v>45742.66285</v>
      </c>
      <c r="C749" s="60">
        <f>IFERROR(__xludf.DUMMYFUNCTION("INDIRECT(""'收支紀錄'!C""&amp;TO_TEXT(ROW()-$C$72))"),200.0)</f>
        <v>200</v>
      </c>
      <c r="D749" s="63" t="str">
        <f>IFERROR(__xludf.DUMMYFUNCTION("INDIRECT(""'收支紀錄'!D""&amp;TO_TEXT(ROW()-$C$72))"),"今天")</f>
        <v>今天</v>
      </c>
      <c r="E749" s="61" t="str">
        <f>IFERROR(__xludf.DUMMYFUNCTION("INDIRECT(""'收支紀錄'!E""&amp;TO_TEXT(ROW()-$C$72))"),"")</f>
        <v/>
      </c>
      <c r="F749" s="61" t="str">
        <f>IFERROR(__xludf.DUMMYFUNCTION("INDIRECT(""'收支紀錄'!F""&amp;TO_TEXT(ROW()-$C$72))"),"")</f>
        <v/>
      </c>
      <c r="G749" s="61" t="str">
        <f>IFERROR(__xludf.DUMMYFUNCTION("INDIRECT(""'收支紀錄'!G""&amp;TO_TEXT(ROW()-$C$72))"),"")</f>
        <v/>
      </c>
      <c r="H749" s="61" t="str">
        <f>IFERROR(__xludf.DUMMYFUNCTION("INDIRECT(""'收支紀錄'!H""&amp;TO_TEXT(ROW()-$C$72))"),"醫療費用")</f>
        <v>醫療費用</v>
      </c>
      <c r="I749" s="61" t="str">
        <f>IFERROR(__xludf.DUMMYFUNCTION("INDIRECT(""'收支紀錄'!I""&amp;TO_TEXT(ROW()-$C$72))"),"")</f>
        <v/>
      </c>
      <c r="J749" s="61" t="str">
        <f>IFERROR(__xludf.DUMMYFUNCTION("INDIRECT(""'收支紀錄'!J""&amp;TO_TEXT(ROW()-$C$72))"),"")</f>
        <v/>
      </c>
      <c r="K749" s="61" t="str">
        <f>IFERROR(__xludf.DUMMYFUNCTION("INDIRECT(""'收支紀錄'!K""&amp;TO_TEXT(ROW()-$C$72))"),"")</f>
        <v/>
      </c>
      <c r="L749" s="61" t="str">
        <f>IFERROR(__xludf.DUMMYFUNCTION("INDIRECT(""'收支紀錄'!L""&amp;TO_TEXT(ROW()-$C$72))"),"")</f>
        <v/>
      </c>
      <c r="M749" s="61" t="str">
        <f>IFERROR(__xludf.DUMMYFUNCTION("INDIRECT(""'收支紀錄'!M""&amp;TO_TEXT(ROW()-$C$72))"),"")</f>
        <v/>
      </c>
      <c r="N749" s="61" t="str">
        <f>IFERROR(__xludf.DUMMYFUNCTION("INDIRECT(""'收支紀錄'!N""&amp;TO_TEXT(ROW()-$C$72))"),"")</f>
        <v/>
      </c>
      <c r="O749" s="61" t="str">
        <f>IFERROR(__xludf.DUMMYFUNCTION("INDIRECT(""'收支紀錄'!O""&amp;TO_TEXT(ROW()-$C$72))"),"生病醫療")</f>
        <v>生病醫療</v>
      </c>
      <c r="P749" s="61" t="str">
        <f>IFERROR(__xludf.DUMMYFUNCTION("INDIRECT(""'收支紀錄'!P""&amp;TO_TEXT(ROW()-$C$72))"),"")</f>
        <v/>
      </c>
      <c r="Q749" s="61" t="str">
        <f>IFERROR(__xludf.DUMMYFUNCTION("INDIRECT(""'收支紀錄'!Q""&amp;TO_TEXT(ROW()-$C$72))"),"")</f>
        <v/>
      </c>
      <c r="R749" s="61" t="str">
        <f>IFERROR(__xludf.DUMMYFUNCTION("INDIRECT(""'收支紀錄'!R""&amp;TO_TEXT(ROW()-$C$72))"),"")</f>
        <v/>
      </c>
      <c r="S749" s="61" t="str">
        <f>IFERROR(__xludf.DUMMYFUNCTION("INDIRECT(""'收支紀錄'!S""&amp;TO_TEXT(ROW()-$C$72))"),"")</f>
        <v/>
      </c>
      <c r="T749" s="61" t="str">
        <f>IFERROR(__xludf.DUMMYFUNCTION("INDIRECT(""'收支紀錄'!T""&amp;TO_TEXT(ROW()-$C$72))"),"")</f>
        <v/>
      </c>
      <c r="U749" s="62" t="str">
        <f>IFERROR(__xludf.DUMMYFUNCTION("IF(T749=""是"",TEXTJOIN("""", TRUE, ""$"", TO_TEXT(C749), S749),"""")"),"")</f>
        <v/>
      </c>
    </row>
    <row r="750">
      <c r="A750" s="58">
        <f>IFERROR(__xludf.DUMMYFUNCTION("INDIRECT(""'收支紀錄'!A""&amp;TO_TEXT(ROW()-$C$72))"),45742.76898133101)</f>
        <v>45742.76898</v>
      </c>
      <c r="B750" s="59">
        <f>IFERROR(__xludf.DUMMYFUNCTION("IF(ISBLANK(D750), """", IF(ISDATE(D750), D750, IF(D750=""今天"", A750, IF(D750=""昨天 (-1 day)"", A750-1, IF(D750=""前天 (-2 days)"", A750-2, IF(D750=""明天 (+1 day)"", A750+1, DATE(LEFT(D750,4), MID(D750,5,2), RIGHT(D750,2))))))))"),45742.76898133101)</f>
        <v>45742.76898</v>
      </c>
      <c r="C750" s="60">
        <f>IFERROR(__xludf.DUMMYFUNCTION("INDIRECT(""'收支紀錄'!C""&amp;TO_TEXT(ROW()-$C$72))"),124.0)</f>
        <v>124</v>
      </c>
      <c r="D750" s="63" t="str">
        <f>IFERROR(__xludf.DUMMYFUNCTION("INDIRECT(""'收支紀錄'!D""&amp;TO_TEXT(ROW()-$C$72))"),"今天")</f>
        <v>今天</v>
      </c>
      <c r="E750" s="61" t="str">
        <f>IFERROR(__xludf.DUMMYFUNCTION("INDIRECT(""'收支紀錄'!E""&amp;TO_TEXT(ROW()-$C$72))"),"")</f>
        <v/>
      </c>
      <c r="F750" s="61" t="str">
        <f>IFERROR(__xludf.DUMMYFUNCTION("INDIRECT(""'收支紀錄'!F""&amp;TO_TEXT(ROW()-$C$72))"),"")</f>
        <v/>
      </c>
      <c r="G750" s="61" t="str">
        <f>IFERROR(__xludf.DUMMYFUNCTION("INDIRECT(""'收支紀錄'!G""&amp;TO_TEXT(ROW()-$C$72))"),"")</f>
        <v/>
      </c>
      <c r="H750" s="61" t="str">
        <f>IFERROR(__xludf.DUMMYFUNCTION("INDIRECT(""'收支紀錄'!H""&amp;TO_TEXT(ROW()-$C$72))"),"行車交通")</f>
        <v>行車交通</v>
      </c>
      <c r="I750" s="61" t="str">
        <f>IFERROR(__xludf.DUMMYFUNCTION("INDIRECT(""'收支紀錄'!I""&amp;TO_TEXT(ROW()-$C$72))"),"")</f>
        <v/>
      </c>
      <c r="J750" s="61" t="str">
        <f>IFERROR(__xludf.DUMMYFUNCTION("INDIRECT(""'收支紀錄'!J""&amp;TO_TEXT(ROW()-$C$72))"),"")</f>
        <v/>
      </c>
      <c r="K750" s="61" t="str">
        <f>IFERROR(__xludf.DUMMYFUNCTION("INDIRECT(""'收支紀錄'!K""&amp;TO_TEXT(ROW()-$C$72))"),"")</f>
        <v/>
      </c>
      <c r="L750" s="61" t="str">
        <f>IFERROR(__xludf.DUMMYFUNCTION("INDIRECT(""'收支紀錄'!L""&amp;TO_TEXT(ROW()-$C$72))"),"計程車/Uber")</f>
        <v>計程車/Uber</v>
      </c>
      <c r="M750" s="61" t="str">
        <f>IFERROR(__xludf.DUMMYFUNCTION("INDIRECT(""'收支紀錄'!M""&amp;TO_TEXT(ROW()-$C$72))"),"")</f>
        <v/>
      </c>
      <c r="N750" s="61" t="str">
        <f>IFERROR(__xludf.DUMMYFUNCTION("INDIRECT(""'收支紀錄'!N""&amp;TO_TEXT(ROW()-$C$72))"),"")</f>
        <v/>
      </c>
      <c r="O750" s="61" t="str">
        <f>IFERROR(__xludf.DUMMYFUNCTION("INDIRECT(""'收支紀錄'!O""&amp;TO_TEXT(ROW()-$C$72))"),"")</f>
        <v/>
      </c>
      <c r="P750" s="61" t="str">
        <f>IFERROR(__xludf.DUMMYFUNCTION("INDIRECT(""'收支紀錄'!P""&amp;TO_TEXT(ROW()-$C$72))"),"")</f>
        <v/>
      </c>
      <c r="Q750" s="61" t="str">
        <f>IFERROR(__xludf.DUMMYFUNCTION("INDIRECT(""'收支紀錄'!Q""&amp;TO_TEXT(ROW()-$C$72))"),"")</f>
        <v/>
      </c>
      <c r="R750" s="61" t="str">
        <f>IFERROR(__xludf.DUMMYFUNCTION("INDIRECT(""'收支紀錄'!R""&amp;TO_TEXT(ROW()-$C$72))"),"")</f>
        <v/>
      </c>
      <c r="S750" s="61" t="str">
        <f>IFERROR(__xludf.DUMMYFUNCTION("INDIRECT(""'收支紀錄'!S""&amp;TO_TEXT(ROW()-$C$72))"),"")</f>
        <v/>
      </c>
      <c r="T750" s="61" t="str">
        <f>IFERROR(__xludf.DUMMYFUNCTION("INDIRECT(""'收支紀錄'!T""&amp;TO_TEXT(ROW()-$C$72))"),"")</f>
        <v/>
      </c>
      <c r="U750" s="62" t="str">
        <f>IFERROR(__xludf.DUMMYFUNCTION("IF(T750=""是"",TEXTJOIN("""", TRUE, ""$"", TO_TEXT(C750), S750),"""")"),"")</f>
        <v/>
      </c>
    </row>
    <row r="751">
      <c r="A751" s="58">
        <f>IFERROR(__xludf.DUMMYFUNCTION("INDIRECT(""'收支紀錄'!A""&amp;TO_TEXT(ROW()-$C$72))"),45742.895803182866)</f>
        <v>45742.8958</v>
      </c>
      <c r="B751" s="59">
        <f>IFERROR(__xludf.DUMMYFUNCTION("IF(ISBLANK(D751), """", IF(ISDATE(D751), D751, IF(D751=""今天"", A751, IF(D751=""昨天 (-1 day)"", A751-1, IF(D751=""前天 (-2 days)"", A751-2, IF(D751=""明天 (+1 day)"", A751+1, DATE(LEFT(D751,4), MID(D751,5,2), RIGHT(D751,2))))))))"),45742.895803182866)</f>
        <v>45742.8958</v>
      </c>
      <c r="C751" s="60">
        <f>IFERROR(__xludf.DUMMYFUNCTION("INDIRECT(""'收支紀錄'!C""&amp;TO_TEXT(ROW()-$C$72))"),341.0)</f>
        <v>341</v>
      </c>
      <c r="D751" s="63" t="str">
        <f>IFERROR(__xludf.DUMMYFUNCTION("INDIRECT(""'收支紀錄'!D""&amp;TO_TEXT(ROW()-$C$72))"),"今天")</f>
        <v>今天</v>
      </c>
      <c r="E751" s="61" t="str">
        <f>IFERROR(__xludf.DUMMYFUNCTION("INDIRECT(""'收支紀錄'!E""&amp;TO_TEXT(ROW()-$C$72))"),"")</f>
        <v/>
      </c>
      <c r="F751" s="61" t="str">
        <f>IFERROR(__xludf.DUMMYFUNCTION("INDIRECT(""'收支紀錄'!F""&amp;TO_TEXT(ROW()-$C$72))"),"")</f>
        <v/>
      </c>
      <c r="G751" s="61" t="str">
        <f>IFERROR(__xludf.DUMMYFUNCTION("INDIRECT(""'收支紀錄'!G""&amp;TO_TEXT(ROW()-$C$72))"),"")</f>
        <v/>
      </c>
      <c r="H751" s="61" t="str">
        <f>IFERROR(__xludf.DUMMYFUNCTION("INDIRECT(""'收支紀錄'!H""&amp;TO_TEXT(ROW()-$C$72))"),"日常生活")</f>
        <v>日常生活</v>
      </c>
      <c r="I751" s="61" t="str">
        <f>IFERROR(__xludf.DUMMYFUNCTION("INDIRECT(""'收支紀錄'!I""&amp;TO_TEXT(ROW()-$C$72))"),"")</f>
        <v/>
      </c>
      <c r="J751" s="61" t="str">
        <f>IFERROR(__xludf.DUMMYFUNCTION("INDIRECT(""'收支紀錄'!J""&amp;TO_TEXT(ROW()-$C$72))"),"日常用品")</f>
        <v>日常用品</v>
      </c>
      <c r="K751" s="61" t="str">
        <f>IFERROR(__xludf.DUMMYFUNCTION("INDIRECT(""'收支紀錄'!K""&amp;TO_TEXT(ROW()-$C$72))"),"")</f>
        <v/>
      </c>
      <c r="L751" s="61" t="str">
        <f>IFERROR(__xludf.DUMMYFUNCTION("INDIRECT(""'收支紀錄'!L""&amp;TO_TEXT(ROW()-$C$72))"),"")</f>
        <v/>
      </c>
      <c r="M751" s="61" t="str">
        <f>IFERROR(__xludf.DUMMYFUNCTION("INDIRECT(""'收支紀錄'!M""&amp;TO_TEXT(ROW()-$C$72))"),"")</f>
        <v/>
      </c>
      <c r="N751" s="61" t="str">
        <f>IFERROR(__xludf.DUMMYFUNCTION("INDIRECT(""'收支紀錄'!N""&amp;TO_TEXT(ROW()-$C$72))"),"")</f>
        <v/>
      </c>
      <c r="O751" s="61" t="str">
        <f>IFERROR(__xludf.DUMMYFUNCTION("INDIRECT(""'收支紀錄'!O""&amp;TO_TEXT(ROW()-$C$72))"),"")</f>
        <v/>
      </c>
      <c r="P751" s="61" t="str">
        <f>IFERROR(__xludf.DUMMYFUNCTION("INDIRECT(""'收支紀錄'!P""&amp;TO_TEXT(ROW()-$C$72))"),"")</f>
        <v/>
      </c>
      <c r="Q751" s="61" t="str">
        <f>IFERROR(__xludf.DUMMYFUNCTION("INDIRECT(""'收支紀錄'!Q""&amp;TO_TEXT(ROW()-$C$72))"),"")</f>
        <v/>
      </c>
      <c r="R751" s="61" t="str">
        <f>IFERROR(__xludf.DUMMYFUNCTION("INDIRECT(""'收支紀錄'!R""&amp;TO_TEXT(ROW()-$C$72))"),"")</f>
        <v/>
      </c>
      <c r="S751" s="61" t="str">
        <f>IFERROR(__xludf.DUMMYFUNCTION("INDIRECT(""'收支紀錄'!S""&amp;TO_TEXT(ROW()-$C$72))"),"")</f>
        <v/>
      </c>
      <c r="T751" s="61" t="str">
        <f>IFERROR(__xludf.DUMMYFUNCTION("INDIRECT(""'收支紀錄'!T""&amp;TO_TEXT(ROW()-$C$72))"),"")</f>
        <v/>
      </c>
      <c r="U751" s="62" t="str">
        <f>IFERROR(__xludf.DUMMYFUNCTION("IF(T751=""是"",TEXTJOIN("""", TRUE, ""$"", TO_TEXT(C751), S751),"""")"),"")</f>
        <v/>
      </c>
    </row>
    <row r="752">
      <c r="A752" s="58">
        <f>IFERROR(__xludf.DUMMYFUNCTION("INDIRECT(""'收支紀錄'!A""&amp;TO_TEXT(ROW()-$C$72))"),45745.43411986111)</f>
        <v>45745.43412</v>
      </c>
      <c r="B752" s="59">
        <f>IFERROR(__xludf.DUMMYFUNCTION("IF(ISBLANK(D752), """", IF(ISDATE(D752), D752, IF(D752=""今天"", A752, IF(D752=""昨天 (-1 day)"", A752-1, IF(D752=""前天 (-2 days)"", A752-2, IF(D752=""明天 (+1 day)"", A752+1, DATE(LEFT(D752,4), MID(D752,5,2), RIGHT(D752,2))))))))"),45745.43411986111)</f>
        <v>45745.43412</v>
      </c>
      <c r="C752" s="60">
        <f>IFERROR(__xludf.DUMMYFUNCTION("INDIRECT(""'收支紀錄'!C""&amp;TO_TEXT(ROW()-$C$72))"),4162.0)</f>
        <v>4162</v>
      </c>
      <c r="D752" s="63" t="str">
        <f>IFERROR(__xludf.DUMMYFUNCTION("INDIRECT(""'收支紀錄'!D""&amp;TO_TEXT(ROW()-$C$72))"),"今天")</f>
        <v>今天</v>
      </c>
      <c r="E752" s="61" t="str">
        <f>IFERROR(__xludf.DUMMYFUNCTION("INDIRECT(""'收支紀錄'!E""&amp;TO_TEXT(ROW()-$C$72))"),"")</f>
        <v/>
      </c>
      <c r="F752" s="61" t="str">
        <f>IFERROR(__xludf.DUMMYFUNCTION("INDIRECT(""'收支紀錄'!F""&amp;TO_TEXT(ROW()-$C$72))"),"")</f>
        <v/>
      </c>
      <c r="G752" s="61" t="str">
        <f>IFERROR(__xludf.DUMMYFUNCTION("INDIRECT(""'收支紀錄'!G""&amp;TO_TEXT(ROW()-$C$72))"),"")</f>
        <v/>
      </c>
      <c r="H752" s="61" t="str">
        <f>IFERROR(__xludf.DUMMYFUNCTION("INDIRECT(""'收支紀錄'!H""&amp;TO_TEXT(ROW()-$C$72))"),"行車交通")</f>
        <v>行車交通</v>
      </c>
      <c r="I752" s="61" t="str">
        <f>IFERROR(__xludf.DUMMYFUNCTION("INDIRECT(""'收支紀錄'!I""&amp;TO_TEXT(ROW()-$C$72))"),"")</f>
        <v/>
      </c>
      <c r="J752" s="61" t="str">
        <f>IFERROR(__xludf.DUMMYFUNCTION("INDIRECT(""'收支紀錄'!J""&amp;TO_TEXT(ROW()-$C$72))"),"")</f>
        <v/>
      </c>
      <c r="K752" s="61" t="str">
        <f>IFERROR(__xludf.DUMMYFUNCTION("INDIRECT(""'收支紀錄'!K""&amp;TO_TEXT(ROW()-$C$72))"),"")</f>
        <v/>
      </c>
      <c r="L752" s="61" t="str">
        <f>IFERROR(__xludf.DUMMYFUNCTION("INDIRECT(""'收支紀錄'!L""&amp;TO_TEXT(ROW()-$C$72))"),"保養")</f>
        <v>保養</v>
      </c>
      <c r="M752" s="61" t="str">
        <f>IFERROR(__xludf.DUMMYFUNCTION("INDIRECT(""'收支紀錄'!M""&amp;TO_TEXT(ROW()-$C$72))"),"")</f>
        <v/>
      </c>
      <c r="N752" s="61" t="str">
        <f>IFERROR(__xludf.DUMMYFUNCTION("INDIRECT(""'收支紀錄'!N""&amp;TO_TEXT(ROW()-$C$72))"),"")</f>
        <v/>
      </c>
      <c r="O752" s="61" t="str">
        <f>IFERROR(__xludf.DUMMYFUNCTION("INDIRECT(""'收支紀錄'!O""&amp;TO_TEXT(ROW()-$C$72))"),"")</f>
        <v/>
      </c>
      <c r="P752" s="61" t="str">
        <f>IFERROR(__xludf.DUMMYFUNCTION("INDIRECT(""'收支紀錄'!P""&amp;TO_TEXT(ROW()-$C$72))"),"")</f>
        <v/>
      </c>
      <c r="Q752" s="61" t="str">
        <f>IFERROR(__xludf.DUMMYFUNCTION("INDIRECT(""'收支紀錄'!Q""&amp;TO_TEXT(ROW()-$C$72))"),"")</f>
        <v/>
      </c>
      <c r="R752" s="61" t="str">
        <f>IFERROR(__xludf.DUMMYFUNCTION("INDIRECT(""'收支紀錄'!R""&amp;TO_TEXT(ROW()-$C$72))"),"")</f>
        <v/>
      </c>
      <c r="S752" s="61" t="str">
        <f>IFERROR(__xludf.DUMMYFUNCTION("INDIRECT(""'收支紀錄'!S""&amp;TO_TEXT(ROW()-$C$72))"),"")</f>
        <v/>
      </c>
      <c r="T752" s="61" t="str">
        <f>IFERROR(__xludf.DUMMYFUNCTION("INDIRECT(""'收支紀錄'!T""&amp;TO_TEXT(ROW()-$C$72))"),"")</f>
        <v/>
      </c>
      <c r="U752" s="62" t="str">
        <f>IFERROR(__xludf.DUMMYFUNCTION("IF(T752=""是"",TEXTJOIN("""", TRUE, ""$"", TO_TEXT(C752), S752),"""")"),"")</f>
        <v/>
      </c>
    </row>
    <row r="753">
      <c r="A753" s="58">
        <f>IFERROR(__xludf.DUMMYFUNCTION("INDIRECT(""'收支紀錄'!A""&amp;TO_TEXT(ROW()-$C$72))"),45745.43426504629)</f>
        <v>45745.43427</v>
      </c>
      <c r="B753" s="59">
        <f>IFERROR(__xludf.DUMMYFUNCTION("IF(ISBLANK(D753), """", IF(ISDATE(D753), D753, IF(D753=""今天"", A753, IF(D753=""昨天 (-1 day)"", A753-1, IF(D753=""前天 (-2 days)"", A753-2, IF(D753=""明天 (+1 day)"", A753+1, DATE(LEFT(D753,4), MID(D753,5,2), RIGHT(D753,2))))))))"),45744.43426504629)</f>
        <v>45744.43427</v>
      </c>
      <c r="C753" s="60">
        <f>IFERROR(__xludf.DUMMYFUNCTION("INDIRECT(""'收支紀錄'!C""&amp;TO_TEXT(ROW()-$C$72))"),133.0)</f>
        <v>133</v>
      </c>
      <c r="D753" s="63" t="str">
        <f>IFERROR(__xludf.DUMMYFUNCTION("INDIRECT(""'收支紀錄'!D""&amp;TO_TEXT(ROW()-$C$72))"),"昨天 (-1 day)")</f>
        <v>昨天 (-1 day)</v>
      </c>
      <c r="E753" s="61" t="str">
        <f>IFERROR(__xludf.DUMMYFUNCTION("INDIRECT(""'收支紀錄'!E""&amp;TO_TEXT(ROW()-$C$72))"),"")</f>
        <v/>
      </c>
      <c r="F753" s="61" t="str">
        <f>IFERROR(__xludf.DUMMYFUNCTION("INDIRECT(""'收支紀錄'!F""&amp;TO_TEXT(ROW()-$C$72))"),"")</f>
        <v/>
      </c>
      <c r="G753" s="61" t="str">
        <f>IFERROR(__xludf.DUMMYFUNCTION("INDIRECT(""'收支紀錄'!G""&amp;TO_TEXT(ROW()-$C$72))"),"")</f>
        <v/>
      </c>
      <c r="H753" s="61" t="str">
        <f>IFERROR(__xludf.DUMMYFUNCTION("INDIRECT(""'收支紀錄'!H""&amp;TO_TEXT(ROW()-$C$72))"),"食品酒水")</f>
        <v>食品酒水</v>
      </c>
      <c r="I753" s="61" t="str">
        <f>IFERROR(__xludf.DUMMYFUNCTION("INDIRECT(""'收支紀錄'!I""&amp;TO_TEXT(ROW()-$C$72))"),"午餐")</f>
        <v>午餐</v>
      </c>
      <c r="J753" s="61" t="str">
        <f>IFERROR(__xludf.DUMMYFUNCTION("INDIRECT(""'收支紀錄'!J""&amp;TO_TEXT(ROW()-$C$72))"),"")</f>
        <v/>
      </c>
      <c r="K753" s="61" t="str">
        <f>IFERROR(__xludf.DUMMYFUNCTION("INDIRECT(""'收支紀錄'!K""&amp;TO_TEXT(ROW()-$C$72))"),"")</f>
        <v/>
      </c>
      <c r="L753" s="61" t="str">
        <f>IFERROR(__xludf.DUMMYFUNCTION("INDIRECT(""'收支紀錄'!L""&amp;TO_TEXT(ROW()-$C$72))"),"")</f>
        <v/>
      </c>
      <c r="M753" s="61" t="str">
        <f>IFERROR(__xludf.DUMMYFUNCTION("INDIRECT(""'收支紀錄'!M""&amp;TO_TEXT(ROW()-$C$72))"),"")</f>
        <v/>
      </c>
      <c r="N753" s="61" t="str">
        <f>IFERROR(__xludf.DUMMYFUNCTION("INDIRECT(""'收支紀錄'!N""&amp;TO_TEXT(ROW()-$C$72))"),"")</f>
        <v/>
      </c>
      <c r="O753" s="61" t="str">
        <f>IFERROR(__xludf.DUMMYFUNCTION("INDIRECT(""'收支紀錄'!O""&amp;TO_TEXT(ROW()-$C$72))"),"")</f>
        <v/>
      </c>
      <c r="P753" s="61" t="str">
        <f>IFERROR(__xludf.DUMMYFUNCTION("INDIRECT(""'收支紀錄'!P""&amp;TO_TEXT(ROW()-$C$72))"),"")</f>
        <v/>
      </c>
      <c r="Q753" s="61" t="str">
        <f>IFERROR(__xludf.DUMMYFUNCTION("INDIRECT(""'收支紀錄'!Q""&amp;TO_TEXT(ROW()-$C$72))"),"")</f>
        <v/>
      </c>
      <c r="R753" s="61" t="str">
        <f>IFERROR(__xludf.DUMMYFUNCTION("INDIRECT(""'收支紀錄'!R""&amp;TO_TEXT(ROW()-$C$72))"),"")</f>
        <v/>
      </c>
      <c r="S753" s="61" t="str">
        <f>IFERROR(__xludf.DUMMYFUNCTION("INDIRECT(""'收支紀錄'!S""&amp;TO_TEXT(ROW()-$C$72))"),"")</f>
        <v/>
      </c>
      <c r="T753" s="61" t="str">
        <f>IFERROR(__xludf.DUMMYFUNCTION("INDIRECT(""'收支紀錄'!T""&amp;TO_TEXT(ROW()-$C$72))"),"")</f>
        <v/>
      </c>
      <c r="U753" s="62" t="str">
        <f>IFERROR(__xludf.DUMMYFUNCTION("IF(T753=""是"",TEXTJOIN("""", TRUE, ""$"", TO_TEXT(C753), S753),"""")"),"")</f>
        <v/>
      </c>
    </row>
    <row r="754">
      <c r="A754" s="58">
        <f>IFERROR(__xludf.DUMMYFUNCTION("INDIRECT(""'收支紀錄'!A""&amp;TO_TEXT(ROW()-$C$72))"),45745.434423784725)</f>
        <v>45745.43442</v>
      </c>
      <c r="B754" s="59">
        <f>IFERROR(__xludf.DUMMYFUNCTION("IF(ISBLANK(D754), """", IF(ISDATE(D754), D754, IF(D754=""今天"", A754, IF(D754=""昨天 (-1 day)"", A754-1, IF(D754=""前天 (-2 days)"", A754-2, IF(D754=""明天 (+1 day)"", A754+1, DATE(LEFT(D754,4), MID(D754,5,2), RIGHT(D754,2))))))))"),45744.434423784725)</f>
        <v>45744.43442</v>
      </c>
      <c r="C754" s="60">
        <f>IFERROR(__xludf.DUMMYFUNCTION("INDIRECT(""'收支紀錄'!C""&amp;TO_TEXT(ROW()-$C$72))"),115.0)</f>
        <v>115</v>
      </c>
      <c r="D754" s="63" t="str">
        <f>IFERROR(__xludf.DUMMYFUNCTION("INDIRECT(""'收支紀錄'!D""&amp;TO_TEXT(ROW()-$C$72))"),"昨天 (-1 day)")</f>
        <v>昨天 (-1 day)</v>
      </c>
      <c r="E754" s="61" t="str">
        <f>IFERROR(__xludf.DUMMYFUNCTION("INDIRECT(""'收支紀錄'!E""&amp;TO_TEXT(ROW()-$C$72))"),"")</f>
        <v/>
      </c>
      <c r="F754" s="61" t="str">
        <f>IFERROR(__xludf.DUMMYFUNCTION("INDIRECT(""'收支紀錄'!F""&amp;TO_TEXT(ROW()-$C$72))"),"")</f>
        <v/>
      </c>
      <c r="G754" s="61" t="str">
        <f>IFERROR(__xludf.DUMMYFUNCTION("INDIRECT(""'收支紀錄'!G""&amp;TO_TEXT(ROW()-$C$72))"),"")</f>
        <v/>
      </c>
      <c r="H754" s="61" t="str">
        <f>IFERROR(__xludf.DUMMYFUNCTION("INDIRECT(""'收支紀錄'!H""&amp;TO_TEXT(ROW()-$C$72))"),"食品酒水")</f>
        <v>食品酒水</v>
      </c>
      <c r="I754" s="61" t="str">
        <f>IFERROR(__xludf.DUMMYFUNCTION("INDIRECT(""'收支紀錄'!I""&amp;TO_TEXT(ROW()-$C$72))"),"宵夜")</f>
        <v>宵夜</v>
      </c>
      <c r="J754" s="61" t="str">
        <f>IFERROR(__xludf.DUMMYFUNCTION("INDIRECT(""'收支紀錄'!J""&amp;TO_TEXT(ROW()-$C$72))"),"")</f>
        <v/>
      </c>
      <c r="K754" s="61" t="str">
        <f>IFERROR(__xludf.DUMMYFUNCTION("INDIRECT(""'收支紀錄'!K""&amp;TO_TEXT(ROW()-$C$72))"),"")</f>
        <v/>
      </c>
      <c r="L754" s="61" t="str">
        <f>IFERROR(__xludf.DUMMYFUNCTION("INDIRECT(""'收支紀錄'!L""&amp;TO_TEXT(ROW()-$C$72))"),"")</f>
        <v/>
      </c>
      <c r="M754" s="61" t="str">
        <f>IFERROR(__xludf.DUMMYFUNCTION("INDIRECT(""'收支紀錄'!M""&amp;TO_TEXT(ROW()-$C$72))"),"")</f>
        <v/>
      </c>
      <c r="N754" s="61" t="str">
        <f>IFERROR(__xludf.DUMMYFUNCTION("INDIRECT(""'收支紀錄'!N""&amp;TO_TEXT(ROW()-$C$72))"),"")</f>
        <v/>
      </c>
      <c r="O754" s="61" t="str">
        <f>IFERROR(__xludf.DUMMYFUNCTION("INDIRECT(""'收支紀錄'!O""&amp;TO_TEXT(ROW()-$C$72))"),"")</f>
        <v/>
      </c>
      <c r="P754" s="61" t="str">
        <f>IFERROR(__xludf.DUMMYFUNCTION("INDIRECT(""'收支紀錄'!P""&amp;TO_TEXT(ROW()-$C$72))"),"")</f>
        <v/>
      </c>
      <c r="Q754" s="61" t="str">
        <f>IFERROR(__xludf.DUMMYFUNCTION("INDIRECT(""'收支紀錄'!Q""&amp;TO_TEXT(ROW()-$C$72))"),"")</f>
        <v/>
      </c>
      <c r="R754" s="61" t="str">
        <f>IFERROR(__xludf.DUMMYFUNCTION("INDIRECT(""'收支紀錄'!R""&amp;TO_TEXT(ROW()-$C$72))"),"")</f>
        <v/>
      </c>
      <c r="S754" s="61" t="str">
        <f>IFERROR(__xludf.DUMMYFUNCTION("INDIRECT(""'收支紀錄'!S""&amp;TO_TEXT(ROW()-$C$72))"),"")</f>
        <v/>
      </c>
      <c r="T754" s="61" t="str">
        <f>IFERROR(__xludf.DUMMYFUNCTION("INDIRECT(""'收支紀錄'!T""&amp;TO_TEXT(ROW()-$C$72))"),"")</f>
        <v/>
      </c>
      <c r="U754" s="62" t="str">
        <f>IFERROR(__xludf.DUMMYFUNCTION("IF(T754=""是"",TEXTJOIN("""", TRUE, ""$"", TO_TEXT(C754), S754),"""")"),"")</f>
        <v/>
      </c>
    </row>
    <row r="755">
      <c r="A755" s="58">
        <f>IFERROR(__xludf.DUMMYFUNCTION("INDIRECT(""'收支紀錄'!A""&amp;TO_TEXT(ROW()-$C$72))"),45745.47713655092)</f>
        <v>45745.47714</v>
      </c>
      <c r="B755" s="59">
        <f>IFERROR(__xludf.DUMMYFUNCTION("IF(ISBLANK(D755), """", IF(ISDATE(D755), D755, IF(D755=""今天"", A755, IF(D755=""昨天 (-1 day)"", A755-1, IF(D755=""前天 (-2 days)"", A755-2, IF(D755=""明天 (+1 day)"", A755+1, DATE(LEFT(D755,4), MID(D755,5,2), RIGHT(D755,2))))))))"),45745.47713655092)</f>
        <v>45745.47714</v>
      </c>
      <c r="C755" s="60">
        <f>IFERROR(__xludf.DUMMYFUNCTION("INDIRECT(""'收支紀錄'!C""&amp;TO_TEXT(ROW()-$C$72))"),105.0)</f>
        <v>105</v>
      </c>
      <c r="D755" s="63" t="str">
        <f>IFERROR(__xludf.DUMMYFUNCTION("INDIRECT(""'收支紀錄'!D""&amp;TO_TEXT(ROW()-$C$72))"),"今天")</f>
        <v>今天</v>
      </c>
      <c r="E755" s="61" t="str">
        <f>IFERROR(__xludf.DUMMYFUNCTION("INDIRECT(""'收支紀錄'!E""&amp;TO_TEXT(ROW()-$C$72))"),"")</f>
        <v/>
      </c>
      <c r="F755" s="61" t="str">
        <f>IFERROR(__xludf.DUMMYFUNCTION("INDIRECT(""'收支紀錄'!F""&amp;TO_TEXT(ROW()-$C$72))"),"")</f>
        <v/>
      </c>
      <c r="G755" s="61" t="str">
        <f>IFERROR(__xludf.DUMMYFUNCTION("INDIRECT(""'收支紀錄'!G""&amp;TO_TEXT(ROW()-$C$72))"),"")</f>
        <v/>
      </c>
      <c r="H755" s="61" t="str">
        <f>IFERROR(__xludf.DUMMYFUNCTION("INDIRECT(""'收支紀錄'!H""&amp;TO_TEXT(ROW()-$C$72))"),"食品酒水")</f>
        <v>食品酒水</v>
      </c>
      <c r="I755" s="61" t="str">
        <f>IFERROR(__xludf.DUMMYFUNCTION("INDIRECT(""'收支紀錄'!I""&amp;TO_TEXT(ROW()-$C$72))"),"午餐")</f>
        <v>午餐</v>
      </c>
      <c r="J755" s="61" t="str">
        <f>IFERROR(__xludf.DUMMYFUNCTION("INDIRECT(""'收支紀錄'!J""&amp;TO_TEXT(ROW()-$C$72))"),"")</f>
        <v/>
      </c>
      <c r="K755" s="61" t="str">
        <f>IFERROR(__xludf.DUMMYFUNCTION("INDIRECT(""'收支紀錄'!K""&amp;TO_TEXT(ROW()-$C$72))"),"")</f>
        <v/>
      </c>
      <c r="L755" s="61" t="str">
        <f>IFERROR(__xludf.DUMMYFUNCTION("INDIRECT(""'收支紀錄'!L""&amp;TO_TEXT(ROW()-$C$72))"),"")</f>
        <v/>
      </c>
      <c r="M755" s="61" t="str">
        <f>IFERROR(__xludf.DUMMYFUNCTION("INDIRECT(""'收支紀錄'!M""&amp;TO_TEXT(ROW()-$C$72))"),"")</f>
        <v/>
      </c>
      <c r="N755" s="61" t="str">
        <f>IFERROR(__xludf.DUMMYFUNCTION("INDIRECT(""'收支紀錄'!N""&amp;TO_TEXT(ROW()-$C$72))"),"")</f>
        <v/>
      </c>
      <c r="O755" s="61" t="str">
        <f>IFERROR(__xludf.DUMMYFUNCTION("INDIRECT(""'收支紀錄'!O""&amp;TO_TEXT(ROW()-$C$72))"),"")</f>
        <v/>
      </c>
      <c r="P755" s="61" t="str">
        <f>IFERROR(__xludf.DUMMYFUNCTION("INDIRECT(""'收支紀錄'!P""&amp;TO_TEXT(ROW()-$C$72))"),"")</f>
        <v/>
      </c>
      <c r="Q755" s="61" t="str">
        <f>IFERROR(__xludf.DUMMYFUNCTION("INDIRECT(""'收支紀錄'!Q""&amp;TO_TEXT(ROW()-$C$72))"),"")</f>
        <v/>
      </c>
      <c r="R755" s="61" t="str">
        <f>IFERROR(__xludf.DUMMYFUNCTION("INDIRECT(""'收支紀錄'!R""&amp;TO_TEXT(ROW()-$C$72))"),"")</f>
        <v/>
      </c>
      <c r="S755" s="61" t="str">
        <f>IFERROR(__xludf.DUMMYFUNCTION("INDIRECT(""'收支紀錄'!S""&amp;TO_TEXT(ROW()-$C$72))"),"")</f>
        <v/>
      </c>
      <c r="T755" s="61" t="str">
        <f>IFERROR(__xludf.DUMMYFUNCTION("INDIRECT(""'收支紀錄'!T""&amp;TO_TEXT(ROW()-$C$72))"),"")</f>
        <v/>
      </c>
      <c r="U755" s="62" t="str">
        <f>IFERROR(__xludf.DUMMYFUNCTION("IF(T755=""是"",TEXTJOIN("""", TRUE, ""$"", TO_TEXT(C755), S755),"""")"),"")</f>
        <v/>
      </c>
    </row>
    <row r="756">
      <c r="A756" s="58">
        <f>IFERROR(__xludf.DUMMYFUNCTION("INDIRECT(""'收支紀錄'!A""&amp;TO_TEXT(ROW()-$C$72))"),45745.836109027776)</f>
        <v>45745.83611</v>
      </c>
      <c r="B756" s="59">
        <f>IFERROR(__xludf.DUMMYFUNCTION("IF(ISBLANK(D756), """", IF(ISDATE(D756), D756, IF(D756=""今天"", A756, IF(D756=""昨天 (-1 day)"", A756-1, IF(D756=""前天 (-2 days)"", A756-2, IF(D756=""明天 (+1 day)"", A756+1, DATE(LEFT(D756,4), MID(D756,5,2), RIGHT(D756,2))))))))"),45745.836109027776)</f>
        <v>45745.83611</v>
      </c>
      <c r="C756" s="60">
        <f>IFERROR(__xludf.DUMMYFUNCTION("INDIRECT(""'收支紀錄'!C""&amp;TO_TEXT(ROW()-$C$72))"),60.0)</f>
        <v>60</v>
      </c>
      <c r="D756" s="63" t="str">
        <f>IFERROR(__xludf.DUMMYFUNCTION("INDIRECT(""'收支紀錄'!D""&amp;TO_TEXT(ROW()-$C$72))"),"今天")</f>
        <v>今天</v>
      </c>
      <c r="E756" s="61" t="str">
        <f>IFERROR(__xludf.DUMMYFUNCTION("INDIRECT(""'收支紀錄'!E""&amp;TO_TEXT(ROW()-$C$72))"),"")</f>
        <v/>
      </c>
      <c r="F756" s="61" t="str">
        <f>IFERROR(__xludf.DUMMYFUNCTION("INDIRECT(""'收支紀錄'!F""&amp;TO_TEXT(ROW()-$C$72))"),"")</f>
        <v/>
      </c>
      <c r="G756" s="61" t="str">
        <f>IFERROR(__xludf.DUMMYFUNCTION("INDIRECT(""'收支紀錄'!G""&amp;TO_TEXT(ROW()-$C$72))"),"")</f>
        <v/>
      </c>
      <c r="H756" s="61" t="str">
        <f>IFERROR(__xludf.DUMMYFUNCTION("INDIRECT(""'收支紀錄'!H""&amp;TO_TEXT(ROW()-$C$72))"),"行車交通")</f>
        <v>行車交通</v>
      </c>
      <c r="I756" s="61" t="str">
        <f>IFERROR(__xludf.DUMMYFUNCTION("INDIRECT(""'收支紀錄'!I""&amp;TO_TEXT(ROW()-$C$72))"),"")</f>
        <v/>
      </c>
      <c r="J756" s="61" t="str">
        <f>IFERROR(__xludf.DUMMYFUNCTION("INDIRECT(""'收支紀錄'!J""&amp;TO_TEXT(ROW()-$C$72))"),"")</f>
        <v/>
      </c>
      <c r="K756" s="61" t="str">
        <f>IFERROR(__xludf.DUMMYFUNCTION("INDIRECT(""'收支紀錄'!K""&amp;TO_TEXT(ROW()-$C$72))"),"")</f>
        <v/>
      </c>
      <c r="L756" s="61" t="str">
        <f>IFERROR(__xludf.DUMMYFUNCTION("INDIRECT(""'收支紀錄'!L""&amp;TO_TEXT(ROW()-$C$72))"),"停車")</f>
        <v>停車</v>
      </c>
      <c r="M756" s="61" t="str">
        <f>IFERROR(__xludf.DUMMYFUNCTION("INDIRECT(""'收支紀錄'!M""&amp;TO_TEXT(ROW()-$C$72))"),"")</f>
        <v/>
      </c>
      <c r="N756" s="61" t="str">
        <f>IFERROR(__xludf.DUMMYFUNCTION("INDIRECT(""'收支紀錄'!N""&amp;TO_TEXT(ROW()-$C$72))"),"")</f>
        <v/>
      </c>
      <c r="O756" s="61" t="str">
        <f>IFERROR(__xludf.DUMMYFUNCTION("INDIRECT(""'收支紀錄'!O""&amp;TO_TEXT(ROW()-$C$72))"),"")</f>
        <v/>
      </c>
      <c r="P756" s="61" t="str">
        <f>IFERROR(__xludf.DUMMYFUNCTION("INDIRECT(""'收支紀錄'!P""&amp;TO_TEXT(ROW()-$C$72))"),"")</f>
        <v/>
      </c>
      <c r="Q756" s="61" t="str">
        <f>IFERROR(__xludf.DUMMYFUNCTION("INDIRECT(""'收支紀錄'!Q""&amp;TO_TEXT(ROW()-$C$72))"),"")</f>
        <v/>
      </c>
      <c r="R756" s="61" t="str">
        <f>IFERROR(__xludf.DUMMYFUNCTION("INDIRECT(""'收支紀錄'!R""&amp;TO_TEXT(ROW()-$C$72))"),"")</f>
        <v/>
      </c>
      <c r="S756" s="61" t="str">
        <f>IFERROR(__xludf.DUMMYFUNCTION("INDIRECT(""'收支紀錄'!S""&amp;TO_TEXT(ROW()-$C$72))"),"")</f>
        <v/>
      </c>
      <c r="T756" s="61" t="str">
        <f>IFERROR(__xludf.DUMMYFUNCTION("INDIRECT(""'收支紀錄'!T""&amp;TO_TEXT(ROW()-$C$72))"),"")</f>
        <v/>
      </c>
      <c r="U756" s="62" t="str">
        <f>IFERROR(__xludf.DUMMYFUNCTION("IF(T756=""是"",TEXTJOIN("""", TRUE, ""$"", TO_TEXT(C756), S756),"""")"),"")</f>
        <v/>
      </c>
    </row>
    <row r="757">
      <c r="A757" s="58">
        <f>IFERROR(__xludf.DUMMYFUNCTION("INDIRECT(""'收支紀錄'!A""&amp;TO_TEXT(ROW()-$C$72))"),45745.83626357639)</f>
        <v>45745.83626</v>
      </c>
      <c r="B757" s="59">
        <f>IFERROR(__xludf.DUMMYFUNCTION("IF(ISBLANK(D757), """", IF(ISDATE(D757), D757, IF(D757=""今天"", A757, IF(D757=""昨天 (-1 day)"", A757-1, IF(D757=""前天 (-2 days)"", A757-2, IF(D757=""明天 (+1 day)"", A757+1, DATE(LEFT(D757,4), MID(D757,5,2), RIGHT(D757,2))))))))"),45745.83626357639)</f>
        <v>45745.83626</v>
      </c>
      <c r="C757" s="60">
        <f>IFERROR(__xludf.DUMMYFUNCTION("INDIRECT(""'收支紀錄'!C""&amp;TO_TEXT(ROW()-$C$72))"),770.0)</f>
        <v>770</v>
      </c>
      <c r="D757" s="63" t="str">
        <f>IFERROR(__xludf.DUMMYFUNCTION("INDIRECT(""'收支紀錄'!D""&amp;TO_TEXT(ROW()-$C$72))"),"今天")</f>
        <v>今天</v>
      </c>
      <c r="E757" s="61" t="str">
        <f>IFERROR(__xludf.DUMMYFUNCTION("INDIRECT(""'收支紀錄'!E""&amp;TO_TEXT(ROW()-$C$72))"),"")</f>
        <v/>
      </c>
      <c r="F757" s="61" t="str">
        <f>IFERROR(__xludf.DUMMYFUNCTION("INDIRECT(""'收支紀錄'!F""&amp;TO_TEXT(ROW()-$C$72))"),"")</f>
        <v/>
      </c>
      <c r="G757" s="61" t="str">
        <f>IFERROR(__xludf.DUMMYFUNCTION("INDIRECT(""'收支紀錄'!G""&amp;TO_TEXT(ROW()-$C$72))"),"")</f>
        <v/>
      </c>
      <c r="H757" s="61" t="str">
        <f>IFERROR(__xludf.DUMMYFUNCTION("INDIRECT(""'收支紀錄'!H""&amp;TO_TEXT(ROW()-$C$72))"),"食品酒水")</f>
        <v>食品酒水</v>
      </c>
      <c r="I757" s="61" t="str">
        <f>IFERROR(__xludf.DUMMYFUNCTION("INDIRECT(""'收支紀錄'!I""&amp;TO_TEXT(ROW()-$C$72))"),"食材")</f>
        <v>食材</v>
      </c>
      <c r="J757" s="61" t="str">
        <f>IFERROR(__xludf.DUMMYFUNCTION("INDIRECT(""'收支紀錄'!J""&amp;TO_TEXT(ROW()-$C$72))"),"")</f>
        <v/>
      </c>
      <c r="K757" s="61" t="str">
        <f>IFERROR(__xludf.DUMMYFUNCTION("INDIRECT(""'收支紀錄'!K""&amp;TO_TEXT(ROW()-$C$72))"),"")</f>
        <v/>
      </c>
      <c r="L757" s="61" t="str">
        <f>IFERROR(__xludf.DUMMYFUNCTION("INDIRECT(""'收支紀錄'!L""&amp;TO_TEXT(ROW()-$C$72))"),"")</f>
        <v/>
      </c>
      <c r="M757" s="61" t="str">
        <f>IFERROR(__xludf.DUMMYFUNCTION("INDIRECT(""'收支紀錄'!M""&amp;TO_TEXT(ROW()-$C$72))"),"")</f>
        <v/>
      </c>
      <c r="N757" s="61" t="str">
        <f>IFERROR(__xludf.DUMMYFUNCTION("INDIRECT(""'收支紀錄'!N""&amp;TO_TEXT(ROW()-$C$72))"),"")</f>
        <v/>
      </c>
      <c r="O757" s="61" t="str">
        <f>IFERROR(__xludf.DUMMYFUNCTION("INDIRECT(""'收支紀錄'!O""&amp;TO_TEXT(ROW()-$C$72))"),"")</f>
        <v/>
      </c>
      <c r="P757" s="61" t="str">
        <f>IFERROR(__xludf.DUMMYFUNCTION("INDIRECT(""'收支紀錄'!P""&amp;TO_TEXT(ROW()-$C$72))"),"")</f>
        <v/>
      </c>
      <c r="Q757" s="61" t="str">
        <f>IFERROR(__xludf.DUMMYFUNCTION("INDIRECT(""'收支紀錄'!Q""&amp;TO_TEXT(ROW()-$C$72))"),"")</f>
        <v/>
      </c>
      <c r="R757" s="61" t="str">
        <f>IFERROR(__xludf.DUMMYFUNCTION("INDIRECT(""'收支紀錄'!R""&amp;TO_TEXT(ROW()-$C$72))"),"")</f>
        <v/>
      </c>
      <c r="S757" s="61" t="str">
        <f>IFERROR(__xludf.DUMMYFUNCTION("INDIRECT(""'收支紀錄'!S""&amp;TO_TEXT(ROW()-$C$72))"),"")</f>
        <v/>
      </c>
      <c r="T757" s="61" t="str">
        <f>IFERROR(__xludf.DUMMYFUNCTION("INDIRECT(""'收支紀錄'!T""&amp;TO_TEXT(ROW()-$C$72))"),"")</f>
        <v/>
      </c>
      <c r="U757" s="62" t="str">
        <f>IFERROR(__xludf.DUMMYFUNCTION("IF(T757=""是"",TEXTJOIN("""", TRUE, ""$"", TO_TEXT(C757), S757),"""")"),"")</f>
        <v/>
      </c>
    </row>
    <row r="758">
      <c r="A758" s="58">
        <f>IFERROR(__xludf.DUMMYFUNCTION("INDIRECT(""'收支紀錄'!A""&amp;TO_TEXT(ROW()-$C$72))"),45746.8878459838)</f>
        <v>45746.88785</v>
      </c>
      <c r="B758" s="59">
        <f>IFERROR(__xludf.DUMMYFUNCTION("IF(ISBLANK(D758), """", IF(ISDATE(D758), D758, IF(D758=""今天"", A758, IF(D758=""昨天 (-1 day)"", A758-1, IF(D758=""前天 (-2 days)"", A758-2, IF(D758=""明天 (+1 day)"", A758+1, DATE(LEFT(D758,4), MID(D758,5,2), RIGHT(D758,2))))))))"),45746.8878459838)</f>
        <v>45746.88785</v>
      </c>
      <c r="C758" s="60">
        <f>IFERROR(__xludf.DUMMYFUNCTION("INDIRECT(""'收支紀錄'!C""&amp;TO_TEXT(ROW()-$C$72))"),85.0)</f>
        <v>85</v>
      </c>
      <c r="D758" s="63" t="str">
        <f>IFERROR(__xludf.DUMMYFUNCTION("INDIRECT(""'收支紀錄'!D""&amp;TO_TEXT(ROW()-$C$72))"),"今天")</f>
        <v>今天</v>
      </c>
      <c r="E758" s="61" t="str">
        <f>IFERROR(__xludf.DUMMYFUNCTION("INDIRECT(""'收支紀錄'!E""&amp;TO_TEXT(ROW()-$C$72))"),"")</f>
        <v/>
      </c>
      <c r="F758" s="61" t="str">
        <f>IFERROR(__xludf.DUMMYFUNCTION("INDIRECT(""'收支紀錄'!F""&amp;TO_TEXT(ROW()-$C$72))"),"")</f>
        <v/>
      </c>
      <c r="G758" s="61" t="str">
        <f>IFERROR(__xludf.DUMMYFUNCTION("INDIRECT(""'收支紀錄'!G""&amp;TO_TEXT(ROW()-$C$72))"),"")</f>
        <v/>
      </c>
      <c r="H758" s="61" t="str">
        <f>IFERROR(__xludf.DUMMYFUNCTION("INDIRECT(""'收支紀錄'!H""&amp;TO_TEXT(ROW()-$C$72))"),"食品酒水")</f>
        <v>食品酒水</v>
      </c>
      <c r="I758" s="61" t="str">
        <f>IFERROR(__xludf.DUMMYFUNCTION("INDIRECT(""'收支紀錄'!I""&amp;TO_TEXT(ROW()-$C$72))"),"食材")</f>
        <v>食材</v>
      </c>
      <c r="J758" s="61" t="str">
        <f>IFERROR(__xludf.DUMMYFUNCTION("INDIRECT(""'收支紀錄'!J""&amp;TO_TEXT(ROW()-$C$72))"),"")</f>
        <v/>
      </c>
      <c r="K758" s="61" t="str">
        <f>IFERROR(__xludf.DUMMYFUNCTION("INDIRECT(""'收支紀錄'!K""&amp;TO_TEXT(ROW()-$C$72))"),"")</f>
        <v/>
      </c>
      <c r="L758" s="61" t="str">
        <f>IFERROR(__xludf.DUMMYFUNCTION("INDIRECT(""'收支紀錄'!L""&amp;TO_TEXT(ROW()-$C$72))"),"")</f>
        <v/>
      </c>
      <c r="M758" s="61" t="str">
        <f>IFERROR(__xludf.DUMMYFUNCTION("INDIRECT(""'收支紀錄'!M""&amp;TO_TEXT(ROW()-$C$72))"),"")</f>
        <v/>
      </c>
      <c r="N758" s="61" t="str">
        <f>IFERROR(__xludf.DUMMYFUNCTION("INDIRECT(""'收支紀錄'!N""&amp;TO_TEXT(ROW()-$C$72))"),"")</f>
        <v/>
      </c>
      <c r="O758" s="61" t="str">
        <f>IFERROR(__xludf.DUMMYFUNCTION("INDIRECT(""'收支紀錄'!O""&amp;TO_TEXT(ROW()-$C$72))"),"")</f>
        <v/>
      </c>
      <c r="P758" s="61" t="str">
        <f>IFERROR(__xludf.DUMMYFUNCTION("INDIRECT(""'收支紀錄'!P""&amp;TO_TEXT(ROW()-$C$72))"),"")</f>
        <v/>
      </c>
      <c r="Q758" s="61" t="str">
        <f>IFERROR(__xludf.DUMMYFUNCTION("INDIRECT(""'收支紀錄'!Q""&amp;TO_TEXT(ROW()-$C$72))"),"")</f>
        <v/>
      </c>
      <c r="R758" s="61" t="str">
        <f>IFERROR(__xludf.DUMMYFUNCTION("INDIRECT(""'收支紀錄'!R""&amp;TO_TEXT(ROW()-$C$72))"),"")</f>
        <v/>
      </c>
      <c r="S758" s="61" t="str">
        <f>IFERROR(__xludf.DUMMYFUNCTION("INDIRECT(""'收支紀錄'!S""&amp;TO_TEXT(ROW()-$C$72))"),"")</f>
        <v/>
      </c>
      <c r="T758" s="61" t="str">
        <f>IFERROR(__xludf.DUMMYFUNCTION("INDIRECT(""'收支紀錄'!T""&amp;TO_TEXT(ROW()-$C$72))"),"")</f>
        <v/>
      </c>
      <c r="U758" s="62" t="str">
        <f>IFERROR(__xludf.DUMMYFUNCTION("IF(T758=""是"",TEXTJOIN("""", TRUE, ""$"", TO_TEXT(C758), S758),"""")"),"")</f>
        <v/>
      </c>
    </row>
    <row r="759">
      <c r="A759" s="58">
        <f>IFERROR(__xludf.DUMMYFUNCTION("INDIRECT(""'收支紀錄'!A""&amp;TO_TEXT(ROW()-$C$72))"),45746.88798849537)</f>
        <v>45746.88799</v>
      </c>
      <c r="B759" s="59">
        <f>IFERROR(__xludf.DUMMYFUNCTION("IF(ISBLANK(D759), """", IF(ISDATE(D759), D759, IF(D759=""今天"", A759, IF(D759=""昨天 (-1 day)"", A759-1, IF(D759=""前天 (-2 days)"", A759-2, IF(D759=""明天 (+1 day)"", A759+1, DATE(LEFT(D759,4), MID(D759,5,2), RIGHT(D759,2))))))))"),45746.88798849537)</f>
        <v>45746.88799</v>
      </c>
      <c r="C759" s="60">
        <f>IFERROR(__xludf.DUMMYFUNCTION("INDIRECT(""'收支紀錄'!C""&amp;TO_TEXT(ROW()-$C$72))"),450.0)</f>
        <v>450</v>
      </c>
      <c r="D759" s="63" t="str">
        <f>IFERROR(__xludf.DUMMYFUNCTION("INDIRECT(""'收支紀錄'!D""&amp;TO_TEXT(ROW()-$C$72))"),"今天")</f>
        <v>今天</v>
      </c>
      <c r="E759" s="61" t="str">
        <f>IFERROR(__xludf.DUMMYFUNCTION("INDIRECT(""'收支紀錄'!E""&amp;TO_TEXT(ROW()-$C$72))"),"")</f>
        <v/>
      </c>
      <c r="F759" s="61" t="str">
        <f>IFERROR(__xludf.DUMMYFUNCTION("INDIRECT(""'收支紀錄'!F""&amp;TO_TEXT(ROW()-$C$72))"),"")</f>
        <v/>
      </c>
      <c r="G759" s="61" t="str">
        <f>IFERROR(__xludf.DUMMYFUNCTION("INDIRECT(""'收支紀錄'!G""&amp;TO_TEXT(ROW()-$C$72))"),"")</f>
        <v/>
      </c>
      <c r="H759" s="61" t="str">
        <f>IFERROR(__xludf.DUMMYFUNCTION("INDIRECT(""'收支紀錄'!H""&amp;TO_TEXT(ROW()-$C$72))"),"食品酒水")</f>
        <v>食品酒水</v>
      </c>
      <c r="I759" s="61" t="str">
        <f>IFERROR(__xludf.DUMMYFUNCTION("INDIRECT(""'收支紀錄'!I""&amp;TO_TEXT(ROW()-$C$72))"),"午餐")</f>
        <v>午餐</v>
      </c>
      <c r="J759" s="61" t="str">
        <f>IFERROR(__xludf.DUMMYFUNCTION("INDIRECT(""'收支紀錄'!J""&amp;TO_TEXT(ROW()-$C$72))"),"")</f>
        <v/>
      </c>
      <c r="K759" s="61" t="str">
        <f>IFERROR(__xludf.DUMMYFUNCTION("INDIRECT(""'收支紀錄'!K""&amp;TO_TEXT(ROW()-$C$72))"),"")</f>
        <v/>
      </c>
      <c r="L759" s="61" t="str">
        <f>IFERROR(__xludf.DUMMYFUNCTION("INDIRECT(""'收支紀錄'!L""&amp;TO_TEXT(ROW()-$C$72))"),"")</f>
        <v/>
      </c>
      <c r="M759" s="61" t="str">
        <f>IFERROR(__xludf.DUMMYFUNCTION("INDIRECT(""'收支紀錄'!M""&amp;TO_TEXT(ROW()-$C$72))"),"")</f>
        <v/>
      </c>
      <c r="N759" s="61" t="str">
        <f>IFERROR(__xludf.DUMMYFUNCTION("INDIRECT(""'收支紀錄'!N""&amp;TO_TEXT(ROW()-$C$72))"),"")</f>
        <v/>
      </c>
      <c r="O759" s="61" t="str">
        <f>IFERROR(__xludf.DUMMYFUNCTION("INDIRECT(""'收支紀錄'!O""&amp;TO_TEXT(ROW()-$C$72))"),"")</f>
        <v/>
      </c>
      <c r="P759" s="61" t="str">
        <f>IFERROR(__xludf.DUMMYFUNCTION("INDIRECT(""'收支紀錄'!P""&amp;TO_TEXT(ROW()-$C$72))"),"")</f>
        <v/>
      </c>
      <c r="Q759" s="61" t="str">
        <f>IFERROR(__xludf.DUMMYFUNCTION("INDIRECT(""'收支紀錄'!Q""&amp;TO_TEXT(ROW()-$C$72))"),"")</f>
        <v/>
      </c>
      <c r="R759" s="61" t="str">
        <f>IFERROR(__xludf.DUMMYFUNCTION("INDIRECT(""'收支紀錄'!R""&amp;TO_TEXT(ROW()-$C$72))"),"")</f>
        <v/>
      </c>
      <c r="S759" s="61" t="str">
        <f>IFERROR(__xludf.DUMMYFUNCTION("INDIRECT(""'收支紀錄'!S""&amp;TO_TEXT(ROW()-$C$72))"),"")</f>
        <v/>
      </c>
      <c r="T759" s="61" t="str">
        <f>IFERROR(__xludf.DUMMYFUNCTION("INDIRECT(""'收支紀錄'!T""&amp;TO_TEXT(ROW()-$C$72))"),"")</f>
        <v/>
      </c>
      <c r="U759" s="62" t="str">
        <f>IFERROR(__xludf.DUMMYFUNCTION("IF(T759=""是"",TEXTJOIN("""", TRUE, ""$"", TO_TEXT(C759), S759),"""")"),"")</f>
        <v/>
      </c>
    </row>
    <row r="760">
      <c r="A760" s="58">
        <f>IFERROR(__xludf.DUMMYFUNCTION("INDIRECT(""'收支紀錄'!A""&amp;TO_TEXT(ROW()-$C$72))"),45746.88819020834)</f>
        <v>45746.88819</v>
      </c>
      <c r="B760" s="59">
        <f>IFERROR(__xludf.DUMMYFUNCTION("IF(ISBLANK(D760), """", IF(ISDATE(D760), D760, IF(D760=""今天"", A760, IF(D760=""昨天 (-1 day)"", A760-1, IF(D760=""前天 (-2 days)"", A760-2, IF(D760=""明天 (+1 day)"", A760+1, DATE(LEFT(D760,4), MID(D760,5,2), RIGHT(D760,2))))))))"),45746.88819020834)</f>
        <v>45746.88819</v>
      </c>
      <c r="C760" s="60">
        <f>IFERROR(__xludf.DUMMYFUNCTION("INDIRECT(""'收支紀錄'!C""&amp;TO_TEXT(ROW()-$C$72))"),83.0)</f>
        <v>83</v>
      </c>
      <c r="D760" s="63" t="str">
        <f>IFERROR(__xludf.DUMMYFUNCTION("INDIRECT(""'收支紀錄'!D""&amp;TO_TEXT(ROW()-$C$72))"),"今天")</f>
        <v>今天</v>
      </c>
      <c r="E760" s="61" t="str">
        <f>IFERROR(__xludf.DUMMYFUNCTION("INDIRECT(""'收支紀錄'!E""&amp;TO_TEXT(ROW()-$C$72))"),"")</f>
        <v/>
      </c>
      <c r="F760" s="61" t="str">
        <f>IFERROR(__xludf.DUMMYFUNCTION("INDIRECT(""'收支紀錄'!F""&amp;TO_TEXT(ROW()-$C$72))"),"")</f>
        <v/>
      </c>
      <c r="G760" s="61" t="str">
        <f>IFERROR(__xludf.DUMMYFUNCTION("INDIRECT(""'收支紀錄'!G""&amp;TO_TEXT(ROW()-$C$72))"),"")</f>
        <v/>
      </c>
      <c r="H760" s="61" t="str">
        <f>IFERROR(__xludf.DUMMYFUNCTION("INDIRECT(""'收支紀錄'!H""&amp;TO_TEXT(ROW()-$C$72))"),"行車交通")</f>
        <v>行車交通</v>
      </c>
      <c r="I760" s="61" t="str">
        <f>IFERROR(__xludf.DUMMYFUNCTION("INDIRECT(""'收支紀錄'!I""&amp;TO_TEXT(ROW()-$C$72))"),"")</f>
        <v/>
      </c>
      <c r="J760" s="61" t="str">
        <f>IFERROR(__xludf.DUMMYFUNCTION("INDIRECT(""'收支紀錄'!J""&amp;TO_TEXT(ROW()-$C$72))"),"")</f>
        <v/>
      </c>
      <c r="K760" s="61" t="str">
        <f>IFERROR(__xludf.DUMMYFUNCTION("INDIRECT(""'收支紀錄'!K""&amp;TO_TEXT(ROW()-$C$72))"),"")</f>
        <v/>
      </c>
      <c r="L760" s="61" t="str">
        <f>IFERROR(__xludf.DUMMYFUNCTION("INDIRECT(""'收支紀錄'!L""&amp;TO_TEXT(ROW()-$C$72))"),"加油")</f>
        <v>加油</v>
      </c>
      <c r="M760" s="61" t="str">
        <f>IFERROR(__xludf.DUMMYFUNCTION("INDIRECT(""'收支紀錄'!M""&amp;TO_TEXT(ROW()-$C$72))"),"")</f>
        <v/>
      </c>
      <c r="N760" s="61" t="str">
        <f>IFERROR(__xludf.DUMMYFUNCTION("INDIRECT(""'收支紀錄'!N""&amp;TO_TEXT(ROW()-$C$72))"),"")</f>
        <v/>
      </c>
      <c r="O760" s="61" t="str">
        <f>IFERROR(__xludf.DUMMYFUNCTION("INDIRECT(""'收支紀錄'!O""&amp;TO_TEXT(ROW()-$C$72))"),"")</f>
        <v/>
      </c>
      <c r="P760" s="61" t="str">
        <f>IFERROR(__xludf.DUMMYFUNCTION("INDIRECT(""'收支紀錄'!P""&amp;TO_TEXT(ROW()-$C$72))"),"")</f>
        <v/>
      </c>
      <c r="Q760" s="61" t="str">
        <f>IFERROR(__xludf.DUMMYFUNCTION("INDIRECT(""'收支紀錄'!Q""&amp;TO_TEXT(ROW()-$C$72))"),"")</f>
        <v/>
      </c>
      <c r="R760" s="61" t="str">
        <f>IFERROR(__xludf.DUMMYFUNCTION("INDIRECT(""'收支紀錄'!R""&amp;TO_TEXT(ROW()-$C$72))"),"")</f>
        <v/>
      </c>
      <c r="S760" s="61" t="str">
        <f>IFERROR(__xludf.DUMMYFUNCTION("INDIRECT(""'收支紀錄'!S""&amp;TO_TEXT(ROW()-$C$72))"),"")</f>
        <v/>
      </c>
      <c r="T760" s="61" t="str">
        <f>IFERROR(__xludf.DUMMYFUNCTION("INDIRECT(""'收支紀錄'!T""&amp;TO_TEXT(ROW()-$C$72))"),"")</f>
        <v/>
      </c>
      <c r="U760" s="62" t="str">
        <f>IFERROR(__xludf.DUMMYFUNCTION("IF(T760=""是"",TEXTJOIN("""", TRUE, ""$"", TO_TEXT(C760), S760),"""")"),"")</f>
        <v/>
      </c>
    </row>
    <row r="761">
      <c r="A761" s="58">
        <f>IFERROR(__xludf.DUMMYFUNCTION("INDIRECT(""'收支紀錄'!A""&amp;TO_TEXT(ROW()-$C$72))"),45747.3054884375)</f>
        <v>45747.30549</v>
      </c>
      <c r="B761" s="59">
        <f>IFERROR(__xludf.DUMMYFUNCTION("IF(ISBLANK(D761), """", IF(ISDATE(D761), D761, IF(D761=""今天"", A761, IF(D761=""昨天 (-1 day)"", A761-1, IF(D761=""前天 (-2 days)"", A761-2, IF(D761=""明天 (+1 day)"", A761+1, DATE(LEFT(D761,4), MID(D761,5,2), RIGHT(D761,2))))))))"),45747.3054884375)</f>
        <v>45747.30549</v>
      </c>
      <c r="C761" s="60">
        <f>IFERROR(__xludf.DUMMYFUNCTION("INDIRECT(""'收支紀錄'!C""&amp;TO_TEXT(ROW()-$C$72))"),699.0)</f>
        <v>699</v>
      </c>
      <c r="D761" s="63" t="str">
        <f>IFERROR(__xludf.DUMMYFUNCTION("INDIRECT(""'收支紀錄'!D""&amp;TO_TEXT(ROW()-$C$72))"),"今天")</f>
        <v>今天</v>
      </c>
      <c r="E761" s="61" t="str">
        <f>IFERROR(__xludf.DUMMYFUNCTION("INDIRECT(""'收支紀錄'!E""&amp;TO_TEXT(ROW()-$C$72))"),"")</f>
        <v/>
      </c>
      <c r="F761" s="61" t="str">
        <f>IFERROR(__xludf.DUMMYFUNCTION("INDIRECT(""'收支紀錄'!F""&amp;TO_TEXT(ROW()-$C$72))"),"")</f>
        <v/>
      </c>
      <c r="G761" s="61" t="str">
        <f>IFERROR(__xludf.DUMMYFUNCTION("INDIRECT(""'收支紀錄'!G""&amp;TO_TEXT(ROW()-$C$72))"),"")</f>
        <v/>
      </c>
      <c r="H761" s="61" t="str">
        <f>IFERROR(__xludf.DUMMYFUNCTION("INDIRECT(""'收支紀錄'!H""&amp;TO_TEXT(ROW()-$C$72))"),"行車交通")</f>
        <v>行車交通</v>
      </c>
      <c r="I761" s="61" t="str">
        <f>IFERROR(__xludf.DUMMYFUNCTION("INDIRECT(""'收支紀錄'!I""&amp;TO_TEXT(ROW()-$C$72))"),"")</f>
        <v/>
      </c>
      <c r="J761" s="61" t="str">
        <f>IFERROR(__xludf.DUMMYFUNCTION("INDIRECT(""'收支紀錄'!J""&amp;TO_TEXT(ROW()-$C$72))"),"")</f>
        <v/>
      </c>
      <c r="K761" s="61" t="str">
        <f>IFERROR(__xludf.DUMMYFUNCTION("INDIRECT(""'收支紀錄'!K""&amp;TO_TEXT(ROW()-$C$72))"),"")</f>
        <v/>
      </c>
      <c r="L761" s="61" t="str">
        <f>IFERROR(__xludf.DUMMYFUNCTION("INDIRECT(""'收支紀錄'!L""&amp;TO_TEXT(ROW()-$C$72))"),"捷運費")</f>
        <v>捷運費</v>
      </c>
      <c r="M761" s="61" t="str">
        <f>IFERROR(__xludf.DUMMYFUNCTION("INDIRECT(""'收支紀錄'!M""&amp;TO_TEXT(ROW()-$C$72))"),"")</f>
        <v/>
      </c>
      <c r="N761" s="61" t="str">
        <f>IFERROR(__xludf.DUMMYFUNCTION("INDIRECT(""'收支紀錄'!N""&amp;TO_TEXT(ROW()-$C$72))"),"")</f>
        <v/>
      </c>
      <c r="O761" s="61" t="str">
        <f>IFERROR(__xludf.DUMMYFUNCTION("INDIRECT(""'收支紀錄'!O""&amp;TO_TEXT(ROW()-$C$72))"),"")</f>
        <v/>
      </c>
      <c r="P761" s="61" t="str">
        <f>IFERROR(__xludf.DUMMYFUNCTION("INDIRECT(""'收支紀錄'!P""&amp;TO_TEXT(ROW()-$C$72))"),"")</f>
        <v/>
      </c>
      <c r="Q761" s="61" t="str">
        <f>IFERROR(__xludf.DUMMYFUNCTION("INDIRECT(""'收支紀錄'!Q""&amp;TO_TEXT(ROW()-$C$72))"),"")</f>
        <v/>
      </c>
      <c r="R761" s="61" t="str">
        <f>IFERROR(__xludf.DUMMYFUNCTION("INDIRECT(""'收支紀錄'!R""&amp;TO_TEXT(ROW()-$C$72))"),"")</f>
        <v/>
      </c>
      <c r="S761" s="61" t="str">
        <f>IFERROR(__xludf.DUMMYFUNCTION("INDIRECT(""'收支紀錄'!S""&amp;TO_TEXT(ROW()-$C$72))"),"")</f>
        <v/>
      </c>
      <c r="T761" s="61" t="str">
        <f>IFERROR(__xludf.DUMMYFUNCTION("INDIRECT(""'收支紀錄'!T""&amp;TO_TEXT(ROW()-$C$72))"),"")</f>
        <v/>
      </c>
      <c r="U761" s="62" t="str">
        <f>IFERROR(__xludf.DUMMYFUNCTION("IF(T761=""是"",TEXTJOIN("""", TRUE, ""$"", TO_TEXT(C761), S761),"""")"),"")</f>
        <v/>
      </c>
    </row>
    <row r="762">
      <c r="A762" s="58">
        <f>IFERROR(__xludf.DUMMYFUNCTION("INDIRECT(""'收支紀錄'!A""&amp;TO_TEXT(ROW()-$C$72))"),45748.32092844907)</f>
        <v>45748.32093</v>
      </c>
      <c r="B762" s="59">
        <f>IFERROR(__xludf.DUMMYFUNCTION("IF(ISBLANK(D762), """", IF(ISDATE(D762), D762, IF(D762=""今天"", A762, IF(D762=""昨天 (-1 day)"", A762-1, IF(D762=""前天 (-2 days)"", A762-2, IF(D762=""明天 (+1 day)"", A762+1, DATE(LEFT(D762,4), MID(D762,5,2), RIGHT(D762,2))))))))"),45748.32092844907)</f>
        <v>45748.32093</v>
      </c>
      <c r="C762" s="60">
        <f>IFERROR(__xludf.DUMMYFUNCTION("INDIRECT(""'收支紀錄'!C""&amp;TO_TEXT(ROW()-$C$72))"),20000.0)</f>
        <v>20000</v>
      </c>
      <c r="D762" s="63" t="str">
        <f>IFERROR(__xludf.DUMMYFUNCTION("INDIRECT(""'收支紀錄'!D""&amp;TO_TEXT(ROW()-$C$72))"),"今天")</f>
        <v>今天</v>
      </c>
      <c r="E762" s="61" t="str">
        <f>IFERROR(__xludf.DUMMYFUNCTION("INDIRECT(""'收支紀錄'!E""&amp;TO_TEXT(ROW()-$C$72))"),"")</f>
        <v/>
      </c>
      <c r="F762" s="61" t="str">
        <f>IFERROR(__xludf.DUMMYFUNCTION("INDIRECT(""'收支紀錄'!F""&amp;TO_TEXT(ROW()-$C$72))"),"")</f>
        <v/>
      </c>
      <c r="G762" s="61" t="str">
        <f>IFERROR(__xludf.DUMMYFUNCTION("INDIRECT(""'收支紀錄'!G""&amp;TO_TEXT(ROW()-$C$72))"),"")</f>
        <v/>
      </c>
      <c r="H762" s="61" t="str">
        <f>IFERROR(__xludf.DUMMYFUNCTION("INDIRECT(""'收支紀錄'!H""&amp;TO_TEXT(ROW()-$C$72))"),"房屋支出")</f>
        <v>房屋支出</v>
      </c>
      <c r="I762" s="61" t="str">
        <f>IFERROR(__xludf.DUMMYFUNCTION("INDIRECT(""'收支紀錄'!I""&amp;TO_TEXT(ROW()-$C$72))"),"")</f>
        <v/>
      </c>
      <c r="J762" s="61" t="str">
        <f>IFERROR(__xludf.DUMMYFUNCTION("INDIRECT(""'收支紀錄'!J""&amp;TO_TEXT(ROW()-$C$72))"),"")</f>
        <v/>
      </c>
      <c r="K762" s="61" t="str">
        <f>IFERROR(__xludf.DUMMYFUNCTION("INDIRECT(""'收支紀錄'!K""&amp;TO_TEXT(ROW()-$C$72))"),"文心1房貸代繳")</f>
        <v>文心1房貸代繳</v>
      </c>
      <c r="L762" s="61" t="str">
        <f>IFERROR(__xludf.DUMMYFUNCTION("INDIRECT(""'收支紀錄'!L""&amp;TO_TEXT(ROW()-$C$72))"),"")</f>
        <v/>
      </c>
      <c r="M762" s="61" t="str">
        <f>IFERROR(__xludf.DUMMYFUNCTION("INDIRECT(""'收支紀錄'!M""&amp;TO_TEXT(ROW()-$C$72))"),"")</f>
        <v/>
      </c>
      <c r="N762" s="61" t="str">
        <f>IFERROR(__xludf.DUMMYFUNCTION("INDIRECT(""'收支紀錄'!N""&amp;TO_TEXT(ROW()-$C$72))"),"")</f>
        <v/>
      </c>
      <c r="O762" s="61" t="str">
        <f>IFERROR(__xludf.DUMMYFUNCTION("INDIRECT(""'收支紀錄'!O""&amp;TO_TEXT(ROW()-$C$72))"),"")</f>
        <v/>
      </c>
      <c r="P762" s="61" t="str">
        <f>IFERROR(__xludf.DUMMYFUNCTION("INDIRECT(""'收支紀錄'!P""&amp;TO_TEXT(ROW()-$C$72))"),"")</f>
        <v/>
      </c>
      <c r="Q762" s="61" t="str">
        <f>IFERROR(__xludf.DUMMYFUNCTION("INDIRECT(""'收支紀錄'!Q""&amp;TO_TEXT(ROW()-$C$72))"),"")</f>
        <v/>
      </c>
      <c r="R762" s="61" t="str">
        <f>IFERROR(__xludf.DUMMYFUNCTION("INDIRECT(""'收支紀錄'!R""&amp;TO_TEXT(ROW()-$C$72))"),"")</f>
        <v/>
      </c>
      <c r="S762" s="61" t="str">
        <f>IFERROR(__xludf.DUMMYFUNCTION("INDIRECT(""'收支紀錄'!S""&amp;TO_TEXT(ROW()-$C$72))"),"")</f>
        <v/>
      </c>
      <c r="T762" s="61" t="str">
        <f>IFERROR(__xludf.DUMMYFUNCTION("INDIRECT(""'收支紀錄'!T""&amp;TO_TEXT(ROW()-$C$72))"),"")</f>
        <v/>
      </c>
      <c r="U762" s="62" t="str">
        <f>IFERROR(__xludf.DUMMYFUNCTION("IF(T762=""是"",TEXTJOIN("""", TRUE, ""$"", TO_TEXT(C762), S762),"""")"),"")</f>
        <v/>
      </c>
    </row>
    <row r="763">
      <c r="A763" s="58">
        <f>IFERROR(__xludf.DUMMYFUNCTION("INDIRECT(""'收支紀錄'!A""&amp;TO_TEXT(ROW()-$C$72))"),45748.32109618056)</f>
        <v>45748.3211</v>
      </c>
      <c r="B763" s="59">
        <f>IFERROR(__xludf.DUMMYFUNCTION("IF(ISBLANK(D763), """", IF(ISDATE(D763), D763, IF(D763=""今天"", A763, IF(D763=""昨天 (-1 day)"", A763-1, IF(D763=""前天 (-2 days)"", A763-2, IF(D763=""明天 (+1 day)"", A763+1, DATE(LEFT(D763,4), MID(D763,5,2), RIGHT(D763,2))))))))"),45748.32109618056)</f>
        <v>45748.3211</v>
      </c>
      <c r="C763" s="60">
        <f>IFERROR(__xludf.DUMMYFUNCTION("INDIRECT(""'收支紀錄'!C""&amp;TO_TEXT(ROW()-$C$72))"),6000.0)</f>
        <v>6000</v>
      </c>
      <c r="D763" s="63" t="str">
        <f>IFERROR(__xludf.DUMMYFUNCTION("INDIRECT(""'收支紀錄'!D""&amp;TO_TEXT(ROW()-$C$72))"),"今天")</f>
        <v>今天</v>
      </c>
      <c r="E763" s="61" t="str">
        <f>IFERROR(__xludf.DUMMYFUNCTION("INDIRECT(""'收支紀錄'!E""&amp;TO_TEXT(ROW()-$C$72))"),"")</f>
        <v/>
      </c>
      <c r="F763" s="61" t="str">
        <f>IFERROR(__xludf.DUMMYFUNCTION("INDIRECT(""'收支紀錄'!F""&amp;TO_TEXT(ROW()-$C$72))"),"")</f>
        <v/>
      </c>
      <c r="G763" s="61" t="str">
        <f>IFERROR(__xludf.DUMMYFUNCTION("INDIRECT(""'收支紀錄'!G""&amp;TO_TEXT(ROW()-$C$72))"),"")</f>
        <v/>
      </c>
      <c r="H763" s="61" t="str">
        <f>IFERROR(__xludf.DUMMYFUNCTION("INDIRECT(""'收支紀錄'!H""&amp;TO_TEXT(ROW()-$C$72))"),"房屋支出")</f>
        <v>房屋支出</v>
      </c>
      <c r="I763" s="61" t="str">
        <f>IFERROR(__xludf.DUMMYFUNCTION("INDIRECT(""'收支紀錄'!I""&amp;TO_TEXT(ROW()-$C$72))"),"")</f>
        <v/>
      </c>
      <c r="J763" s="61" t="str">
        <f>IFERROR(__xludf.DUMMYFUNCTION("INDIRECT(""'收支紀錄'!J""&amp;TO_TEXT(ROW()-$C$72))"),"")</f>
        <v/>
      </c>
      <c r="K763" s="61" t="str">
        <f>IFERROR(__xludf.DUMMYFUNCTION("INDIRECT(""'收支紀錄'!K""&amp;TO_TEXT(ROW()-$C$72))"),"租屋")</f>
        <v>租屋</v>
      </c>
      <c r="L763" s="61" t="str">
        <f>IFERROR(__xludf.DUMMYFUNCTION("INDIRECT(""'收支紀錄'!L""&amp;TO_TEXT(ROW()-$C$72))"),"")</f>
        <v/>
      </c>
      <c r="M763" s="61" t="str">
        <f>IFERROR(__xludf.DUMMYFUNCTION("INDIRECT(""'收支紀錄'!M""&amp;TO_TEXT(ROW()-$C$72))"),"")</f>
        <v/>
      </c>
      <c r="N763" s="61" t="str">
        <f>IFERROR(__xludf.DUMMYFUNCTION("INDIRECT(""'收支紀錄'!N""&amp;TO_TEXT(ROW()-$C$72))"),"")</f>
        <v/>
      </c>
      <c r="O763" s="61" t="str">
        <f>IFERROR(__xludf.DUMMYFUNCTION("INDIRECT(""'收支紀錄'!O""&amp;TO_TEXT(ROW()-$C$72))"),"")</f>
        <v/>
      </c>
      <c r="P763" s="61" t="str">
        <f>IFERROR(__xludf.DUMMYFUNCTION("INDIRECT(""'收支紀錄'!P""&amp;TO_TEXT(ROW()-$C$72))"),"")</f>
        <v/>
      </c>
      <c r="Q763" s="61" t="str">
        <f>IFERROR(__xludf.DUMMYFUNCTION("INDIRECT(""'收支紀錄'!Q""&amp;TO_TEXT(ROW()-$C$72))"),"")</f>
        <v/>
      </c>
      <c r="R763" s="61" t="str">
        <f>IFERROR(__xludf.DUMMYFUNCTION("INDIRECT(""'收支紀錄'!R""&amp;TO_TEXT(ROW()-$C$72))"),"")</f>
        <v/>
      </c>
      <c r="S763" s="61" t="str">
        <f>IFERROR(__xludf.DUMMYFUNCTION("INDIRECT(""'收支紀錄'!S""&amp;TO_TEXT(ROW()-$C$72))"),"")</f>
        <v/>
      </c>
      <c r="T763" s="61" t="str">
        <f>IFERROR(__xludf.DUMMYFUNCTION("INDIRECT(""'收支紀錄'!T""&amp;TO_TEXT(ROW()-$C$72))"),"")</f>
        <v/>
      </c>
      <c r="U763" s="62" t="str">
        <f>IFERROR(__xludf.DUMMYFUNCTION("IF(T763=""是"",TEXTJOIN("""", TRUE, ""$"", TO_TEXT(C763), S763),"""")"),"")</f>
        <v/>
      </c>
    </row>
    <row r="764">
      <c r="A764" s="58">
        <f>IFERROR(__xludf.DUMMYFUNCTION("INDIRECT(""'收支紀錄'!A""&amp;TO_TEXT(ROW()-$C$72))"),45749.75791368056)</f>
        <v>45749.75791</v>
      </c>
      <c r="B764" s="59">
        <f>IFERROR(__xludf.DUMMYFUNCTION("IF(ISBLANK(D764), """", IF(ISDATE(D764), D764, IF(D764=""今天"", A764, IF(D764=""昨天 (-1 day)"", A764-1, IF(D764=""前天 (-2 days)"", A764-2, IF(D764=""明天 (+1 day)"", A764+1, DATE(LEFT(D764,4), MID(D764,5,2), RIGHT(D764,2))))))))"),45749.75791368056)</f>
        <v>45749.75791</v>
      </c>
      <c r="C764" s="60">
        <f>IFERROR(__xludf.DUMMYFUNCTION("INDIRECT(""'收支紀錄'!C""&amp;TO_TEXT(ROW()-$C$72))"),150.0)</f>
        <v>150</v>
      </c>
      <c r="D764" s="63" t="str">
        <f>IFERROR(__xludf.DUMMYFUNCTION("INDIRECT(""'收支紀錄'!D""&amp;TO_TEXT(ROW()-$C$72))"),"今天")</f>
        <v>今天</v>
      </c>
      <c r="E764" s="61" t="str">
        <f>IFERROR(__xludf.DUMMYFUNCTION("INDIRECT(""'收支紀錄'!E""&amp;TO_TEXT(ROW()-$C$72))"),"")</f>
        <v/>
      </c>
      <c r="F764" s="61" t="str">
        <f>IFERROR(__xludf.DUMMYFUNCTION("INDIRECT(""'收支紀錄'!F""&amp;TO_TEXT(ROW()-$C$72))"),"")</f>
        <v/>
      </c>
      <c r="G764" s="61" t="str">
        <f>IFERROR(__xludf.DUMMYFUNCTION("INDIRECT(""'收支紀錄'!G""&amp;TO_TEXT(ROW()-$C$72))"),"")</f>
        <v/>
      </c>
      <c r="H764" s="61" t="str">
        <f>IFERROR(__xludf.DUMMYFUNCTION("INDIRECT(""'收支紀錄'!H""&amp;TO_TEXT(ROW()-$C$72))"),"醫療費用")</f>
        <v>醫療費用</v>
      </c>
      <c r="I764" s="61" t="str">
        <f>IFERROR(__xludf.DUMMYFUNCTION("INDIRECT(""'收支紀錄'!I""&amp;TO_TEXT(ROW()-$C$72))"),"")</f>
        <v/>
      </c>
      <c r="J764" s="61" t="str">
        <f>IFERROR(__xludf.DUMMYFUNCTION("INDIRECT(""'收支紀錄'!J""&amp;TO_TEXT(ROW()-$C$72))"),"")</f>
        <v/>
      </c>
      <c r="K764" s="61" t="str">
        <f>IFERROR(__xludf.DUMMYFUNCTION("INDIRECT(""'收支紀錄'!K""&amp;TO_TEXT(ROW()-$C$72))"),"")</f>
        <v/>
      </c>
      <c r="L764" s="61" t="str">
        <f>IFERROR(__xludf.DUMMYFUNCTION("INDIRECT(""'收支紀錄'!L""&amp;TO_TEXT(ROW()-$C$72))"),"")</f>
        <v/>
      </c>
      <c r="M764" s="61" t="str">
        <f>IFERROR(__xludf.DUMMYFUNCTION("INDIRECT(""'收支紀錄'!M""&amp;TO_TEXT(ROW()-$C$72))"),"")</f>
        <v/>
      </c>
      <c r="N764" s="61" t="str">
        <f>IFERROR(__xludf.DUMMYFUNCTION("INDIRECT(""'收支紀錄'!N""&amp;TO_TEXT(ROW()-$C$72))"),"")</f>
        <v/>
      </c>
      <c r="O764" s="61" t="str">
        <f>IFERROR(__xludf.DUMMYFUNCTION("INDIRECT(""'收支紀錄'!O""&amp;TO_TEXT(ROW()-$C$72))"),"生病醫療")</f>
        <v>生病醫療</v>
      </c>
      <c r="P764" s="61" t="str">
        <f>IFERROR(__xludf.DUMMYFUNCTION("INDIRECT(""'收支紀錄'!P""&amp;TO_TEXT(ROW()-$C$72))"),"")</f>
        <v/>
      </c>
      <c r="Q764" s="61" t="str">
        <f>IFERROR(__xludf.DUMMYFUNCTION("INDIRECT(""'收支紀錄'!Q""&amp;TO_TEXT(ROW()-$C$72))"),"")</f>
        <v/>
      </c>
      <c r="R764" s="61" t="str">
        <f>IFERROR(__xludf.DUMMYFUNCTION("INDIRECT(""'收支紀錄'!R""&amp;TO_TEXT(ROW()-$C$72))"),"")</f>
        <v/>
      </c>
      <c r="S764" s="61" t="str">
        <f>IFERROR(__xludf.DUMMYFUNCTION("INDIRECT(""'收支紀錄'!S""&amp;TO_TEXT(ROW()-$C$72))"),"")</f>
        <v/>
      </c>
      <c r="T764" s="61" t="str">
        <f>IFERROR(__xludf.DUMMYFUNCTION("INDIRECT(""'收支紀錄'!T""&amp;TO_TEXT(ROW()-$C$72))"),"")</f>
        <v/>
      </c>
      <c r="U764" s="62" t="str">
        <f>IFERROR(__xludf.DUMMYFUNCTION("IF(T764=""是"",TEXTJOIN("""", TRUE, ""$"", TO_TEXT(C764), S764),"""")"),"")</f>
        <v/>
      </c>
    </row>
    <row r="765">
      <c r="A765" s="58">
        <f>IFERROR(__xludf.DUMMYFUNCTION("INDIRECT(""'收支紀錄'!A""&amp;TO_TEXT(ROW()-$C$72))"),45749.758212465276)</f>
        <v>45749.75821</v>
      </c>
      <c r="B765" s="59">
        <f>IFERROR(__xludf.DUMMYFUNCTION("IF(ISBLANK(D765), """", IF(ISDATE(D765), D765, IF(D765=""今天"", A765, IF(D765=""昨天 (-1 day)"", A765-1, IF(D765=""前天 (-2 days)"", A765-2, IF(D765=""明天 (+1 day)"", A765+1, DATE(LEFT(D765,4), MID(D765,5,2), RIGHT(D765,2))))))))"),45749.758212465276)</f>
        <v>45749.75821</v>
      </c>
      <c r="C765" s="60">
        <f>IFERROR(__xludf.DUMMYFUNCTION("INDIRECT(""'收支紀錄'!C""&amp;TO_TEXT(ROW()-$C$72))"),4000.0)</f>
        <v>4000</v>
      </c>
      <c r="D765" s="63" t="str">
        <f>IFERROR(__xludf.DUMMYFUNCTION("INDIRECT(""'收支紀錄'!D""&amp;TO_TEXT(ROW()-$C$72))"),"今天")</f>
        <v>今天</v>
      </c>
      <c r="E765" s="61" t="str">
        <f>IFERROR(__xludf.DUMMYFUNCTION("INDIRECT(""'收支紀錄'!E""&amp;TO_TEXT(ROW()-$C$72))"),"")</f>
        <v/>
      </c>
      <c r="F765" s="61" t="str">
        <f>IFERROR(__xludf.DUMMYFUNCTION("INDIRECT(""'收支紀錄'!F""&amp;TO_TEXT(ROW()-$C$72))"),"")</f>
        <v/>
      </c>
      <c r="G765" s="61" t="str">
        <f>IFERROR(__xludf.DUMMYFUNCTION("INDIRECT(""'收支紀錄'!G""&amp;TO_TEXT(ROW()-$C$72))"),"")</f>
        <v/>
      </c>
      <c r="H765" s="61" t="str">
        <f>IFERROR(__xludf.DUMMYFUNCTION("INDIRECT(""'收支紀錄'!H""&amp;TO_TEXT(ROW()-$C$72))"),"醫療費用")</f>
        <v>醫療費用</v>
      </c>
      <c r="I765" s="61" t="str">
        <f>IFERROR(__xludf.DUMMYFUNCTION("INDIRECT(""'收支紀錄'!I""&amp;TO_TEXT(ROW()-$C$72))"),"")</f>
        <v/>
      </c>
      <c r="J765" s="61" t="str">
        <f>IFERROR(__xludf.DUMMYFUNCTION("INDIRECT(""'收支紀錄'!J""&amp;TO_TEXT(ROW()-$C$72))"),"")</f>
        <v/>
      </c>
      <c r="K765" s="61" t="str">
        <f>IFERROR(__xludf.DUMMYFUNCTION("INDIRECT(""'收支紀錄'!K""&amp;TO_TEXT(ROW()-$C$72))"),"")</f>
        <v/>
      </c>
      <c r="L765" s="61" t="str">
        <f>IFERROR(__xludf.DUMMYFUNCTION("INDIRECT(""'收支紀錄'!L""&amp;TO_TEXT(ROW()-$C$72))"),"")</f>
        <v/>
      </c>
      <c r="M765" s="61" t="str">
        <f>IFERROR(__xludf.DUMMYFUNCTION("INDIRECT(""'收支紀錄'!M""&amp;TO_TEXT(ROW()-$C$72))"),"")</f>
        <v/>
      </c>
      <c r="N765" s="61" t="str">
        <f>IFERROR(__xludf.DUMMYFUNCTION("INDIRECT(""'收支紀錄'!N""&amp;TO_TEXT(ROW()-$C$72))"),"")</f>
        <v/>
      </c>
      <c r="O765" s="61" t="str">
        <f>IFERROR(__xludf.DUMMYFUNCTION("INDIRECT(""'收支紀錄'!O""&amp;TO_TEXT(ROW()-$C$72))"),"生病醫療")</f>
        <v>生病醫療</v>
      </c>
      <c r="P765" s="61" t="str">
        <f>IFERROR(__xludf.DUMMYFUNCTION("INDIRECT(""'收支紀錄'!P""&amp;TO_TEXT(ROW()-$C$72))"),"")</f>
        <v/>
      </c>
      <c r="Q765" s="61" t="str">
        <f>IFERROR(__xludf.DUMMYFUNCTION("INDIRECT(""'收支紀錄'!Q""&amp;TO_TEXT(ROW()-$C$72))"),"")</f>
        <v/>
      </c>
      <c r="R765" s="61" t="str">
        <f>IFERROR(__xludf.DUMMYFUNCTION("INDIRECT(""'收支紀錄'!R""&amp;TO_TEXT(ROW()-$C$72))"),"")</f>
        <v/>
      </c>
      <c r="S765" s="61" t="str">
        <f>IFERROR(__xludf.DUMMYFUNCTION("INDIRECT(""'收支紀錄'!S""&amp;TO_TEXT(ROW()-$C$72))"),"牙齒膠原蛋白")</f>
        <v>牙齒膠原蛋白</v>
      </c>
      <c r="T765" s="61" t="str">
        <f>IFERROR(__xludf.DUMMYFUNCTION("INDIRECT(""'收支紀錄'!T""&amp;TO_TEXT(ROW()-$C$72))"),"是")</f>
        <v>是</v>
      </c>
      <c r="U765" s="62" t="str">
        <f>IFERROR(__xludf.DUMMYFUNCTION("IF(T765=""是"",TEXTJOIN("""", TRUE, ""$"", TO_TEXT(C765), S765),"""")"),"$4000牙齒膠原蛋白")</f>
        <v>$4000牙齒膠原蛋白</v>
      </c>
    </row>
    <row r="766">
      <c r="A766" s="58">
        <f>IFERROR(__xludf.DUMMYFUNCTION("INDIRECT(""'收支紀錄'!A""&amp;TO_TEXT(ROW()-$C$72))"),45750.62585630787)</f>
        <v>45750.62586</v>
      </c>
      <c r="B766" s="59">
        <f>IFERROR(__xludf.DUMMYFUNCTION("IF(ISBLANK(D766), """", IF(ISDATE(D766), D766, IF(D766=""今天"", A766, IF(D766=""昨天 (-1 day)"", A766-1, IF(D766=""前天 (-2 days)"", A766-2, IF(D766=""明天 (+1 day)"", A766+1, DATE(LEFT(D766,4), MID(D766,5,2), RIGHT(D766,2))))))))"),45750.62585630787)</f>
        <v>45750.62586</v>
      </c>
      <c r="C766" s="60">
        <f>IFERROR(__xludf.DUMMYFUNCTION("INDIRECT(""'收支紀錄'!C""&amp;TO_TEXT(ROW()-$C$72))"),765.0)</f>
        <v>765</v>
      </c>
      <c r="D766" s="63" t="str">
        <f>IFERROR(__xludf.DUMMYFUNCTION("INDIRECT(""'收支紀錄'!D""&amp;TO_TEXT(ROW()-$C$72))"),"今天")</f>
        <v>今天</v>
      </c>
      <c r="E766" s="61" t="str">
        <f>IFERROR(__xludf.DUMMYFUNCTION("INDIRECT(""'收支紀錄'!E""&amp;TO_TEXT(ROW()-$C$72))"),"")</f>
        <v/>
      </c>
      <c r="F766" s="61" t="str">
        <f>IFERROR(__xludf.DUMMYFUNCTION("INDIRECT(""'收支紀錄'!F""&amp;TO_TEXT(ROW()-$C$72))"),"")</f>
        <v/>
      </c>
      <c r="G766" s="61" t="str">
        <f>IFERROR(__xludf.DUMMYFUNCTION("INDIRECT(""'收支紀錄'!G""&amp;TO_TEXT(ROW()-$C$72))"),"")</f>
        <v/>
      </c>
      <c r="H766" s="61" t="str">
        <f>IFERROR(__xludf.DUMMYFUNCTION("INDIRECT(""'收支紀錄'!H""&amp;TO_TEXT(ROW()-$C$72))"),"行車交通")</f>
        <v>行車交通</v>
      </c>
      <c r="I766" s="61" t="str">
        <f>IFERROR(__xludf.DUMMYFUNCTION("INDIRECT(""'收支紀錄'!I""&amp;TO_TEXT(ROW()-$C$72))"),"")</f>
        <v/>
      </c>
      <c r="J766" s="61" t="str">
        <f>IFERROR(__xludf.DUMMYFUNCTION("INDIRECT(""'收支紀錄'!J""&amp;TO_TEXT(ROW()-$C$72))"),"")</f>
        <v/>
      </c>
      <c r="K766" s="61" t="str">
        <f>IFERROR(__xludf.DUMMYFUNCTION("INDIRECT(""'收支紀錄'!K""&amp;TO_TEXT(ROW()-$C$72))"),"")</f>
        <v/>
      </c>
      <c r="L766" s="61" t="str">
        <f>IFERROR(__xludf.DUMMYFUNCTION("INDIRECT(""'收支紀錄'!L""&amp;TO_TEXT(ROW()-$C$72))"),"高鐵")</f>
        <v>高鐵</v>
      </c>
      <c r="M766" s="61" t="str">
        <f>IFERROR(__xludf.DUMMYFUNCTION("INDIRECT(""'收支紀錄'!M""&amp;TO_TEXT(ROW()-$C$72))"),"")</f>
        <v/>
      </c>
      <c r="N766" s="61" t="str">
        <f>IFERROR(__xludf.DUMMYFUNCTION("INDIRECT(""'收支紀錄'!N""&amp;TO_TEXT(ROW()-$C$72))"),"")</f>
        <v/>
      </c>
      <c r="O766" s="61" t="str">
        <f>IFERROR(__xludf.DUMMYFUNCTION("INDIRECT(""'收支紀錄'!O""&amp;TO_TEXT(ROW()-$C$72))"),"")</f>
        <v/>
      </c>
      <c r="P766" s="61" t="str">
        <f>IFERROR(__xludf.DUMMYFUNCTION("INDIRECT(""'收支紀錄'!P""&amp;TO_TEXT(ROW()-$C$72))"),"")</f>
        <v/>
      </c>
      <c r="Q766" s="61" t="str">
        <f>IFERROR(__xludf.DUMMYFUNCTION("INDIRECT(""'收支紀錄'!Q""&amp;TO_TEXT(ROW()-$C$72))"),"")</f>
        <v/>
      </c>
      <c r="R766" s="61" t="str">
        <f>IFERROR(__xludf.DUMMYFUNCTION("INDIRECT(""'收支紀錄'!R""&amp;TO_TEXT(ROW()-$C$72))"),"")</f>
        <v/>
      </c>
      <c r="S766" s="61" t="str">
        <f>IFERROR(__xludf.DUMMYFUNCTION("INDIRECT(""'收支紀錄'!S""&amp;TO_TEXT(ROW()-$C$72))"),"")</f>
        <v/>
      </c>
      <c r="T766" s="61" t="str">
        <f>IFERROR(__xludf.DUMMYFUNCTION("INDIRECT(""'收支紀錄'!T""&amp;TO_TEXT(ROW()-$C$72))"),"")</f>
        <v/>
      </c>
      <c r="U766" s="62" t="str">
        <f>IFERROR(__xludf.DUMMYFUNCTION("IF(T766=""是"",TEXTJOIN("""", TRUE, ""$"", TO_TEXT(C766), S766),"""")"),"")</f>
        <v/>
      </c>
    </row>
    <row r="767">
      <c r="A767" s="58">
        <f>IFERROR(__xludf.DUMMYFUNCTION("INDIRECT(""'收支紀錄'!A""&amp;TO_TEXT(ROW()-$C$72))"),45750.7338484375)</f>
        <v>45750.73385</v>
      </c>
      <c r="B767" s="59">
        <f>IFERROR(__xludf.DUMMYFUNCTION("IF(ISBLANK(D767), """", IF(ISDATE(D767), D767, IF(D767=""今天"", A767, IF(D767=""昨天 (-1 day)"", A767-1, IF(D767=""前天 (-2 days)"", A767-2, IF(D767=""明天 (+1 day)"", A767+1, DATE(LEFT(D767,4), MID(D767,5,2), RIGHT(D767,2))))))))"),45750.7338484375)</f>
        <v>45750.73385</v>
      </c>
      <c r="C767" s="60">
        <f>IFERROR(__xludf.DUMMYFUNCTION("INDIRECT(""'收支紀錄'!C""&amp;TO_TEXT(ROW()-$C$72))"),35.0)</f>
        <v>35</v>
      </c>
      <c r="D767" s="63" t="str">
        <f>IFERROR(__xludf.DUMMYFUNCTION("INDIRECT(""'收支紀錄'!D""&amp;TO_TEXT(ROW()-$C$72))"),"今天")</f>
        <v>今天</v>
      </c>
      <c r="E767" s="61" t="str">
        <f>IFERROR(__xludf.DUMMYFUNCTION("INDIRECT(""'收支紀錄'!E""&amp;TO_TEXT(ROW()-$C$72))"),"")</f>
        <v/>
      </c>
      <c r="F767" s="61" t="str">
        <f>IFERROR(__xludf.DUMMYFUNCTION("INDIRECT(""'收支紀錄'!F""&amp;TO_TEXT(ROW()-$C$72))"),"")</f>
        <v/>
      </c>
      <c r="G767" s="61" t="str">
        <f>IFERROR(__xludf.DUMMYFUNCTION("INDIRECT(""'收支紀錄'!G""&amp;TO_TEXT(ROW()-$C$72))"),"")</f>
        <v/>
      </c>
      <c r="H767" s="61" t="str">
        <f>IFERROR(__xludf.DUMMYFUNCTION("INDIRECT(""'收支紀錄'!H""&amp;TO_TEXT(ROW()-$C$72))"),"行車交通")</f>
        <v>行車交通</v>
      </c>
      <c r="I767" s="61" t="str">
        <f>IFERROR(__xludf.DUMMYFUNCTION("INDIRECT(""'收支紀錄'!I""&amp;TO_TEXT(ROW()-$C$72))"),"")</f>
        <v/>
      </c>
      <c r="J767" s="61" t="str">
        <f>IFERROR(__xludf.DUMMYFUNCTION("INDIRECT(""'收支紀錄'!J""&amp;TO_TEXT(ROW()-$C$72))"),"")</f>
        <v/>
      </c>
      <c r="K767" s="61" t="str">
        <f>IFERROR(__xludf.DUMMYFUNCTION("INDIRECT(""'收支紀錄'!K""&amp;TO_TEXT(ROW()-$C$72))"),"")</f>
        <v/>
      </c>
      <c r="L767" s="61" t="str">
        <f>IFERROR(__xludf.DUMMYFUNCTION("INDIRECT(""'收支紀錄'!L""&amp;TO_TEXT(ROW()-$C$72))"),"捷運費")</f>
        <v>捷運費</v>
      </c>
      <c r="M767" s="61" t="str">
        <f>IFERROR(__xludf.DUMMYFUNCTION("INDIRECT(""'收支紀錄'!M""&amp;TO_TEXT(ROW()-$C$72))"),"")</f>
        <v/>
      </c>
      <c r="N767" s="61" t="str">
        <f>IFERROR(__xludf.DUMMYFUNCTION("INDIRECT(""'收支紀錄'!N""&amp;TO_TEXT(ROW()-$C$72))"),"")</f>
        <v/>
      </c>
      <c r="O767" s="61" t="str">
        <f>IFERROR(__xludf.DUMMYFUNCTION("INDIRECT(""'收支紀錄'!O""&amp;TO_TEXT(ROW()-$C$72))"),"")</f>
        <v/>
      </c>
      <c r="P767" s="61" t="str">
        <f>IFERROR(__xludf.DUMMYFUNCTION("INDIRECT(""'收支紀錄'!P""&amp;TO_TEXT(ROW()-$C$72))"),"")</f>
        <v/>
      </c>
      <c r="Q767" s="61" t="str">
        <f>IFERROR(__xludf.DUMMYFUNCTION("INDIRECT(""'收支紀錄'!Q""&amp;TO_TEXT(ROW()-$C$72))"),"")</f>
        <v/>
      </c>
      <c r="R767" s="61" t="str">
        <f>IFERROR(__xludf.DUMMYFUNCTION("INDIRECT(""'收支紀錄'!R""&amp;TO_TEXT(ROW()-$C$72))"),"")</f>
        <v/>
      </c>
      <c r="S767" s="61" t="str">
        <f>IFERROR(__xludf.DUMMYFUNCTION("INDIRECT(""'收支紀錄'!S""&amp;TO_TEXT(ROW()-$C$72))"),"")</f>
        <v/>
      </c>
      <c r="T767" s="61" t="str">
        <f>IFERROR(__xludf.DUMMYFUNCTION("INDIRECT(""'收支紀錄'!T""&amp;TO_TEXT(ROW()-$C$72))"),"")</f>
        <v/>
      </c>
      <c r="U767" s="62" t="str">
        <f>IFERROR(__xludf.DUMMYFUNCTION("IF(T767=""是"",TEXTJOIN("""", TRUE, ""$"", TO_TEXT(C767), S767),"""")"),"")</f>
        <v/>
      </c>
    </row>
    <row r="768">
      <c r="A768" s="58">
        <f>IFERROR(__xludf.DUMMYFUNCTION("INDIRECT(""'收支紀錄'!A""&amp;TO_TEXT(ROW()-$C$72))"),45750.75483452546)</f>
        <v>45750.75483</v>
      </c>
      <c r="B768" s="59">
        <f>IFERROR(__xludf.DUMMYFUNCTION("IF(ISBLANK(D768), """", IF(ISDATE(D768), D768, IF(D768=""今天"", A768, IF(D768=""昨天 (-1 day)"", A768-1, IF(D768=""前天 (-2 days)"", A768-2, IF(D768=""明天 (+1 day)"", A768+1, DATE(LEFT(D768,4), MID(D768,5,2), RIGHT(D768,2))))))))"),45733.0)</f>
        <v>45733</v>
      </c>
      <c r="C768" s="60">
        <f>IFERROR(__xludf.DUMMYFUNCTION("INDIRECT(""'收支紀錄'!C""&amp;TO_TEXT(ROW()-$C$72))"),2430.0)</f>
        <v>2430</v>
      </c>
      <c r="D768" s="63">
        <f>IFERROR(__xludf.DUMMYFUNCTION("INDIRECT(""'收支紀錄'!D""&amp;TO_TEXT(ROW()-$C$72))"),2.0250317E7)</f>
        <v>20250317</v>
      </c>
      <c r="E768" s="61" t="str">
        <f>IFERROR(__xludf.DUMMYFUNCTION("INDIRECT(""'收支紀錄'!E""&amp;TO_TEXT(ROW()-$C$72))"),"其他業外")</f>
        <v>其他業外</v>
      </c>
      <c r="F768" s="61" t="str">
        <f>IFERROR(__xludf.DUMMYFUNCTION("INDIRECT(""'收支紀錄'!F""&amp;TO_TEXT(ROW()-$C$72))"),"")</f>
        <v/>
      </c>
      <c r="G768" s="61" t="str">
        <f>IFERROR(__xludf.DUMMYFUNCTION("INDIRECT(""'收支紀錄'!G""&amp;TO_TEXT(ROW()-$C$72))"),"股票配息")</f>
        <v>股票配息</v>
      </c>
      <c r="H768" s="61" t="str">
        <f>IFERROR(__xludf.DUMMYFUNCTION("INDIRECT(""'收支紀錄'!H""&amp;TO_TEXT(ROW()-$C$72))"),"")</f>
        <v/>
      </c>
      <c r="I768" s="61" t="str">
        <f>IFERROR(__xludf.DUMMYFUNCTION("INDIRECT(""'收支紀錄'!I""&amp;TO_TEXT(ROW()-$C$72))"),"")</f>
        <v/>
      </c>
      <c r="J768" s="61" t="str">
        <f>IFERROR(__xludf.DUMMYFUNCTION("INDIRECT(""'收支紀錄'!J""&amp;TO_TEXT(ROW()-$C$72))"),"")</f>
        <v/>
      </c>
      <c r="K768" s="61" t="str">
        <f>IFERROR(__xludf.DUMMYFUNCTION("INDIRECT(""'收支紀錄'!K""&amp;TO_TEXT(ROW()-$C$72))"),"")</f>
        <v/>
      </c>
      <c r="L768" s="61" t="str">
        <f>IFERROR(__xludf.DUMMYFUNCTION("INDIRECT(""'收支紀錄'!L""&amp;TO_TEXT(ROW()-$C$72))"),"")</f>
        <v/>
      </c>
      <c r="M768" s="61" t="str">
        <f>IFERROR(__xludf.DUMMYFUNCTION("INDIRECT(""'收支紀錄'!M""&amp;TO_TEXT(ROW()-$C$72))"),"")</f>
        <v/>
      </c>
      <c r="N768" s="61" t="str">
        <f>IFERROR(__xludf.DUMMYFUNCTION("INDIRECT(""'收支紀錄'!N""&amp;TO_TEXT(ROW()-$C$72))"),"")</f>
        <v/>
      </c>
      <c r="O768" s="61" t="str">
        <f>IFERROR(__xludf.DUMMYFUNCTION("INDIRECT(""'收支紀錄'!O""&amp;TO_TEXT(ROW()-$C$72))"),"")</f>
        <v/>
      </c>
      <c r="P768" s="61" t="str">
        <f>IFERROR(__xludf.DUMMYFUNCTION("INDIRECT(""'收支紀錄'!P""&amp;TO_TEXT(ROW()-$C$72))"),"")</f>
        <v/>
      </c>
      <c r="Q768" s="61" t="str">
        <f>IFERROR(__xludf.DUMMYFUNCTION("INDIRECT(""'收支紀錄'!Q""&amp;TO_TEXT(ROW()-$C$72))"),"")</f>
        <v/>
      </c>
      <c r="R768" s="61" t="str">
        <f>IFERROR(__xludf.DUMMYFUNCTION("INDIRECT(""'收支紀錄'!R""&amp;TO_TEXT(ROW()-$C$72))"),"")</f>
        <v/>
      </c>
      <c r="S768" s="61" t="str">
        <f>IFERROR(__xludf.DUMMYFUNCTION("INDIRECT(""'收支紀錄'!S""&amp;TO_TEXT(ROW()-$C$72))"),"中信優息")</f>
        <v>中信優息</v>
      </c>
      <c r="T768" s="61" t="str">
        <f>IFERROR(__xludf.DUMMYFUNCTION("INDIRECT(""'收支紀錄'!T""&amp;TO_TEXT(ROW()-$C$72))"),"是")</f>
        <v>是</v>
      </c>
      <c r="U768" s="62" t="str">
        <f>IFERROR(__xludf.DUMMYFUNCTION("IF(T768=""是"",TEXTJOIN("""", TRUE, ""$"", TO_TEXT(C768), S768),"""")"),"$2430中信優息")</f>
        <v>$2430中信優息</v>
      </c>
    </row>
    <row r="769">
      <c r="A769" s="58">
        <f>IFERROR(__xludf.DUMMYFUNCTION("INDIRECT(""'收支紀錄'!A""&amp;TO_TEXT(ROW()-$C$72))"),45750.755253194446)</f>
        <v>45750.75525</v>
      </c>
      <c r="B769" s="59">
        <f>IFERROR(__xludf.DUMMYFUNCTION("IF(ISBLANK(D769), """", IF(ISDATE(D769), D769, IF(D769=""今天"", A769, IF(D769=""昨天 (-1 day)"", A769-1, IF(D769=""前天 (-2 days)"", A769-2, IF(D769=""明天 (+1 day)"", A769+1, DATE(LEFT(D769,4), MID(D769,5,2), RIGHT(D769,2))))))))"),45730.0)</f>
        <v>45730</v>
      </c>
      <c r="C769" s="60">
        <f>IFERROR(__xludf.DUMMYFUNCTION("INDIRECT(""'收支紀錄'!C""&amp;TO_TEXT(ROW()-$C$72))"),4500.0)</f>
        <v>4500</v>
      </c>
      <c r="D769" s="63">
        <f>IFERROR(__xludf.DUMMYFUNCTION("INDIRECT(""'收支紀錄'!D""&amp;TO_TEXT(ROW()-$C$72))"),2.0250314E7)</f>
        <v>20250314</v>
      </c>
      <c r="E769" s="61" t="str">
        <f>IFERROR(__xludf.DUMMYFUNCTION("INDIRECT(""'收支紀錄'!E""&amp;TO_TEXT(ROW()-$C$72))"),"其他業外")</f>
        <v>其他業外</v>
      </c>
      <c r="F769" s="61" t="str">
        <f>IFERROR(__xludf.DUMMYFUNCTION("INDIRECT(""'收支紀錄'!F""&amp;TO_TEXT(ROW()-$C$72))"),"")</f>
        <v/>
      </c>
      <c r="G769" s="61" t="str">
        <f>IFERROR(__xludf.DUMMYFUNCTION("INDIRECT(""'收支紀錄'!G""&amp;TO_TEXT(ROW()-$C$72))"),"股票配息")</f>
        <v>股票配息</v>
      </c>
      <c r="H769" s="61" t="str">
        <f>IFERROR(__xludf.DUMMYFUNCTION("INDIRECT(""'收支紀錄'!H""&amp;TO_TEXT(ROW()-$C$72))"),"")</f>
        <v/>
      </c>
      <c r="I769" s="61" t="str">
        <f>IFERROR(__xludf.DUMMYFUNCTION("INDIRECT(""'收支紀錄'!I""&amp;TO_TEXT(ROW()-$C$72))"),"")</f>
        <v/>
      </c>
      <c r="J769" s="61" t="str">
        <f>IFERROR(__xludf.DUMMYFUNCTION("INDIRECT(""'收支紀錄'!J""&amp;TO_TEXT(ROW()-$C$72))"),"")</f>
        <v/>
      </c>
      <c r="K769" s="61" t="str">
        <f>IFERROR(__xludf.DUMMYFUNCTION("INDIRECT(""'收支紀錄'!K""&amp;TO_TEXT(ROW()-$C$72))"),"")</f>
        <v/>
      </c>
      <c r="L769" s="61" t="str">
        <f>IFERROR(__xludf.DUMMYFUNCTION("INDIRECT(""'收支紀錄'!L""&amp;TO_TEXT(ROW()-$C$72))"),"")</f>
        <v/>
      </c>
      <c r="M769" s="61" t="str">
        <f>IFERROR(__xludf.DUMMYFUNCTION("INDIRECT(""'收支紀錄'!M""&amp;TO_TEXT(ROW()-$C$72))"),"")</f>
        <v/>
      </c>
      <c r="N769" s="61" t="str">
        <f>IFERROR(__xludf.DUMMYFUNCTION("INDIRECT(""'收支紀錄'!N""&amp;TO_TEXT(ROW()-$C$72))"),"")</f>
        <v/>
      </c>
      <c r="O769" s="61" t="str">
        <f>IFERROR(__xludf.DUMMYFUNCTION("INDIRECT(""'收支紀錄'!O""&amp;TO_TEXT(ROW()-$C$72))"),"")</f>
        <v/>
      </c>
      <c r="P769" s="61" t="str">
        <f>IFERROR(__xludf.DUMMYFUNCTION("INDIRECT(""'收支紀錄'!P""&amp;TO_TEXT(ROW()-$C$72))"),"")</f>
        <v/>
      </c>
      <c r="Q769" s="61" t="str">
        <f>IFERROR(__xludf.DUMMYFUNCTION("INDIRECT(""'收支紀錄'!Q""&amp;TO_TEXT(ROW()-$C$72))"),"")</f>
        <v/>
      </c>
      <c r="R769" s="61" t="str">
        <f>IFERROR(__xludf.DUMMYFUNCTION("INDIRECT(""'收支紀錄'!R""&amp;TO_TEXT(ROW()-$C$72))"),"")</f>
        <v/>
      </c>
      <c r="S769" s="61" t="str">
        <f>IFERROR(__xludf.DUMMYFUNCTION("INDIRECT(""'收支紀錄'!S""&amp;TO_TEXT(ROW()-$C$72))"),"元大美債")</f>
        <v>元大美債</v>
      </c>
      <c r="T769" s="61" t="str">
        <f>IFERROR(__xludf.DUMMYFUNCTION("INDIRECT(""'收支紀錄'!T""&amp;TO_TEXT(ROW()-$C$72))"),"是")</f>
        <v>是</v>
      </c>
      <c r="U769" s="62" t="str">
        <f>IFERROR(__xludf.DUMMYFUNCTION("IF(T769=""是"",TEXTJOIN("""", TRUE, ""$"", TO_TEXT(C769), S769),"""")"),"$4500元大美債")</f>
        <v>$4500元大美債</v>
      </c>
    </row>
    <row r="770">
      <c r="A770" s="58">
        <f>IFERROR(__xludf.DUMMYFUNCTION("INDIRECT(""'收支紀錄'!A""&amp;TO_TEXT(ROW()-$C$72))"),45750.75655831018)</f>
        <v>45750.75656</v>
      </c>
      <c r="B770" s="59">
        <f>IFERROR(__xludf.DUMMYFUNCTION("IF(ISBLANK(D770), """", IF(ISDATE(D770), D770, IF(D770=""今天"", A770, IF(D770=""昨天 (-1 day)"", A770-1, IF(D770=""前天 (-2 days)"", A770-2, IF(D770=""明天 (+1 day)"", A770+1, DATE(LEFT(D770,4), MID(D770,5,2), RIGHT(D770,2))))))))"),45750.75655831018)</f>
        <v>45750.75656</v>
      </c>
      <c r="C770" s="60">
        <f>IFERROR(__xludf.DUMMYFUNCTION("INDIRECT(""'收支紀錄'!C""&amp;TO_TEXT(ROW()-$C$72))"),102364.0)</f>
        <v>102364</v>
      </c>
      <c r="D770" s="63" t="str">
        <f>IFERROR(__xludf.DUMMYFUNCTION("INDIRECT(""'收支紀錄'!D""&amp;TO_TEXT(ROW()-$C$72))"),"今天")</f>
        <v>今天</v>
      </c>
      <c r="E770" s="61" t="str">
        <f>IFERROR(__xludf.DUMMYFUNCTION("INDIRECT(""'收支紀錄'!E""&amp;TO_TEXT(ROW()-$C$72))"),"工作")</f>
        <v>工作</v>
      </c>
      <c r="F770" s="61" t="str">
        <f>IFERROR(__xludf.DUMMYFUNCTION("INDIRECT(""'收支紀錄'!F""&amp;TO_TEXT(ROW()-$C$72))"),"底薪")</f>
        <v>底薪</v>
      </c>
      <c r="G770" s="61" t="str">
        <f>IFERROR(__xludf.DUMMYFUNCTION("INDIRECT(""'收支紀錄'!G""&amp;TO_TEXT(ROW()-$C$72))"),"")</f>
        <v/>
      </c>
      <c r="H770" s="61" t="str">
        <f>IFERROR(__xludf.DUMMYFUNCTION("INDIRECT(""'收支紀錄'!H""&amp;TO_TEXT(ROW()-$C$72))"),"")</f>
        <v/>
      </c>
      <c r="I770" s="61" t="str">
        <f>IFERROR(__xludf.DUMMYFUNCTION("INDIRECT(""'收支紀錄'!I""&amp;TO_TEXT(ROW()-$C$72))"),"")</f>
        <v/>
      </c>
      <c r="J770" s="61" t="str">
        <f>IFERROR(__xludf.DUMMYFUNCTION("INDIRECT(""'收支紀錄'!J""&amp;TO_TEXT(ROW()-$C$72))"),"")</f>
        <v/>
      </c>
      <c r="K770" s="61" t="str">
        <f>IFERROR(__xludf.DUMMYFUNCTION("INDIRECT(""'收支紀錄'!K""&amp;TO_TEXT(ROW()-$C$72))"),"")</f>
        <v/>
      </c>
      <c r="L770" s="61" t="str">
        <f>IFERROR(__xludf.DUMMYFUNCTION("INDIRECT(""'收支紀錄'!L""&amp;TO_TEXT(ROW()-$C$72))"),"")</f>
        <v/>
      </c>
      <c r="M770" s="61" t="str">
        <f>IFERROR(__xludf.DUMMYFUNCTION("INDIRECT(""'收支紀錄'!M""&amp;TO_TEXT(ROW()-$C$72))"),"")</f>
        <v/>
      </c>
      <c r="N770" s="61" t="str">
        <f>IFERROR(__xludf.DUMMYFUNCTION("INDIRECT(""'收支紀錄'!N""&amp;TO_TEXT(ROW()-$C$72))"),"")</f>
        <v/>
      </c>
      <c r="O770" s="61" t="str">
        <f>IFERROR(__xludf.DUMMYFUNCTION("INDIRECT(""'收支紀錄'!O""&amp;TO_TEXT(ROW()-$C$72))"),"")</f>
        <v/>
      </c>
      <c r="P770" s="61" t="str">
        <f>IFERROR(__xludf.DUMMYFUNCTION("INDIRECT(""'收支紀錄'!P""&amp;TO_TEXT(ROW()-$C$72))"),"")</f>
        <v/>
      </c>
      <c r="Q770" s="61" t="str">
        <f>IFERROR(__xludf.DUMMYFUNCTION("INDIRECT(""'收支紀錄'!Q""&amp;TO_TEXT(ROW()-$C$72))"),"")</f>
        <v/>
      </c>
      <c r="R770" s="61" t="str">
        <f>IFERROR(__xludf.DUMMYFUNCTION("INDIRECT(""'收支紀錄'!R""&amp;TO_TEXT(ROW()-$C$72))"),"")</f>
        <v/>
      </c>
      <c r="S770" s="61" t="str">
        <f>IFERROR(__xludf.DUMMYFUNCTION("INDIRECT(""'收支紀錄'!S""&amp;TO_TEXT(ROW()-$C$72))")," $536請假扣款")</f>
        <v> $536請假扣款</v>
      </c>
      <c r="T770" s="61" t="str">
        <f>IFERROR(__xludf.DUMMYFUNCTION("INDIRECT(""'收支紀錄'!T""&amp;TO_TEXT(ROW()-$C$72))"),"是")</f>
        <v>是</v>
      </c>
      <c r="U770" s="62" t="str">
        <f>IFERROR(__xludf.DUMMYFUNCTION("IF(T770=""是"",TEXTJOIN("""", TRUE, ""$"", TO_TEXT(C770), S770),"""")"),"$102364 $536請假扣款")</f>
        <v>$102364 $536請假扣款</v>
      </c>
    </row>
    <row r="771">
      <c r="A771" s="58">
        <f>IFERROR(__xludf.DUMMYFUNCTION("INDIRECT(""'收支紀錄'!A""&amp;TO_TEXT(ROW()-$C$72))"),45750.75801427083)</f>
        <v>45750.75801</v>
      </c>
      <c r="B771" s="59">
        <f>IFERROR(__xludf.DUMMYFUNCTION("IF(ISBLANK(D771), """", IF(ISDATE(D771), D771, IF(D771=""今天"", A771, IF(D771=""昨天 (-1 day)"", A771-1, IF(D771=""前天 (-2 days)"", A771-2, IF(D771=""明天 (+1 day)"", A771+1, DATE(LEFT(D771,4), MID(D771,5,2), RIGHT(D771,2))))))))"),45750.75801427083)</f>
        <v>45750.75801</v>
      </c>
      <c r="C771" s="60">
        <f>IFERROR(__xludf.DUMMYFUNCTION("INDIRECT(""'收支紀錄'!C""&amp;TO_TEXT(ROW()-$C$72))"),3200.0)</f>
        <v>3200</v>
      </c>
      <c r="D771" s="63" t="str">
        <f>IFERROR(__xludf.DUMMYFUNCTION("INDIRECT(""'收支紀錄'!D""&amp;TO_TEXT(ROW()-$C$72))"),"今天")</f>
        <v>今天</v>
      </c>
      <c r="E771" s="61" t="str">
        <f>IFERROR(__xludf.DUMMYFUNCTION("INDIRECT(""'收支紀錄'!E""&amp;TO_TEXT(ROW()-$C$72))"),"")</f>
        <v/>
      </c>
      <c r="F771" s="61" t="str">
        <f>IFERROR(__xludf.DUMMYFUNCTION("INDIRECT(""'收支紀錄'!F""&amp;TO_TEXT(ROW()-$C$72))"),"")</f>
        <v/>
      </c>
      <c r="G771" s="61" t="str">
        <f>IFERROR(__xludf.DUMMYFUNCTION("INDIRECT(""'收支紀錄'!G""&amp;TO_TEXT(ROW()-$C$72))"),"")</f>
        <v/>
      </c>
      <c r="H771" s="61" t="str">
        <f>IFERROR(__xludf.DUMMYFUNCTION("INDIRECT(""'收支紀錄'!H""&amp;TO_TEXT(ROW()-$C$72))"),"稅金保險")</f>
        <v>稅金保險</v>
      </c>
      <c r="I771" s="61" t="str">
        <f>IFERROR(__xludf.DUMMYFUNCTION("INDIRECT(""'收支紀錄'!I""&amp;TO_TEXT(ROW()-$C$72))"),"")</f>
        <v/>
      </c>
      <c r="J771" s="61" t="str">
        <f>IFERROR(__xludf.DUMMYFUNCTION("INDIRECT(""'收支紀錄'!J""&amp;TO_TEXT(ROW()-$C$72))"),"")</f>
        <v/>
      </c>
      <c r="K771" s="61" t="str">
        <f>IFERROR(__xludf.DUMMYFUNCTION("INDIRECT(""'收支紀錄'!K""&amp;TO_TEXT(ROW()-$C$72))"),"")</f>
        <v/>
      </c>
      <c r="L771" s="61" t="str">
        <f>IFERROR(__xludf.DUMMYFUNCTION("INDIRECT(""'收支紀錄'!L""&amp;TO_TEXT(ROW()-$C$72))"),"")</f>
        <v/>
      </c>
      <c r="M771" s="61" t="str">
        <f>IFERROR(__xludf.DUMMYFUNCTION("INDIRECT(""'收支紀錄'!M""&amp;TO_TEXT(ROW()-$C$72))"),"")</f>
        <v/>
      </c>
      <c r="N771" s="61" t="str">
        <f>IFERROR(__xludf.DUMMYFUNCTION("INDIRECT(""'收支紀錄'!N""&amp;TO_TEXT(ROW()-$C$72))"),"稅金")</f>
        <v>稅金</v>
      </c>
      <c r="O771" s="61" t="str">
        <f>IFERROR(__xludf.DUMMYFUNCTION("INDIRECT(""'收支紀錄'!O""&amp;TO_TEXT(ROW()-$C$72))"),"")</f>
        <v/>
      </c>
      <c r="P771" s="61" t="str">
        <f>IFERROR(__xludf.DUMMYFUNCTION("INDIRECT(""'收支紀錄'!P""&amp;TO_TEXT(ROW()-$C$72))"),"")</f>
        <v/>
      </c>
      <c r="Q771" s="61" t="str">
        <f>IFERROR(__xludf.DUMMYFUNCTION("INDIRECT(""'收支紀錄'!Q""&amp;TO_TEXT(ROW()-$C$72))"),"")</f>
        <v/>
      </c>
      <c r="R771" s="61" t="str">
        <f>IFERROR(__xludf.DUMMYFUNCTION("INDIRECT(""'收支紀錄'!R""&amp;TO_TEXT(ROW()-$C$72))"),"")</f>
        <v/>
      </c>
      <c r="S771" s="61" t="str">
        <f>IFERROR(__xludf.DUMMYFUNCTION("INDIRECT(""'收支紀錄'!S""&amp;TO_TEXT(ROW()-$C$72))"),"")</f>
        <v/>
      </c>
      <c r="T771" s="61" t="str">
        <f>IFERROR(__xludf.DUMMYFUNCTION("INDIRECT(""'收支紀錄'!T""&amp;TO_TEXT(ROW()-$C$72))"),"")</f>
        <v/>
      </c>
      <c r="U771" s="62" t="str">
        <f>IFERROR(__xludf.DUMMYFUNCTION("IF(T771=""是"",TEXTJOIN("""", TRUE, ""$"", TO_TEXT(C771), S771),"""")"),"")</f>
        <v/>
      </c>
    </row>
    <row r="772">
      <c r="A772" s="58">
        <f>IFERROR(__xludf.DUMMYFUNCTION("INDIRECT(""'收支紀錄'!A""&amp;TO_TEXT(ROW()-$C$72))"),45750.758528356484)</f>
        <v>45750.75853</v>
      </c>
      <c r="B772" s="59">
        <f>IFERROR(__xludf.DUMMYFUNCTION("IF(ISBLANK(D772), """", IF(ISDATE(D772), D772, IF(D772=""今天"", A772, IF(D772=""昨天 (-1 day)"", A772-1, IF(D772=""前天 (-2 days)"", A772-2, IF(D772=""明天 (+1 day)"", A772+1, DATE(LEFT(D772,4), MID(D772,5,2), RIGHT(D772,2))))))))"),45750.758528356484)</f>
        <v>45750.75853</v>
      </c>
      <c r="C772" s="60">
        <f>IFERROR(__xludf.DUMMYFUNCTION("INDIRECT(""'收支紀錄'!C""&amp;TO_TEXT(ROW()-$C$72))"),2816.0)</f>
        <v>2816</v>
      </c>
      <c r="D772" s="63" t="str">
        <f>IFERROR(__xludf.DUMMYFUNCTION("INDIRECT(""'收支紀錄'!D""&amp;TO_TEXT(ROW()-$C$72))"),"今天")</f>
        <v>今天</v>
      </c>
      <c r="E772" s="61" t="str">
        <f>IFERROR(__xludf.DUMMYFUNCTION("INDIRECT(""'收支紀錄'!E""&amp;TO_TEXT(ROW()-$C$72))"),"")</f>
        <v/>
      </c>
      <c r="F772" s="61" t="str">
        <f>IFERROR(__xludf.DUMMYFUNCTION("INDIRECT(""'收支紀錄'!F""&amp;TO_TEXT(ROW()-$C$72))"),"")</f>
        <v/>
      </c>
      <c r="G772" s="61" t="str">
        <f>IFERROR(__xludf.DUMMYFUNCTION("INDIRECT(""'收支紀錄'!G""&amp;TO_TEXT(ROW()-$C$72))"),"")</f>
        <v/>
      </c>
      <c r="H772" s="61" t="str">
        <f>IFERROR(__xludf.DUMMYFUNCTION("INDIRECT(""'收支紀錄'!H""&amp;TO_TEXT(ROW()-$C$72))"),"稅金保險")</f>
        <v>稅金保險</v>
      </c>
      <c r="I772" s="61" t="str">
        <f>IFERROR(__xludf.DUMMYFUNCTION("INDIRECT(""'收支紀錄'!I""&amp;TO_TEXT(ROW()-$C$72))"),"")</f>
        <v/>
      </c>
      <c r="J772" s="61" t="str">
        <f>IFERROR(__xludf.DUMMYFUNCTION("INDIRECT(""'收支紀錄'!J""&amp;TO_TEXT(ROW()-$C$72))"),"")</f>
        <v/>
      </c>
      <c r="K772" s="61" t="str">
        <f>IFERROR(__xludf.DUMMYFUNCTION("INDIRECT(""'收支紀錄'!K""&amp;TO_TEXT(ROW()-$C$72))"),"")</f>
        <v/>
      </c>
      <c r="L772" s="61" t="str">
        <f>IFERROR(__xludf.DUMMYFUNCTION("INDIRECT(""'收支紀錄'!L""&amp;TO_TEXT(ROW()-$C$72))"),"")</f>
        <v/>
      </c>
      <c r="M772" s="61" t="str">
        <f>IFERROR(__xludf.DUMMYFUNCTION("INDIRECT(""'收支紀錄'!M""&amp;TO_TEXT(ROW()-$C$72))"),"")</f>
        <v/>
      </c>
      <c r="N772" s="61" t="str">
        <f>IFERROR(__xludf.DUMMYFUNCTION("INDIRECT(""'收支紀錄'!N""&amp;TO_TEXT(ROW()-$C$72))"),"勞健保")</f>
        <v>勞健保</v>
      </c>
      <c r="O772" s="61" t="str">
        <f>IFERROR(__xludf.DUMMYFUNCTION("INDIRECT(""'收支紀錄'!O""&amp;TO_TEXT(ROW()-$C$72))"),"")</f>
        <v/>
      </c>
      <c r="P772" s="61" t="str">
        <f>IFERROR(__xludf.DUMMYFUNCTION("INDIRECT(""'收支紀錄'!P""&amp;TO_TEXT(ROW()-$C$72))"),"")</f>
        <v/>
      </c>
      <c r="Q772" s="61" t="str">
        <f>IFERROR(__xludf.DUMMYFUNCTION("INDIRECT(""'收支紀錄'!Q""&amp;TO_TEXT(ROW()-$C$72))"),"")</f>
        <v/>
      </c>
      <c r="R772" s="61" t="str">
        <f>IFERROR(__xludf.DUMMYFUNCTION("INDIRECT(""'收支紀錄'!R""&amp;TO_TEXT(ROW()-$C$72))"),"")</f>
        <v/>
      </c>
      <c r="S772" s="61" t="str">
        <f>IFERROR(__xludf.DUMMYFUNCTION("INDIRECT(""'收支紀錄'!S""&amp;TO_TEXT(ROW()-$C$72))"),"")</f>
        <v/>
      </c>
      <c r="T772" s="61" t="str">
        <f>IFERROR(__xludf.DUMMYFUNCTION("INDIRECT(""'收支紀錄'!T""&amp;TO_TEXT(ROW()-$C$72))"),"")</f>
        <v/>
      </c>
      <c r="U772" s="62" t="str">
        <f>IFERROR(__xludf.DUMMYFUNCTION("IF(T772=""是"",TEXTJOIN("""", TRUE, ""$"", TO_TEXT(C772), S772),"""")"),"")</f>
        <v/>
      </c>
    </row>
    <row r="773">
      <c r="A773" s="58">
        <f>IFERROR(__xludf.DUMMYFUNCTION("INDIRECT(""'收支紀錄'!A""&amp;TO_TEXT(ROW()-$C$72))"),45750.75929238426)</f>
        <v>45750.75929</v>
      </c>
      <c r="B773" s="59">
        <f>IFERROR(__xludf.DUMMYFUNCTION("IF(ISBLANK(D773), """", IF(ISDATE(D773), D773, IF(D773=""今天"", A773, IF(D773=""昨天 (-1 day)"", A773-1, IF(D773=""前天 (-2 days)"", A773-2, IF(D773=""明天 (+1 day)"", A773+1, DATE(LEFT(D773,4), MID(D773,5,2), RIGHT(D773,2))))))))"),45750.75929238426)</f>
        <v>45750.75929</v>
      </c>
      <c r="C773" s="60">
        <f>IFERROR(__xludf.DUMMYFUNCTION("INDIRECT(""'收支紀錄'!C""&amp;TO_TEXT(ROW()-$C$72))"),3087.0)</f>
        <v>3087</v>
      </c>
      <c r="D773" s="63" t="str">
        <f>IFERROR(__xludf.DUMMYFUNCTION("INDIRECT(""'收支紀錄'!D""&amp;TO_TEXT(ROW()-$C$72))"),"今天")</f>
        <v>今天</v>
      </c>
      <c r="E773" s="61" t="str">
        <f>IFERROR(__xludf.DUMMYFUNCTION("INDIRECT(""'收支紀錄'!E""&amp;TO_TEXT(ROW()-$C$72))"),"")</f>
        <v/>
      </c>
      <c r="F773" s="61" t="str">
        <f>IFERROR(__xludf.DUMMYFUNCTION("INDIRECT(""'收支紀錄'!F""&amp;TO_TEXT(ROW()-$C$72))"),"")</f>
        <v/>
      </c>
      <c r="G773" s="61" t="str">
        <f>IFERROR(__xludf.DUMMYFUNCTION("INDIRECT(""'收支紀錄'!G""&amp;TO_TEXT(ROW()-$C$72))"),"")</f>
        <v/>
      </c>
      <c r="H773" s="61" t="str">
        <f>IFERROR(__xludf.DUMMYFUNCTION("INDIRECT(""'收支紀錄'!H""&amp;TO_TEXT(ROW()-$C$72))"),"投資及其他")</f>
        <v>投資及其他</v>
      </c>
      <c r="I773" s="61" t="str">
        <f>IFERROR(__xludf.DUMMYFUNCTION("INDIRECT(""'收支紀錄'!I""&amp;TO_TEXT(ROW()-$C$72))"),"")</f>
        <v/>
      </c>
      <c r="J773" s="61" t="str">
        <f>IFERROR(__xludf.DUMMYFUNCTION("INDIRECT(""'收支紀錄'!J""&amp;TO_TEXT(ROW()-$C$72))"),"")</f>
        <v/>
      </c>
      <c r="K773" s="61" t="str">
        <f>IFERROR(__xludf.DUMMYFUNCTION("INDIRECT(""'收支紀錄'!K""&amp;TO_TEXT(ROW()-$C$72))"),"")</f>
        <v/>
      </c>
      <c r="L773" s="61" t="str">
        <f>IFERROR(__xludf.DUMMYFUNCTION("INDIRECT(""'收支紀錄'!L""&amp;TO_TEXT(ROW()-$C$72))"),"")</f>
        <v/>
      </c>
      <c r="M773" s="61" t="str">
        <f>IFERROR(__xludf.DUMMYFUNCTION("INDIRECT(""'收支紀錄'!M""&amp;TO_TEXT(ROW()-$C$72))"),"")</f>
        <v/>
      </c>
      <c r="N773" s="61" t="str">
        <f>IFERROR(__xludf.DUMMYFUNCTION("INDIRECT(""'收支紀錄'!N""&amp;TO_TEXT(ROW()-$C$72))"),"")</f>
        <v/>
      </c>
      <c r="O773" s="61" t="str">
        <f>IFERROR(__xludf.DUMMYFUNCTION("INDIRECT(""'收支紀錄'!O""&amp;TO_TEXT(ROW()-$C$72))"),"")</f>
        <v/>
      </c>
      <c r="P773" s="61" t="str">
        <f>IFERROR(__xludf.DUMMYFUNCTION("INDIRECT(""'收支紀錄'!P""&amp;TO_TEXT(ROW()-$C$72))"),"")</f>
        <v/>
      </c>
      <c r="Q773" s="61" t="str">
        <f>IFERROR(__xludf.DUMMYFUNCTION("INDIRECT(""'收支紀錄'!Q""&amp;TO_TEXT(ROW()-$C$72))"),"")</f>
        <v/>
      </c>
      <c r="R773" s="61" t="str">
        <f>IFERROR(__xludf.DUMMYFUNCTION("INDIRECT(""'收支紀錄'!R""&amp;TO_TEXT(ROW()-$C$72))"),"公司認股")</f>
        <v>公司認股</v>
      </c>
      <c r="S773" s="61" t="str">
        <f>IFERROR(__xludf.DUMMYFUNCTION("INDIRECT(""'收支紀錄'!S""&amp;TO_TEXT(ROW()-$C$72))"),"")</f>
        <v/>
      </c>
      <c r="T773" s="61" t="str">
        <f>IFERROR(__xludf.DUMMYFUNCTION("INDIRECT(""'收支紀錄'!T""&amp;TO_TEXT(ROW()-$C$72))"),"")</f>
        <v/>
      </c>
      <c r="U773" s="62" t="str">
        <f>IFERROR(__xludf.DUMMYFUNCTION("IF(T773=""是"",TEXTJOIN("""", TRUE, ""$"", TO_TEXT(C773), S773),"""")"),"")</f>
        <v/>
      </c>
    </row>
    <row r="774">
      <c r="A774" s="58">
        <f>IFERROR(__xludf.DUMMYFUNCTION("INDIRECT(""'收支紀錄'!A""&amp;TO_TEXT(ROW()-$C$72))"),45750.75949520833)</f>
        <v>45750.7595</v>
      </c>
      <c r="B774" s="59">
        <f>IFERROR(__xludf.DUMMYFUNCTION("IF(ISBLANK(D774), """", IF(ISDATE(D774), D774, IF(D774=""今天"", A774, IF(D774=""昨天 (-1 day)"", A774-1, IF(D774=""前天 (-2 days)"", A774-2, IF(D774=""明天 (+1 day)"", A774+1, DATE(LEFT(D774,4), MID(D774,5,2), RIGHT(D774,2))))))))"),45750.75949520833)</f>
        <v>45750.7595</v>
      </c>
      <c r="C774" s="60">
        <f>IFERROR(__xludf.DUMMYFUNCTION("INDIRECT(""'收支紀錄'!C""&amp;TO_TEXT(ROW()-$C$72))"),1372.0)</f>
        <v>1372</v>
      </c>
      <c r="D774" s="63" t="str">
        <f>IFERROR(__xludf.DUMMYFUNCTION("INDIRECT(""'收支紀錄'!D""&amp;TO_TEXT(ROW()-$C$72))"),"今天")</f>
        <v>今天</v>
      </c>
      <c r="E774" s="61" t="str">
        <f>IFERROR(__xludf.DUMMYFUNCTION("INDIRECT(""'收支紀錄'!E""&amp;TO_TEXT(ROW()-$C$72))"),"")</f>
        <v/>
      </c>
      <c r="F774" s="61" t="str">
        <f>IFERROR(__xludf.DUMMYFUNCTION("INDIRECT(""'收支紀錄'!F""&amp;TO_TEXT(ROW()-$C$72))"),"")</f>
        <v/>
      </c>
      <c r="G774" s="61" t="str">
        <f>IFERROR(__xludf.DUMMYFUNCTION("INDIRECT(""'收支紀錄'!G""&amp;TO_TEXT(ROW()-$C$72))"),"")</f>
        <v/>
      </c>
      <c r="H774" s="61" t="str">
        <f>IFERROR(__xludf.DUMMYFUNCTION("INDIRECT(""'收支紀錄'!H""&amp;TO_TEXT(ROW()-$C$72))"),"食品酒水")</f>
        <v>食品酒水</v>
      </c>
      <c r="I774" s="61" t="str">
        <f>IFERROR(__xludf.DUMMYFUNCTION("INDIRECT(""'收支紀錄'!I""&amp;TO_TEXT(ROW()-$C$72))"),"前月公司餐費扣款")</f>
        <v>前月公司餐費扣款</v>
      </c>
      <c r="J774" s="61" t="str">
        <f>IFERROR(__xludf.DUMMYFUNCTION("INDIRECT(""'收支紀錄'!J""&amp;TO_TEXT(ROW()-$C$72))"),"")</f>
        <v/>
      </c>
      <c r="K774" s="61" t="str">
        <f>IFERROR(__xludf.DUMMYFUNCTION("INDIRECT(""'收支紀錄'!K""&amp;TO_TEXT(ROW()-$C$72))"),"")</f>
        <v/>
      </c>
      <c r="L774" s="61" t="str">
        <f>IFERROR(__xludf.DUMMYFUNCTION("INDIRECT(""'收支紀錄'!L""&amp;TO_TEXT(ROW()-$C$72))"),"")</f>
        <v/>
      </c>
      <c r="M774" s="61" t="str">
        <f>IFERROR(__xludf.DUMMYFUNCTION("INDIRECT(""'收支紀錄'!M""&amp;TO_TEXT(ROW()-$C$72))"),"")</f>
        <v/>
      </c>
      <c r="N774" s="61" t="str">
        <f>IFERROR(__xludf.DUMMYFUNCTION("INDIRECT(""'收支紀錄'!N""&amp;TO_TEXT(ROW()-$C$72))"),"")</f>
        <v/>
      </c>
      <c r="O774" s="61" t="str">
        <f>IFERROR(__xludf.DUMMYFUNCTION("INDIRECT(""'收支紀錄'!O""&amp;TO_TEXT(ROW()-$C$72))"),"")</f>
        <v/>
      </c>
      <c r="P774" s="61" t="str">
        <f>IFERROR(__xludf.DUMMYFUNCTION("INDIRECT(""'收支紀錄'!P""&amp;TO_TEXT(ROW()-$C$72))"),"")</f>
        <v/>
      </c>
      <c r="Q774" s="61" t="str">
        <f>IFERROR(__xludf.DUMMYFUNCTION("INDIRECT(""'收支紀錄'!Q""&amp;TO_TEXT(ROW()-$C$72))"),"")</f>
        <v/>
      </c>
      <c r="R774" s="61" t="str">
        <f>IFERROR(__xludf.DUMMYFUNCTION("INDIRECT(""'收支紀錄'!R""&amp;TO_TEXT(ROW()-$C$72))"),"")</f>
        <v/>
      </c>
      <c r="S774" s="61" t="str">
        <f>IFERROR(__xludf.DUMMYFUNCTION("INDIRECT(""'收支紀錄'!S""&amp;TO_TEXT(ROW()-$C$72))"),"")</f>
        <v/>
      </c>
      <c r="T774" s="61" t="str">
        <f>IFERROR(__xludf.DUMMYFUNCTION("INDIRECT(""'收支紀錄'!T""&amp;TO_TEXT(ROW()-$C$72))"),"")</f>
        <v/>
      </c>
      <c r="U774" s="62" t="str">
        <f>IFERROR(__xludf.DUMMYFUNCTION("IF(T774=""是"",TEXTJOIN("""", TRUE, ""$"", TO_TEXT(C774), S774),"""")"),"")</f>
        <v/>
      </c>
    </row>
    <row r="775">
      <c r="A775" s="58">
        <f>IFERROR(__xludf.DUMMYFUNCTION("INDIRECT(""'收支紀錄'!A""&amp;TO_TEXT(ROW()-$C$72))"),45750.75965141204)</f>
        <v>45750.75965</v>
      </c>
      <c r="B775" s="59">
        <f>IFERROR(__xludf.DUMMYFUNCTION("IF(ISBLANK(D775), """", IF(ISDATE(D775), D775, IF(D775=""今天"", A775, IF(D775=""昨天 (-1 day)"", A775-1, IF(D775=""前天 (-2 days)"", A775-2, IF(D775=""明天 (+1 day)"", A775+1, DATE(LEFT(D775,4), MID(D775,5,2), RIGHT(D775,2))))))))"),45750.75965141204)</f>
        <v>45750.75965</v>
      </c>
      <c r="C775" s="60">
        <f>IFERROR(__xludf.DUMMYFUNCTION("INDIRECT(""'收支紀錄'!C""&amp;TO_TEXT(ROW()-$C$72))"),515.0)</f>
        <v>515</v>
      </c>
      <c r="D775" s="63" t="str">
        <f>IFERROR(__xludf.DUMMYFUNCTION("INDIRECT(""'收支紀錄'!D""&amp;TO_TEXT(ROW()-$C$72))"),"今天")</f>
        <v>今天</v>
      </c>
      <c r="E775" s="61" t="str">
        <f>IFERROR(__xludf.DUMMYFUNCTION("INDIRECT(""'收支紀錄'!E""&amp;TO_TEXT(ROW()-$C$72))"),"")</f>
        <v/>
      </c>
      <c r="F775" s="61" t="str">
        <f>IFERROR(__xludf.DUMMYFUNCTION("INDIRECT(""'收支紀錄'!F""&amp;TO_TEXT(ROW()-$C$72))"),"")</f>
        <v/>
      </c>
      <c r="G775" s="61" t="str">
        <f>IFERROR(__xludf.DUMMYFUNCTION("INDIRECT(""'收支紀錄'!G""&amp;TO_TEXT(ROW()-$C$72))"),"")</f>
        <v/>
      </c>
      <c r="H775" s="61" t="str">
        <f>IFERROR(__xludf.DUMMYFUNCTION("INDIRECT(""'收支紀錄'!H""&amp;TO_TEXT(ROW()-$C$72))"),"休閒娛樂")</f>
        <v>休閒娛樂</v>
      </c>
      <c r="I775" s="61" t="str">
        <f>IFERROR(__xludf.DUMMYFUNCTION("INDIRECT(""'收支紀錄'!I""&amp;TO_TEXT(ROW()-$C$72))"),"")</f>
        <v/>
      </c>
      <c r="J775" s="61" t="str">
        <f>IFERROR(__xludf.DUMMYFUNCTION("INDIRECT(""'收支紀錄'!J""&amp;TO_TEXT(ROW()-$C$72))"),"")</f>
        <v/>
      </c>
      <c r="K775" s="61" t="str">
        <f>IFERROR(__xludf.DUMMYFUNCTION("INDIRECT(""'收支紀錄'!K""&amp;TO_TEXT(ROW()-$C$72))"),"")</f>
        <v/>
      </c>
      <c r="L775" s="61" t="str">
        <f>IFERROR(__xludf.DUMMYFUNCTION("INDIRECT(""'收支紀錄'!L""&amp;TO_TEXT(ROW()-$C$72))"),"")</f>
        <v/>
      </c>
      <c r="M775" s="61" t="str">
        <f>IFERROR(__xludf.DUMMYFUNCTION("INDIRECT(""'收支紀錄'!M""&amp;TO_TEXT(ROW()-$C$72))"),"公司福利金")</f>
        <v>公司福利金</v>
      </c>
      <c r="N775" s="61" t="str">
        <f>IFERROR(__xludf.DUMMYFUNCTION("INDIRECT(""'收支紀錄'!N""&amp;TO_TEXT(ROW()-$C$72))"),"")</f>
        <v/>
      </c>
      <c r="O775" s="61" t="str">
        <f>IFERROR(__xludf.DUMMYFUNCTION("INDIRECT(""'收支紀錄'!O""&amp;TO_TEXT(ROW()-$C$72))"),"")</f>
        <v/>
      </c>
      <c r="P775" s="61" t="str">
        <f>IFERROR(__xludf.DUMMYFUNCTION("INDIRECT(""'收支紀錄'!P""&amp;TO_TEXT(ROW()-$C$72))"),"")</f>
        <v/>
      </c>
      <c r="Q775" s="61" t="str">
        <f>IFERROR(__xludf.DUMMYFUNCTION("INDIRECT(""'收支紀錄'!Q""&amp;TO_TEXT(ROW()-$C$72))"),"")</f>
        <v/>
      </c>
      <c r="R775" s="61" t="str">
        <f>IFERROR(__xludf.DUMMYFUNCTION("INDIRECT(""'收支紀錄'!R""&amp;TO_TEXT(ROW()-$C$72))"),"")</f>
        <v/>
      </c>
      <c r="S775" s="61" t="str">
        <f>IFERROR(__xludf.DUMMYFUNCTION("INDIRECT(""'收支紀錄'!S""&amp;TO_TEXT(ROW()-$C$72))"),"")</f>
        <v/>
      </c>
      <c r="T775" s="61" t="str">
        <f>IFERROR(__xludf.DUMMYFUNCTION("INDIRECT(""'收支紀錄'!T""&amp;TO_TEXT(ROW()-$C$72))"),"")</f>
        <v/>
      </c>
      <c r="U775" s="62" t="str">
        <f>IFERROR(__xludf.DUMMYFUNCTION("IF(T775=""是"",TEXTJOIN("""", TRUE, ""$"", TO_TEXT(C775), S775),"""")"),"")</f>
        <v/>
      </c>
    </row>
    <row r="776">
      <c r="A776" s="58">
        <f>IFERROR(__xludf.DUMMYFUNCTION("INDIRECT(""'收支紀錄'!A""&amp;TO_TEXT(ROW()-$C$72))"),45750.76133393518)</f>
        <v>45750.76133</v>
      </c>
      <c r="B776" s="59">
        <f>IFERROR(__xludf.DUMMYFUNCTION("IF(ISBLANK(D776), """", IF(ISDATE(D776), D776, IF(D776=""今天"", A776, IF(D776=""昨天 (-1 day)"", A776-1, IF(D776=""前天 (-2 days)"", A776-2, IF(D776=""明天 (+1 day)"", A776+1, DATE(LEFT(D776,4), MID(D776,5,2), RIGHT(D776,2))))))))"),45739.0)</f>
        <v>45739</v>
      </c>
      <c r="C776" s="60">
        <f>IFERROR(__xludf.DUMMYFUNCTION("INDIRECT(""'收支紀錄'!C""&amp;TO_TEXT(ROW()-$C$72))"),16.0)</f>
        <v>16</v>
      </c>
      <c r="D776" s="63">
        <f>IFERROR(__xludf.DUMMYFUNCTION("INDIRECT(""'收支紀錄'!D""&amp;TO_TEXT(ROW()-$C$72))"),2.0250323E7)</f>
        <v>20250323</v>
      </c>
      <c r="E776" s="61" t="str">
        <f>IFERROR(__xludf.DUMMYFUNCTION("INDIRECT(""'收支紀錄'!E""&amp;TO_TEXT(ROW()-$C$72))"),"")</f>
        <v/>
      </c>
      <c r="F776" s="61" t="str">
        <f>IFERROR(__xludf.DUMMYFUNCTION("INDIRECT(""'收支紀錄'!F""&amp;TO_TEXT(ROW()-$C$72))"),"")</f>
        <v/>
      </c>
      <c r="G776" s="61" t="str">
        <f>IFERROR(__xludf.DUMMYFUNCTION("INDIRECT(""'收支紀錄'!G""&amp;TO_TEXT(ROW()-$C$72))"),"")</f>
        <v/>
      </c>
      <c r="H776" s="61" t="str">
        <f>IFERROR(__xludf.DUMMYFUNCTION("INDIRECT(""'收支紀錄'!H""&amp;TO_TEXT(ROW()-$C$72))"),"行車交通")</f>
        <v>行車交通</v>
      </c>
      <c r="I776" s="61" t="str">
        <f>IFERROR(__xludf.DUMMYFUNCTION("INDIRECT(""'收支紀錄'!I""&amp;TO_TEXT(ROW()-$C$72))"),"")</f>
        <v/>
      </c>
      <c r="J776" s="61" t="str">
        <f>IFERROR(__xludf.DUMMYFUNCTION("INDIRECT(""'收支紀錄'!J""&amp;TO_TEXT(ROW()-$C$72))"),"")</f>
        <v/>
      </c>
      <c r="K776" s="61" t="str">
        <f>IFERROR(__xludf.DUMMYFUNCTION("INDIRECT(""'收支紀錄'!K""&amp;TO_TEXT(ROW()-$C$72))"),"")</f>
        <v/>
      </c>
      <c r="L776" s="61" t="str">
        <f>IFERROR(__xludf.DUMMYFUNCTION("INDIRECT(""'收支紀錄'!L""&amp;TO_TEXT(ROW()-$C$72))"),"停車")</f>
        <v>停車</v>
      </c>
      <c r="M776" s="61" t="str">
        <f>IFERROR(__xludf.DUMMYFUNCTION("INDIRECT(""'收支紀錄'!M""&amp;TO_TEXT(ROW()-$C$72))"),"")</f>
        <v/>
      </c>
      <c r="N776" s="61" t="str">
        <f>IFERROR(__xludf.DUMMYFUNCTION("INDIRECT(""'收支紀錄'!N""&amp;TO_TEXT(ROW()-$C$72))"),"")</f>
        <v/>
      </c>
      <c r="O776" s="61" t="str">
        <f>IFERROR(__xludf.DUMMYFUNCTION("INDIRECT(""'收支紀錄'!O""&amp;TO_TEXT(ROW()-$C$72))"),"")</f>
        <v/>
      </c>
      <c r="P776" s="61" t="str">
        <f>IFERROR(__xludf.DUMMYFUNCTION("INDIRECT(""'收支紀錄'!P""&amp;TO_TEXT(ROW()-$C$72))"),"")</f>
        <v/>
      </c>
      <c r="Q776" s="61" t="str">
        <f>IFERROR(__xludf.DUMMYFUNCTION("INDIRECT(""'收支紀錄'!Q""&amp;TO_TEXT(ROW()-$C$72))"),"")</f>
        <v/>
      </c>
      <c r="R776" s="61" t="str">
        <f>IFERROR(__xludf.DUMMYFUNCTION("INDIRECT(""'收支紀錄'!R""&amp;TO_TEXT(ROW()-$C$72))"),"")</f>
        <v/>
      </c>
      <c r="S776" s="61" t="str">
        <f>IFERROR(__xludf.DUMMYFUNCTION("INDIRECT(""'收支紀錄'!S""&amp;TO_TEXT(ROW()-$C$72))"),"")</f>
        <v/>
      </c>
      <c r="T776" s="61" t="str">
        <f>IFERROR(__xludf.DUMMYFUNCTION("INDIRECT(""'收支紀錄'!T""&amp;TO_TEXT(ROW()-$C$72))"),"")</f>
        <v/>
      </c>
      <c r="U776" s="62" t="str">
        <f>IFERROR(__xludf.DUMMYFUNCTION("IF(T776=""是"",TEXTJOIN("""", TRUE, ""$"", TO_TEXT(C776), S776),"""")"),"")</f>
        <v/>
      </c>
    </row>
    <row r="777">
      <c r="A777" s="58">
        <f>IFERROR(__xludf.DUMMYFUNCTION("INDIRECT(""'收支紀錄'!A""&amp;TO_TEXT(ROW()-$C$72))"),45750.94881696759)</f>
        <v>45750.94882</v>
      </c>
      <c r="B777" s="59">
        <f>IFERROR(__xludf.DUMMYFUNCTION("IF(ISBLANK(D777), """", IF(ISDATE(D777), D777, IF(D777=""今天"", A777, IF(D777=""昨天 (-1 day)"", A777-1, IF(D777=""前天 (-2 days)"", A777-2, IF(D777=""明天 (+1 day)"", A777+1, DATE(LEFT(D777,4), MID(D777,5,2), RIGHT(D777,2))))))))"),45774.0)</f>
        <v>45774</v>
      </c>
      <c r="C777" s="60">
        <f>IFERROR(__xludf.DUMMYFUNCTION("INDIRECT(""'收支紀錄'!C""&amp;TO_TEXT(ROW()-$C$72))"),905.0)</f>
        <v>905</v>
      </c>
      <c r="D777" s="63">
        <f>IFERROR(__xludf.DUMMYFUNCTION("INDIRECT(""'收支紀錄'!D""&amp;TO_TEXT(ROW()-$C$72))"),2.0250427E7)</f>
        <v>20250427</v>
      </c>
      <c r="E777" s="61" t="str">
        <f>IFERROR(__xludf.DUMMYFUNCTION("INDIRECT(""'收支紀錄'!E""&amp;TO_TEXT(ROW()-$C$72))"),"")</f>
        <v/>
      </c>
      <c r="F777" s="61" t="str">
        <f>IFERROR(__xludf.DUMMYFUNCTION("INDIRECT(""'收支紀錄'!F""&amp;TO_TEXT(ROW()-$C$72))"),"")</f>
        <v/>
      </c>
      <c r="G777" s="61" t="str">
        <f>IFERROR(__xludf.DUMMYFUNCTION("INDIRECT(""'收支紀錄'!G""&amp;TO_TEXT(ROW()-$C$72))"),"")</f>
        <v/>
      </c>
      <c r="H777" s="61" t="str">
        <f>IFERROR(__xludf.DUMMYFUNCTION("INDIRECT(""'收支紀錄'!H""&amp;TO_TEXT(ROW()-$C$72))"),"行車交通")</f>
        <v>行車交通</v>
      </c>
      <c r="I777" s="61" t="str">
        <f>IFERROR(__xludf.DUMMYFUNCTION("INDIRECT(""'收支紀錄'!I""&amp;TO_TEXT(ROW()-$C$72))"),"")</f>
        <v/>
      </c>
      <c r="J777" s="61" t="str">
        <f>IFERROR(__xludf.DUMMYFUNCTION("INDIRECT(""'收支紀錄'!J""&amp;TO_TEXT(ROW()-$C$72))"),"")</f>
        <v/>
      </c>
      <c r="K777" s="61" t="str">
        <f>IFERROR(__xludf.DUMMYFUNCTION("INDIRECT(""'收支紀錄'!K""&amp;TO_TEXT(ROW()-$C$72))"),"")</f>
        <v/>
      </c>
      <c r="L777" s="61" t="str">
        <f>IFERROR(__xludf.DUMMYFUNCTION("INDIRECT(""'收支紀錄'!L""&amp;TO_TEXT(ROW()-$C$72))"),"火車費")</f>
        <v>火車費</v>
      </c>
      <c r="M777" s="61" t="str">
        <f>IFERROR(__xludf.DUMMYFUNCTION("INDIRECT(""'收支紀錄'!M""&amp;TO_TEXT(ROW()-$C$72))"),"")</f>
        <v/>
      </c>
      <c r="N777" s="61" t="str">
        <f>IFERROR(__xludf.DUMMYFUNCTION("INDIRECT(""'收支紀錄'!N""&amp;TO_TEXT(ROW()-$C$72))"),"")</f>
        <v/>
      </c>
      <c r="O777" s="61" t="str">
        <f>IFERROR(__xludf.DUMMYFUNCTION("INDIRECT(""'收支紀錄'!O""&amp;TO_TEXT(ROW()-$C$72))"),"")</f>
        <v/>
      </c>
      <c r="P777" s="61" t="str">
        <f>IFERROR(__xludf.DUMMYFUNCTION("INDIRECT(""'收支紀錄'!P""&amp;TO_TEXT(ROW()-$C$72))"),"")</f>
        <v/>
      </c>
      <c r="Q777" s="61" t="str">
        <f>IFERROR(__xludf.DUMMYFUNCTION("INDIRECT(""'收支紀錄'!Q""&amp;TO_TEXT(ROW()-$C$72))"),"")</f>
        <v/>
      </c>
      <c r="R777" s="61" t="str">
        <f>IFERROR(__xludf.DUMMYFUNCTION("INDIRECT(""'收支紀錄'!R""&amp;TO_TEXT(ROW()-$C$72))"),"")</f>
        <v/>
      </c>
      <c r="S777" s="61" t="str">
        <f>IFERROR(__xludf.DUMMYFUNCTION("INDIRECT(""'收支紀錄'!S""&amp;TO_TEXT(ROW()-$C$72))"),"台東-台中 新自強+便當")</f>
        <v>台東-台中 新自強+便當</v>
      </c>
      <c r="T777" s="61" t="str">
        <f>IFERROR(__xludf.DUMMYFUNCTION("INDIRECT(""'收支紀錄'!T""&amp;TO_TEXT(ROW()-$C$72))"),"")</f>
        <v/>
      </c>
      <c r="U777" s="62" t="str">
        <f>IFERROR(__xludf.DUMMYFUNCTION("IF(T777=""是"",TEXTJOIN("""", TRUE, ""$"", TO_TEXT(C777), S777),"""")"),"")</f>
        <v/>
      </c>
    </row>
    <row r="778">
      <c r="A778" s="58">
        <f>IFERROR(__xludf.DUMMYFUNCTION("INDIRECT(""'收支紀錄'!A""&amp;TO_TEXT(ROW()-$C$72))"),45750.949326608796)</f>
        <v>45750.94933</v>
      </c>
      <c r="B778" s="59">
        <f>IFERROR(__xludf.DUMMYFUNCTION("IF(ISBLANK(D778), """", IF(ISDATE(D778), D778, IF(D778=""今天"", A778, IF(D778=""昨天 (-1 day)"", A778-1, IF(D778=""前天 (-2 days)"", A778-2, IF(D778=""明天 (+1 day)"", A778+1, DATE(LEFT(D778,4), MID(D778,5,2), RIGHT(D778,2))))))))"),45774.0)</f>
        <v>45774</v>
      </c>
      <c r="C778" s="60">
        <f>IFERROR(__xludf.DUMMYFUNCTION("INDIRECT(""'收支紀錄'!C""&amp;TO_TEXT(ROW()-$C$72))"),966.0)</f>
        <v>966</v>
      </c>
      <c r="D778" s="63">
        <f>IFERROR(__xludf.DUMMYFUNCTION("INDIRECT(""'收支紀錄'!D""&amp;TO_TEXT(ROW()-$C$72))"),2.0250427E7)</f>
        <v>20250427</v>
      </c>
      <c r="E778" s="61" t="str">
        <f>IFERROR(__xludf.DUMMYFUNCTION("INDIRECT(""'收支紀錄'!E""&amp;TO_TEXT(ROW()-$C$72))"),"")</f>
        <v/>
      </c>
      <c r="F778" s="61" t="str">
        <f>IFERROR(__xludf.DUMMYFUNCTION("INDIRECT(""'收支紀錄'!F""&amp;TO_TEXT(ROW()-$C$72))"),"")</f>
        <v/>
      </c>
      <c r="G778" s="61" t="str">
        <f>IFERROR(__xludf.DUMMYFUNCTION("INDIRECT(""'收支紀錄'!G""&amp;TO_TEXT(ROW()-$C$72))"),"")</f>
        <v/>
      </c>
      <c r="H778" s="61" t="str">
        <f>IFERROR(__xludf.DUMMYFUNCTION("INDIRECT(""'收支紀錄'!H""&amp;TO_TEXT(ROW()-$C$72))"),"休閒娛樂")</f>
        <v>休閒娛樂</v>
      </c>
      <c r="I778" s="61" t="str">
        <f>IFERROR(__xludf.DUMMYFUNCTION("INDIRECT(""'收支紀錄'!I""&amp;TO_TEXT(ROW()-$C$72))"),"")</f>
        <v/>
      </c>
      <c r="J778" s="61" t="str">
        <f>IFERROR(__xludf.DUMMYFUNCTION("INDIRECT(""'收支紀錄'!J""&amp;TO_TEXT(ROW()-$C$72))"),"")</f>
        <v/>
      </c>
      <c r="K778" s="61" t="str">
        <f>IFERROR(__xludf.DUMMYFUNCTION("INDIRECT(""'收支紀錄'!K""&amp;TO_TEXT(ROW()-$C$72))"),"")</f>
        <v/>
      </c>
      <c r="L778" s="61" t="str">
        <f>IFERROR(__xludf.DUMMYFUNCTION("INDIRECT(""'收支紀錄'!L""&amp;TO_TEXT(ROW()-$C$72))"),"")</f>
        <v/>
      </c>
      <c r="M778" s="61" t="str">
        <f>IFERROR(__xludf.DUMMYFUNCTION("INDIRECT(""'收支紀錄'!M""&amp;TO_TEXT(ROW()-$C$72))"),"運動健身")</f>
        <v>運動健身</v>
      </c>
      <c r="N778" s="61" t="str">
        <f>IFERROR(__xludf.DUMMYFUNCTION("INDIRECT(""'收支紀錄'!N""&amp;TO_TEXT(ROW()-$C$72))"),"")</f>
        <v/>
      </c>
      <c r="O778" s="61" t="str">
        <f>IFERROR(__xludf.DUMMYFUNCTION("INDIRECT(""'收支紀錄'!O""&amp;TO_TEXT(ROW()-$C$72))"),"")</f>
        <v/>
      </c>
      <c r="P778" s="61" t="str">
        <f>IFERROR(__xludf.DUMMYFUNCTION("INDIRECT(""'收支紀錄'!P""&amp;TO_TEXT(ROW()-$C$72))"),"")</f>
        <v/>
      </c>
      <c r="Q778" s="61" t="str">
        <f>IFERROR(__xludf.DUMMYFUNCTION("INDIRECT(""'收支紀錄'!Q""&amp;TO_TEXT(ROW()-$C$72))"),"")</f>
        <v/>
      </c>
      <c r="R778" s="61" t="str">
        <f>IFERROR(__xludf.DUMMYFUNCTION("INDIRECT(""'收支紀錄'!R""&amp;TO_TEXT(ROW()-$C$72))"),"")</f>
        <v/>
      </c>
      <c r="S778" s="61" t="str">
        <f>IFERROR(__xludf.DUMMYFUNCTION("INDIRECT(""'收支紀錄'!S""&amp;TO_TEXT(ROW()-$C$72))"),"三鐵51.5k退費")</f>
        <v>三鐵51.5k退費</v>
      </c>
      <c r="T778" s="61" t="str">
        <f>IFERROR(__xludf.DUMMYFUNCTION("INDIRECT(""'收支紀錄'!T""&amp;TO_TEXT(ROW()-$C$72))"),"")</f>
        <v/>
      </c>
      <c r="U778" s="62" t="str">
        <f>IFERROR(__xludf.DUMMYFUNCTION("IF(T778=""是"",TEXTJOIN("""", TRUE, ""$"", TO_TEXT(C778), S778),"""")"),"")</f>
        <v/>
      </c>
    </row>
    <row r="779">
      <c r="A779" s="58">
        <f>IFERROR(__xludf.DUMMYFUNCTION("INDIRECT(""'收支紀錄'!A""&amp;TO_TEXT(ROW()-$C$72))"),45750.94981681713)</f>
        <v>45750.94982</v>
      </c>
      <c r="B779" s="59">
        <f>IFERROR(__xludf.DUMMYFUNCTION("IF(ISBLANK(D779), """", IF(ISDATE(D779), D779, IF(D779=""今天"", A779, IF(D779=""昨天 (-1 day)"", A779-1, IF(D779=""前天 (-2 days)"", A779-2, IF(D779=""明天 (+1 day)"", A779+1, DATE(LEFT(D779,4), MID(D779,5,2), RIGHT(D779,2))))))))"),45773.0)</f>
        <v>45773</v>
      </c>
      <c r="C779" s="60">
        <f>IFERROR(__xludf.DUMMYFUNCTION("INDIRECT(""'收支紀錄'!C""&amp;TO_TEXT(ROW()-$C$72))"),6626.0)</f>
        <v>6626</v>
      </c>
      <c r="D779" s="63">
        <f>IFERROR(__xludf.DUMMYFUNCTION("INDIRECT(""'收支紀錄'!D""&amp;TO_TEXT(ROW()-$C$72))"),2.0250426E7)</f>
        <v>20250426</v>
      </c>
      <c r="E779" s="61" t="str">
        <f>IFERROR(__xludf.DUMMYFUNCTION("INDIRECT(""'收支紀錄'!E""&amp;TO_TEXT(ROW()-$C$72))"),"")</f>
        <v/>
      </c>
      <c r="F779" s="61" t="str">
        <f>IFERROR(__xludf.DUMMYFUNCTION("INDIRECT(""'收支紀錄'!F""&amp;TO_TEXT(ROW()-$C$72))"),"")</f>
        <v/>
      </c>
      <c r="G779" s="61" t="str">
        <f>IFERROR(__xludf.DUMMYFUNCTION("INDIRECT(""'收支紀錄'!G""&amp;TO_TEXT(ROW()-$C$72))"),"")</f>
        <v/>
      </c>
      <c r="H779" s="61" t="str">
        <f>IFERROR(__xludf.DUMMYFUNCTION("INDIRECT(""'收支紀錄'!H""&amp;TO_TEXT(ROW()-$C$72))"),"休閒娛樂")</f>
        <v>休閒娛樂</v>
      </c>
      <c r="I779" s="61" t="str">
        <f>IFERROR(__xludf.DUMMYFUNCTION("INDIRECT(""'收支紀錄'!I""&amp;TO_TEXT(ROW()-$C$72))"),"")</f>
        <v/>
      </c>
      <c r="J779" s="61" t="str">
        <f>IFERROR(__xludf.DUMMYFUNCTION("INDIRECT(""'收支紀錄'!J""&amp;TO_TEXT(ROW()-$C$72))"),"")</f>
        <v/>
      </c>
      <c r="K779" s="61" t="str">
        <f>IFERROR(__xludf.DUMMYFUNCTION("INDIRECT(""'收支紀錄'!K""&amp;TO_TEXT(ROW()-$C$72))"),"")</f>
        <v/>
      </c>
      <c r="L779" s="61" t="str">
        <f>IFERROR(__xludf.DUMMYFUNCTION("INDIRECT(""'收支紀錄'!L""&amp;TO_TEXT(ROW()-$C$72))"),"")</f>
        <v/>
      </c>
      <c r="M779" s="61" t="str">
        <f>IFERROR(__xludf.DUMMYFUNCTION("INDIRECT(""'收支紀錄'!M""&amp;TO_TEXT(ROW()-$C$72))"),"運動健身")</f>
        <v>運動健身</v>
      </c>
      <c r="N779" s="61" t="str">
        <f>IFERROR(__xludf.DUMMYFUNCTION("INDIRECT(""'收支紀錄'!N""&amp;TO_TEXT(ROW()-$C$72))"),"")</f>
        <v/>
      </c>
      <c r="O779" s="61" t="str">
        <f>IFERROR(__xludf.DUMMYFUNCTION("INDIRECT(""'收支紀錄'!O""&amp;TO_TEXT(ROW()-$C$72))"),"")</f>
        <v/>
      </c>
      <c r="P779" s="61" t="str">
        <f>IFERROR(__xludf.DUMMYFUNCTION("INDIRECT(""'收支紀錄'!P""&amp;TO_TEXT(ROW()-$C$72))"),"")</f>
        <v/>
      </c>
      <c r="Q779" s="61" t="str">
        <f>IFERROR(__xludf.DUMMYFUNCTION("INDIRECT(""'收支紀錄'!Q""&amp;TO_TEXT(ROW()-$C$72))"),"")</f>
        <v/>
      </c>
      <c r="R779" s="61" t="str">
        <f>IFERROR(__xludf.DUMMYFUNCTION("INDIRECT(""'收支紀錄'!R""&amp;TO_TEXT(ROW()-$C$72))"),"")</f>
        <v/>
      </c>
      <c r="S779" s="61" t="str">
        <f>IFERROR(__xludf.DUMMYFUNCTION("INDIRECT(""'收支紀錄'!S""&amp;TO_TEXT(ROW()-$C$72))"),"三鐵226k接力")</f>
        <v>三鐵226k接力</v>
      </c>
      <c r="T779" s="61" t="str">
        <f>IFERROR(__xludf.DUMMYFUNCTION("INDIRECT(""'收支紀錄'!T""&amp;TO_TEXT(ROW()-$C$72))"),"是")</f>
        <v>是</v>
      </c>
      <c r="U779" s="62" t="str">
        <f>IFERROR(__xludf.DUMMYFUNCTION("IF(T779=""是"",TEXTJOIN("""", TRUE, ""$"", TO_TEXT(C779), S779),"""")"),"$6626三鐵226k接力")</f>
        <v>$6626三鐵226k接力</v>
      </c>
    </row>
    <row r="780">
      <c r="A780" s="58">
        <f>IFERROR(__xludf.DUMMYFUNCTION("INDIRECT(""'收支紀錄'!A""&amp;TO_TEXT(ROW()-$C$72))"),45750.950298055555)</f>
        <v>45750.9503</v>
      </c>
      <c r="B780" s="59">
        <f>IFERROR(__xludf.DUMMYFUNCTION("IF(ISBLANK(D780), """", IF(ISDATE(D780), D780, IF(D780=""今天"", A780, IF(D780=""昨天 (-1 day)"", A780-1, IF(D780=""前天 (-2 days)"", A780-2, IF(D780=""明天 (+1 day)"", A780+1, DATE(LEFT(D780,4), MID(D780,5,2), RIGHT(D780,2))))))))"),45772.0)</f>
        <v>45772</v>
      </c>
      <c r="C780" s="60">
        <f>IFERROR(__xludf.DUMMYFUNCTION("INDIRECT(""'收支紀錄'!C""&amp;TO_TEXT(ROW()-$C$72))"),831.0)</f>
        <v>831</v>
      </c>
      <c r="D780" s="63">
        <f>IFERROR(__xludf.DUMMYFUNCTION("INDIRECT(""'收支紀錄'!D""&amp;TO_TEXT(ROW()-$C$72))"),2.0250425E7)</f>
        <v>20250425</v>
      </c>
      <c r="E780" s="61" t="str">
        <f>IFERROR(__xludf.DUMMYFUNCTION("INDIRECT(""'收支紀錄'!E""&amp;TO_TEXT(ROW()-$C$72))"),"")</f>
        <v/>
      </c>
      <c r="F780" s="61" t="str">
        <f>IFERROR(__xludf.DUMMYFUNCTION("INDIRECT(""'收支紀錄'!F""&amp;TO_TEXT(ROW()-$C$72))"),"")</f>
        <v/>
      </c>
      <c r="G780" s="61" t="str">
        <f>IFERROR(__xludf.DUMMYFUNCTION("INDIRECT(""'收支紀錄'!G""&amp;TO_TEXT(ROW()-$C$72))"),"")</f>
        <v/>
      </c>
      <c r="H780" s="61" t="str">
        <f>IFERROR(__xludf.DUMMYFUNCTION("INDIRECT(""'收支紀錄'!H""&amp;TO_TEXT(ROW()-$C$72))"),"行車交通")</f>
        <v>行車交通</v>
      </c>
      <c r="I780" s="61" t="str">
        <f>IFERROR(__xludf.DUMMYFUNCTION("INDIRECT(""'收支紀錄'!I""&amp;TO_TEXT(ROW()-$C$72))"),"")</f>
        <v/>
      </c>
      <c r="J780" s="61" t="str">
        <f>IFERROR(__xludf.DUMMYFUNCTION("INDIRECT(""'收支紀錄'!J""&amp;TO_TEXT(ROW()-$C$72))"),"")</f>
        <v/>
      </c>
      <c r="K780" s="61" t="str">
        <f>IFERROR(__xludf.DUMMYFUNCTION("INDIRECT(""'收支紀錄'!K""&amp;TO_TEXT(ROW()-$C$72))"),"")</f>
        <v/>
      </c>
      <c r="L780" s="61" t="str">
        <f>IFERROR(__xludf.DUMMYFUNCTION("INDIRECT(""'收支紀錄'!L""&amp;TO_TEXT(ROW()-$C$72))"),"火車費")</f>
        <v>火車費</v>
      </c>
      <c r="M780" s="61" t="str">
        <f>IFERROR(__xludf.DUMMYFUNCTION("INDIRECT(""'收支紀錄'!M""&amp;TO_TEXT(ROW()-$C$72))"),"")</f>
        <v/>
      </c>
      <c r="N780" s="61" t="str">
        <f>IFERROR(__xludf.DUMMYFUNCTION("INDIRECT(""'收支紀錄'!N""&amp;TO_TEXT(ROW()-$C$72))"),"")</f>
        <v/>
      </c>
      <c r="O780" s="61" t="str">
        <f>IFERROR(__xludf.DUMMYFUNCTION("INDIRECT(""'收支紀錄'!O""&amp;TO_TEXT(ROW()-$C$72))"),"")</f>
        <v/>
      </c>
      <c r="P780" s="61" t="str">
        <f>IFERROR(__xludf.DUMMYFUNCTION("INDIRECT(""'收支紀錄'!P""&amp;TO_TEXT(ROW()-$C$72))"),"")</f>
        <v/>
      </c>
      <c r="Q780" s="61" t="str">
        <f>IFERROR(__xludf.DUMMYFUNCTION("INDIRECT(""'收支紀錄'!Q""&amp;TO_TEXT(ROW()-$C$72))"),"")</f>
        <v/>
      </c>
      <c r="R780" s="61" t="str">
        <f>IFERROR(__xludf.DUMMYFUNCTION("INDIRECT(""'收支紀錄'!R""&amp;TO_TEXT(ROW()-$C$72))"),"")</f>
        <v/>
      </c>
      <c r="S780" s="61" t="str">
        <f>IFERROR(__xludf.DUMMYFUNCTION("INDIRECT(""'收支紀錄'!S""&amp;TO_TEXT(ROW()-$C$72))"),"台中-台東 新自強")</f>
        <v>台中-台東 新自強</v>
      </c>
      <c r="T780" s="61" t="str">
        <f>IFERROR(__xludf.DUMMYFUNCTION("INDIRECT(""'收支紀錄'!T""&amp;TO_TEXT(ROW()-$C$72))"),"")</f>
        <v/>
      </c>
      <c r="U780" s="62" t="str">
        <f>IFERROR(__xludf.DUMMYFUNCTION("IF(T780=""是"",TEXTJOIN("""", TRUE, ""$"", TO_TEXT(C780), S780),"""")"),"")</f>
        <v/>
      </c>
    </row>
    <row r="781">
      <c r="A781" s="58">
        <f>IFERROR(__xludf.DUMMYFUNCTION("INDIRECT(""'收支紀錄'!A""&amp;TO_TEXT(ROW()-$C$72))"),45751.57598197917)</f>
        <v>45751.57598</v>
      </c>
      <c r="B781" s="59">
        <f>IFERROR(__xludf.DUMMYFUNCTION("IF(ISBLANK(D781), """", IF(ISDATE(D781), D781, IF(D781=""今天"", A781, IF(D781=""昨天 (-1 day)"", A781-1, IF(D781=""前天 (-2 days)"", A781-2, IF(D781=""明天 (+1 day)"", A781+1, DATE(LEFT(D781,4), MID(D781,5,2), RIGHT(D781,2))))))))"),45751.57598197917)</f>
        <v>45751.57598</v>
      </c>
      <c r="C781" s="60">
        <f>IFERROR(__xludf.DUMMYFUNCTION("INDIRECT(""'收支紀錄'!C""&amp;TO_TEXT(ROW()-$C$72))"),6000.0)</f>
        <v>6000</v>
      </c>
      <c r="D781" s="63" t="str">
        <f>IFERROR(__xludf.DUMMYFUNCTION("INDIRECT(""'收支紀錄'!D""&amp;TO_TEXT(ROW()-$C$72))"),"今天")</f>
        <v>今天</v>
      </c>
      <c r="E781" s="61" t="str">
        <f>IFERROR(__xludf.DUMMYFUNCTION("INDIRECT(""'收支紀錄'!E""&amp;TO_TEXT(ROW()-$C$72))"),"其他業外")</f>
        <v>其他業外</v>
      </c>
      <c r="F781" s="61" t="str">
        <f>IFERROR(__xludf.DUMMYFUNCTION("INDIRECT(""'收支紀錄'!F""&amp;TO_TEXT(ROW()-$C$72))"),"")</f>
        <v/>
      </c>
      <c r="G781" s="61" t="str">
        <f>IFERROR(__xludf.DUMMYFUNCTION("INDIRECT(""'收支紀錄'!G""&amp;TO_TEXT(ROW()-$C$72))"),"房屋補貼")</f>
        <v>房屋補貼</v>
      </c>
      <c r="H781" s="61" t="str">
        <f>IFERROR(__xludf.DUMMYFUNCTION("INDIRECT(""'收支紀錄'!H""&amp;TO_TEXT(ROW()-$C$72))"),"")</f>
        <v/>
      </c>
      <c r="I781" s="61" t="str">
        <f>IFERROR(__xludf.DUMMYFUNCTION("INDIRECT(""'收支紀錄'!I""&amp;TO_TEXT(ROW()-$C$72))"),"")</f>
        <v/>
      </c>
      <c r="J781" s="61" t="str">
        <f>IFERROR(__xludf.DUMMYFUNCTION("INDIRECT(""'收支紀錄'!J""&amp;TO_TEXT(ROW()-$C$72))"),"")</f>
        <v/>
      </c>
      <c r="K781" s="61" t="str">
        <f>IFERROR(__xludf.DUMMYFUNCTION("INDIRECT(""'收支紀錄'!K""&amp;TO_TEXT(ROW()-$C$72))"),"")</f>
        <v/>
      </c>
      <c r="L781" s="61" t="str">
        <f>IFERROR(__xludf.DUMMYFUNCTION("INDIRECT(""'收支紀錄'!L""&amp;TO_TEXT(ROW()-$C$72))"),"")</f>
        <v/>
      </c>
      <c r="M781" s="61" t="str">
        <f>IFERROR(__xludf.DUMMYFUNCTION("INDIRECT(""'收支紀錄'!M""&amp;TO_TEXT(ROW()-$C$72))"),"")</f>
        <v/>
      </c>
      <c r="N781" s="61" t="str">
        <f>IFERROR(__xludf.DUMMYFUNCTION("INDIRECT(""'收支紀錄'!N""&amp;TO_TEXT(ROW()-$C$72))"),"")</f>
        <v/>
      </c>
      <c r="O781" s="61" t="str">
        <f>IFERROR(__xludf.DUMMYFUNCTION("INDIRECT(""'收支紀錄'!O""&amp;TO_TEXT(ROW()-$C$72))"),"")</f>
        <v/>
      </c>
      <c r="P781" s="61" t="str">
        <f>IFERROR(__xludf.DUMMYFUNCTION("INDIRECT(""'收支紀錄'!P""&amp;TO_TEXT(ROW()-$C$72))"),"")</f>
        <v/>
      </c>
      <c r="Q781" s="61" t="str">
        <f>IFERROR(__xludf.DUMMYFUNCTION("INDIRECT(""'收支紀錄'!Q""&amp;TO_TEXT(ROW()-$C$72))"),"")</f>
        <v/>
      </c>
      <c r="R781" s="61" t="str">
        <f>IFERROR(__xludf.DUMMYFUNCTION("INDIRECT(""'收支紀錄'!R""&amp;TO_TEXT(ROW()-$C$72))"),"")</f>
        <v/>
      </c>
      <c r="S781" s="61" t="str">
        <f>IFERROR(__xludf.DUMMYFUNCTION("INDIRECT(""'收支紀錄'!S""&amp;TO_TEXT(ROW()-$C$72))"),"")</f>
        <v/>
      </c>
      <c r="T781" s="61" t="str">
        <f>IFERROR(__xludf.DUMMYFUNCTION("INDIRECT(""'收支紀錄'!T""&amp;TO_TEXT(ROW()-$C$72))"),"")</f>
        <v/>
      </c>
      <c r="U781" s="62" t="str">
        <f>IFERROR(__xludf.DUMMYFUNCTION("IF(T781=""是"",TEXTJOIN("""", TRUE, ""$"", TO_TEXT(C781), S781),"""")"),"")</f>
        <v/>
      </c>
    </row>
    <row r="782">
      <c r="A782" s="58">
        <f>IFERROR(__xludf.DUMMYFUNCTION("INDIRECT(""'收支紀錄'!A""&amp;TO_TEXT(ROW()-$C$72))"),45753.651145208336)</f>
        <v>45753.65115</v>
      </c>
      <c r="B782" s="59">
        <f>IFERROR(__xludf.DUMMYFUNCTION("IF(ISBLANK(D782), """", IF(ISDATE(D782), D782, IF(D782=""今天"", A782, IF(D782=""昨天 (-1 day)"", A782-1, IF(D782=""前天 (-2 days)"", A782-2, IF(D782=""明天 (+1 day)"", A782+1, DATE(LEFT(D782,4), MID(D782,5,2), RIGHT(D782,2))))))))"),45753.651145208336)</f>
        <v>45753.65115</v>
      </c>
      <c r="C782" s="60">
        <f>IFERROR(__xludf.DUMMYFUNCTION("INDIRECT(""'收支紀錄'!C""&amp;TO_TEXT(ROW()-$C$72))"),109.0)</f>
        <v>109</v>
      </c>
      <c r="D782" s="63" t="str">
        <f>IFERROR(__xludf.DUMMYFUNCTION("INDIRECT(""'收支紀錄'!D""&amp;TO_TEXT(ROW()-$C$72))"),"今天")</f>
        <v>今天</v>
      </c>
      <c r="E782" s="61" t="str">
        <f>IFERROR(__xludf.DUMMYFUNCTION("INDIRECT(""'收支紀錄'!E""&amp;TO_TEXT(ROW()-$C$72))"),"")</f>
        <v/>
      </c>
      <c r="F782" s="61" t="str">
        <f>IFERROR(__xludf.DUMMYFUNCTION("INDIRECT(""'收支紀錄'!F""&amp;TO_TEXT(ROW()-$C$72))"),"")</f>
        <v/>
      </c>
      <c r="G782" s="61" t="str">
        <f>IFERROR(__xludf.DUMMYFUNCTION("INDIRECT(""'收支紀錄'!G""&amp;TO_TEXT(ROW()-$C$72))"),"")</f>
        <v/>
      </c>
      <c r="H782" s="61" t="str">
        <f>IFERROR(__xludf.DUMMYFUNCTION("INDIRECT(""'收支紀錄'!H""&amp;TO_TEXT(ROW()-$C$72))"),"食品酒水")</f>
        <v>食品酒水</v>
      </c>
      <c r="I782" s="61" t="str">
        <f>IFERROR(__xludf.DUMMYFUNCTION("INDIRECT(""'收支紀錄'!I""&amp;TO_TEXT(ROW()-$C$72))"),"午餐")</f>
        <v>午餐</v>
      </c>
      <c r="J782" s="61" t="str">
        <f>IFERROR(__xludf.DUMMYFUNCTION("INDIRECT(""'收支紀錄'!J""&amp;TO_TEXT(ROW()-$C$72))"),"")</f>
        <v/>
      </c>
      <c r="K782" s="61" t="str">
        <f>IFERROR(__xludf.DUMMYFUNCTION("INDIRECT(""'收支紀錄'!K""&amp;TO_TEXT(ROW()-$C$72))"),"")</f>
        <v/>
      </c>
      <c r="L782" s="61" t="str">
        <f>IFERROR(__xludf.DUMMYFUNCTION("INDIRECT(""'收支紀錄'!L""&amp;TO_TEXT(ROW()-$C$72))"),"")</f>
        <v/>
      </c>
      <c r="M782" s="61" t="str">
        <f>IFERROR(__xludf.DUMMYFUNCTION("INDIRECT(""'收支紀錄'!M""&amp;TO_TEXT(ROW()-$C$72))"),"")</f>
        <v/>
      </c>
      <c r="N782" s="61" t="str">
        <f>IFERROR(__xludf.DUMMYFUNCTION("INDIRECT(""'收支紀錄'!N""&amp;TO_TEXT(ROW()-$C$72))"),"")</f>
        <v/>
      </c>
      <c r="O782" s="61" t="str">
        <f>IFERROR(__xludf.DUMMYFUNCTION("INDIRECT(""'收支紀錄'!O""&amp;TO_TEXT(ROW()-$C$72))"),"")</f>
        <v/>
      </c>
      <c r="P782" s="61" t="str">
        <f>IFERROR(__xludf.DUMMYFUNCTION("INDIRECT(""'收支紀錄'!P""&amp;TO_TEXT(ROW()-$C$72))"),"")</f>
        <v/>
      </c>
      <c r="Q782" s="61" t="str">
        <f>IFERROR(__xludf.DUMMYFUNCTION("INDIRECT(""'收支紀錄'!Q""&amp;TO_TEXT(ROW()-$C$72))"),"")</f>
        <v/>
      </c>
      <c r="R782" s="61" t="str">
        <f>IFERROR(__xludf.DUMMYFUNCTION("INDIRECT(""'收支紀錄'!R""&amp;TO_TEXT(ROW()-$C$72))"),"")</f>
        <v/>
      </c>
      <c r="S782" s="61" t="str">
        <f>IFERROR(__xludf.DUMMYFUNCTION("INDIRECT(""'收支紀錄'!S""&amp;TO_TEXT(ROW()-$C$72))"),"")</f>
        <v/>
      </c>
      <c r="T782" s="61" t="str">
        <f>IFERROR(__xludf.DUMMYFUNCTION("INDIRECT(""'收支紀錄'!T""&amp;TO_TEXT(ROW()-$C$72))"),"否")</f>
        <v>否</v>
      </c>
      <c r="U782" s="62" t="str">
        <f>IFERROR(__xludf.DUMMYFUNCTION("IF(T782=""是"",TEXTJOIN("""", TRUE, ""$"", TO_TEXT(C782), S782),"""")"),"")</f>
        <v/>
      </c>
    </row>
    <row r="783">
      <c r="A783" s="58">
        <f>IFERROR(__xludf.DUMMYFUNCTION("INDIRECT(""'收支紀錄'!A""&amp;TO_TEXT(ROW()-$C$72))"),45753.651326527775)</f>
        <v>45753.65133</v>
      </c>
      <c r="B783" s="59">
        <f>IFERROR(__xludf.DUMMYFUNCTION("IF(ISBLANK(D783), """", IF(ISDATE(D783), D783, IF(D783=""今天"", A783, IF(D783=""昨天 (-1 day)"", A783-1, IF(D783=""前天 (-2 days)"", A783-2, IF(D783=""明天 (+1 day)"", A783+1, DATE(LEFT(D783,4), MID(D783,5,2), RIGHT(D783,2))))))))"),45753.651326527775)</f>
        <v>45753.65133</v>
      </c>
      <c r="C783" s="60">
        <f>IFERROR(__xludf.DUMMYFUNCTION("INDIRECT(""'收支紀錄'!C""&amp;TO_TEXT(ROW()-$C$72))"),35.0)</f>
        <v>35</v>
      </c>
      <c r="D783" s="63" t="str">
        <f>IFERROR(__xludf.DUMMYFUNCTION("INDIRECT(""'收支紀錄'!D""&amp;TO_TEXT(ROW()-$C$72))"),"今天")</f>
        <v>今天</v>
      </c>
      <c r="E783" s="61" t="str">
        <f>IFERROR(__xludf.DUMMYFUNCTION("INDIRECT(""'收支紀錄'!E""&amp;TO_TEXT(ROW()-$C$72))"),"")</f>
        <v/>
      </c>
      <c r="F783" s="61" t="str">
        <f>IFERROR(__xludf.DUMMYFUNCTION("INDIRECT(""'收支紀錄'!F""&amp;TO_TEXT(ROW()-$C$72))"),"")</f>
        <v/>
      </c>
      <c r="G783" s="61" t="str">
        <f>IFERROR(__xludf.DUMMYFUNCTION("INDIRECT(""'收支紀錄'!G""&amp;TO_TEXT(ROW()-$C$72))"),"")</f>
        <v/>
      </c>
      <c r="H783" s="61" t="str">
        <f>IFERROR(__xludf.DUMMYFUNCTION("INDIRECT(""'收支紀錄'!H""&amp;TO_TEXT(ROW()-$C$72))"),"行車交通")</f>
        <v>行車交通</v>
      </c>
      <c r="I783" s="61" t="str">
        <f>IFERROR(__xludf.DUMMYFUNCTION("INDIRECT(""'收支紀錄'!I""&amp;TO_TEXT(ROW()-$C$72))"),"")</f>
        <v/>
      </c>
      <c r="J783" s="61" t="str">
        <f>IFERROR(__xludf.DUMMYFUNCTION("INDIRECT(""'收支紀錄'!J""&amp;TO_TEXT(ROW()-$C$72))"),"")</f>
        <v/>
      </c>
      <c r="K783" s="61" t="str">
        <f>IFERROR(__xludf.DUMMYFUNCTION("INDIRECT(""'收支紀錄'!K""&amp;TO_TEXT(ROW()-$C$72))"),"")</f>
        <v/>
      </c>
      <c r="L783" s="61" t="str">
        <f>IFERROR(__xludf.DUMMYFUNCTION("INDIRECT(""'收支紀錄'!L""&amp;TO_TEXT(ROW()-$C$72))"),"捷運費")</f>
        <v>捷運費</v>
      </c>
      <c r="M783" s="61" t="str">
        <f>IFERROR(__xludf.DUMMYFUNCTION("INDIRECT(""'收支紀錄'!M""&amp;TO_TEXT(ROW()-$C$72))"),"")</f>
        <v/>
      </c>
      <c r="N783" s="61" t="str">
        <f>IFERROR(__xludf.DUMMYFUNCTION("INDIRECT(""'收支紀錄'!N""&amp;TO_TEXT(ROW()-$C$72))"),"")</f>
        <v/>
      </c>
      <c r="O783" s="61" t="str">
        <f>IFERROR(__xludf.DUMMYFUNCTION("INDIRECT(""'收支紀錄'!O""&amp;TO_TEXT(ROW()-$C$72))"),"")</f>
        <v/>
      </c>
      <c r="P783" s="61" t="str">
        <f>IFERROR(__xludf.DUMMYFUNCTION("INDIRECT(""'收支紀錄'!P""&amp;TO_TEXT(ROW()-$C$72))"),"")</f>
        <v/>
      </c>
      <c r="Q783" s="61" t="str">
        <f>IFERROR(__xludf.DUMMYFUNCTION("INDIRECT(""'收支紀錄'!Q""&amp;TO_TEXT(ROW()-$C$72))"),"")</f>
        <v/>
      </c>
      <c r="R783" s="61" t="str">
        <f>IFERROR(__xludf.DUMMYFUNCTION("INDIRECT(""'收支紀錄'!R""&amp;TO_TEXT(ROW()-$C$72))"),"")</f>
        <v/>
      </c>
      <c r="S783" s="61" t="str">
        <f>IFERROR(__xludf.DUMMYFUNCTION("INDIRECT(""'收支紀錄'!S""&amp;TO_TEXT(ROW()-$C$72))"),"")</f>
        <v/>
      </c>
      <c r="T783" s="61" t="str">
        <f>IFERROR(__xludf.DUMMYFUNCTION("INDIRECT(""'收支紀錄'!T""&amp;TO_TEXT(ROW()-$C$72))"),"")</f>
        <v/>
      </c>
      <c r="U783" s="62" t="str">
        <f>IFERROR(__xludf.DUMMYFUNCTION("IF(T783=""是"",TEXTJOIN("""", TRUE, ""$"", TO_TEXT(C783), S783),"""")"),"")</f>
        <v/>
      </c>
    </row>
    <row r="784">
      <c r="A784" s="58">
        <f>IFERROR(__xludf.DUMMYFUNCTION("INDIRECT(""'收支紀錄'!A""&amp;TO_TEXT(ROW()-$C$72))"),45753.65152659723)</f>
        <v>45753.65153</v>
      </c>
      <c r="B784" s="59">
        <f>IFERROR(__xludf.DUMMYFUNCTION("IF(ISBLANK(D784), """", IF(ISDATE(D784), D784, IF(D784=""今天"", A784, IF(D784=""昨天 (-1 day)"", A784-1, IF(D784=""前天 (-2 days)"", A784-2, IF(D784=""明天 (+1 day)"", A784+1, DATE(LEFT(D784,4), MID(D784,5,2), RIGHT(D784,2))))))))"),45753.65152659723)</f>
        <v>45753.65153</v>
      </c>
      <c r="C784" s="60">
        <f>IFERROR(__xludf.DUMMYFUNCTION("INDIRECT(""'收支紀錄'!C""&amp;TO_TEXT(ROW()-$C$72))"),765.0)</f>
        <v>765</v>
      </c>
      <c r="D784" s="63" t="str">
        <f>IFERROR(__xludf.DUMMYFUNCTION("INDIRECT(""'收支紀錄'!D""&amp;TO_TEXT(ROW()-$C$72))"),"今天")</f>
        <v>今天</v>
      </c>
      <c r="E784" s="61" t="str">
        <f>IFERROR(__xludf.DUMMYFUNCTION("INDIRECT(""'收支紀錄'!E""&amp;TO_TEXT(ROW()-$C$72))"),"")</f>
        <v/>
      </c>
      <c r="F784" s="61" t="str">
        <f>IFERROR(__xludf.DUMMYFUNCTION("INDIRECT(""'收支紀錄'!F""&amp;TO_TEXT(ROW()-$C$72))"),"")</f>
        <v/>
      </c>
      <c r="G784" s="61" t="str">
        <f>IFERROR(__xludf.DUMMYFUNCTION("INDIRECT(""'收支紀錄'!G""&amp;TO_TEXT(ROW()-$C$72))"),"")</f>
        <v/>
      </c>
      <c r="H784" s="61" t="str">
        <f>IFERROR(__xludf.DUMMYFUNCTION("INDIRECT(""'收支紀錄'!H""&amp;TO_TEXT(ROW()-$C$72))"),"行車交通")</f>
        <v>行車交通</v>
      </c>
      <c r="I784" s="61" t="str">
        <f>IFERROR(__xludf.DUMMYFUNCTION("INDIRECT(""'收支紀錄'!I""&amp;TO_TEXT(ROW()-$C$72))"),"")</f>
        <v/>
      </c>
      <c r="J784" s="61" t="str">
        <f>IFERROR(__xludf.DUMMYFUNCTION("INDIRECT(""'收支紀錄'!J""&amp;TO_TEXT(ROW()-$C$72))"),"")</f>
        <v/>
      </c>
      <c r="K784" s="61" t="str">
        <f>IFERROR(__xludf.DUMMYFUNCTION("INDIRECT(""'收支紀錄'!K""&amp;TO_TEXT(ROW()-$C$72))"),"")</f>
        <v/>
      </c>
      <c r="L784" s="61" t="str">
        <f>IFERROR(__xludf.DUMMYFUNCTION("INDIRECT(""'收支紀錄'!L""&amp;TO_TEXT(ROW()-$C$72))"),"高鐵")</f>
        <v>高鐵</v>
      </c>
      <c r="M784" s="61" t="str">
        <f>IFERROR(__xludf.DUMMYFUNCTION("INDIRECT(""'收支紀錄'!M""&amp;TO_TEXT(ROW()-$C$72))"),"")</f>
        <v/>
      </c>
      <c r="N784" s="61" t="str">
        <f>IFERROR(__xludf.DUMMYFUNCTION("INDIRECT(""'收支紀錄'!N""&amp;TO_TEXT(ROW()-$C$72))"),"")</f>
        <v/>
      </c>
      <c r="O784" s="61" t="str">
        <f>IFERROR(__xludf.DUMMYFUNCTION("INDIRECT(""'收支紀錄'!O""&amp;TO_TEXT(ROW()-$C$72))"),"")</f>
        <v/>
      </c>
      <c r="P784" s="61" t="str">
        <f>IFERROR(__xludf.DUMMYFUNCTION("INDIRECT(""'收支紀錄'!P""&amp;TO_TEXT(ROW()-$C$72))"),"")</f>
        <v/>
      </c>
      <c r="Q784" s="61" t="str">
        <f>IFERROR(__xludf.DUMMYFUNCTION("INDIRECT(""'收支紀錄'!Q""&amp;TO_TEXT(ROW()-$C$72))"),"")</f>
        <v/>
      </c>
      <c r="R784" s="61" t="str">
        <f>IFERROR(__xludf.DUMMYFUNCTION("INDIRECT(""'收支紀錄'!R""&amp;TO_TEXT(ROW()-$C$72))"),"")</f>
        <v/>
      </c>
      <c r="S784" s="61" t="str">
        <f>IFERROR(__xludf.DUMMYFUNCTION("INDIRECT(""'收支紀錄'!S""&amp;TO_TEXT(ROW()-$C$72))"),"")</f>
        <v/>
      </c>
      <c r="T784" s="61" t="str">
        <f>IFERROR(__xludf.DUMMYFUNCTION("INDIRECT(""'收支紀錄'!T""&amp;TO_TEXT(ROW()-$C$72))"),"")</f>
        <v/>
      </c>
      <c r="U784" s="62" t="str">
        <f>IFERROR(__xludf.DUMMYFUNCTION("IF(T784=""是"",TEXTJOIN("""", TRUE, ""$"", TO_TEXT(C784), S784),"""")"),"")</f>
        <v/>
      </c>
    </row>
    <row r="785">
      <c r="A785" s="58">
        <f>IFERROR(__xludf.DUMMYFUNCTION("INDIRECT(""'收支紀錄'!A""&amp;TO_TEXT(ROW()-$C$72))"),45754.91994236111)</f>
        <v>45754.91994</v>
      </c>
      <c r="B785" s="59">
        <f>IFERROR(__xludf.DUMMYFUNCTION("IF(ISBLANK(D785), """", IF(ISDATE(D785), D785, IF(D785=""今天"", A785, IF(D785=""昨天 (-1 day)"", A785-1, IF(D785=""前天 (-2 days)"", A785-2, IF(D785=""明天 (+1 day)"", A785+1, DATE(LEFT(D785,4), MID(D785,5,2), RIGHT(D785,2))))))))"),45754.91994236111)</f>
        <v>45754.91994</v>
      </c>
      <c r="C785" s="60">
        <f>IFERROR(__xludf.DUMMYFUNCTION("INDIRECT(""'收支紀錄'!C""&amp;TO_TEXT(ROW()-$C$72))"),98.0)</f>
        <v>98</v>
      </c>
      <c r="D785" s="63" t="str">
        <f>IFERROR(__xludf.DUMMYFUNCTION("INDIRECT(""'收支紀錄'!D""&amp;TO_TEXT(ROW()-$C$72))"),"今天")</f>
        <v>今天</v>
      </c>
      <c r="E785" s="61" t="str">
        <f>IFERROR(__xludf.DUMMYFUNCTION("INDIRECT(""'收支紀錄'!E""&amp;TO_TEXT(ROW()-$C$72))"),"")</f>
        <v/>
      </c>
      <c r="F785" s="61" t="str">
        <f>IFERROR(__xludf.DUMMYFUNCTION("INDIRECT(""'收支紀錄'!F""&amp;TO_TEXT(ROW()-$C$72))"),"")</f>
        <v/>
      </c>
      <c r="G785" s="61" t="str">
        <f>IFERROR(__xludf.DUMMYFUNCTION("INDIRECT(""'收支紀錄'!G""&amp;TO_TEXT(ROW()-$C$72))"),"")</f>
        <v/>
      </c>
      <c r="H785" s="61" t="str">
        <f>IFERROR(__xludf.DUMMYFUNCTION("INDIRECT(""'收支紀錄'!H""&amp;TO_TEXT(ROW()-$C$72))"),"行車交通")</f>
        <v>行車交通</v>
      </c>
      <c r="I785" s="61" t="str">
        <f>IFERROR(__xludf.DUMMYFUNCTION("INDIRECT(""'收支紀錄'!I""&amp;TO_TEXT(ROW()-$C$72))"),"")</f>
        <v/>
      </c>
      <c r="J785" s="61" t="str">
        <f>IFERROR(__xludf.DUMMYFUNCTION("INDIRECT(""'收支紀錄'!J""&amp;TO_TEXT(ROW()-$C$72))"),"")</f>
        <v/>
      </c>
      <c r="K785" s="61" t="str">
        <f>IFERROR(__xludf.DUMMYFUNCTION("INDIRECT(""'收支紀錄'!K""&amp;TO_TEXT(ROW()-$C$72))"),"")</f>
        <v/>
      </c>
      <c r="L785" s="61" t="str">
        <f>IFERROR(__xludf.DUMMYFUNCTION("INDIRECT(""'收支紀錄'!L""&amp;TO_TEXT(ROW()-$C$72))"),"加油")</f>
        <v>加油</v>
      </c>
      <c r="M785" s="61" t="str">
        <f>IFERROR(__xludf.DUMMYFUNCTION("INDIRECT(""'收支紀錄'!M""&amp;TO_TEXT(ROW()-$C$72))"),"")</f>
        <v/>
      </c>
      <c r="N785" s="61" t="str">
        <f>IFERROR(__xludf.DUMMYFUNCTION("INDIRECT(""'收支紀錄'!N""&amp;TO_TEXT(ROW()-$C$72))"),"")</f>
        <v/>
      </c>
      <c r="O785" s="61" t="str">
        <f>IFERROR(__xludf.DUMMYFUNCTION("INDIRECT(""'收支紀錄'!O""&amp;TO_TEXT(ROW()-$C$72))"),"")</f>
        <v/>
      </c>
      <c r="P785" s="61" t="str">
        <f>IFERROR(__xludf.DUMMYFUNCTION("INDIRECT(""'收支紀錄'!P""&amp;TO_TEXT(ROW()-$C$72))"),"")</f>
        <v/>
      </c>
      <c r="Q785" s="61" t="str">
        <f>IFERROR(__xludf.DUMMYFUNCTION("INDIRECT(""'收支紀錄'!Q""&amp;TO_TEXT(ROW()-$C$72))"),"")</f>
        <v/>
      </c>
      <c r="R785" s="61" t="str">
        <f>IFERROR(__xludf.DUMMYFUNCTION("INDIRECT(""'收支紀錄'!R""&amp;TO_TEXT(ROW()-$C$72))"),"")</f>
        <v/>
      </c>
      <c r="S785" s="61" t="str">
        <f>IFERROR(__xludf.DUMMYFUNCTION("INDIRECT(""'收支紀錄'!S""&amp;TO_TEXT(ROW()-$C$72))"),"")</f>
        <v/>
      </c>
      <c r="T785" s="61" t="str">
        <f>IFERROR(__xludf.DUMMYFUNCTION("INDIRECT(""'收支紀錄'!T""&amp;TO_TEXT(ROW()-$C$72))"),"")</f>
        <v/>
      </c>
      <c r="U785" s="62" t="str">
        <f>IFERROR(__xludf.DUMMYFUNCTION("IF(T785=""是"",TEXTJOIN("""", TRUE, ""$"", TO_TEXT(C785), S785),"""")"),"")</f>
        <v/>
      </c>
    </row>
    <row r="786">
      <c r="A786" s="58">
        <f>IFERROR(__xludf.DUMMYFUNCTION("INDIRECT(""'收支紀錄'!A""&amp;TO_TEXT(ROW()-$C$72))"),45754.92008409722)</f>
        <v>45754.92008</v>
      </c>
      <c r="B786" s="59">
        <f>IFERROR(__xludf.DUMMYFUNCTION("IF(ISBLANK(D786), """", IF(ISDATE(D786), D786, IF(D786=""今天"", A786, IF(D786=""昨天 (-1 day)"", A786-1, IF(D786=""前天 (-2 days)"", A786-2, IF(D786=""明天 (+1 day)"", A786+1, DATE(LEFT(D786,4), MID(D786,5,2), RIGHT(D786,2))))))))"),45754.92008409722)</f>
        <v>45754.92008</v>
      </c>
      <c r="C786" s="60">
        <f>IFERROR(__xludf.DUMMYFUNCTION("INDIRECT(""'收支紀錄'!C""&amp;TO_TEXT(ROW()-$C$72))"),25.0)</f>
        <v>25</v>
      </c>
      <c r="D786" s="63" t="str">
        <f>IFERROR(__xludf.DUMMYFUNCTION("INDIRECT(""'收支紀錄'!D""&amp;TO_TEXT(ROW()-$C$72))"),"今天")</f>
        <v>今天</v>
      </c>
      <c r="E786" s="61" t="str">
        <f>IFERROR(__xludf.DUMMYFUNCTION("INDIRECT(""'收支紀錄'!E""&amp;TO_TEXT(ROW()-$C$72))"),"")</f>
        <v/>
      </c>
      <c r="F786" s="61" t="str">
        <f>IFERROR(__xludf.DUMMYFUNCTION("INDIRECT(""'收支紀錄'!F""&amp;TO_TEXT(ROW()-$C$72))"),"")</f>
        <v/>
      </c>
      <c r="G786" s="61" t="str">
        <f>IFERROR(__xludf.DUMMYFUNCTION("INDIRECT(""'收支紀錄'!G""&amp;TO_TEXT(ROW()-$C$72))"),"")</f>
        <v/>
      </c>
      <c r="H786" s="61" t="str">
        <f>IFERROR(__xludf.DUMMYFUNCTION("INDIRECT(""'收支紀錄'!H""&amp;TO_TEXT(ROW()-$C$72))"),"食品酒水")</f>
        <v>食品酒水</v>
      </c>
      <c r="I786" s="61" t="str">
        <f>IFERROR(__xludf.DUMMYFUNCTION("INDIRECT(""'收支紀錄'!I""&amp;TO_TEXT(ROW()-$C$72))"),"飲料酒水")</f>
        <v>飲料酒水</v>
      </c>
      <c r="J786" s="61" t="str">
        <f>IFERROR(__xludf.DUMMYFUNCTION("INDIRECT(""'收支紀錄'!J""&amp;TO_TEXT(ROW()-$C$72))"),"")</f>
        <v/>
      </c>
      <c r="K786" s="61" t="str">
        <f>IFERROR(__xludf.DUMMYFUNCTION("INDIRECT(""'收支紀錄'!K""&amp;TO_TEXT(ROW()-$C$72))"),"")</f>
        <v/>
      </c>
      <c r="L786" s="61" t="str">
        <f>IFERROR(__xludf.DUMMYFUNCTION("INDIRECT(""'收支紀錄'!L""&amp;TO_TEXT(ROW()-$C$72))"),"")</f>
        <v/>
      </c>
      <c r="M786" s="61" t="str">
        <f>IFERROR(__xludf.DUMMYFUNCTION("INDIRECT(""'收支紀錄'!M""&amp;TO_TEXT(ROW()-$C$72))"),"")</f>
        <v/>
      </c>
      <c r="N786" s="61" t="str">
        <f>IFERROR(__xludf.DUMMYFUNCTION("INDIRECT(""'收支紀錄'!N""&amp;TO_TEXT(ROW()-$C$72))"),"")</f>
        <v/>
      </c>
      <c r="O786" s="61" t="str">
        <f>IFERROR(__xludf.DUMMYFUNCTION("INDIRECT(""'收支紀錄'!O""&amp;TO_TEXT(ROW()-$C$72))"),"")</f>
        <v/>
      </c>
      <c r="P786" s="61" t="str">
        <f>IFERROR(__xludf.DUMMYFUNCTION("INDIRECT(""'收支紀錄'!P""&amp;TO_TEXT(ROW()-$C$72))"),"")</f>
        <v/>
      </c>
      <c r="Q786" s="61" t="str">
        <f>IFERROR(__xludf.DUMMYFUNCTION("INDIRECT(""'收支紀錄'!Q""&amp;TO_TEXT(ROW()-$C$72))"),"")</f>
        <v/>
      </c>
      <c r="R786" s="61" t="str">
        <f>IFERROR(__xludf.DUMMYFUNCTION("INDIRECT(""'收支紀錄'!R""&amp;TO_TEXT(ROW()-$C$72))"),"")</f>
        <v/>
      </c>
      <c r="S786" s="61" t="str">
        <f>IFERROR(__xludf.DUMMYFUNCTION("INDIRECT(""'收支紀錄'!S""&amp;TO_TEXT(ROW()-$C$72))"),"")</f>
        <v/>
      </c>
      <c r="T786" s="61" t="str">
        <f>IFERROR(__xludf.DUMMYFUNCTION("INDIRECT(""'收支紀錄'!T""&amp;TO_TEXT(ROW()-$C$72))"),"")</f>
        <v/>
      </c>
      <c r="U786" s="62" t="str">
        <f>IFERROR(__xludf.DUMMYFUNCTION("IF(T786=""是"",TEXTJOIN("""", TRUE, ""$"", TO_TEXT(C786), S786),"""")"),"")</f>
        <v/>
      </c>
    </row>
    <row r="787">
      <c r="A787" s="58">
        <f>IFERROR(__xludf.DUMMYFUNCTION("INDIRECT(""'收支紀錄'!A""&amp;TO_TEXT(ROW()-$C$72))"),45755.89659559028)</f>
        <v>45755.8966</v>
      </c>
      <c r="B787" s="59">
        <f>IFERROR(__xludf.DUMMYFUNCTION("IF(ISBLANK(D787), """", IF(ISDATE(D787), D787, IF(D787=""今天"", A787, IF(D787=""昨天 (-1 day)"", A787-1, IF(D787=""前天 (-2 days)"", A787-2, IF(D787=""明天 (+1 day)"", A787+1, DATE(LEFT(D787,4), MID(D787,5,2), RIGHT(D787,2))))))))"),45755.89659559028)</f>
        <v>45755.8966</v>
      </c>
      <c r="C787" s="60">
        <f>IFERROR(__xludf.DUMMYFUNCTION("INDIRECT(""'收支紀錄'!C""&amp;TO_TEXT(ROW()-$C$72))"),7120.0)</f>
        <v>7120</v>
      </c>
      <c r="D787" s="63" t="str">
        <f>IFERROR(__xludf.DUMMYFUNCTION("INDIRECT(""'收支紀錄'!D""&amp;TO_TEXT(ROW()-$C$72))"),"今天")</f>
        <v>今天</v>
      </c>
      <c r="E787" s="61" t="str">
        <f>IFERROR(__xludf.DUMMYFUNCTION("INDIRECT(""'收支紀錄'!E""&amp;TO_TEXT(ROW()-$C$72))"),"")</f>
        <v/>
      </c>
      <c r="F787" s="61" t="str">
        <f>IFERROR(__xludf.DUMMYFUNCTION("INDIRECT(""'收支紀錄'!F""&amp;TO_TEXT(ROW()-$C$72))"),"")</f>
        <v/>
      </c>
      <c r="G787" s="61" t="str">
        <f>IFERROR(__xludf.DUMMYFUNCTION("INDIRECT(""'收支紀錄'!G""&amp;TO_TEXT(ROW()-$C$72))"),"")</f>
        <v/>
      </c>
      <c r="H787" s="61" t="str">
        <f>IFERROR(__xludf.DUMMYFUNCTION("INDIRECT(""'收支紀錄'!H""&amp;TO_TEXT(ROW()-$C$72))"),"行車交通")</f>
        <v>行車交通</v>
      </c>
      <c r="I787" s="61" t="str">
        <f>IFERROR(__xludf.DUMMYFUNCTION("INDIRECT(""'收支紀錄'!I""&amp;TO_TEXT(ROW()-$C$72))"),"")</f>
        <v/>
      </c>
      <c r="J787" s="61" t="str">
        <f>IFERROR(__xludf.DUMMYFUNCTION("INDIRECT(""'收支紀錄'!J""&amp;TO_TEXT(ROW()-$C$72))"),"")</f>
        <v/>
      </c>
      <c r="K787" s="61" t="str">
        <f>IFERROR(__xludf.DUMMYFUNCTION("INDIRECT(""'收支紀錄'!K""&amp;TO_TEXT(ROW()-$C$72))"),"")</f>
        <v/>
      </c>
      <c r="L787" s="61" t="str">
        <f>IFERROR(__xludf.DUMMYFUNCTION("INDIRECT(""'收支紀錄'!L""&amp;TO_TEXT(ROW()-$C$72))"),"車-保險稅金")</f>
        <v>車-保險稅金</v>
      </c>
      <c r="M787" s="61" t="str">
        <f>IFERROR(__xludf.DUMMYFUNCTION("INDIRECT(""'收支紀錄'!M""&amp;TO_TEXT(ROW()-$C$72))"),"")</f>
        <v/>
      </c>
      <c r="N787" s="61" t="str">
        <f>IFERROR(__xludf.DUMMYFUNCTION("INDIRECT(""'收支紀錄'!N""&amp;TO_TEXT(ROW()-$C$72))"),"")</f>
        <v/>
      </c>
      <c r="O787" s="61" t="str">
        <f>IFERROR(__xludf.DUMMYFUNCTION("INDIRECT(""'收支紀錄'!O""&amp;TO_TEXT(ROW()-$C$72))"),"")</f>
        <v/>
      </c>
      <c r="P787" s="61" t="str">
        <f>IFERROR(__xludf.DUMMYFUNCTION("INDIRECT(""'收支紀錄'!P""&amp;TO_TEXT(ROW()-$C$72))"),"")</f>
        <v/>
      </c>
      <c r="Q787" s="61" t="str">
        <f>IFERROR(__xludf.DUMMYFUNCTION("INDIRECT(""'收支紀錄'!Q""&amp;TO_TEXT(ROW()-$C$72))"),"")</f>
        <v/>
      </c>
      <c r="R787" s="61" t="str">
        <f>IFERROR(__xludf.DUMMYFUNCTION("INDIRECT(""'收支紀錄'!R""&amp;TO_TEXT(ROW()-$C$72))"),"")</f>
        <v/>
      </c>
      <c r="S787" s="61" t="str">
        <f>IFERROR(__xludf.DUMMYFUNCTION("INDIRECT(""'收支紀錄'!S""&amp;TO_TEXT(ROW()-$C$72))"),"牌照稅")</f>
        <v>牌照稅</v>
      </c>
      <c r="T787" s="61" t="str">
        <f>IFERROR(__xludf.DUMMYFUNCTION("INDIRECT(""'收支紀錄'!T""&amp;TO_TEXT(ROW()-$C$72))"),"是")</f>
        <v>是</v>
      </c>
      <c r="U787" s="62" t="str">
        <f>IFERROR(__xludf.DUMMYFUNCTION("IF(T787=""是"",TEXTJOIN("""", TRUE, ""$"", TO_TEXT(C787), S787),"""")"),"$7120牌照稅")</f>
        <v>$7120牌照稅</v>
      </c>
    </row>
    <row r="788">
      <c r="A788" s="58">
        <f>IFERROR(__xludf.DUMMYFUNCTION("INDIRECT(""'收支紀錄'!A""&amp;TO_TEXT(ROW()-$C$72))"),45756.018596759255)</f>
        <v>45756.0186</v>
      </c>
      <c r="B788" s="59">
        <f>IFERROR(__xludf.DUMMYFUNCTION("IF(ISBLANK(D788), """", IF(ISDATE(D788), D788, IF(D788=""今天"", A788, IF(D788=""昨天 (-1 day)"", A788-1, IF(D788=""前天 (-2 days)"", A788-2, IF(D788=""明天 (+1 day)"", A788+1, DATE(LEFT(D788,4), MID(D788,5,2), RIGHT(D788,2))))))))"),45755.018596759255)</f>
        <v>45755.0186</v>
      </c>
      <c r="C788" s="60">
        <f>IFERROR(__xludf.DUMMYFUNCTION("INDIRECT(""'收支紀錄'!C""&amp;TO_TEXT(ROW()-$C$72))"),25.0)</f>
        <v>25</v>
      </c>
      <c r="D788" s="63" t="str">
        <f>IFERROR(__xludf.DUMMYFUNCTION("INDIRECT(""'收支紀錄'!D""&amp;TO_TEXT(ROW()-$C$72))"),"昨天 (-1 day)")</f>
        <v>昨天 (-1 day)</v>
      </c>
      <c r="E788" s="61" t="str">
        <f>IFERROR(__xludf.DUMMYFUNCTION("INDIRECT(""'收支紀錄'!E""&amp;TO_TEXT(ROW()-$C$72))"),"")</f>
        <v/>
      </c>
      <c r="F788" s="61" t="str">
        <f>IFERROR(__xludf.DUMMYFUNCTION("INDIRECT(""'收支紀錄'!F""&amp;TO_TEXT(ROW()-$C$72))"),"")</f>
        <v/>
      </c>
      <c r="G788" s="61" t="str">
        <f>IFERROR(__xludf.DUMMYFUNCTION("INDIRECT(""'收支紀錄'!G""&amp;TO_TEXT(ROW()-$C$72))"),"")</f>
        <v/>
      </c>
      <c r="H788" s="61" t="str">
        <f>IFERROR(__xludf.DUMMYFUNCTION("INDIRECT(""'收支紀錄'!H""&amp;TO_TEXT(ROW()-$C$72))"),"食品酒水")</f>
        <v>食品酒水</v>
      </c>
      <c r="I788" s="61" t="str">
        <f>IFERROR(__xludf.DUMMYFUNCTION("INDIRECT(""'收支紀錄'!I""&amp;TO_TEXT(ROW()-$C$72))"),"飲料酒水")</f>
        <v>飲料酒水</v>
      </c>
      <c r="J788" s="61" t="str">
        <f>IFERROR(__xludf.DUMMYFUNCTION("INDIRECT(""'收支紀錄'!J""&amp;TO_TEXT(ROW()-$C$72))"),"")</f>
        <v/>
      </c>
      <c r="K788" s="61" t="str">
        <f>IFERROR(__xludf.DUMMYFUNCTION("INDIRECT(""'收支紀錄'!K""&amp;TO_TEXT(ROW()-$C$72))"),"")</f>
        <v/>
      </c>
      <c r="L788" s="61" t="str">
        <f>IFERROR(__xludf.DUMMYFUNCTION("INDIRECT(""'收支紀錄'!L""&amp;TO_TEXT(ROW()-$C$72))"),"")</f>
        <v/>
      </c>
      <c r="M788" s="61" t="str">
        <f>IFERROR(__xludf.DUMMYFUNCTION("INDIRECT(""'收支紀錄'!M""&amp;TO_TEXT(ROW()-$C$72))"),"")</f>
        <v/>
      </c>
      <c r="N788" s="61" t="str">
        <f>IFERROR(__xludf.DUMMYFUNCTION("INDIRECT(""'收支紀錄'!N""&amp;TO_TEXT(ROW()-$C$72))"),"")</f>
        <v/>
      </c>
      <c r="O788" s="61" t="str">
        <f>IFERROR(__xludf.DUMMYFUNCTION("INDIRECT(""'收支紀錄'!O""&amp;TO_TEXT(ROW()-$C$72))"),"")</f>
        <v/>
      </c>
      <c r="P788" s="61" t="str">
        <f>IFERROR(__xludf.DUMMYFUNCTION("INDIRECT(""'收支紀錄'!P""&amp;TO_TEXT(ROW()-$C$72))"),"")</f>
        <v/>
      </c>
      <c r="Q788" s="61" t="str">
        <f>IFERROR(__xludf.DUMMYFUNCTION("INDIRECT(""'收支紀錄'!Q""&amp;TO_TEXT(ROW()-$C$72))"),"")</f>
        <v/>
      </c>
      <c r="R788" s="61" t="str">
        <f>IFERROR(__xludf.DUMMYFUNCTION("INDIRECT(""'收支紀錄'!R""&amp;TO_TEXT(ROW()-$C$72))"),"")</f>
        <v/>
      </c>
      <c r="S788" s="61" t="str">
        <f>IFERROR(__xludf.DUMMYFUNCTION("INDIRECT(""'收支紀錄'!S""&amp;TO_TEXT(ROW()-$C$72))"),"")</f>
        <v/>
      </c>
      <c r="T788" s="61" t="str">
        <f>IFERROR(__xludf.DUMMYFUNCTION("INDIRECT(""'收支紀錄'!T""&amp;TO_TEXT(ROW()-$C$72))"),"")</f>
        <v/>
      </c>
      <c r="U788" s="62" t="str">
        <f>IFERROR(__xludf.DUMMYFUNCTION("IF(T788=""是"",TEXTJOIN("""", TRUE, ""$"", TO_TEXT(C788), S788),"""")"),"")</f>
        <v/>
      </c>
    </row>
    <row r="789">
      <c r="A789" s="58">
        <f>IFERROR(__xludf.DUMMYFUNCTION("INDIRECT(""'收支紀錄'!A""&amp;TO_TEXT(ROW()-$C$72))"),45757.93010525463)</f>
        <v>45757.93011</v>
      </c>
      <c r="B789" s="59">
        <f>IFERROR(__xludf.DUMMYFUNCTION("IF(ISBLANK(D789), """", IF(ISDATE(D789), D789, IF(D789=""今天"", A789, IF(D789=""昨天 (-1 day)"", A789-1, IF(D789=""前天 (-2 days)"", A789-2, IF(D789=""明天 (+1 day)"", A789+1, DATE(LEFT(D789,4), MID(D789,5,2), RIGHT(D789,2))))))))"),45757.93010525463)</f>
        <v>45757.93011</v>
      </c>
      <c r="C789" s="60">
        <f>IFERROR(__xludf.DUMMYFUNCTION("INDIRECT(""'收支紀錄'!C""&amp;TO_TEXT(ROW()-$C$72))"),23.0)</f>
        <v>23</v>
      </c>
      <c r="D789" s="63" t="str">
        <f>IFERROR(__xludf.DUMMYFUNCTION("INDIRECT(""'收支紀錄'!D""&amp;TO_TEXT(ROW()-$C$72))"),"今天")</f>
        <v>今天</v>
      </c>
      <c r="E789" s="61" t="str">
        <f>IFERROR(__xludf.DUMMYFUNCTION("INDIRECT(""'收支紀錄'!E""&amp;TO_TEXT(ROW()-$C$72))"),"")</f>
        <v/>
      </c>
      <c r="F789" s="61" t="str">
        <f>IFERROR(__xludf.DUMMYFUNCTION("INDIRECT(""'收支紀錄'!F""&amp;TO_TEXT(ROW()-$C$72))"),"")</f>
        <v/>
      </c>
      <c r="G789" s="61" t="str">
        <f>IFERROR(__xludf.DUMMYFUNCTION("INDIRECT(""'收支紀錄'!G""&amp;TO_TEXT(ROW()-$C$72))"),"")</f>
        <v/>
      </c>
      <c r="H789" s="61" t="str">
        <f>IFERROR(__xludf.DUMMYFUNCTION("INDIRECT(""'收支紀錄'!H""&amp;TO_TEXT(ROW()-$C$72))"),"食品酒水")</f>
        <v>食品酒水</v>
      </c>
      <c r="I789" s="61" t="str">
        <f>IFERROR(__xludf.DUMMYFUNCTION("INDIRECT(""'收支紀錄'!I""&amp;TO_TEXT(ROW()-$C$72))"),"宵夜")</f>
        <v>宵夜</v>
      </c>
      <c r="J789" s="61" t="str">
        <f>IFERROR(__xludf.DUMMYFUNCTION("INDIRECT(""'收支紀錄'!J""&amp;TO_TEXT(ROW()-$C$72))"),"")</f>
        <v/>
      </c>
      <c r="K789" s="61" t="str">
        <f>IFERROR(__xludf.DUMMYFUNCTION("INDIRECT(""'收支紀錄'!K""&amp;TO_TEXT(ROW()-$C$72))"),"")</f>
        <v/>
      </c>
      <c r="L789" s="61" t="str">
        <f>IFERROR(__xludf.DUMMYFUNCTION("INDIRECT(""'收支紀錄'!L""&amp;TO_TEXT(ROW()-$C$72))"),"")</f>
        <v/>
      </c>
      <c r="M789" s="61" t="str">
        <f>IFERROR(__xludf.DUMMYFUNCTION("INDIRECT(""'收支紀錄'!M""&amp;TO_TEXT(ROW()-$C$72))"),"")</f>
        <v/>
      </c>
      <c r="N789" s="61" t="str">
        <f>IFERROR(__xludf.DUMMYFUNCTION("INDIRECT(""'收支紀錄'!N""&amp;TO_TEXT(ROW()-$C$72))"),"")</f>
        <v/>
      </c>
      <c r="O789" s="61" t="str">
        <f>IFERROR(__xludf.DUMMYFUNCTION("INDIRECT(""'收支紀錄'!O""&amp;TO_TEXT(ROW()-$C$72))"),"")</f>
        <v/>
      </c>
      <c r="P789" s="61" t="str">
        <f>IFERROR(__xludf.DUMMYFUNCTION("INDIRECT(""'收支紀錄'!P""&amp;TO_TEXT(ROW()-$C$72))"),"")</f>
        <v/>
      </c>
      <c r="Q789" s="61" t="str">
        <f>IFERROR(__xludf.DUMMYFUNCTION("INDIRECT(""'收支紀錄'!Q""&amp;TO_TEXT(ROW()-$C$72))"),"")</f>
        <v/>
      </c>
      <c r="R789" s="61" t="str">
        <f>IFERROR(__xludf.DUMMYFUNCTION("INDIRECT(""'收支紀錄'!R""&amp;TO_TEXT(ROW()-$C$72))"),"")</f>
        <v/>
      </c>
      <c r="S789" s="61" t="str">
        <f>IFERROR(__xludf.DUMMYFUNCTION("INDIRECT(""'收支紀錄'!S""&amp;TO_TEXT(ROW()-$C$72))"),"")</f>
        <v/>
      </c>
      <c r="T789" s="61" t="str">
        <f>IFERROR(__xludf.DUMMYFUNCTION("INDIRECT(""'收支紀錄'!T""&amp;TO_TEXT(ROW()-$C$72))"),"")</f>
        <v/>
      </c>
      <c r="U789" s="62" t="str">
        <f>IFERROR(__xludf.DUMMYFUNCTION("IF(T789=""是"",TEXTJOIN("""", TRUE, ""$"", TO_TEXT(C789), S789),"""")"),"")</f>
        <v/>
      </c>
    </row>
    <row r="790">
      <c r="A790" s="58">
        <f>IFERROR(__xludf.DUMMYFUNCTION("INDIRECT(""'收支紀錄'!A""&amp;TO_TEXT(ROW()-$C$72))"),45758.988764375)</f>
        <v>45758.98876</v>
      </c>
      <c r="B790" s="59">
        <f>IFERROR(__xludf.DUMMYFUNCTION("IF(ISBLANK(D790), """", IF(ISDATE(D790), D790, IF(D790=""今天"", A790, IF(D790=""昨天 (-1 day)"", A790-1, IF(D790=""前天 (-2 days)"", A790-2, IF(D790=""明天 (+1 day)"", A790+1, DATE(LEFT(D790,4), MID(D790,5,2), RIGHT(D790,2))))))))"),45758.988764375)</f>
        <v>45758.98876</v>
      </c>
      <c r="C790" s="60">
        <f>IFERROR(__xludf.DUMMYFUNCTION("INDIRECT(""'收支紀錄'!C""&amp;TO_TEXT(ROW()-$C$72))"),90.0)</f>
        <v>90</v>
      </c>
      <c r="D790" s="63" t="str">
        <f>IFERROR(__xludf.DUMMYFUNCTION("INDIRECT(""'收支紀錄'!D""&amp;TO_TEXT(ROW()-$C$72))"),"今天")</f>
        <v>今天</v>
      </c>
      <c r="E790" s="61" t="str">
        <f>IFERROR(__xludf.DUMMYFUNCTION("INDIRECT(""'收支紀錄'!E""&amp;TO_TEXT(ROW()-$C$72))"),"")</f>
        <v/>
      </c>
      <c r="F790" s="61" t="str">
        <f>IFERROR(__xludf.DUMMYFUNCTION("INDIRECT(""'收支紀錄'!F""&amp;TO_TEXT(ROW()-$C$72))"),"")</f>
        <v/>
      </c>
      <c r="G790" s="61" t="str">
        <f>IFERROR(__xludf.DUMMYFUNCTION("INDIRECT(""'收支紀錄'!G""&amp;TO_TEXT(ROW()-$C$72))"),"")</f>
        <v/>
      </c>
      <c r="H790" s="61" t="str">
        <f>IFERROR(__xludf.DUMMYFUNCTION("INDIRECT(""'收支紀錄'!H""&amp;TO_TEXT(ROW()-$C$72))"),"休閒娛樂")</f>
        <v>休閒娛樂</v>
      </c>
      <c r="I790" s="61" t="str">
        <f>IFERROR(__xludf.DUMMYFUNCTION("INDIRECT(""'收支紀錄'!I""&amp;TO_TEXT(ROW()-$C$72))"),"")</f>
        <v/>
      </c>
      <c r="J790" s="61" t="str">
        <f>IFERROR(__xludf.DUMMYFUNCTION("INDIRECT(""'收支紀錄'!J""&amp;TO_TEXT(ROW()-$C$72))"),"")</f>
        <v/>
      </c>
      <c r="K790" s="61" t="str">
        <f>IFERROR(__xludf.DUMMYFUNCTION("INDIRECT(""'收支紀錄'!K""&amp;TO_TEXT(ROW()-$C$72))"),"")</f>
        <v/>
      </c>
      <c r="L790" s="61" t="str">
        <f>IFERROR(__xludf.DUMMYFUNCTION("INDIRECT(""'收支紀錄'!L""&amp;TO_TEXT(ROW()-$C$72))"),"")</f>
        <v/>
      </c>
      <c r="M790" s="61" t="str">
        <f>IFERROR(__xludf.DUMMYFUNCTION("INDIRECT(""'收支紀錄'!M""&amp;TO_TEXT(ROW()-$C$72))"),"運動健身")</f>
        <v>運動健身</v>
      </c>
      <c r="N790" s="61" t="str">
        <f>IFERROR(__xludf.DUMMYFUNCTION("INDIRECT(""'收支紀錄'!N""&amp;TO_TEXT(ROW()-$C$72))"),"")</f>
        <v/>
      </c>
      <c r="O790" s="61" t="str">
        <f>IFERROR(__xludf.DUMMYFUNCTION("INDIRECT(""'收支紀錄'!O""&amp;TO_TEXT(ROW()-$C$72))"),"")</f>
        <v/>
      </c>
      <c r="P790" s="61" t="str">
        <f>IFERROR(__xludf.DUMMYFUNCTION("INDIRECT(""'收支紀錄'!P""&amp;TO_TEXT(ROW()-$C$72))"),"")</f>
        <v/>
      </c>
      <c r="Q790" s="61" t="str">
        <f>IFERROR(__xludf.DUMMYFUNCTION("INDIRECT(""'收支紀錄'!Q""&amp;TO_TEXT(ROW()-$C$72))"),"")</f>
        <v/>
      </c>
      <c r="R790" s="61" t="str">
        <f>IFERROR(__xludf.DUMMYFUNCTION("INDIRECT(""'收支紀錄'!R""&amp;TO_TEXT(ROW()-$C$72))"),"")</f>
        <v/>
      </c>
      <c r="S790" s="61" t="str">
        <f>IFERROR(__xludf.DUMMYFUNCTION("INDIRECT(""'收支紀錄'!S""&amp;TO_TEXT(ROW()-$C$72))"),"")</f>
        <v/>
      </c>
      <c r="T790" s="61" t="str">
        <f>IFERROR(__xludf.DUMMYFUNCTION("INDIRECT(""'收支紀錄'!T""&amp;TO_TEXT(ROW()-$C$72))"),"")</f>
        <v/>
      </c>
      <c r="U790" s="62" t="str">
        <f>IFERROR(__xludf.DUMMYFUNCTION("IF(T790=""是"",TEXTJOIN("""", TRUE, ""$"", TO_TEXT(C790), S790),"""")"),"")</f>
        <v/>
      </c>
    </row>
    <row r="791">
      <c r="A791" s="58">
        <f>IFERROR(__xludf.DUMMYFUNCTION("INDIRECT(""'收支紀錄'!A""&amp;TO_TEXT(ROW()-$C$72))"),45758.9889300463)</f>
        <v>45758.98893</v>
      </c>
      <c r="B791" s="59">
        <f>IFERROR(__xludf.DUMMYFUNCTION("IF(ISBLANK(D791), """", IF(ISDATE(D791), D791, IF(D791=""今天"", A791, IF(D791=""昨天 (-1 day)"", A791-1, IF(D791=""前天 (-2 days)"", A791-2, IF(D791=""明天 (+1 day)"", A791+1, DATE(LEFT(D791,4), MID(D791,5,2), RIGHT(D791,2))))))))"),45758.9889300463)</f>
        <v>45758.98893</v>
      </c>
      <c r="C791" s="60">
        <f>IFERROR(__xludf.DUMMYFUNCTION("INDIRECT(""'收支紀錄'!C""&amp;TO_TEXT(ROW()-$C$72))"),36.0)</f>
        <v>36</v>
      </c>
      <c r="D791" s="63" t="str">
        <f>IFERROR(__xludf.DUMMYFUNCTION("INDIRECT(""'收支紀錄'!D""&amp;TO_TEXT(ROW()-$C$72))"),"今天")</f>
        <v>今天</v>
      </c>
      <c r="E791" s="61" t="str">
        <f>IFERROR(__xludf.DUMMYFUNCTION("INDIRECT(""'收支紀錄'!E""&amp;TO_TEXT(ROW()-$C$72))"),"")</f>
        <v/>
      </c>
      <c r="F791" s="61" t="str">
        <f>IFERROR(__xludf.DUMMYFUNCTION("INDIRECT(""'收支紀錄'!F""&amp;TO_TEXT(ROW()-$C$72))"),"")</f>
        <v/>
      </c>
      <c r="G791" s="61" t="str">
        <f>IFERROR(__xludf.DUMMYFUNCTION("INDIRECT(""'收支紀錄'!G""&amp;TO_TEXT(ROW()-$C$72))"),"")</f>
        <v/>
      </c>
      <c r="H791" s="61" t="str">
        <f>IFERROR(__xludf.DUMMYFUNCTION("INDIRECT(""'收支紀錄'!H""&amp;TO_TEXT(ROW()-$C$72))"),"人情往來")</f>
        <v>人情往來</v>
      </c>
      <c r="I791" s="61" t="str">
        <f>IFERROR(__xludf.DUMMYFUNCTION("INDIRECT(""'收支紀錄'!I""&amp;TO_TEXT(ROW()-$C$72))"),"")</f>
        <v/>
      </c>
      <c r="J791" s="61" t="str">
        <f>IFERROR(__xludf.DUMMYFUNCTION("INDIRECT(""'收支紀錄'!J""&amp;TO_TEXT(ROW()-$C$72))"),"")</f>
        <v/>
      </c>
      <c r="K791" s="61" t="str">
        <f>IFERROR(__xludf.DUMMYFUNCTION("INDIRECT(""'收支紀錄'!K""&amp;TO_TEXT(ROW()-$C$72))"),"")</f>
        <v/>
      </c>
      <c r="L791" s="61" t="str">
        <f>IFERROR(__xludf.DUMMYFUNCTION("INDIRECT(""'收支紀錄'!L""&amp;TO_TEXT(ROW()-$C$72))"),"")</f>
        <v/>
      </c>
      <c r="M791" s="61" t="str">
        <f>IFERROR(__xludf.DUMMYFUNCTION("INDIRECT(""'收支紀錄'!M""&amp;TO_TEXT(ROW()-$C$72))"),"")</f>
        <v/>
      </c>
      <c r="N791" s="61" t="str">
        <f>IFERROR(__xludf.DUMMYFUNCTION("INDIRECT(""'收支紀錄'!N""&amp;TO_TEXT(ROW()-$C$72))"),"")</f>
        <v/>
      </c>
      <c r="O791" s="61" t="str">
        <f>IFERROR(__xludf.DUMMYFUNCTION("INDIRECT(""'收支紀錄'!O""&amp;TO_TEXT(ROW()-$C$72))"),"")</f>
        <v/>
      </c>
      <c r="P791" s="61" t="str">
        <f>IFERROR(__xludf.DUMMYFUNCTION("INDIRECT(""'收支紀錄'!P""&amp;TO_TEXT(ROW()-$C$72))"),"")</f>
        <v/>
      </c>
      <c r="Q791" s="61" t="str">
        <f>IFERROR(__xludf.DUMMYFUNCTION("INDIRECT(""'收支紀錄'!Q""&amp;TO_TEXT(ROW()-$C$72))"),"送禮請客")</f>
        <v>送禮請客</v>
      </c>
      <c r="R791" s="61" t="str">
        <f>IFERROR(__xludf.DUMMYFUNCTION("INDIRECT(""'收支紀錄'!R""&amp;TO_TEXT(ROW()-$C$72))"),"")</f>
        <v/>
      </c>
      <c r="S791" s="61" t="str">
        <f>IFERROR(__xludf.DUMMYFUNCTION("INDIRECT(""'收支紀錄'!S""&amp;TO_TEXT(ROW()-$C$72))"),"")</f>
        <v/>
      </c>
      <c r="T791" s="61" t="str">
        <f>IFERROR(__xludf.DUMMYFUNCTION("INDIRECT(""'收支紀錄'!T""&amp;TO_TEXT(ROW()-$C$72))"),"")</f>
        <v/>
      </c>
      <c r="U791" s="62" t="str">
        <f>IFERROR(__xludf.DUMMYFUNCTION("IF(T791=""是"",TEXTJOIN("""", TRUE, ""$"", TO_TEXT(C791), S791),"""")"),"")</f>
        <v/>
      </c>
    </row>
    <row r="792">
      <c r="A792" s="58">
        <f>IFERROR(__xludf.DUMMYFUNCTION("INDIRECT(""'收支紀錄'!A""&amp;TO_TEXT(ROW()-$C$72))"),45759.38544601852)</f>
        <v>45759.38545</v>
      </c>
      <c r="B792" s="59">
        <f>IFERROR(__xludf.DUMMYFUNCTION("IF(ISBLANK(D792), """", IF(ISDATE(D792), D792, IF(D792=""今天"", A792, IF(D792=""昨天 (-1 day)"", A792-1, IF(D792=""前天 (-2 days)"", A792-2, IF(D792=""明天 (+1 day)"", A792+1, DATE(LEFT(D792,4), MID(D792,5,2), RIGHT(D792,2))))))))"),45759.38544601852)</f>
        <v>45759.38545</v>
      </c>
      <c r="C792" s="60">
        <f>IFERROR(__xludf.DUMMYFUNCTION("INDIRECT(""'收支紀錄'!C""&amp;TO_TEXT(ROW()-$C$72))"),250.0)</f>
        <v>250</v>
      </c>
      <c r="D792" s="63" t="str">
        <f>IFERROR(__xludf.DUMMYFUNCTION("INDIRECT(""'收支紀錄'!D""&amp;TO_TEXT(ROW()-$C$72))"),"今天")</f>
        <v>今天</v>
      </c>
      <c r="E792" s="61" t="str">
        <f>IFERROR(__xludf.DUMMYFUNCTION("INDIRECT(""'收支紀錄'!E""&amp;TO_TEXT(ROW()-$C$72))"),"")</f>
        <v/>
      </c>
      <c r="F792" s="61" t="str">
        <f>IFERROR(__xludf.DUMMYFUNCTION("INDIRECT(""'收支紀錄'!F""&amp;TO_TEXT(ROW()-$C$72))"),"")</f>
        <v/>
      </c>
      <c r="G792" s="61" t="str">
        <f>IFERROR(__xludf.DUMMYFUNCTION("INDIRECT(""'收支紀錄'!G""&amp;TO_TEXT(ROW()-$C$72))"),"")</f>
        <v/>
      </c>
      <c r="H792" s="61" t="str">
        <f>IFERROR(__xludf.DUMMYFUNCTION("INDIRECT(""'收支紀錄'!H""&amp;TO_TEXT(ROW()-$C$72))"),"醫療費用")</f>
        <v>醫療費用</v>
      </c>
      <c r="I792" s="61" t="str">
        <f>IFERROR(__xludf.DUMMYFUNCTION("INDIRECT(""'收支紀錄'!I""&amp;TO_TEXT(ROW()-$C$72))"),"")</f>
        <v/>
      </c>
      <c r="J792" s="61" t="str">
        <f>IFERROR(__xludf.DUMMYFUNCTION("INDIRECT(""'收支紀錄'!J""&amp;TO_TEXT(ROW()-$C$72))"),"")</f>
        <v/>
      </c>
      <c r="K792" s="61" t="str">
        <f>IFERROR(__xludf.DUMMYFUNCTION("INDIRECT(""'收支紀錄'!K""&amp;TO_TEXT(ROW()-$C$72))"),"")</f>
        <v/>
      </c>
      <c r="L792" s="61" t="str">
        <f>IFERROR(__xludf.DUMMYFUNCTION("INDIRECT(""'收支紀錄'!L""&amp;TO_TEXT(ROW()-$C$72))"),"")</f>
        <v/>
      </c>
      <c r="M792" s="61" t="str">
        <f>IFERROR(__xludf.DUMMYFUNCTION("INDIRECT(""'收支紀錄'!M""&amp;TO_TEXT(ROW()-$C$72))"),"")</f>
        <v/>
      </c>
      <c r="N792" s="61" t="str">
        <f>IFERROR(__xludf.DUMMYFUNCTION("INDIRECT(""'收支紀錄'!N""&amp;TO_TEXT(ROW()-$C$72))"),"")</f>
        <v/>
      </c>
      <c r="O792" s="61" t="str">
        <f>IFERROR(__xludf.DUMMYFUNCTION("INDIRECT(""'收支紀錄'!O""&amp;TO_TEXT(ROW()-$C$72))"),"生病醫療")</f>
        <v>生病醫療</v>
      </c>
      <c r="P792" s="61" t="str">
        <f>IFERROR(__xludf.DUMMYFUNCTION("INDIRECT(""'收支紀錄'!P""&amp;TO_TEXT(ROW()-$C$72))"),"")</f>
        <v/>
      </c>
      <c r="Q792" s="61" t="str">
        <f>IFERROR(__xludf.DUMMYFUNCTION("INDIRECT(""'收支紀錄'!Q""&amp;TO_TEXT(ROW()-$C$72))"),"")</f>
        <v/>
      </c>
      <c r="R792" s="61" t="str">
        <f>IFERROR(__xludf.DUMMYFUNCTION("INDIRECT(""'收支紀錄'!R""&amp;TO_TEXT(ROW()-$C$72))"),"")</f>
        <v/>
      </c>
      <c r="S792" s="61" t="str">
        <f>IFERROR(__xludf.DUMMYFUNCTION("INDIRECT(""'收支紀錄'!S""&amp;TO_TEXT(ROW()-$C$72))"),"")</f>
        <v/>
      </c>
      <c r="T792" s="61" t="str">
        <f>IFERROR(__xludf.DUMMYFUNCTION("INDIRECT(""'收支紀錄'!T""&amp;TO_TEXT(ROW()-$C$72))"),"")</f>
        <v/>
      </c>
      <c r="U792" s="62" t="str">
        <f>IFERROR(__xludf.DUMMYFUNCTION("IF(T792=""是"",TEXTJOIN("""", TRUE, ""$"", TO_TEXT(C792), S792),"""")"),"")</f>
        <v/>
      </c>
    </row>
    <row r="793">
      <c r="A793" s="58">
        <f>IFERROR(__xludf.DUMMYFUNCTION("INDIRECT(""'收支紀錄'!A""&amp;TO_TEXT(ROW()-$C$72))"),45761.46866208334)</f>
        <v>45761.46866</v>
      </c>
      <c r="B793" s="59">
        <f>IFERROR(__xludf.DUMMYFUNCTION("IF(ISBLANK(D793), """", IF(ISDATE(D793), D793, IF(D793=""今天"", A793, IF(D793=""昨天 (-1 day)"", A793-1, IF(D793=""前天 (-2 days)"", A793-2, IF(D793=""明天 (+1 day)"", A793+1, DATE(LEFT(D793,4), MID(D793,5,2), RIGHT(D793,2))))))))"),45761.46866208334)</f>
        <v>45761.46866</v>
      </c>
      <c r="C793" s="60">
        <f>IFERROR(__xludf.DUMMYFUNCTION("INDIRECT(""'收支紀錄'!C""&amp;TO_TEXT(ROW()-$C$72))"),479.0)</f>
        <v>479</v>
      </c>
      <c r="D793" s="63" t="str">
        <f>IFERROR(__xludf.DUMMYFUNCTION("INDIRECT(""'收支紀錄'!D""&amp;TO_TEXT(ROW()-$C$72))"),"今天")</f>
        <v>今天</v>
      </c>
      <c r="E793" s="61" t="str">
        <f>IFERROR(__xludf.DUMMYFUNCTION("INDIRECT(""'收支紀錄'!E""&amp;TO_TEXT(ROW()-$C$72))"),"")</f>
        <v/>
      </c>
      <c r="F793" s="61" t="str">
        <f>IFERROR(__xludf.DUMMYFUNCTION("INDIRECT(""'收支紀錄'!F""&amp;TO_TEXT(ROW()-$C$72))"),"")</f>
        <v/>
      </c>
      <c r="G793" s="61" t="str">
        <f>IFERROR(__xludf.DUMMYFUNCTION("INDIRECT(""'收支紀錄'!G""&amp;TO_TEXT(ROW()-$C$72))"),"")</f>
        <v/>
      </c>
      <c r="H793" s="61" t="str">
        <f>IFERROR(__xludf.DUMMYFUNCTION("INDIRECT(""'收支紀錄'!H""&amp;TO_TEXT(ROW()-$C$72))"),"行車交通")</f>
        <v>行車交通</v>
      </c>
      <c r="I793" s="61" t="str">
        <f>IFERROR(__xludf.DUMMYFUNCTION("INDIRECT(""'收支紀錄'!I""&amp;TO_TEXT(ROW()-$C$72))"),"")</f>
        <v/>
      </c>
      <c r="J793" s="61" t="str">
        <f>IFERROR(__xludf.DUMMYFUNCTION("INDIRECT(""'收支紀錄'!J""&amp;TO_TEXT(ROW()-$C$72))"),"")</f>
        <v/>
      </c>
      <c r="K793" s="61" t="str">
        <f>IFERROR(__xludf.DUMMYFUNCTION("INDIRECT(""'收支紀錄'!K""&amp;TO_TEXT(ROW()-$C$72))"),"")</f>
        <v/>
      </c>
      <c r="L793" s="61" t="str">
        <f>IFERROR(__xludf.DUMMYFUNCTION("INDIRECT(""'收支紀錄'!L""&amp;TO_TEXT(ROW()-$C$72))"),"加油")</f>
        <v>加油</v>
      </c>
      <c r="M793" s="61" t="str">
        <f>IFERROR(__xludf.DUMMYFUNCTION("INDIRECT(""'收支紀錄'!M""&amp;TO_TEXT(ROW()-$C$72))"),"")</f>
        <v/>
      </c>
      <c r="N793" s="61" t="str">
        <f>IFERROR(__xludf.DUMMYFUNCTION("INDIRECT(""'收支紀錄'!N""&amp;TO_TEXT(ROW()-$C$72))"),"")</f>
        <v/>
      </c>
      <c r="O793" s="61" t="str">
        <f>IFERROR(__xludf.DUMMYFUNCTION("INDIRECT(""'收支紀錄'!O""&amp;TO_TEXT(ROW()-$C$72))"),"")</f>
        <v/>
      </c>
      <c r="P793" s="61" t="str">
        <f>IFERROR(__xludf.DUMMYFUNCTION("INDIRECT(""'收支紀錄'!P""&amp;TO_TEXT(ROW()-$C$72))"),"")</f>
        <v/>
      </c>
      <c r="Q793" s="61" t="str">
        <f>IFERROR(__xludf.DUMMYFUNCTION("INDIRECT(""'收支紀錄'!Q""&amp;TO_TEXT(ROW()-$C$72))"),"")</f>
        <v/>
      </c>
      <c r="R793" s="61" t="str">
        <f>IFERROR(__xludf.DUMMYFUNCTION("INDIRECT(""'收支紀錄'!R""&amp;TO_TEXT(ROW()-$C$72))"),"")</f>
        <v/>
      </c>
      <c r="S793" s="61" t="str">
        <f>IFERROR(__xludf.DUMMYFUNCTION("INDIRECT(""'收支紀錄'!S""&amp;TO_TEXT(ROW()-$C$72))"),"")</f>
        <v/>
      </c>
      <c r="T793" s="61" t="str">
        <f>IFERROR(__xludf.DUMMYFUNCTION("INDIRECT(""'收支紀錄'!T""&amp;TO_TEXT(ROW()-$C$72))"),"")</f>
        <v/>
      </c>
      <c r="U793" s="62" t="str">
        <f>IFERROR(__xludf.DUMMYFUNCTION("IF(T793=""是"",TEXTJOIN("""", TRUE, ""$"", TO_TEXT(C793), S793),"""")"),"")</f>
        <v/>
      </c>
    </row>
    <row r="794">
      <c r="A794" s="58">
        <f>IFERROR(__xludf.DUMMYFUNCTION("INDIRECT(""'收支紀錄'!A""&amp;TO_TEXT(ROW()-$C$72))"),45761.47090642361)</f>
        <v>45761.47091</v>
      </c>
      <c r="B794" s="59">
        <f>IFERROR(__xludf.DUMMYFUNCTION("IF(ISBLANK(D794), """", IF(ISDATE(D794), D794, IF(D794=""今天"", A794, IF(D794=""昨天 (-1 day)"", A794-1, IF(D794=""前天 (-2 days)"", A794-2, IF(D794=""明天 (+1 day)"", A794+1, DATE(LEFT(D794,4), MID(D794,5,2), RIGHT(D794,2))))))))"),45759.47090642361)</f>
        <v>45759.47091</v>
      </c>
      <c r="C794" s="60">
        <f>IFERROR(__xludf.DUMMYFUNCTION("INDIRECT(""'收支紀錄'!C""&amp;TO_TEXT(ROW()-$C$72))"),5694.0)</f>
        <v>5694</v>
      </c>
      <c r="D794" s="63" t="str">
        <f>IFERROR(__xludf.DUMMYFUNCTION("INDIRECT(""'收支紀錄'!D""&amp;TO_TEXT(ROW()-$C$72))"),"前天 (-2 days)")</f>
        <v>前天 (-2 days)</v>
      </c>
      <c r="E794" s="61" t="str">
        <f>IFERROR(__xludf.DUMMYFUNCTION("INDIRECT(""'收支紀錄'!E""&amp;TO_TEXT(ROW()-$C$72))"),"")</f>
        <v/>
      </c>
      <c r="F794" s="61" t="str">
        <f>IFERROR(__xludf.DUMMYFUNCTION("INDIRECT(""'收支紀錄'!F""&amp;TO_TEXT(ROW()-$C$72))"),"")</f>
        <v/>
      </c>
      <c r="G794" s="61" t="str">
        <f>IFERROR(__xludf.DUMMYFUNCTION("INDIRECT(""'收支紀錄'!G""&amp;TO_TEXT(ROW()-$C$72))"),"")</f>
        <v/>
      </c>
      <c r="H794" s="61" t="str">
        <f>IFERROR(__xludf.DUMMYFUNCTION("INDIRECT(""'收支紀錄'!H""&amp;TO_TEXT(ROW()-$C$72))"),"食品酒水")</f>
        <v>食品酒水</v>
      </c>
      <c r="I794" s="61" t="str">
        <f>IFERROR(__xludf.DUMMYFUNCTION("INDIRECT(""'收支紀錄'!I""&amp;TO_TEXT(ROW()-$C$72))"),"午餐")</f>
        <v>午餐</v>
      </c>
      <c r="J794" s="61" t="str">
        <f>IFERROR(__xludf.DUMMYFUNCTION("INDIRECT(""'收支紀錄'!J""&amp;TO_TEXT(ROW()-$C$72))"),"")</f>
        <v/>
      </c>
      <c r="K794" s="61" t="str">
        <f>IFERROR(__xludf.DUMMYFUNCTION("INDIRECT(""'收支紀錄'!K""&amp;TO_TEXT(ROW()-$C$72))"),"")</f>
        <v/>
      </c>
      <c r="L794" s="61" t="str">
        <f>IFERROR(__xludf.DUMMYFUNCTION("INDIRECT(""'收支紀錄'!L""&amp;TO_TEXT(ROW()-$C$72))"),"")</f>
        <v/>
      </c>
      <c r="M794" s="61" t="str">
        <f>IFERROR(__xludf.DUMMYFUNCTION("INDIRECT(""'收支紀錄'!M""&amp;TO_TEXT(ROW()-$C$72))"),"")</f>
        <v/>
      </c>
      <c r="N794" s="61" t="str">
        <f>IFERROR(__xludf.DUMMYFUNCTION("INDIRECT(""'收支紀錄'!N""&amp;TO_TEXT(ROW()-$C$72))"),"")</f>
        <v/>
      </c>
      <c r="O794" s="61" t="str">
        <f>IFERROR(__xludf.DUMMYFUNCTION("INDIRECT(""'收支紀錄'!O""&amp;TO_TEXT(ROW()-$C$72))"),"")</f>
        <v/>
      </c>
      <c r="P794" s="61" t="str">
        <f>IFERROR(__xludf.DUMMYFUNCTION("INDIRECT(""'收支紀錄'!P""&amp;TO_TEXT(ROW()-$C$72))"),"")</f>
        <v/>
      </c>
      <c r="Q794" s="61" t="str">
        <f>IFERROR(__xludf.DUMMYFUNCTION("INDIRECT(""'收支紀錄'!Q""&amp;TO_TEXT(ROW()-$C$72))"),"")</f>
        <v/>
      </c>
      <c r="R794" s="61" t="str">
        <f>IFERROR(__xludf.DUMMYFUNCTION("INDIRECT(""'收支紀錄'!R""&amp;TO_TEXT(ROW()-$C$72))"),"")</f>
        <v/>
      </c>
      <c r="S794" s="61" t="str">
        <f>IFERROR(__xludf.DUMMYFUNCTION("INDIRECT(""'收支紀錄'!S""&amp;TO_TEXT(ROW()-$C$72))"),"泓品牛排")</f>
        <v>泓品牛排</v>
      </c>
      <c r="T794" s="61" t="str">
        <f>IFERROR(__xludf.DUMMYFUNCTION("INDIRECT(""'收支紀錄'!T""&amp;TO_TEXT(ROW()-$C$72))"),"是")</f>
        <v>是</v>
      </c>
      <c r="U794" s="62" t="str">
        <f>IFERROR(__xludf.DUMMYFUNCTION("IF(T794=""是"",TEXTJOIN("""", TRUE, ""$"", TO_TEXT(C794), S794),"""")"),"$5694泓品牛排")</f>
        <v>$5694泓品牛排</v>
      </c>
    </row>
    <row r="795">
      <c r="A795" s="58">
        <f>IFERROR(__xludf.DUMMYFUNCTION("INDIRECT(""'收支紀錄'!A""&amp;TO_TEXT(ROW()-$C$72))"),45761.47110671297)</f>
        <v>45761.47111</v>
      </c>
      <c r="B795" s="59">
        <f>IFERROR(__xludf.DUMMYFUNCTION("IF(ISBLANK(D795), """", IF(ISDATE(D795), D795, IF(D795=""今天"", A795, IF(D795=""昨天 (-1 day)"", A795-1, IF(D795=""前天 (-2 days)"", A795-2, IF(D795=""明天 (+1 day)"", A795+1, DATE(LEFT(D795,4), MID(D795,5,2), RIGHT(D795,2))))))))"),45759.47110671297)</f>
        <v>45759.47111</v>
      </c>
      <c r="C795" s="60">
        <f>IFERROR(__xludf.DUMMYFUNCTION("INDIRECT(""'收支紀錄'!C""&amp;TO_TEXT(ROW()-$C$72))"),2744.0)</f>
        <v>2744</v>
      </c>
      <c r="D795" s="63" t="str">
        <f>IFERROR(__xludf.DUMMYFUNCTION("INDIRECT(""'收支紀錄'!D""&amp;TO_TEXT(ROW()-$C$72))"),"前天 (-2 days)")</f>
        <v>前天 (-2 days)</v>
      </c>
      <c r="E795" s="61" t="str">
        <f>IFERROR(__xludf.DUMMYFUNCTION("INDIRECT(""'收支紀錄'!E""&amp;TO_TEXT(ROW()-$C$72))"),"")</f>
        <v/>
      </c>
      <c r="F795" s="61" t="str">
        <f>IFERROR(__xludf.DUMMYFUNCTION("INDIRECT(""'收支紀錄'!F""&amp;TO_TEXT(ROW()-$C$72))"),"")</f>
        <v/>
      </c>
      <c r="G795" s="61" t="str">
        <f>IFERROR(__xludf.DUMMYFUNCTION("INDIRECT(""'收支紀錄'!G""&amp;TO_TEXT(ROW()-$C$72))"),"")</f>
        <v/>
      </c>
      <c r="H795" s="61" t="str">
        <f>IFERROR(__xludf.DUMMYFUNCTION("INDIRECT(""'收支紀錄'!H""&amp;TO_TEXT(ROW()-$C$72))"),"食品酒水")</f>
        <v>食品酒水</v>
      </c>
      <c r="I795" s="61" t="str">
        <f>IFERROR(__xludf.DUMMYFUNCTION("INDIRECT(""'收支紀錄'!I""&amp;TO_TEXT(ROW()-$C$72))"),"晚餐")</f>
        <v>晚餐</v>
      </c>
      <c r="J795" s="61" t="str">
        <f>IFERROR(__xludf.DUMMYFUNCTION("INDIRECT(""'收支紀錄'!J""&amp;TO_TEXT(ROW()-$C$72))"),"")</f>
        <v/>
      </c>
      <c r="K795" s="61" t="str">
        <f>IFERROR(__xludf.DUMMYFUNCTION("INDIRECT(""'收支紀錄'!K""&amp;TO_TEXT(ROW()-$C$72))"),"")</f>
        <v/>
      </c>
      <c r="L795" s="61" t="str">
        <f>IFERROR(__xludf.DUMMYFUNCTION("INDIRECT(""'收支紀錄'!L""&amp;TO_TEXT(ROW()-$C$72))"),"")</f>
        <v/>
      </c>
      <c r="M795" s="61" t="str">
        <f>IFERROR(__xludf.DUMMYFUNCTION("INDIRECT(""'收支紀錄'!M""&amp;TO_TEXT(ROW()-$C$72))"),"")</f>
        <v/>
      </c>
      <c r="N795" s="61" t="str">
        <f>IFERROR(__xludf.DUMMYFUNCTION("INDIRECT(""'收支紀錄'!N""&amp;TO_TEXT(ROW()-$C$72))"),"")</f>
        <v/>
      </c>
      <c r="O795" s="61" t="str">
        <f>IFERROR(__xludf.DUMMYFUNCTION("INDIRECT(""'收支紀錄'!O""&amp;TO_TEXT(ROW()-$C$72))"),"")</f>
        <v/>
      </c>
      <c r="P795" s="61" t="str">
        <f>IFERROR(__xludf.DUMMYFUNCTION("INDIRECT(""'收支紀錄'!P""&amp;TO_TEXT(ROW()-$C$72))"),"")</f>
        <v/>
      </c>
      <c r="Q795" s="61" t="str">
        <f>IFERROR(__xludf.DUMMYFUNCTION("INDIRECT(""'收支紀錄'!Q""&amp;TO_TEXT(ROW()-$C$72))"),"")</f>
        <v/>
      </c>
      <c r="R795" s="61" t="str">
        <f>IFERROR(__xludf.DUMMYFUNCTION("INDIRECT(""'收支紀錄'!R""&amp;TO_TEXT(ROW()-$C$72))"),"")</f>
        <v/>
      </c>
      <c r="S795" s="61" t="str">
        <f>IFERROR(__xludf.DUMMYFUNCTION("INDIRECT(""'收支紀錄'!S""&amp;TO_TEXT(ROW()-$C$72))"),"海底撈")</f>
        <v>海底撈</v>
      </c>
      <c r="T795" s="61" t="str">
        <f>IFERROR(__xludf.DUMMYFUNCTION("INDIRECT(""'收支紀錄'!T""&amp;TO_TEXT(ROW()-$C$72))"),"是")</f>
        <v>是</v>
      </c>
      <c r="U795" s="62" t="str">
        <f>IFERROR(__xludf.DUMMYFUNCTION("IF(T795=""是"",TEXTJOIN("""", TRUE, ""$"", TO_TEXT(C795), S795),"""")"),"$2744海底撈")</f>
        <v>$2744海底撈</v>
      </c>
    </row>
    <row r="796">
      <c r="A796" s="58">
        <f>IFERROR(__xludf.DUMMYFUNCTION("INDIRECT(""'收支紀錄'!A""&amp;TO_TEXT(ROW()-$C$72))"),45761.86892097222)</f>
        <v>45761.86892</v>
      </c>
      <c r="B796" s="59">
        <f>IFERROR(__xludf.DUMMYFUNCTION("IF(ISBLANK(D796), """", IF(ISDATE(D796), D796, IF(D796=""今天"", A796, IF(D796=""昨天 (-1 day)"", A796-1, IF(D796=""前天 (-2 days)"", A796-2, IF(D796=""明天 (+1 day)"", A796+1, DATE(LEFT(D796,4), MID(D796,5,2), RIGHT(D796,2))))))))"),45761.86892097222)</f>
        <v>45761.86892</v>
      </c>
      <c r="C796" s="60">
        <f>IFERROR(__xludf.DUMMYFUNCTION("INDIRECT(""'收支紀錄'!C""&amp;TO_TEXT(ROW()-$C$72))"),75.0)</f>
        <v>75</v>
      </c>
      <c r="D796" s="63" t="str">
        <f>IFERROR(__xludf.DUMMYFUNCTION("INDIRECT(""'收支紀錄'!D""&amp;TO_TEXT(ROW()-$C$72))"),"今天")</f>
        <v>今天</v>
      </c>
      <c r="E796" s="61" t="str">
        <f>IFERROR(__xludf.DUMMYFUNCTION("INDIRECT(""'收支紀錄'!E""&amp;TO_TEXT(ROW()-$C$72))"),"")</f>
        <v/>
      </c>
      <c r="F796" s="61" t="str">
        <f>IFERROR(__xludf.DUMMYFUNCTION("INDIRECT(""'收支紀錄'!F""&amp;TO_TEXT(ROW()-$C$72))"),"")</f>
        <v/>
      </c>
      <c r="G796" s="61" t="str">
        <f>IFERROR(__xludf.DUMMYFUNCTION("INDIRECT(""'收支紀錄'!G""&amp;TO_TEXT(ROW()-$C$72))"),"")</f>
        <v/>
      </c>
      <c r="H796" s="61" t="str">
        <f>IFERROR(__xludf.DUMMYFUNCTION("INDIRECT(""'收支紀錄'!H""&amp;TO_TEXT(ROW()-$C$72))"),"行車交通")</f>
        <v>行車交通</v>
      </c>
      <c r="I796" s="61" t="str">
        <f>IFERROR(__xludf.DUMMYFUNCTION("INDIRECT(""'收支紀錄'!I""&amp;TO_TEXT(ROW()-$C$72))"),"")</f>
        <v/>
      </c>
      <c r="J796" s="61" t="str">
        <f>IFERROR(__xludf.DUMMYFUNCTION("INDIRECT(""'收支紀錄'!J""&amp;TO_TEXT(ROW()-$C$72))"),"")</f>
        <v/>
      </c>
      <c r="K796" s="61" t="str">
        <f>IFERROR(__xludf.DUMMYFUNCTION("INDIRECT(""'收支紀錄'!K""&amp;TO_TEXT(ROW()-$C$72))"),"")</f>
        <v/>
      </c>
      <c r="L796" s="61" t="str">
        <f>IFERROR(__xludf.DUMMYFUNCTION("INDIRECT(""'收支紀錄'!L""&amp;TO_TEXT(ROW()-$C$72))"),"停車")</f>
        <v>停車</v>
      </c>
      <c r="M796" s="61" t="str">
        <f>IFERROR(__xludf.DUMMYFUNCTION("INDIRECT(""'收支紀錄'!M""&amp;TO_TEXT(ROW()-$C$72))"),"")</f>
        <v/>
      </c>
      <c r="N796" s="61" t="str">
        <f>IFERROR(__xludf.DUMMYFUNCTION("INDIRECT(""'收支紀錄'!N""&amp;TO_TEXT(ROW()-$C$72))"),"")</f>
        <v/>
      </c>
      <c r="O796" s="61" t="str">
        <f>IFERROR(__xludf.DUMMYFUNCTION("INDIRECT(""'收支紀錄'!O""&amp;TO_TEXT(ROW()-$C$72))"),"")</f>
        <v/>
      </c>
      <c r="P796" s="61" t="str">
        <f>IFERROR(__xludf.DUMMYFUNCTION("INDIRECT(""'收支紀錄'!P""&amp;TO_TEXT(ROW()-$C$72))"),"")</f>
        <v/>
      </c>
      <c r="Q796" s="61" t="str">
        <f>IFERROR(__xludf.DUMMYFUNCTION("INDIRECT(""'收支紀錄'!Q""&amp;TO_TEXT(ROW()-$C$72))"),"")</f>
        <v/>
      </c>
      <c r="R796" s="61" t="str">
        <f>IFERROR(__xludf.DUMMYFUNCTION("INDIRECT(""'收支紀錄'!R""&amp;TO_TEXT(ROW()-$C$72))"),"")</f>
        <v/>
      </c>
      <c r="S796" s="61" t="str">
        <f>IFERROR(__xludf.DUMMYFUNCTION("INDIRECT(""'收支紀錄'!S""&amp;TO_TEXT(ROW()-$C$72))"),"")</f>
        <v/>
      </c>
      <c r="T796" s="61" t="str">
        <f>IFERROR(__xludf.DUMMYFUNCTION("INDIRECT(""'收支紀錄'!T""&amp;TO_TEXT(ROW()-$C$72))"),"")</f>
        <v/>
      </c>
      <c r="U796" s="62" t="str">
        <f>IFERROR(__xludf.DUMMYFUNCTION("IF(T796=""是"",TEXTJOIN("""", TRUE, ""$"", TO_TEXT(C796), S796),"""")"),"")</f>
        <v/>
      </c>
    </row>
    <row r="797">
      <c r="A797" s="58">
        <f>IFERROR(__xludf.DUMMYFUNCTION("INDIRECT(""'收支紀錄'!A""&amp;TO_TEXT(ROW()-$C$72))"),45761.86910726852)</f>
        <v>45761.86911</v>
      </c>
      <c r="B797" s="59">
        <f>IFERROR(__xludf.DUMMYFUNCTION("IF(ISBLANK(D797), """", IF(ISDATE(D797), D797, IF(D797=""今天"", A797, IF(D797=""昨天 (-1 day)"", A797-1, IF(D797=""前天 (-2 days)"", A797-2, IF(D797=""明天 (+1 day)"", A797+1, DATE(LEFT(D797,4), MID(D797,5,2), RIGHT(D797,2))))))))"),45761.86910726852)</f>
        <v>45761.86911</v>
      </c>
      <c r="C797" s="60">
        <f>IFERROR(__xludf.DUMMYFUNCTION("INDIRECT(""'收支紀錄'!C""&amp;TO_TEXT(ROW()-$C$72))"),85.0)</f>
        <v>85</v>
      </c>
      <c r="D797" s="63" t="str">
        <f>IFERROR(__xludf.DUMMYFUNCTION("INDIRECT(""'收支紀錄'!D""&amp;TO_TEXT(ROW()-$C$72))"),"今天")</f>
        <v>今天</v>
      </c>
      <c r="E797" s="61" t="str">
        <f>IFERROR(__xludf.DUMMYFUNCTION("INDIRECT(""'收支紀錄'!E""&amp;TO_TEXT(ROW()-$C$72))"),"")</f>
        <v/>
      </c>
      <c r="F797" s="61" t="str">
        <f>IFERROR(__xludf.DUMMYFUNCTION("INDIRECT(""'收支紀錄'!F""&amp;TO_TEXT(ROW()-$C$72))"),"")</f>
        <v/>
      </c>
      <c r="G797" s="61" t="str">
        <f>IFERROR(__xludf.DUMMYFUNCTION("INDIRECT(""'收支紀錄'!G""&amp;TO_TEXT(ROW()-$C$72))"),"")</f>
        <v/>
      </c>
      <c r="H797" s="61" t="str">
        <f>IFERROR(__xludf.DUMMYFUNCTION("INDIRECT(""'收支紀錄'!H""&amp;TO_TEXT(ROW()-$C$72))"),"食品酒水")</f>
        <v>食品酒水</v>
      </c>
      <c r="I797" s="61" t="str">
        <f>IFERROR(__xludf.DUMMYFUNCTION("INDIRECT(""'收支紀錄'!I""&amp;TO_TEXT(ROW()-$C$72))"),"下午茶")</f>
        <v>下午茶</v>
      </c>
      <c r="J797" s="61" t="str">
        <f>IFERROR(__xludf.DUMMYFUNCTION("INDIRECT(""'收支紀錄'!J""&amp;TO_TEXT(ROW()-$C$72))"),"")</f>
        <v/>
      </c>
      <c r="K797" s="61" t="str">
        <f>IFERROR(__xludf.DUMMYFUNCTION("INDIRECT(""'收支紀錄'!K""&amp;TO_TEXT(ROW()-$C$72))"),"")</f>
        <v/>
      </c>
      <c r="L797" s="61" t="str">
        <f>IFERROR(__xludf.DUMMYFUNCTION("INDIRECT(""'收支紀錄'!L""&amp;TO_TEXT(ROW()-$C$72))"),"")</f>
        <v/>
      </c>
      <c r="M797" s="61" t="str">
        <f>IFERROR(__xludf.DUMMYFUNCTION("INDIRECT(""'收支紀錄'!M""&amp;TO_TEXT(ROW()-$C$72))"),"")</f>
        <v/>
      </c>
      <c r="N797" s="61" t="str">
        <f>IFERROR(__xludf.DUMMYFUNCTION("INDIRECT(""'收支紀錄'!N""&amp;TO_TEXT(ROW()-$C$72))"),"")</f>
        <v/>
      </c>
      <c r="O797" s="61" t="str">
        <f>IFERROR(__xludf.DUMMYFUNCTION("INDIRECT(""'收支紀錄'!O""&amp;TO_TEXT(ROW()-$C$72))"),"")</f>
        <v/>
      </c>
      <c r="P797" s="61" t="str">
        <f>IFERROR(__xludf.DUMMYFUNCTION("INDIRECT(""'收支紀錄'!P""&amp;TO_TEXT(ROW()-$C$72))"),"")</f>
        <v/>
      </c>
      <c r="Q797" s="61" t="str">
        <f>IFERROR(__xludf.DUMMYFUNCTION("INDIRECT(""'收支紀錄'!Q""&amp;TO_TEXT(ROW()-$C$72))"),"")</f>
        <v/>
      </c>
      <c r="R797" s="61" t="str">
        <f>IFERROR(__xludf.DUMMYFUNCTION("INDIRECT(""'收支紀錄'!R""&amp;TO_TEXT(ROW()-$C$72))"),"")</f>
        <v/>
      </c>
      <c r="S797" s="61" t="str">
        <f>IFERROR(__xludf.DUMMYFUNCTION("INDIRECT(""'收支紀錄'!S""&amp;TO_TEXT(ROW()-$C$72))"),"")</f>
        <v/>
      </c>
      <c r="T797" s="61" t="str">
        <f>IFERROR(__xludf.DUMMYFUNCTION("INDIRECT(""'收支紀錄'!T""&amp;TO_TEXT(ROW()-$C$72))"),"")</f>
        <v/>
      </c>
      <c r="U797" s="62" t="str">
        <f>IFERROR(__xludf.DUMMYFUNCTION("IF(T797=""是"",TEXTJOIN("""", TRUE, ""$"", TO_TEXT(C797), S797),"""")"),"")</f>
        <v/>
      </c>
    </row>
    <row r="798">
      <c r="A798" s="58">
        <f>IFERROR(__xludf.DUMMYFUNCTION("INDIRECT(""'收支紀錄'!A""&amp;TO_TEXT(ROW()-$C$72))"),45761.86926083334)</f>
        <v>45761.86926</v>
      </c>
      <c r="B798" s="59">
        <f>IFERROR(__xludf.DUMMYFUNCTION("IF(ISBLANK(D798), """", IF(ISDATE(D798), D798, IF(D798=""今天"", A798, IF(D798=""昨天 (-1 day)"", A798-1, IF(D798=""前天 (-2 days)"", A798-2, IF(D798=""明天 (+1 day)"", A798+1, DATE(LEFT(D798,4), MID(D798,5,2), RIGHT(D798,2))))))))"),45761.86926083334)</f>
        <v>45761.86926</v>
      </c>
      <c r="C798" s="60">
        <f>IFERROR(__xludf.DUMMYFUNCTION("INDIRECT(""'收支紀錄'!C""&amp;TO_TEXT(ROW()-$C$72))"),60.0)</f>
        <v>60</v>
      </c>
      <c r="D798" s="63" t="str">
        <f>IFERROR(__xludf.DUMMYFUNCTION("INDIRECT(""'收支紀錄'!D""&amp;TO_TEXT(ROW()-$C$72))"),"今天")</f>
        <v>今天</v>
      </c>
      <c r="E798" s="61" t="str">
        <f>IFERROR(__xludf.DUMMYFUNCTION("INDIRECT(""'收支紀錄'!E""&amp;TO_TEXT(ROW()-$C$72))"),"")</f>
        <v/>
      </c>
      <c r="F798" s="61" t="str">
        <f>IFERROR(__xludf.DUMMYFUNCTION("INDIRECT(""'收支紀錄'!F""&amp;TO_TEXT(ROW()-$C$72))"),"")</f>
        <v/>
      </c>
      <c r="G798" s="61" t="str">
        <f>IFERROR(__xludf.DUMMYFUNCTION("INDIRECT(""'收支紀錄'!G""&amp;TO_TEXT(ROW()-$C$72))"),"")</f>
        <v/>
      </c>
      <c r="H798" s="61" t="str">
        <f>IFERROR(__xludf.DUMMYFUNCTION("INDIRECT(""'收支紀錄'!H""&amp;TO_TEXT(ROW()-$C$72))"),"行車交通")</f>
        <v>行車交通</v>
      </c>
      <c r="I798" s="61" t="str">
        <f>IFERROR(__xludf.DUMMYFUNCTION("INDIRECT(""'收支紀錄'!I""&amp;TO_TEXT(ROW()-$C$72))"),"")</f>
        <v/>
      </c>
      <c r="J798" s="61" t="str">
        <f>IFERROR(__xludf.DUMMYFUNCTION("INDIRECT(""'收支紀錄'!J""&amp;TO_TEXT(ROW()-$C$72))"),"")</f>
        <v/>
      </c>
      <c r="K798" s="61" t="str">
        <f>IFERROR(__xludf.DUMMYFUNCTION("INDIRECT(""'收支紀錄'!K""&amp;TO_TEXT(ROW()-$C$72))"),"")</f>
        <v/>
      </c>
      <c r="L798" s="61" t="str">
        <f>IFERROR(__xludf.DUMMYFUNCTION("INDIRECT(""'收支紀錄'!L""&amp;TO_TEXT(ROW()-$C$72))"),"停車")</f>
        <v>停車</v>
      </c>
      <c r="M798" s="61" t="str">
        <f>IFERROR(__xludf.DUMMYFUNCTION("INDIRECT(""'收支紀錄'!M""&amp;TO_TEXT(ROW()-$C$72))"),"")</f>
        <v/>
      </c>
      <c r="N798" s="61" t="str">
        <f>IFERROR(__xludf.DUMMYFUNCTION("INDIRECT(""'收支紀錄'!N""&amp;TO_TEXT(ROW()-$C$72))"),"")</f>
        <v/>
      </c>
      <c r="O798" s="61" t="str">
        <f>IFERROR(__xludf.DUMMYFUNCTION("INDIRECT(""'收支紀錄'!O""&amp;TO_TEXT(ROW()-$C$72))"),"")</f>
        <v/>
      </c>
      <c r="P798" s="61" t="str">
        <f>IFERROR(__xludf.DUMMYFUNCTION("INDIRECT(""'收支紀錄'!P""&amp;TO_TEXT(ROW()-$C$72))"),"")</f>
        <v/>
      </c>
      <c r="Q798" s="61" t="str">
        <f>IFERROR(__xludf.DUMMYFUNCTION("INDIRECT(""'收支紀錄'!Q""&amp;TO_TEXT(ROW()-$C$72))"),"")</f>
        <v/>
      </c>
      <c r="R798" s="61" t="str">
        <f>IFERROR(__xludf.DUMMYFUNCTION("INDIRECT(""'收支紀錄'!R""&amp;TO_TEXT(ROW()-$C$72))"),"")</f>
        <v/>
      </c>
      <c r="S798" s="61" t="str">
        <f>IFERROR(__xludf.DUMMYFUNCTION("INDIRECT(""'收支紀錄'!S""&amp;TO_TEXT(ROW()-$C$72))"),"")</f>
        <v/>
      </c>
      <c r="T798" s="61" t="str">
        <f>IFERROR(__xludf.DUMMYFUNCTION("INDIRECT(""'收支紀錄'!T""&amp;TO_TEXT(ROW()-$C$72))"),"")</f>
        <v/>
      </c>
      <c r="U798" s="62" t="str">
        <f>IFERROR(__xludf.DUMMYFUNCTION("IF(T798=""是"",TEXTJOIN("""", TRUE, ""$"", TO_TEXT(C798), S798),"""")"),"")</f>
        <v/>
      </c>
    </row>
    <row r="799">
      <c r="A799" s="58">
        <f>IFERROR(__xludf.DUMMYFUNCTION("INDIRECT(""'收支紀錄'!A""&amp;TO_TEXT(ROW()-$C$72))"),45761.86963686343)</f>
        <v>45761.86964</v>
      </c>
      <c r="B799" s="59">
        <f>IFERROR(__xludf.DUMMYFUNCTION("IF(ISBLANK(D799), """", IF(ISDATE(D799), D799, IF(D799=""今天"", A799, IF(D799=""昨天 (-1 day)"", A799-1, IF(D799=""前天 (-2 days)"", A799-2, IF(D799=""明天 (+1 day)"", A799+1, DATE(LEFT(D799,4), MID(D799,5,2), RIGHT(D799,2))))))))"),45759.86963686343)</f>
        <v>45759.86964</v>
      </c>
      <c r="C799" s="60">
        <f>IFERROR(__xludf.DUMMYFUNCTION("INDIRECT(""'收支紀錄'!C""&amp;TO_TEXT(ROW()-$C$72))"),25.0)</f>
        <v>25</v>
      </c>
      <c r="D799" s="63" t="str">
        <f>IFERROR(__xludf.DUMMYFUNCTION("INDIRECT(""'收支紀錄'!D""&amp;TO_TEXT(ROW()-$C$72))"),"前天 (-2 days)")</f>
        <v>前天 (-2 days)</v>
      </c>
      <c r="E799" s="61" t="str">
        <f>IFERROR(__xludf.DUMMYFUNCTION("INDIRECT(""'收支紀錄'!E""&amp;TO_TEXT(ROW()-$C$72))"),"")</f>
        <v/>
      </c>
      <c r="F799" s="61" t="str">
        <f>IFERROR(__xludf.DUMMYFUNCTION("INDIRECT(""'收支紀錄'!F""&amp;TO_TEXT(ROW()-$C$72))"),"")</f>
        <v/>
      </c>
      <c r="G799" s="61" t="str">
        <f>IFERROR(__xludf.DUMMYFUNCTION("INDIRECT(""'收支紀錄'!G""&amp;TO_TEXT(ROW()-$C$72))"),"")</f>
        <v/>
      </c>
      <c r="H799" s="61" t="str">
        <f>IFERROR(__xludf.DUMMYFUNCTION("INDIRECT(""'收支紀錄'!H""&amp;TO_TEXT(ROW()-$C$72))"),"行車交通")</f>
        <v>行車交通</v>
      </c>
      <c r="I799" s="61" t="str">
        <f>IFERROR(__xludf.DUMMYFUNCTION("INDIRECT(""'收支紀錄'!I""&amp;TO_TEXT(ROW()-$C$72))"),"")</f>
        <v/>
      </c>
      <c r="J799" s="61" t="str">
        <f>IFERROR(__xludf.DUMMYFUNCTION("INDIRECT(""'收支紀錄'!J""&amp;TO_TEXT(ROW()-$C$72))"),"")</f>
        <v/>
      </c>
      <c r="K799" s="61" t="str">
        <f>IFERROR(__xludf.DUMMYFUNCTION("INDIRECT(""'收支紀錄'!K""&amp;TO_TEXT(ROW()-$C$72))"),"")</f>
        <v/>
      </c>
      <c r="L799" s="61" t="str">
        <f>IFERROR(__xludf.DUMMYFUNCTION("INDIRECT(""'收支紀錄'!L""&amp;TO_TEXT(ROW()-$C$72))"),"停車")</f>
        <v>停車</v>
      </c>
      <c r="M799" s="61" t="str">
        <f>IFERROR(__xludf.DUMMYFUNCTION("INDIRECT(""'收支紀錄'!M""&amp;TO_TEXT(ROW()-$C$72))"),"")</f>
        <v/>
      </c>
      <c r="N799" s="61" t="str">
        <f>IFERROR(__xludf.DUMMYFUNCTION("INDIRECT(""'收支紀錄'!N""&amp;TO_TEXT(ROW()-$C$72))"),"")</f>
        <v/>
      </c>
      <c r="O799" s="61" t="str">
        <f>IFERROR(__xludf.DUMMYFUNCTION("INDIRECT(""'收支紀錄'!O""&amp;TO_TEXT(ROW()-$C$72))"),"")</f>
        <v/>
      </c>
      <c r="P799" s="61" t="str">
        <f>IFERROR(__xludf.DUMMYFUNCTION("INDIRECT(""'收支紀錄'!P""&amp;TO_TEXT(ROW()-$C$72))"),"")</f>
        <v/>
      </c>
      <c r="Q799" s="61" t="str">
        <f>IFERROR(__xludf.DUMMYFUNCTION("INDIRECT(""'收支紀錄'!Q""&amp;TO_TEXT(ROW()-$C$72))"),"")</f>
        <v/>
      </c>
      <c r="R799" s="61" t="str">
        <f>IFERROR(__xludf.DUMMYFUNCTION("INDIRECT(""'收支紀錄'!R""&amp;TO_TEXT(ROW()-$C$72))"),"")</f>
        <v/>
      </c>
      <c r="S799" s="61" t="str">
        <f>IFERROR(__xludf.DUMMYFUNCTION("INDIRECT(""'收支紀錄'!S""&amp;TO_TEXT(ROW()-$C$72))"),"")</f>
        <v/>
      </c>
      <c r="T799" s="61" t="str">
        <f>IFERROR(__xludf.DUMMYFUNCTION("INDIRECT(""'收支紀錄'!T""&amp;TO_TEXT(ROW()-$C$72))"),"")</f>
        <v/>
      </c>
      <c r="U799" s="62" t="str">
        <f>IFERROR(__xludf.DUMMYFUNCTION("IF(T799=""是"",TEXTJOIN("""", TRUE, ""$"", TO_TEXT(C799), S799),"""")"),"")</f>
        <v/>
      </c>
    </row>
    <row r="800">
      <c r="A800" s="58">
        <f>IFERROR(__xludf.DUMMYFUNCTION("INDIRECT(""'收支紀錄'!A""&amp;TO_TEXT(ROW()-$C$72))"),45762.90868170139)</f>
        <v>45762.90868</v>
      </c>
      <c r="B800" s="59">
        <f>IFERROR(__xludf.DUMMYFUNCTION("IF(ISBLANK(D800), """", IF(ISDATE(D800), D800, IF(D800=""今天"", A800, IF(D800=""昨天 (-1 day)"", A800-1, IF(D800=""前天 (-2 days)"", A800-2, IF(D800=""明天 (+1 day)"", A800+1, DATE(LEFT(D800,4), MID(D800,5,2), RIGHT(D800,2))))))))"),45762.90868170139)</f>
        <v>45762.90868</v>
      </c>
      <c r="C800" s="60">
        <f>IFERROR(__xludf.DUMMYFUNCTION("INDIRECT(""'收支紀錄'!C""&amp;TO_TEXT(ROW()-$C$72))"),1000.0)</f>
        <v>1000</v>
      </c>
      <c r="D800" s="63" t="str">
        <f>IFERROR(__xludf.DUMMYFUNCTION("INDIRECT(""'收支紀錄'!D""&amp;TO_TEXT(ROW()-$C$72))"),"今天")</f>
        <v>今天</v>
      </c>
      <c r="E800" s="61" t="str">
        <f>IFERROR(__xludf.DUMMYFUNCTION("INDIRECT(""'收支紀錄'!E""&amp;TO_TEXT(ROW()-$C$72))"),"")</f>
        <v/>
      </c>
      <c r="F800" s="61" t="str">
        <f>IFERROR(__xludf.DUMMYFUNCTION("INDIRECT(""'收支紀錄'!F""&amp;TO_TEXT(ROW()-$C$72))"),"")</f>
        <v/>
      </c>
      <c r="G800" s="61" t="str">
        <f>IFERROR(__xludf.DUMMYFUNCTION("INDIRECT(""'收支紀錄'!G""&amp;TO_TEXT(ROW()-$C$72))"),"")</f>
        <v/>
      </c>
      <c r="H800" s="61" t="str">
        <f>IFERROR(__xludf.DUMMYFUNCTION("INDIRECT(""'收支紀錄'!H""&amp;TO_TEXT(ROW()-$C$72))"),"食品酒水")</f>
        <v>食品酒水</v>
      </c>
      <c r="I800" s="61" t="str">
        <f>IFERROR(__xludf.DUMMYFUNCTION("INDIRECT(""'收支紀錄'!I""&amp;TO_TEXT(ROW()-$C$72))"),"伴手禮")</f>
        <v>伴手禮</v>
      </c>
      <c r="J800" s="61" t="str">
        <f>IFERROR(__xludf.DUMMYFUNCTION("INDIRECT(""'收支紀錄'!J""&amp;TO_TEXT(ROW()-$C$72))"),"")</f>
        <v/>
      </c>
      <c r="K800" s="61" t="str">
        <f>IFERROR(__xludf.DUMMYFUNCTION("INDIRECT(""'收支紀錄'!K""&amp;TO_TEXT(ROW()-$C$72))"),"")</f>
        <v/>
      </c>
      <c r="L800" s="61" t="str">
        <f>IFERROR(__xludf.DUMMYFUNCTION("INDIRECT(""'收支紀錄'!L""&amp;TO_TEXT(ROW()-$C$72))"),"")</f>
        <v/>
      </c>
      <c r="M800" s="61" t="str">
        <f>IFERROR(__xludf.DUMMYFUNCTION("INDIRECT(""'收支紀錄'!M""&amp;TO_TEXT(ROW()-$C$72))"),"")</f>
        <v/>
      </c>
      <c r="N800" s="61" t="str">
        <f>IFERROR(__xludf.DUMMYFUNCTION("INDIRECT(""'收支紀錄'!N""&amp;TO_TEXT(ROW()-$C$72))"),"")</f>
        <v/>
      </c>
      <c r="O800" s="61" t="str">
        <f>IFERROR(__xludf.DUMMYFUNCTION("INDIRECT(""'收支紀錄'!O""&amp;TO_TEXT(ROW()-$C$72))"),"")</f>
        <v/>
      </c>
      <c r="P800" s="61" t="str">
        <f>IFERROR(__xludf.DUMMYFUNCTION("INDIRECT(""'收支紀錄'!P""&amp;TO_TEXT(ROW()-$C$72))"),"")</f>
        <v/>
      </c>
      <c r="Q800" s="61" t="str">
        <f>IFERROR(__xludf.DUMMYFUNCTION("INDIRECT(""'收支紀錄'!Q""&amp;TO_TEXT(ROW()-$C$72))"),"")</f>
        <v/>
      </c>
      <c r="R800" s="61" t="str">
        <f>IFERROR(__xludf.DUMMYFUNCTION("INDIRECT(""'收支紀錄'!R""&amp;TO_TEXT(ROW()-$C$72))"),"")</f>
        <v/>
      </c>
      <c r="S800" s="61" t="str">
        <f>IFERROR(__xludf.DUMMYFUNCTION("INDIRECT(""'收支紀錄'!S""&amp;TO_TEXT(ROW()-$C$72))"),"")</f>
        <v/>
      </c>
      <c r="T800" s="61" t="str">
        <f>IFERROR(__xludf.DUMMYFUNCTION("INDIRECT(""'收支紀錄'!T""&amp;TO_TEXT(ROW()-$C$72))"),"")</f>
        <v/>
      </c>
      <c r="U800" s="62" t="str">
        <f>IFERROR(__xludf.DUMMYFUNCTION("IF(T800=""是"",TEXTJOIN("""", TRUE, ""$"", TO_TEXT(C800), S800),"""")"),"")</f>
        <v/>
      </c>
    </row>
    <row r="801">
      <c r="A801" s="58">
        <f>IFERROR(__xludf.DUMMYFUNCTION("INDIRECT(""'收支紀錄'!A""&amp;TO_TEXT(ROW()-$C$72))"),45762.90907902778)</f>
        <v>45762.90908</v>
      </c>
      <c r="B801" s="59">
        <f>IFERROR(__xludf.DUMMYFUNCTION("IF(ISBLANK(D801), """", IF(ISDATE(D801), D801, IF(D801=""今天"", A801, IF(D801=""昨天 (-1 day)"", A801-1, IF(D801=""前天 (-2 days)"", A801-2, IF(D801=""明天 (+1 day)"", A801+1, DATE(LEFT(D801,4), MID(D801,5,2), RIGHT(D801,2))))))))"),45762.90907902778)</f>
        <v>45762.90908</v>
      </c>
      <c r="C801" s="60">
        <f>IFERROR(__xludf.DUMMYFUNCTION("INDIRECT(""'收支紀錄'!C""&amp;TO_TEXT(ROW()-$C$72))"),479.0)</f>
        <v>479</v>
      </c>
      <c r="D801" s="63" t="str">
        <f>IFERROR(__xludf.DUMMYFUNCTION("INDIRECT(""'收支紀錄'!D""&amp;TO_TEXT(ROW()-$C$72))"),"今天")</f>
        <v>今天</v>
      </c>
      <c r="E801" s="61" t="str">
        <f>IFERROR(__xludf.DUMMYFUNCTION("INDIRECT(""'收支紀錄'!E""&amp;TO_TEXT(ROW()-$C$72))"),"")</f>
        <v/>
      </c>
      <c r="F801" s="61" t="str">
        <f>IFERROR(__xludf.DUMMYFUNCTION("INDIRECT(""'收支紀錄'!F""&amp;TO_TEXT(ROW()-$C$72))"),"")</f>
        <v/>
      </c>
      <c r="G801" s="61" t="str">
        <f>IFERROR(__xludf.DUMMYFUNCTION("INDIRECT(""'收支紀錄'!G""&amp;TO_TEXT(ROW()-$C$72))"),"")</f>
        <v/>
      </c>
      <c r="H801" s="61" t="str">
        <f>IFERROR(__xludf.DUMMYFUNCTION("INDIRECT(""'收支紀錄'!H""&amp;TO_TEXT(ROW()-$C$72))"),"日常生活")</f>
        <v>日常生活</v>
      </c>
      <c r="I801" s="61" t="str">
        <f>IFERROR(__xludf.DUMMYFUNCTION("INDIRECT(""'收支紀錄'!I""&amp;TO_TEXT(ROW()-$C$72))"),"")</f>
        <v/>
      </c>
      <c r="J801" s="61" t="str">
        <f>IFERROR(__xludf.DUMMYFUNCTION("INDIRECT(""'收支紀錄'!J""&amp;TO_TEXT(ROW()-$C$72))"),"日常用品")</f>
        <v>日常用品</v>
      </c>
      <c r="K801" s="61" t="str">
        <f>IFERROR(__xludf.DUMMYFUNCTION("INDIRECT(""'收支紀錄'!K""&amp;TO_TEXT(ROW()-$C$72))"),"")</f>
        <v/>
      </c>
      <c r="L801" s="61" t="str">
        <f>IFERROR(__xludf.DUMMYFUNCTION("INDIRECT(""'收支紀錄'!L""&amp;TO_TEXT(ROW()-$C$72))"),"")</f>
        <v/>
      </c>
      <c r="M801" s="61" t="str">
        <f>IFERROR(__xludf.DUMMYFUNCTION("INDIRECT(""'收支紀錄'!M""&amp;TO_TEXT(ROW()-$C$72))"),"")</f>
        <v/>
      </c>
      <c r="N801" s="61" t="str">
        <f>IFERROR(__xludf.DUMMYFUNCTION("INDIRECT(""'收支紀錄'!N""&amp;TO_TEXT(ROW()-$C$72))"),"")</f>
        <v/>
      </c>
      <c r="O801" s="61" t="str">
        <f>IFERROR(__xludf.DUMMYFUNCTION("INDIRECT(""'收支紀錄'!O""&amp;TO_TEXT(ROW()-$C$72))"),"")</f>
        <v/>
      </c>
      <c r="P801" s="61" t="str">
        <f>IFERROR(__xludf.DUMMYFUNCTION("INDIRECT(""'收支紀錄'!P""&amp;TO_TEXT(ROW()-$C$72))"),"")</f>
        <v/>
      </c>
      <c r="Q801" s="61" t="str">
        <f>IFERROR(__xludf.DUMMYFUNCTION("INDIRECT(""'收支紀錄'!Q""&amp;TO_TEXT(ROW()-$C$72))"),"")</f>
        <v/>
      </c>
      <c r="R801" s="61" t="str">
        <f>IFERROR(__xludf.DUMMYFUNCTION("INDIRECT(""'收支紀錄'!R""&amp;TO_TEXT(ROW()-$C$72))"),"")</f>
        <v/>
      </c>
      <c r="S801" s="61" t="str">
        <f>IFERROR(__xludf.DUMMYFUNCTION("INDIRECT(""'收支紀錄'!S""&amp;TO_TEXT(ROW()-$C$72))"),"隱形眼鏡")</f>
        <v>隱形眼鏡</v>
      </c>
      <c r="T801" s="61" t="str">
        <f>IFERROR(__xludf.DUMMYFUNCTION("INDIRECT(""'收支紀錄'!T""&amp;TO_TEXT(ROW()-$C$72))"),"")</f>
        <v/>
      </c>
      <c r="U801" s="62" t="str">
        <f>IFERROR(__xludf.DUMMYFUNCTION("IF(T801=""是"",TEXTJOIN("""", TRUE, ""$"", TO_TEXT(C801), S801),"""")"),"")</f>
        <v/>
      </c>
    </row>
    <row r="802">
      <c r="A802" s="58">
        <f>IFERROR(__xludf.DUMMYFUNCTION("INDIRECT(""'收支紀錄'!A""&amp;TO_TEXT(ROW()-$C$72))"),45762.90928439815)</f>
        <v>45762.90928</v>
      </c>
      <c r="B802" s="59">
        <f>IFERROR(__xludf.DUMMYFUNCTION("IF(ISBLANK(D802), """", IF(ISDATE(D802), D802, IF(D802=""今天"", A802, IF(D802=""昨天 (-1 day)"", A802-1, IF(D802=""前天 (-2 days)"", A802-2, IF(D802=""明天 (+1 day)"", A802+1, DATE(LEFT(D802,4), MID(D802,5,2), RIGHT(D802,2))))))))"),45762.90928439815)</f>
        <v>45762.90928</v>
      </c>
      <c r="C802" s="60">
        <f>IFERROR(__xludf.DUMMYFUNCTION("INDIRECT(""'收支紀錄'!C""&amp;TO_TEXT(ROW()-$C$72))"),119.0)</f>
        <v>119</v>
      </c>
      <c r="D802" s="63" t="str">
        <f>IFERROR(__xludf.DUMMYFUNCTION("INDIRECT(""'收支紀錄'!D""&amp;TO_TEXT(ROW()-$C$72))"),"今天")</f>
        <v>今天</v>
      </c>
      <c r="E802" s="61" t="str">
        <f>IFERROR(__xludf.DUMMYFUNCTION("INDIRECT(""'收支紀錄'!E""&amp;TO_TEXT(ROW()-$C$72))"),"")</f>
        <v/>
      </c>
      <c r="F802" s="61" t="str">
        <f>IFERROR(__xludf.DUMMYFUNCTION("INDIRECT(""'收支紀錄'!F""&amp;TO_TEXT(ROW()-$C$72))"),"")</f>
        <v/>
      </c>
      <c r="G802" s="61" t="str">
        <f>IFERROR(__xludf.DUMMYFUNCTION("INDIRECT(""'收支紀錄'!G""&amp;TO_TEXT(ROW()-$C$72))"),"")</f>
        <v/>
      </c>
      <c r="H802" s="61" t="str">
        <f>IFERROR(__xludf.DUMMYFUNCTION("INDIRECT(""'收支紀錄'!H""&amp;TO_TEXT(ROW()-$C$72))"),"日常生活")</f>
        <v>日常生活</v>
      </c>
      <c r="I802" s="61" t="str">
        <f>IFERROR(__xludf.DUMMYFUNCTION("INDIRECT(""'收支紀錄'!I""&amp;TO_TEXT(ROW()-$C$72))"),"")</f>
        <v/>
      </c>
      <c r="J802" s="61" t="str">
        <f>IFERROR(__xludf.DUMMYFUNCTION("INDIRECT(""'收支紀錄'!J""&amp;TO_TEXT(ROW()-$C$72))"),"日常用品")</f>
        <v>日常用品</v>
      </c>
      <c r="K802" s="61" t="str">
        <f>IFERROR(__xludf.DUMMYFUNCTION("INDIRECT(""'收支紀錄'!K""&amp;TO_TEXT(ROW()-$C$72))"),"")</f>
        <v/>
      </c>
      <c r="L802" s="61" t="str">
        <f>IFERROR(__xludf.DUMMYFUNCTION("INDIRECT(""'收支紀錄'!L""&amp;TO_TEXT(ROW()-$C$72))"),"")</f>
        <v/>
      </c>
      <c r="M802" s="61" t="str">
        <f>IFERROR(__xludf.DUMMYFUNCTION("INDIRECT(""'收支紀錄'!M""&amp;TO_TEXT(ROW()-$C$72))"),"")</f>
        <v/>
      </c>
      <c r="N802" s="61" t="str">
        <f>IFERROR(__xludf.DUMMYFUNCTION("INDIRECT(""'收支紀錄'!N""&amp;TO_TEXT(ROW()-$C$72))"),"")</f>
        <v/>
      </c>
      <c r="O802" s="61" t="str">
        <f>IFERROR(__xludf.DUMMYFUNCTION("INDIRECT(""'收支紀錄'!O""&amp;TO_TEXT(ROW()-$C$72))"),"")</f>
        <v/>
      </c>
      <c r="P802" s="61" t="str">
        <f>IFERROR(__xludf.DUMMYFUNCTION("INDIRECT(""'收支紀錄'!P""&amp;TO_TEXT(ROW()-$C$72))"),"")</f>
        <v/>
      </c>
      <c r="Q802" s="61" t="str">
        <f>IFERROR(__xludf.DUMMYFUNCTION("INDIRECT(""'收支紀錄'!Q""&amp;TO_TEXT(ROW()-$C$72))"),"")</f>
        <v/>
      </c>
      <c r="R802" s="61" t="str">
        <f>IFERROR(__xludf.DUMMYFUNCTION("INDIRECT(""'收支紀錄'!R""&amp;TO_TEXT(ROW()-$C$72))"),"")</f>
        <v/>
      </c>
      <c r="S802" s="61" t="str">
        <f>IFERROR(__xludf.DUMMYFUNCTION("INDIRECT(""'收支紀錄'!S""&amp;TO_TEXT(ROW()-$C$72))"),"")</f>
        <v/>
      </c>
      <c r="T802" s="61" t="str">
        <f>IFERROR(__xludf.DUMMYFUNCTION("INDIRECT(""'收支紀錄'!T""&amp;TO_TEXT(ROW()-$C$72))"),"")</f>
        <v/>
      </c>
      <c r="U802" s="62" t="str">
        <f>IFERROR(__xludf.DUMMYFUNCTION("IF(T802=""是"",TEXTJOIN("""", TRUE, ""$"", TO_TEXT(C802), S802),"""")"),"")</f>
        <v/>
      </c>
    </row>
    <row r="803">
      <c r="A803" s="58">
        <f>IFERROR(__xludf.DUMMYFUNCTION("INDIRECT(""'收支紀錄'!A""&amp;TO_TEXT(ROW()-$C$72))"),45762.90962078703)</f>
        <v>45762.90962</v>
      </c>
      <c r="B803" s="59">
        <f>IFERROR(__xludf.DUMMYFUNCTION("IF(ISBLANK(D803), """", IF(ISDATE(D803), D803, IF(D803=""今天"", A803, IF(D803=""昨天 (-1 day)"", A803-1, IF(D803=""前天 (-2 days)"", A803-2, IF(D803=""明天 (+1 day)"", A803+1, DATE(LEFT(D803,4), MID(D803,5,2), RIGHT(D803,2))))))))"),45760.90962078703)</f>
        <v>45760.90962</v>
      </c>
      <c r="C803" s="60">
        <f>IFERROR(__xludf.DUMMYFUNCTION("INDIRECT(""'收支紀錄'!C""&amp;TO_TEXT(ROW()-$C$72))"),500.0)</f>
        <v>500</v>
      </c>
      <c r="D803" s="63" t="str">
        <f>IFERROR(__xludf.DUMMYFUNCTION("INDIRECT(""'收支紀錄'!D""&amp;TO_TEXT(ROW()-$C$72))"),"前天 (-2 days)")</f>
        <v>前天 (-2 days)</v>
      </c>
      <c r="E803" s="61" t="str">
        <f>IFERROR(__xludf.DUMMYFUNCTION("INDIRECT(""'收支紀錄'!E""&amp;TO_TEXT(ROW()-$C$72))"),"")</f>
        <v/>
      </c>
      <c r="F803" s="61" t="str">
        <f>IFERROR(__xludf.DUMMYFUNCTION("INDIRECT(""'收支紀錄'!F""&amp;TO_TEXT(ROW()-$C$72))"),"")</f>
        <v/>
      </c>
      <c r="G803" s="61" t="str">
        <f>IFERROR(__xludf.DUMMYFUNCTION("INDIRECT(""'收支紀錄'!G""&amp;TO_TEXT(ROW()-$C$72))"),"")</f>
        <v/>
      </c>
      <c r="H803" s="61" t="str">
        <f>IFERROR(__xludf.DUMMYFUNCTION("INDIRECT(""'收支紀錄'!H""&amp;TO_TEXT(ROW()-$C$72))"),"食品酒水")</f>
        <v>食品酒水</v>
      </c>
      <c r="I803" s="61" t="str">
        <f>IFERROR(__xludf.DUMMYFUNCTION("INDIRECT(""'收支紀錄'!I""&amp;TO_TEXT(ROW()-$C$72))"),"食材")</f>
        <v>食材</v>
      </c>
      <c r="J803" s="61" t="str">
        <f>IFERROR(__xludf.DUMMYFUNCTION("INDIRECT(""'收支紀錄'!J""&amp;TO_TEXT(ROW()-$C$72))"),"")</f>
        <v/>
      </c>
      <c r="K803" s="61" t="str">
        <f>IFERROR(__xludf.DUMMYFUNCTION("INDIRECT(""'收支紀錄'!K""&amp;TO_TEXT(ROW()-$C$72))"),"")</f>
        <v/>
      </c>
      <c r="L803" s="61" t="str">
        <f>IFERROR(__xludf.DUMMYFUNCTION("INDIRECT(""'收支紀錄'!L""&amp;TO_TEXT(ROW()-$C$72))"),"")</f>
        <v/>
      </c>
      <c r="M803" s="61" t="str">
        <f>IFERROR(__xludf.DUMMYFUNCTION("INDIRECT(""'收支紀錄'!M""&amp;TO_TEXT(ROW()-$C$72))"),"")</f>
        <v/>
      </c>
      <c r="N803" s="61" t="str">
        <f>IFERROR(__xludf.DUMMYFUNCTION("INDIRECT(""'收支紀錄'!N""&amp;TO_TEXT(ROW()-$C$72))"),"")</f>
        <v/>
      </c>
      <c r="O803" s="61" t="str">
        <f>IFERROR(__xludf.DUMMYFUNCTION("INDIRECT(""'收支紀錄'!O""&amp;TO_TEXT(ROW()-$C$72))"),"")</f>
        <v/>
      </c>
      <c r="P803" s="61" t="str">
        <f>IFERROR(__xludf.DUMMYFUNCTION("INDIRECT(""'收支紀錄'!P""&amp;TO_TEXT(ROW()-$C$72))"),"")</f>
        <v/>
      </c>
      <c r="Q803" s="61" t="str">
        <f>IFERROR(__xludf.DUMMYFUNCTION("INDIRECT(""'收支紀錄'!Q""&amp;TO_TEXT(ROW()-$C$72))"),"")</f>
        <v/>
      </c>
      <c r="R803" s="61" t="str">
        <f>IFERROR(__xludf.DUMMYFUNCTION("INDIRECT(""'收支紀錄'!R""&amp;TO_TEXT(ROW()-$C$72))"),"")</f>
        <v/>
      </c>
      <c r="S803" s="61" t="str">
        <f>IFERROR(__xludf.DUMMYFUNCTION("INDIRECT(""'收支紀錄'!S""&amp;TO_TEXT(ROW()-$C$72))"),"吃飯補助蓋")</f>
        <v>吃飯補助蓋</v>
      </c>
      <c r="T803" s="61" t="str">
        <f>IFERROR(__xludf.DUMMYFUNCTION("INDIRECT(""'收支紀錄'!T""&amp;TO_TEXT(ROW()-$C$72))"),"")</f>
        <v/>
      </c>
      <c r="U803" s="62" t="str">
        <f>IFERROR(__xludf.DUMMYFUNCTION("IF(T803=""是"",TEXTJOIN("""", TRUE, ""$"", TO_TEXT(C803), S803),"""")"),"")</f>
        <v/>
      </c>
    </row>
    <row r="804">
      <c r="A804" s="58">
        <f>IFERROR(__xludf.DUMMYFUNCTION("INDIRECT(""'收支紀錄'!A""&amp;TO_TEXT(ROW()-$C$72))"),45763.684392083334)</f>
        <v>45763.68439</v>
      </c>
      <c r="B804" s="59">
        <f>IFERROR(__xludf.DUMMYFUNCTION("IF(ISBLANK(D804), """", IF(ISDATE(D804), D804, IF(D804=""今天"", A804, IF(D804=""昨天 (-1 day)"", A804-1, IF(D804=""前天 (-2 days)"", A804-2, IF(D804=""明天 (+1 day)"", A804+1, DATE(LEFT(D804,4), MID(D804,5,2), RIGHT(D804,2))))))))"),45763.684392083334)</f>
        <v>45763.68439</v>
      </c>
      <c r="C804" s="60">
        <f>IFERROR(__xludf.DUMMYFUNCTION("INDIRECT(""'收支紀錄'!C""&amp;TO_TEXT(ROW()-$C$72))"),17.0)</f>
        <v>17</v>
      </c>
      <c r="D804" s="63" t="str">
        <f>IFERROR(__xludf.DUMMYFUNCTION("INDIRECT(""'收支紀錄'!D""&amp;TO_TEXT(ROW()-$C$72))"),"今天")</f>
        <v>今天</v>
      </c>
      <c r="E804" s="61" t="str">
        <f>IFERROR(__xludf.DUMMYFUNCTION("INDIRECT(""'收支紀錄'!E""&amp;TO_TEXT(ROW()-$C$72))"),"")</f>
        <v/>
      </c>
      <c r="F804" s="61" t="str">
        <f>IFERROR(__xludf.DUMMYFUNCTION("INDIRECT(""'收支紀錄'!F""&amp;TO_TEXT(ROW()-$C$72))"),"")</f>
        <v/>
      </c>
      <c r="G804" s="61" t="str">
        <f>IFERROR(__xludf.DUMMYFUNCTION("INDIRECT(""'收支紀錄'!G""&amp;TO_TEXT(ROW()-$C$72))"),"")</f>
        <v/>
      </c>
      <c r="H804" s="61" t="str">
        <f>IFERROR(__xludf.DUMMYFUNCTION("INDIRECT(""'收支紀錄'!H""&amp;TO_TEXT(ROW()-$C$72))"),"行車交通")</f>
        <v>行車交通</v>
      </c>
      <c r="I804" s="61" t="str">
        <f>IFERROR(__xludf.DUMMYFUNCTION("INDIRECT(""'收支紀錄'!I""&amp;TO_TEXT(ROW()-$C$72))"),"")</f>
        <v/>
      </c>
      <c r="J804" s="61" t="str">
        <f>IFERROR(__xludf.DUMMYFUNCTION("INDIRECT(""'收支紀錄'!J""&amp;TO_TEXT(ROW()-$C$72))"),"")</f>
        <v/>
      </c>
      <c r="K804" s="61" t="str">
        <f>IFERROR(__xludf.DUMMYFUNCTION("INDIRECT(""'收支紀錄'!K""&amp;TO_TEXT(ROW()-$C$72))"),"")</f>
        <v/>
      </c>
      <c r="L804" s="61" t="str">
        <f>IFERROR(__xludf.DUMMYFUNCTION("INDIRECT(""'收支紀錄'!L""&amp;TO_TEXT(ROW()-$C$72))"),"租車")</f>
        <v>租車</v>
      </c>
      <c r="M804" s="61" t="str">
        <f>IFERROR(__xludf.DUMMYFUNCTION("INDIRECT(""'收支紀錄'!M""&amp;TO_TEXT(ROW()-$C$72))"),"")</f>
        <v/>
      </c>
      <c r="N804" s="61" t="str">
        <f>IFERROR(__xludf.DUMMYFUNCTION("INDIRECT(""'收支紀錄'!N""&amp;TO_TEXT(ROW()-$C$72))"),"")</f>
        <v/>
      </c>
      <c r="O804" s="61" t="str">
        <f>IFERROR(__xludf.DUMMYFUNCTION("INDIRECT(""'收支紀錄'!O""&amp;TO_TEXT(ROW()-$C$72))"),"")</f>
        <v/>
      </c>
      <c r="P804" s="61" t="str">
        <f>IFERROR(__xludf.DUMMYFUNCTION("INDIRECT(""'收支紀錄'!P""&amp;TO_TEXT(ROW()-$C$72))"),"")</f>
        <v/>
      </c>
      <c r="Q804" s="61" t="str">
        <f>IFERROR(__xludf.DUMMYFUNCTION("INDIRECT(""'收支紀錄'!Q""&amp;TO_TEXT(ROW()-$C$72))"),"")</f>
        <v/>
      </c>
      <c r="R804" s="61" t="str">
        <f>IFERROR(__xludf.DUMMYFUNCTION("INDIRECT(""'收支紀錄'!R""&amp;TO_TEXT(ROW()-$C$72))"),"")</f>
        <v/>
      </c>
      <c r="S804" s="61" t="str">
        <f>IFERROR(__xludf.DUMMYFUNCTION("INDIRECT(""'收支紀錄'!S""&amp;TO_TEXT(ROW()-$C$72))"),"")</f>
        <v/>
      </c>
      <c r="T804" s="61" t="str">
        <f>IFERROR(__xludf.DUMMYFUNCTION("INDIRECT(""'收支紀錄'!T""&amp;TO_TEXT(ROW()-$C$72))"),"")</f>
        <v/>
      </c>
      <c r="U804" s="62" t="str">
        <f>IFERROR(__xludf.DUMMYFUNCTION("IF(T804=""是"",TEXTJOIN("""", TRUE, ""$"", TO_TEXT(C804), S804),"""")"),"")</f>
        <v/>
      </c>
    </row>
    <row r="805">
      <c r="A805" s="58">
        <f>IFERROR(__xludf.DUMMYFUNCTION("INDIRECT(""'收支紀錄'!A""&amp;TO_TEXT(ROW()-$C$72))"),45763.68457300926)</f>
        <v>45763.68457</v>
      </c>
      <c r="B805" s="59">
        <f>IFERROR(__xludf.DUMMYFUNCTION("IF(ISBLANK(D805), """", IF(ISDATE(D805), D805, IF(D805=""今天"", A805, IF(D805=""昨天 (-1 day)"", A805-1, IF(D805=""前天 (-2 days)"", A805-2, IF(D805=""明天 (+1 day)"", A805+1, DATE(LEFT(D805,4), MID(D805,5,2), RIGHT(D805,2))))))))"),45763.68457300926)</f>
        <v>45763.68457</v>
      </c>
      <c r="C805" s="60">
        <f>IFERROR(__xludf.DUMMYFUNCTION("INDIRECT(""'收支紀錄'!C""&amp;TO_TEXT(ROW()-$C$72))"),200.0)</f>
        <v>200</v>
      </c>
      <c r="D805" s="63" t="str">
        <f>IFERROR(__xludf.DUMMYFUNCTION("INDIRECT(""'收支紀錄'!D""&amp;TO_TEXT(ROW()-$C$72))"),"今天")</f>
        <v>今天</v>
      </c>
      <c r="E805" s="61" t="str">
        <f>IFERROR(__xludf.DUMMYFUNCTION("INDIRECT(""'收支紀錄'!E""&amp;TO_TEXT(ROW()-$C$72))"),"")</f>
        <v/>
      </c>
      <c r="F805" s="61" t="str">
        <f>IFERROR(__xludf.DUMMYFUNCTION("INDIRECT(""'收支紀錄'!F""&amp;TO_TEXT(ROW()-$C$72))"),"")</f>
        <v/>
      </c>
      <c r="G805" s="61" t="str">
        <f>IFERROR(__xludf.DUMMYFUNCTION("INDIRECT(""'收支紀錄'!G""&amp;TO_TEXT(ROW()-$C$72))"),"")</f>
        <v/>
      </c>
      <c r="H805" s="61" t="str">
        <f>IFERROR(__xludf.DUMMYFUNCTION("INDIRECT(""'收支紀錄'!H""&amp;TO_TEXT(ROW()-$C$72))"),"醫療費用")</f>
        <v>醫療費用</v>
      </c>
      <c r="I805" s="61" t="str">
        <f>IFERROR(__xludf.DUMMYFUNCTION("INDIRECT(""'收支紀錄'!I""&amp;TO_TEXT(ROW()-$C$72))"),"")</f>
        <v/>
      </c>
      <c r="J805" s="61" t="str">
        <f>IFERROR(__xludf.DUMMYFUNCTION("INDIRECT(""'收支紀錄'!J""&amp;TO_TEXT(ROW()-$C$72))"),"")</f>
        <v/>
      </c>
      <c r="K805" s="61" t="str">
        <f>IFERROR(__xludf.DUMMYFUNCTION("INDIRECT(""'收支紀錄'!K""&amp;TO_TEXT(ROW()-$C$72))"),"")</f>
        <v/>
      </c>
      <c r="L805" s="61" t="str">
        <f>IFERROR(__xludf.DUMMYFUNCTION("INDIRECT(""'收支紀錄'!L""&amp;TO_TEXT(ROW()-$C$72))"),"")</f>
        <v/>
      </c>
      <c r="M805" s="61" t="str">
        <f>IFERROR(__xludf.DUMMYFUNCTION("INDIRECT(""'收支紀錄'!M""&amp;TO_TEXT(ROW()-$C$72))"),"")</f>
        <v/>
      </c>
      <c r="N805" s="61" t="str">
        <f>IFERROR(__xludf.DUMMYFUNCTION("INDIRECT(""'收支紀錄'!N""&amp;TO_TEXT(ROW()-$C$72))"),"")</f>
        <v/>
      </c>
      <c r="O805" s="61" t="str">
        <f>IFERROR(__xludf.DUMMYFUNCTION("INDIRECT(""'收支紀錄'!O""&amp;TO_TEXT(ROW()-$C$72))"),"生病醫療")</f>
        <v>生病醫療</v>
      </c>
      <c r="P805" s="61" t="str">
        <f>IFERROR(__xludf.DUMMYFUNCTION("INDIRECT(""'收支紀錄'!P""&amp;TO_TEXT(ROW()-$C$72))"),"")</f>
        <v/>
      </c>
      <c r="Q805" s="61" t="str">
        <f>IFERROR(__xludf.DUMMYFUNCTION("INDIRECT(""'收支紀錄'!Q""&amp;TO_TEXT(ROW()-$C$72))"),"")</f>
        <v/>
      </c>
      <c r="R805" s="61" t="str">
        <f>IFERROR(__xludf.DUMMYFUNCTION("INDIRECT(""'收支紀錄'!R""&amp;TO_TEXT(ROW()-$C$72))"),"")</f>
        <v/>
      </c>
      <c r="S805" s="61" t="str">
        <f>IFERROR(__xludf.DUMMYFUNCTION("INDIRECT(""'收支紀錄'!S""&amp;TO_TEXT(ROW()-$C$72))"),"")</f>
        <v/>
      </c>
      <c r="T805" s="61" t="str">
        <f>IFERROR(__xludf.DUMMYFUNCTION("INDIRECT(""'收支紀錄'!T""&amp;TO_TEXT(ROW()-$C$72))"),"")</f>
        <v/>
      </c>
      <c r="U805" s="62" t="str">
        <f>IFERROR(__xludf.DUMMYFUNCTION("IF(T805=""是"",TEXTJOIN("""", TRUE, ""$"", TO_TEXT(C805), S805),"""")"),"")</f>
        <v/>
      </c>
    </row>
    <row r="806">
      <c r="A806" s="58">
        <f>IFERROR(__xludf.DUMMYFUNCTION("INDIRECT(""'收支紀錄'!A""&amp;TO_TEXT(ROW()-$C$72))"),45763.83867832176)</f>
        <v>45763.83868</v>
      </c>
      <c r="B806" s="59">
        <f>IFERROR(__xludf.DUMMYFUNCTION("IF(ISBLANK(D806), """", IF(ISDATE(D806), D806, IF(D806=""今天"", A806, IF(D806=""昨天 (-1 day)"", A806-1, IF(D806=""前天 (-2 days)"", A806-2, IF(D806=""明天 (+1 day)"", A806+1, DATE(LEFT(D806,4), MID(D806,5,2), RIGHT(D806,2))))))))"),45763.83867832176)</f>
        <v>45763.83868</v>
      </c>
      <c r="C806" s="60">
        <f>IFERROR(__xludf.DUMMYFUNCTION("INDIRECT(""'收支紀錄'!C""&amp;TO_TEXT(ROW()-$C$72))"),100.0)</f>
        <v>100</v>
      </c>
      <c r="D806" s="63" t="str">
        <f>IFERROR(__xludf.DUMMYFUNCTION("INDIRECT(""'收支紀錄'!D""&amp;TO_TEXT(ROW()-$C$72))"),"今天")</f>
        <v>今天</v>
      </c>
      <c r="E806" s="61" t="str">
        <f>IFERROR(__xludf.DUMMYFUNCTION("INDIRECT(""'收支紀錄'!E""&amp;TO_TEXT(ROW()-$C$72))"),"")</f>
        <v/>
      </c>
      <c r="F806" s="61" t="str">
        <f>IFERROR(__xludf.DUMMYFUNCTION("INDIRECT(""'收支紀錄'!F""&amp;TO_TEXT(ROW()-$C$72))"),"")</f>
        <v/>
      </c>
      <c r="G806" s="61" t="str">
        <f>IFERROR(__xludf.DUMMYFUNCTION("INDIRECT(""'收支紀錄'!G""&amp;TO_TEXT(ROW()-$C$72))"),"")</f>
        <v/>
      </c>
      <c r="H806" s="61" t="str">
        <f>IFERROR(__xludf.DUMMYFUNCTION("INDIRECT(""'收支紀錄'!H""&amp;TO_TEXT(ROW()-$C$72))"),"休閒娛樂")</f>
        <v>休閒娛樂</v>
      </c>
      <c r="I806" s="61" t="str">
        <f>IFERROR(__xludf.DUMMYFUNCTION("INDIRECT(""'收支紀錄'!I""&amp;TO_TEXT(ROW()-$C$72))"),"")</f>
        <v/>
      </c>
      <c r="J806" s="61" t="str">
        <f>IFERROR(__xludf.DUMMYFUNCTION("INDIRECT(""'收支紀錄'!J""&amp;TO_TEXT(ROW()-$C$72))"),"")</f>
        <v/>
      </c>
      <c r="K806" s="61" t="str">
        <f>IFERROR(__xludf.DUMMYFUNCTION("INDIRECT(""'收支紀錄'!K""&amp;TO_TEXT(ROW()-$C$72))"),"")</f>
        <v/>
      </c>
      <c r="L806" s="61" t="str">
        <f>IFERROR(__xludf.DUMMYFUNCTION("INDIRECT(""'收支紀錄'!L""&amp;TO_TEXT(ROW()-$C$72))"),"")</f>
        <v/>
      </c>
      <c r="M806" s="61" t="str">
        <f>IFERROR(__xludf.DUMMYFUNCTION("INDIRECT(""'收支紀錄'!M""&amp;TO_TEXT(ROW()-$C$72))"),"運動健身")</f>
        <v>運動健身</v>
      </c>
      <c r="N806" s="61" t="str">
        <f>IFERROR(__xludf.DUMMYFUNCTION("INDIRECT(""'收支紀錄'!N""&amp;TO_TEXT(ROW()-$C$72))"),"")</f>
        <v/>
      </c>
      <c r="O806" s="61" t="str">
        <f>IFERROR(__xludf.DUMMYFUNCTION("INDIRECT(""'收支紀錄'!O""&amp;TO_TEXT(ROW()-$C$72))"),"")</f>
        <v/>
      </c>
      <c r="P806" s="61" t="str">
        <f>IFERROR(__xludf.DUMMYFUNCTION("INDIRECT(""'收支紀錄'!P""&amp;TO_TEXT(ROW()-$C$72))"),"")</f>
        <v/>
      </c>
      <c r="Q806" s="61" t="str">
        <f>IFERROR(__xludf.DUMMYFUNCTION("INDIRECT(""'收支紀錄'!Q""&amp;TO_TEXT(ROW()-$C$72))"),"")</f>
        <v/>
      </c>
      <c r="R806" s="61" t="str">
        <f>IFERROR(__xludf.DUMMYFUNCTION("INDIRECT(""'收支紀錄'!R""&amp;TO_TEXT(ROW()-$C$72))"),"")</f>
        <v/>
      </c>
      <c r="S806" s="61" t="str">
        <f>IFERROR(__xludf.DUMMYFUNCTION("INDIRECT(""'收支紀錄'!S""&amp;TO_TEXT(ROW()-$C$72))"),"")</f>
        <v/>
      </c>
      <c r="T806" s="61" t="str">
        <f>IFERROR(__xludf.DUMMYFUNCTION("INDIRECT(""'收支紀錄'!T""&amp;TO_TEXT(ROW()-$C$72))"),"")</f>
        <v/>
      </c>
      <c r="U806" s="62" t="str">
        <f>IFERROR(__xludf.DUMMYFUNCTION("IF(T806=""是"",TEXTJOIN("""", TRUE, ""$"", TO_TEXT(C806), S806),"""")"),"")</f>
        <v/>
      </c>
    </row>
    <row r="807">
      <c r="A807" s="58">
        <f>IFERROR(__xludf.DUMMYFUNCTION("INDIRECT(""'收支紀錄'!A""&amp;TO_TEXT(ROW()-$C$72))"),45764.37072334491)</f>
        <v>45764.37072</v>
      </c>
      <c r="B807" s="59">
        <f>IFERROR(__xludf.DUMMYFUNCTION("IF(ISBLANK(D807), """", IF(ISDATE(D807), D807, IF(D807=""今天"", A807, IF(D807=""昨天 (-1 day)"", A807-1, IF(D807=""前天 (-2 days)"", A807-2, IF(D807=""明天 (+1 day)"", A807+1, DATE(LEFT(D807,4), MID(D807,5,2), RIGHT(D807,2))))))))"),45764.37072334491)</f>
        <v>45764.37072</v>
      </c>
      <c r="C807" s="60">
        <f>IFERROR(__xludf.DUMMYFUNCTION("INDIRECT(""'收支紀錄'!C""&amp;TO_TEXT(ROW()-$C$72))"),673.0)</f>
        <v>673</v>
      </c>
      <c r="D807" s="63" t="str">
        <f>IFERROR(__xludf.DUMMYFUNCTION("INDIRECT(""'收支紀錄'!D""&amp;TO_TEXT(ROW()-$C$72))"),"今天")</f>
        <v>今天</v>
      </c>
      <c r="E807" s="61" t="str">
        <f>IFERROR(__xludf.DUMMYFUNCTION("INDIRECT(""'收支紀錄'!E""&amp;TO_TEXT(ROW()-$C$72))"),"")</f>
        <v/>
      </c>
      <c r="F807" s="61" t="str">
        <f>IFERROR(__xludf.DUMMYFUNCTION("INDIRECT(""'收支紀錄'!F""&amp;TO_TEXT(ROW()-$C$72))"),"")</f>
        <v/>
      </c>
      <c r="G807" s="61" t="str">
        <f>IFERROR(__xludf.DUMMYFUNCTION("INDIRECT(""'收支紀錄'!G""&amp;TO_TEXT(ROW()-$C$72))"),"")</f>
        <v/>
      </c>
      <c r="H807" s="61" t="str">
        <f>IFERROR(__xludf.DUMMYFUNCTION("INDIRECT(""'收支紀錄'!H""&amp;TO_TEXT(ROW()-$C$72))"),"休閒娛樂")</f>
        <v>休閒娛樂</v>
      </c>
      <c r="I807" s="61" t="str">
        <f>IFERROR(__xludf.DUMMYFUNCTION("INDIRECT(""'收支紀錄'!I""&amp;TO_TEXT(ROW()-$C$72))"),"")</f>
        <v/>
      </c>
      <c r="J807" s="61" t="str">
        <f>IFERROR(__xludf.DUMMYFUNCTION("INDIRECT(""'收支紀錄'!J""&amp;TO_TEXT(ROW()-$C$72))"),"")</f>
        <v/>
      </c>
      <c r="K807" s="61" t="str">
        <f>IFERROR(__xludf.DUMMYFUNCTION("INDIRECT(""'收支紀錄'!K""&amp;TO_TEXT(ROW()-$C$72))"),"")</f>
        <v/>
      </c>
      <c r="L807" s="61" t="str">
        <f>IFERROR(__xludf.DUMMYFUNCTION("INDIRECT(""'收支紀錄'!L""&amp;TO_TEXT(ROW()-$C$72))"),"")</f>
        <v/>
      </c>
      <c r="M807" s="61" t="str">
        <f>IFERROR(__xludf.DUMMYFUNCTION("INDIRECT(""'收支紀錄'!M""&amp;TO_TEXT(ROW()-$C$72))"),"Netflix")</f>
        <v>Netflix</v>
      </c>
      <c r="N807" s="61" t="str">
        <f>IFERROR(__xludf.DUMMYFUNCTION("INDIRECT(""'收支紀錄'!N""&amp;TO_TEXT(ROW()-$C$72))"),"")</f>
        <v/>
      </c>
      <c r="O807" s="61" t="str">
        <f>IFERROR(__xludf.DUMMYFUNCTION("INDIRECT(""'收支紀錄'!O""&amp;TO_TEXT(ROW()-$C$72))"),"")</f>
        <v/>
      </c>
      <c r="P807" s="61" t="str">
        <f>IFERROR(__xludf.DUMMYFUNCTION("INDIRECT(""'收支紀錄'!P""&amp;TO_TEXT(ROW()-$C$72))"),"")</f>
        <v/>
      </c>
      <c r="Q807" s="61" t="str">
        <f>IFERROR(__xludf.DUMMYFUNCTION("INDIRECT(""'收支紀錄'!Q""&amp;TO_TEXT(ROW()-$C$72))"),"")</f>
        <v/>
      </c>
      <c r="R807" s="61" t="str">
        <f>IFERROR(__xludf.DUMMYFUNCTION("INDIRECT(""'收支紀錄'!R""&amp;TO_TEXT(ROW()-$C$72))"),"")</f>
        <v/>
      </c>
      <c r="S807" s="61" t="str">
        <f>IFERROR(__xludf.DUMMYFUNCTION("INDIRECT(""'收支紀錄'!S""&amp;TO_TEXT(ROW()-$C$72))"),"")</f>
        <v/>
      </c>
      <c r="T807" s="61" t="str">
        <f>IFERROR(__xludf.DUMMYFUNCTION("INDIRECT(""'收支紀錄'!T""&amp;TO_TEXT(ROW()-$C$72))"),"")</f>
        <v/>
      </c>
      <c r="U807" s="62" t="str">
        <f>IFERROR(__xludf.DUMMYFUNCTION("IF(T807=""是"",TEXTJOIN("""", TRUE, ""$"", TO_TEXT(C807), S807),"""")"),"")</f>
        <v/>
      </c>
    </row>
    <row r="808">
      <c r="A808" s="58">
        <f>IFERROR(__xludf.DUMMYFUNCTION("INDIRECT(""'收支紀錄'!A""&amp;TO_TEXT(ROW()-$C$72))"),45765.802853807865)</f>
        <v>45765.80285</v>
      </c>
      <c r="B808" s="59">
        <f>IFERROR(__xludf.DUMMYFUNCTION("IF(ISBLANK(D808), """", IF(ISDATE(D808), D808, IF(D808=""今天"", A808, IF(D808=""昨天 (-1 day)"", A808-1, IF(D808=""前天 (-2 days)"", A808-2, IF(D808=""明天 (+1 day)"", A808+1, DATE(LEFT(D808,4), MID(D808,5,2), RIGHT(D808,2))))))))"),45764.802853807865)</f>
        <v>45764.80285</v>
      </c>
      <c r="C808" s="60">
        <f>IFERROR(__xludf.DUMMYFUNCTION("INDIRECT(""'收支紀錄'!C""&amp;TO_TEXT(ROW()-$C$72))"),100.0)</f>
        <v>100</v>
      </c>
      <c r="D808" s="63" t="str">
        <f>IFERROR(__xludf.DUMMYFUNCTION("INDIRECT(""'收支紀錄'!D""&amp;TO_TEXT(ROW()-$C$72))"),"昨天 (-1 day)")</f>
        <v>昨天 (-1 day)</v>
      </c>
      <c r="E808" s="61" t="str">
        <f>IFERROR(__xludf.DUMMYFUNCTION("INDIRECT(""'收支紀錄'!E""&amp;TO_TEXT(ROW()-$C$72))"),"")</f>
        <v/>
      </c>
      <c r="F808" s="61" t="str">
        <f>IFERROR(__xludf.DUMMYFUNCTION("INDIRECT(""'收支紀錄'!F""&amp;TO_TEXT(ROW()-$C$72))"),"")</f>
        <v/>
      </c>
      <c r="G808" s="61" t="str">
        <f>IFERROR(__xludf.DUMMYFUNCTION("INDIRECT(""'收支紀錄'!G""&amp;TO_TEXT(ROW()-$C$72))"),"")</f>
        <v/>
      </c>
      <c r="H808" s="61" t="str">
        <f>IFERROR(__xludf.DUMMYFUNCTION("INDIRECT(""'收支紀錄'!H""&amp;TO_TEXT(ROW()-$C$72))"),"休閒娛樂")</f>
        <v>休閒娛樂</v>
      </c>
      <c r="I808" s="61" t="str">
        <f>IFERROR(__xludf.DUMMYFUNCTION("INDIRECT(""'收支紀錄'!I""&amp;TO_TEXT(ROW()-$C$72))"),"")</f>
        <v/>
      </c>
      <c r="J808" s="61" t="str">
        <f>IFERROR(__xludf.DUMMYFUNCTION("INDIRECT(""'收支紀錄'!J""&amp;TO_TEXT(ROW()-$C$72))"),"")</f>
        <v/>
      </c>
      <c r="K808" s="61" t="str">
        <f>IFERROR(__xludf.DUMMYFUNCTION("INDIRECT(""'收支紀錄'!K""&amp;TO_TEXT(ROW()-$C$72))"),"")</f>
        <v/>
      </c>
      <c r="L808" s="61" t="str">
        <f>IFERROR(__xludf.DUMMYFUNCTION("INDIRECT(""'收支紀錄'!L""&amp;TO_TEXT(ROW()-$C$72))"),"")</f>
        <v/>
      </c>
      <c r="M808" s="61" t="str">
        <f>IFERROR(__xludf.DUMMYFUNCTION("INDIRECT(""'收支紀錄'!M""&amp;TO_TEXT(ROW()-$C$72))"),"運動健身")</f>
        <v>運動健身</v>
      </c>
      <c r="N808" s="61" t="str">
        <f>IFERROR(__xludf.DUMMYFUNCTION("INDIRECT(""'收支紀錄'!N""&amp;TO_TEXT(ROW()-$C$72))"),"")</f>
        <v/>
      </c>
      <c r="O808" s="61" t="str">
        <f>IFERROR(__xludf.DUMMYFUNCTION("INDIRECT(""'收支紀錄'!O""&amp;TO_TEXT(ROW()-$C$72))"),"")</f>
        <v/>
      </c>
      <c r="P808" s="61" t="str">
        <f>IFERROR(__xludf.DUMMYFUNCTION("INDIRECT(""'收支紀錄'!P""&amp;TO_TEXT(ROW()-$C$72))"),"")</f>
        <v/>
      </c>
      <c r="Q808" s="61" t="str">
        <f>IFERROR(__xludf.DUMMYFUNCTION("INDIRECT(""'收支紀錄'!Q""&amp;TO_TEXT(ROW()-$C$72))"),"")</f>
        <v/>
      </c>
      <c r="R808" s="61" t="str">
        <f>IFERROR(__xludf.DUMMYFUNCTION("INDIRECT(""'收支紀錄'!R""&amp;TO_TEXT(ROW()-$C$72))"),"")</f>
        <v/>
      </c>
      <c r="S808" s="61" t="str">
        <f>IFERROR(__xludf.DUMMYFUNCTION("INDIRECT(""'收支紀錄'!S""&amp;TO_TEXT(ROW()-$C$72))"),"")</f>
        <v/>
      </c>
      <c r="T808" s="61" t="str">
        <f>IFERROR(__xludf.DUMMYFUNCTION("INDIRECT(""'收支紀錄'!T""&amp;TO_TEXT(ROW()-$C$72))"),"")</f>
        <v/>
      </c>
      <c r="U808" s="62" t="str">
        <f>IFERROR(__xludf.DUMMYFUNCTION("IF(T808=""是"",TEXTJOIN("""", TRUE, ""$"", TO_TEXT(C808), S808),"""")"),"")</f>
        <v/>
      </c>
    </row>
    <row r="809">
      <c r="A809" s="58">
        <f>IFERROR(__xludf.DUMMYFUNCTION("INDIRECT(""'收支紀錄'!A""&amp;TO_TEXT(ROW()-$C$72))"),45766.41050893519)</f>
        <v>45766.41051</v>
      </c>
      <c r="B809" s="59">
        <f>IFERROR(__xludf.DUMMYFUNCTION("IF(ISBLANK(D809), """", IF(ISDATE(D809), D809, IF(D809=""今天"", A809, IF(D809=""昨天 (-1 day)"", A809-1, IF(D809=""前天 (-2 days)"", A809-2, IF(D809=""明天 (+1 day)"", A809+1, DATE(LEFT(D809,4), MID(D809,5,2), RIGHT(D809,2))))))))"),45766.41050893519)</f>
        <v>45766.41051</v>
      </c>
      <c r="C809" s="60">
        <f>IFERROR(__xludf.DUMMYFUNCTION("INDIRECT(""'收支紀錄'!C""&amp;TO_TEXT(ROW()-$C$72))"),40.0)</f>
        <v>40</v>
      </c>
      <c r="D809" s="63" t="str">
        <f>IFERROR(__xludf.DUMMYFUNCTION("INDIRECT(""'收支紀錄'!D""&amp;TO_TEXT(ROW()-$C$72))"),"今天")</f>
        <v>今天</v>
      </c>
      <c r="E809" s="61" t="str">
        <f>IFERROR(__xludf.DUMMYFUNCTION("INDIRECT(""'收支紀錄'!E""&amp;TO_TEXT(ROW()-$C$72))"),"")</f>
        <v/>
      </c>
      <c r="F809" s="61" t="str">
        <f>IFERROR(__xludf.DUMMYFUNCTION("INDIRECT(""'收支紀錄'!F""&amp;TO_TEXT(ROW()-$C$72))"),"")</f>
        <v/>
      </c>
      <c r="G809" s="61" t="str">
        <f>IFERROR(__xludf.DUMMYFUNCTION("INDIRECT(""'收支紀錄'!G""&amp;TO_TEXT(ROW()-$C$72))"),"")</f>
        <v/>
      </c>
      <c r="H809" s="61" t="str">
        <f>IFERROR(__xludf.DUMMYFUNCTION("INDIRECT(""'收支紀錄'!H""&amp;TO_TEXT(ROW()-$C$72))"),"行車交通")</f>
        <v>行車交通</v>
      </c>
      <c r="I809" s="61" t="str">
        <f>IFERROR(__xludf.DUMMYFUNCTION("INDIRECT(""'收支紀錄'!I""&amp;TO_TEXT(ROW()-$C$72))"),"")</f>
        <v/>
      </c>
      <c r="J809" s="61" t="str">
        <f>IFERROR(__xludf.DUMMYFUNCTION("INDIRECT(""'收支紀錄'!J""&amp;TO_TEXT(ROW()-$C$72))"),"")</f>
        <v/>
      </c>
      <c r="K809" s="61" t="str">
        <f>IFERROR(__xludf.DUMMYFUNCTION("INDIRECT(""'收支紀錄'!K""&amp;TO_TEXT(ROW()-$C$72))"),"")</f>
        <v/>
      </c>
      <c r="L809" s="61" t="str">
        <f>IFERROR(__xludf.DUMMYFUNCTION("INDIRECT(""'收支紀錄'!L""&amp;TO_TEXT(ROW()-$C$72))"),"停車")</f>
        <v>停車</v>
      </c>
      <c r="M809" s="61" t="str">
        <f>IFERROR(__xludf.DUMMYFUNCTION("INDIRECT(""'收支紀錄'!M""&amp;TO_TEXT(ROW()-$C$72))"),"")</f>
        <v/>
      </c>
      <c r="N809" s="61" t="str">
        <f>IFERROR(__xludf.DUMMYFUNCTION("INDIRECT(""'收支紀錄'!N""&amp;TO_TEXT(ROW()-$C$72))"),"")</f>
        <v/>
      </c>
      <c r="O809" s="61" t="str">
        <f>IFERROR(__xludf.DUMMYFUNCTION("INDIRECT(""'收支紀錄'!O""&amp;TO_TEXT(ROW()-$C$72))"),"")</f>
        <v/>
      </c>
      <c r="P809" s="61" t="str">
        <f>IFERROR(__xludf.DUMMYFUNCTION("INDIRECT(""'收支紀錄'!P""&amp;TO_TEXT(ROW()-$C$72))"),"")</f>
        <v/>
      </c>
      <c r="Q809" s="61" t="str">
        <f>IFERROR(__xludf.DUMMYFUNCTION("INDIRECT(""'收支紀錄'!Q""&amp;TO_TEXT(ROW()-$C$72))"),"")</f>
        <v/>
      </c>
      <c r="R809" s="61" t="str">
        <f>IFERROR(__xludf.DUMMYFUNCTION("INDIRECT(""'收支紀錄'!R""&amp;TO_TEXT(ROW()-$C$72))"),"")</f>
        <v/>
      </c>
      <c r="S809" s="61" t="str">
        <f>IFERROR(__xludf.DUMMYFUNCTION("INDIRECT(""'收支紀錄'!S""&amp;TO_TEXT(ROW()-$C$72))"),"")</f>
        <v/>
      </c>
      <c r="T809" s="61" t="str">
        <f>IFERROR(__xludf.DUMMYFUNCTION("INDIRECT(""'收支紀錄'!T""&amp;TO_TEXT(ROW()-$C$72))"),"")</f>
        <v/>
      </c>
      <c r="U809" s="62" t="str">
        <f>IFERROR(__xludf.DUMMYFUNCTION("IF(T809=""是"",TEXTJOIN("""", TRUE, ""$"", TO_TEXT(C809), S809),"""")"),"")</f>
        <v/>
      </c>
    </row>
    <row r="810">
      <c r="A810" s="58">
        <f>IFERROR(__xludf.DUMMYFUNCTION("INDIRECT(""'收支紀錄'!A""&amp;TO_TEXT(ROW()-$C$72))"),45766.79221743056)</f>
        <v>45766.79222</v>
      </c>
      <c r="B810" s="59">
        <f>IFERROR(__xludf.DUMMYFUNCTION("IF(ISBLANK(D810), """", IF(ISDATE(D810), D810, IF(D810=""今天"", A810, IF(D810=""昨天 (-1 day)"", A810-1, IF(D810=""前天 (-2 days)"", A810-2, IF(D810=""明天 (+1 day)"", A810+1, DATE(LEFT(D810,4), MID(D810,5,2), RIGHT(D810,2))))))))"),45766.79221743056)</f>
        <v>45766.79222</v>
      </c>
      <c r="C810" s="60">
        <f>IFERROR(__xludf.DUMMYFUNCTION("INDIRECT(""'收支紀錄'!C""&amp;TO_TEXT(ROW()-$C$72))"),65.0)</f>
        <v>65</v>
      </c>
      <c r="D810" s="63" t="str">
        <f>IFERROR(__xludf.DUMMYFUNCTION("INDIRECT(""'收支紀錄'!D""&amp;TO_TEXT(ROW()-$C$72))"),"今天")</f>
        <v>今天</v>
      </c>
      <c r="E810" s="61" t="str">
        <f>IFERROR(__xludf.DUMMYFUNCTION("INDIRECT(""'收支紀錄'!E""&amp;TO_TEXT(ROW()-$C$72))"),"")</f>
        <v/>
      </c>
      <c r="F810" s="61" t="str">
        <f>IFERROR(__xludf.DUMMYFUNCTION("INDIRECT(""'收支紀錄'!F""&amp;TO_TEXT(ROW()-$C$72))"),"")</f>
        <v/>
      </c>
      <c r="G810" s="61" t="str">
        <f>IFERROR(__xludf.DUMMYFUNCTION("INDIRECT(""'收支紀錄'!G""&amp;TO_TEXT(ROW()-$C$72))"),"")</f>
        <v/>
      </c>
      <c r="H810" s="61" t="str">
        <f>IFERROR(__xludf.DUMMYFUNCTION("INDIRECT(""'收支紀錄'!H""&amp;TO_TEXT(ROW()-$C$72))"),"食品酒水")</f>
        <v>食品酒水</v>
      </c>
      <c r="I810" s="61" t="str">
        <f>IFERROR(__xludf.DUMMYFUNCTION("INDIRECT(""'收支紀錄'!I""&amp;TO_TEXT(ROW()-$C$72))"),"早餐")</f>
        <v>早餐</v>
      </c>
      <c r="J810" s="61" t="str">
        <f>IFERROR(__xludf.DUMMYFUNCTION("INDIRECT(""'收支紀錄'!J""&amp;TO_TEXT(ROW()-$C$72))"),"")</f>
        <v/>
      </c>
      <c r="K810" s="61" t="str">
        <f>IFERROR(__xludf.DUMMYFUNCTION("INDIRECT(""'收支紀錄'!K""&amp;TO_TEXT(ROW()-$C$72))"),"")</f>
        <v/>
      </c>
      <c r="L810" s="61" t="str">
        <f>IFERROR(__xludf.DUMMYFUNCTION("INDIRECT(""'收支紀錄'!L""&amp;TO_TEXT(ROW()-$C$72))"),"")</f>
        <v/>
      </c>
      <c r="M810" s="61" t="str">
        <f>IFERROR(__xludf.DUMMYFUNCTION("INDIRECT(""'收支紀錄'!M""&amp;TO_TEXT(ROW()-$C$72))"),"")</f>
        <v/>
      </c>
      <c r="N810" s="61" t="str">
        <f>IFERROR(__xludf.DUMMYFUNCTION("INDIRECT(""'收支紀錄'!N""&amp;TO_TEXT(ROW()-$C$72))"),"")</f>
        <v/>
      </c>
      <c r="O810" s="61" t="str">
        <f>IFERROR(__xludf.DUMMYFUNCTION("INDIRECT(""'收支紀錄'!O""&amp;TO_TEXT(ROW()-$C$72))"),"")</f>
        <v/>
      </c>
      <c r="P810" s="61" t="str">
        <f>IFERROR(__xludf.DUMMYFUNCTION("INDIRECT(""'收支紀錄'!P""&amp;TO_TEXT(ROW()-$C$72))"),"")</f>
        <v/>
      </c>
      <c r="Q810" s="61" t="str">
        <f>IFERROR(__xludf.DUMMYFUNCTION("INDIRECT(""'收支紀錄'!Q""&amp;TO_TEXT(ROW()-$C$72))"),"")</f>
        <v/>
      </c>
      <c r="R810" s="61" t="str">
        <f>IFERROR(__xludf.DUMMYFUNCTION("INDIRECT(""'收支紀錄'!R""&amp;TO_TEXT(ROW()-$C$72))"),"")</f>
        <v/>
      </c>
      <c r="S810" s="61" t="str">
        <f>IFERROR(__xludf.DUMMYFUNCTION("INDIRECT(""'收支紀錄'!S""&amp;TO_TEXT(ROW()-$C$72))"),"")</f>
        <v/>
      </c>
      <c r="T810" s="61" t="str">
        <f>IFERROR(__xludf.DUMMYFUNCTION("INDIRECT(""'收支紀錄'!T""&amp;TO_TEXT(ROW()-$C$72))"),"")</f>
        <v/>
      </c>
      <c r="U810" s="62" t="str">
        <f>IFERROR(__xludf.DUMMYFUNCTION("IF(T810=""是"",TEXTJOIN("""", TRUE, ""$"", TO_TEXT(C810), S810),"""")"),"")</f>
        <v/>
      </c>
    </row>
    <row r="811">
      <c r="A811" s="58">
        <f>IFERROR(__xludf.DUMMYFUNCTION("INDIRECT(""'收支紀錄'!A""&amp;TO_TEXT(ROW()-$C$72))"),45766.79538178241)</f>
        <v>45766.79538</v>
      </c>
      <c r="B811" s="59">
        <f>IFERROR(__xludf.DUMMYFUNCTION("IF(ISBLANK(D811), """", IF(ISDATE(D811), D811, IF(D811=""今天"", A811, IF(D811=""昨天 (-1 day)"", A811-1, IF(D811=""前天 (-2 days)"", A811-2, IF(D811=""明天 (+1 day)"", A811+1, DATE(LEFT(D811,4), MID(D811,5,2), RIGHT(D811,2))))))))"),45766.79538178241)</f>
        <v>45766.79538</v>
      </c>
      <c r="C811" s="60">
        <f>IFERROR(__xludf.DUMMYFUNCTION("INDIRECT(""'收支紀錄'!C""&amp;TO_TEXT(ROW()-$C$72))"),49.0)</f>
        <v>49</v>
      </c>
      <c r="D811" s="63" t="str">
        <f>IFERROR(__xludf.DUMMYFUNCTION("INDIRECT(""'收支紀錄'!D""&amp;TO_TEXT(ROW()-$C$72))"),"今天")</f>
        <v>今天</v>
      </c>
      <c r="E811" s="61" t="str">
        <f>IFERROR(__xludf.DUMMYFUNCTION("INDIRECT(""'收支紀錄'!E""&amp;TO_TEXT(ROW()-$C$72))"),"")</f>
        <v/>
      </c>
      <c r="F811" s="61" t="str">
        <f>IFERROR(__xludf.DUMMYFUNCTION("INDIRECT(""'收支紀錄'!F""&amp;TO_TEXT(ROW()-$C$72))"),"")</f>
        <v/>
      </c>
      <c r="G811" s="61" t="str">
        <f>IFERROR(__xludf.DUMMYFUNCTION("INDIRECT(""'收支紀錄'!G""&amp;TO_TEXT(ROW()-$C$72))"),"")</f>
        <v/>
      </c>
      <c r="H811" s="61" t="str">
        <f>IFERROR(__xludf.DUMMYFUNCTION("INDIRECT(""'收支紀錄'!H""&amp;TO_TEXT(ROW()-$C$72))"),"日常生活")</f>
        <v>日常生活</v>
      </c>
      <c r="I811" s="61" t="str">
        <f>IFERROR(__xludf.DUMMYFUNCTION("INDIRECT(""'收支紀錄'!I""&amp;TO_TEXT(ROW()-$C$72))"),"")</f>
        <v/>
      </c>
      <c r="J811" s="61" t="str">
        <f>IFERROR(__xludf.DUMMYFUNCTION("INDIRECT(""'收支紀錄'!J""&amp;TO_TEXT(ROW()-$C$72))"),"日常用品")</f>
        <v>日常用品</v>
      </c>
      <c r="K811" s="61" t="str">
        <f>IFERROR(__xludf.DUMMYFUNCTION("INDIRECT(""'收支紀錄'!K""&amp;TO_TEXT(ROW()-$C$72))"),"")</f>
        <v/>
      </c>
      <c r="L811" s="61" t="str">
        <f>IFERROR(__xludf.DUMMYFUNCTION("INDIRECT(""'收支紀錄'!L""&amp;TO_TEXT(ROW()-$C$72))"),"")</f>
        <v/>
      </c>
      <c r="M811" s="61" t="str">
        <f>IFERROR(__xludf.DUMMYFUNCTION("INDIRECT(""'收支紀錄'!M""&amp;TO_TEXT(ROW()-$C$72))"),"")</f>
        <v/>
      </c>
      <c r="N811" s="61" t="str">
        <f>IFERROR(__xludf.DUMMYFUNCTION("INDIRECT(""'收支紀錄'!N""&amp;TO_TEXT(ROW()-$C$72))"),"")</f>
        <v/>
      </c>
      <c r="O811" s="61" t="str">
        <f>IFERROR(__xludf.DUMMYFUNCTION("INDIRECT(""'收支紀錄'!O""&amp;TO_TEXT(ROW()-$C$72))"),"")</f>
        <v/>
      </c>
      <c r="P811" s="61" t="str">
        <f>IFERROR(__xludf.DUMMYFUNCTION("INDIRECT(""'收支紀錄'!P""&amp;TO_TEXT(ROW()-$C$72))"),"")</f>
        <v/>
      </c>
      <c r="Q811" s="61" t="str">
        <f>IFERROR(__xludf.DUMMYFUNCTION("INDIRECT(""'收支紀錄'!Q""&amp;TO_TEXT(ROW()-$C$72))"),"")</f>
        <v/>
      </c>
      <c r="R811" s="61" t="str">
        <f>IFERROR(__xludf.DUMMYFUNCTION("INDIRECT(""'收支紀錄'!R""&amp;TO_TEXT(ROW()-$C$72))"),"")</f>
        <v/>
      </c>
      <c r="S811" s="61" t="str">
        <f>IFERROR(__xludf.DUMMYFUNCTION("INDIRECT(""'收支紀錄'!S""&amp;TO_TEXT(ROW()-$C$72))"),"")</f>
        <v/>
      </c>
      <c r="T811" s="61" t="str">
        <f>IFERROR(__xludf.DUMMYFUNCTION("INDIRECT(""'收支紀錄'!T""&amp;TO_TEXT(ROW()-$C$72))"),"")</f>
        <v/>
      </c>
      <c r="U811" s="62" t="str">
        <f>IFERROR(__xludf.DUMMYFUNCTION("IF(T811=""是"",TEXTJOIN("""", TRUE, ""$"", TO_TEXT(C811), S811),"""")"),"")</f>
        <v/>
      </c>
    </row>
    <row r="812">
      <c r="A812" s="58">
        <f>IFERROR(__xludf.DUMMYFUNCTION("INDIRECT(""'收支紀錄'!A""&amp;TO_TEXT(ROW()-$C$72))"),45766.79556143518)</f>
        <v>45766.79556</v>
      </c>
      <c r="B812" s="59">
        <f>IFERROR(__xludf.DUMMYFUNCTION("IF(ISBLANK(D812), """", IF(ISDATE(D812), D812, IF(D812=""今天"", A812, IF(D812=""昨天 (-1 day)"", A812-1, IF(D812=""前天 (-2 days)"", A812-2, IF(D812=""明天 (+1 day)"", A812+1, DATE(LEFT(D812,4), MID(D812,5,2), RIGHT(D812,2))))))))"),45766.79556143518)</f>
        <v>45766.79556</v>
      </c>
      <c r="C812" s="60">
        <f>IFERROR(__xludf.DUMMYFUNCTION("INDIRECT(""'收支紀錄'!C""&amp;TO_TEXT(ROW()-$C$72))"),619.0)</f>
        <v>619</v>
      </c>
      <c r="D812" s="63" t="str">
        <f>IFERROR(__xludf.DUMMYFUNCTION("INDIRECT(""'收支紀錄'!D""&amp;TO_TEXT(ROW()-$C$72))"),"今天")</f>
        <v>今天</v>
      </c>
      <c r="E812" s="61" t="str">
        <f>IFERROR(__xludf.DUMMYFUNCTION("INDIRECT(""'收支紀錄'!E""&amp;TO_TEXT(ROW()-$C$72))"),"")</f>
        <v/>
      </c>
      <c r="F812" s="61" t="str">
        <f>IFERROR(__xludf.DUMMYFUNCTION("INDIRECT(""'收支紀錄'!F""&amp;TO_TEXT(ROW()-$C$72))"),"")</f>
        <v/>
      </c>
      <c r="G812" s="61" t="str">
        <f>IFERROR(__xludf.DUMMYFUNCTION("INDIRECT(""'收支紀錄'!G""&amp;TO_TEXT(ROW()-$C$72))"),"")</f>
        <v/>
      </c>
      <c r="H812" s="61" t="str">
        <f>IFERROR(__xludf.DUMMYFUNCTION("INDIRECT(""'收支紀錄'!H""&amp;TO_TEXT(ROW()-$C$72))"),"日常生活")</f>
        <v>日常生活</v>
      </c>
      <c r="I812" s="61" t="str">
        <f>IFERROR(__xludf.DUMMYFUNCTION("INDIRECT(""'收支紀錄'!I""&amp;TO_TEXT(ROW()-$C$72))"),"")</f>
        <v/>
      </c>
      <c r="J812" s="61" t="str">
        <f>IFERROR(__xludf.DUMMYFUNCTION("INDIRECT(""'收支紀錄'!J""&amp;TO_TEXT(ROW()-$C$72))"),"日常用品")</f>
        <v>日常用品</v>
      </c>
      <c r="K812" s="61" t="str">
        <f>IFERROR(__xludf.DUMMYFUNCTION("INDIRECT(""'收支紀錄'!K""&amp;TO_TEXT(ROW()-$C$72))"),"")</f>
        <v/>
      </c>
      <c r="L812" s="61" t="str">
        <f>IFERROR(__xludf.DUMMYFUNCTION("INDIRECT(""'收支紀錄'!L""&amp;TO_TEXT(ROW()-$C$72))"),"")</f>
        <v/>
      </c>
      <c r="M812" s="61" t="str">
        <f>IFERROR(__xludf.DUMMYFUNCTION("INDIRECT(""'收支紀錄'!M""&amp;TO_TEXT(ROW()-$C$72))"),"")</f>
        <v/>
      </c>
      <c r="N812" s="61" t="str">
        <f>IFERROR(__xludf.DUMMYFUNCTION("INDIRECT(""'收支紀錄'!N""&amp;TO_TEXT(ROW()-$C$72))"),"")</f>
        <v/>
      </c>
      <c r="O812" s="61" t="str">
        <f>IFERROR(__xludf.DUMMYFUNCTION("INDIRECT(""'收支紀錄'!O""&amp;TO_TEXT(ROW()-$C$72))"),"")</f>
        <v/>
      </c>
      <c r="P812" s="61" t="str">
        <f>IFERROR(__xludf.DUMMYFUNCTION("INDIRECT(""'收支紀錄'!P""&amp;TO_TEXT(ROW()-$C$72))"),"")</f>
        <v/>
      </c>
      <c r="Q812" s="61" t="str">
        <f>IFERROR(__xludf.DUMMYFUNCTION("INDIRECT(""'收支紀錄'!Q""&amp;TO_TEXT(ROW()-$C$72))"),"")</f>
        <v/>
      </c>
      <c r="R812" s="61" t="str">
        <f>IFERROR(__xludf.DUMMYFUNCTION("INDIRECT(""'收支紀錄'!R""&amp;TO_TEXT(ROW()-$C$72))"),"")</f>
        <v/>
      </c>
      <c r="S812" s="61" t="str">
        <f>IFERROR(__xludf.DUMMYFUNCTION("INDIRECT(""'收支紀錄'!S""&amp;TO_TEXT(ROW()-$C$72))"),"")</f>
        <v/>
      </c>
      <c r="T812" s="61" t="str">
        <f>IFERROR(__xludf.DUMMYFUNCTION("INDIRECT(""'收支紀錄'!T""&amp;TO_TEXT(ROW()-$C$72))"),"")</f>
        <v/>
      </c>
      <c r="U812" s="62" t="str">
        <f>IFERROR(__xludf.DUMMYFUNCTION("IF(T812=""是"",TEXTJOIN("""", TRUE, ""$"", TO_TEXT(C812), S812),"""")"),"")</f>
        <v/>
      </c>
    </row>
    <row r="813">
      <c r="A813" s="58">
        <f>IFERROR(__xludf.DUMMYFUNCTION("INDIRECT(""'收支紀錄'!A""&amp;TO_TEXT(ROW()-$C$72))"),45766.79694082176)</f>
        <v>45766.79694</v>
      </c>
      <c r="B813" s="59">
        <f>IFERROR(__xludf.DUMMYFUNCTION("IF(ISBLANK(D813), """", IF(ISDATE(D813), D813, IF(D813=""今天"", A813, IF(D813=""昨天 (-1 day)"", A813-1, IF(D813=""前天 (-2 days)"", A813-2, IF(D813=""明天 (+1 day)"", A813+1, DATE(LEFT(D813,4), MID(D813,5,2), RIGHT(D813,2))))))))"),45766.79694082176)</f>
        <v>45766.79694</v>
      </c>
      <c r="C813" s="60">
        <f>IFERROR(__xludf.DUMMYFUNCTION("INDIRECT(""'收支紀錄'!C""&amp;TO_TEXT(ROW()-$C$72))"),100.0)</f>
        <v>100</v>
      </c>
      <c r="D813" s="63" t="str">
        <f>IFERROR(__xludf.DUMMYFUNCTION("INDIRECT(""'收支紀錄'!D""&amp;TO_TEXT(ROW()-$C$72))"),"今天")</f>
        <v>今天</v>
      </c>
      <c r="E813" s="61" t="str">
        <f>IFERROR(__xludf.DUMMYFUNCTION("INDIRECT(""'收支紀錄'!E""&amp;TO_TEXT(ROW()-$C$72))"),"")</f>
        <v/>
      </c>
      <c r="F813" s="61" t="str">
        <f>IFERROR(__xludf.DUMMYFUNCTION("INDIRECT(""'收支紀錄'!F""&amp;TO_TEXT(ROW()-$C$72))"),"")</f>
        <v/>
      </c>
      <c r="G813" s="61" t="str">
        <f>IFERROR(__xludf.DUMMYFUNCTION("INDIRECT(""'收支紀錄'!G""&amp;TO_TEXT(ROW()-$C$72))"),"")</f>
        <v/>
      </c>
      <c r="H813" s="61" t="str">
        <f>IFERROR(__xludf.DUMMYFUNCTION("INDIRECT(""'收支紀錄'!H""&amp;TO_TEXT(ROW()-$C$72))"),"休閒娛樂")</f>
        <v>休閒娛樂</v>
      </c>
      <c r="I813" s="61" t="str">
        <f>IFERROR(__xludf.DUMMYFUNCTION("INDIRECT(""'收支紀錄'!I""&amp;TO_TEXT(ROW()-$C$72))"),"")</f>
        <v/>
      </c>
      <c r="J813" s="61" t="str">
        <f>IFERROR(__xludf.DUMMYFUNCTION("INDIRECT(""'收支紀錄'!J""&amp;TO_TEXT(ROW()-$C$72))"),"")</f>
        <v/>
      </c>
      <c r="K813" s="61" t="str">
        <f>IFERROR(__xludf.DUMMYFUNCTION("INDIRECT(""'收支紀錄'!K""&amp;TO_TEXT(ROW()-$C$72))"),"")</f>
        <v/>
      </c>
      <c r="L813" s="61" t="str">
        <f>IFERROR(__xludf.DUMMYFUNCTION("INDIRECT(""'收支紀錄'!L""&amp;TO_TEXT(ROW()-$C$72))"),"")</f>
        <v/>
      </c>
      <c r="M813" s="61" t="str">
        <f>IFERROR(__xludf.DUMMYFUNCTION("INDIRECT(""'收支紀錄'!M""&amp;TO_TEXT(ROW()-$C$72))"),"運動健身")</f>
        <v>運動健身</v>
      </c>
      <c r="N813" s="61" t="str">
        <f>IFERROR(__xludf.DUMMYFUNCTION("INDIRECT(""'收支紀錄'!N""&amp;TO_TEXT(ROW()-$C$72))"),"")</f>
        <v/>
      </c>
      <c r="O813" s="61" t="str">
        <f>IFERROR(__xludf.DUMMYFUNCTION("INDIRECT(""'收支紀錄'!O""&amp;TO_TEXT(ROW()-$C$72))"),"")</f>
        <v/>
      </c>
      <c r="P813" s="61" t="str">
        <f>IFERROR(__xludf.DUMMYFUNCTION("INDIRECT(""'收支紀錄'!P""&amp;TO_TEXT(ROW()-$C$72))"),"")</f>
        <v/>
      </c>
      <c r="Q813" s="61" t="str">
        <f>IFERROR(__xludf.DUMMYFUNCTION("INDIRECT(""'收支紀錄'!Q""&amp;TO_TEXT(ROW()-$C$72))"),"")</f>
        <v/>
      </c>
      <c r="R813" s="61" t="str">
        <f>IFERROR(__xludf.DUMMYFUNCTION("INDIRECT(""'收支紀錄'!R""&amp;TO_TEXT(ROW()-$C$72))"),"")</f>
        <v/>
      </c>
      <c r="S813" s="61" t="str">
        <f>IFERROR(__xludf.DUMMYFUNCTION("INDIRECT(""'收支紀錄'!S""&amp;TO_TEXT(ROW()-$C$72))"),"")</f>
        <v/>
      </c>
      <c r="T813" s="61" t="str">
        <f>IFERROR(__xludf.DUMMYFUNCTION("INDIRECT(""'收支紀錄'!T""&amp;TO_TEXT(ROW()-$C$72))"),"")</f>
        <v/>
      </c>
      <c r="U813" s="62" t="str">
        <f>IFERROR(__xludf.DUMMYFUNCTION("IF(T813=""是"",TEXTJOIN("""", TRUE, ""$"", TO_TEXT(C813), S813),"""")"),"")</f>
        <v/>
      </c>
    </row>
    <row r="814">
      <c r="A814" s="58">
        <f>IFERROR(__xludf.DUMMYFUNCTION("INDIRECT(""'收支紀錄'!A""&amp;TO_TEXT(ROW()-$C$72))"),45766.805366851855)</f>
        <v>45766.80537</v>
      </c>
      <c r="B814" s="59">
        <f>IFERROR(__xludf.DUMMYFUNCTION("IF(ISBLANK(D814), """", IF(ISDATE(D814), D814, IF(D814=""今天"", A814, IF(D814=""昨天 (-1 day)"", A814-1, IF(D814=""前天 (-2 days)"", A814-2, IF(D814=""明天 (+1 day)"", A814+1, DATE(LEFT(D814,4), MID(D814,5,2), RIGHT(D814,2))))))))"),45766.805366851855)</f>
        <v>45766.80537</v>
      </c>
      <c r="C814" s="60">
        <f>IFERROR(__xludf.DUMMYFUNCTION("INDIRECT(""'收支紀錄'!C""&amp;TO_TEXT(ROW()-$C$72))"),606.0)</f>
        <v>606</v>
      </c>
      <c r="D814" s="63" t="str">
        <f>IFERROR(__xludf.DUMMYFUNCTION("INDIRECT(""'收支紀錄'!D""&amp;TO_TEXT(ROW()-$C$72))"),"今天")</f>
        <v>今天</v>
      </c>
      <c r="E814" s="61" t="str">
        <f>IFERROR(__xludf.DUMMYFUNCTION("INDIRECT(""'收支紀錄'!E""&amp;TO_TEXT(ROW()-$C$72))"),"")</f>
        <v/>
      </c>
      <c r="F814" s="61" t="str">
        <f>IFERROR(__xludf.DUMMYFUNCTION("INDIRECT(""'收支紀錄'!F""&amp;TO_TEXT(ROW()-$C$72))"),"")</f>
        <v/>
      </c>
      <c r="G814" s="61" t="str">
        <f>IFERROR(__xludf.DUMMYFUNCTION("INDIRECT(""'收支紀錄'!G""&amp;TO_TEXT(ROW()-$C$72))"),"")</f>
        <v/>
      </c>
      <c r="H814" s="61" t="str">
        <f>IFERROR(__xludf.DUMMYFUNCTION("INDIRECT(""'收支紀錄'!H""&amp;TO_TEXT(ROW()-$C$72))"),"行車交通")</f>
        <v>行車交通</v>
      </c>
      <c r="I814" s="61" t="str">
        <f>IFERROR(__xludf.DUMMYFUNCTION("INDIRECT(""'收支紀錄'!I""&amp;TO_TEXT(ROW()-$C$72))"),"")</f>
        <v/>
      </c>
      <c r="J814" s="61" t="str">
        <f>IFERROR(__xludf.DUMMYFUNCTION("INDIRECT(""'收支紀錄'!J""&amp;TO_TEXT(ROW()-$C$72))"),"")</f>
        <v/>
      </c>
      <c r="K814" s="61" t="str">
        <f>IFERROR(__xludf.DUMMYFUNCTION("INDIRECT(""'收支紀錄'!K""&amp;TO_TEXT(ROW()-$C$72))"),"")</f>
        <v/>
      </c>
      <c r="L814" s="61" t="str">
        <f>IFERROR(__xludf.DUMMYFUNCTION("INDIRECT(""'收支紀錄'!L""&amp;TO_TEXT(ROW()-$C$72))"),"加油")</f>
        <v>加油</v>
      </c>
      <c r="M814" s="61" t="str">
        <f>IFERROR(__xludf.DUMMYFUNCTION("INDIRECT(""'收支紀錄'!M""&amp;TO_TEXT(ROW()-$C$72))"),"")</f>
        <v/>
      </c>
      <c r="N814" s="61" t="str">
        <f>IFERROR(__xludf.DUMMYFUNCTION("INDIRECT(""'收支紀錄'!N""&amp;TO_TEXT(ROW()-$C$72))"),"")</f>
        <v/>
      </c>
      <c r="O814" s="61" t="str">
        <f>IFERROR(__xludf.DUMMYFUNCTION("INDIRECT(""'收支紀錄'!O""&amp;TO_TEXT(ROW()-$C$72))"),"")</f>
        <v/>
      </c>
      <c r="P814" s="61" t="str">
        <f>IFERROR(__xludf.DUMMYFUNCTION("INDIRECT(""'收支紀錄'!P""&amp;TO_TEXT(ROW()-$C$72))"),"")</f>
        <v/>
      </c>
      <c r="Q814" s="61" t="str">
        <f>IFERROR(__xludf.DUMMYFUNCTION("INDIRECT(""'收支紀錄'!Q""&amp;TO_TEXT(ROW()-$C$72))"),"")</f>
        <v/>
      </c>
      <c r="R814" s="61" t="str">
        <f>IFERROR(__xludf.DUMMYFUNCTION("INDIRECT(""'收支紀錄'!R""&amp;TO_TEXT(ROW()-$C$72))"),"")</f>
        <v/>
      </c>
      <c r="S814" s="61" t="str">
        <f>IFERROR(__xludf.DUMMYFUNCTION("INDIRECT(""'收支紀錄'!S""&amp;TO_TEXT(ROW()-$C$72))"),"")</f>
        <v/>
      </c>
      <c r="T814" s="61" t="str">
        <f>IFERROR(__xludf.DUMMYFUNCTION("INDIRECT(""'收支紀錄'!T""&amp;TO_TEXT(ROW()-$C$72))"),"")</f>
        <v/>
      </c>
      <c r="U814" s="62" t="str">
        <f>IFERROR(__xludf.DUMMYFUNCTION("IF(T814=""是"",TEXTJOIN("""", TRUE, ""$"", TO_TEXT(C814), S814),"""")"),"")</f>
        <v/>
      </c>
    </row>
    <row r="815">
      <c r="A815" s="58">
        <f>IFERROR(__xludf.DUMMYFUNCTION("INDIRECT(""'收支紀錄'!A""&amp;TO_TEXT(ROW()-$C$72))"),45767.81028953704)</f>
        <v>45767.81029</v>
      </c>
      <c r="B815" s="59">
        <f>IFERROR(__xludf.DUMMYFUNCTION("IF(ISBLANK(D815), """", IF(ISDATE(D815), D815, IF(D815=""今天"", A815, IF(D815=""昨天 (-1 day)"", A815-1, IF(D815=""前天 (-2 days)"", A815-2, IF(D815=""明天 (+1 day)"", A815+1, DATE(LEFT(D815,4), MID(D815,5,2), RIGHT(D815,2))))))))"),45767.81028953704)</f>
        <v>45767.81029</v>
      </c>
      <c r="C815" s="60">
        <f>IFERROR(__xludf.DUMMYFUNCTION("INDIRECT(""'收支紀錄'!C""&amp;TO_TEXT(ROW()-$C$72))"),30.0)</f>
        <v>30</v>
      </c>
      <c r="D815" s="63" t="str">
        <f>IFERROR(__xludf.DUMMYFUNCTION("INDIRECT(""'收支紀錄'!D""&amp;TO_TEXT(ROW()-$C$72))"),"今天")</f>
        <v>今天</v>
      </c>
      <c r="E815" s="61" t="str">
        <f>IFERROR(__xludf.DUMMYFUNCTION("INDIRECT(""'收支紀錄'!E""&amp;TO_TEXT(ROW()-$C$72))"),"")</f>
        <v/>
      </c>
      <c r="F815" s="61" t="str">
        <f>IFERROR(__xludf.DUMMYFUNCTION("INDIRECT(""'收支紀錄'!F""&amp;TO_TEXT(ROW()-$C$72))"),"")</f>
        <v/>
      </c>
      <c r="G815" s="61" t="str">
        <f>IFERROR(__xludf.DUMMYFUNCTION("INDIRECT(""'收支紀錄'!G""&amp;TO_TEXT(ROW()-$C$72))"),"")</f>
        <v/>
      </c>
      <c r="H815" s="61" t="str">
        <f>IFERROR(__xludf.DUMMYFUNCTION("INDIRECT(""'收支紀錄'!H""&amp;TO_TEXT(ROW()-$C$72))"),"食品酒水")</f>
        <v>食品酒水</v>
      </c>
      <c r="I815" s="61" t="str">
        <f>IFERROR(__xludf.DUMMYFUNCTION("INDIRECT(""'收支紀錄'!I""&amp;TO_TEXT(ROW()-$C$72))"),"早餐")</f>
        <v>早餐</v>
      </c>
      <c r="J815" s="61" t="str">
        <f>IFERROR(__xludf.DUMMYFUNCTION("INDIRECT(""'收支紀錄'!J""&amp;TO_TEXT(ROW()-$C$72))"),"")</f>
        <v/>
      </c>
      <c r="K815" s="61" t="str">
        <f>IFERROR(__xludf.DUMMYFUNCTION("INDIRECT(""'收支紀錄'!K""&amp;TO_TEXT(ROW()-$C$72))"),"")</f>
        <v/>
      </c>
      <c r="L815" s="61" t="str">
        <f>IFERROR(__xludf.DUMMYFUNCTION("INDIRECT(""'收支紀錄'!L""&amp;TO_TEXT(ROW()-$C$72))"),"")</f>
        <v/>
      </c>
      <c r="M815" s="61" t="str">
        <f>IFERROR(__xludf.DUMMYFUNCTION("INDIRECT(""'收支紀錄'!M""&amp;TO_TEXT(ROW()-$C$72))"),"")</f>
        <v/>
      </c>
      <c r="N815" s="61" t="str">
        <f>IFERROR(__xludf.DUMMYFUNCTION("INDIRECT(""'收支紀錄'!N""&amp;TO_TEXT(ROW()-$C$72))"),"")</f>
        <v/>
      </c>
      <c r="O815" s="61" t="str">
        <f>IFERROR(__xludf.DUMMYFUNCTION("INDIRECT(""'收支紀錄'!O""&amp;TO_TEXT(ROW()-$C$72))"),"")</f>
        <v/>
      </c>
      <c r="P815" s="61" t="str">
        <f>IFERROR(__xludf.DUMMYFUNCTION("INDIRECT(""'收支紀錄'!P""&amp;TO_TEXT(ROW()-$C$72))"),"")</f>
        <v/>
      </c>
      <c r="Q815" s="61" t="str">
        <f>IFERROR(__xludf.DUMMYFUNCTION("INDIRECT(""'收支紀錄'!Q""&amp;TO_TEXT(ROW()-$C$72))"),"")</f>
        <v/>
      </c>
      <c r="R815" s="61" t="str">
        <f>IFERROR(__xludf.DUMMYFUNCTION("INDIRECT(""'收支紀錄'!R""&amp;TO_TEXT(ROW()-$C$72))"),"")</f>
        <v/>
      </c>
      <c r="S815" s="61" t="str">
        <f>IFERROR(__xludf.DUMMYFUNCTION("INDIRECT(""'收支紀錄'!S""&amp;TO_TEXT(ROW()-$C$72))"),"")</f>
        <v/>
      </c>
      <c r="T815" s="61" t="str">
        <f>IFERROR(__xludf.DUMMYFUNCTION("INDIRECT(""'收支紀錄'!T""&amp;TO_TEXT(ROW()-$C$72))"),"")</f>
        <v/>
      </c>
      <c r="U815" s="62" t="str">
        <f>IFERROR(__xludf.DUMMYFUNCTION("IF(T815=""是"",TEXTJOIN("""", TRUE, ""$"", TO_TEXT(C815), S815),"""")"),"")</f>
        <v/>
      </c>
    </row>
    <row r="816">
      <c r="A816" s="58">
        <f>IFERROR(__xludf.DUMMYFUNCTION("INDIRECT(""'收支紀錄'!A""&amp;TO_TEXT(ROW()-$C$72))"),45767.81043709491)</f>
        <v>45767.81044</v>
      </c>
      <c r="B816" s="59">
        <f>IFERROR(__xludf.DUMMYFUNCTION("IF(ISBLANK(D816), """", IF(ISDATE(D816), D816, IF(D816=""今天"", A816, IF(D816=""昨天 (-1 day)"", A816-1, IF(D816=""前天 (-2 days)"", A816-2, IF(D816=""明天 (+1 day)"", A816+1, DATE(LEFT(D816,4), MID(D816,5,2), RIGHT(D816,2))))))))"),45767.81043709491)</f>
        <v>45767.81044</v>
      </c>
      <c r="C816" s="60">
        <f>IFERROR(__xludf.DUMMYFUNCTION("INDIRECT(""'收支紀錄'!C""&amp;TO_TEXT(ROW()-$C$72))"),355.0)</f>
        <v>355</v>
      </c>
      <c r="D816" s="63" t="str">
        <f>IFERROR(__xludf.DUMMYFUNCTION("INDIRECT(""'收支紀錄'!D""&amp;TO_TEXT(ROW()-$C$72))"),"今天")</f>
        <v>今天</v>
      </c>
      <c r="E816" s="61" t="str">
        <f>IFERROR(__xludf.DUMMYFUNCTION("INDIRECT(""'收支紀錄'!E""&amp;TO_TEXT(ROW()-$C$72))"),"")</f>
        <v/>
      </c>
      <c r="F816" s="61" t="str">
        <f>IFERROR(__xludf.DUMMYFUNCTION("INDIRECT(""'收支紀錄'!F""&amp;TO_TEXT(ROW()-$C$72))"),"")</f>
        <v/>
      </c>
      <c r="G816" s="61" t="str">
        <f>IFERROR(__xludf.DUMMYFUNCTION("INDIRECT(""'收支紀錄'!G""&amp;TO_TEXT(ROW()-$C$72))"),"")</f>
        <v/>
      </c>
      <c r="H816" s="61" t="str">
        <f>IFERROR(__xludf.DUMMYFUNCTION("INDIRECT(""'收支紀錄'!H""&amp;TO_TEXT(ROW()-$C$72))"),"食品酒水")</f>
        <v>食品酒水</v>
      </c>
      <c r="I816" s="61" t="str">
        <f>IFERROR(__xludf.DUMMYFUNCTION("INDIRECT(""'收支紀錄'!I""&amp;TO_TEXT(ROW()-$C$72))"),"午餐")</f>
        <v>午餐</v>
      </c>
      <c r="J816" s="61" t="str">
        <f>IFERROR(__xludf.DUMMYFUNCTION("INDIRECT(""'收支紀錄'!J""&amp;TO_TEXT(ROW()-$C$72))"),"")</f>
        <v/>
      </c>
      <c r="K816" s="61" t="str">
        <f>IFERROR(__xludf.DUMMYFUNCTION("INDIRECT(""'收支紀錄'!K""&amp;TO_TEXT(ROW()-$C$72))"),"")</f>
        <v/>
      </c>
      <c r="L816" s="61" t="str">
        <f>IFERROR(__xludf.DUMMYFUNCTION("INDIRECT(""'收支紀錄'!L""&amp;TO_TEXT(ROW()-$C$72))"),"")</f>
        <v/>
      </c>
      <c r="M816" s="61" t="str">
        <f>IFERROR(__xludf.DUMMYFUNCTION("INDIRECT(""'收支紀錄'!M""&amp;TO_TEXT(ROW()-$C$72))"),"")</f>
        <v/>
      </c>
      <c r="N816" s="61" t="str">
        <f>IFERROR(__xludf.DUMMYFUNCTION("INDIRECT(""'收支紀錄'!N""&amp;TO_TEXT(ROW()-$C$72))"),"")</f>
        <v/>
      </c>
      <c r="O816" s="61" t="str">
        <f>IFERROR(__xludf.DUMMYFUNCTION("INDIRECT(""'收支紀錄'!O""&amp;TO_TEXT(ROW()-$C$72))"),"")</f>
        <v/>
      </c>
      <c r="P816" s="61" t="str">
        <f>IFERROR(__xludf.DUMMYFUNCTION("INDIRECT(""'收支紀錄'!P""&amp;TO_TEXT(ROW()-$C$72))"),"")</f>
        <v/>
      </c>
      <c r="Q816" s="61" t="str">
        <f>IFERROR(__xludf.DUMMYFUNCTION("INDIRECT(""'收支紀錄'!Q""&amp;TO_TEXT(ROW()-$C$72))"),"")</f>
        <v/>
      </c>
      <c r="R816" s="61" t="str">
        <f>IFERROR(__xludf.DUMMYFUNCTION("INDIRECT(""'收支紀錄'!R""&amp;TO_TEXT(ROW()-$C$72))"),"")</f>
        <v/>
      </c>
      <c r="S816" s="61" t="str">
        <f>IFERROR(__xludf.DUMMYFUNCTION("INDIRECT(""'收支紀錄'!S""&amp;TO_TEXT(ROW()-$C$72))"),"")</f>
        <v/>
      </c>
      <c r="T816" s="61" t="str">
        <f>IFERROR(__xludf.DUMMYFUNCTION("INDIRECT(""'收支紀錄'!T""&amp;TO_TEXT(ROW()-$C$72))"),"")</f>
        <v/>
      </c>
      <c r="U816" s="62" t="str">
        <f>IFERROR(__xludf.DUMMYFUNCTION("IF(T816=""是"",TEXTJOIN("""", TRUE, ""$"", TO_TEXT(C816), S816),"""")"),"")</f>
        <v/>
      </c>
    </row>
    <row r="817">
      <c r="A817" s="58">
        <f>IFERROR(__xludf.DUMMYFUNCTION("INDIRECT(""'收支紀錄'!A""&amp;TO_TEXT(ROW()-$C$72))"),45770.86512076389)</f>
        <v>45770.86512</v>
      </c>
      <c r="B817" s="59">
        <f>IFERROR(__xludf.DUMMYFUNCTION("IF(ISBLANK(D817), """", IF(ISDATE(D817), D817, IF(D817=""今天"", A817, IF(D817=""昨天 (-1 day)"", A817-1, IF(D817=""前天 (-2 days)"", A817-2, IF(D817=""明天 (+1 day)"", A817+1, DATE(LEFT(D817,4), MID(D817,5,2), RIGHT(D817,2))))))))"),45770.86512076389)</f>
        <v>45770.86512</v>
      </c>
      <c r="C817" s="60">
        <f>IFERROR(__xludf.DUMMYFUNCTION("INDIRECT(""'收支紀錄'!C""&amp;TO_TEXT(ROW()-$C$72))"),129.0)</f>
        <v>129</v>
      </c>
      <c r="D817" s="63" t="str">
        <f>IFERROR(__xludf.DUMMYFUNCTION("INDIRECT(""'收支紀錄'!D""&amp;TO_TEXT(ROW()-$C$72))"),"今天")</f>
        <v>今天</v>
      </c>
      <c r="E817" s="61" t="str">
        <f>IFERROR(__xludf.DUMMYFUNCTION("INDIRECT(""'收支紀錄'!E""&amp;TO_TEXT(ROW()-$C$72))"),"")</f>
        <v/>
      </c>
      <c r="F817" s="61" t="str">
        <f>IFERROR(__xludf.DUMMYFUNCTION("INDIRECT(""'收支紀錄'!F""&amp;TO_TEXT(ROW()-$C$72))"),"")</f>
        <v/>
      </c>
      <c r="G817" s="61" t="str">
        <f>IFERROR(__xludf.DUMMYFUNCTION("INDIRECT(""'收支紀錄'!G""&amp;TO_TEXT(ROW()-$C$72))"),"")</f>
        <v/>
      </c>
      <c r="H817" s="61" t="str">
        <f>IFERROR(__xludf.DUMMYFUNCTION("INDIRECT(""'收支紀錄'!H""&amp;TO_TEXT(ROW()-$C$72))"),"行車交通")</f>
        <v>行車交通</v>
      </c>
      <c r="I817" s="61" t="str">
        <f>IFERROR(__xludf.DUMMYFUNCTION("INDIRECT(""'收支紀錄'!I""&amp;TO_TEXT(ROW()-$C$72))"),"")</f>
        <v/>
      </c>
      <c r="J817" s="61" t="str">
        <f>IFERROR(__xludf.DUMMYFUNCTION("INDIRECT(""'收支紀錄'!J""&amp;TO_TEXT(ROW()-$C$72))"),"")</f>
        <v/>
      </c>
      <c r="K817" s="61" t="str">
        <f>IFERROR(__xludf.DUMMYFUNCTION("INDIRECT(""'收支紀錄'!K""&amp;TO_TEXT(ROW()-$C$72))"),"")</f>
        <v/>
      </c>
      <c r="L817" s="61" t="str">
        <f>IFERROR(__xludf.DUMMYFUNCTION("INDIRECT(""'收支紀錄'!L""&amp;TO_TEXT(ROW()-$C$72))"),"加油")</f>
        <v>加油</v>
      </c>
      <c r="M817" s="61" t="str">
        <f>IFERROR(__xludf.DUMMYFUNCTION("INDIRECT(""'收支紀錄'!M""&amp;TO_TEXT(ROW()-$C$72))"),"")</f>
        <v/>
      </c>
      <c r="N817" s="61" t="str">
        <f>IFERROR(__xludf.DUMMYFUNCTION("INDIRECT(""'收支紀錄'!N""&amp;TO_TEXT(ROW()-$C$72))"),"")</f>
        <v/>
      </c>
      <c r="O817" s="61" t="str">
        <f>IFERROR(__xludf.DUMMYFUNCTION("INDIRECT(""'收支紀錄'!O""&amp;TO_TEXT(ROW()-$C$72))"),"")</f>
        <v/>
      </c>
      <c r="P817" s="61" t="str">
        <f>IFERROR(__xludf.DUMMYFUNCTION("INDIRECT(""'收支紀錄'!P""&amp;TO_TEXT(ROW()-$C$72))"),"")</f>
        <v/>
      </c>
      <c r="Q817" s="61" t="str">
        <f>IFERROR(__xludf.DUMMYFUNCTION("INDIRECT(""'收支紀錄'!Q""&amp;TO_TEXT(ROW()-$C$72))"),"")</f>
        <v/>
      </c>
      <c r="R817" s="61" t="str">
        <f>IFERROR(__xludf.DUMMYFUNCTION("INDIRECT(""'收支紀錄'!R""&amp;TO_TEXT(ROW()-$C$72))"),"")</f>
        <v/>
      </c>
      <c r="S817" s="61" t="str">
        <f>IFERROR(__xludf.DUMMYFUNCTION("INDIRECT(""'收支紀錄'!S""&amp;TO_TEXT(ROW()-$C$72))"),"")</f>
        <v/>
      </c>
      <c r="T817" s="61" t="str">
        <f>IFERROR(__xludf.DUMMYFUNCTION("INDIRECT(""'收支紀錄'!T""&amp;TO_TEXT(ROW()-$C$72))"),"")</f>
        <v/>
      </c>
      <c r="U817" s="62" t="str">
        <f>IFERROR(__xludf.DUMMYFUNCTION("IF(T817=""是"",TEXTJOIN("""", TRUE, ""$"", TO_TEXT(C817), S817),"""")"),"")</f>
        <v/>
      </c>
    </row>
    <row r="818">
      <c r="A818" s="58">
        <f>IFERROR(__xludf.DUMMYFUNCTION("INDIRECT(""'收支紀錄'!A""&amp;TO_TEXT(ROW()-$C$72))"),45772.767401087964)</f>
        <v>45772.7674</v>
      </c>
      <c r="B818" s="59">
        <f>IFERROR(__xludf.DUMMYFUNCTION("IF(ISBLANK(D818), """", IF(ISDATE(D818), D818, IF(D818=""今天"", A818, IF(D818=""昨天 (-1 day)"", A818-1, IF(D818=""前天 (-2 days)"", A818-2, IF(D818=""明天 (+1 day)"", A818+1, DATE(LEFT(D818,4), MID(D818,5,2), RIGHT(D818,2))))))))"),45772.767401087964)</f>
        <v>45772.7674</v>
      </c>
      <c r="C818" s="60">
        <f>IFERROR(__xludf.DUMMYFUNCTION("INDIRECT(""'收支紀錄'!C""&amp;TO_TEXT(ROW()-$C$72))"),99.0)</f>
        <v>99</v>
      </c>
      <c r="D818" s="63" t="str">
        <f>IFERROR(__xludf.DUMMYFUNCTION("INDIRECT(""'收支紀錄'!D""&amp;TO_TEXT(ROW()-$C$72))"),"今天")</f>
        <v>今天</v>
      </c>
      <c r="E818" s="61" t="str">
        <f>IFERROR(__xludf.DUMMYFUNCTION("INDIRECT(""'收支紀錄'!E""&amp;TO_TEXT(ROW()-$C$72))"),"")</f>
        <v/>
      </c>
      <c r="F818" s="61" t="str">
        <f>IFERROR(__xludf.DUMMYFUNCTION("INDIRECT(""'收支紀錄'!F""&amp;TO_TEXT(ROW()-$C$72))"),"")</f>
        <v/>
      </c>
      <c r="G818" s="61" t="str">
        <f>IFERROR(__xludf.DUMMYFUNCTION("INDIRECT(""'收支紀錄'!G""&amp;TO_TEXT(ROW()-$C$72))"),"")</f>
        <v/>
      </c>
      <c r="H818" s="61" t="str">
        <f>IFERROR(__xludf.DUMMYFUNCTION("INDIRECT(""'收支紀錄'!H""&amp;TO_TEXT(ROW()-$C$72))"),"食品酒水")</f>
        <v>食品酒水</v>
      </c>
      <c r="I818" s="61" t="str">
        <f>IFERROR(__xludf.DUMMYFUNCTION("INDIRECT(""'收支紀錄'!I""&amp;TO_TEXT(ROW()-$C$72))"),"午餐")</f>
        <v>午餐</v>
      </c>
      <c r="J818" s="61" t="str">
        <f>IFERROR(__xludf.DUMMYFUNCTION("INDIRECT(""'收支紀錄'!J""&amp;TO_TEXT(ROW()-$C$72))"),"")</f>
        <v/>
      </c>
      <c r="K818" s="61" t="str">
        <f>IFERROR(__xludf.DUMMYFUNCTION("INDIRECT(""'收支紀錄'!K""&amp;TO_TEXT(ROW()-$C$72))"),"")</f>
        <v/>
      </c>
      <c r="L818" s="61" t="str">
        <f>IFERROR(__xludf.DUMMYFUNCTION("INDIRECT(""'收支紀錄'!L""&amp;TO_TEXT(ROW()-$C$72))"),"")</f>
        <v/>
      </c>
      <c r="M818" s="61" t="str">
        <f>IFERROR(__xludf.DUMMYFUNCTION("INDIRECT(""'收支紀錄'!M""&amp;TO_TEXT(ROW()-$C$72))"),"")</f>
        <v/>
      </c>
      <c r="N818" s="61" t="str">
        <f>IFERROR(__xludf.DUMMYFUNCTION("INDIRECT(""'收支紀錄'!N""&amp;TO_TEXT(ROW()-$C$72))"),"")</f>
        <v/>
      </c>
      <c r="O818" s="61" t="str">
        <f>IFERROR(__xludf.DUMMYFUNCTION("INDIRECT(""'收支紀錄'!O""&amp;TO_TEXT(ROW()-$C$72))"),"")</f>
        <v/>
      </c>
      <c r="P818" s="61" t="str">
        <f>IFERROR(__xludf.DUMMYFUNCTION("INDIRECT(""'收支紀錄'!P""&amp;TO_TEXT(ROW()-$C$72))"),"")</f>
        <v/>
      </c>
      <c r="Q818" s="61" t="str">
        <f>IFERROR(__xludf.DUMMYFUNCTION("INDIRECT(""'收支紀錄'!Q""&amp;TO_TEXT(ROW()-$C$72))"),"")</f>
        <v/>
      </c>
      <c r="R818" s="61" t="str">
        <f>IFERROR(__xludf.DUMMYFUNCTION("INDIRECT(""'收支紀錄'!R""&amp;TO_TEXT(ROW()-$C$72))"),"")</f>
        <v/>
      </c>
      <c r="S818" s="61" t="str">
        <f>IFERROR(__xludf.DUMMYFUNCTION("INDIRECT(""'收支紀錄'!S""&amp;TO_TEXT(ROW()-$C$72))"),"")</f>
        <v/>
      </c>
      <c r="T818" s="61" t="str">
        <f>IFERROR(__xludf.DUMMYFUNCTION("INDIRECT(""'收支紀錄'!T""&amp;TO_TEXT(ROW()-$C$72))"),"")</f>
        <v/>
      </c>
      <c r="U818" s="62" t="str">
        <f>IFERROR(__xludf.DUMMYFUNCTION("IF(T818=""是"",TEXTJOIN("""", TRUE, ""$"", TO_TEXT(C818), S818),"""")"),"")</f>
        <v/>
      </c>
    </row>
    <row r="819">
      <c r="A819" s="58">
        <f>IFERROR(__xludf.DUMMYFUNCTION("INDIRECT(""'收支紀錄'!A""&amp;TO_TEXT(ROW()-$C$72))"),45772.76755283565)</f>
        <v>45772.76755</v>
      </c>
      <c r="B819" s="59">
        <f>IFERROR(__xludf.DUMMYFUNCTION("IF(ISBLANK(D819), """", IF(ISDATE(D819), D819, IF(D819=""今天"", A819, IF(D819=""昨天 (-1 day)"", A819-1, IF(D819=""前天 (-2 days)"", A819-2, IF(D819=""明天 (+1 day)"", A819+1, DATE(LEFT(D819,4), MID(D819,5,2), RIGHT(D819,2))))))))"),45771.76755283565)</f>
        <v>45771.76755</v>
      </c>
      <c r="C819" s="60">
        <f>IFERROR(__xludf.DUMMYFUNCTION("INDIRECT(""'收支紀錄'!C""&amp;TO_TEXT(ROW()-$C$72))"),110.0)</f>
        <v>110</v>
      </c>
      <c r="D819" s="63" t="str">
        <f>IFERROR(__xludf.DUMMYFUNCTION("INDIRECT(""'收支紀錄'!D""&amp;TO_TEXT(ROW()-$C$72))"),"昨天 (-1 day)")</f>
        <v>昨天 (-1 day)</v>
      </c>
      <c r="E819" s="61" t="str">
        <f>IFERROR(__xludf.DUMMYFUNCTION("INDIRECT(""'收支紀錄'!E""&amp;TO_TEXT(ROW()-$C$72))"),"")</f>
        <v/>
      </c>
      <c r="F819" s="61" t="str">
        <f>IFERROR(__xludf.DUMMYFUNCTION("INDIRECT(""'收支紀錄'!F""&amp;TO_TEXT(ROW()-$C$72))"),"")</f>
        <v/>
      </c>
      <c r="G819" s="61" t="str">
        <f>IFERROR(__xludf.DUMMYFUNCTION("INDIRECT(""'收支紀錄'!G""&amp;TO_TEXT(ROW()-$C$72))"),"")</f>
        <v/>
      </c>
      <c r="H819" s="61" t="str">
        <f>IFERROR(__xludf.DUMMYFUNCTION("INDIRECT(""'收支紀錄'!H""&amp;TO_TEXT(ROW()-$C$72))"),"食品酒水")</f>
        <v>食品酒水</v>
      </c>
      <c r="I819" s="61" t="str">
        <f>IFERROR(__xludf.DUMMYFUNCTION("INDIRECT(""'收支紀錄'!I""&amp;TO_TEXT(ROW()-$C$72))"),"晚餐")</f>
        <v>晚餐</v>
      </c>
      <c r="J819" s="61" t="str">
        <f>IFERROR(__xludf.DUMMYFUNCTION("INDIRECT(""'收支紀錄'!J""&amp;TO_TEXT(ROW()-$C$72))"),"")</f>
        <v/>
      </c>
      <c r="K819" s="61" t="str">
        <f>IFERROR(__xludf.DUMMYFUNCTION("INDIRECT(""'收支紀錄'!K""&amp;TO_TEXT(ROW()-$C$72))"),"")</f>
        <v/>
      </c>
      <c r="L819" s="61" t="str">
        <f>IFERROR(__xludf.DUMMYFUNCTION("INDIRECT(""'收支紀錄'!L""&amp;TO_TEXT(ROW()-$C$72))"),"")</f>
        <v/>
      </c>
      <c r="M819" s="61" t="str">
        <f>IFERROR(__xludf.DUMMYFUNCTION("INDIRECT(""'收支紀錄'!M""&amp;TO_TEXT(ROW()-$C$72))"),"")</f>
        <v/>
      </c>
      <c r="N819" s="61" t="str">
        <f>IFERROR(__xludf.DUMMYFUNCTION("INDIRECT(""'收支紀錄'!N""&amp;TO_TEXT(ROW()-$C$72))"),"")</f>
        <v/>
      </c>
      <c r="O819" s="61" t="str">
        <f>IFERROR(__xludf.DUMMYFUNCTION("INDIRECT(""'收支紀錄'!O""&amp;TO_TEXT(ROW()-$C$72))"),"")</f>
        <v/>
      </c>
      <c r="P819" s="61" t="str">
        <f>IFERROR(__xludf.DUMMYFUNCTION("INDIRECT(""'收支紀錄'!P""&amp;TO_TEXT(ROW()-$C$72))"),"")</f>
        <v/>
      </c>
      <c r="Q819" s="61" t="str">
        <f>IFERROR(__xludf.DUMMYFUNCTION("INDIRECT(""'收支紀錄'!Q""&amp;TO_TEXT(ROW()-$C$72))"),"")</f>
        <v/>
      </c>
      <c r="R819" s="61" t="str">
        <f>IFERROR(__xludf.DUMMYFUNCTION("INDIRECT(""'收支紀錄'!R""&amp;TO_TEXT(ROW()-$C$72))"),"")</f>
        <v/>
      </c>
      <c r="S819" s="61" t="str">
        <f>IFERROR(__xludf.DUMMYFUNCTION("INDIRECT(""'收支紀錄'!S""&amp;TO_TEXT(ROW()-$C$72))"),"")</f>
        <v/>
      </c>
      <c r="T819" s="61" t="str">
        <f>IFERROR(__xludf.DUMMYFUNCTION("INDIRECT(""'收支紀錄'!T""&amp;TO_TEXT(ROW()-$C$72))"),"")</f>
        <v/>
      </c>
      <c r="U819" s="62" t="str">
        <f>IFERROR(__xludf.DUMMYFUNCTION("IF(T819=""是"",TEXTJOIN("""", TRUE, ""$"", TO_TEXT(C819), S819),"""")"),"")</f>
        <v/>
      </c>
    </row>
    <row r="820">
      <c r="A820" s="58">
        <f>IFERROR(__xludf.DUMMYFUNCTION("INDIRECT(""'收支紀錄'!A""&amp;TO_TEXT(ROW()-$C$72))"),45772.85985728009)</f>
        <v>45772.85986</v>
      </c>
      <c r="B820" s="59">
        <f>IFERROR(__xludf.DUMMYFUNCTION("IF(ISBLANK(D820), """", IF(ISDATE(D820), D820, IF(D820=""今天"", A820, IF(D820=""昨天 (-1 day)"", A820-1, IF(D820=""前天 (-2 days)"", A820-2, IF(D820=""明天 (+1 day)"", A820+1, DATE(LEFT(D820,4), MID(D820,5,2), RIGHT(D820,2))))))))"),45772.85985728009)</f>
        <v>45772.85986</v>
      </c>
      <c r="C820" s="60">
        <f>IFERROR(__xludf.DUMMYFUNCTION("INDIRECT(""'收支紀錄'!C""&amp;TO_TEXT(ROW()-$C$72))"),220.0)</f>
        <v>220</v>
      </c>
      <c r="D820" s="63" t="str">
        <f>IFERROR(__xludf.DUMMYFUNCTION("INDIRECT(""'收支紀錄'!D""&amp;TO_TEXT(ROW()-$C$72))"),"今天")</f>
        <v>今天</v>
      </c>
      <c r="E820" s="61" t="str">
        <f>IFERROR(__xludf.DUMMYFUNCTION("INDIRECT(""'收支紀錄'!E""&amp;TO_TEXT(ROW()-$C$72))"),"")</f>
        <v/>
      </c>
      <c r="F820" s="61" t="str">
        <f>IFERROR(__xludf.DUMMYFUNCTION("INDIRECT(""'收支紀錄'!F""&amp;TO_TEXT(ROW()-$C$72))"),"")</f>
        <v/>
      </c>
      <c r="G820" s="61" t="str">
        <f>IFERROR(__xludf.DUMMYFUNCTION("INDIRECT(""'收支紀錄'!G""&amp;TO_TEXT(ROW()-$C$72))"),"")</f>
        <v/>
      </c>
      <c r="H820" s="61" t="str">
        <f>IFERROR(__xludf.DUMMYFUNCTION("INDIRECT(""'收支紀錄'!H""&amp;TO_TEXT(ROW()-$C$72))"),"食品酒水")</f>
        <v>食品酒水</v>
      </c>
      <c r="I820" s="61" t="str">
        <f>IFERROR(__xludf.DUMMYFUNCTION("INDIRECT(""'收支紀錄'!I""&amp;TO_TEXT(ROW()-$C$72))"),"早餐")</f>
        <v>早餐</v>
      </c>
      <c r="J820" s="61" t="str">
        <f>IFERROR(__xludf.DUMMYFUNCTION("INDIRECT(""'收支紀錄'!J""&amp;TO_TEXT(ROW()-$C$72))"),"")</f>
        <v/>
      </c>
      <c r="K820" s="61" t="str">
        <f>IFERROR(__xludf.DUMMYFUNCTION("INDIRECT(""'收支紀錄'!K""&amp;TO_TEXT(ROW()-$C$72))"),"")</f>
        <v/>
      </c>
      <c r="L820" s="61" t="str">
        <f>IFERROR(__xludf.DUMMYFUNCTION("INDIRECT(""'收支紀錄'!L""&amp;TO_TEXT(ROW()-$C$72))"),"")</f>
        <v/>
      </c>
      <c r="M820" s="61" t="str">
        <f>IFERROR(__xludf.DUMMYFUNCTION("INDIRECT(""'收支紀錄'!M""&amp;TO_TEXT(ROW()-$C$72))"),"")</f>
        <v/>
      </c>
      <c r="N820" s="61" t="str">
        <f>IFERROR(__xludf.DUMMYFUNCTION("INDIRECT(""'收支紀錄'!N""&amp;TO_TEXT(ROW()-$C$72))"),"")</f>
        <v/>
      </c>
      <c r="O820" s="61" t="str">
        <f>IFERROR(__xludf.DUMMYFUNCTION("INDIRECT(""'收支紀錄'!O""&amp;TO_TEXT(ROW()-$C$72))"),"")</f>
        <v/>
      </c>
      <c r="P820" s="61" t="str">
        <f>IFERROR(__xludf.DUMMYFUNCTION("INDIRECT(""'收支紀錄'!P""&amp;TO_TEXT(ROW()-$C$72))"),"")</f>
        <v/>
      </c>
      <c r="Q820" s="61" t="str">
        <f>IFERROR(__xludf.DUMMYFUNCTION("INDIRECT(""'收支紀錄'!Q""&amp;TO_TEXT(ROW()-$C$72))"),"")</f>
        <v/>
      </c>
      <c r="R820" s="61" t="str">
        <f>IFERROR(__xludf.DUMMYFUNCTION("INDIRECT(""'收支紀錄'!R""&amp;TO_TEXT(ROW()-$C$72))"),"")</f>
        <v/>
      </c>
      <c r="S820" s="61" t="str">
        <f>IFERROR(__xludf.DUMMYFUNCTION("INDIRECT(""'收支紀錄'!S""&amp;TO_TEXT(ROW()-$C$72))"),"")</f>
        <v/>
      </c>
      <c r="T820" s="61" t="str">
        <f>IFERROR(__xludf.DUMMYFUNCTION("INDIRECT(""'收支紀錄'!T""&amp;TO_TEXT(ROW()-$C$72))"),"")</f>
        <v/>
      </c>
      <c r="U820" s="62" t="str">
        <f>IFERROR(__xludf.DUMMYFUNCTION("IF(T820=""是"",TEXTJOIN("""", TRUE, ""$"", TO_TEXT(C820), S820),"""")"),"")</f>
        <v/>
      </c>
    </row>
    <row r="821">
      <c r="A821" s="58">
        <f>IFERROR(__xludf.DUMMYFUNCTION("INDIRECT(""'收支紀錄'!A""&amp;TO_TEXT(ROW()-$C$72))"),45773.559420509264)</f>
        <v>45773.55942</v>
      </c>
      <c r="B821" s="59">
        <f>IFERROR(__xludf.DUMMYFUNCTION("IF(ISBLANK(D821), """", IF(ISDATE(D821), D821, IF(D821=""今天"", A821, IF(D821=""昨天 (-1 day)"", A821-1, IF(D821=""前天 (-2 days)"", A821-2, IF(D821=""明天 (+1 day)"", A821+1, DATE(LEFT(D821,4), MID(D821,5,2), RIGHT(D821,2))))))))"),45773.559420509264)</f>
        <v>45773.55942</v>
      </c>
      <c r="C821" s="60">
        <f>IFERROR(__xludf.DUMMYFUNCTION("INDIRECT(""'收支紀錄'!C""&amp;TO_TEXT(ROW()-$C$72))"),45.0)</f>
        <v>45</v>
      </c>
      <c r="D821" s="63" t="str">
        <f>IFERROR(__xludf.DUMMYFUNCTION("INDIRECT(""'收支紀錄'!D""&amp;TO_TEXT(ROW()-$C$72))"),"今天")</f>
        <v>今天</v>
      </c>
      <c r="E821" s="61" t="str">
        <f>IFERROR(__xludf.DUMMYFUNCTION("INDIRECT(""'收支紀錄'!E""&amp;TO_TEXT(ROW()-$C$72))"),"")</f>
        <v/>
      </c>
      <c r="F821" s="61" t="str">
        <f>IFERROR(__xludf.DUMMYFUNCTION("INDIRECT(""'收支紀錄'!F""&amp;TO_TEXT(ROW()-$C$72))"),"")</f>
        <v/>
      </c>
      <c r="G821" s="61" t="str">
        <f>IFERROR(__xludf.DUMMYFUNCTION("INDIRECT(""'收支紀錄'!G""&amp;TO_TEXT(ROW()-$C$72))"),"")</f>
        <v/>
      </c>
      <c r="H821" s="61" t="str">
        <f>IFERROR(__xludf.DUMMYFUNCTION("INDIRECT(""'收支紀錄'!H""&amp;TO_TEXT(ROW()-$C$72))"),"食品酒水")</f>
        <v>食品酒水</v>
      </c>
      <c r="I821" s="61" t="str">
        <f>IFERROR(__xludf.DUMMYFUNCTION("INDIRECT(""'收支紀錄'!I""&amp;TO_TEXT(ROW()-$C$72))"),"早餐")</f>
        <v>早餐</v>
      </c>
      <c r="J821" s="61" t="str">
        <f>IFERROR(__xludf.DUMMYFUNCTION("INDIRECT(""'收支紀錄'!J""&amp;TO_TEXT(ROW()-$C$72))"),"")</f>
        <v/>
      </c>
      <c r="K821" s="61" t="str">
        <f>IFERROR(__xludf.DUMMYFUNCTION("INDIRECT(""'收支紀錄'!K""&amp;TO_TEXT(ROW()-$C$72))"),"")</f>
        <v/>
      </c>
      <c r="L821" s="61" t="str">
        <f>IFERROR(__xludf.DUMMYFUNCTION("INDIRECT(""'收支紀錄'!L""&amp;TO_TEXT(ROW()-$C$72))"),"")</f>
        <v/>
      </c>
      <c r="M821" s="61" t="str">
        <f>IFERROR(__xludf.DUMMYFUNCTION("INDIRECT(""'收支紀錄'!M""&amp;TO_TEXT(ROW()-$C$72))"),"")</f>
        <v/>
      </c>
      <c r="N821" s="61" t="str">
        <f>IFERROR(__xludf.DUMMYFUNCTION("INDIRECT(""'收支紀錄'!N""&amp;TO_TEXT(ROW()-$C$72))"),"")</f>
        <v/>
      </c>
      <c r="O821" s="61" t="str">
        <f>IFERROR(__xludf.DUMMYFUNCTION("INDIRECT(""'收支紀錄'!O""&amp;TO_TEXT(ROW()-$C$72))"),"")</f>
        <v/>
      </c>
      <c r="P821" s="61" t="str">
        <f>IFERROR(__xludf.DUMMYFUNCTION("INDIRECT(""'收支紀錄'!P""&amp;TO_TEXT(ROW()-$C$72))"),"")</f>
        <v/>
      </c>
      <c r="Q821" s="61" t="str">
        <f>IFERROR(__xludf.DUMMYFUNCTION("INDIRECT(""'收支紀錄'!Q""&amp;TO_TEXT(ROW()-$C$72))"),"")</f>
        <v/>
      </c>
      <c r="R821" s="61" t="str">
        <f>IFERROR(__xludf.DUMMYFUNCTION("INDIRECT(""'收支紀錄'!R""&amp;TO_TEXT(ROW()-$C$72))"),"")</f>
        <v/>
      </c>
      <c r="S821" s="61" t="str">
        <f>IFERROR(__xludf.DUMMYFUNCTION("INDIRECT(""'收支紀錄'!S""&amp;TO_TEXT(ROW()-$C$72))"),"")</f>
        <v/>
      </c>
      <c r="T821" s="61" t="str">
        <f>IFERROR(__xludf.DUMMYFUNCTION("INDIRECT(""'收支紀錄'!T""&amp;TO_TEXT(ROW()-$C$72))"),"")</f>
        <v/>
      </c>
      <c r="U821" s="62" t="str">
        <f>IFERROR(__xludf.DUMMYFUNCTION("IF(T821=""是"",TEXTJOIN("""", TRUE, ""$"", TO_TEXT(C821), S821),"""")"),"")</f>
        <v/>
      </c>
    </row>
    <row r="822">
      <c r="A822" s="58">
        <f>IFERROR(__xludf.DUMMYFUNCTION("INDIRECT(""'收支紀錄'!A""&amp;TO_TEXT(ROW()-$C$72))"),45773.559610543976)</f>
        <v>45773.55961</v>
      </c>
      <c r="B822" s="59">
        <f>IFERROR(__xludf.DUMMYFUNCTION("IF(ISBLANK(D822), """", IF(ISDATE(D822), D822, IF(D822=""今天"", A822, IF(D822=""昨天 (-1 day)"", A822-1, IF(D822=""前天 (-2 days)"", A822-2, IF(D822=""明天 (+1 day)"", A822+1, DATE(LEFT(D822,4), MID(D822,5,2), RIGHT(D822,2))))))))"),45773.559610543976)</f>
        <v>45773.55961</v>
      </c>
      <c r="C822" s="60">
        <f>IFERROR(__xludf.DUMMYFUNCTION("INDIRECT(""'收支紀錄'!C""&amp;TO_TEXT(ROW()-$C$72))"),100.0)</f>
        <v>100</v>
      </c>
      <c r="D822" s="63" t="str">
        <f>IFERROR(__xludf.DUMMYFUNCTION("INDIRECT(""'收支紀錄'!D""&amp;TO_TEXT(ROW()-$C$72))"),"今天")</f>
        <v>今天</v>
      </c>
      <c r="E822" s="61" t="str">
        <f>IFERROR(__xludf.DUMMYFUNCTION("INDIRECT(""'收支紀錄'!E""&amp;TO_TEXT(ROW()-$C$72))"),"")</f>
        <v/>
      </c>
      <c r="F822" s="61" t="str">
        <f>IFERROR(__xludf.DUMMYFUNCTION("INDIRECT(""'收支紀錄'!F""&amp;TO_TEXT(ROW()-$C$72))"),"")</f>
        <v/>
      </c>
      <c r="G822" s="61" t="str">
        <f>IFERROR(__xludf.DUMMYFUNCTION("INDIRECT(""'收支紀錄'!G""&amp;TO_TEXT(ROW()-$C$72))"),"")</f>
        <v/>
      </c>
      <c r="H822" s="61" t="str">
        <f>IFERROR(__xludf.DUMMYFUNCTION("INDIRECT(""'收支紀錄'!H""&amp;TO_TEXT(ROW()-$C$72))"),"食品酒水")</f>
        <v>食品酒水</v>
      </c>
      <c r="I822" s="61" t="str">
        <f>IFERROR(__xludf.DUMMYFUNCTION("INDIRECT(""'收支紀錄'!I""&amp;TO_TEXT(ROW()-$C$72))"),"午餐")</f>
        <v>午餐</v>
      </c>
      <c r="J822" s="61" t="str">
        <f>IFERROR(__xludf.DUMMYFUNCTION("INDIRECT(""'收支紀錄'!J""&amp;TO_TEXT(ROW()-$C$72))"),"")</f>
        <v/>
      </c>
      <c r="K822" s="61" t="str">
        <f>IFERROR(__xludf.DUMMYFUNCTION("INDIRECT(""'收支紀錄'!K""&amp;TO_TEXT(ROW()-$C$72))"),"")</f>
        <v/>
      </c>
      <c r="L822" s="61" t="str">
        <f>IFERROR(__xludf.DUMMYFUNCTION("INDIRECT(""'收支紀錄'!L""&amp;TO_TEXT(ROW()-$C$72))"),"")</f>
        <v/>
      </c>
      <c r="M822" s="61" t="str">
        <f>IFERROR(__xludf.DUMMYFUNCTION("INDIRECT(""'收支紀錄'!M""&amp;TO_TEXT(ROW()-$C$72))"),"")</f>
        <v/>
      </c>
      <c r="N822" s="61" t="str">
        <f>IFERROR(__xludf.DUMMYFUNCTION("INDIRECT(""'收支紀錄'!N""&amp;TO_TEXT(ROW()-$C$72))"),"")</f>
        <v/>
      </c>
      <c r="O822" s="61" t="str">
        <f>IFERROR(__xludf.DUMMYFUNCTION("INDIRECT(""'收支紀錄'!O""&amp;TO_TEXT(ROW()-$C$72))"),"")</f>
        <v/>
      </c>
      <c r="P822" s="61" t="str">
        <f>IFERROR(__xludf.DUMMYFUNCTION("INDIRECT(""'收支紀錄'!P""&amp;TO_TEXT(ROW()-$C$72))"),"")</f>
        <v/>
      </c>
      <c r="Q822" s="61" t="str">
        <f>IFERROR(__xludf.DUMMYFUNCTION("INDIRECT(""'收支紀錄'!Q""&amp;TO_TEXT(ROW()-$C$72))"),"")</f>
        <v/>
      </c>
      <c r="R822" s="61" t="str">
        <f>IFERROR(__xludf.DUMMYFUNCTION("INDIRECT(""'收支紀錄'!R""&amp;TO_TEXT(ROW()-$C$72))"),"")</f>
        <v/>
      </c>
      <c r="S822" s="61" t="str">
        <f>IFERROR(__xludf.DUMMYFUNCTION("INDIRECT(""'收支紀錄'!S""&amp;TO_TEXT(ROW()-$C$72))"),"")</f>
        <v/>
      </c>
      <c r="T822" s="61" t="str">
        <f>IFERROR(__xludf.DUMMYFUNCTION("INDIRECT(""'收支紀錄'!T""&amp;TO_TEXT(ROW()-$C$72))"),"")</f>
        <v/>
      </c>
      <c r="U822" s="62" t="str">
        <f>IFERROR(__xludf.DUMMYFUNCTION("IF(T822=""是"",TEXTJOIN("""", TRUE, ""$"", TO_TEXT(C822), S822),"""")"),"")</f>
        <v/>
      </c>
    </row>
    <row r="823">
      <c r="A823" s="58">
        <f>IFERROR(__xludf.DUMMYFUNCTION("INDIRECT(""'收支紀錄'!A""&amp;TO_TEXT(ROW()-$C$72))"),45773.78736274305)</f>
        <v>45773.78736</v>
      </c>
      <c r="B823" s="59">
        <f>IFERROR(__xludf.DUMMYFUNCTION("IF(ISBLANK(D823), """", IF(ISDATE(D823), D823, IF(D823=""今天"", A823, IF(D823=""昨天 (-1 day)"", A823-1, IF(D823=""前天 (-2 days)"", A823-2, IF(D823=""明天 (+1 day)"", A823+1, DATE(LEFT(D823,4), MID(D823,5,2), RIGHT(D823,2))))))))"),45773.78736274305)</f>
        <v>45773.78736</v>
      </c>
      <c r="C823" s="60">
        <f>IFERROR(__xludf.DUMMYFUNCTION("INDIRECT(""'收支紀錄'!C""&amp;TO_TEXT(ROW()-$C$72))"),245.0)</f>
        <v>245</v>
      </c>
      <c r="D823" s="63" t="str">
        <f>IFERROR(__xludf.DUMMYFUNCTION("INDIRECT(""'收支紀錄'!D""&amp;TO_TEXT(ROW()-$C$72))"),"今天")</f>
        <v>今天</v>
      </c>
      <c r="E823" s="61" t="str">
        <f>IFERROR(__xludf.DUMMYFUNCTION("INDIRECT(""'收支紀錄'!E""&amp;TO_TEXT(ROW()-$C$72))"),"")</f>
        <v/>
      </c>
      <c r="F823" s="61" t="str">
        <f>IFERROR(__xludf.DUMMYFUNCTION("INDIRECT(""'收支紀錄'!F""&amp;TO_TEXT(ROW()-$C$72))"),"")</f>
        <v/>
      </c>
      <c r="G823" s="61" t="str">
        <f>IFERROR(__xludf.DUMMYFUNCTION("INDIRECT(""'收支紀錄'!G""&amp;TO_TEXT(ROW()-$C$72))"),"")</f>
        <v/>
      </c>
      <c r="H823" s="61" t="str">
        <f>IFERROR(__xludf.DUMMYFUNCTION("INDIRECT(""'收支紀錄'!H""&amp;TO_TEXT(ROW()-$C$72))"),"食品酒水")</f>
        <v>食品酒水</v>
      </c>
      <c r="I823" s="61" t="str">
        <f>IFERROR(__xludf.DUMMYFUNCTION("INDIRECT(""'收支紀錄'!I""&amp;TO_TEXT(ROW()-$C$72))"),"晚餐")</f>
        <v>晚餐</v>
      </c>
      <c r="J823" s="61" t="str">
        <f>IFERROR(__xludf.DUMMYFUNCTION("INDIRECT(""'收支紀錄'!J""&amp;TO_TEXT(ROW()-$C$72))"),"")</f>
        <v/>
      </c>
      <c r="K823" s="61" t="str">
        <f>IFERROR(__xludf.DUMMYFUNCTION("INDIRECT(""'收支紀錄'!K""&amp;TO_TEXT(ROW()-$C$72))"),"")</f>
        <v/>
      </c>
      <c r="L823" s="61" t="str">
        <f>IFERROR(__xludf.DUMMYFUNCTION("INDIRECT(""'收支紀錄'!L""&amp;TO_TEXT(ROW()-$C$72))"),"")</f>
        <v/>
      </c>
      <c r="M823" s="61" t="str">
        <f>IFERROR(__xludf.DUMMYFUNCTION("INDIRECT(""'收支紀錄'!M""&amp;TO_TEXT(ROW()-$C$72))"),"")</f>
        <v/>
      </c>
      <c r="N823" s="61" t="str">
        <f>IFERROR(__xludf.DUMMYFUNCTION("INDIRECT(""'收支紀錄'!N""&amp;TO_TEXT(ROW()-$C$72))"),"")</f>
        <v/>
      </c>
      <c r="O823" s="61" t="str">
        <f>IFERROR(__xludf.DUMMYFUNCTION("INDIRECT(""'收支紀錄'!O""&amp;TO_TEXT(ROW()-$C$72))"),"")</f>
        <v/>
      </c>
      <c r="P823" s="61" t="str">
        <f>IFERROR(__xludf.DUMMYFUNCTION("INDIRECT(""'收支紀錄'!P""&amp;TO_TEXT(ROW()-$C$72))"),"")</f>
        <v/>
      </c>
      <c r="Q823" s="61" t="str">
        <f>IFERROR(__xludf.DUMMYFUNCTION("INDIRECT(""'收支紀錄'!Q""&amp;TO_TEXT(ROW()-$C$72))"),"")</f>
        <v/>
      </c>
      <c r="R823" s="61" t="str">
        <f>IFERROR(__xludf.DUMMYFUNCTION("INDIRECT(""'收支紀錄'!R""&amp;TO_TEXT(ROW()-$C$72))"),"")</f>
        <v/>
      </c>
      <c r="S823" s="61" t="str">
        <f>IFERROR(__xludf.DUMMYFUNCTION("INDIRECT(""'收支紀錄'!S""&amp;TO_TEXT(ROW()-$C$72))"),"")</f>
        <v/>
      </c>
      <c r="T823" s="61" t="str">
        <f>IFERROR(__xludf.DUMMYFUNCTION("INDIRECT(""'收支紀錄'!T""&amp;TO_TEXT(ROW()-$C$72))"),"")</f>
        <v/>
      </c>
      <c r="U823" s="62" t="str">
        <f>IFERROR(__xludf.DUMMYFUNCTION("IF(T823=""是"",TEXTJOIN("""", TRUE, ""$"", TO_TEXT(C823), S823),"""")"),"")</f>
        <v/>
      </c>
    </row>
    <row r="824">
      <c r="A824" s="58">
        <f>IFERROR(__xludf.DUMMYFUNCTION("INDIRECT(""'收支紀錄'!A""&amp;TO_TEXT(ROW()-$C$72))"),45774.430086064815)</f>
        <v>45774.43009</v>
      </c>
      <c r="B824" s="59">
        <f>IFERROR(__xludf.DUMMYFUNCTION("IF(ISBLANK(D824), """", IF(ISDATE(D824), D824, IF(D824=""今天"", A824, IF(D824=""昨天 (-1 day)"", A824-1, IF(D824=""前天 (-2 days)"", A824-2, IF(D824=""明天 (+1 day)"", A824+1, DATE(LEFT(D824,4), MID(D824,5,2), RIGHT(D824,2))))))))"),45774.430086064815)</f>
        <v>45774.43009</v>
      </c>
      <c r="C824" s="60">
        <f>IFERROR(__xludf.DUMMYFUNCTION("INDIRECT(""'收支紀錄'!C""&amp;TO_TEXT(ROW()-$C$72))"),85.0)</f>
        <v>85</v>
      </c>
      <c r="D824" s="63" t="str">
        <f>IFERROR(__xludf.DUMMYFUNCTION("INDIRECT(""'收支紀錄'!D""&amp;TO_TEXT(ROW()-$C$72))"),"今天")</f>
        <v>今天</v>
      </c>
      <c r="E824" s="61" t="str">
        <f>IFERROR(__xludf.DUMMYFUNCTION("INDIRECT(""'收支紀錄'!E""&amp;TO_TEXT(ROW()-$C$72))"),"")</f>
        <v/>
      </c>
      <c r="F824" s="61" t="str">
        <f>IFERROR(__xludf.DUMMYFUNCTION("INDIRECT(""'收支紀錄'!F""&amp;TO_TEXT(ROW()-$C$72))"),"")</f>
        <v/>
      </c>
      <c r="G824" s="61" t="str">
        <f>IFERROR(__xludf.DUMMYFUNCTION("INDIRECT(""'收支紀錄'!G""&amp;TO_TEXT(ROW()-$C$72))"),"")</f>
        <v/>
      </c>
      <c r="H824" s="61" t="str">
        <f>IFERROR(__xludf.DUMMYFUNCTION("INDIRECT(""'收支紀錄'!H""&amp;TO_TEXT(ROW()-$C$72))"),"食品酒水")</f>
        <v>食品酒水</v>
      </c>
      <c r="I824" s="61" t="str">
        <f>IFERROR(__xludf.DUMMYFUNCTION("INDIRECT(""'收支紀錄'!I""&amp;TO_TEXT(ROW()-$C$72))"),"早餐")</f>
        <v>早餐</v>
      </c>
      <c r="J824" s="61" t="str">
        <f>IFERROR(__xludf.DUMMYFUNCTION("INDIRECT(""'收支紀錄'!J""&amp;TO_TEXT(ROW()-$C$72))"),"")</f>
        <v/>
      </c>
      <c r="K824" s="61" t="str">
        <f>IFERROR(__xludf.DUMMYFUNCTION("INDIRECT(""'收支紀錄'!K""&amp;TO_TEXT(ROW()-$C$72))"),"")</f>
        <v/>
      </c>
      <c r="L824" s="61" t="str">
        <f>IFERROR(__xludf.DUMMYFUNCTION("INDIRECT(""'收支紀錄'!L""&amp;TO_TEXT(ROW()-$C$72))"),"")</f>
        <v/>
      </c>
      <c r="M824" s="61" t="str">
        <f>IFERROR(__xludf.DUMMYFUNCTION("INDIRECT(""'收支紀錄'!M""&amp;TO_TEXT(ROW()-$C$72))"),"")</f>
        <v/>
      </c>
      <c r="N824" s="61" t="str">
        <f>IFERROR(__xludf.DUMMYFUNCTION("INDIRECT(""'收支紀錄'!N""&amp;TO_TEXT(ROW()-$C$72))"),"")</f>
        <v/>
      </c>
      <c r="O824" s="61" t="str">
        <f>IFERROR(__xludf.DUMMYFUNCTION("INDIRECT(""'收支紀錄'!O""&amp;TO_TEXT(ROW()-$C$72))"),"")</f>
        <v/>
      </c>
      <c r="P824" s="61" t="str">
        <f>IFERROR(__xludf.DUMMYFUNCTION("INDIRECT(""'收支紀錄'!P""&amp;TO_TEXT(ROW()-$C$72))"),"")</f>
        <v/>
      </c>
      <c r="Q824" s="61" t="str">
        <f>IFERROR(__xludf.DUMMYFUNCTION("INDIRECT(""'收支紀錄'!Q""&amp;TO_TEXT(ROW()-$C$72))"),"")</f>
        <v/>
      </c>
      <c r="R824" s="61" t="str">
        <f>IFERROR(__xludf.DUMMYFUNCTION("INDIRECT(""'收支紀錄'!R""&amp;TO_TEXT(ROW()-$C$72))"),"")</f>
        <v/>
      </c>
      <c r="S824" s="61" t="str">
        <f>IFERROR(__xludf.DUMMYFUNCTION("INDIRECT(""'收支紀錄'!S""&amp;TO_TEXT(ROW()-$C$72))"),"")</f>
        <v/>
      </c>
      <c r="T824" s="61" t="str">
        <f>IFERROR(__xludf.DUMMYFUNCTION("INDIRECT(""'收支紀錄'!T""&amp;TO_TEXT(ROW()-$C$72))"),"")</f>
        <v/>
      </c>
      <c r="U824" s="62" t="str">
        <f>IFERROR(__xludf.DUMMYFUNCTION("IF(T824=""是"",TEXTJOIN("""", TRUE, ""$"", TO_TEXT(C824), S824),"""")"),"")</f>
        <v/>
      </c>
    </row>
    <row r="825">
      <c r="A825" s="58">
        <f>IFERROR(__xludf.DUMMYFUNCTION("INDIRECT(""'收支紀錄'!A""&amp;TO_TEXT(ROW()-$C$72))"),45774.430299837964)</f>
        <v>45774.4303</v>
      </c>
      <c r="B825" s="59">
        <f>IFERROR(__xludf.DUMMYFUNCTION("IF(ISBLANK(D825), """", IF(ISDATE(D825), D825, IF(D825=""今天"", A825, IF(D825=""昨天 (-1 day)"", A825-1, IF(D825=""前天 (-2 days)"", A825-2, IF(D825=""明天 (+1 day)"", A825+1, DATE(LEFT(D825,4), MID(D825,5,2), RIGHT(D825,2))))))))"),45774.430299837964)</f>
        <v>45774.4303</v>
      </c>
      <c r="C825" s="60">
        <f>IFERROR(__xludf.DUMMYFUNCTION("INDIRECT(""'收支紀錄'!C""&amp;TO_TEXT(ROW()-$C$72))"),230.0)</f>
        <v>230</v>
      </c>
      <c r="D825" s="63" t="str">
        <f>IFERROR(__xludf.DUMMYFUNCTION("INDIRECT(""'收支紀錄'!D""&amp;TO_TEXT(ROW()-$C$72))"),"今天")</f>
        <v>今天</v>
      </c>
      <c r="E825" s="61" t="str">
        <f>IFERROR(__xludf.DUMMYFUNCTION("INDIRECT(""'收支紀錄'!E""&amp;TO_TEXT(ROW()-$C$72))"),"")</f>
        <v/>
      </c>
      <c r="F825" s="61" t="str">
        <f>IFERROR(__xludf.DUMMYFUNCTION("INDIRECT(""'收支紀錄'!F""&amp;TO_TEXT(ROW()-$C$72))"),"")</f>
        <v/>
      </c>
      <c r="G825" s="61" t="str">
        <f>IFERROR(__xludf.DUMMYFUNCTION("INDIRECT(""'收支紀錄'!G""&amp;TO_TEXT(ROW()-$C$72))"),"")</f>
        <v/>
      </c>
      <c r="H825" s="61" t="str">
        <f>IFERROR(__xludf.DUMMYFUNCTION("INDIRECT(""'收支紀錄'!H""&amp;TO_TEXT(ROW()-$C$72))"),"食品酒水")</f>
        <v>食品酒水</v>
      </c>
      <c r="I825" s="61" t="str">
        <f>IFERROR(__xludf.DUMMYFUNCTION("INDIRECT(""'收支紀錄'!I""&amp;TO_TEXT(ROW()-$C$72))"),"伴手禮")</f>
        <v>伴手禮</v>
      </c>
      <c r="J825" s="61" t="str">
        <f>IFERROR(__xludf.DUMMYFUNCTION("INDIRECT(""'收支紀錄'!J""&amp;TO_TEXT(ROW()-$C$72))"),"")</f>
        <v/>
      </c>
      <c r="K825" s="61" t="str">
        <f>IFERROR(__xludf.DUMMYFUNCTION("INDIRECT(""'收支紀錄'!K""&amp;TO_TEXT(ROW()-$C$72))"),"")</f>
        <v/>
      </c>
      <c r="L825" s="61" t="str">
        <f>IFERROR(__xludf.DUMMYFUNCTION("INDIRECT(""'收支紀錄'!L""&amp;TO_TEXT(ROW()-$C$72))"),"")</f>
        <v/>
      </c>
      <c r="M825" s="61" t="str">
        <f>IFERROR(__xludf.DUMMYFUNCTION("INDIRECT(""'收支紀錄'!M""&amp;TO_TEXT(ROW()-$C$72))"),"")</f>
        <v/>
      </c>
      <c r="N825" s="61" t="str">
        <f>IFERROR(__xludf.DUMMYFUNCTION("INDIRECT(""'收支紀錄'!N""&amp;TO_TEXT(ROW()-$C$72))"),"")</f>
        <v/>
      </c>
      <c r="O825" s="61" t="str">
        <f>IFERROR(__xludf.DUMMYFUNCTION("INDIRECT(""'收支紀錄'!O""&amp;TO_TEXT(ROW()-$C$72))"),"")</f>
        <v/>
      </c>
      <c r="P825" s="61" t="str">
        <f>IFERROR(__xludf.DUMMYFUNCTION("INDIRECT(""'收支紀錄'!P""&amp;TO_TEXT(ROW()-$C$72))"),"")</f>
        <v/>
      </c>
      <c r="Q825" s="61" t="str">
        <f>IFERROR(__xludf.DUMMYFUNCTION("INDIRECT(""'收支紀錄'!Q""&amp;TO_TEXT(ROW()-$C$72))"),"")</f>
        <v/>
      </c>
      <c r="R825" s="61" t="str">
        <f>IFERROR(__xludf.DUMMYFUNCTION("INDIRECT(""'收支紀錄'!R""&amp;TO_TEXT(ROW()-$C$72))"),"")</f>
        <v/>
      </c>
      <c r="S825" s="61" t="str">
        <f>IFERROR(__xludf.DUMMYFUNCTION("INDIRECT(""'收支紀錄'!S""&amp;TO_TEXT(ROW()-$C$72))"),"")</f>
        <v/>
      </c>
      <c r="T825" s="61" t="str">
        <f>IFERROR(__xludf.DUMMYFUNCTION("INDIRECT(""'收支紀錄'!T""&amp;TO_TEXT(ROW()-$C$72))"),"")</f>
        <v/>
      </c>
      <c r="U825" s="62" t="str">
        <f>IFERROR(__xludf.DUMMYFUNCTION("IF(T825=""是"",TEXTJOIN("""", TRUE, ""$"", TO_TEXT(C825), S825),"""")"),"")</f>
        <v/>
      </c>
    </row>
    <row r="826">
      <c r="A826" s="58">
        <f>IFERROR(__xludf.DUMMYFUNCTION("INDIRECT(""'收支紀錄'!A""&amp;TO_TEXT(ROW()-$C$72))"),45777.384356979164)</f>
        <v>45777.38436</v>
      </c>
      <c r="B826" s="59">
        <f>IFERROR(__xludf.DUMMYFUNCTION("IF(ISBLANK(D826), """", IF(ISDATE(D826), D826, IF(D826=""今天"", A826, IF(D826=""昨天 (-1 day)"", A826-1, IF(D826=""前天 (-2 days)"", A826-2, IF(D826=""明天 (+1 day)"", A826+1, DATE(LEFT(D826,4), MID(D826,5,2), RIGHT(D826,2))))))))"),45776.384356979164)</f>
        <v>45776.38436</v>
      </c>
      <c r="C826" s="60">
        <f>IFERROR(__xludf.DUMMYFUNCTION("INDIRECT(""'收支紀錄'!C""&amp;TO_TEXT(ROW()-$C$72))"),200.0)</f>
        <v>200</v>
      </c>
      <c r="D826" s="63" t="str">
        <f>IFERROR(__xludf.DUMMYFUNCTION("INDIRECT(""'收支紀錄'!D""&amp;TO_TEXT(ROW()-$C$72))"),"昨天 (-1 day)")</f>
        <v>昨天 (-1 day)</v>
      </c>
      <c r="E826" s="61" t="str">
        <f>IFERROR(__xludf.DUMMYFUNCTION("INDIRECT(""'收支紀錄'!E""&amp;TO_TEXT(ROW()-$C$72))"),"")</f>
        <v/>
      </c>
      <c r="F826" s="61" t="str">
        <f>IFERROR(__xludf.DUMMYFUNCTION("INDIRECT(""'收支紀錄'!F""&amp;TO_TEXT(ROW()-$C$72))"),"")</f>
        <v/>
      </c>
      <c r="G826" s="61" t="str">
        <f>IFERROR(__xludf.DUMMYFUNCTION("INDIRECT(""'收支紀錄'!G""&amp;TO_TEXT(ROW()-$C$72))"),"")</f>
        <v/>
      </c>
      <c r="H826" s="61" t="str">
        <f>IFERROR(__xludf.DUMMYFUNCTION("INDIRECT(""'收支紀錄'!H""&amp;TO_TEXT(ROW()-$C$72))"),"醫療費用")</f>
        <v>醫療費用</v>
      </c>
      <c r="I826" s="61" t="str">
        <f>IFERROR(__xludf.DUMMYFUNCTION("INDIRECT(""'收支紀錄'!I""&amp;TO_TEXT(ROW()-$C$72))"),"")</f>
        <v/>
      </c>
      <c r="J826" s="61" t="str">
        <f>IFERROR(__xludf.DUMMYFUNCTION("INDIRECT(""'收支紀錄'!J""&amp;TO_TEXT(ROW()-$C$72))"),"")</f>
        <v/>
      </c>
      <c r="K826" s="61" t="str">
        <f>IFERROR(__xludf.DUMMYFUNCTION("INDIRECT(""'收支紀錄'!K""&amp;TO_TEXT(ROW()-$C$72))"),"")</f>
        <v/>
      </c>
      <c r="L826" s="61" t="str">
        <f>IFERROR(__xludf.DUMMYFUNCTION("INDIRECT(""'收支紀錄'!L""&amp;TO_TEXT(ROW()-$C$72))"),"")</f>
        <v/>
      </c>
      <c r="M826" s="61" t="str">
        <f>IFERROR(__xludf.DUMMYFUNCTION("INDIRECT(""'收支紀錄'!M""&amp;TO_TEXT(ROW()-$C$72))"),"")</f>
        <v/>
      </c>
      <c r="N826" s="61" t="str">
        <f>IFERROR(__xludf.DUMMYFUNCTION("INDIRECT(""'收支紀錄'!N""&amp;TO_TEXT(ROW()-$C$72))"),"")</f>
        <v/>
      </c>
      <c r="O826" s="61" t="str">
        <f>IFERROR(__xludf.DUMMYFUNCTION("INDIRECT(""'收支紀錄'!O""&amp;TO_TEXT(ROW()-$C$72))"),"生病醫療")</f>
        <v>生病醫療</v>
      </c>
      <c r="P826" s="61" t="str">
        <f>IFERROR(__xludf.DUMMYFUNCTION("INDIRECT(""'收支紀錄'!P""&amp;TO_TEXT(ROW()-$C$72))"),"")</f>
        <v/>
      </c>
      <c r="Q826" s="61" t="str">
        <f>IFERROR(__xludf.DUMMYFUNCTION("INDIRECT(""'收支紀錄'!Q""&amp;TO_TEXT(ROW()-$C$72))"),"")</f>
        <v/>
      </c>
      <c r="R826" s="61" t="str">
        <f>IFERROR(__xludf.DUMMYFUNCTION("INDIRECT(""'收支紀錄'!R""&amp;TO_TEXT(ROW()-$C$72))"),"")</f>
        <v/>
      </c>
      <c r="S826" s="61" t="str">
        <f>IFERROR(__xludf.DUMMYFUNCTION("INDIRECT(""'收支紀錄'!S""&amp;TO_TEXT(ROW()-$C$72))"),"")</f>
        <v/>
      </c>
      <c r="T826" s="61" t="str">
        <f>IFERROR(__xludf.DUMMYFUNCTION("INDIRECT(""'收支紀錄'!T""&amp;TO_TEXT(ROW()-$C$72))"),"")</f>
        <v/>
      </c>
      <c r="U826" s="62" t="str">
        <f>IFERROR(__xludf.DUMMYFUNCTION("IF(T826=""是"",TEXTJOIN("""", TRUE, ""$"", TO_TEXT(C826), S826),"""")"),"")</f>
        <v/>
      </c>
    </row>
    <row r="827">
      <c r="A827" s="58">
        <f>IFERROR(__xludf.DUMMYFUNCTION("INDIRECT(""'收支紀錄'!A""&amp;TO_TEXT(ROW()-$C$72))"),45777.38449708333)</f>
        <v>45777.3845</v>
      </c>
      <c r="B827" s="59">
        <f>IFERROR(__xludf.DUMMYFUNCTION("IF(ISBLANK(D827), """", IF(ISDATE(D827), D827, IF(D827=""今天"", A827, IF(D827=""昨天 (-1 day)"", A827-1, IF(D827=""前天 (-2 days)"", A827-2, IF(D827=""明天 (+1 day)"", A827+1, DATE(LEFT(D827,4), MID(D827,5,2), RIGHT(D827,2))))))))"),45776.38449708333)</f>
        <v>45776.3845</v>
      </c>
      <c r="C827" s="60">
        <f>IFERROR(__xludf.DUMMYFUNCTION("INDIRECT(""'收支紀錄'!C""&amp;TO_TEXT(ROW()-$C$72))"),51.0)</f>
        <v>51</v>
      </c>
      <c r="D827" s="63" t="str">
        <f>IFERROR(__xludf.DUMMYFUNCTION("INDIRECT(""'收支紀錄'!D""&amp;TO_TEXT(ROW()-$C$72))"),"昨天 (-1 day)")</f>
        <v>昨天 (-1 day)</v>
      </c>
      <c r="E827" s="61" t="str">
        <f>IFERROR(__xludf.DUMMYFUNCTION("INDIRECT(""'收支紀錄'!E""&amp;TO_TEXT(ROW()-$C$72))"),"")</f>
        <v/>
      </c>
      <c r="F827" s="61" t="str">
        <f>IFERROR(__xludf.DUMMYFUNCTION("INDIRECT(""'收支紀錄'!F""&amp;TO_TEXT(ROW()-$C$72))"),"")</f>
        <v/>
      </c>
      <c r="G827" s="61" t="str">
        <f>IFERROR(__xludf.DUMMYFUNCTION("INDIRECT(""'收支紀錄'!G""&amp;TO_TEXT(ROW()-$C$72))"),"")</f>
        <v/>
      </c>
      <c r="H827" s="61" t="str">
        <f>IFERROR(__xludf.DUMMYFUNCTION("INDIRECT(""'收支紀錄'!H""&amp;TO_TEXT(ROW()-$C$72))"),"食品酒水")</f>
        <v>食品酒水</v>
      </c>
      <c r="I827" s="61" t="str">
        <f>IFERROR(__xludf.DUMMYFUNCTION("INDIRECT(""'收支紀錄'!I""&amp;TO_TEXT(ROW()-$C$72))"),"晚餐")</f>
        <v>晚餐</v>
      </c>
      <c r="J827" s="61" t="str">
        <f>IFERROR(__xludf.DUMMYFUNCTION("INDIRECT(""'收支紀錄'!J""&amp;TO_TEXT(ROW()-$C$72))"),"")</f>
        <v/>
      </c>
      <c r="K827" s="61" t="str">
        <f>IFERROR(__xludf.DUMMYFUNCTION("INDIRECT(""'收支紀錄'!K""&amp;TO_TEXT(ROW()-$C$72))"),"")</f>
        <v/>
      </c>
      <c r="L827" s="61" t="str">
        <f>IFERROR(__xludf.DUMMYFUNCTION("INDIRECT(""'收支紀錄'!L""&amp;TO_TEXT(ROW()-$C$72))"),"")</f>
        <v/>
      </c>
      <c r="M827" s="61" t="str">
        <f>IFERROR(__xludf.DUMMYFUNCTION("INDIRECT(""'收支紀錄'!M""&amp;TO_TEXT(ROW()-$C$72))"),"")</f>
        <v/>
      </c>
      <c r="N827" s="61" t="str">
        <f>IFERROR(__xludf.DUMMYFUNCTION("INDIRECT(""'收支紀錄'!N""&amp;TO_TEXT(ROW()-$C$72))"),"")</f>
        <v/>
      </c>
      <c r="O827" s="61" t="str">
        <f>IFERROR(__xludf.DUMMYFUNCTION("INDIRECT(""'收支紀錄'!O""&amp;TO_TEXT(ROW()-$C$72))"),"")</f>
        <v/>
      </c>
      <c r="P827" s="61" t="str">
        <f>IFERROR(__xludf.DUMMYFUNCTION("INDIRECT(""'收支紀錄'!P""&amp;TO_TEXT(ROW()-$C$72))"),"")</f>
        <v/>
      </c>
      <c r="Q827" s="61" t="str">
        <f>IFERROR(__xludf.DUMMYFUNCTION("INDIRECT(""'收支紀錄'!Q""&amp;TO_TEXT(ROW()-$C$72))"),"")</f>
        <v/>
      </c>
      <c r="R827" s="61" t="str">
        <f>IFERROR(__xludf.DUMMYFUNCTION("INDIRECT(""'收支紀錄'!R""&amp;TO_TEXT(ROW()-$C$72))"),"")</f>
        <v/>
      </c>
      <c r="S827" s="61" t="str">
        <f>IFERROR(__xludf.DUMMYFUNCTION("INDIRECT(""'收支紀錄'!S""&amp;TO_TEXT(ROW()-$C$72))"),"")</f>
        <v/>
      </c>
      <c r="T827" s="61" t="str">
        <f>IFERROR(__xludf.DUMMYFUNCTION("INDIRECT(""'收支紀錄'!T""&amp;TO_TEXT(ROW()-$C$72))"),"")</f>
        <v/>
      </c>
      <c r="U827" s="62" t="str">
        <f>IFERROR(__xludf.DUMMYFUNCTION("IF(T827=""是"",TEXTJOIN("""", TRUE, ""$"", TO_TEXT(C827), S827),"""")"),"")</f>
        <v/>
      </c>
    </row>
    <row r="828">
      <c r="A828" s="58">
        <f>IFERROR(__xludf.DUMMYFUNCTION("INDIRECT(""'收支紀錄'!A""&amp;TO_TEXT(ROW()-$C$72))"),45778.38457309028)</f>
        <v>45778.38457</v>
      </c>
      <c r="B828" s="59">
        <f>IFERROR(__xludf.DUMMYFUNCTION("IF(ISBLANK(D828), """", IF(ISDATE(D828), D828, IF(D828=""今天"", A828, IF(D828=""昨天 (-1 day)"", A828-1, IF(D828=""前天 (-2 days)"", A828-2, IF(D828=""明天 (+1 day)"", A828+1, DATE(LEFT(D828,4), MID(D828,5,2), RIGHT(D828,2))))))))"),45778.38457309028)</f>
        <v>45778.38457</v>
      </c>
      <c r="C828" s="60">
        <f>IFERROR(__xludf.DUMMYFUNCTION("INDIRECT(""'收支紀錄'!C""&amp;TO_TEXT(ROW()-$C$72))"),20000.0)</f>
        <v>20000</v>
      </c>
      <c r="D828" s="63" t="str">
        <f>IFERROR(__xludf.DUMMYFUNCTION("INDIRECT(""'收支紀錄'!D""&amp;TO_TEXT(ROW()-$C$72))"),"今天")</f>
        <v>今天</v>
      </c>
      <c r="E828" s="61" t="str">
        <f>IFERROR(__xludf.DUMMYFUNCTION("INDIRECT(""'收支紀錄'!E""&amp;TO_TEXT(ROW()-$C$72))"),"")</f>
        <v/>
      </c>
      <c r="F828" s="61" t="str">
        <f>IFERROR(__xludf.DUMMYFUNCTION("INDIRECT(""'收支紀錄'!F""&amp;TO_TEXT(ROW()-$C$72))"),"")</f>
        <v/>
      </c>
      <c r="G828" s="61" t="str">
        <f>IFERROR(__xludf.DUMMYFUNCTION("INDIRECT(""'收支紀錄'!G""&amp;TO_TEXT(ROW()-$C$72))"),"")</f>
        <v/>
      </c>
      <c r="H828" s="61" t="str">
        <f>IFERROR(__xludf.DUMMYFUNCTION("INDIRECT(""'收支紀錄'!H""&amp;TO_TEXT(ROW()-$C$72))"),"房屋支出")</f>
        <v>房屋支出</v>
      </c>
      <c r="I828" s="61" t="str">
        <f>IFERROR(__xludf.DUMMYFUNCTION("INDIRECT(""'收支紀錄'!I""&amp;TO_TEXT(ROW()-$C$72))"),"")</f>
        <v/>
      </c>
      <c r="J828" s="61" t="str">
        <f>IFERROR(__xludf.DUMMYFUNCTION("INDIRECT(""'收支紀錄'!J""&amp;TO_TEXT(ROW()-$C$72))"),"")</f>
        <v/>
      </c>
      <c r="K828" s="61" t="str">
        <f>IFERROR(__xludf.DUMMYFUNCTION("INDIRECT(""'收支紀錄'!K""&amp;TO_TEXT(ROW()-$C$72))"),"文心1房貸代繳")</f>
        <v>文心1房貸代繳</v>
      </c>
      <c r="L828" s="61" t="str">
        <f>IFERROR(__xludf.DUMMYFUNCTION("INDIRECT(""'收支紀錄'!L""&amp;TO_TEXT(ROW()-$C$72))"),"")</f>
        <v/>
      </c>
      <c r="M828" s="61" t="str">
        <f>IFERROR(__xludf.DUMMYFUNCTION("INDIRECT(""'收支紀錄'!M""&amp;TO_TEXT(ROW()-$C$72))"),"")</f>
        <v/>
      </c>
      <c r="N828" s="61" t="str">
        <f>IFERROR(__xludf.DUMMYFUNCTION("INDIRECT(""'收支紀錄'!N""&amp;TO_TEXT(ROW()-$C$72))"),"")</f>
        <v/>
      </c>
      <c r="O828" s="61" t="str">
        <f>IFERROR(__xludf.DUMMYFUNCTION("INDIRECT(""'收支紀錄'!O""&amp;TO_TEXT(ROW()-$C$72))"),"")</f>
        <v/>
      </c>
      <c r="P828" s="61" t="str">
        <f>IFERROR(__xludf.DUMMYFUNCTION("INDIRECT(""'收支紀錄'!P""&amp;TO_TEXT(ROW()-$C$72))"),"")</f>
        <v/>
      </c>
      <c r="Q828" s="61" t="str">
        <f>IFERROR(__xludf.DUMMYFUNCTION("INDIRECT(""'收支紀錄'!Q""&amp;TO_TEXT(ROW()-$C$72))"),"")</f>
        <v/>
      </c>
      <c r="R828" s="61" t="str">
        <f>IFERROR(__xludf.DUMMYFUNCTION("INDIRECT(""'收支紀錄'!R""&amp;TO_TEXT(ROW()-$C$72))"),"")</f>
        <v/>
      </c>
      <c r="S828" s="61" t="str">
        <f>IFERROR(__xludf.DUMMYFUNCTION("INDIRECT(""'收支紀錄'!S""&amp;TO_TEXT(ROW()-$C$72))"),"")</f>
        <v/>
      </c>
      <c r="T828" s="61" t="str">
        <f>IFERROR(__xludf.DUMMYFUNCTION("INDIRECT(""'收支紀錄'!T""&amp;TO_TEXT(ROW()-$C$72))"),"")</f>
        <v/>
      </c>
      <c r="U828" s="62" t="str">
        <f>IFERROR(__xludf.DUMMYFUNCTION("IF(T828=""是"",TEXTJOIN("""", TRUE, ""$"", TO_TEXT(C828), S828),"""")"),"")</f>
        <v/>
      </c>
    </row>
    <row r="829">
      <c r="A829" s="58">
        <f>IFERROR(__xludf.DUMMYFUNCTION("INDIRECT(""'收支紀錄'!A""&amp;TO_TEXT(ROW()-$C$72))"),45778.38474148148)</f>
        <v>45778.38474</v>
      </c>
      <c r="B829" s="59">
        <f>IFERROR(__xludf.DUMMYFUNCTION("IF(ISBLANK(D829), """", IF(ISDATE(D829), D829, IF(D829=""今天"", A829, IF(D829=""昨天 (-1 day)"", A829-1, IF(D829=""前天 (-2 days)"", A829-2, IF(D829=""明天 (+1 day)"", A829+1, DATE(LEFT(D829,4), MID(D829,5,2), RIGHT(D829,2))))))))"),45778.38474148148)</f>
        <v>45778.38474</v>
      </c>
      <c r="C829" s="60">
        <f>IFERROR(__xludf.DUMMYFUNCTION("INDIRECT(""'收支紀錄'!C""&amp;TO_TEXT(ROW()-$C$72))"),6000.0)</f>
        <v>6000</v>
      </c>
      <c r="D829" s="63" t="str">
        <f>IFERROR(__xludf.DUMMYFUNCTION("INDIRECT(""'收支紀錄'!D""&amp;TO_TEXT(ROW()-$C$72))"),"今天")</f>
        <v>今天</v>
      </c>
      <c r="E829" s="61" t="str">
        <f>IFERROR(__xludf.DUMMYFUNCTION("INDIRECT(""'收支紀錄'!E""&amp;TO_TEXT(ROW()-$C$72))"),"")</f>
        <v/>
      </c>
      <c r="F829" s="61" t="str">
        <f>IFERROR(__xludf.DUMMYFUNCTION("INDIRECT(""'收支紀錄'!F""&amp;TO_TEXT(ROW()-$C$72))"),"")</f>
        <v/>
      </c>
      <c r="G829" s="61" t="str">
        <f>IFERROR(__xludf.DUMMYFUNCTION("INDIRECT(""'收支紀錄'!G""&amp;TO_TEXT(ROW()-$C$72))"),"")</f>
        <v/>
      </c>
      <c r="H829" s="61" t="str">
        <f>IFERROR(__xludf.DUMMYFUNCTION("INDIRECT(""'收支紀錄'!H""&amp;TO_TEXT(ROW()-$C$72))"),"房屋支出")</f>
        <v>房屋支出</v>
      </c>
      <c r="I829" s="61" t="str">
        <f>IFERROR(__xludf.DUMMYFUNCTION("INDIRECT(""'收支紀錄'!I""&amp;TO_TEXT(ROW()-$C$72))"),"")</f>
        <v/>
      </c>
      <c r="J829" s="61" t="str">
        <f>IFERROR(__xludf.DUMMYFUNCTION("INDIRECT(""'收支紀錄'!J""&amp;TO_TEXT(ROW()-$C$72))"),"")</f>
        <v/>
      </c>
      <c r="K829" s="61" t="str">
        <f>IFERROR(__xludf.DUMMYFUNCTION("INDIRECT(""'收支紀錄'!K""&amp;TO_TEXT(ROW()-$C$72))"),"租屋")</f>
        <v>租屋</v>
      </c>
      <c r="L829" s="61" t="str">
        <f>IFERROR(__xludf.DUMMYFUNCTION("INDIRECT(""'收支紀錄'!L""&amp;TO_TEXT(ROW()-$C$72))"),"")</f>
        <v/>
      </c>
      <c r="M829" s="61" t="str">
        <f>IFERROR(__xludf.DUMMYFUNCTION("INDIRECT(""'收支紀錄'!M""&amp;TO_TEXT(ROW()-$C$72))"),"")</f>
        <v/>
      </c>
      <c r="N829" s="61" t="str">
        <f>IFERROR(__xludf.DUMMYFUNCTION("INDIRECT(""'收支紀錄'!N""&amp;TO_TEXT(ROW()-$C$72))"),"")</f>
        <v/>
      </c>
      <c r="O829" s="61" t="str">
        <f>IFERROR(__xludf.DUMMYFUNCTION("INDIRECT(""'收支紀錄'!O""&amp;TO_TEXT(ROW()-$C$72))"),"")</f>
        <v/>
      </c>
      <c r="P829" s="61" t="str">
        <f>IFERROR(__xludf.DUMMYFUNCTION("INDIRECT(""'收支紀錄'!P""&amp;TO_TEXT(ROW()-$C$72))"),"")</f>
        <v/>
      </c>
      <c r="Q829" s="61" t="str">
        <f>IFERROR(__xludf.DUMMYFUNCTION("INDIRECT(""'收支紀錄'!Q""&amp;TO_TEXT(ROW()-$C$72))"),"")</f>
        <v/>
      </c>
      <c r="R829" s="61" t="str">
        <f>IFERROR(__xludf.DUMMYFUNCTION("INDIRECT(""'收支紀錄'!R""&amp;TO_TEXT(ROW()-$C$72))"),"")</f>
        <v/>
      </c>
      <c r="S829" s="61" t="str">
        <f>IFERROR(__xludf.DUMMYFUNCTION("INDIRECT(""'收支紀錄'!S""&amp;TO_TEXT(ROW()-$C$72))"),"")</f>
        <v/>
      </c>
      <c r="T829" s="61" t="str">
        <f>IFERROR(__xludf.DUMMYFUNCTION("INDIRECT(""'收支紀錄'!T""&amp;TO_TEXT(ROW()-$C$72))"),"")</f>
        <v/>
      </c>
      <c r="U829" s="62" t="str">
        <f>IFERROR(__xludf.DUMMYFUNCTION("IF(T829=""是"",TEXTJOIN("""", TRUE, ""$"", TO_TEXT(C829), S829),"""")"),"")</f>
        <v/>
      </c>
    </row>
    <row r="830">
      <c r="A830" s="58">
        <f>IFERROR(__xludf.DUMMYFUNCTION("INDIRECT(""'收支紀錄'!A""&amp;TO_TEXT(ROW()-$C$72))"),45778.386455740736)</f>
        <v>45778.38646</v>
      </c>
      <c r="B830" s="59">
        <f>IFERROR(__xludf.DUMMYFUNCTION("IF(ISBLANK(D830), """", IF(ISDATE(D830), D830, IF(D830=""今天"", A830, IF(D830=""昨天 (-1 day)"", A830-1, IF(D830=""前天 (-2 days)"", A830-2, IF(D830=""明天 (+1 day)"", A830+1, DATE(LEFT(D830,4), MID(D830,5,2), RIGHT(D830,2))))))))"),45777.386455740736)</f>
        <v>45777.38646</v>
      </c>
      <c r="C830" s="60">
        <f>IFERROR(__xludf.DUMMYFUNCTION("INDIRECT(""'收支紀錄'!C""&amp;TO_TEXT(ROW()-$C$72))"),1000.0)</f>
        <v>1000</v>
      </c>
      <c r="D830" s="63" t="str">
        <f>IFERROR(__xludf.DUMMYFUNCTION("INDIRECT(""'收支紀錄'!D""&amp;TO_TEXT(ROW()-$C$72))"),"昨天 (-1 day)")</f>
        <v>昨天 (-1 day)</v>
      </c>
      <c r="E830" s="61" t="str">
        <f>IFERROR(__xludf.DUMMYFUNCTION("INDIRECT(""'收支紀錄'!E""&amp;TO_TEXT(ROW()-$C$72))"),"工作")</f>
        <v>工作</v>
      </c>
      <c r="F830" s="61" t="str">
        <f>IFERROR(__xludf.DUMMYFUNCTION("INDIRECT(""'收支紀錄'!F""&amp;TO_TEXT(ROW()-$C$72))"),"加班/津貼")</f>
        <v>加班/津貼</v>
      </c>
      <c r="G830" s="61" t="str">
        <f>IFERROR(__xludf.DUMMYFUNCTION("INDIRECT(""'收支紀錄'!G""&amp;TO_TEXT(ROW()-$C$72))"),"")</f>
        <v/>
      </c>
      <c r="H830" s="61" t="str">
        <f>IFERROR(__xludf.DUMMYFUNCTION("INDIRECT(""'收支紀錄'!H""&amp;TO_TEXT(ROW()-$C$72))"),"")</f>
        <v/>
      </c>
      <c r="I830" s="61" t="str">
        <f>IFERROR(__xludf.DUMMYFUNCTION("INDIRECT(""'收支紀錄'!I""&amp;TO_TEXT(ROW()-$C$72))"),"")</f>
        <v/>
      </c>
      <c r="J830" s="61" t="str">
        <f>IFERROR(__xludf.DUMMYFUNCTION("INDIRECT(""'收支紀錄'!J""&amp;TO_TEXT(ROW()-$C$72))"),"")</f>
        <v/>
      </c>
      <c r="K830" s="61" t="str">
        <f>IFERROR(__xludf.DUMMYFUNCTION("INDIRECT(""'收支紀錄'!K""&amp;TO_TEXT(ROW()-$C$72))"),"")</f>
        <v/>
      </c>
      <c r="L830" s="61" t="str">
        <f>IFERROR(__xludf.DUMMYFUNCTION("INDIRECT(""'收支紀錄'!L""&amp;TO_TEXT(ROW()-$C$72))"),"")</f>
        <v/>
      </c>
      <c r="M830" s="61" t="str">
        <f>IFERROR(__xludf.DUMMYFUNCTION("INDIRECT(""'收支紀錄'!M""&amp;TO_TEXT(ROW()-$C$72))"),"")</f>
        <v/>
      </c>
      <c r="N830" s="61" t="str">
        <f>IFERROR(__xludf.DUMMYFUNCTION("INDIRECT(""'收支紀錄'!N""&amp;TO_TEXT(ROW()-$C$72))"),"")</f>
        <v/>
      </c>
      <c r="O830" s="61" t="str">
        <f>IFERROR(__xludf.DUMMYFUNCTION("INDIRECT(""'收支紀錄'!O""&amp;TO_TEXT(ROW()-$C$72))"),"")</f>
        <v/>
      </c>
      <c r="P830" s="61" t="str">
        <f>IFERROR(__xludf.DUMMYFUNCTION("INDIRECT(""'收支紀錄'!P""&amp;TO_TEXT(ROW()-$C$72))"),"")</f>
        <v/>
      </c>
      <c r="Q830" s="61" t="str">
        <f>IFERROR(__xludf.DUMMYFUNCTION("INDIRECT(""'收支紀錄'!Q""&amp;TO_TEXT(ROW()-$C$72))"),"")</f>
        <v/>
      </c>
      <c r="R830" s="61" t="str">
        <f>IFERROR(__xludf.DUMMYFUNCTION("INDIRECT(""'收支紀錄'!R""&amp;TO_TEXT(ROW()-$C$72))"),"")</f>
        <v/>
      </c>
      <c r="S830" s="61" t="str">
        <f>IFERROR(__xludf.DUMMYFUNCTION("INDIRECT(""'收支紀錄'!S""&amp;TO_TEXT(ROW()-$C$72))"),"勞動節")</f>
        <v>勞動節</v>
      </c>
      <c r="T830" s="61" t="str">
        <f>IFERROR(__xludf.DUMMYFUNCTION("INDIRECT(""'收支紀錄'!T""&amp;TO_TEXT(ROW()-$C$72))"),"是")</f>
        <v>是</v>
      </c>
      <c r="U830" s="62" t="str">
        <f>IFERROR(__xludf.DUMMYFUNCTION("IF(T830=""是"",TEXTJOIN("""", TRUE, ""$"", TO_TEXT(C830), S830),"""")"),"$1000勞動節")</f>
        <v>$1000勞動節</v>
      </c>
    </row>
    <row r="831">
      <c r="A831" s="58">
        <f>IFERROR(__xludf.DUMMYFUNCTION("INDIRECT(""'收支紀錄'!A""&amp;TO_TEXT(ROW()-$C$72))"),45778.38688722222)</f>
        <v>45778.38689</v>
      </c>
      <c r="B831" s="59">
        <f>IFERROR(__xludf.DUMMYFUNCTION("IF(ISBLANK(D831), """", IF(ISDATE(D831), D831, IF(D831=""今天"", A831, IF(D831=""昨天 (-1 day)"", A831-1, IF(D831=""前天 (-2 days)"", A831-2, IF(D831=""明天 (+1 day)"", A831+1, DATE(LEFT(D831,4), MID(D831,5,2), RIGHT(D831,2))))))))"),45777.38688722222)</f>
        <v>45777.38689</v>
      </c>
      <c r="C831" s="60">
        <f>IFERROR(__xludf.DUMMYFUNCTION("INDIRECT(""'收支紀錄'!C""&amp;TO_TEXT(ROW()-$C$72))"),75500.0)</f>
        <v>75500</v>
      </c>
      <c r="D831" s="63" t="str">
        <f>IFERROR(__xludf.DUMMYFUNCTION("INDIRECT(""'收支紀錄'!D""&amp;TO_TEXT(ROW()-$C$72))"),"昨天 (-1 day)")</f>
        <v>昨天 (-1 day)</v>
      </c>
      <c r="E831" s="61" t="str">
        <f>IFERROR(__xludf.DUMMYFUNCTION("INDIRECT(""'收支紀錄'!E""&amp;TO_TEXT(ROW()-$C$72))"),"工作")</f>
        <v>工作</v>
      </c>
      <c r="F831" s="61" t="str">
        <f>IFERROR(__xludf.DUMMYFUNCTION("INDIRECT(""'收支紀錄'!F""&amp;TO_TEXT(ROW()-$C$72))"),"年終/績效")</f>
        <v>年終/績效</v>
      </c>
      <c r="G831" s="61" t="str">
        <f>IFERROR(__xludf.DUMMYFUNCTION("INDIRECT(""'收支紀錄'!G""&amp;TO_TEXT(ROW()-$C$72))"),"")</f>
        <v/>
      </c>
      <c r="H831" s="61" t="str">
        <f>IFERROR(__xludf.DUMMYFUNCTION("INDIRECT(""'收支紀錄'!H""&amp;TO_TEXT(ROW()-$C$72))"),"")</f>
        <v/>
      </c>
      <c r="I831" s="61" t="str">
        <f>IFERROR(__xludf.DUMMYFUNCTION("INDIRECT(""'收支紀錄'!I""&amp;TO_TEXT(ROW()-$C$72))"),"")</f>
        <v/>
      </c>
      <c r="J831" s="61" t="str">
        <f>IFERROR(__xludf.DUMMYFUNCTION("INDIRECT(""'收支紀錄'!J""&amp;TO_TEXT(ROW()-$C$72))"),"")</f>
        <v/>
      </c>
      <c r="K831" s="61" t="str">
        <f>IFERROR(__xludf.DUMMYFUNCTION("INDIRECT(""'收支紀錄'!K""&amp;TO_TEXT(ROW()-$C$72))"),"")</f>
        <v/>
      </c>
      <c r="L831" s="61" t="str">
        <f>IFERROR(__xludf.DUMMYFUNCTION("INDIRECT(""'收支紀錄'!L""&amp;TO_TEXT(ROW()-$C$72))"),"")</f>
        <v/>
      </c>
      <c r="M831" s="61" t="str">
        <f>IFERROR(__xludf.DUMMYFUNCTION("INDIRECT(""'收支紀錄'!M""&amp;TO_TEXT(ROW()-$C$72))"),"")</f>
        <v/>
      </c>
      <c r="N831" s="61" t="str">
        <f>IFERROR(__xludf.DUMMYFUNCTION("INDIRECT(""'收支紀錄'!N""&amp;TO_TEXT(ROW()-$C$72))"),"")</f>
        <v/>
      </c>
      <c r="O831" s="61" t="str">
        <f>IFERROR(__xludf.DUMMYFUNCTION("INDIRECT(""'收支紀錄'!O""&amp;TO_TEXT(ROW()-$C$72))"),"")</f>
        <v/>
      </c>
      <c r="P831" s="61" t="str">
        <f>IFERROR(__xludf.DUMMYFUNCTION("INDIRECT(""'收支紀錄'!P""&amp;TO_TEXT(ROW()-$C$72))"),"")</f>
        <v/>
      </c>
      <c r="Q831" s="61" t="str">
        <f>IFERROR(__xludf.DUMMYFUNCTION("INDIRECT(""'收支紀錄'!Q""&amp;TO_TEXT(ROW()-$C$72))"),"")</f>
        <v/>
      </c>
      <c r="R831" s="61" t="str">
        <f>IFERROR(__xludf.DUMMYFUNCTION("INDIRECT(""'收支紀錄'!R""&amp;TO_TEXT(ROW()-$C$72))"),"")</f>
        <v/>
      </c>
      <c r="S831" s="61" t="str">
        <f>IFERROR(__xludf.DUMMYFUNCTION("INDIRECT(""'收支紀錄'!S""&amp;TO_TEXT(ROW()-$C$72))"),"績效")</f>
        <v>績效</v>
      </c>
      <c r="T831" s="61" t="str">
        <f>IFERROR(__xludf.DUMMYFUNCTION("INDIRECT(""'收支紀錄'!T""&amp;TO_TEXT(ROW()-$C$72))"),"是")</f>
        <v>是</v>
      </c>
      <c r="U831" s="62" t="str">
        <f>IFERROR(__xludf.DUMMYFUNCTION("IF(T831=""是"",TEXTJOIN("""", TRUE, ""$"", TO_TEXT(C831), S831),"""")"),"$75500績效")</f>
        <v>$75500績效</v>
      </c>
    </row>
    <row r="832">
      <c r="A832" s="58">
        <f>IFERROR(__xludf.DUMMYFUNCTION("INDIRECT(""'收支紀錄'!A""&amp;TO_TEXT(ROW()-$C$72))"),45778.38716076389)</f>
        <v>45778.38716</v>
      </c>
      <c r="B832" s="59">
        <f>IFERROR(__xludf.DUMMYFUNCTION("IF(ISBLANK(D832), """", IF(ISDATE(D832), D832, IF(D832=""今天"", A832, IF(D832=""昨天 (-1 day)"", A832-1, IF(D832=""前天 (-2 days)"", A832-2, IF(D832=""明天 (+1 day)"", A832+1, DATE(LEFT(D832,4), MID(D832,5,2), RIGHT(D832,2))))))))"),45777.38716076389)</f>
        <v>45777.38716</v>
      </c>
      <c r="C832" s="60">
        <f>IFERROR(__xludf.DUMMYFUNCTION("INDIRECT(""'收支紀錄'!C""&amp;TO_TEXT(ROW()-$C$72))"),1593.0)</f>
        <v>1593</v>
      </c>
      <c r="D832" s="63" t="str">
        <f>IFERROR(__xludf.DUMMYFUNCTION("INDIRECT(""'收支紀錄'!D""&amp;TO_TEXT(ROW()-$C$72))"),"昨天 (-1 day)")</f>
        <v>昨天 (-1 day)</v>
      </c>
      <c r="E832" s="61" t="str">
        <f>IFERROR(__xludf.DUMMYFUNCTION("INDIRECT(""'收支紀錄'!E""&amp;TO_TEXT(ROW()-$C$72))"),"")</f>
        <v/>
      </c>
      <c r="F832" s="61" t="str">
        <f>IFERROR(__xludf.DUMMYFUNCTION("INDIRECT(""'收支紀錄'!F""&amp;TO_TEXT(ROW()-$C$72))"),"")</f>
        <v/>
      </c>
      <c r="G832" s="61" t="str">
        <f>IFERROR(__xludf.DUMMYFUNCTION("INDIRECT(""'收支紀錄'!G""&amp;TO_TEXT(ROW()-$C$72))"),"")</f>
        <v/>
      </c>
      <c r="H832" s="61" t="str">
        <f>IFERROR(__xludf.DUMMYFUNCTION("INDIRECT(""'收支紀錄'!H""&amp;TO_TEXT(ROW()-$C$72))"),"稅金保險")</f>
        <v>稅金保險</v>
      </c>
      <c r="I832" s="61" t="str">
        <f>IFERROR(__xludf.DUMMYFUNCTION("INDIRECT(""'收支紀錄'!I""&amp;TO_TEXT(ROW()-$C$72))"),"")</f>
        <v/>
      </c>
      <c r="J832" s="61" t="str">
        <f>IFERROR(__xludf.DUMMYFUNCTION("INDIRECT(""'收支紀錄'!J""&amp;TO_TEXT(ROW()-$C$72))"),"")</f>
        <v/>
      </c>
      <c r="K832" s="61" t="str">
        <f>IFERROR(__xludf.DUMMYFUNCTION("INDIRECT(""'收支紀錄'!K""&amp;TO_TEXT(ROW()-$C$72))"),"")</f>
        <v/>
      </c>
      <c r="L832" s="61" t="str">
        <f>IFERROR(__xludf.DUMMYFUNCTION("INDIRECT(""'收支紀錄'!L""&amp;TO_TEXT(ROW()-$C$72))"),"")</f>
        <v/>
      </c>
      <c r="M832" s="61" t="str">
        <f>IFERROR(__xludf.DUMMYFUNCTION("INDIRECT(""'收支紀錄'!M""&amp;TO_TEXT(ROW()-$C$72))"),"")</f>
        <v/>
      </c>
      <c r="N832" s="61" t="str">
        <f>IFERROR(__xludf.DUMMYFUNCTION("INDIRECT(""'收支紀錄'!N""&amp;TO_TEXT(ROW()-$C$72))"),"稅金")</f>
        <v>稅金</v>
      </c>
      <c r="O832" s="61" t="str">
        <f>IFERROR(__xludf.DUMMYFUNCTION("INDIRECT(""'收支紀錄'!O""&amp;TO_TEXT(ROW()-$C$72))"),"")</f>
        <v/>
      </c>
      <c r="P832" s="61" t="str">
        <f>IFERROR(__xludf.DUMMYFUNCTION("INDIRECT(""'收支紀錄'!P""&amp;TO_TEXT(ROW()-$C$72))"),"")</f>
        <v/>
      </c>
      <c r="Q832" s="61" t="str">
        <f>IFERROR(__xludf.DUMMYFUNCTION("INDIRECT(""'收支紀錄'!Q""&amp;TO_TEXT(ROW()-$C$72))"),"")</f>
        <v/>
      </c>
      <c r="R832" s="61" t="str">
        <f>IFERROR(__xludf.DUMMYFUNCTION("INDIRECT(""'收支紀錄'!R""&amp;TO_TEXT(ROW()-$C$72))"),"")</f>
        <v/>
      </c>
      <c r="S832" s="61" t="str">
        <f>IFERROR(__xludf.DUMMYFUNCTION("INDIRECT(""'收支紀錄'!S""&amp;TO_TEXT(ROW()-$C$72))"),"")</f>
        <v/>
      </c>
      <c r="T832" s="61" t="str">
        <f>IFERROR(__xludf.DUMMYFUNCTION("INDIRECT(""'收支紀錄'!T""&amp;TO_TEXT(ROW()-$C$72))"),"")</f>
        <v/>
      </c>
      <c r="U832" s="62" t="str">
        <f>IFERROR(__xludf.DUMMYFUNCTION("IF(T832=""是"",TEXTJOIN("""", TRUE, ""$"", TO_TEXT(C832), S832),"""")"),"")</f>
        <v/>
      </c>
    </row>
    <row r="833">
      <c r="A833" s="58">
        <f>IFERROR(__xludf.DUMMYFUNCTION("INDIRECT(""'收支紀錄'!A""&amp;TO_TEXT(ROW()-$C$72))"),45778.39655611111)</f>
        <v>45778.39656</v>
      </c>
      <c r="B833" s="59">
        <f>IFERROR(__xludf.DUMMYFUNCTION("IF(ISBLANK(D833), """", IF(ISDATE(D833), D833, IF(D833=""今天"", A833, IF(D833=""昨天 (-1 day)"", A833-1, IF(D833=""前天 (-2 days)"", A833-2, IF(D833=""明天 (+1 day)"", A833+1, DATE(LEFT(D833,4), MID(D833,5,2), RIGHT(D833,2))))))))"),45789.0)</f>
        <v>45789</v>
      </c>
      <c r="C833" s="60">
        <f>IFERROR(__xludf.DUMMYFUNCTION("INDIRECT(""'收支紀錄'!C""&amp;TO_TEXT(ROW()-$C$72))"),606.0)</f>
        <v>606</v>
      </c>
      <c r="D833" s="63">
        <f>IFERROR(__xludf.DUMMYFUNCTION("INDIRECT(""'收支紀錄'!D""&amp;TO_TEXT(ROW()-$C$72))"),2.0250512E7)</f>
        <v>20250512</v>
      </c>
      <c r="E833" s="61" t="str">
        <f>IFERROR(__xludf.DUMMYFUNCTION("INDIRECT(""'收支紀錄'!E""&amp;TO_TEXT(ROW()-$C$72))"),"")</f>
        <v/>
      </c>
      <c r="F833" s="61" t="str">
        <f>IFERROR(__xludf.DUMMYFUNCTION("INDIRECT(""'收支紀錄'!F""&amp;TO_TEXT(ROW()-$C$72))"),"")</f>
        <v/>
      </c>
      <c r="G833" s="61" t="str">
        <f>IFERROR(__xludf.DUMMYFUNCTION("INDIRECT(""'收支紀錄'!G""&amp;TO_TEXT(ROW()-$C$72))"),"")</f>
        <v/>
      </c>
      <c r="H833" s="61" t="str">
        <f>IFERROR(__xludf.DUMMYFUNCTION("INDIRECT(""'收支紀錄'!H""&amp;TO_TEXT(ROW()-$C$72))"),"行車交通")</f>
        <v>行車交通</v>
      </c>
      <c r="I833" s="61" t="str">
        <f>IFERROR(__xludf.DUMMYFUNCTION("INDIRECT(""'收支紀錄'!I""&amp;TO_TEXT(ROW()-$C$72))"),"")</f>
        <v/>
      </c>
      <c r="J833" s="61" t="str">
        <f>IFERROR(__xludf.DUMMYFUNCTION("INDIRECT(""'收支紀錄'!J""&amp;TO_TEXT(ROW()-$C$72))"),"")</f>
        <v/>
      </c>
      <c r="K833" s="61" t="str">
        <f>IFERROR(__xludf.DUMMYFUNCTION("INDIRECT(""'收支紀錄'!K""&amp;TO_TEXT(ROW()-$C$72))"),"")</f>
        <v/>
      </c>
      <c r="L833" s="61" t="str">
        <f>IFERROR(__xludf.DUMMYFUNCTION("INDIRECT(""'收支紀錄'!L""&amp;TO_TEXT(ROW()-$C$72))"),"火車費")</f>
        <v>火車費</v>
      </c>
      <c r="M833" s="61" t="str">
        <f>IFERROR(__xludf.DUMMYFUNCTION("INDIRECT(""'收支紀錄'!M""&amp;TO_TEXT(ROW()-$C$72))"),"")</f>
        <v/>
      </c>
      <c r="N833" s="61" t="str">
        <f>IFERROR(__xludf.DUMMYFUNCTION("INDIRECT(""'收支紀錄'!N""&amp;TO_TEXT(ROW()-$C$72))"),"")</f>
        <v/>
      </c>
      <c r="O833" s="61" t="str">
        <f>IFERROR(__xludf.DUMMYFUNCTION("INDIRECT(""'收支紀錄'!O""&amp;TO_TEXT(ROW()-$C$72))"),"")</f>
        <v/>
      </c>
      <c r="P833" s="61" t="str">
        <f>IFERROR(__xludf.DUMMYFUNCTION("INDIRECT(""'收支紀錄'!P""&amp;TO_TEXT(ROW()-$C$72))"),"")</f>
        <v/>
      </c>
      <c r="Q833" s="61" t="str">
        <f>IFERROR(__xludf.DUMMYFUNCTION("INDIRECT(""'收支紀錄'!Q""&amp;TO_TEXT(ROW()-$C$72))"),"")</f>
        <v/>
      </c>
      <c r="R833" s="61" t="str">
        <f>IFERROR(__xludf.DUMMYFUNCTION("INDIRECT(""'收支紀錄'!R""&amp;TO_TEXT(ROW()-$C$72))"),"")</f>
        <v/>
      </c>
      <c r="S833" s="61" t="str">
        <f>IFERROR(__xludf.DUMMYFUNCTION("INDIRECT(""'收支紀錄'!S""&amp;TO_TEXT(ROW()-$C$72))"),"")</f>
        <v/>
      </c>
      <c r="T833" s="61" t="str">
        <f>IFERROR(__xludf.DUMMYFUNCTION("INDIRECT(""'收支紀錄'!T""&amp;TO_TEXT(ROW()-$C$72))"),"")</f>
        <v/>
      </c>
      <c r="U833" s="62" t="str">
        <f>IFERROR(__xludf.DUMMYFUNCTION("IF(T833=""是"",TEXTJOIN("""", TRUE, ""$"", TO_TEXT(C833), S833),"""")"),"")</f>
        <v/>
      </c>
    </row>
    <row r="834">
      <c r="A834" s="58">
        <f>IFERROR(__xludf.DUMMYFUNCTION("INDIRECT(""'收支紀錄'!A""&amp;TO_TEXT(ROW()-$C$72))"),45778.63427604167)</f>
        <v>45778.63428</v>
      </c>
      <c r="B834" s="59">
        <f>IFERROR(__xludf.DUMMYFUNCTION("IF(ISBLANK(D834), """", IF(ISDATE(D834), D834, IF(D834=""今天"", A834, IF(D834=""昨天 (-1 day)"", A834-1, IF(D834=""前天 (-2 days)"", A834-2, IF(D834=""明天 (+1 day)"", A834+1, DATE(LEFT(D834,4), MID(D834,5,2), RIGHT(D834,2))))))))"),45778.63427604167)</f>
        <v>45778.63428</v>
      </c>
      <c r="C834" s="60">
        <f>IFERROR(__xludf.DUMMYFUNCTION("INDIRECT(""'收支紀錄'!C""&amp;TO_TEXT(ROW()-$C$72))"),6000.0)</f>
        <v>6000</v>
      </c>
      <c r="D834" s="63" t="str">
        <f>IFERROR(__xludf.DUMMYFUNCTION("INDIRECT(""'收支紀錄'!D""&amp;TO_TEXT(ROW()-$C$72))"),"今天")</f>
        <v>今天</v>
      </c>
      <c r="E834" s="61" t="str">
        <f>IFERROR(__xludf.DUMMYFUNCTION("INDIRECT(""'收支紀錄'!E""&amp;TO_TEXT(ROW()-$C$72))"),"其他業外")</f>
        <v>其他業外</v>
      </c>
      <c r="F834" s="61" t="str">
        <f>IFERROR(__xludf.DUMMYFUNCTION("INDIRECT(""'收支紀錄'!F""&amp;TO_TEXT(ROW()-$C$72))"),"")</f>
        <v/>
      </c>
      <c r="G834" s="61" t="str">
        <f>IFERROR(__xludf.DUMMYFUNCTION("INDIRECT(""'收支紀錄'!G""&amp;TO_TEXT(ROW()-$C$72))"),"房屋補貼")</f>
        <v>房屋補貼</v>
      </c>
      <c r="H834" s="61" t="str">
        <f>IFERROR(__xludf.DUMMYFUNCTION("INDIRECT(""'收支紀錄'!H""&amp;TO_TEXT(ROW()-$C$72))"),"")</f>
        <v/>
      </c>
      <c r="I834" s="61" t="str">
        <f>IFERROR(__xludf.DUMMYFUNCTION("INDIRECT(""'收支紀錄'!I""&amp;TO_TEXT(ROW()-$C$72))"),"")</f>
        <v/>
      </c>
      <c r="J834" s="61" t="str">
        <f>IFERROR(__xludf.DUMMYFUNCTION("INDIRECT(""'收支紀錄'!J""&amp;TO_TEXT(ROW()-$C$72))"),"")</f>
        <v/>
      </c>
      <c r="K834" s="61" t="str">
        <f>IFERROR(__xludf.DUMMYFUNCTION("INDIRECT(""'收支紀錄'!K""&amp;TO_TEXT(ROW()-$C$72))"),"")</f>
        <v/>
      </c>
      <c r="L834" s="61" t="str">
        <f>IFERROR(__xludf.DUMMYFUNCTION("INDIRECT(""'收支紀錄'!L""&amp;TO_TEXT(ROW()-$C$72))"),"")</f>
        <v/>
      </c>
      <c r="M834" s="61" t="str">
        <f>IFERROR(__xludf.DUMMYFUNCTION("INDIRECT(""'收支紀錄'!M""&amp;TO_TEXT(ROW()-$C$72))"),"")</f>
        <v/>
      </c>
      <c r="N834" s="61" t="str">
        <f>IFERROR(__xludf.DUMMYFUNCTION("INDIRECT(""'收支紀錄'!N""&amp;TO_TEXT(ROW()-$C$72))"),"")</f>
        <v/>
      </c>
      <c r="O834" s="61" t="str">
        <f>IFERROR(__xludf.DUMMYFUNCTION("INDIRECT(""'收支紀錄'!O""&amp;TO_TEXT(ROW()-$C$72))"),"")</f>
        <v/>
      </c>
      <c r="P834" s="61" t="str">
        <f>IFERROR(__xludf.DUMMYFUNCTION("INDIRECT(""'收支紀錄'!P""&amp;TO_TEXT(ROW()-$C$72))"),"")</f>
        <v/>
      </c>
      <c r="Q834" s="61" t="str">
        <f>IFERROR(__xludf.DUMMYFUNCTION("INDIRECT(""'收支紀錄'!Q""&amp;TO_TEXT(ROW()-$C$72))"),"")</f>
        <v/>
      </c>
      <c r="R834" s="61" t="str">
        <f>IFERROR(__xludf.DUMMYFUNCTION("INDIRECT(""'收支紀錄'!R""&amp;TO_TEXT(ROW()-$C$72))"),"")</f>
        <v/>
      </c>
      <c r="S834" s="61" t="str">
        <f>IFERROR(__xludf.DUMMYFUNCTION("INDIRECT(""'收支紀錄'!S""&amp;TO_TEXT(ROW()-$C$72))"),"")</f>
        <v/>
      </c>
      <c r="T834" s="61" t="str">
        <f>IFERROR(__xludf.DUMMYFUNCTION("INDIRECT(""'收支紀錄'!T""&amp;TO_TEXT(ROW()-$C$72))"),"")</f>
        <v/>
      </c>
      <c r="U834" s="62" t="str">
        <f>IFERROR(__xludf.DUMMYFUNCTION("IF(T834=""是"",TEXTJOIN("""", TRUE, ""$"", TO_TEXT(C834), S834),"""")"),"")</f>
        <v/>
      </c>
    </row>
    <row r="835">
      <c r="A835" s="58">
        <f>IFERROR(__xludf.DUMMYFUNCTION("INDIRECT(""'收支紀錄'!A""&amp;TO_TEXT(ROW()-$C$72))"),45779.60396153935)</f>
        <v>45779.60396</v>
      </c>
      <c r="B835" s="59">
        <f>IFERROR(__xludf.DUMMYFUNCTION("IF(ISBLANK(D835), """", IF(ISDATE(D835), D835, IF(D835=""今天"", A835, IF(D835=""昨天 (-1 day)"", A835-1, IF(D835=""前天 (-2 days)"", A835-2, IF(D835=""明天 (+1 day)"", A835+1, DATE(LEFT(D835,4), MID(D835,5,2), RIGHT(D835,2))))))))"),45778.60396153935)</f>
        <v>45778.60396</v>
      </c>
      <c r="C835" s="60">
        <f>IFERROR(__xludf.DUMMYFUNCTION("INDIRECT(""'收支紀錄'!C""&amp;TO_TEXT(ROW()-$C$72))"),560.0)</f>
        <v>560</v>
      </c>
      <c r="D835" s="63" t="str">
        <f>IFERROR(__xludf.DUMMYFUNCTION("INDIRECT(""'收支紀錄'!D""&amp;TO_TEXT(ROW()-$C$72))"),"昨天 (-1 day)")</f>
        <v>昨天 (-1 day)</v>
      </c>
      <c r="E835" s="61" t="str">
        <f>IFERROR(__xludf.DUMMYFUNCTION("INDIRECT(""'收支紀錄'!E""&amp;TO_TEXT(ROW()-$C$72))"),"")</f>
        <v/>
      </c>
      <c r="F835" s="61" t="str">
        <f>IFERROR(__xludf.DUMMYFUNCTION("INDIRECT(""'收支紀錄'!F""&amp;TO_TEXT(ROW()-$C$72))"),"")</f>
        <v/>
      </c>
      <c r="G835" s="61" t="str">
        <f>IFERROR(__xludf.DUMMYFUNCTION("INDIRECT(""'收支紀錄'!G""&amp;TO_TEXT(ROW()-$C$72))"),"")</f>
        <v/>
      </c>
      <c r="H835" s="61" t="str">
        <f>IFERROR(__xludf.DUMMYFUNCTION("INDIRECT(""'收支紀錄'!H""&amp;TO_TEXT(ROW()-$C$72))"),"食品酒水")</f>
        <v>食品酒水</v>
      </c>
      <c r="I835" s="61" t="str">
        <f>IFERROR(__xludf.DUMMYFUNCTION("INDIRECT(""'收支紀錄'!I""&amp;TO_TEXT(ROW()-$C$72))"),"午餐")</f>
        <v>午餐</v>
      </c>
      <c r="J835" s="61" t="str">
        <f>IFERROR(__xludf.DUMMYFUNCTION("INDIRECT(""'收支紀錄'!J""&amp;TO_TEXT(ROW()-$C$72))"),"")</f>
        <v/>
      </c>
      <c r="K835" s="61" t="str">
        <f>IFERROR(__xludf.DUMMYFUNCTION("INDIRECT(""'收支紀錄'!K""&amp;TO_TEXT(ROW()-$C$72))"),"")</f>
        <v/>
      </c>
      <c r="L835" s="61" t="str">
        <f>IFERROR(__xludf.DUMMYFUNCTION("INDIRECT(""'收支紀錄'!L""&amp;TO_TEXT(ROW()-$C$72))"),"")</f>
        <v/>
      </c>
      <c r="M835" s="61" t="str">
        <f>IFERROR(__xludf.DUMMYFUNCTION("INDIRECT(""'收支紀錄'!M""&amp;TO_TEXT(ROW()-$C$72))"),"")</f>
        <v/>
      </c>
      <c r="N835" s="61" t="str">
        <f>IFERROR(__xludf.DUMMYFUNCTION("INDIRECT(""'收支紀錄'!N""&amp;TO_TEXT(ROW()-$C$72))"),"")</f>
        <v/>
      </c>
      <c r="O835" s="61" t="str">
        <f>IFERROR(__xludf.DUMMYFUNCTION("INDIRECT(""'收支紀錄'!O""&amp;TO_TEXT(ROW()-$C$72))"),"")</f>
        <v/>
      </c>
      <c r="P835" s="61" t="str">
        <f>IFERROR(__xludf.DUMMYFUNCTION("INDIRECT(""'收支紀錄'!P""&amp;TO_TEXT(ROW()-$C$72))"),"")</f>
        <v/>
      </c>
      <c r="Q835" s="61" t="str">
        <f>IFERROR(__xludf.DUMMYFUNCTION("INDIRECT(""'收支紀錄'!Q""&amp;TO_TEXT(ROW()-$C$72))"),"")</f>
        <v/>
      </c>
      <c r="R835" s="61" t="str">
        <f>IFERROR(__xludf.DUMMYFUNCTION("INDIRECT(""'收支紀錄'!R""&amp;TO_TEXT(ROW()-$C$72))"),"")</f>
        <v/>
      </c>
      <c r="S835" s="61" t="str">
        <f>IFERROR(__xludf.DUMMYFUNCTION("INDIRECT(""'收支紀錄'!S""&amp;TO_TEXT(ROW()-$C$72))"),"")</f>
        <v/>
      </c>
      <c r="T835" s="61" t="str">
        <f>IFERROR(__xludf.DUMMYFUNCTION("INDIRECT(""'收支紀錄'!T""&amp;TO_TEXT(ROW()-$C$72))"),"")</f>
        <v/>
      </c>
      <c r="U835" s="62" t="str">
        <f>IFERROR(__xludf.DUMMYFUNCTION("IF(T835=""是"",TEXTJOIN("""", TRUE, ""$"", TO_TEXT(C835), S835),"""")"),"")</f>
        <v/>
      </c>
    </row>
    <row r="836">
      <c r="A836" s="58">
        <f>IFERROR(__xludf.DUMMYFUNCTION("INDIRECT(""'收支紀錄'!A""&amp;TO_TEXT(ROW()-$C$72))"),45779.60411810185)</f>
        <v>45779.60412</v>
      </c>
      <c r="B836" s="59">
        <f>IFERROR(__xludf.DUMMYFUNCTION("IF(ISBLANK(D836), """", IF(ISDATE(D836), D836, IF(D836=""今天"", A836, IF(D836=""昨天 (-1 day)"", A836-1, IF(D836=""前天 (-2 days)"", A836-2, IF(D836=""明天 (+1 day)"", A836+1, DATE(LEFT(D836,4), MID(D836,5,2), RIGHT(D836,2))))))))"),45778.60411810185)</f>
        <v>45778.60412</v>
      </c>
      <c r="C836" s="60">
        <f>IFERROR(__xludf.DUMMYFUNCTION("INDIRECT(""'收支紀錄'!C""&amp;TO_TEXT(ROW()-$C$72))"),150.0)</f>
        <v>150</v>
      </c>
      <c r="D836" s="63" t="str">
        <f>IFERROR(__xludf.DUMMYFUNCTION("INDIRECT(""'收支紀錄'!D""&amp;TO_TEXT(ROW()-$C$72))"),"昨天 (-1 day)")</f>
        <v>昨天 (-1 day)</v>
      </c>
      <c r="E836" s="61" t="str">
        <f>IFERROR(__xludf.DUMMYFUNCTION("INDIRECT(""'收支紀錄'!E""&amp;TO_TEXT(ROW()-$C$72))"),"")</f>
        <v/>
      </c>
      <c r="F836" s="61" t="str">
        <f>IFERROR(__xludf.DUMMYFUNCTION("INDIRECT(""'收支紀錄'!F""&amp;TO_TEXT(ROW()-$C$72))"),"")</f>
        <v/>
      </c>
      <c r="G836" s="61" t="str">
        <f>IFERROR(__xludf.DUMMYFUNCTION("INDIRECT(""'收支紀錄'!G""&amp;TO_TEXT(ROW()-$C$72))"),"")</f>
        <v/>
      </c>
      <c r="H836" s="61" t="str">
        <f>IFERROR(__xludf.DUMMYFUNCTION("INDIRECT(""'收支紀錄'!H""&amp;TO_TEXT(ROW()-$C$72))"),"醫療費用")</f>
        <v>醫療費用</v>
      </c>
      <c r="I836" s="61" t="str">
        <f>IFERROR(__xludf.DUMMYFUNCTION("INDIRECT(""'收支紀錄'!I""&amp;TO_TEXT(ROW()-$C$72))"),"")</f>
        <v/>
      </c>
      <c r="J836" s="61" t="str">
        <f>IFERROR(__xludf.DUMMYFUNCTION("INDIRECT(""'收支紀錄'!J""&amp;TO_TEXT(ROW()-$C$72))"),"")</f>
        <v/>
      </c>
      <c r="K836" s="61" t="str">
        <f>IFERROR(__xludf.DUMMYFUNCTION("INDIRECT(""'收支紀錄'!K""&amp;TO_TEXT(ROW()-$C$72))"),"")</f>
        <v/>
      </c>
      <c r="L836" s="61" t="str">
        <f>IFERROR(__xludf.DUMMYFUNCTION("INDIRECT(""'收支紀錄'!L""&amp;TO_TEXT(ROW()-$C$72))"),"")</f>
        <v/>
      </c>
      <c r="M836" s="61" t="str">
        <f>IFERROR(__xludf.DUMMYFUNCTION("INDIRECT(""'收支紀錄'!M""&amp;TO_TEXT(ROW()-$C$72))"),"")</f>
        <v/>
      </c>
      <c r="N836" s="61" t="str">
        <f>IFERROR(__xludf.DUMMYFUNCTION("INDIRECT(""'收支紀錄'!N""&amp;TO_TEXT(ROW()-$C$72))"),"")</f>
        <v/>
      </c>
      <c r="O836" s="61" t="str">
        <f>IFERROR(__xludf.DUMMYFUNCTION("INDIRECT(""'收支紀錄'!O""&amp;TO_TEXT(ROW()-$C$72))"),"生病醫療")</f>
        <v>生病醫療</v>
      </c>
      <c r="P836" s="61" t="str">
        <f>IFERROR(__xludf.DUMMYFUNCTION("INDIRECT(""'收支紀錄'!P""&amp;TO_TEXT(ROW()-$C$72))"),"")</f>
        <v/>
      </c>
      <c r="Q836" s="61" t="str">
        <f>IFERROR(__xludf.DUMMYFUNCTION("INDIRECT(""'收支紀錄'!Q""&amp;TO_TEXT(ROW()-$C$72))"),"")</f>
        <v/>
      </c>
      <c r="R836" s="61" t="str">
        <f>IFERROR(__xludf.DUMMYFUNCTION("INDIRECT(""'收支紀錄'!R""&amp;TO_TEXT(ROW()-$C$72))"),"")</f>
        <v/>
      </c>
      <c r="S836" s="61" t="str">
        <f>IFERROR(__xludf.DUMMYFUNCTION("INDIRECT(""'收支紀錄'!S""&amp;TO_TEXT(ROW()-$C$72))"),"")</f>
        <v/>
      </c>
      <c r="T836" s="61" t="str">
        <f>IFERROR(__xludf.DUMMYFUNCTION("INDIRECT(""'收支紀錄'!T""&amp;TO_TEXT(ROW()-$C$72))"),"")</f>
        <v/>
      </c>
      <c r="U836" s="62" t="str">
        <f>IFERROR(__xludf.DUMMYFUNCTION("IF(T836=""是"",TEXTJOIN("""", TRUE, ""$"", TO_TEXT(C836), S836),"""")"),"")</f>
        <v/>
      </c>
    </row>
    <row r="837">
      <c r="A837" s="58">
        <f>IFERROR(__xludf.DUMMYFUNCTION("INDIRECT(""'收支紀錄'!A""&amp;TO_TEXT(ROW()-$C$72))"),45779.60426204861)</f>
        <v>45779.60426</v>
      </c>
      <c r="B837" s="59">
        <f>IFERROR(__xludf.DUMMYFUNCTION("IF(ISBLANK(D837), """", IF(ISDATE(D837), D837, IF(D837=""今天"", A837, IF(D837=""昨天 (-1 day)"", A837-1, IF(D837=""前天 (-2 days)"", A837-2, IF(D837=""明天 (+1 day)"", A837+1, DATE(LEFT(D837,4), MID(D837,5,2), RIGHT(D837,2))))))))"),45778.60426204861)</f>
        <v>45778.60426</v>
      </c>
      <c r="C837" s="60">
        <f>IFERROR(__xludf.DUMMYFUNCTION("INDIRECT(""'收支紀錄'!C""&amp;TO_TEXT(ROW()-$C$72))"),294.0)</f>
        <v>294</v>
      </c>
      <c r="D837" s="63" t="str">
        <f>IFERROR(__xludf.DUMMYFUNCTION("INDIRECT(""'收支紀錄'!D""&amp;TO_TEXT(ROW()-$C$72))"),"昨天 (-1 day)")</f>
        <v>昨天 (-1 day)</v>
      </c>
      <c r="E837" s="61" t="str">
        <f>IFERROR(__xludf.DUMMYFUNCTION("INDIRECT(""'收支紀錄'!E""&amp;TO_TEXT(ROW()-$C$72))"),"")</f>
        <v/>
      </c>
      <c r="F837" s="61" t="str">
        <f>IFERROR(__xludf.DUMMYFUNCTION("INDIRECT(""'收支紀錄'!F""&amp;TO_TEXT(ROW()-$C$72))"),"")</f>
        <v/>
      </c>
      <c r="G837" s="61" t="str">
        <f>IFERROR(__xludf.DUMMYFUNCTION("INDIRECT(""'收支紀錄'!G""&amp;TO_TEXT(ROW()-$C$72))"),"")</f>
        <v/>
      </c>
      <c r="H837" s="61" t="str">
        <f>IFERROR(__xludf.DUMMYFUNCTION("INDIRECT(""'收支紀錄'!H""&amp;TO_TEXT(ROW()-$C$72))"),"食品酒水")</f>
        <v>食品酒水</v>
      </c>
      <c r="I837" s="61" t="str">
        <f>IFERROR(__xludf.DUMMYFUNCTION("INDIRECT(""'收支紀錄'!I""&amp;TO_TEXT(ROW()-$C$72))"),"晚餐")</f>
        <v>晚餐</v>
      </c>
      <c r="J837" s="61" t="str">
        <f>IFERROR(__xludf.DUMMYFUNCTION("INDIRECT(""'收支紀錄'!J""&amp;TO_TEXT(ROW()-$C$72))"),"")</f>
        <v/>
      </c>
      <c r="K837" s="61" t="str">
        <f>IFERROR(__xludf.DUMMYFUNCTION("INDIRECT(""'收支紀錄'!K""&amp;TO_TEXT(ROW()-$C$72))"),"")</f>
        <v/>
      </c>
      <c r="L837" s="61" t="str">
        <f>IFERROR(__xludf.DUMMYFUNCTION("INDIRECT(""'收支紀錄'!L""&amp;TO_TEXT(ROW()-$C$72))"),"")</f>
        <v/>
      </c>
      <c r="M837" s="61" t="str">
        <f>IFERROR(__xludf.DUMMYFUNCTION("INDIRECT(""'收支紀錄'!M""&amp;TO_TEXT(ROW()-$C$72))"),"")</f>
        <v/>
      </c>
      <c r="N837" s="61" t="str">
        <f>IFERROR(__xludf.DUMMYFUNCTION("INDIRECT(""'收支紀錄'!N""&amp;TO_TEXT(ROW()-$C$72))"),"")</f>
        <v/>
      </c>
      <c r="O837" s="61" t="str">
        <f>IFERROR(__xludf.DUMMYFUNCTION("INDIRECT(""'收支紀錄'!O""&amp;TO_TEXT(ROW()-$C$72))"),"")</f>
        <v/>
      </c>
      <c r="P837" s="61" t="str">
        <f>IFERROR(__xludf.DUMMYFUNCTION("INDIRECT(""'收支紀錄'!P""&amp;TO_TEXT(ROW()-$C$72))"),"")</f>
        <v/>
      </c>
      <c r="Q837" s="61" t="str">
        <f>IFERROR(__xludf.DUMMYFUNCTION("INDIRECT(""'收支紀錄'!Q""&amp;TO_TEXT(ROW()-$C$72))"),"")</f>
        <v/>
      </c>
      <c r="R837" s="61" t="str">
        <f>IFERROR(__xludf.DUMMYFUNCTION("INDIRECT(""'收支紀錄'!R""&amp;TO_TEXT(ROW()-$C$72))"),"")</f>
        <v/>
      </c>
      <c r="S837" s="61" t="str">
        <f>IFERROR(__xludf.DUMMYFUNCTION("INDIRECT(""'收支紀錄'!S""&amp;TO_TEXT(ROW()-$C$72))"),"")</f>
        <v/>
      </c>
      <c r="T837" s="61" t="str">
        <f>IFERROR(__xludf.DUMMYFUNCTION("INDIRECT(""'收支紀錄'!T""&amp;TO_TEXT(ROW()-$C$72))"),"")</f>
        <v/>
      </c>
      <c r="U837" s="62" t="str">
        <f>IFERROR(__xludf.DUMMYFUNCTION("IF(T837=""是"",TEXTJOIN("""", TRUE, ""$"", TO_TEXT(C837), S837),"""")"),"")</f>
        <v/>
      </c>
    </row>
    <row r="838">
      <c r="A838" s="58">
        <f>IFERROR(__xludf.DUMMYFUNCTION("INDIRECT(""'收支紀錄'!A""&amp;TO_TEXT(ROW()-$C$72))"),45779.850264039356)</f>
        <v>45779.85026</v>
      </c>
      <c r="B838" s="59">
        <f>IFERROR(__xludf.DUMMYFUNCTION("IF(ISBLANK(D838), """", IF(ISDATE(D838), D838, IF(D838=""今天"", A838, IF(D838=""昨天 (-1 day)"", A838-1, IF(D838=""前天 (-2 days)"", A838-2, IF(D838=""明天 (+1 day)"", A838+1, DATE(LEFT(D838,4), MID(D838,5,2), RIGHT(D838,2))))))))"),45779.850264039356)</f>
        <v>45779.85026</v>
      </c>
      <c r="C838" s="60">
        <f>IFERROR(__xludf.DUMMYFUNCTION("INDIRECT(""'收支紀錄'!C""&amp;TO_TEXT(ROW()-$C$72))"),30.0)</f>
        <v>30</v>
      </c>
      <c r="D838" s="63" t="str">
        <f>IFERROR(__xludf.DUMMYFUNCTION("INDIRECT(""'收支紀錄'!D""&amp;TO_TEXT(ROW()-$C$72))"),"今天")</f>
        <v>今天</v>
      </c>
      <c r="E838" s="61" t="str">
        <f>IFERROR(__xludf.DUMMYFUNCTION("INDIRECT(""'收支紀錄'!E""&amp;TO_TEXT(ROW()-$C$72))"),"")</f>
        <v/>
      </c>
      <c r="F838" s="61" t="str">
        <f>IFERROR(__xludf.DUMMYFUNCTION("INDIRECT(""'收支紀錄'!F""&amp;TO_TEXT(ROW()-$C$72))"),"")</f>
        <v/>
      </c>
      <c r="G838" s="61" t="str">
        <f>IFERROR(__xludf.DUMMYFUNCTION("INDIRECT(""'收支紀錄'!G""&amp;TO_TEXT(ROW()-$C$72))"),"")</f>
        <v/>
      </c>
      <c r="H838" s="61" t="str">
        <f>IFERROR(__xludf.DUMMYFUNCTION("INDIRECT(""'收支紀錄'!H""&amp;TO_TEXT(ROW()-$C$72))"),"行車交通")</f>
        <v>行車交通</v>
      </c>
      <c r="I838" s="61" t="str">
        <f>IFERROR(__xludf.DUMMYFUNCTION("INDIRECT(""'收支紀錄'!I""&amp;TO_TEXT(ROW()-$C$72))"),"")</f>
        <v/>
      </c>
      <c r="J838" s="61" t="str">
        <f>IFERROR(__xludf.DUMMYFUNCTION("INDIRECT(""'收支紀錄'!J""&amp;TO_TEXT(ROW()-$C$72))"),"")</f>
        <v/>
      </c>
      <c r="K838" s="61" t="str">
        <f>IFERROR(__xludf.DUMMYFUNCTION("INDIRECT(""'收支紀錄'!K""&amp;TO_TEXT(ROW()-$C$72))"),"")</f>
        <v/>
      </c>
      <c r="L838" s="61" t="str">
        <f>IFERROR(__xludf.DUMMYFUNCTION("INDIRECT(""'收支紀錄'!L""&amp;TO_TEXT(ROW()-$C$72))"),"火車費")</f>
        <v>火車費</v>
      </c>
      <c r="M838" s="61" t="str">
        <f>IFERROR(__xludf.DUMMYFUNCTION("INDIRECT(""'收支紀錄'!M""&amp;TO_TEXT(ROW()-$C$72))"),"")</f>
        <v/>
      </c>
      <c r="N838" s="61" t="str">
        <f>IFERROR(__xludf.DUMMYFUNCTION("INDIRECT(""'收支紀錄'!N""&amp;TO_TEXT(ROW()-$C$72))"),"")</f>
        <v/>
      </c>
      <c r="O838" s="61" t="str">
        <f>IFERROR(__xludf.DUMMYFUNCTION("INDIRECT(""'收支紀錄'!O""&amp;TO_TEXT(ROW()-$C$72))"),"")</f>
        <v/>
      </c>
      <c r="P838" s="61" t="str">
        <f>IFERROR(__xludf.DUMMYFUNCTION("INDIRECT(""'收支紀錄'!P""&amp;TO_TEXT(ROW()-$C$72))"),"")</f>
        <v/>
      </c>
      <c r="Q838" s="61" t="str">
        <f>IFERROR(__xludf.DUMMYFUNCTION("INDIRECT(""'收支紀錄'!Q""&amp;TO_TEXT(ROW()-$C$72))"),"")</f>
        <v/>
      </c>
      <c r="R838" s="61" t="str">
        <f>IFERROR(__xludf.DUMMYFUNCTION("INDIRECT(""'收支紀錄'!R""&amp;TO_TEXT(ROW()-$C$72))"),"")</f>
        <v/>
      </c>
      <c r="S838" s="61" t="str">
        <f>IFERROR(__xludf.DUMMYFUNCTION("INDIRECT(""'收支紀錄'!S""&amp;TO_TEXT(ROW()-$C$72))"),"")</f>
        <v/>
      </c>
      <c r="T838" s="61" t="str">
        <f>IFERROR(__xludf.DUMMYFUNCTION("INDIRECT(""'收支紀錄'!T""&amp;TO_TEXT(ROW()-$C$72))"),"是")</f>
        <v>是</v>
      </c>
      <c r="U838" s="62" t="str">
        <f>IFERROR(__xludf.DUMMYFUNCTION("IF(T838=""是"",TEXTJOIN("""", TRUE, ""$"", TO_TEXT(C838), S838),"""")"),"$30")</f>
        <v>$30</v>
      </c>
    </row>
    <row r="839">
      <c r="A839" s="58">
        <f>IFERROR(__xludf.DUMMYFUNCTION("INDIRECT(""'收支紀錄'!A""&amp;TO_TEXT(ROW()-$C$72))"),45779.85058424769)</f>
        <v>45779.85058</v>
      </c>
      <c r="B839" s="59">
        <f>IFERROR(__xludf.DUMMYFUNCTION("IF(ISBLANK(D839), """", IF(ISDATE(D839), D839, IF(D839=""今天"", A839, IF(D839=""昨天 (-1 day)"", A839-1, IF(D839=""前天 (-2 days)"", A839-2, IF(D839=""明天 (+1 day)"", A839+1, DATE(LEFT(D839,4), MID(D839,5,2), RIGHT(D839,2))))))))"),45779.85058424769)</f>
        <v>45779.85058</v>
      </c>
      <c r="C839" s="60">
        <f>IFERROR(__xludf.DUMMYFUNCTION("INDIRECT(""'收支紀錄'!C""&amp;TO_TEXT(ROW()-$C$72))"),5800.0)</f>
        <v>5800</v>
      </c>
      <c r="D839" s="63" t="str">
        <f>IFERROR(__xludf.DUMMYFUNCTION("INDIRECT(""'收支紀錄'!D""&amp;TO_TEXT(ROW()-$C$72))"),"今天")</f>
        <v>今天</v>
      </c>
      <c r="E839" s="61" t="str">
        <f>IFERROR(__xludf.DUMMYFUNCTION("INDIRECT(""'收支紀錄'!E""&amp;TO_TEXT(ROW()-$C$72))"),"")</f>
        <v/>
      </c>
      <c r="F839" s="61" t="str">
        <f>IFERROR(__xludf.DUMMYFUNCTION("INDIRECT(""'收支紀錄'!F""&amp;TO_TEXT(ROW()-$C$72))"),"")</f>
        <v/>
      </c>
      <c r="G839" s="61" t="str">
        <f>IFERROR(__xludf.DUMMYFUNCTION("INDIRECT(""'收支紀錄'!G""&amp;TO_TEXT(ROW()-$C$72))"),"")</f>
        <v/>
      </c>
      <c r="H839" s="61" t="str">
        <f>IFERROR(__xludf.DUMMYFUNCTION("INDIRECT(""'收支紀錄'!H""&amp;TO_TEXT(ROW()-$C$72))"),"行車交通")</f>
        <v>行車交通</v>
      </c>
      <c r="I839" s="61" t="str">
        <f>IFERROR(__xludf.DUMMYFUNCTION("INDIRECT(""'收支紀錄'!I""&amp;TO_TEXT(ROW()-$C$72))"),"")</f>
        <v/>
      </c>
      <c r="J839" s="61" t="str">
        <f>IFERROR(__xludf.DUMMYFUNCTION("INDIRECT(""'收支紀錄'!J""&amp;TO_TEXT(ROW()-$C$72))"),"")</f>
        <v/>
      </c>
      <c r="K839" s="61" t="str">
        <f>IFERROR(__xludf.DUMMYFUNCTION("INDIRECT(""'收支紀錄'!K""&amp;TO_TEXT(ROW()-$C$72))"),"")</f>
        <v/>
      </c>
      <c r="L839" s="61" t="str">
        <f>IFERROR(__xludf.DUMMYFUNCTION("INDIRECT(""'收支紀錄'!L""&amp;TO_TEXT(ROW()-$C$72))"),"機車維修")</f>
        <v>機車維修</v>
      </c>
      <c r="M839" s="61" t="str">
        <f>IFERROR(__xludf.DUMMYFUNCTION("INDIRECT(""'收支紀錄'!M""&amp;TO_TEXT(ROW()-$C$72))"),"")</f>
        <v/>
      </c>
      <c r="N839" s="61" t="str">
        <f>IFERROR(__xludf.DUMMYFUNCTION("INDIRECT(""'收支紀錄'!N""&amp;TO_TEXT(ROW()-$C$72))"),"")</f>
        <v/>
      </c>
      <c r="O839" s="61" t="str">
        <f>IFERROR(__xludf.DUMMYFUNCTION("INDIRECT(""'收支紀錄'!O""&amp;TO_TEXT(ROW()-$C$72))"),"")</f>
        <v/>
      </c>
      <c r="P839" s="61" t="str">
        <f>IFERROR(__xludf.DUMMYFUNCTION("INDIRECT(""'收支紀錄'!P""&amp;TO_TEXT(ROW()-$C$72))"),"")</f>
        <v/>
      </c>
      <c r="Q839" s="61" t="str">
        <f>IFERROR(__xludf.DUMMYFUNCTION("INDIRECT(""'收支紀錄'!Q""&amp;TO_TEXT(ROW()-$C$72))"),"")</f>
        <v/>
      </c>
      <c r="R839" s="61" t="str">
        <f>IFERROR(__xludf.DUMMYFUNCTION("INDIRECT(""'收支紀錄'!R""&amp;TO_TEXT(ROW()-$C$72))"),"")</f>
        <v/>
      </c>
      <c r="S839" s="61" t="str">
        <f>IFERROR(__xludf.DUMMYFUNCTION("INDIRECT(""'收支紀錄'!S""&amp;TO_TEXT(ROW()-$C$72))"),"")</f>
        <v/>
      </c>
      <c r="T839" s="61" t="str">
        <f>IFERROR(__xludf.DUMMYFUNCTION("INDIRECT(""'收支紀錄'!T""&amp;TO_TEXT(ROW()-$C$72))"),"是")</f>
        <v>是</v>
      </c>
      <c r="U839" s="62" t="str">
        <f>IFERROR(__xludf.DUMMYFUNCTION("IF(T839=""是"",TEXTJOIN("""", TRUE, ""$"", TO_TEXT(C839), S839),"""")"),"$5800")</f>
        <v>$5800</v>
      </c>
    </row>
    <row r="840">
      <c r="A840" s="58">
        <f>IFERROR(__xludf.DUMMYFUNCTION("INDIRECT(""'收支紀錄'!A""&amp;TO_TEXT(ROW()-$C$72))"),45779.91900009259)</f>
        <v>45779.919</v>
      </c>
      <c r="B840" s="59">
        <f>IFERROR(__xludf.DUMMYFUNCTION("IF(ISBLANK(D840), """", IF(ISDATE(D840), D840, IF(D840=""今天"", A840, IF(D840=""昨天 (-1 day)"", A840-1, IF(D840=""前天 (-2 days)"", A840-2, IF(D840=""明天 (+1 day)"", A840+1, DATE(LEFT(D840,4), MID(D840,5,2), RIGHT(D840,2))))))))"),45779.91900009259)</f>
        <v>45779.919</v>
      </c>
      <c r="C840" s="60">
        <f>IFERROR(__xludf.DUMMYFUNCTION("INDIRECT(""'收支紀錄'!C""&amp;TO_TEXT(ROW()-$C$72))"),7802.0)</f>
        <v>7802</v>
      </c>
      <c r="D840" s="63" t="str">
        <f>IFERROR(__xludf.DUMMYFUNCTION("INDIRECT(""'收支紀錄'!D""&amp;TO_TEXT(ROW()-$C$72))"),"今天")</f>
        <v>今天</v>
      </c>
      <c r="E840" s="61" t="str">
        <f>IFERROR(__xludf.DUMMYFUNCTION("INDIRECT(""'收支紀錄'!E""&amp;TO_TEXT(ROW()-$C$72))"),"")</f>
        <v/>
      </c>
      <c r="F840" s="61" t="str">
        <f>IFERROR(__xludf.DUMMYFUNCTION("INDIRECT(""'收支紀錄'!F""&amp;TO_TEXT(ROW()-$C$72))"),"")</f>
        <v/>
      </c>
      <c r="G840" s="61" t="str">
        <f>IFERROR(__xludf.DUMMYFUNCTION("INDIRECT(""'收支紀錄'!G""&amp;TO_TEXT(ROW()-$C$72))"),"")</f>
        <v/>
      </c>
      <c r="H840" s="61" t="str">
        <f>IFERROR(__xludf.DUMMYFUNCTION("INDIRECT(""'收支紀錄'!H""&amp;TO_TEXT(ROW()-$C$72))"),"房屋支出")</f>
        <v>房屋支出</v>
      </c>
      <c r="I840" s="61" t="str">
        <f>IFERROR(__xludf.DUMMYFUNCTION("INDIRECT(""'收支紀錄'!I""&amp;TO_TEXT(ROW()-$C$72))"),"")</f>
        <v/>
      </c>
      <c r="J840" s="61" t="str">
        <f>IFERROR(__xludf.DUMMYFUNCTION("INDIRECT(""'收支紀錄'!J""&amp;TO_TEXT(ROW()-$C$72))"),"")</f>
        <v/>
      </c>
      <c r="K840" s="61" t="str">
        <f>IFERROR(__xludf.DUMMYFUNCTION("INDIRECT(""'收支紀錄'!K""&amp;TO_TEXT(ROW()-$C$72))"),"管理費")</f>
        <v>管理費</v>
      </c>
      <c r="L840" s="61" t="str">
        <f>IFERROR(__xludf.DUMMYFUNCTION("INDIRECT(""'收支紀錄'!L""&amp;TO_TEXT(ROW()-$C$72))"),"")</f>
        <v/>
      </c>
      <c r="M840" s="61" t="str">
        <f>IFERROR(__xludf.DUMMYFUNCTION("INDIRECT(""'收支紀錄'!M""&amp;TO_TEXT(ROW()-$C$72))"),"")</f>
        <v/>
      </c>
      <c r="N840" s="61" t="str">
        <f>IFERROR(__xludf.DUMMYFUNCTION("INDIRECT(""'收支紀錄'!N""&amp;TO_TEXT(ROW()-$C$72))"),"")</f>
        <v/>
      </c>
      <c r="O840" s="61" t="str">
        <f>IFERROR(__xludf.DUMMYFUNCTION("INDIRECT(""'收支紀錄'!O""&amp;TO_TEXT(ROW()-$C$72))"),"")</f>
        <v/>
      </c>
      <c r="P840" s="61" t="str">
        <f>IFERROR(__xludf.DUMMYFUNCTION("INDIRECT(""'收支紀錄'!P""&amp;TO_TEXT(ROW()-$C$72))"),"")</f>
        <v/>
      </c>
      <c r="Q840" s="61" t="str">
        <f>IFERROR(__xludf.DUMMYFUNCTION("INDIRECT(""'收支紀錄'!Q""&amp;TO_TEXT(ROW()-$C$72))"),"")</f>
        <v/>
      </c>
      <c r="R840" s="61" t="str">
        <f>IFERROR(__xludf.DUMMYFUNCTION("INDIRECT(""'收支紀錄'!R""&amp;TO_TEXT(ROW()-$C$72))"),"")</f>
        <v/>
      </c>
      <c r="S840" s="61" t="str">
        <f>IFERROR(__xludf.DUMMYFUNCTION("INDIRECT(""'收支紀錄'!S""&amp;TO_TEXT(ROW()-$C$72))"),"")</f>
        <v/>
      </c>
      <c r="T840" s="61" t="str">
        <f>IFERROR(__xludf.DUMMYFUNCTION("INDIRECT(""'收支紀錄'!T""&amp;TO_TEXT(ROW()-$C$72))"),"")</f>
        <v/>
      </c>
      <c r="U840" s="62" t="str">
        <f>IFERROR(__xludf.DUMMYFUNCTION("IF(T840=""是"",TEXTJOIN("""", TRUE, ""$"", TO_TEXT(C840), S840),"""")"),"")</f>
        <v/>
      </c>
    </row>
    <row r="841">
      <c r="A841" s="58">
        <f>IFERROR(__xludf.DUMMYFUNCTION("INDIRECT(""'收支紀錄'!A""&amp;TO_TEXT(ROW()-$C$72))"),45781.88942518519)</f>
        <v>45781.88943</v>
      </c>
      <c r="B841" s="59">
        <f>IFERROR(__xludf.DUMMYFUNCTION("IF(ISBLANK(D841), """", IF(ISDATE(D841), D841, IF(D841=""今天"", A841, IF(D841=""昨天 (-1 day)"", A841-1, IF(D841=""前天 (-2 days)"", A841-2, IF(D841=""明天 (+1 day)"", A841+1, DATE(LEFT(D841,4), MID(D841,5,2), RIGHT(D841,2))))))))"),45781.88942518519)</f>
        <v>45781.88943</v>
      </c>
      <c r="C841" s="60">
        <f>IFERROR(__xludf.DUMMYFUNCTION("INDIRECT(""'收支紀錄'!C""&amp;TO_TEXT(ROW()-$C$72))"),4328.0)</f>
        <v>4328</v>
      </c>
      <c r="D841" s="63" t="str">
        <f>IFERROR(__xludf.DUMMYFUNCTION("INDIRECT(""'收支紀錄'!D""&amp;TO_TEXT(ROW()-$C$72))"),"今天")</f>
        <v>今天</v>
      </c>
      <c r="E841" s="61" t="str">
        <f>IFERROR(__xludf.DUMMYFUNCTION("INDIRECT(""'收支紀錄'!E""&amp;TO_TEXT(ROW()-$C$72))"),"")</f>
        <v/>
      </c>
      <c r="F841" s="61" t="str">
        <f>IFERROR(__xludf.DUMMYFUNCTION("INDIRECT(""'收支紀錄'!F""&amp;TO_TEXT(ROW()-$C$72))"),"")</f>
        <v/>
      </c>
      <c r="G841" s="61" t="str">
        <f>IFERROR(__xludf.DUMMYFUNCTION("INDIRECT(""'收支紀錄'!G""&amp;TO_TEXT(ROW()-$C$72))"),"")</f>
        <v/>
      </c>
      <c r="H841" s="61" t="str">
        <f>IFERROR(__xludf.DUMMYFUNCTION("INDIRECT(""'收支紀錄'!H""&amp;TO_TEXT(ROW()-$C$72))"),"日常生活")</f>
        <v>日常生活</v>
      </c>
      <c r="I841" s="61" t="str">
        <f>IFERROR(__xludf.DUMMYFUNCTION("INDIRECT(""'收支紀錄'!I""&amp;TO_TEXT(ROW()-$C$72))"),"")</f>
        <v/>
      </c>
      <c r="J841" s="61" t="str">
        <f>IFERROR(__xludf.DUMMYFUNCTION("INDIRECT(""'收支紀錄'!J""&amp;TO_TEXT(ROW()-$C$72))"),"日常用品")</f>
        <v>日常用品</v>
      </c>
      <c r="K841" s="61" t="str">
        <f>IFERROR(__xludf.DUMMYFUNCTION("INDIRECT(""'收支紀錄'!K""&amp;TO_TEXT(ROW()-$C$72))"),"")</f>
        <v/>
      </c>
      <c r="L841" s="61" t="str">
        <f>IFERROR(__xludf.DUMMYFUNCTION("INDIRECT(""'收支紀錄'!L""&amp;TO_TEXT(ROW()-$C$72))"),"")</f>
        <v/>
      </c>
      <c r="M841" s="61" t="str">
        <f>IFERROR(__xludf.DUMMYFUNCTION("INDIRECT(""'收支紀錄'!M""&amp;TO_TEXT(ROW()-$C$72))"),"")</f>
        <v/>
      </c>
      <c r="N841" s="61" t="str">
        <f>IFERROR(__xludf.DUMMYFUNCTION("INDIRECT(""'收支紀錄'!N""&amp;TO_TEXT(ROW()-$C$72))"),"")</f>
        <v/>
      </c>
      <c r="O841" s="61" t="str">
        <f>IFERROR(__xludf.DUMMYFUNCTION("INDIRECT(""'收支紀錄'!O""&amp;TO_TEXT(ROW()-$C$72))"),"")</f>
        <v/>
      </c>
      <c r="P841" s="61" t="str">
        <f>IFERROR(__xludf.DUMMYFUNCTION("INDIRECT(""'收支紀錄'!P""&amp;TO_TEXT(ROW()-$C$72))"),"")</f>
        <v/>
      </c>
      <c r="Q841" s="61" t="str">
        <f>IFERROR(__xludf.DUMMYFUNCTION("INDIRECT(""'收支紀錄'!Q""&amp;TO_TEXT(ROW()-$C$72))"),"")</f>
        <v/>
      </c>
      <c r="R841" s="61" t="str">
        <f>IFERROR(__xludf.DUMMYFUNCTION("INDIRECT(""'收支紀錄'!R""&amp;TO_TEXT(ROW()-$C$72))"),"")</f>
        <v/>
      </c>
      <c r="S841" s="61" t="str">
        <f>IFERROR(__xludf.DUMMYFUNCTION("INDIRECT(""'收支紀錄'!S""&amp;TO_TEXT(ROW()-$C$72))"),"IKEA水龍頭")</f>
        <v>IKEA水龍頭</v>
      </c>
      <c r="T841" s="61" t="str">
        <f>IFERROR(__xludf.DUMMYFUNCTION("INDIRECT(""'收支紀錄'!T""&amp;TO_TEXT(ROW()-$C$72))"),"是")</f>
        <v>是</v>
      </c>
      <c r="U841" s="62" t="str">
        <f>IFERROR(__xludf.DUMMYFUNCTION("IF(T841=""是"",TEXTJOIN("""", TRUE, ""$"", TO_TEXT(C841), S841),"""")"),"$4328IKEA水龍頭")</f>
        <v>$4328IKEA水龍頭</v>
      </c>
    </row>
    <row r="842">
      <c r="A842" s="58">
        <f>IFERROR(__xludf.DUMMYFUNCTION("INDIRECT(""'收支紀錄'!A""&amp;TO_TEXT(ROW()-$C$72))"),45781.8896468287)</f>
        <v>45781.88965</v>
      </c>
      <c r="B842" s="59">
        <f>IFERROR(__xludf.DUMMYFUNCTION("IF(ISBLANK(D842), """", IF(ISDATE(D842), D842, IF(D842=""今天"", A842, IF(D842=""昨天 (-1 day)"", A842-1, IF(D842=""前天 (-2 days)"", A842-2, IF(D842=""明天 (+1 day)"", A842+1, DATE(LEFT(D842,4), MID(D842,5,2), RIGHT(D842,2))))))))"),45781.8896468287)</f>
        <v>45781.88965</v>
      </c>
      <c r="C842" s="60">
        <f>IFERROR(__xludf.DUMMYFUNCTION("INDIRECT(""'收支紀錄'!C""&amp;TO_TEXT(ROW()-$C$72))"),677.0)</f>
        <v>677</v>
      </c>
      <c r="D842" s="63" t="str">
        <f>IFERROR(__xludf.DUMMYFUNCTION("INDIRECT(""'收支紀錄'!D""&amp;TO_TEXT(ROW()-$C$72))"),"今天")</f>
        <v>今天</v>
      </c>
      <c r="E842" s="61" t="str">
        <f>IFERROR(__xludf.DUMMYFUNCTION("INDIRECT(""'收支紀錄'!E""&amp;TO_TEXT(ROW()-$C$72))"),"")</f>
        <v/>
      </c>
      <c r="F842" s="61" t="str">
        <f>IFERROR(__xludf.DUMMYFUNCTION("INDIRECT(""'收支紀錄'!F""&amp;TO_TEXT(ROW()-$C$72))"),"")</f>
        <v/>
      </c>
      <c r="G842" s="61" t="str">
        <f>IFERROR(__xludf.DUMMYFUNCTION("INDIRECT(""'收支紀錄'!G""&amp;TO_TEXT(ROW()-$C$72))"),"")</f>
        <v/>
      </c>
      <c r="H842" s="61" t="str">
        <f>IFERROR(__xludf.DUMMYFUNCTION("INDIRECT(""'收支紀錄'!H""&amp;TO_TEXT(ROW()-$C$72))"),"食品酒水")</f>
        <v>食品酒水</v>
      </c>
      <c r="I842" s="61" t="str">
        <f>IFERROR(__xludf.DUMMYFUNCTION("INDIRECT(""'收支紀錄'!I""&amp;TO_TEXT(ROW()-$C$72))"),"午餐")</f>
        <v>午餐</v>
      </c>
      <c r="J842" s="61" t="str">
        <f>IFERROR(__xludf.DUMMYFUNCTION("INDIRECT(""'收支紀錄'!J""&amp;TO_TEXT(ROW()-$C$72))"),"")</f>
        <v/>
      </c>
      <c r="K842" s="61" t="str">
        <f>IFERROR(__xludf.DUMMYFUNCTION("INDIRECT(""'收支紀錄'!K""&amp;TO_TEXT(ROW()-$C$72))"),"")</f>
        <v/>
      </c>
      <c r="L842" s="61" t="str">
        <f>IFERROR(__xludf.DUMMYFUNCTION("INDIRECT(""'收支紀錄'!L""&amp;TO_TEXT(ROW()-$C$72))"),"")</f>
        <v/>
      </c>
      <c r="M842" s="61" t="str">
        <f>IFERROR(__xludf.DUMMYFUNCTION("INDIRECT(""'收支紀錄'!M""&amp;TO_TEXT(ROW()-$C$72))"),"")</f>
        <v/>
      </c>
      <c r="N842" s="61" t="str">
        <f>IFERROR(__xludf.DUMMYFUNCTION("INDIRECT(""'收支紀錄'!N""&amp;TO_TEXT(ROW()-$C$72))"),"")</f>
        <v/>
      </c>
      <c r="O842" s="61" t="str">
        <f>IFERROR(__xludf.DUMMYFUNCTION("INDIRECT(""'收支紀錄'!O""&amp;TO_TEXT(ROW()-$C$72))"),"")</f>
        <v/>
      </c>
      <c r="P842" s="61" t="str">
        <f>IFERROR(__xludf.DUMMYFUNCTION("INDIRECT(""'收支紀錄'!P""&amp;TO_TEXT(ROW()-$C$72))"),"")</f>
        <v/>
      </c>
      <c r="Q842" s="61" t="str">
        <f>IFERROR(__xludf.DUMMYFUNCTION("INDIRECT(""'收支紀錄'!Q""&amp;TO_TEXT(ROW()-$C$72))"),"")</f>
        <v/>
      </c>
      <c r="R842" s="61" t="str">
        <f>IFERROR(__xludf.DUMMYFUNCTION("INDIRECT(""'收支紀錄'!R""&amp;TO_TEXT(ROW()-$C$72))"),"")</f>
        <v/>
      </c>
      <c r="S842" s="61" t="str">
        <f>IFERROR(__xludf.DUMMYFUNCTION("INDIRECT(""'收支紀錄'!S""&amp;TO_TEXT(ROW()-$C$72))"),"")</f>
        <v/>
      </c>
      <c r="T842" s="61" t="str">
        <f>IFERROR(__xludf.DUMMYFUNCTION("INDIRECT(""'收支紀錄'!T""&amp;TO_TEXT(ROW()-$C$72))"),"")</f>
        <v/>
      </c>
      <c r="U842" s="62" t="str">
        <f>IFERROR(__xludf.DUMMYFUNCTION("IF(T842=""是"",TEXTJOIN("""", TRUE, ""$"", TO_TEXT(C842), S842),"""")"),"")</f>
        <v/>
      </c>
    </row>
    <row r="843">
      <c r="A843" s="58">
        <f>IFERROR(__xludf.DUMMYFUNCTION("INDIRECT(""'收支紀錄'!A""&amp;TO_TEXT(ROW()-$C$72))"),45781.891162858796)</f>
        <v>45781.89116</v>
      </c>
      <c r="B843" s="59">
        <f>IFERROR(__xludf.DUMMYFUNCTION("IF(ISBLANK(D843), """", IF(ISDATE(D843), D843, IF(D843=""今天"", A843, IF(D843=""昨天 (-1 day)"", A843-1, IF(D843=""前天 (-2 days)"", A843-2, IF(D843=""明天 (+1 day)"", A843+1, DATE(LEFT(D843,4), MID(D843,5,2), RIGHT(D843,2))))))))"),45780.891162858796)</f>
        <v>45780.89116</v>
      </c>
      <c r="C843" s="60">
        <f>IFERROR(__xludf.DUMMYFUNCTION("INDIRECT(""'收支紀錄'!C""&amp;TO_TEXT(ROW()-$C$72))"),247.0)</f>
        <v>247</v>
      </c>
      <c r="D843" s="63" t="str">
        <f>IFERROR(__xludf.DUMMYFUNCTION("INDIRECT(""'收支紀錄'!D""&amp;TO_TEXT(ROW()-$C$72))"),"昨天 (-1 day)")</f>
        <v>昨天 (-1 day)</v>
      </c>
      <c r="E843" s="61" t="str">
        <f>IFERROR(__xludf.DUMMYFUNCTION("INDIRECT(""'收支紀錄'!E""&amp;TO_TEXT(ROW()-$C$72))"),"")</f>
        <v/>
      </c>
      <c r="F843" s="61" t="str">
        <f>IFERROR(__xludf.DUMMYFUNCTION("INDIRECT(""'收支紀錄'!F""&amp;TO_TEXT(ROW()-$C$72))"),"")</f>
        <v/>
      </c>
      <c r="G843" s="61" t="str">
        <f>IFERROR(__xludf.DUMMYFUNCTION("INDIRECT(""'收支紀錄'!G""&amp;TO_TEXT(ROW()-$C$72))"),"")</f>
        <v/>
      </c>
      <c r="H843" s="61" t="str">
        <f>IFERROR(__xludf.DUMMYFUNCTION("INDIRECT(""'收支紀錄'!H""&amp;TO_TEXT(ROW()-$C$72))"),"日常生活")</f>
        <v>日常生活</v>
      </c>
      <c r="I843" s="61" t="str">
        <f>IFERROR(__xludf.DUMMYFUNCTION("INDIRECT(""'收支紀錄'!I""&amp;TO_TEXT(ROW()-$C$72))"),"")</f>
        <v/>
      </c>
      <c r="J843" s="61" t="str">
        <f>IFERROR(__xludf.DUMMYFUNCTION("INDIRECT(""'收支紀錄'!J""&amp;TO_TEXT(ROW()-$C$72))"),"日常用品")</f>
        <v>日常用品</v>
      </c>
      <c r="K843" s="61" t="str">
        <f>IFERROR(__xludf.DUMMYFUNCTION("INDIRECT(""'收支紀錄'!K""&amp;TO_TEXT(ROW()-$C$72))"),"")</f>
        <v/>
      </c>
      <c r="L843" s="61" t="str">
        <f>IFERROR(__xludf.DUMMYFUNCTION("INDIRECT(""'收支紀錄'!L""&amp;TO_TEXT(ROW()-$C$72))"),"")</f>
        <v/>
      </c>
      <c r="M843" s="61" t="str">
        <f>IFERROR(__xludf.DUMMYFUNCTION("INDIRECT(""'收支紀錄'!M""&amp;TO_TEXT(ROW()-$C$72))"),"")</f>
        <v/>
      </c>
      <c r="N843" s="61" t="str">
        <f>IFERROR(__xludf.DUMMYFUNCTION("INDIRECT(""'收支紀錄'!N""&amp;TO_TEXT(ROW()-$C$72))"),"")</f>
        <v/>
      </c>
      <c r="O843" s="61" t="str">
        <f>IFERROR(__xludf.DUMMYFUNCTION("INDIRECT(""'收支紀錄'!O""&amp;TO_TEXT(ROW()-$C$72))"),"")</f>
        <v/>
      </c>
      <c r="P843" s="61" t="str">
        <f>IFERROR(__xludf.DUMMYFUNCTION("INDIRECT(""'收支紀錄'!P""&amp;TO_TEXT(ROW()-$C$72))"),"")</f>
        <v/>
      </c>
      <c r="Q843" s="61" t="str">
        <f>IFERROR(__xludf.DUMMYFUNCTION("INDIRECT(""'收支紀錄'!Q""&amp;TO_TEXT(ROW()-$C$72))"),"")</f>
        <v/>
      </c>
      <c r="R843" s="61" t="str">
        <f>IFERROR(__xludf.DUMMYFUNCTION("INDIRECT(""'收支紀錄'!R""&amp;TO_TEXT(ROW()-$C$72))"),"")</f>
        <v/>
      </c>
      <c r="S843" s="61" t="str">
        <f>IFERROR(__xludf.DUMMYFUNCTION("INDIRECT(""'收支紀錄'!S""&amp;TO_TEXT(ROW()-$C$72))"),"")</f>
        <v/>
      </c>
      <c r="T843" s="61" t="str">
        <f>IFERROR(__xludf.DUMMYFUNCTION("INDIRECT(""'收支紀錄'!T""&amp;TO_TEXT(ROW()-$C$72))"),"")</f>
        <v/>
      </c>
      <c r="U843" s="62" t="str">
        <f>IFERROR(__xludf.DUMMYFUNCTION("IF(T843=""是"",TEXTJOIN("""", TRUE, ""$"", TO_TEXT(C843), S843),"""")"),"")</f>
        <v/>
      </c>
    </row>
    <row r="844">
      <c r="A844" s="58">
        <f>IFERROR(__xludf.DUMMYFUNCTION("INDIRECT(""'收支紀錄'!A""&amp;TO_TEXT(ROW()-$C$72))"),45781.891290659725)</f>
        <v>45781.89129</v>
      </c>
      <c r="B844" s="59">
        <f>IFERROR(__xludf.DUMMYFUNCTION("IF(ISBLANK(D844), """", IF(ISDATE(D844), D844, IF(D844=""今天"", A844, IF(D844=""昨天 (-1 day)"", A844-1, IF(D844=""前天 (-2 days)"", A844-2, IF(D844=""明天 (+1 day)"", A844+1, DATE(LEFT(D844,4), MID(D844,5,2), RIGHT(D844,2))))))))"),45781.891290659725)</f>
        <v>45781.89129</v>
      </c>
      <c r="C844" s="60">
        <f>IFERROR(__xludf.DUMMYFUNCTION("INDIRECT(""'收支紀錄'!C""&amp;TO_TEXT(ROW()-$C$72))"),45.0)</f>
        <v>45</v>
      </c>
      <c r="D844" s="63" t="str">
        <f>IFERROR(__xludf.DUMMYFUNCTION("INDIRECT(""'收支紀錄'!D""&amp;TO_TEXT(ROW()-$C$72))"),"今天")</f>
        <v>今天</v>
      </c>
      <c r="E844" s="61" t="str">
        <f>IFERROR(__xludf.DUMMYFUNCTION("INDIRECT(""'收支紀錄'!E""&amp;TO_TEXT(ROW()-$C$72))"),"")</f>
        <v/>
      </c>
      <c r="F844" s="61" t="str">
        <f>IFERROR(__xludf.DUMMYFUNCTION("INDIRECT(""'收支紀錄'!F""&amp;TO_TEXT(ROW()-$C$72))"),"")</f>
        <v/>
      </c>
      <c r="G844" s="61" t="str">
        <f>IFERROR(__xludf.DUMMYFUNCTION("INDIRECT(""'收支紀錄'!G""&amp;TO_TEXT(ROW()-$C$72))"),"")</f>
        <v/>
      </c>
      <c r="H844" s="61" t="str">
        <f>IFERROR(__xludf.DUMMYFUNCTION("INDIRECT(""'收支紀錄'!H""&amp;TO_TEXT(ROW()-$C$72))"),"日常生活")</f>
        <v>日常生活</v>
      </c>
      <c r="I844" s="61" t="str">
        <f>IFERROR(__xludf.DUMMYFUNCTION("INDIRECT(""'收支紀錄'!I""&amp;TO_TEXT(ROW()-$C$72))"),"")</f>
        <v/>
      </c>
      <c r="J844" s="61" t="str">
        <f>IFERROR(__xludf.DUMMYFUNCTION("INDIRECT(""'收支紀錄'!J""&amp;TO_TEXT(ROW()-$C$72))"),"日常用品")</f>
        <v>日常用品</v>
      </c>
      <c r="K844" s="61" t="str">
        <f>IFERROR(__xludf.DUMMYFUNCTION("INDIRECT(""'收支紀錄'!K""&amp;TO_TEXT(ROW()-$C$72))"),"")</f>
        <v/>
      </c>
      <c r="L844" s="61" t="str">
        <f>IFERROR(__xludf.DUMMYFUNCTION("INDIRECT(""'收支紀錄'!L""&amp;TO_TEXT(ROW()-$C$72))"),"")</f>
        <v/>
      </c>
      <c r="M844" s="61" t="str">
        <f>IFERROR(__xludf.DUMMYFUNCTION("INDIRECT(""'收支紀錄'!M""&amp;TO_TEXT(ROW()-$C$72))"),"")</f>
        <v/>
      </c>
      <c r="N844" s="61" t="str">
        <f>IFERROR(__xludf.DUMMYFUNCTION("INDIRECT(""'收支紀錄'!N""&amp;TO_TEXT(ROW()-$C$72))"),"")</f>
        <v/>
      </c>
      <c r="O844" s="61" t="str">
        <f>IFERROR(__xludf.DUMMYFUNCTION("INDIRECT(""'收支紀錄'!O""&amp;TO_TEXT(ROW()-$C$72))"),"")</f>
        <v/>
      </c>
      <c r="P844" s="61" t="str">
        <f>IFERROR(__xludf.DUMMYFUNCTION("INDIRECT(""'收支紀錄'!P""&amp;TO_TEXT(ROW()-$C$72))"),"")</f>
        <v/>
      </c>
      <c r="Q844" s="61" t="str">
        <f>IFERROR(__xludf.DUMMYFUNCTION("INDIRECT(""'收支紀錄'!Q""&amp;TO_TEXT(ROW()-$C$72))"),"")</f>
        <v/>
      </c>
      <c r="R844" s="61" t="str">
        <f>IFERROR(__xludf.DUMMYFUNCTION("INDIRECT(""'收支紀錄'!R""&amp;TO_TEXT(ROW()-$C$72))"),"")</f>
        <v/>
      </c>
      <c r="S844" s="61" t="str">
        <f>IFERROR(__xludf.DUMMYFUNCTION("INDIRECT(""'收支紀錄'!S""&amp;TO_TEXT(ROW()-$C$72))"),"")</f>
        <v/>
      </c>
      <c r="T844" s="61" t="str">
        <f>IFERROR(__xludf.DUMMYFUNCTION("INDIRECT(""'收支紀錄'!T""&amp;TO_TEXT(ROW()-$C$72))"),"")</f>
        <v/>
      </c>
      <c r="U844" s="62" t="str">
        <f>IFERROR(__xludf.DUMMYFUNCTION("IF(T844=""是"",TEXTJOIN("""", TRUE, ""$"", TO_TEXT(C844), S844),"""")"),"")</f>
        <v/>
      </c>
    </row>
    <row r="845">
      <c r="A845" s="58">
        <f>IFERROR(__xludf.DUMMYFUNCTION("INDIRECT(""'收支紀錄'!A""&amp;TO_TEXT(ROW()-$C$72))"),45782.970131435184)</f>
        <v>45782.97013</v>
      </c>
      <c r="B845" s="59">
        <f>IFERROR(__xludf.DUMMYFUNCTION("IF(ISBLANK(D845), """", IF(ISDATE(D845), D845, IF(D845=""今天"", A845, IF(D845=""昨天 (-1 day)"", A845-1, IF(D845=""前天 (-2 days)"", A845-2, IF(D845=""明天 (+1 day)"", A845+1, DATE(LEFT(D845,4), MID(D845,5,2), RIGHT(D845,2))))))))"),45782.970131435184)</f>
        <v>45782.97013</v>
      </c>
      <c r="C845" s="60">
        <f>IFERROR(__xludf.DUMMYFUNCTION("INDIRECT(""'收支紀錄'!C""&amp;TO_TEXT(ROW()-$C$72))"),100649.0)</f>
        <v>100649</v>
      </c>
      <c r="D845" s="63" t="str">
        <f>IFERROR(__xludf.DUMMYFUNCTION("INDIRECT(""'收支紀錄'!D""&amp;TO_TEXT(ROW()-$C$72))"),"今天")</f>
        <v>今天</v>
      </c>
      <c r="E845" s="61" t="str">
        <f>IFERROR(__xludf.DUMMYFUNCTION("INDIRECT(""'收支紀錄'!E""&amp;TO_TEXT(ROW()-$C$72))"),"工作")</f>
        <v>工作</v>
      </c>
      <c r="F845" s="61" t="str">
        <f>IFERROR(__xludf.DUMMYFUNCTION("INDIRECT(""'收支紀錄'!F""&amp;TO_TEXT(ROW()-$C$72))"),"底薪")</f>
        <v>底薪</v>
      </c>
      <c r="G845" s="61" t="str">
        <f>IFERROR(__xludf.DUMMYFUNCTION("INDIRECT(""'收支紀錄'!G""&amp;TO_TEXT(ROW()-$C$72))"),"")</f>
        <v/>
      </c>
      <c r="H845" s="61" t="str">
        <f>IFERROR(__xludf.DUMMYFUNCTION("INDIRECT(""'收支紀錄'!H""&amp;TO_TEXT(ROW()-$C$72))"),"")</f>
        <v/>
      </c>
      <c r="I845" s="61" t="str">
        <f>IFERROR(__xludf.DUMMYFUNCTION("INDIRECT(""'收支紀錄'!I""&amp;TO_TEXT(ROW()-$C$72))"),"")</f>
        <v/>
      </c>
      <c r="J845" s="61" t="str">
        <f>IFERROR(__xludf.DUMMYFUNCTION("INDIRECT(""'收支紀錄'!J""&amp;TO_TEXT(ROW()-$C$72))"),"")</f>
        <v/>
      </c>
      <c r="K845" s="61" t="str">
        <f>IFERROR(__xludf.DUMMYFUNCTION("INDIRECT(""'收支紀錄'!K""&amp;TO_TEXT(ROW()-$C$72))"),"")</f>
        <v/>
      </c>
      <c r="L845" s="61" t="str">
        <f>IFERROR(__xludf.DUMMYFUNCTION("INDIRECT(""'收支紀錄'!L""&amp;TO_TEXT(ROW()-$C$72))"),"")</f>
        <v/>
      </c>
      <c r="M845" s="61" t="str">
        <f>IFERROR(__xludf.DUMMYFUNCTION("INDIRECT(""'收支紀錄'!M""&amp;TO_TEXT(ROW()-$C$72))"),"")</f>
        <v/>
      </c>
      <c r="N845" s="61" t="str">
        <f>IFERROR(__xludf.DUMMYFUNCTION("INDIRECT(""'收支紀錄'!N""&amp;TO_TEXT(ROW()-$C$72))"),"")</f>
        <v/>
      </c>
      <c r="O845" s="61" t="str">
        <f>IFERROR(__xludf.DUMMYFUNCTION("INDIRECT(""'收支紀錄'!O""&amp;TO_TEXT(ROW()-$C$72))"),"")</f>
        <v/>
      </c>
      <c r="P845" s="61" t="str">
        <f>IFERROR(__xludf.DUMMYFUNCTION("INDIRECT(""'收支紀錄'!P""&amp;TO_TEXT(ROW()-$C$72))"),"")</f>
        <v/>
      </c>
      <c r="Q845" s="61" t="str">
        <f>IFERROR(__xludf.DUMMYFUNCTION("INDIRECT(""'收支紀錄'!Q""&amp;TO_TEXT(ROW()-$C$72))"),"")</f>
        <v/>
      </c>
      <c r="R845" s="61" t="str">
        <f>IFERROR(__xludf.DUMMYFUNCTION("INDIRECT(""'收支紀錄'!R""&amp;TO_TEXT(ROW()-$C$72))"),"")</f>
        <v/>
      </c>
      <c r="S845" s="61" t="str">
        <f>IFERROR(__xludf.DUMMYFUNCTION("INDIRECT(""'收支紀錄'!S""&amp;TO_TEXT(ROW()-$C$72))")," $2251請假扣款")</f>
        <v> $2251請假扣款</v>
      </c>
      <c r="T845" s="61" t="str">
        <f>IFERROR(__xludf.DUMMYFUNCTION("INDIRECT(""'收支紀錄'!T""&amp;TO_TEXT(ROW()-$C$72))"),"是")</f>
        <v>是</v>
      </c>
      <c r="U845" s="62" t="str">
        <f>IFERROR(__xludf.DUMMYFUNCTION("IF(T845=""是"",TEXTJOIN("""", TRUE, ""$"", TO_TEXT(C845), S845),"""")"),"$100649 $2251請假扣款")</f>
        <v>$100649 $2251請假扣款</v>
      </c>
    </row>
    <row r="846">
      <c r="A846" s="58">
        <f>IFERROR(__xludf.DUMMYFUNCTION("INDIRECT(""'收支紀錄'!A""&amp;TO_TEXT(ROW()-$C$72))"),45782.97207729166)</f>
        <v>45782.97208</v>
      </c>
      <c r="B846" s="59">
        <f>IFERROR(__xludf.DUMMYFUNCTION("IF(ISBLANK(D846), """", IF(ISDATE(D846), D846, IF(D846=""今天"", A846, IF(D846=""昨天 (-1 day)"", A846-1, IF(D846=""前天 (-2 days)"", A846-2, IF(D846=""明天 (+1 day)"", A846+1, DATE(LEFT(D846,4), MID(D846,5,2), RIGHT(D846,2))))))))"),45762.0)</f>
        <v>45762</v>
      </c>
      <c r="C846" s="60">
        <f>IFERROR(__xludf.DUMMYFUNCTION("INDIRECT(""'收支紀錄'!C""&amp;TO_TEXT(ROW()-$C$72))"),2592.0)</f>
        <v>2592</v>
      </c>
      <c r="D846" s="63">
        <f>IFERROR(__xludf.DUMMYFUNCTION("INDIRECT(""'收支紀錄'!D""&amp;TO_TEXT(ROW()-$C$72))"),2.0250415E7)</f>
        <v>20250415</v>
      </c>
      <c r="E846" s="61" t="str">
        <f>IFERROR(__xludf.DUMMYFUNCTION("INDIRECT(""'收支紀錄'!E""&amp;TO_TEXT(ROW()-$C$72))"),"其他業外")</f>
        <v>其他業外</v>
      </c>
      <c r="F846" s="61" t="str">
        <f>IFERROR(__xludf.DUMMYFUNCTION("INDIRECT(""'收支紀錄'!F""&amp;TO_TEXT(ROW()-$C$72))"),"")</f>
        <v/>
      </c>
      <c r="G846" s="61" t="str">
        <f>IFERROR(__xludf.DUMMYFUNCTION("INDIRECT(""'收支紀錄'!G""&amp;TO_TEXT(ROW()-$C$72))"),"股票配息")</f>
        <v>股票配息</v>
      </c>
      <c r="H846" s="61" t="str">
        <f>IFERROR(__xludf.DUMMYFUNCTION("INDIRECT(""'收支紀錄'!H""&amp;TO_TEXT(ROW()-$C$72))"),"")</f>
        <v/>
      </c>
      <c r="I846" s="61" t="str">
        <f>IFERROR(__xludf.DUMMYFUNCTION("INDIRECT(""'收支紀錄'!I""&amp;TO_TEXT(ROW()-$C$72))"),"")</f>
        <v/>
      </c>
      <c r="J846" s="61" t="str">
        <f>IFERROR(__xludf.DUMMYFUNCTION("INDIRECT(""'收支紀錄'!J""&amp;TO_TEXT(ROW()-$C$72))"),"")</f>
        <v/>
      </c>
      <c r="K846" s="61" t="str">
        <f>IFERROR(__xludf.DUMMYFUNCTION("INDIRECT(""'收支紀錄'!K""&amp;TO_TEXT(ROW()-$C$72))"),"")</f>
        <v/>
      </c>
      <c r="L846" s="61" t="str">
        <f>IFERROR(__xludf.DUMMYFUNCTION("INDIRECT(""'收支紀錄'!L""&amp;TO_TEXT(ROW()-$C$72))"),"")</f>
        <v/>
      </c>
      <c r="M846" s="61" t="str">
        <f>IFERROR(__xludf.DUMMYFUNCTION("INDIRECT(""'收支紀錄'!M""&amp;TO_TEXT(ROW()-$C$72))"),"")</f>
        <v/>
      </c>
      <c r="N846" s="61" t="str">
        <f>IFERROR(__xludf.DUMMYFUNCTION("INDIRECT(""'收支紀錄'!N""&amp;TO_TEXT(ROW()-$C$72))"),"")</f>
        <v/>
      </c>
      <c r="O846" s="61" t="str">
        <f>IFERROR(__xludf.DUMMYFUNCTION("INDIRECT(""'收支紀錄'!O""&amp;TO_TEXT(ROW()-$C$72))"),"")</f>
        <v/>
      </c>
      <c r="P846" s="61" t="str">
        <f>IFERROR(__xludf.DUMMYFUNCTION("INDIRECT(""'收支紀錄'!P""&amp;TO_TEXT(ROW()-$C$72))"),"")</f>
        <v/>
      </c>
      <c r="Q846" s="61" t="str">
        <f>IFERROR(__xludf.DUMMYFUNCTION("INDIRECT(""'收支紀錄'!Q""&amp;TO_TEXT(ROW()-$C$72))"),"")</f>
        <v/>
      </c>
      <c r="R846" s="61" t="str">
        <f>IFERROR(__xludf.DUMMYFUNCTION("INDIRECT(""'收支紀錄'!R""&amp;TO_TEXT(ROW()-$C$72))"),"")</f>
        <v/>
      </c>
      <c r="S846" s="61" t="str">
        <f>IFERROR(__xludf.DUMMYFUNCTION("INDIRECT(""'收支紀錄'!S""&amp;TO_TEXT(ROW()-$C$72))"),"中信優息")</f>
        <v>中信優息</v>
      </c>
      <c r="T846" s="61" t="str">
        <f>IFERROR(__xludf.DUMMYFUNCTION("INDIRECT(""'收支紀錄'!T""&amp;TO_TEXT(ROW()-$C$72))"),"是")</f>
        <v>是</v>
      </c>
      <c r="U846" s="62" t="str">
        <f>IFERROR(__xludf.DUMMYFUNCTION("IF(T846=""是"",TEXTJOIN("""", TRUE, ""$"", TO_TEXT(C846), S846),"""")"),"$2592中信優息")</f>
        <v>$2592中信優息</v>
      </c>
    </row>
    <row r="847">
      <c r="A847" s="58">
        <f>IFERROR(__xludf.DUMMYFUNCTION("INDIRECT(""'收支紀錄'!A""&amp;TO_TEXT(ROW()-$C$72))"),45782.97284702546)</f>
        <v>45782.97285</v>
      </c>
      <c r="B847" s="59">
        <f>IFERROR(__xludf.DUMMYFUNCTION("IF(ISBLANK(D847), """", IF(ISDATE(D847), D847, IF(D847=""今天"", A847, IF(D847=""昨天 (-1 day)"", A847-1, IF(D847=""前天 (-2 days)"", A847-2, IF(D847=""明天 (+1 day)"", A847+1, DATE(LEFT(D847,4), MID(D847,5,2), RIGHT(D847,2))))))))"),45762.0)</f>
        <v>45762</v>
      </c>
      <c r="C847" s="60">
        <f>IFERROR(__xludf.DUMMYFUNCTION("INDIRECT(""'收支紀錄'!C""&amp;TO_TEXT(ROW()-$C$72))"),7190.0)</f>
        <v>7190</v>
      </c>
      <c r="D847" s="63">
        <f>IFERROR(__xludf.DUMMYFUNCTION("INDIRECT(""'收支紀錄'!D""&amp;TO_TEXT(ROW()-$C$72))"),2.0250415E7)</f>
        <v>20250415</v>
      </c>
      <c r="E847" s="61" t="str">
        <f>IFERROR(__xludf.DUMMYFUNCTION("INDIRECT(""'收支紀錄'!E""&amp;TO_TEXT(ROW()-$C$72))"),"其他業外")</f>
        <v>其他業外</v>
      </c>
      <c r="F847" s="61" t="str">
        <f>IFERROR(__xludf.DUMMYFUNCTION("INDIRECT(""'收支紀錄'!F""&amp;TO_TEXT(ROW()-$C$72))"),"")</f>
        <v/>
      </c>
      <c r="G847" s="61" t="str">
        <f>IFERROR(__xludf.DUMMYFUNCTION("INDIRECT(""'收支紀錄'!G""&amp;TO_TEXT(ROW()-$C$72))"),"股票配息")</f>
        <v>股票配息</v>
      </c>
      <c r="H847" s="61" t="str">
        <f>IFERROR(__xludf.DUMMYFUNCTION("INDIRECT(""'收支紀錄'!H""&amp;TO_TEXT(ROW()-$C$72))"),"")</f>
        <v/>
      </c>
      <c r="I847" s="61" t="str">
        <f>IFERROR(__xludf.DUMMYFUNCTION("INDIRECT(""'收支紀錄'!I""&amp;TO_TEXT(ROW()-$C$72))"),"")</f>
        <v/>
      </c>
      <c r="J847" s="61" t="str">
        <f>IFERROR(__xludf.DUMMYFUNCTION("INDIRECT(""'收支紀錄'!J""&amp;TO_TEXT(ROW()-$C$72))"),"")</f>
        <v/>
      </c>
      <c r="K847" s="61" t="str">
        <f>IFERROR(__xludf.DUMMYFUNCTION("INDIRECT(""'收支紀錄'!K""&amp;TO_TEXT(ROW()-$C$72))"),"")</f>
        <v/>
      </c>
      <c r="L847" s="61" t="str">
        <f>IFERROR(__xludf.DUMMYFUNCTION("INDIRECT(""'收支紀錄'!L""&amp;TO_TEXT(ROW()-$C$72))"),"")</f>
        <v/>
      </c>
      <c r="M847" s="61" t="str">
        <f>IFERROR(__xludf.DUMMYFUNCTION("INDIRECT(""'收支紀錄'!M""&amp;TO_TEXT(ROW()-$C$72))"),"")</f>
        <v/>
      </c>
      <c r="N847" s="61" t="str">
        <f>IFERROR(__xludf.DUMMYFUNCTION("INDIRECT(""'收支紀錄'!N""&amp;TO_TEXT(ROW()-$C$72))"),"")</f>
        <v/>
      </c>
      <c r="O847" s="61" t="str">
        <f>IFERROR(__xludf.DUMMYFUNCTION("INDIRECT(""'收支紀錄'!O""&amp;TO_TEXT(ROW()-$C$72))"),"")</f>
        <v/>
      </c>
      <c r="P847" s="61" t="str">
        <f>IFERROR(__xludf.DUMMYFUNCTION("INDIRECT(""'收支紀錄'!P""&amp;TO_TEXT(ROW()-$C$72))"),"")</f>
        <v/>
      </c>
      <c r="Q847" s="61" t="str">
        <f>IFERROR(__xludf.DUMMYFUNCTION("INDIRECT(""'收支紀錄'!Q""&amp;TO_TEXT(ROW()-$C$72))"),"")</f>
        <v/>
      </c>
      <c r="R847" s="61" t="str">
        <f>IFERROR(__xludf.DUMMYFUNCTION("INDIRECT(""'收支紀錄'!R""&amp;TO_TEXT(ROW()-$C$72))"),"")</f>
        <v/>
      </c>
      <c r="S847" s="61" t="str">
        <f>IFERROR(__xludf.DUMMYFUNCTION("INDIRECT(""'收支紀錄'!S""&amp;TO_TEXT(ROW()-$C$72))"),"元大A級")</f>
        <v>元大A級</v>
      </c>
      <c r="T847" s="61" t="str">
        <f>IFERROR(__xludf.DUMMYFUNCTION("INDIRECT(""'收支紀錄'!T""&amp;TO_TEXT(ROW()-$C$72))"),"是")</f>
        <v>是</v>
      </c>
      <c r="U847" s="62" t="str">
        <f>IFERROR(__xludf.DUMMYFUNCTION("IF(T847=""是"",TEXTJOIN("""", TRUE, ""$"", TO_TEXT(C847), S847),"""")"),"$7190元大A級")</f>
        <v>$7190元大A級</v>
      </c>
    </row>
    <row r="848">
      <c r="A848" s="58">
        <f>IFERROR(__xludf.DUMMYFUNCTION("INDIRECT(""'收支紀錄'!A""&amp;TO_TEXT(ROW()-$C$72))"),45782.97599796296)</f>
        <v>45782.976</v>
      </c>
      <c r="B848" s="59">
        <f>IFERROR(__xludf.DUMMYFUNCTION("IF(ISBLANK(D848), """", IF(ISDATE(D848), D848, IF(D848=""今天"", A848, IF(D848=""昨天 (-1 day)"", A848-1, IF(D848=""前天 (-2 days)"", A848-2, IF(D848=""明天 (+1 day)"", A848+1, DATE(LEFT(D848,4), MID(D848,5,2), RIGHT(D848,2))))))))"),45777.0)</f>
        <v>45777</v>
      </c>
      <c r="C848" s="60">
        <f>IFERROR(__xludf.DUMMYFUNCTION("INDIRECT(""'收支紀錄'!C""&amp;TO_TEXT(ROW()-$C$72))"),220.0)</f>
        <v>220</v>
      </c>
      <c r="D848" s="63">
        <f>IFERROR(__xludf.DUMMYFUNCTION("INDIRECT(""'收支紀錄'!D""&amp;TO_TEXT(ROW()-$C$72))"),2.025043E7)</f>
        <v>20250430</v>
      </c>
      <c r="E848" s="61" t="str">
        <f>IFERROR(__xludf.DUMMYFUNCTION("INDIRECT(""'收支紀錄'!E""&amp;TO_TEXT(ROW()-$C$72))"),"")</f>
        <v/>
      </c>
      <c r="F848" s="61" t="str">
        <f>IFERROR(__xludf.DUMMYFUNCTION("INDIRECT(""'收支紀錄'!F""&amp;TO_TEXT(ROW()-$C$72))"),"")</f>
        <v/>
      </c>
      <c r="G848" s="61" t="str">
        <f>IFERROR(__xludf.DUMMYFUNCTION("INDIRECT(""'收支紀錄'!G""&amp;TO_TEXT(ROW()-$C$72))"),"")</f>
        <v/>
      </c>
      <c r="H848" s="61" t="str">
        <f>IFERROR(__xludf.DUMMYFUNCTION("INDIRECT(""'收支紀錄'!H""&amp;TO_TEXT(ROW()-$C$72))"),"行車交通")</f>
        <v>行車交通</v>
      </c>
      <c r="I848" s="61" t="str">
        <f>IFERROR(__xludf.DUMMYFUNCTION("INDIRECT(""'收支紀錄'!I""&amp;TO_TEXT(ROW()-$C$72))"),"")</f>
        <v/>
      </c>
      <c r="J848" s="61" t="str">
        <f>IFERROR(__xludf.DUMMYFUNCTION("INDIRECT(""'收支紀錄'!J""&amp;TO_TEXT(ROW()-$C$72))"),"")</f>
        <v/>
      </c>
      <c r="K848" s="61" t="str">
        <f>IFERROR(__xludf.DUMMYFUNCTION("INDIRECT(""'收支紀錄'!K""&amp;TO_TEXT(ROW()-$C$72))"),"")</f>
        <v/>
      </c>
      <c r="L848" s="61" t="str">
        <f>IFERROR(__xludf.DUMMYFUNCTION("INDIRECT(""'收支紀錄'!L""&amp;TO_TEXT(ROW()-$C$72))"),"停車")</f>
        <v>停車</v>
      </c>
      <c r="M848" s="61" t="str">
        <f>IFERROR(__xludf.DUMMYFUNCTION("INDIRECT(""'收支紀錄'!M""&amp;TO_TEXT(ROW()-$C$72))"),"")</f>
        <v/>
      </c>
      <c r="N848" s="61" t="str">
        <f>IFERROR(__xludf.DUMMYFUNCTION("INDIRECT(""'收支紀錄'!N""&amp;TO_TEXT(ROW()-$C$72))"),"")</f>
        <v/>
      </c>
      <c r="O848" s="61" t="str">
        <f>IFERROR(__xludf.DUMMYFUNCTION("INDIRECT(""'收支紀錄'!O""&amp;TO_TEXT(ROW()-$C$72))"),"")</f>
        <v/>
      </c>
      <c r="P848" s="61" t="str">
        <f>IFERROR(__xludf.DUMMYFUNCTION("INDIRECT(""'收支紀錄'!P""&amp;TO_TEXT(ROW()-$C$72))"),"")</f>
        <v/>
      </c>
      <c r="Q848" s="61" t="str">
        <f>IFERROR(__xludf.DUMMYFUNCTION("INDIRECT(""'收支紀錄'!Q""&amp;TO_TEXT(ROW()-$C$72))"),"")</f>
        <v/>
      </c>
      <c r="R848" s="61" t="str">
        <f>IFERROR(__xludf.DUMMYFUNCTION("INDIRECT(""'收支紀錄'!R""&amp;TO_TEXT(ROW()-$C$72))"),"")</f>
        <v/>
      </c>
      <c r="S848" s="61" t="str">
        <f>IFERROR(__xludf.DUMMYFUNCTION("INDIRECT(""'收支紀錄'!S""&amp;TO_TEXT(ROW()-$C$72))"),"")</f>
        <v/>
      </c>
      <c r="T848" s="61" t="str">
        <f>IFERROR(__xludf.DUMMYFUNCTION("INDIRECT(""'收支紀錄'!T""&amp;TO_TEXT(ROW()-$C$72))"),"")</f>
        <v/>
      </c>
      <c r="U848" s="62" t="str">
        <f>IFERROR(__xludf.DUMMYFUNCTION("IF(T848=""是"",TEXTJOIN("""", TRUE, ""$"", TO_TEXT(C848), S848),"""")"),"")</f>
        <v/>
      </c>
    </row>
    <row r="849">
      <c r="A849" s="58">
        <f>IFERROR(__xludf.DUMMYFUNCTION("INDIRECT(""'收支紀錄'!A""&amp;TO_TEXT(ROW()-$C$72))"),45782.97810869213)</f>
        <v>45782.97811</v>
      </c>
      <c r="B849" s="59">
        <f>IFERROR(__xludf.DUMMYFUNCTION("IF(ISBLANK(D849), """", IF(ISDATE(D849), D849, IF(D849=""今天"", A849, IF(D849=""昨天 (-1 day)"", A849-1, IF(D849=""前天 (-2 days)"", A849-2, IF(D849=""明天 (+1 day)"", A849+1, DATE(LEFT(D849,4), MID(D849,5,2), RIGHT(D849,2))))))))"),45764.0)</f>
        <v>45764</v>
      </c>
      <c r="C849" s="60">
        <f>IFERROR(__xludf.DUMMYFUNCTION("INDIRECT(""'收支紀錄'!C""&amp;TO_TEXT(ROW()-$C$72))"),1068.0)</f>
        <v>1068</v>
      </c>
      <c r="D849" s="63">
        <f>IFERROR(__xludf.DUMMYFUNCTION("INDIRECT(""'收支紀錄'!D""&amp;TO_TEXT(ROW()-$C$72))"),2.0250417E7)</f>
        <v>20250417</v>
      </c>
      <c r="E849" s="61" t="str">
        <f>IFERROR(__xludf.DUMMYFUNCTION("INDIRECT(""'收支紀錄'!E""&amp;TO_TEXT(ROW()-$C$72))"),"")</f>
        <v/>
      </c>
      <c r="F849" s="61" t="str">
        <f>IFERROR(__xludf.DUMMYFUNCTION("INDIRECT(""'收支紀錄'!F""&amp;TO_TEXT(ROW()-$C$72))"),"")</f>
        <v/>
      </c>
      <c r="G849" s="61" t="str">
        <f>IFERROR(__xludf.DUMMYFUNCTION("INDIRECT(""'收支紀錄'!G""&amp;TO_TEXT(ROW()-$C$72))"),"")</f>
        <v/>
      </c>
      <c r="H849" s="61" t="str">
        <f>IFERROR(__xludf.DUMMYFUNCTION("INDIRECT(""'收支紀錄'!H""&amp;TO_TEXT(ROW()-$C$72))"),"房屋支出")</f>
        <v>房屋支出</v>
      </c>
      <c r="I849" s="61" t="str">
        <f>IFERROR(__xludf.DUMMYFUNCTION("INDIRECT(""'收支紀錄'!I""&amp;TO_TEXT(ROW()-$C$72))"),"")</f>
        <v/>
      </c>
      <c r="J849" s="61" t="str">
        <f>IFERROR(__xludf.DUMMYFUNCTION("INDIRECT(""'收支紀錄'!J""&amp;TO_TEXT(ROW()-$C$72))"),"")</f>
        <v/>
      </c>
      <c r="K849" s="61" t="str">
        <f>IFERROR(__xludf.DUMMYFUNCTION("INDIRECT(""'收支紀錄'!K""&amp;TO_TEXT(ROW()-$C$72))"),"電費")</f>
        <v>電費</v>
      </c>
      <c r="L849" s="61" t="str">
        <f>IFERROR(__xludf.DUMMYFUNCTION("INDIRECT(""'收支紀錄'!L""&amp;TO_TEXT(ROW()-$C$72))"),"")</f>
        <v/>
      </c>
      <c r="M849" s="61" t="str">
        <f>IFERROR(__xludf.DUMMYFUNCTION("INDIRECT(""'收支紀錄'!M""&amp;TO_TEXT(ROW()-$C$72))"),"")</f>
        <v/>
      </c>
      <c r="N849" s="61" t="str">
        <f>IFERROR(__xludf.DUMMYFUNCTION("INDIRECT(""'收支紀錄'!N""&amp;TO_TEXT(ROW()-$C$72))"),"")</f>
        <v/>
      </c>
      <c r="O849" s="61" t="str">
        <f>IFERROR(__xludf.DUMMYFUNCTION("INDIRECT(""'收支紀錄'!O""&amp;TO_TEXT(ROW()-$C$72))"),"")</f>
        <v/>
      </c>
      <c r="P849" s="61" t="str">
        <f>IFERROR(__xludf.DUMMYFUNCTION("INDIRECT(""'收支紀錄'!P""&amp;TO_TEXT(ROW()-$C$72))"),"")</f>
        <v/>
      </c>
      <c r="Q849" s="61" t="str">
        <f>IFERROR(__xludf.DUMMYFUNCTION("INDIRECT(""'收支紀錄'!Q""&amp;TO_TEXT(ROW()-$C$72))"),"")</f>
        <v/>
      </c>
      <c r="R849" s="61" t="str">
        <f>IFERROR(__xludf.DUMMYFUNCTION("INDIRECT(""'收支紀錄'!R""&amp;TO_TEXT(ROW()-$C$72))"),"")</f>
        <v/>
      </c>
      <c r="S849" s="61" t="str">
        <f>IFERROR(__xludf.DUMMYFUNCTION("INDIRECT(""'收支紀錄'!S""&amp;TO_TEXT(ROW()-$C$72))"),"")</f>
        <v/>
      </c>
      <c r="T849" s="61" t="str">
        <f>IFERROR(__xludf.DUMMYFUNCTION("INDIRECT(""'收支紀錄'!T""&amp;TO_TEXT(ROW()-$C$72))"),"")</f>
        <v/>
      </c>
      <c r="U849" s="62" t="str">
        <f>IFERROR(__xludf.DUMMYFUNCTION("IF(T849=""是"",TEXTJOIN("""", TRUE, ""$"", TO_TEXT(C849), S849),"""")"),"")</f>
        <v/>
      </c>
    </row>
    <row r="850">
      <c r="A850" s="58">
        <f>IFERROR(__xludf.DUMMYFUNCTION("INDIRECT(""'收支紀錄'!A""&amp;TO_TEXT(ROW()-$C$72))"),45782.97984775463)</f>
        <v>45782.97985</v>
      </c>
      <c r="B850" s="59">
        <f>IFERROR(__xludf.DUMMYFUNCTION("IF(ISBLANK(D850), """", IF(ISDATE(D850), D850, IF(D850=""今天"", A850, IF(D850=""昨天 (-1 day)"", A850-1, IF(D850=""前天 (-2 days)"", A850-2, IF(D850=""明天 (+1 day)"", A850+1, DATE(LEFT(D850,4), MID(D850,5,2), RIGHT(D850,2))))))))"),45782.97984775463)</f>
        <v>45782.97985</v>
      </c>
      <c r="C850" s="60">
        <f>IFERROR(__xludf.DUMMYFUNCTION("INDIRECT(""'收支紀錄'!C""&amp;TO_TEXT(ROW()-$C$72))"),2826.0)</f>
        <v>2826</v>
      </c>
      <c r="D850" s="63" t="str">
        <f>IFERROR(__xludf.DUMMYFUNCTION("INDIRECT(""'收支紀錄'!D""&amp;TO_TEXT(ROW()-$C$72))"),"今天")</f>
        <v>今天</v>
      </c>
      <c r="E850" s="61" t="str">
        <f>IFERROR(__xludf.DUMMYFUNCTION("INDIRECT(""'收支紀錄'!E""&amp;TO_TEXT(ROW()-$C$72))"),"")</f>
        <v/>
      </c>
      <c r="F850" s="61" t="str">
        <f>IFERROR(__xludf.DUMMYFUNCTION("INDIRECT(""'收支紀錄'!F""&amp;TO_TEXT(ROW()-$C$72))"),"")</f>
        <v/>
      </c>
      <c r="G850" s="61" t="str">
        <f>IFERROR(__xludf.DUMMYFUNCTION("INDIRECT(""'收支紀錄'!G""&amp;TO_TEXT(ROW()-$C$72))"),"")</f>
        <v/>
      </c>
      <c r="H850" s="61" t="str">
        <f>IFERROR(__xludf.DUMMYFUNCTION("INDIRECT(""'收支紀錄'!H""&amp;TO_TEXT(ROW()-$C$72))"),"稅金保險")</f>
        <v>稅金保險</v>
      </c>
      <c r="I850" s="61" t="str">
        <f>IFERROR(__xludf.DUMMYFUNCTION("INDIRECT(""'收支紀錄'!I""&amp;TO_TEXT(ROW()-$C$72))"),"")</f>
        <v/>
      </c>
      <c r="J850" s="61" t="str">
        <f>IFERROR(__xludf.DUMMYFUNCTION("INDIRECT(""'收支紀錄'!J""&amp;TO_TEXT(ROW()-$C$72))"),"")</f>
        <v/>
      </c>
      <c r="K850" s="61" t="str">
        <f>IFERROR(__xludf.DUMMYFUNCTION("INDIRECT(""'收支紀錄'!K""&amp;TO_TEXT(ROW()-$C$72))"),"")</f>
        <v/>
      </c>
      <c r="L850" s="61" t="str">
        <f>IFERROR(__xludf.DUMMYFUNCTION("INDIRECT(""'收支紀錄'!L""&amp;TO_TEXT(ROW()-$C$72))"),"")</f>
        <v/>
      </c>
      <c r="M850" s="61" t="str">
        <f>IFERROR(__xludf.DUMMYFUNCTION("INDIRECT(""'收支紀錄'!M""&amp;TO_TEXT(ROW()-$C$72))"),"")</f>
        <v/>
      </c>
      <c r="N850" s="61" t="str">
        <f>IFERROR(__xludf.DUMMYFUNCTION("INDIRECT(""'收支紀錄'!N""&amp;TO_TEXT(ROW()-$C$72))"),"勞健保")</f>
        <v>勞健保</v>
      </c>
      <c r="O850" s="61" t="str">
        <f>IFERROR(__xludf.DUMMYFUNCTION("INDIRECT(""'收支紀錄'!O""&amp;TO_TEXT(ROW()-$C$72))"),"")</f>
        <v/>
      </c>
      <c r="P850" s="61" t="str">
        <f>IFERROR(__xludf.DUMMYFUNCTION("INDIRECT(""'收支紀錄'!P""&amp;TO_TEXT(ROW()-$C$72))"),"")</f>
        <v/>
      </c>
      <c r="Q850" s="61" t="str">
        <f>IFERROR(__xludf.DUMMYFUNCTION("INDIRECT(""'收支紀錄'!Q""&amp;TO_TEXT(ROW()-$C$72))"),"")</f>
        <v/>
      </c>
      <c r="R850" s="61" t="str">
        <f>IFERROR(__xludf.DUMMYFUNCTION("INDIRECT(""'收支紀錄'!R""&amp;TO_TEXT(ROW()-$C$72))"),"")</f>
        <v/>
      </c>
      <c r="S850" s="61" t="str">
        <f>IFERROR(__xludf.DUMMYFUNCTION("INDIRECT(""'收支紀錄'!S""&amp;TO_TEXT(ROW()-$C$72))"),"")</f>
        <v/>
      </c>
      <c r="T850" s="61" t="str">
        <f>IFERROR(__xludf.DUMMYFUNCTION("INDIRECT(""'收支紀錄'!T""&amp;TO_TEXT(ROW()-$C$72))"),"")</f>
        <v/>
      </c>
      <c r="U850" s="62" t="str">
        <f>IFERROR(__xludf.DUMMYFUNCTION("IF(T850=""是"",TEXTJOIN("""", TRUE, ""$"", TO_TEXT(C850), S850),"""")"),"")</f>
        <v/>
      </c>
    </row>
    <row r="851">
      <c r="A851" s="58">
        <f>IFERROR(__xludf.DUMMYFUNCTION("INDIRECT(""'收支紀錄'!A""&amp;TO_TEXT(ROW()-$C$72))"),45782.98002703703)</f>
        <v>45782.98003</v>
      </c>
      <c r="B851" s="59">
        <f>IFERROR(__xludf.DUMMYFUNCTION("IF(ISBLANK(D851), """", IF(ISDATE(D851), D851, IF(D851=""今天"", A851, IF(D851=""昨天 (-1 day)"", A851-1, IF(D851=""前天 (-2 days)"", A851-2, IF(D851=""明天 (+1 day)"", A851+1, DATE(LEFT(D851,4), MID(D851,5,2), RIGHT(D851,2))))))))"),45782.98002703703)</f>
        <v>45782.98003</v>
      </c>
      <c r="C851" s="60">
        <f>IFERROR(__xludf.DUMMYFUNCTION("INDIRECT(""'收支紀錄'!C""&amp;TO_TEXT(ROW()-$C$72))"),3080.0)</f>
        <v>3080</v>
      </c>
      <c r="D851" s="63" t="str">
        <f>IFERROR(__xludf.DUMMYFUNCTION("INDIRECT(""'收支紀錄'!D""&amp;TO_TEXT(ROW()-$C$72))"),"今天")</f>
        <v>今天</v>
      </c>
      <c r="E851" s="61" t="str">
        <f>IFERROR(__xludf.DUMMYFUNCTION("INDIRECT(""'收支紀錄'!E""&amp;TO_TEXT(ROW()-$C$72))"),"")</f>
        <v/>
      </c>
      <c r="F851" s="61" t="str">
        <f>IFERROR(__xludf.DUMMYFUNCTION("INDIRECT(""'收支紀錄'!F""&amp;TO_TEXT(ROW()-$C$72))"),"")</f>
        <v/>
      </c>
      <c r="G851" s="61" t="str">
        <f>IFERROR(__xludf.DUMMYFUNCTION("INDIRECT(""'收支紀錄'!G""&amp;TO_TEXT(ROW()-$C$72))"),"")</f>
        <v/>
      </c>
      <c r="H851" s="61" t="str">
        <f>IFERROR(__xludf.DUMMYFUNCTION("INDIRECT(""'收支紀錄'!H""&amp;TO_TEXT(ROW()-$C$72))"),"稅金保險")</f>
        <v>稅金保險</v>
      </c>
      <c r="I851" s="61" t="str">
        <f>IFERROR(__xludf.DUMMYFUNCTION("INDIRECT(""'收支紀錄'!I""&amp;TO_TEXT(ROW()-$C$72))"),"")</f>
        <v/>
      </c>
      <c r="J851" s="61" t="str">
        <f>IFERROR(__xludf.DUMMYFUNCTION("INDIRECT(""'收支紀錄'!J""&amp;TO_TEXT(ROW()-$C$72))"),"")</f>
        <v/>
      </c>
      <c r="K851" s="61" t="str">
        <f>IFERROR(__xludf.DUMMYFUNCTION("INDIRECT(""'收支紀錄'!K""&amp;TO_TEXT(ROW()-$C$72))"),"")</f>
        <v/>
      </c>
      <c r="L851" s="61" t="str">
        <f>IFERROR(__xludf.DUMMYFUNCTION("INDIRECT(""'收支紀錄'!L""&amp;TO_TEXT(ROW()-$C$72))"),"")</f>
        <v/>
      </c>
      <c r="M851" s="61" t="str">
        <f>IFERROR(__xludf.DUMMYFUNCTION("INDIRECT(""'收支紀錄'!M""&amp;TO_TEXT(ROW()-$C$72))"),"")</f>
        <v/>
      </c>
      <c r="N851" s="61" t="str">
        <f>IFERROR(__xludf.DUMMYFUNCTION("INDIRECT(""'收支紀錄'!N""&amp;TO_TEXT(ROW()-$C$72))"),"稅金")</f>
        <v>稅金</v>
      </c>
      <c r="O851" s="61" t="str">
        <f>IFERROR(__xludf.DUMMYFUNCTION("INDIRECT(""'收支紀錄'!O""&amp;TO_TEXT(ROW()-$C$72))"),"")</f>
        <v/>
      </c>
      <c r="P851" s="61" t="str">
        <f>IFERROR(__xludf.DUMMYFUNCTION("INDIRECT(""'收支紀錄'!P""&amp;TO_TEXT(ROW()-$C$72))"),"")</f>
        <v/>
      </c>
      <c r="Q851" s="61" t="str">
        <f>IFERROR(__xludf.DUMMYFUNCTION("INDIRECT(""'收支紀錄'!Q""&amp;TO_TEXT(ROW()-$C$72))"),"")</f>
        <v/>
      </c>
      <c r="R851" s="61" t="str">
        <f>IFERROR(__xludf.DUMMYFUNCTION("INDIRECT(""'收支紀錄'!R""&amp;TO_TEXT(ROW()-$C$72))"),"")</f>
        <v/>
      </c>
      <c r="S851" s="61" t="str">
        <f>IFERROR(__xludf.DUMMYFUNCTION("INDIRECT(""'收支紀錄'!S""&amp;TO_TEXT(ROW()-$C$72))"),"")</f>
        <v/>
      </c>
      <c r="T851" s="61" t="str">
        <f>IFERROR(__xludf.DUMMYFUNCTION("INDIRECT(""'收支紀錄'!T""&amp;TO_TEXT(ROW()-$C$72))"),"")</f>
        <v/>
      </c>
      <c r="U851" s="62" t="str">
        <f>IFERROR(__xludf.DUMMYFUNCTION("IF(T851=""是"",TEXTJOIN("""", TRUE, ""$"", TO_TEXT(C851), S851),"""")"),"")</f>
        <v/>
      </c>
    </row>
    <row r="852">
      <c r="A852" s="58">
        <f>IFERROR(__xludf.DUMMYFUNCTION("INDIRECT(""'收支紀錄'!A""&amp;TO_TEXT(ROW()-$C$72))"),45782.980236504634)</f>
        <v>45782.98024</v>
      </c>
      <c r="B852" s="59">
        <f>IFERROR(__xludf.DUMMYFUNCTION("IF(ISBLANK(D852), """", IF(ISDATE(D852), D852, IF(D852=""今天"", A852, IF(D852=""昨天 (-1 day)"", A852-1, IF(D852=""前天 (-2 days)"", A852-2, IF(D852=""明天 (+1 day)"", A852+1, DATE(LEFT(D852,4), MID(D852,5,2), RIGHT(D852,2))))))))"),45782.980236504634)</f>
        <v>45782.98024</v>
      </c>
      <c r="C852" s="60">
        <f>IFERROR(__xludf.DUMMYFUNCTION("INDIRECT(""'收支紀錄'!C""&amp;TO_TEXT(ROW()-$C$72))"),515.0)</f>
        <v>515</v>
      </c>
      <c r="D852" s="63" t="str">
        <f>IFERROR(__xludf.DUMMYFUNCTION("INDIRECT(""'收支紀錄'!D""&amp;TO_TEXT(ROW()-$C$72))"),"今天")</f>
        <v>今天</v>
      </c>
      <c r="E852" s="61" t="str">
        <f>IFERROR(__xludf.DUMMYFUNCTION("INDIRECT(""'收支紀錄'!E""&amp;TO_TEXT(ROW()-$C$72))"),"")</f>
        <v/>
      </c>
      <c r="F852" s="61" t="str">
        <f>IFERROR(__xludf.DUMMYFUNCTION("INDIRECT(""'收支紀錄'!F""&amp;TO_TEXT(ROW()-$C$72))"),"")</f>
        <v/>
      </c>
      <c r="G852" s="61" t="str">
        <f>IFERROR(__xludf.DUMMYFUNCTION("INDIRECT(""'收支紀錄'!G""&amp;TO_TEXT(ROW()-$C$72))"),"")</f>
        <v/>
      </c>
      <c r="H852" s="61" t="str">
        <f>IFERROR(__xludf.DUMMYFUNCTION("INDIRECT(""'收支紀錄'!H""&amp;TO_TEXT(ROW()-$C$72))"),"休閒娛樂")</f>
        <v>休閒娛樂</v>
      </c>
      <c r="I852" s="61" t="str">
        <f>IFERROR(__xludf.DUMMYFUNCTION("INDIRECT(""'收支紀錄'!I""&amp;TO_TEXT(ROW()-$C$72))"),"")</f>
        <v/>
      </c>
      <c r="J852" s="61" t="str">
        <f>IFERROR(__xludf.DUMMYFUNCTION("INDIRECT(""'收支紀錄'!J""&amp;TO_TEXT(ROW()-$C$72))"),"")</f>
        <v/>
      </c>
      <c r="K852" s="61" t="str">
        <f>IFERROR(__xludf.DUMMYFUNCTION("INDIRECT(""'收支紀錄'!K""&amp;TO_TEXT(ROW()-$C$72))"),"")</f>
        <v/>
      </c>
      <c r="L852" s="61" t="str">
        <f>IFERROR(__xludf.DUMMYFUNCTION("INDIRECT(""'收支紀錄'!L""&amp;TO_TEXT(ROW()-$C$72))"),"")</f>
        <v/>
      </c>
      <c r="M852" s="61" t="str">
        <f>IFERROR(__xludf.DUMMYFUNCTION("INDIRECT(""'收支紀錄'!M""&amp;TO_TEXT(ROW()-$C$72))"),"公司福利金")</f>
        <v>公司福利金</v>
      </c>
      <c r="N852" s="61" t="str">
        <f>IFERROR(__xludf.DUMMYFUNCTION("INDIRECT(""'收支紀錄'!N""&amp;TO_TEXT(ROW()-$C$72))"),"")</f>
        <v/>
      </c>
      <c r="O852" s="61" t="str">
        <f>IFERROR(__xludf.DUMMYFUNCTION("INDIRECT(""'收支紀錄'!O""&amp;TO_TEXT(ROW()-$C$72))"),"")</f>
        <v/>
      </c>
      <c r="P852" s="61" t="str">
        <f>IFERROR(__xludf.DUMMYFUNCTION("INDIRECT(""'收支紀錄'!P""&amp;TO_TEXT(ROW()-$C$72))"),"")</f>
        <v/>
      </c>
      <c r="Q852" s="61" t="str">
        <f>IFERROR(__xludf.DUMMYFUNCTION("INDIRECT(""'收支紀錄'!Q""&amp;TO_TEXT(ROW()-$C$72))"),"")</f>
        <v/>
      </c>
      <c r="R852" s="61" t="str">
        <f>IFERROR(__xludf.DUMMYFUNCTION("INDIRECT(""'收支紀錄'!R""&amp;TO_TEXT(ROW()-$C$72))"),"")</f>
        <v/>
      </c>
      <c r="S852" s="61" t="str">
        <f>IFERROR(__xludf.DUMMYFUNCTION("INDIRECT(""'收支紀錄'!S""&amp;TO_TEXT(ROW()-$C$72))"),"")</f>
        <v/>
      </c>
      <c r="T852" s="61" t="str">
        <f>IFERROR(__xludf.DUMMYFUNCTION("INDIRECT(""'收支紀錄'!T""&amp;TO_TEXT(ROW()-$C$72))"),"")</f>
        <v/>
      </c>
      <c r="U852" s="62" t="str">
        <f>IFERROR(__xludf.DUMMYFUNCTION("IF(T852=""是"",TEXTJOIN("""", TRUE, ""$"", TO_TEXT(C852), S852),"""")"),"")</f>
        <v/>
      </c>
    </row>
    <row r="853">
      <c r="A853" s="58">
        <f>IFERROR(__xludf.DUMMYFUNCTION("INDIRECT(""'收支紀錄'!A""&amp;TO_TEXT(ROW()-$C$72))"),45782.98042604167)</f>
        <v>45782.98043</v>
      </c>
      <c r="B853" s="59">
        <f>IFERROR(__xludf.DUMMYFUNCTION("IF(ISBLANK(D853), """", IF(ISDATE(D853), D853, IF(D853=""今天"", A853, IF(D853=""昨天 (-1 day)"", A853-1, IF(D853=""前天 (-2 days)"", A853-2, IF(D853=""明天 (+1 day)"", A853+1, DATE(LEFT(D853,4), MID(D853,5,2), RIGHT(D853,2))))))))"),45782.98042604167)</f>
        <v>45782.98043</v>
      </c>
      <c r="C853" s="60">
        <f>IFERROR(__xludf.DUMMYFUNCTION("INDIRECT(""'收支紀錄'!C""&amp;TO_TEXT(ROW()-$C$72))"),998.0)</f>
        <v>998</v>
      </c>
      <c r="D853" s="63" t="str">
        <f>IFERROR(__xludf.DUMMYFUNCTION("INDIRECT(""'收支紀錄'!D""&amp;TO_TEXT(ROW()-$C$72))"),"今天")</f>
        <v>今天</v>
      </c>
      <c r="E853" s="61" t="str">
        <f>IFERROR(__xludf.DUMMYFUNCTION("INDIRECT(""'收支紀錄'!E""&amp;TO_TEXT(ROW()-$C$72))"),"")</f>
        <v/>
      </c>
      <c r="F853" s="61" t="str">
        <f>IFERROR(__xludf.DUMMYFUNCTION("INDIRECT(""'收支紀錄'!F""&amp;TO_TEXT(ROW()-$C$72))"),"")</f>
        <v/>
      </c>
      <c r="G853" s="61" t="str">
        <f>IFERROR(__xludf.DUMMYFUNCTION("INDIRECT(""'收支紀錄'!G""&amp;TO_TEXT(ROW()-$C$72))"),"")</f>
        <v/>
      </c>
      <c r="H853" s="61" t="str">
        <f>IFERROR(__xludf.DUMMYFUNCTION("INDIRECT(""'收支紀錄'!H""&amp;TO_TEXT(ROW()-$C$72))"),"食品酒水")</f>
        <v>食品酒水</v>
      </c>
      <c r="I853" s="61" t="str">
        <f>IFERROR(__xludf.DUMMYFUNCTION("INDIRECT(""'收支紀錄'!I""&amp;TO_TEXT(ROW()-$C$72))"),"前月公司餐費扣款")</f>
        <v>前月公司餐費扣款</v>
      </c>
      <c r="J853" s="61" t="str">
        <f>IFERROR(__xludf.DUMMYFUNCTION("INDIRECT(""'收支紀錄'!J""&amp;TO_TEXT(ROW()-$C$72))"),"")</f>
        <v/>
      </c>
      <c r="K853" s="61" t="str">
        <f>IFERROR(__xludf.DUMMYFUNCTION("INDIRECT(""'收支紀錄'!K""&amp;TO_TEXT(ROW()-$C$72))"),"")</f>
        <v/>
      </c>
      <c r="L853" s="61" t="str">
        <f>IFERROR(__xludf.DUMMYFUNCTION("INDIRECT(""'收支紀錄'!L""&amp;TO_TEXT(ROW()-$C$72))"),"")</f>
        <v/>
      </c>
      <c r="M853" s="61" t="str">
        <f>IFERROR(__xludf.DUMMYFUNCTION("INDIRECT(""'收支紀錄'!M""&amp;TO_TEXT(ROW()-$C$72))"),"")</f>
        <v/>
      </c>
      <c r="N853" s="61" t="str">
        <f>IFERROR(__xludf.DUMMYFUNCTION("INDIRECT(""'收支紀錄'!N""&amp;TO_TEXT(ROW()-$C$72))"),"")</f>
        <v/>
      </c>
      <c r="O853" s="61" t="str">
        <f>IFERROR(__xludf.DUMMYFUNCTION("INDIRECT(""'收支紀錄'!O""&amp;TO_TEXT(ROW()-$C$72))"),"")</f>
        <v/>
      </c>
      <c r="P853" s="61" t="str">
        <f>IFERROR(__xludf.DUMMYFUNCTION("INDIRECT(""'收支紀錄'!P""&amp;TO_TEXT(ROW()-$C$72))"),"")</f>
        <v/>
      </c>
      <c r="Q853" s="61" t="str">
        <f>IFERROR(__xludf.DUMMYFUNCTION("INDIRECT(""'收支紀錄'!Q""&amp;TO_TEXT(ROW()-$C$72))"),"")</f>
        <v/>
      </c>
      <c r="R853" s="61" t="str">
        <f>IFERROR(__xludf.DUMMYFUNCTION("INDIRECT(""'收支紀錄'!R""&amp;TO_TEXT(ROW()-$C$72))"),"")</f>
        <v/>
      </c>
      <c r="S853" s="61" t="str">
        <f>IFERROR(__xludf.DUMMYFUNCTION("INDIRECT(""'收支紀錄'!S""&amp;TO_TEXT(ROW()-$C$72))"),"")</f>
        <v/>
      </c>
      <c r="T853" s="61" t="str">
        <f>IFERROR(__xludf.DUMMYFUNCTION("INDIRECT(""'收支紀錄'!T""&amp;TO_TEXT(ROW()-$C$72))"),"")</f>
        <v/>
      </c>
      <c r="U853" s="62" t="str">
        <f>IFERROR(__xludf.DUMMYFUNCTION("IF(T853=""是"",TEXTJOIN("""", TRUE, ""$"", TO_TEXT(C853), S853),"""")"),"")</f>
        <v/>
      </c>
    </row>
    <row r="854">
      <c r="A854" s="58">
        <f>IFERROR(__xludf.DUMMYFUNCTION("INDIRECT(""'收支紀錄'!A""&amp;TO_TEXT(ROW()-$C$72))"),45782.98076701388)</f>
        <v>45782.98077</v>
      </c>
      <c r="B854" s="59">
        <f>IFERROR(__xludf.DUMMYFUNCTION("IF(ISBLANK(D854), """", IF(ISDATE(D854), D854, IF(D854=""今天"", A854, IF(D854=""昨天 (-1 day)"", A854-1, IF(D854=""前天 (-2 days)"", A854-2, IF(D854=""明天 (+1 day)"", A854+1, DATE(LEFT(D854,4), MID(D854,5,2), RIGHT(D854,2))))))))"),45782.98076701388)</f>
        <v>45782.98077</v>
      </c>
      <c r="C854" s="60">
        <f>IFERROR(__xludf.DUMMYFUNCTION("INDIRECT(""'收支紀錄'!C""&amp;TO_TEXT(ROW()-$C$72))"),4116.0)</f>
        <v>4116</v>
      </c>
      <c r="D854" s="63" t="str">
        <f>IFERROR(__xludf.DUMMYFUNCTION("INDIRECT(""'收支紀錄'!D""&amp;TO_TEXT(ROW()-$C$72))"),"今天")</f>
        <v>今天</v>
      </c>
      <c r="E854" s="61" t="str">
        <f>IFERROR(__xludf.DUMMYFUNCTION("INDIRECT(""'收支紀錄'!E""&amp;TO_TEXT(ROW()-$C$72))"),"")</f>
        <v/>
      </c>
      <c r="F854" s="61" t="str">
        <f>IFERROR(__xludf.DUMMYFUNCTION("INDIRECT(""'收支紀錄'!F""&amp;TO_TEXT(ROW()-$C$72))"),"")</f>
        <v/>
      </c>
      <c r="G854" s="61" t="str">
        <f>IFERROR(__xludf.DUMMYFUNCTION("INDIRECT(""'收支紀錄'!G""&amp;TO_TEXT(ROW()-$C$72))"),"")</f>
        <v/>
      </c>
      <c r="H854" s="61" t="str">
        <f>IFERROR(__xludf.DUMMYFUNCTION("INDIRECT(""'收支紀錄'!H""&amp;TO_TEXT(ROW()-$C$72))"),"投資及其他")</f>
        <v>投資及其他</v>
      </c>
      <c r="I854" s="61" t="str">
        <f>IFERROR(__xludf.DUMMYFUNCTION("INDIRECT(""'收支紀錄'!I""&amp;TO_TEXT(ROW()-$C$72))"),"")</f>
        <v/>
      </c>
      <c r="J854" s="61" t="str">
        <f>IFERROR(__xludf.DUMMYFUNCTION("INDIRECT(""'收支紀錄'!J""&amp;TO_TEXT(ROW()-$C$72))"),"")</f>
        <v/>
      </c>
      <c r="K854" s="61" t="str">
        <f>IFERROR(__xludf.DUMMYFUNCTION("INDIRECT(""'收支紀錄'!K""&amp;TO_TEXT(ROW()-$C$72))"),"")</f>
        <v/>
      </c>
      <c r="L854" s="61" t="str">
        <f>IFERROR(__xludf.DUMMYFUNCTION("INDIRECT(""'收支紀錄'!L""&amp;TO_TEXT(ROW()-$C$72))"),"")</f>
        <v/>
      </c>
      <c r="M854" s="61" t="str">
        <f>IFERROR(__xludf.DUMMYFUNCTION("INDIRECT(""'收支紀錄'!M""&amp;TO_TEXT(ROW()-$C$72))"),"")</f>
        <v/>
      </c>
      <c r="N854" s="61" t="str">
        <f>IFERROR(__xludf.DUMMYFUNCTION("INDIRECT(""'收支紀錄'!N""&amp;TO_TEXT(ROW()-$C$72))"),"")</f>
        <v/>
      </c>
      <c r="O854" s="61" t="str">
        <f>IFERROR(__xludf.DUMMYFUNCTION("INDIRECT(""'收支紀錄'!O""&amp;TO_TEXT(ROW()-$C$72))"),"")</f>
        <v/>
      </c>
      <c r="P854" s="61" t="str">
        <f>IFERROR(__xludf.DUMMYFUNCTION("INDIRECT(""'收支紀錄'!P""&amp;TO_TEXT(ROW()-$C$72))"),"")</f>
        <v/>
      </c>
      <c r="Q854" s="61" t="str">
        <f>IFERROR(__xludf.DUMMYFUNCTION("INDIRECT(""'收支紀錄'!Q""&amp;TO_TEXT(ROW()-$C$72))"),"")</f>
        <v/>
      </c>
      <c r="R854" s="61" t="str">
        <f>IFERROR(__xludf.DUMMYFUNCTION("INDIRECT(""'收支紀錄'!R""&amp;TO_TEXT(ROW()-$C$72))"),"公司認股")</f>
        <v>公司認股</v>
      </c>
      <c r="S854" s="61" t="str">
        <f>IFERROR(__xludf.DUMMYFUNCTION("INDIRECT(""'收支紀錄'!S""&amp;TO_TEXT(ROW()-$C$72))"),"")</f>
        <v/>
      </c>
      <c r="T854" s="61" t="str">
        <f>IFERROR(__xludf.DUMMYFUNCTION("INDIRECT(""'收支紀錄'!T""&amp;TO_TEXT(ROW()-$C$72))"),"")</f>
        <v/>
      </c>
      <c r="U854" s="62" t="str">
        <f>IFERROR(__xludf.DUMMYFUNCTION("IF(T854=""是"",TEXTJOIN("""", TRUE, ""$"", TO_TEXT(C854), S854),"""")"),"")</f>
        <v/>
      </c>
    </row>
    <row r="855">
      <c r="A855" s="58">
        <f>IFERROR(__xludf.DUMMYFUNCTION("INDIRECT(""'收支紀錄'!A""&amp;TO_TEXT(ROW()-$C$72))"),45783.87237016203)</f>
        <v>45783.87237</v>
      </c>
      <c r="B855" s="59">
        <f>IFERROR(__xludf.DUMMYFUNCTION("IF(ISBLANK(D855), """", IF(ISDATE(D855), D855, IF(D855=""今天"", A855, IF(D855=""昨天 (-1 day)"", A855-1, IF(D855=""前天 (-2 days)"", A855-2, IF(D855=""明天 (+1 day)"", A855+1, DATE(LEFT(D855,4), MID(D855,5,2), RIGHT(D855,2))))))))"),45783.87237016203)</f>
        <v>45783.87237</v>
      </c>
      <c r="C855" s="60">
        <f>IFERROR(__xludf.DUMMYFUNCTION("INDIRECT(""'收支紀錄'!C""&amp;TO_TEXT(ROW()-$C$72))"),49.0)</f>
        <v>49</v>
      </c>
      <c r="D855" s="63" t="str">
        <f>IFERROR(__xludf.DUMMYFUNCTION("INDIRECT(""'收支紀錄'!D""&amp;TO_TEXT(ROW()-$C$72))"),"今天")</f>
        <v>今天</v>
      </c>
      <c r="E855" s="61" t="str">
        <f>IFERROR(__xludf.DUMMYFUNCTION("INDIRECT(""'收支紀錄'!E""&amp;TO_TEXT(ROW()-$C$72))"),"")</f>
        <v/>
      </c>
      <c r="F855" s="61" t="str">
        <f>IFERROR(__xludf.DUMMYFUNCTION("INDIRECT(""'收支紀錄'!F""&amp;TO_TEXT(ROW()-$C$72))"),"")</f>
        <v/>
      </c>
      <c r="G855" s="61" t="str">
        <f>IFERROR(__xludf.DUMMYFUNCTION("INDIRECT(""'收支紀錄'!G""&amp;TO_TEXT(ROW()-$C$72))"),"")</f>
        <v/>
      </c>
      <c r="H855" s="61" t="str">
        <f>IFERROR(__xludf.DUMMYFUNCTION("INDIRECT(""'收支紀錄'!H""&amp;TO_TEXT(ROW()-$C$72))"),"日常生活")</f>
        <v>日常生活</v>
      </c>
      <c r="I855" s="61" t="str">
        <f>IFERROR(__xludf.DUMMYFUNCTION("INDIRECT(""'收支紀錄'!I""&amp;TO_TEXT(ROW()-$C$72))"),"")</f>
        <v/>
      </c>
      <c r="J855" s="61" t="str">
        <f>IFERROR(__xludf.DUMMYFUNCTION("INDIRECT(""'收支紀錄'!J""&amp;TO_TEXT(ROW()-$C$72))"),"日常用品")</f>
        <v>日常用品</v>
      </c>
      <c r="K855" s="61" t="str">
        <f>IFERROR(__xludf.DUMMYFUNCTION("INDIRECT(""'收支紀錄'!K""&amp;TO_TEXT(ROW()-$C$72))"),"")</f>
        <v/>
      </c>
      <c r="L855" s="61" t="str">
        <f>IFERROR(__xludf.DUMMYFUNCTION("INDIRECT(""'收支紀錄'!L""&amp;TO_TEXT(ROW()-$C$72))"),"")</f>
        <v/>
      </c>
      <c r="M855" s="61" t="str">
        <f>IFERROR(__xludf.DUMMYFUNCTION("INDIRECT(""'收支紀錄'!M""&amp;TO_TEXT(ROW()-$C$72))"),"")</f>
        <v/>
      </c>
      <c r="N855" s="61" t="str">
        <f>IFERROR(__xludf.DUMMYFUNCTION("INDIRECT(""'收支紀錄'!N""&amp;TO_TEXT(ROW()-$C$72))"),"")</f>
        <v/>
      </c>
      <c r="O855" s="61" t="str">
        <f>IFERROR(__xludf.DUMMYFUNCTION("INDIRECT(""'收支紀錄'!O""&amp;TO_TEXT(ROW()-$C$72))"),"")</f>
        <v/>
      </c>
      <c r="P855" s="61" t="str">
        <f>IFERROR(__xludf.DUMMYFUNCTION("INDIRECT(""'收支紀錄'!P""&amp;TO_TEXT(ROW()-$C$72))"),"")</f>
        <v/>
      </c>
      <c r="Q855" s="61" t="str">
        <f>IFERROR(__xludf.DUMMYFUNCTION("INDIRECT(""'收支紀錄'!Q""&amp;TO_TEXT(ROW()-$C$72))"),"")</f>
        <v/>
      </c>
      <c r="R855" s="61" t="str">
        <f>IFERROR(__xludf.DUMMYFUNCTION("INDIRECT(""'收支紀錄'!R""&amp;TO_TEXT(ROW()-$C$72))"),"")</f>
        <v/>
      </c>
      <c r="S855" s="61" t="str">
        <f>IFERROR(__xludf.DUMMYFUNCTION("INDIRECT(""'收支紀錄'!S""&amp;TO_TEXT(ROW()-$C$72))"),"")</f>
        <v/>
      </c>
      <c r="T855" s="61" t="str">
        <f>IFERROR(__xludf.DUMMYFUNCTION("INDIRECT(""'收支紀錄'!T""&amp;TO_TEXT(ROW()-$C$72))"),"")</f>
        <v/>
      </c>
      <c r="U855" s="62" t="str">
        <f>IFERROR(__xludf.DUMMYFUNCTION("IF(T855=""是"",TEXTJOIN("""", TRUE, ""$"", TO_TEXT(C855), S855),"""")"),"")</f>
        <v/>
      </c>
    </row>
    <row r="856">
      <c r="A856" s="58">
        <f>IFERROR(__xludf.DUMMYFUNCTION("INDIRECT(""'收支紀錄'!A""&amp;TO_TEXT(ROW()-$C$72))"),45783.87256472222)</f>
        <v>45783.87256</v>
      </c>
      <c r="B856" s="59">
        <f>IFERROR(__xludf.DUMMYFUNCTION("IF(ISBLANK(D856), """", IF(ISDATE(D856), D856, IF(D856=""今天"", A856, IF(D856=""昨天 (-1 day)"", A856-1, IF(D856=""前天 (-2 days)"", A856-2, IF(D856=""明天 (+1 day)"", A856+1, DATE(LEFT(D856,4), MID(D856,5,2), RIGHT(D856,2))))))))"),45783.87256472222)</f>
        <v>45783.87256</v>
      </c>
      <c r="C856" s="60">
        <f>IFERROR(__xludf.DUMMYFUNCTION("INDIRECT(""'收支紀錄'!C""&amp;TO_TEXT(ROW()-$C$72))"),124.0)</f>
        <v>124</v>
      </c>
      <c r="D856" s="63" t="str">
        <f>IFERROR(__xludf.DUMMYFUNCTION("INDIRECT(""'收支紀錄'!D""&amp;TO_TEXT(ROW()-$C$72))"),"今天")</f>
        <v>今天</v>
      </c>
      <c r="E856" s="61" t="str">
        <f>IFERROR(__xludf.DUMMYFUNCTION("INDIRECT(""'收支紀錄'!E""&amp;TO_TEXT(ROW()-$C$72))"),"")</f>
        <v/>
      </c>
      <c r="F856" s="61" t="str">
        <f>IFERROR(__xludf.DUMMYFUNCTION("INDIRECT(""'收支紀錄'!F""&amp;TO_TEXT(ROW()-$C$72))"),"")</f>
        <v/>
      </c>
      <c r="G856" s="61" t="str">
        <f>IFERROR(__xludf.DUMMYFUNCTION("INDIRECT(""'收支紀錄'!G""&amp;TO_TEXT(ROW()-$C$72))"),"")</f>
        <v/>
      </c>
      <c r="H856" s="61" t="str">
        <f>IFERROR(__xludf.DUMMYFUNCTION("INDIRECT(""'收支紀錄'!H""&amp;TO_TEXT(ROW()-$C$72))"),"行車交通")</f>
        <v>行車交通</v>
      </c>
      <c r="I856" s="61" t="str">
        <f>IFERROR(__xludf.DUMMYFUNCTION("INDIRECT(""'收支紀錄'!I""&amp;TO_TEXT(ROW()-$C$72))"),"")</f>
        <v/>
      </c>
      <c r="J856" s="61" t="str">
        <f>IFERROR(__xludf.DUMMYFUNCTION("INDIRECT(""'收支紀錄'!J""&amp;TO_TEXT(ROW()-$C$72))"),"")</f>
        <v/>
      </c>
      <c r="K856" s="61" t="str">
        <f>IFERROR(__xludf.DUMMYFUNCTION("INDIRECT(""'收支紀錄'!K""&amp;TO_TEXT(ROW()-$C$72))"),"")</f>
        <v/>
      </c>
      <c r="L856" s="61" t="str">
        <f>IFERROR(__xludf.DUMMYFUNCTION("INDIRECT(""'收支紀錄'!L""&amp;TO_TEXT(ROW()-$C$72))"),"加油")</f>
        <v>加油</v>
      </c>
      <c r="M856" s="61" t="str">
        <f>IFERROR(__xludf.DUMMYFUNCTION("INDIRECT(""'收支紀錄'!M""&amp;TO_TEXT(ROW()-$C$72))"),"")</f>
        <v/>
      </c>
      <c r="N856" s="61" t="str">
        <f>IFERROR(__xludf.DUMMYFUNCTION("INDIRECT(""'收支紀錄'!N""&amp;TO_TEXT(ROW()-$C$72))"),"")</f>
        <v/>
      </c>
      <c r="O856" s="61" t="str">
        <f>IFERROR(__xludf.DUMMYFUNCTION("INDIRECT(""'收支紀錄'!O""&amp;TO_TEXT(ROW()-$C$72))"),"")</f>
        <v/>
      </c>
      <c r="P856" s="61" t="str">
        <f>IFERROR(__xludf.DUMMYFUNCTION("INDIRECT(""'收支紀錄'!P""&amp;TO_TEXT(ROW()-$C$72))"),"")</f>
        <v/>
      </c>
      <c r="Q856" s="61" t="str">
        <f>IFERROR(__xludf.DUMMYFUNCTION("INDIRECT(""'收支紀錄'!Q""&amp;TO_TEXT(ROW()-$C$72))"),"")</f>
        <v/>
      </c>
      <c r="R856" s="61" t="str">
        <f>IFERROR(__xludf.DUMMYFUNCTION("INDIRECT(""'收支紀錄'!R""&amp;TO_TEXT(ROW()-$C$72))"),"")</f>
        <v/>
      </c>
      <c r="S856" s="61" t="str">
        <f>IFERROR(__xludf.DUMMYFUNCTION("INDIRECT(""'收支紀錄'!S""&amp;TO_TEXT(ROW()-$C$72))"),"")</f>
        <v/>
      </c>
      <c r="T856" s="61" t="str">
        <f>IFERROR(__xludf.DUMMYFUNCTION("INDIRECT(""'收支紀錄'!T""&amp;TO_TEXT(ROW()-$C$72))"),"")</f>
        <v/>
      </c>
      <c r="U856" s="62" t="str">
        <f>IFERROR(__xludf.DUMMYFUNCTION("IF(T856=""是"",TEXTJOIN("""", TRUE, ""$"", TO_TEXT(C856), S856),"""")"),"")</f>
        <v/>
      </c>
    </row>
    <row r="857">
      <c r="A857" s="58">
        <f>IFERROR(__xludf.DUMMYFUNCTION("INDIRECT(""'收支紀錄'!A""&amp;TO_TEXT(ROW()-$C$72))"),45785.939231875)</f>
        <v>45785.93923</v>
      </c>
      <c r="B857" s="59">
        <f>IFERROR(__xludf.DUMMYFUNCTION("IF(ISBLANK(D857), """", IF(ISDATE(D857), D857, IF(D857=""今天"", A857, IF(D857=""昨天 (-1 day)"", A857-1, IF(D857=""前天 (-2 days)"", A857-2, IF(D857=""明天 (+1 day)"", A857+1, DATE(LEFT(D857,4), MID(D857,5,2), RIGHT(D857,2))))))))"),45785.939231875)</f>
        <v>45785.93923</v>
      </c>
      <c r="C857" s="60">
        <f>IFERROR(__xludf.DUMMYFUNCTION("INDIRECT(""'收支紀錄'!C""&amp;TO_TEXT(ROW()-$C$72))"),100.0)</f>
        <v>100</v>
      </c>
      <c r="D857" s="63" t="str">
        <f>IFERROR(__xludf.DUMMYFUNCTION("INDIRECT(""'收支紀錄'!D""&amp;TO_TEXT(ROW()-$C$72))"),"今天")</f>
        <v>今天</v>
      </c>
      <c r="E857" s="61" t="str">
        <f>IFERROR(__xludf.DUMMYFUNCTION("INDIRECT(""'收支紀錄'!E""&amp;TO_TEXT(ROW()-$C$72))"),"")</f>
        <v/>
      </c>
      <c r="F857" s="61" t="str">
        <f>IFERROR(__xludf.DUMMYFUNCTION("INDIRECT(""'收支紀錄'!F""&amp;TO_TEXT(ROW()-$C$72))"),"")</f>
        <v/>
      </c>
      <c r="G857" s="61" t="str">
        <f>IFERROR(__xludf.DUMMYFUNCTION("INDIRECT(""'收支紀錄'!G""&amp;TO_TEXT(ROW()-$C$72))"),"")</f>
        <v/>
      </c>
      <c r="H857" s="61" t="str">
        <f>IFERROR(__xludf.DUMMYFUNCTION("INDIRECT(""'收支紀錄'!H""&amp;TO_TEXT(ROW()-$C$72))"),"休閒娛樂")</f>
        <v>休閒娛樂</v>
      </c>
      <c r="I857" s="61" t="str">
        <f>IFERROR(__xludf.DUMMYFUNCTION("INDIRECT(""'收支紀錄'!I""&amp;TO_TEXT(ROW()-$C$72))"),"")</f>
        <v/>
      </c>
      <c r="J857" s="61" t="str">
        <f>IFERROR(__xludf.DUMMYFUNCTION("INDIRECT(""'收支紀錄'!J""&amp;TO_TEXT(ROW()-$C$72))"),"")</f>
        <v/>
      </c>
      <c r="K857" s="61" t="str">
        <f>IFERROR(__xludf.DUMMYFUNCTION("INDIRECT(""'收支紀錄'!K""&amp;TO_TEXT(ROW()-$C$72))"),"")</f>
        <v/>
      </c>
      <c r="L857" s="61" t="str">
        <f>IFERROR(__xludf.DUMMYFUNCTION("INDIRECT(""'收支紀錄'!L""&amp;TO_TEXT(ROW()-$C$72))"),"")</f>
        <v/>
      </c>
      <c r="M857" s="61" t="str">
        <f>IFERROR(__xludf.DUMMYFUNCTION("INDIRECT(""'收支紀錄'!M""&amp;TO_TEXT(ROW()-$C$72))"),"運動健身")</f>
        <v>運動健身</v>
      </c>
      <c r="N857" s="61" t="str">
        <f>IFERROR(__xludf.DUMMYFUNCTION("INDIRECT(""'收支紀錄'!N""&amp;TO_TEXT(ROW()-$C$72))"),"")</f>
        <v/>
      </c>
      <c r="O857" s="61" t="str">
        <f>IFERROR(__xludf.DUMMYFUNCTION("INDIRECT(""'收支紀錄'!O""&amp;TO_TEXT(ROW()-$C$72))"),"")</f>
        <v/>
      </c>
      <c r="P857" s="61" t="str">
        <f>IFERROR(__xludf.DUMMYFUNCTION("INDIRECT(""'收支紀錄'!P""&amp;TO_TEXT(ROW()-$C$72))"),"")</f>
        <v/>
      </c>
      <c r="Q857" s="61" t="str">
        <f>IFERROR(__xludf.DUMMYFUNCTION("INDIRECT(""'收支紀錄'!Q""&amp;TO_TEXT(ROW()-$C$72))"),"")</f>
        <v/>
      </c>
      <c r="R857" s="61" t="str">
        <f>IFERROR(__xludf.DUMMYFUNCTION("INDIRECT(""'收支紀錄'!R""&amp;TO_TEXT(ROW()-$C$72))"),"")</f>
        <v/>
      </c>
      <c r="S857" s="61" t="str">
        <f>IFERROR(__xludf.DUMMYFUNCTION("INDIRECT(""'收支紀錄'!S""&amp;TO_TEXT(ROW()-$C$72))"),"")</f>
        <v/>
      </c>
      <c r="T857" s="61" t="str">
        <f>IFERROR(__xludf.DUMMYFUNCTION("INDIRECT(""'收支紀錄'!T""&amp;TO_TEXT(ROW()-$C$72))"),"")</f>
        <v/>
      </c>
      <c r="U857" s="62" t="str">
        <f>IFERROR(__xludf.DUMMYFUNCTION("IF(T857=""是"",TEXTJOIN("""", TRUE, ""$"", TO_TEXT(C857), S857),"""")"),"")</f>
        <v/>
      </c>
    </row>
    <row r="858">
      <c r="A858" s="58">
        <f>IFERROR(__xludf.DUMMYFUNCTION("INDIRECT(""'收支紀錄'!A""&amp;TO_TEXT(ROW()-$C$72))"),45786.792502951386)</f>
        <v>45786.7925</v>
      </c>
      <c r="B858" s="59">
        <f>IFERROR(__xludf.DUMMYFUNCTION("IF(ISBLANK(D858), """", IF(ISDATE(D858), D858, IF(D858=""今天"", A858, IF(D858=""昨天 (-1 day)"", A858-1, IF(D858=""前天 (-2 days)"", A858-2, IF(D858=""明天 (+1 day)"", A858+1, DATE(LEFT(D858,4), MID(D858,5,2), RIGHT(D858,2))))))))"),45786.792502951386)</f>
        <v>45786.7925</v>
      </c>
      <c r="C858" s="60">
        <f>IFERROR(__xludf.DUMMYFUNCTION("INDIRECT(""'收支紀錄'!C""&amp;TO_TEXT(ROW()-$C$72))"),16.0)</f>
        <v>16</v>
      </c>
      <c r="D858" s="63" t="str">
        <f>IFERROR(__xludf.DUMMYFUNCTION("INDIRECT(""'收支紀錄'!D""&amp;TO_TEXT(ROW()-$C$72))"),"今天")</f>
        <v>今天</v>
      </c>
      <c r="E858" s="61" t="str">
        <f>IFERROR(__xludf.DUMMYFUNCTION("INDIRECT(""'收支紀錄'!E""&amp;TO_TEXT(ROW()-$C$72))"),"")</f>
        <v/>
      </c>
      <c r="F858" s="61" t="str">
        <f>IFERROR(__xludf.DUMMYFUNCTION("INDIRECT(""'收支紀錄'!F""&amp;TO_TEXT(ROW()-$C$72))"),"")</f>
        <v/>
      </c>
      <c r="G858" s="61" t="str">
        <f>IFERROR(__xludf.DUMMYFUNCTION("INDIRECT(""'收支紀錄'!G""&amp;TO_TEXT(ROW()-$C$72))"),"")</f>
        <v/>
      </c>
      <c r="H858" s="61" t="str">
        <f>IFERROR(__xludf.DUMMYFUNCTION("INDIRECT(""'收支紀錄'!H""&amp;TO_TEXT(ROW()-$C$72))"),"行車交通")</f>
        <v>行車交通</v>
      </c>
      <c r="I858" s="61" t="str">
        <f>IFERROR(__xludf.DUMMYFUNCTION("INDIRECT(""'收支紀錄'!I""&amp;TO_TEXT(ROW()-$C$72))"),"")</f>
        <v/>
      </c>
      <c r="J858" s="61" t="str">
        <f>IFERROR(__xludf.DUMMYFUNCTION("INDIRECT(""'收支紀錄'!J""&amp;TO_TEXT(ROW()-$C$72))"),"")</f>
        <v/>
      </c>
      <c r="K858" s="61" t="str">
        <f>IFERROR(__xludf.DUMMYFUNCTION("INDIRECT(""'收支紀錄'!K""&amp;TO_TEXT(ROW()-$C$72))"),"")</f>
        <v/>
      </c>
      <c r="L858" s="61" t="str">
        <f>IFERROR(__xludf.DUMMYFUNCTION("INDIRECT(""'收支紀錄'!L""&amp;TO_TEXT(ROW()-$C$72))"),"火車費")</f>
        <v>火車費</v>
      </c>
      <c r="M858" s="61" t="str">
        <f>IFERROR(__xludf.DUMMYFUNCTION("INDIRECT(""'收支紀錄'!M""&amp;TO_TEXT(ROW()-$C$72))"),"")</f>
        <v/>
      </c>
      <c r="N858" s="61" t="str">
        <f>IFERROR(__xludf.DUMMYFUNCTION("INDIRECT(""'收支紀錄'!N""&amp;TO_TEXT(ROW()-$C$72))"),"")</f>
        <v/>
      </c>
      <c r="O858" s="61" t="str">
        <f>IFERROR(__xludf.DUMMYFUNCTION("INDIRECT(""'收支紀錄'!O""&amp;TO_TEXT(ROW()-$C$72))"),"")</f>
        <v/>
      </c>
      <c r="P858" s="61" t="str">
        <f>IFERROR(__xludf.DUMMYFUNCTION("INDIRECT(""'收支紀錄'!P""&amp;TO_TEXT(ROW()-$C$72))"),"")</f>
        <v/>
      </c>
      <c r="Q858" s="61" t="str">
        <f>IFERROR(__xludf.DUMMYFUNCTION("INDIRECT(""'收支紀錄'!Q""&amp;TO_TEXT(ROW()-$C$72))"),"")</f>
        <v/>
      </c>
      <c r="R858" s="61" t="str">
        <f>IFERROR(__xludf.DUMMYFUNCTION("INDIRECT(""'收支紀錄'!R""&amp;TO_TEXT(ROW()-$C$72))"),"")</f>
        <v/>
      </c>
      <c r="S858" s="61" t="str">
        <f>IFERROR(__xludf.DUMMYFUNCTION("INDIRECT(""'收支紀錄'!S""&amp;TO_TEXT(ROW()-$C$72))"),"")</f>
        <v/>
      </c>
      <c r="T858" s="61" t="str">
        <f>IFERROR(__xludf.DUMMYFUNCTION("INDIRECT(""'收支紀錄'!T""&amp;TO_TEXT(ROW()-$C$72))"),"")</f>
        <v/>
      </c>
      <c r="U858" s="62" t="str">
        <f>IFERROR(__xludf.DUMMYFUNCTION("IF(T858=""是"",TEXTJOIN("""", TRUE, ""$"", TO_TEXT(C858), S858),"""")"),"")</f>
        <v/>
      </c>
    </row>
    <row r="859">
      <c r="A859" s="58">
        <f>IFERROR(__xludf.DUMMYFUNCTION("INDIRECT(""'收支紀錄'!A""&amp;TO_TEXT(ROW()-$C$72))"),45786.79269638889)</f>
        <v>45786.7927</v>
      </c>
      <c r="B859" s="59">
        <f>IFERROR(__xludf.DUMMYFUNCTION("IF(ISBLANK(D859), """", IF(ISDATE(D859), D859, IF(D859=""今天"", A859, IF(D859=""昨天 (-1 day)"", A859-1, IF(D859=""前天 (-2 days)"", A859-2, IF(D859=""明天 (+1 day)"", A859+1, DATE(LEFT(D859,4), MID(D859,5,2), RIGHT(D859,2))))))))"),45786.79269638889)</f>
        <v>45786.7927</v>
      </c>
      <c r="C859" s="60">
        <f>IFERROR(__xludf.DUMMYFUNCTION("INDIRECT(""'收支紀錄'!C""&amp;TO_TEXT(ROW()-$C$72))"),1025.0)</f>
        <v>1025</v>
      </c>
      <c r="D859" s="63" t="str">
        <f>IFERROR(__xludf.DUMMYFUNCTION("INDIRECT(""'收支紀錄'!D""&amp;TO_TEXT(ROW()-$C$72))"),"今天")</f>
        <v>今天</v>
      </c>
      <c r="E859" s="61" t="str">
        <f>IFERROR(__xludf.DUMMYFUNCTION("INDIRECT(""'收支紀錄'!E""&amp;TO_TEXT(ROW()-$C$72))"),"")</f>
        <v/>
      </c>
      <c r="F859" s="61" t="str">
        <f>IFERROR(__xludf.DUMMYFUNCTION("INDIRECT(""'收支紀錄'!F""&amp;TO_TEXT(ROW()-$C$72))"),"")</f>
        <v/>
      </c>
      <c r="G859" s="61" t="str">
        <f>IFERROR(__xludf.DUMMYFUNCTION("INDIRECT(""'收支紀錄'!G""&amp;TO_TEXT(ROW()-$C$72))"),"")</f>
        <v/>
      </c>
      <c r="H859" s="61" t="str">
        <f>IFERROR(__xludf.DUMMYFUNCTION("INDIRECT(""'收支紀錄'!H""&amp;TO_TEXT(ROW()-$C$72))"),"行車交通")</f>
        <v>行車交通</v>
      </c>
      <c r="I859" s="61" t="str">
        <f>IFERROR(__xludf.DUMMYFUNCTION("INDIRECT(""'收支紀錄'!I""&amp;TO_TEXT(ROW()-$C$72))"),"")</f>
        <v/>
      </c>
      <c r="J859" s="61" t="str">
        <f>IFERROR(__xludf.DUMMYFUNCTION("INDIRECT(""'收支紀錄'!J""&amp;TO_TEXT(ROW()-$C$72))"),"")</f>
        <v/>
      </c>
      <c r="K859" s="61" t="str">
        <f>IFERROR(__xludf.DUMMYFUNCTION("INDIRECT(""'收支紀錄'!K""&amp;TO_TEXT(ROW()-$C$72))"),"")</f>
        <v/>
      </c>
      <c r="L859" s="61" t="str">
        <f>IFERROR(__xludf.DUMMYFUNCTION("INDIRECT(""'收支紀錄'!L""&amp;TO_TEXT(ROW()-$C$72))"),"高鐵")</f>
        <v>高鐵</v>
      </c>
      <c r="M859" s="61" t="str">
        <f>IFERROR(__xludf.DUMMYFUNCTION("INDIRECT(""'收支紀錄'!M""&amp;TO_TEXT(ROW()-$C$72))"),"")</f>
        <v/>
      </c>
      <c r="N859" s="61" t="str">
        <f>IFERROR(__xludf.DUMMYFUNCTION("INDIRECT(""'收支紀錄'!N""&amp;TO_TEXT(ROW()-$C$72))"),"")</f>
        <v/>
      </c>
      <c r="O859" s="61" t="str">
        <f>IFERROR(__xludf.DUMMYFUNCTION("INDIRECT(""'收支紀錄'!O""&amp;TO_TEXT(ROW()-$C$72))"),"")</f>
        <v/>
      </c>
      <c r="P859" s="61" t="str">
        <f>IFERROR(__xludf.DUMMYFUNCTION("INDIRECT(""'收支紀錄'!P""&amp;TO_TEXT(ROW()-$C$72))"),"")</f>
        <v/>
      </c>
      <c r="Q859" s="61" t="str">
        <f>IFERROR(__xludf.DUMMYFUNCTION("INDIRECT(""'收支紀錄'!Q""&amp;TO_TEXT(ROW()-$C$72))"),"")</f>
        <v/>
      </c>
      <c r="R859" s="61" t="str">
        <f>IFERROR(__xludf.DUMMYFUNCTION("INDIRECT(""'收支紀錄'!R""&amp;TO_TEXT(ROW()-$C$72))"),"")</f>
        <v/>
      </c>
      <c r="S859" s="61" t="str">
        <f>IFERROR(__xludf.DUMMYFUNCTION("INDIRECT(""'收支紀錄'!S""&amp;TO_TEXT(ROW()-$C$72))"),"")</f>
        <v/>
      </c>
      <c r="T859" s="61" t="str">
        <f>IFERROR(__xludf.DUMMYFUNCTION("INDIRECT(""'收支紀錄'!T""&amp;TO_TEXT(ROW()-$C$72))"),"")</f>
        <v/>
      </c>
      <c r="U859" s="62" t="str">
        <f>IFERROR(__xludf.DUMMYFUNCTION("IF(T859=""是"",TEXTJOIN("""", TRUE, ""$"", TO_TEXT(C859), S859),"""")"),"")</f>
        <v/>
      </c>
    </row>
    <row r="860">
      <c r="A860" s="58">
        <f>IFERROR(__xludf.DUMMYFUNCTION("INDIRECT(""'收支紀錄'!A""&amp;TO_TEXT(ROW()-$C$72))"),45786.98701383102)</f>
        <v>45786.98701</v>
      </c>
      <c r="B860" s="59">
        <f>IFERROR(__xludf.DUMMYFUNCTION("IF(ISBLANK(D860), """", IF(ISDATE(D860), D860, IF(D860=""今天"", A860, IF(D860=""昨天 (-1 day)"", A860-1, IF(D860=""前天 (-2 days)"", A860-2, IF(D860=""明天 (+1 day)"", A860+1, DATE(LEFT(D860,4), MID(D860,5,2), RIGHT(D860,2))))))))"),45786.98701383102)</f>
        <v>45786.98701</v>
      </c>
      <c r="C860" s="60">
        <f>IFERROR(__xludf.DUMMYFUNCTION("INDIRECT(""'收支紀錄'!C""&amp;TO_TEXT(ROW()-$C$72))"),35.0)</f>
        <v>35</v>
      </c>
      <c r="D860" s="63" t="str">
        <f>IFERROR(__xludf.DUMMYFUNCTION("INDIRECT(""'收支紀錄'!D""&amp;TO_TEXT(ROW()-$C$72))"),"今天")</f>
        <v>今天</v>
      </c>
      <c r="E860" s="61" t="str">
        <f>IFERROR(__xludf.DUMMYFUNCTION("INDIRECT(""'收支紀錄'!E""&amp;TO_TEXT(ROW()-$C$72))"),"")</f>
        <v/>
      </c>
      <c r="F860" s="61" t="str">
        <f>IFERROR(__xludf.DUMMYFUNCTION("INDIRECT(""'收支紀錄'!F""&amp;TO_TEXT(ROW()-$C$72))"),"")</f>
        <v/>
      </c>
      <c r="G860" s="61" t="str">
        <f>IFERROR(__xludf.DUMMYFUNCTION("INDIRECT(""'收支紀錄'!G""&amp;TO_TEXT(ROW()-$C$72))"),"")</f>
        <v/>
      </c>
      <c r="H860" s="61" t="str">
        <f>IFERROR(__xludf.DUMMYFUNCTION("INDIRECT(""'收支紀錄'!H""&amp;TO_TEXT(ROW()-$C$72))"),"行車交通")</f>
        <v>行車交通</v>
      </c>
      <c r="I860" s="61" t="str">
        <f>IFERROR(__xludf.DUMMYFUNCTION("INDIRECT(""'收支紀錄'!I""&amp;TO_TEXT(ROW()-$C$72))"),"")</f>
        <v/>
      </c>
      <c r="J860" s="61" t="str">
        <f>IFERROR(__xludf.DUMMYFUNCTION("INDIRECT(""'收支紀錄'!J""&amp;TO_TEXT(ROW()-$C$72))"),"")</f>
        <v/>
      </c>
      <c r="K860" s="61" t="str">
        <f>IFERROR(__xludf.DUMMYFUNCTION("INDIRECT(""'收支紀錄'!K""&amp;TO_TEXT(ROW()-$C$72))"),"")</f>
        <v/>
      </c>
      <c r="L860" s="61" t="str">
        <f>IFERROR(__xludf.DUMMYFUNCTION("INDIRECT(""'收支紀錄'!L""&amp;TO_TEXT(ROW()-$C$72))"),"捷運費")</f>
        <v>捷運費</v>
      </c>
      <c r="M860" s="61" t="str">
        <f>IFERROR(__xludf.DUMMYFUNCTION("INDIRECT(""'收支紀錄'!M""&amp;TO_TEXT(ROW()-$C$72))"),"")</f>
        <v/>
      </c>
      <c r="N860" s="61" t="str">
        <f>IFERROR(__xludf.DUMMYFUNCTION("INDIRECT(""'收支紀錄'!N""&amp;TO_TEXT(ROW()-$C$72))"),"")</f>
        <v/>
      </c>
      <c r="O860" s="61" t="str">
        <f>IFERROR(__xludf.DUMMYFUNCTION("INDIRECT(""'收支紀錄'!O""&amp;TO_TEXT(ROW()-$C$72))"),"")</f>
        <v/>
      </c>
      <c r="P860" s="61" t="str">
        <f>IFERROR(__xludf.DUMMYFUNCTION("INDIRECT(""'收支紀錄'!P""&amp;TO_TEXT(ROW()-$C$72))"),"")</f>
        <v/>
      </c>
      <c r="Q860" s="61" t="str">
        <f>IFERROR(__xludf.DUMMYFUNCTION("INDIRECT(""'收支紀錄'!Q""&amp;TO_TEXT(ROW()-$C$72))"),"")</f>
        <v/>
      </c>
      <c r="R860" s="61" t="str">
        <f>IFERROR(__xludf.DUMMYFUNCTION("INDIRECT(""'收支紀錄'!R""&amp;TO_TEXT(ROW()-$C$72))"),"")</f>
        <v/>
      </c>
      <c r="S860" s="61" t="str">
        <f>IFERROR(__xludf.DUMMYFUNCTION("INDIRECT(""'收支紀錄'!S""&amp;TO_TEXT(ROW()-$C$72))"),"")</f>
        <v/>
      </c>
      <c r="T860" s="61" t="str">
        <f>IFERROR(__xludf.DUMMYFUNCTION("INDIRECT(""'收支紀錄'!T""&amp;TO_TEXT(ROW()-$C$72))"),"")</f>
        <v/>
      </c>
      <c r="U860" s="62" t="str">
        <f>IFERROR(__xludf.DUMMYFUNCTION("IF(T860=""是"",TEXTJOIN("""", TRUE, ""$"", TO_TEXT(C860), S860),"""")"),"")</f>
        <v/>
      </c>
    </row>
    <row r="861">
      <c r="A861" s="58">
        <f>IFERROR(__xludf.DUMMYFUNCTION("INDIRECT(""'收支紀錄'!A""&amp;TO_TEXT(ROW()-$C$72))"),45788.01752671297)</f>
        <v>45788.01753</v>
      </c>
      <c r="B861" s="59">
        <f>IFERROR(__xludf.DUMMYFUNCTION("IF(ISBLANK(D861), """", IF(ISDATE(D861), D861, IF(D861=""今天"", A861, IF(D861=""昨天 (-1 day)"", A861-1, IF(D861=""前天 (-2 days)"", A861-2, IF(D861=""明天 (+1 day)"", A861+1, DATE(LEFT(D861,4), MID(D861,5,2), RIGHT(D861,2))))))))"),45787.01752671297)</f>
        <v>45787.01753</v>
      </c>
      <c r="C861" s="60">
        <f>IFERROR(__xludf.DUMMYFUNCTION("INDIRECT(""'收支紀錄'!C""&amp;TO_TEXT(ROW()-$C$72))"),550.0)</f>
        <v>550</v>
      </c>
      <c r="D861" s="63" t="str">
        <f>IFERROR(__xludf.DUMMYFUNCTION("INDIRECT(""'收支紀錄'!D""&amp;TO_TEXT(ROW()-$C$72))"),"昨天 (-1 day)")</f>
        <v>昨天 (-1 day)</v>
      </c>
      <c r="E861" s="61" t="str">
        <f>IFERROR(__xludf.DUMMYFUNCTION("INDIRECT(""'收支紀錄'!E""&amp;TO_TEXT(ROW()-$C$72))"),"")</f>
        <v/>
      </c>
      <c r="F861" s="61" t="str">
        <f>IFERROR(__xludf.DUMMYFUNCTION("INDIRECT(""'收支紀錄'!F""&amp;TO_TEXT(ROW()-$C$72))"),"")</f>
        <v/>
      </c>
      <c r="G861" s="61" t="str">
        <f>IFERROR(__xludf.DUMMYFUNCTION("INDIRECT(""'收支紀錄'!G""&amp;TO_TEXT(ROW()-$C$72))"),"")</f>
        <v/>
      </c>
      <c r="H861" s="61" t="str">
        <f>IFERROR(__xludf.DUMMYFUNCTION("INDIRECT(""'收支紀錄'!H""&amp;TO_TEXT(ROW()-$C$72))"),"休閒娛樂")</f>
        <v>休閒娛樂</v>
      </c>
      <c r="I861" s="61" t="str">
        <f>IFERROR(__xludf.DUMMYFUNCTION("INDIRECT(""'收支紀錄'!I""&amp;TO_TEXT(ROW()-$C$72))"),"")</f>
        <v/>
      </c>
      <c r="J861" s="61" t="str">
        <f>IFERROR(__xludf.DUMMYFUNCTION("INDIRECT(""'收支紀錄'!J""&amp;TO_TEXT(ROW()-$C$72))"),"")</f>
        <v/>
      </c>
      <c r="K861" s="61" t="str">
        <f>IFERROR(__xludf.DUMMYFUNCTION("INDIRECT(""'收支紀錄'!K""&amp;TO_TEXT(ROW()-$C$72))"),"")</f>
        <v/>
      </c>
      <c r="L861" s="61" t="str">
        <f>IFERROR(__xludf.DUMMYFUNCTION("INDIRECT(""'收支紀錄'!L""&amp;TO_TEXT(ROW()-$C$72))"),"")</f>
        <v/>
      </c>
      <c r="M861" s="61" t="str">
        <f>IFERROR(__xludf.DUMMYFUNCTION("INDIRECT(""'收支紀錄'!M""&amp;TO_TEXT(ROW()-$C$72))"),"剪髮")</f>
        <v>剪髮</v>
      </c>
      <c r="N861" s="61" t="str">
        <f>IFERROR(__xludf.DUMMYFUNCTION("INDIRECT(""'收支紀錄'!N""&amp;TO_TEXT(ROW()-$C$72))"),"")</f>
        <v/>
      </c>
      <c r="O861" s="61" t="str">
        <f>IFERROR(__xludf.DUMMYFUNCTION("INDIRECT(""'收支紀錄'!O""&amp;TO_TEXT(ROW()-$C$72))"),"")</f>
        <v/>
      </c>
      <c r="P861" s="61" t="str">
        <f>IFERROR(__xludf.DUMMYFUNCTION("INDIRECT(""'收支紀錄'!P""&amp;TO_TEXT(ROW()-$C$72))"),"")</f>
        <v/>
      </c>
      <c r="Q861" s="61" t="str">
        <f>IFERROR(__xludf.DUMMYFUNCTION("INDIRECT(""'收支紀錄'!Q""&amp;TO_TEXT(ROW()-$C$72))"),"")</f>
        <v/>
      </c>
      <c r="R861" s="61" t="str">
        <f>IFERROR(__xludf.DUMMYFUNCTION("INDIRECT(""'收支紀錄'!R""&amp;TO_TEXT(ROW()-$C$72))"),"")</f>
        <v/>
      </c>
      <c r="S861" s="61" t="str">
        <f>IFERROR(__xludf.DUMMYFUNCTION("INDIRECT(""'收支紀錄'!S""&amp;TO_TEXT(ROW()-$C$72))"),"")</f>
        <v/>
      </c>
      <c r="T861" s="61" t="str">
        <f>IFERROR(__xludf.DUMMYFUNCTION("INDIRECT(""'收支紀錄'!T""&amp;TO_TEXT(ROW()-$C$72))"),"")</f>
        <v/>
      </c>
      <c r="U861" s="62" t="str">
        <f>IFERROR(__xludf.DUMMYFUNCTION("IF(T861=""是"",TEXTJOIN("""", TRUE, ""$"", TO_TEXT(C861), S861),"""")"),"")</f>
        <v/>
      </c>
    </row>
    <row r="862">
      <c r="A862" s="58">
        <f>IFERROR(__xludf.DUMMYFUNCTION("INDIRECT(""'收支紀錄'!A""&amp;TO_TEXT(ROW()-$C$72))"),45788.01768873843)</f>
        <v>45788.01769</v>
      </c>
      <c r="B862" s="59">
        <f>IFERROR(__xludf.DUMMYFUNCTION("IF(ISBLANK(D862), """", IF(ISDATE(D862), D862, IF(D862=""今天"", A862, IF(D862=""昨天 (-1 day)"", A862-1, IF(D862=""前天 (-2 days)"", A862-2, IF(D862=""明天 (+1 day)"", A862+1, DATE(LEFT(D862,4), MID(D862,5,2), RIGHT(D862,2))))))))"),45787.01768873843)</f>
        <v>45787.01769</v>
      </c>
      <c r="C862" s="60">
        <f>IFERROR(__xludf.DUMMYFUNCTION("INDIRECT(""'收支紀錄'!C""&amp;TO_TEXT(ROW()-$C$72))"),500.0)</f>
        <v>500</v>
      </c>
      <c r="D862" s="63" t="str">
        <f>IFERROR(__xludf.DUMMYFUNCTION("INDIRECT(""'收支紀錄'!D""&amp;TO_TEXT(ROW()-$C$72))"),"昨天 (-1 day)")</f>
        <v>昨天 (-1 day)</v>
      </c>
      <c r="E862" s="61" t="str">
        <f>IFERROR(__xludf.DUMMYFUNCTION("INDIRECT(""'收支紀錄'!E""&amp;TO_TEXT(ROW()-$C$72))"),"")</f>
        <v/>
      </c>
      <c r="F862" s="61" t="str">
        <f>IFERROR(__xludf.DUMMYFUNCTION("INDIRECT(""'收支紀錄'!F""&amp;TO_TEXT(ROW()-$C$72))"),"")</f>
        <v/>
      </c>
      <c r="G862" s="61" t="str">
        <f>IFERROR(__xludf.DUMMYFUNCTION("INDIRECT(""'收支紀錄'!G""&amp;TO_TEXT(ROW()-$C$72))"),"")</f>
        <v/>
      </c>
      <c r="H862" s="61" t="str">
        <f>IFERROR(__xludf.DUMMYFUNCTION("INDIRECT(""'收支紀錄'!H""&amp;TO_TEXT(ROW()-$C$72))"),"休閒娛樂")</f>
        <v>休閒娛樂</v>
      </c>
      <c r="I862" s="61" t="str">
        <f>IFERROR(__xludf.DUMMYFUNCTION("INDIRECT(""'收支紀錄'!I""&amp;TO_TEXT(ROW()-$C$72))"),"")</f>
        <v/>
      </c>
      <c r="J862" s="61" t="str">
        <f>IFERROR(__xludf.DUMMYFUNCTION("INDIRECT(""'收支紀錄'!J""&amp;TO_TEXT(ROW()-$C$72))"),"")</f>
        <v/>
      </c>
      <c r="K862" s="61" t="str">
        <f>IFERROR(__xludf.DUMMYFUNCTION("INDIRECT(""'收支紀錄'!K""&amp;TO_TEXT(ROW()-$C$72))"),"")</f>
        <v/>
      </c>
      <c r="L862" s="61" t="str">
        <f>IFERROR(__xludf.DUMMYFUNCTION("INDIRECT(""'收支紀錄'!L""&amp;TO_TEXT(ROW()-$C$72))"),"")</f>
        <v/>
      </c>
      <c r="M862" s="61" t="str">
        <f>IFERROR(__xludf.DUMMYFUNCTION("INDIRECT(""'收支紀錄'!M""&amp;TO_TEXT(ROW()-$C$72))"),"休閒玩樂")</f>
        <v>休閒玩樂</v>
      </c>
      <c r="N862" s="61" t="str">
        <f>IFERROR(__xludf.DUMMYFUNCTION("INDIRECT(""'收支紀錄'!N""&amp;TO_TEXT(ROW()-$C$72))"),"")</f>
        <v/>
      </c>
      <c r="O862" s="61" t="str">
        <f>IFERROR(__xludf.DUMMYFUNCTION("INDIRECT(""'收支紀錄'!O""&amp;TO_TEXT(ROW()-$C$72))"),"")</f>
        <v/>
      </c>
      <c r="P862" s="61" t="str">
        <f>IFERROR(__xludf.DUMMYFUNCTION("INDIRECT(""'收支紀錄'!P""&amp;TO_TEXT(ROW()-$C$72))"),"")</f>
        <v/>
      </c>
      <c r="Q862" s="61" t="str">
        <f>IFERROR(__xludf.DUMMYFUNCTION("INDIRECT(""'收支紀錄'!Q""&amp;TO_TEXT(ROW()-$C$72))"),"")</f>
        <v/>
      </c>
      <c r="R862" s="61" t="str">
        <f>IFERROR(__xludf.DUMMYFUNCTION("INDIRECT(""'收支紀錄'!R""&amp;TO_TEXT(ROW()-$C$72))"),"")</f>
        <v/>
      </c>
      <c r="S862" s="61" t="str">
        <f>IFERROR(__xludf.DUMMYFUNCTION("INDIRECT(""'收支紀錄'!S""&amp;TO_TEXT(ROW()-$C$72))"),"")</f>
        <v/>
      </c>
      <c r="T862" s="61" t="str">
        <f>IFERROR(__xludf.DUMMYFUNCTION("INDIRECT(""'收支紀錄'!T""&amp;TO_TEXT(ROW()-$C$72))"),"")</f>
        <v/>
      </c>
      <c r="U862" s="62" t="str">
        <f>IFERROR(__xludf.DUMMYFUNCTION("IF(T862=""是"",TEXTJOIN("""", TRUE, ""$"", TO_TEXT(C862), S862),"""")"),"")</f>
        <v/>
      </c>
    </row>
    <row r="863">
      <c r="A863" s="58">
        <f>IFERROR(__xludf.DUMMYFUNCTION("INDIRECT(""'收支紀錄'!A""&amp;TO_TEXT(ROW()-$C$72))"),45788.979331574075)</f>
        <v>45788.97933</v>
      </c>
      <c r="B863" s="59">
        <f>IFERROR(__xludf.DUMMYFUNCTION("IF(ISBLANK(D863), """", IF(ISDATE(D863), D863, IF(D863=""今天"", A863, IF(D863=""昨天 (-1 day)"", A863-1, IF(D863=""前天 (-2 days)"", A863-2, IF(D863=""明天 (+1 day)"", A863+1, DATE(LEFT(D863,4), MID(D863,5,2), RIGHT(D863,2))))))))"),45788.979331574075)</f>
        <v>45788.97933</v>
      </c>
      <c r="C863" s="60">
        <f>IFERROR(__xludf.DUMMYFUNCTION("INDIRECT(""'收支紀錄'!C""&amp;TO_TEXT(ROW()-$C$72))"),1066.0)</f>
        <v>1066</v>
      </c>
      <c r="D863" s="63" t="str">
        <f>IFERROR(__xludf.DUMMYFUNCTION("INDIRECT(""'收支紀錄'!D""&amp;TO_TEXT(ROW()-$C$72))"),"今天")</f>
        <v>今天</v>
      </c>
      <c r="E863" s="61" t="str">
        <f>IFERROR(__xludf.DUMMYFUNCTION("INDIRECT(""'收支紀錄'!E""&amp;TO_TEXT(ROW()-$C$72))"),"")</f>
        <v/>
      </c>
      <c r="F863" s="61" t="str">
        <f>IFERROR(__xludf.DUMMYFUNCTION("INDIRECT(""'收支紀錄'!F""&amp;TO_TEXT(ROW()-$C$72))"),"")</f>
        <v/>
      </c>
      <c r="G863" s="61" t="str">
        <f>IFERROR(__xludf.DUMMYFUNCTION("INDIRECT(""'收支紀錄'!G""&amp;TO_TEXT(ROW()-$C$72))"),"")</f>
        <v/>
      </c>
      <c r="H863" s="61" t="str">
        <f>IFERROR(__xludf.DUMMYFUNCTION("INDIRECT(""'收支紀錄'!H""&amp;TO_TEXT(ROW()-$C$72))"),"日常生活")</f>
        <v>日常生活</v>
      </c>
      <c r="I863" s="61" t="str">
        <f>IFERROR(__xludf.DUMMYFUNCTION("INDIRECT(""'收支紀錄'!I""&amp;TO_TEXT(ROW()-$C$72))"),"")</f>
        <v/>
      </c>
      <c r="J863" s="61" t="str">
        <f>IFERROR(__xludf.DUMMYFUNCTION("INDIRECT(""'收支紀錄'!J""&amp;TO_TEXT(ROW()-$C$72))"),"日常用品")</f>
        <v>日常用品</v>
      </c>
      <c r="K863" s="61" t="str">
        <f>IFERROR(__xludf.DUMMYFUNCTION("INDIRECT(""'收支紀錄'!K""&amp;TO_TEXT(ROW()-$C$72))"),"")</f>
        <v/>
      </c>
      <c r="L863" s="61" t="str">
        <f>IFERROR(__xludf.DUMMYFUNCTION("INDIRECT(""'收支紀錄'!L""&amp;TO_TEXT(ROW()-$C$72))"),"")</f>
        <v/>
      </c>
      <c r="M863" s="61" t="str">
        <f>IFERROR(__xludf.DUMMYFUNCTION("INDIRECT(""'收支紀錄'!M""&amp;TO_TEXT(ROW()-$C$72))"),"")</f>
        <v/>
      </c>
      <c r="N863" s="61" t="str">
        <f>IFERROR(__xludf.DUMMYFUNCTION("INDIRECT(""'收支紀錄'!N""&amp;TO_TEXT(ROW()-$C$72))"),"")</f>
        <v/>
      </c>
      <c r="O863" s="61" t="str">
        <f>IFERROR(__xludf.DUMMYFUNCTION("INDIRECT(""'收支紀錄'!O""&amp;TO_TEXT(ROW()-$C$72))"),"")</f>
        <v/>
      </c>
      <c r="P863" s="61" t="str">
        <f>IFERROR(__xludf.DUMMYFUNCTION("INDIRECT(""'收支紀錄'!P""&amp;TO_TEXT(ROW()-$C$72))"),"")</f>
        <v/>
      </c>
      <c r="Q863" s="61" t="str">
        <f>IFERROR(__xludf.DUMMYFUNCTION("INDIRECT(""'收支紀錄'!Q""&amp;TO_TEXT(ROW()-$C$72))"),"")</f>
        <v/>
      </c>
      <c r="R863" s="61" t="str">
        <f>IFERROR(__xludf.DUMMYFUNCTION("INDIRECT(""'收支紀錄'!R""&amp;TO_TEXT(ROW()-$C$72))"),"")</f>
        <v/>
      </c>
      <c r="S863" s="61" t="str">
        <f>IFERROR(__xludf.DUMMYFUNCTION("INDIRECT(""'收支紀錄'!S""&amp;TO_TEXT(ROW()-$C$72))"),"行車記錄器記憶卡")</f>
        <v>行車記錄器記憶卡</v>
      </c>
      <c r="T863" s="61" t="str">
        <f>IFERROR(__xludf.DUMMYFUNCTION("INDIRECT(""'收支紀錄'!T""&amp;TO_TEXT(ROW()-$C$72))"),"否")</f>
        <v>否</v>
      </c>
      <c r="U863" s="62" t="str">
        <f>IFERROR(__xludf.DUMMYFUNCTION("IF(T863=""是"",TEXTJOIN("""", TRUE, ""$"", TO_TEXT(C863), S863),"""")"),"")</f>
        <v/>
      </c>
    </row>
    <row r="864">
      <c r="A864" s="58">
        <f>IFERROR(__xludf.DUMMYFUNCTION("INDIRECT(""'收支紀錄'!A""&amp;TO_TEXT(ROW()-$C$72))"),45788.980136805556)</f>
        <v>45788.98014</v>
      </c>
      <c r="B864" s="59">
        <f>IFERROR(__xludf.DUMMYFUNCTION("IF(ISBLANK(D864), """", IF(ISDATE(D864), D864, IF(D864=""今天"", A864, IF(D864=""昨天 (-1 day)"", A864-1, IF(D864=""前天 (-2 days)"", A864-2, IF(D864=""明天 (+1 day)"", A864+1, DATE(LEFT(D864,4), MID(D864,5,2), RIGHT(D864,2))))))))"),45787.980136805556)</f>
        <v>45787.98014</v>
      </c>
      <c r="C864" s="60">
        <f>IFERROR(__xludf.DUMMYFUNCTION("INDIRECT(""'收支紀錄'!C""&amp;TO_TEXT(ROW()-$C$72))"),1033.0)</f>
        <v>1033</v>
      </c>
      <c r="D864" s="63" t="str">
        <f>IFERROR(__xludf.DUMMYFUNCTION("INDIRECT(""'收支紀錄'!D""&amp;TO_TEXT(ROW()-$C$72))"),"昨天 (-1 day)")</f>
        <v>昨天 (-1 day)</v>
      </c>
      <c r="E864" s="61" t="str">
        <f>IFERROR(__xludf.DUMMYFUNCTION("INDIRECT(""'收支紀錄'!E""&amp;TO_TEXT(ROW()-$C$72))"),"")</f>
        <v/>
      </c>
      <c r="F864" s="61" t="str">
        <f>IFERROR(__xludf.DUMMYFUNCTION("INDIRECT(""'收支紀錄'!F""&amp;TO_TEXT(ROW()-$C$72))"),"")</f>
        <v/>
      </c>
      <c r="G864" s="61" t="str">
        <f>IFERROR(__xludf.DUMMYFUNCTION("INDIRECT(""'收支紀錄'!G""&amp;TO_TEXT(ROW()-$C$72))"),"")</f>
        <v/>
      </c>
      <c r="H864" s="61" t="str">
        <f>IFERROR(__xludf.DUMMYFUNCTION("INDIRECT(""'收支紀錄'!H""&amp;TO_TEXT(ROW()-$C$72))"),"食品酒水")</f>
        <v>食品酒水</v>
      </c>
      <c r="I864" s="61" t="str">
        <f>IFERROR(__xludf.DUMMYFUNCTION("INDIRECT(""'收支紀錄'!I""&amp;TO_TEXT(ROW()-$C$72))"),"午餐")</f>
        <v>午餐</v>
      </c>
      <c r="J864" s="61" t="str">
        <f>IFERROR(__xludf.DUMMYFUNCTION("INDIRECT(""'收支紀錄'!J""&amp;TO_TEXT(ROW()-$C$72))"),"")</f>
        <v/>
      </c>
      <c r="K864" s="61" t="str">
        <f>IFERROR(__xludf.DUMMYFUNCTION("INDIRECT(""'收支紀錄'!K""&amp;TO_TEXT(ROW()-$C$72))"),"")</f>
        <v/>
      </c>
      <c r="L864" s="61" t="str">
        <f>IFERROR(__xludf.DUMMYFUNCTION("INDIRECT(""'收支紀錄'!L""&amp;TO_TEXT(ROW()-$C$72))"),"")</f>
        <v/>
      </c>
      <c r="M864" s="61" t="str">
        <f>IFERROR(__xludf.DUMMYFUNCTION("INDIRECT(""'收支紀錄'!M""&amp;TO_TEXT(ROW()-$C$72))"),"")</f>
        <v/>
      </c>
      <c r="N864" s="61" t="str">
        <f>IFERROR(__xludf.DUMMYFUNCTION("INDIRECT(""'收支紀錄'!N""&amp;TO_TEXT(ROW()-$C$72))"),"")</f>
        <v/>
      </c>
      <c r="O864" s="61" t="str">
        <f>IFERROR(__xludf.DUMMYFUNCTION("INDIRECT(""'收支紀錄'!O""&amp;TO_TEXT(ROW()-$C$72))"),"")</f>
        <v/>
      </c>
      <c r="P864" s="61" t="str">
        <f>IFERROR(__xludf.DUMMYFUNCTION("INDIRECT(""'收支紀錄'!P""&amp;TO_TEXT(ROW()-$C$72))"),"")</f>
        <v/>
      </c>
      <c r="Q864" s="61" t="str">
        <f>IFERROR(__xludf.DUMMYFUNCTION("INDIRECT(""'收支紀錄'!Q""&amp;TO_TEXT(ROW()-$C$72))"),"")</f>
        <v/>
      </c>
      <c r="R864" s="61" t="str">
        <f>IFERROR(__xludf.DUMMYFUNCTION("INDIRECT(""'收支紀錄'!R""&amp;TO_TEXT(ROW()-$C$72))"),"")</f>
        <v/>
      </c>
      <c r="S864" s="61" t="str">
        <f>IFERROR(__xludf.DUMMYFUNCTION("INDIRECT(""'收支紀錄'!S""&amp;TO_TEXT(ROW()-$C$72))"),"母親節pizza")</f>
        <v>母親節pizza</v>
      </c>
      <c r="T864" s="61" t="str">
        <f>IFERROR(__xludf.DUMMYFUNCTION("INDIRECT(""'收支紀錄'!T""&amp;TO_TEXT(ROW()-$C$72))"),"")</f>
        <v/>
      </c>
      <c r="U864" s="62" t="str">
        <f>IFERROR(__xludf.DUMMYFUNCTION("IF(T864=""是"",TEXTJOIN("""", TRUE, ""$"", TO_TEXT(C864), S864),"""")"),"")</f>
        <v/>
      </c>
    </row>
    <row r="865">
      <c r="A865" s="58">
        <f>IFERROR(__xludf.DUMMYFUNCTION("INDIRECT(""'收支紀錄'!A""&amp;TO_TEXT(ROW()-$C$72))"),45788.98093100694)</f>
        <v>45788.98093</v>
      </c>
      <c r="B865" s="59">
        <f>IFERROR(__xludf.DUMMYFUNCTION("IF(ISBLANK(D865), """", IF(ISDATE(D865), D865, IF(D865=""今天"", A865, IF(D865=""昨天 (-1 day)"", A865-1, IF(D865=""前天 (-2 days)"", A865-2, IF(D865=""明天 (+1 day)"", A865+1, DATE(LEFT(D865,4), MID(D865,5,2), RIGHT(D865,2))))))))"),45786.98093100694)</f>
        <v>45786.98093</v>
      </c>
      <c r="C865" s="60">
        <f>IFERROR(__xludf.DUMMYFUNCTION("INDIRECT(""'收支紀錄'!C""&amp;TO_TEXT(ROW()-$C$72))"),133.0)</f>
        <v>133</v>
      </c>
      <c r="D865" s="63" t="str">
        <f>IFERROR(__xludf.DUMMYFUNCTION("INDIRECT(""'收支紀錄'!D""&amp;TO_TEXT(ROW()-$C$72))"),"前天 (-2 days)")</f>
        <v>前天 (-2 days)</v>
      </c>
      <c r="E865" s="61" t="str">
        <f>IFERROR(__xludf.DUMMYFUNCTION("INDIRECT(""'收支紀錄'!E""&amp;TO_TEXT(ROW()-$C$72))"),"")</f>
        <v/>
      </c>
      <c r="F865" s="61" t="str">
        <f>IFERROR(__xludf.DUMMYFUNCTION("INDIRECT(""'收支紀錄'!F""&amp;TO_TEXT(ROW()-$C$72))"),"")</f>
        <v/>
      </c>
      <c r="G865" s="61" t="str">
        <f>IFERROR(__xludf.DUMMYFUNCTION("INDIRECT(""'收支紀錄'!G""&amp;TO_TEXT(ROW()-$C$72))"),"")</f>
        <v/>
      </c>
      <c r="H865" s="61" t="str">
        <f>IFERROR(__xludf.DUMMYFUNCTION("INDIRECT(""'收支紀錄'!H""&amp;TO_TEXT(ROW()-$C$72))"),"食品酒水")</f>
        <v>食品酒水</v>
      </c>
      <c r="I865" s="61" t="str">
        <f>IFERROR(__xludf.DUMMYFUNCTION("INDIRECT(""'收支紀錄'!I""&amp;TO_TEXT(ROW()-$C$72))"),"下午茶")</f>
        <v>下午茶</v>
      </c>
      <c r="J865" s="61" t="str">
        <f>IFERROR(__xludf.DUMMYFUNCTION("INDIRECT(""'收支紀錄'!J""&amp;TO_TEXT(ROW()-$C$72))"),"")</f>
        <v/>
      </c>
      <c r="K865" s="61" t="str">
        <f>IFERROR(__xludf.DUMMYFUNCTION("INDIRECT(""'收支紀錄'!K""&amp;TO_TEXT(ROW()-$C$72))"),"")</f>
        <v/>
      </c>
      <c r="L865" s="61" t="str">
        <f>IFERROR(__xludf.DUMMYFUNCTION("INDIRECT(""'收支紀錄'!L""&amp;TO_TEXT(ROW()-$C$72))"),"")</f>
        <v/>
      </c>
      <c r="M865" s="61" t="str">
        <f>IFERROR(__xludf.DUMMYFUNCTION("INDIRECT(""'收支紀錄'!M""&amp;TO_TEXT(ROW()-$C$72))"),"")</f>
        <v/>
      </c>
      <c r="N865" s="61" t="str">
        <f>IFERROR(__xludf.DUMMYFUNCTION("INDIRECT(""'收支紀錄'!N""&amp;TO_TEXT(ROW()-$C$72))"),"")</f>
        <v/>
      </c>
      <c r="O865" s="61" t="str">
        <f>IFERROR(__xludf.DUMMYFUNCTION("INDIRECT(""'收支紀錄'!O""&amp;TO_TEXT(ROW()-$C$72))"),"")</f>
        <v/>
      </c>
      <c r="P865" s="61" t="str">
        <f>IFERROR(__xludf.DUMMYFUNCTION("INDIRECT(""'收支紀錄'!P""&amp;TO_TEXT(ROW()-$C$72))"),"")</f>
        <v/>
      </c>
      <c r="Q865" s="61" t="str">
        <f>IFERROR(__xludf.DUMMYFUNCTION("INDIRECT(""'收支紀錄'!Q""&amp;TO_TEXT(ROW()-$C$72))"),"")</f>
        <v/>
      </c>
      <c r="R865" s="61" t="str">
        <f>IFERROR(__xludf.DUMMYFUNCTION("INDIRECT(""'收支紀錄'!R""&amp;TO_TEXT(ROW()-$C$72))"),"")</f>
        <v/>
      </c>
      <c r="S865" s="61" t="str">
        <f>IFERROR(__xludf.DUMMYFUNCTION("INDIRECT(""'收支紀錄'!S""&amp;TO_TEXT(ROW()-$C$72))"),"友利紅地球葡萄")</f>
        <v>友利紅地球葡萄</v>
      </c>
      <c r="T865" s="61" t="str">
        <f>IFERROR(__xludf.DUMMYFUNCTION("INDIRECT(""'收支紀錄'!T""&amp;TO_TEXT(ROW()-$C$72))"),"")</f>
        <v/>
      </c>
      <c r="U865" s="62" t="str">
        <f>IFERROR(__xludf.DUMMYFUNCTION("IF(T865=""是"",TEXTJOIN("""", TRUE, ""$"", TO_TEXT(C865), S865),"""")"),"")</f>
        <v/>
      </c>
    </row>
    <row r="866">
      <c r="A866" s="58">
        <f>IFERROR(__xludf.DUMMYFUNCTION("INDIRECT(""'收支紀錄'!A""&amp;TO_TEXT(ROW()-$C$72))"),45790.90822350694)</f>
        <v>45790.90822</v>
      </c>
      <c r="B866" s="59">
        <f>IFERROR(__xludf.DUMMYFUNCTION("IF(ISBLANK(D866), """", IF(ISDATE(D866), D866, IF(D866=""今天"", A866, IF(D866=""昨天 (-1 day)"", A866-1, IF(D866=""前天 (-2 days)"", A866-2, IF(D866=""明天 (+1 day)"", A866+1, DATE(LEFT(D866,4), MID(D866,5,2), RIGHT(D866,2))))))))"),45790.90822350694)</f>
        <v>45790.90822</v>
      </c>
      <c r="C866" s="60">
        <f>IFERROR(__xludf.DUMMYFUNCTION("INDIRECT(""'收支紀錄'!C""&amp;TO_TEXT(ROW()-$C$72))"),25.0)</f>
        <v>25</v>
      </c>
      <c r="D866" s="63" t="str">
        <f>IFERROR(__xludf.DUMMYFUNCTION("INDIRECT(""'收支紀錄'!D""&amp;TO_TEXT(ROW()-$C$72))"),"今天")</f>
        <v>今天</v>
      </c>
      <c r="E866" s="61" t="str">
        <f>IFERROR(__xludf.DUMMYFUNCTION("INDIRECT(""'收支紀錄'!E""&amp;TO_TEXT(ROW()-$C$72))"),"")</f>
        <v/>
      </c>
      <c r="F866" s="61" t="str">
        <f>IFERROR(__xludf.DUMMYFUNCTION("INDIRECT(""'收支紀錄'!F""&amp;TO_TEXT(ROW()-$C$72))"),"")</f>
        <v/>
      </c>
      <c r="G866" s="61" t="str">
        <f>IFERROR(__xludf.DUMMYFUNCTION("INDIRECT(""'收支紀錄'!G""&amp;TO_TEXT(ROW()-$C$72))"),"")</f>
        <v/>
      </c>
      <c r="H866" s="61" t="str">
        <f>IFERROR(__xludf.DUMMYFUNCTION("INDIRECT(""'收支紀錄'!H""&amp;TO_TEXT(ROW()-$C$72))"),"食品酒水")</f>
        <v>食品酒水</v>
      </c>
      <c r="I866" s="61" t="str">
        <f>IFERROR(__xludf.DUMMYFUNCTION("INDIRECT(""'收支紀錄'!I""&amp;TO_TEXT(ROW()-$C$72))"),"宵夜")</f>
        <v>宵夜</v>
      </c>
      <c r="J866" s="61" t="str">
        <f>IFERROR(__xludf.DUMMYFUNCTION("INDIRECT(""'收支紀錄'!J""&amp;TO_TEXT(ROW()-$C$72))"),"")</f>
        <v/>
      </c>
      <c r="K866" s="61" t="str">
        <f>IFERROR(__xludf.DUMMYFUNCTION("INDIRECT(""'收支紀錄'!K""&amp;TO_TEXT(ROW()-$C$72))"),"")</f>
        <v/>
      </c>
      <c r="L866" s="61" t="str">
        <f>IFERROR(__xludf.DUMMYFUNCTION("INDIRECT(""'收支紀錄'!L""&amp;TO_TEXT(ROW()-$C$72))"),"")</f>
        <v/>
      </c>
      <c r="M866" s="61" t="str">
        <f>IFERROR(__xludf.DUMMYFUNCTION("INDIRECT(""'收支紀錄'!M""&amp;TO_TEXT(ROW()-$C$72))"),"")</f>
        <v/>
      </c>
      <c r="N866" s="61" t="str">
        <f>IFERROR(__xludf.DUMMYFUNCTION("INDIRECT(""'收支紀錄'!N""&amp;TO_TEXT(ROW()-$C$72))"),"")</f>
        <v/>
      </c>
      <c r="O866" s="61" t="str">
        <f>IFERROR(__xludf.DUMMYFUNCTION("INDIRECT(""'收支紀錄'!O""&amp;TO_TEXT(ROW()-$C$72))"),"")</f>
        <v/>
      </c>
      <c r="P866" s="61" t="str">
        <f>IFERROR(__xludf.DUMMYFUNCTION("INDIRECT(""'收支紀錄'!P""&amp;TO_TEXT(ROW()-$C$72))"),"")</f>
        <v/>
      </c>
      <c r="Q866" s="61" t="str">
        <f>IFERROR(__xludf.DUMMYFUNCTION("INDIRECT(""'收支紀錄'!Q""&amp;TO_TEXT(ROW()-$C$72))"),"")</f>
        <v/>
      </c>
      <c r="R866" s="61" t="str">
        <f>IFERROR(__xludf.DUMMYFUNCTION("INDIRECT(""'收支紀錄'!R""&amp;TO_TEXT(ROW()-$C$72))"),"")</f>
        <v/>
      </c>
      <c r="S866" s="61" t="str">
        <f>IFERROR(__xludf.DUMMYFUNCTION("INDIRECT(""'收支紀錄'!S""&amp;TO_TEXT(ROW()-$C$72))"),"")</f>
        <v/>
      </c>
      <c r="T866" s="61" t="str">
        <f>IFERROR(__xludf.DUMMYFUNCTION("INDIRECT(""'收支紀錄'!T""&amp;TO_TEXT(ROW()-$C$72))"),"")</f>
        <v/>
      </c>
      <c r="U866" s="62" t="str">
        <f>IFERROR(__xludf.DUMMYFUNCTION("IF(T866=""是"",TEXTJOIN("""", TRUE, ""$"", TO_TEXT(C866), S866),"""")"),"")</f>
        <v/>
      </c>
    </row>
    <row r="867">
      <c r="A867" s="58">
        <f>IFERROR(__xludf.DUMMYFUNCTION("INDIRECT(""'收支紀錄'!A""&amp;TO_TEXT(ROW()-$C$72))"),45794.351285868055)</f>
        <v>45794.35129</v>
      </c>
      <c r="B867" s="59">
        <f>IFERROR(__xludf.DUMMYFUNCTION("IF(ISBLANK(D867), """", IF(ISDATE(D867), D867, IF(D867=""今天"", A867, IF(D867=""昨天 (-1 day)"", A867-1, IF(D867=""前天 (-2 days)"", A867-2, IF(D867=""明天 (+1 day)"", A867+1, DATE(LEFT(D867,4), MID(D867,5,2), RIGHT(D867,2))))))))"),45792.351285868055)</f>
        <v>45792.35129</v>
      </c>
      <c r="C867" s="60">
        <f>IFERROR(__xludf.DUMMYFUNCTION("INDIRECT(""'收支紀錄'!C""&amp;TO_TEXT(ROW()-$C$72))"),100.0)</f>
        <v>100</v>
      </c>
      <c r="D867" s="63" t="str">
        <f>IFERROR(__xludf.DUMMYFUNCTION("INDIRECT(""'收支紀錄'!D""&amp;TO_TEXT(ROW()-$C$72))"),"前天 (-2 days)")</f>
        <v>前天 (-2 days)</v>
      </c>
      <c r="E867" s="61" t="str">
        <f>IFERROR(__xludf.DUMMYFUNCTION("INDIRECT(""'收支紀錄'!E""&amp;TO_TEXT(ROW()-$C$72))"),"")</f>
        <v/>
      </c>
      <c r="F867" s="61" t="str">
        <f>IFERROR(__xludf.DUMMYFUNCTION("INDIRECT(""'收支紀錄'!F""&amp;TO_TEXT(ROW()-$C$72))"),"")</f>
        <v/>
      </c>
      <c r="G867" s="61" t="str">
        <f>IFERROR(__xludf.DUMMYFUNCTION("INDIRECT(""'收支紀錄'!G""&amp;TO_TEXT(ROW()-$C$72))"),"")</f>
        <v/>
      </c>
      <c r="H867" s="61" t="str">
        <f>IFERROR(__xludf.DUMMYFUNCTION("INDIRECT(""'收支紀錄'!H""&amp;TO_TEXT(ROW()-$C$72))"),"休閒娛樂")</f>
        <v>休閒娛樂</v>
      </c>
      <c r="I867" s="61" t="str">
        <f>IFERROR(__xludf.DUMMYFUNCTION("INDIRECT(""'收支紀錄'!I""&amp;TO_TEXT(ROW()-$C$72))"),"")</f>
        <v/>
      </c>
      <c r="J867" s="61" t="str">
        <f>IFERROR(__xludf.DUMMYFUNCTION("INDIRECT(""'收支紀錄'!J""&amp;TO_TEXT(ROW()-$C$72))"),"")</f>
        <v/>
      </c>
      <c r="K867" s="61" t="str">
        <f>IFERROR(__xludf.DUMMYFUNCTION("INDIRECT(""'收支紀錄'!K""&amp;TO_TEXT(ROW()-$C$72))"),"")</f>
        <v/>
      </c>
      <c r="L867" s="61" t="str">
        <f>IFERROR(__xludf.DUMMYFUNCTION("INDIRECT(""'收支紀錄'!L""&amp;TO_TEXT(ROW()-$C$72))"),"")</f>
        <v/>
      </c>
      <c r="M867" s="61" t="str">
        <f>IFERROR(__xludf.DUMMYFUNCTION("INDIRECT(""'收支紀錄'!M""&amp;TO_TEXT(ROW()-$C$72))"),"運動健身")</f>
        <v>運動健身</v>
      </c>
      <c r="N867" s="61" t="str">
        <f>IFERROR(__xludf.DUMMYFUNCTION("INDIRECT(""'收支紀錄'!N""&amp;TO_TEXT(ROW()-$C$72))"),"")</f>
        <v/>
      </c>
      <c r="O867" s="61" t="str">
        <f>IFERROR(__xludf.DUMMYFUNCTION("INDIRECT(""'收支紀錄'!O""&amp;TO_TEXT(ROW()-$C$72))"),"")</f>
        <v/>
      </c>
      <c r="P867" s="61" t="str">
        <f>IFERROR(__xludf.DUMMYFUNCTION("INDIRECT(""'收支紀錄'!P""&amp;TO_TEXT(ROW()-$C$72))"),"")</f>
        <v/>
      </c>
      <c r="Q867" s="61" t="str">
        <f>IFERROR(__xludf.DUMMYFUNCTION("INDIRECT(""'收支紀錄'!Q""&amp;TO_TEXT(ROW()-$C$72))"),"")</f>
        <v/>
      </c>
      <c r="R867" s="61" t="str">
        <f>IFERROR(__xludf.DUMMYFUNCTION("INDIRECT(""'收支紀錄'!R""&amp;TO_TEXT(ROW()-$C$72))"),"")</f>
        <v/>
      </c>
      <c r="S867" s="61" t="str">
        <f>IFERROR(__xludf.DUMMYFUNCTION("INDIRECT(""'收支紀錄'!S""&amp;TO_TEXT(ROW()-$C$72))"),"")</f>
        <v/>
      </c>
      <c r="T867" s="61" t="str">
        <f>IFERROR(__xludf.DUMMYFUNCTION("INDIRECT(""'收支紀錄'!T""&amp;TO_TEXT(ROW()-$C$72))"),"")</f>
        <v/>
      </c>
      <c r="U867" s="62" t="str">
        <f>IFERROR(__xludf.DUMMYFUNCTION("IF(T867=""是"",TEXTJOIN("""", TRUE, ""$"", TO_TEXT(C867), S867),"""")"),"")</f>
        <v/>
      </c>
    </row>
    <row r="868">
      <c r="A868" s="58">
        <f>IFERROR(__xludf.DUMMYFUNCTION("INDIRECT(""'收支紀錄'!A""&amp;TO_TEXT(ROW()-$C$72))"),45794.35143555555)</f>
        <v>45794.35144</v>
      </c>
      <c r="B868" s="59">
        <f>IFERROR(__xludf.DUMMYFUNCTION("IF(ISBLANK(D868), """", IF(ISDATE(D868), D868, IF(D868=""今天"", A868, IF(D868=""昨天 (-1 day)"", A868-1, IF(D868=""前天 (-2 days)"", A868-2, IF(D868=""明天 (+1 day)"", A868+1, DATE(LEFT(D868,4), MID(D868,5,2), RIGHT(D868,2))))))))"),45793.35143555555)</f>
        <v>45793.35144</v>
      </c>
      <c r="C868" s="60">
        <f>IFERROR(__xludf.DUMMYFUNCTION("INDIRECT(""'收支紀錄'!C""&amp;TO_TEXT(ROW()-$C$72))"),200.0)</f>
        <v>200</v>
      </c>
      <c r="D868" s="63" t="str">
        <f>IFERROR(__xludf.DUMMYFUNCTION("INDIRECT(""'收支紀錄'!D""&amp;TO_TEXT(ROW()-$C$72))"),"昨天 (-1 day)")</f>
        <v>昨天 (-1 day)</v>
      </c>
      <c r="E868" s="61" t="str">
        <f>IFERROR(__xludf.DUMMYFUNCTION("INDIRECT(""'收支紀錄'!E""&amp;TO_TEXT(ROW()-$C$72))"),"")</f>
        <v/>
      </c>
      <c r="F868" s="61" t="str">
        <f>IFERROR(__xludf.DUMMYFUNCTION("INDIRECT(""'收支紀錄'!F""&amp;TO_TEXT(ROW()-$C$72))"),"")</f>
        <v/>
      </c>
      <c r="G868" s="61" t="str">
        <f>IFERROR(__xludf.DUMMYFUNCTION("INDIRECT(""'收支紀錄'!G""&amp;TO_TEXT(ROW()-$C$72))"),"")</f>
        <v/>
      </c>
      <c r="H868" s="61" t="str">
        <f>IFERROR(__xludf.DUMMYFUNCTION("INDIRECT(""'收支紀錄'!H""&amp;TO_TEXT(ROW()-$C$72))"),"休閒娛樂")</f>
        <v>休閒娛樂</v>
      </c>
      <c r="I868" s="61" t="str">
        <f>IFERROR(__xludf.DUMMYFUNCTION("INDIRECT(""'收支紀錄'!I""&amp;TO_TEXT(ROW()-$C$72))"),"")</f>
        <v/>
      </c>
      <c r="J868" s="61" t="str">
        <f>IFERROR(__xludf.DUMMYFUNCTION("INDIRECT(""'收支紀錄'!J""&amp;TO_TEXT(ROW()-$C$72))"),"")</f>
        <v/>
      </c>
      <c r="K868" s="61" t="str">
        <f>IFERROR(__xludf.DUMMYFUNCTION("INDIRECT(""'收支紀錄'!K""&amp;TO_TEXT(ROW()-$C$72))"),"")</f>
        <v/>
      </c>
      <c r="L868" s="61" t="str">
        <f>IFERROR(__xludf.DUMMYFUNCTION("INDIRECT(""'收支紀錄'!L""&amp;TO_TEXT(ROW()-$C$72))"),"")</f>
        <v/>
      </c>
      <c r="M868" s="61" t="str">
        <f>IFERROR(__xludf.DUMMYFUNCTION("INDIRECT(""'收支紀錄'!M""&amp;TO_TEXT(ROW()-$C$72))"),"運動健身")</f>
        <v>運動健身</v>
      </c>
      <c r="N868" s="61" t="str">
        <f>IFERROR(__xludf.DUMMYFUNCTION("INDIRECT(""'收支紀錄'!N""&amp;TO_TEXT(ROW()-$C$72))"),"")</f>
        <v/>
      </c>
      <c r="O868" s="61" t="str">
        <f>IFERROR(__xludf.DUMMYFUNCTION("INDIRECT(""'收支紀錄'!O""&amp;TO_TEXT(ROW()-$C$72))"),"")</f>
        <v/>
      </c>
      <c r="P868" s="61" t="str">
        <f>IFERROR(__xludf.DUMMYFUNCTION("INDIRECT(""'收支紀錄'!P""&amp;TO_TEXT(ROW()-$C$72))"),"")</f>
        <v/>
      </c>
      <c r="Q868" s="61" t="str">
        <f>IFERROR(__xludf.DUMMYFUNCTION("INDIRECT(""'收支紀錄'!Q""&amp;TO_TEXT(ROW()-$C$72))"),"")</f>
        <v/>
      </c>
      <c r="R868" s="61" t="str">
        <f>IFERROR(__xludf.DUMMYFUNCTION("INDIRECT(""'收支紀錄'!R""&amp;TO_TEXT(ROW()-$C$72))"),"")</f>
        <v/>
      </c>
      <c r="S868" s="61" t="str">
        <f>IFERROR(__xludf.DUMMYFUNCTION("INDIRECT(""'收支紀錄'!S""&amp;TO_TEXT(ROW()-$C$72))"),"")</f>
        <v/>
      </c>
      <c r="T868" s="61" t="str">
        <f>IFERROR(__xludf.DUMMYFUNCTION("INDIRECT(""'收支紀錄'!T""&amp;TO_TEXT(ROW()-$C$72))"),"")</f>
        <v/>
      </c>
      <c r="U868" s="62" t="str">
        <f>IFERROR(__xludf.DUMMYFUNCTION("IF(T868=""是"",TEXTJOIN("""", TRUE, ""$"", TO_TEXT(C868), S868),"""")"),"")</f>
        <v/>
      </c>
    </row>
    <row r="869">
      <c r="A869" s="58">
        <f>IFERROR(__xludf.DUMMYFUNCTION("INDIRECT(""'收支紀錄'!A""&amp;TO_TEXT(ROW()-$C$72))"),45794.351626504635)</f>
        <v>45794.35163</v>
      </c>
      <c r="B869" s="59">
        <f>IFERROR(__xludf.DUMMYFUNCTION("IF(ISBLANK(D869), """", IF(ISDATE(D869), D869, IF(D869=""今天"", A869, IF(D869=""昨天 (-1 day)"", A869-1, IF(D869=""前天 (-2 days)"", A869-2, IF(D869=""明天 (+1 day)"", A869+1, DATE(LEFT(D869,4), MID(D869,5,2), RIGHT(D869,2))))))))"),45793.351626504635)</f>
        <v>45793.35163</v>
      </c>
      <c r="C869" s="60">
        <f>IFERROR(__xludf.DUMMYFUNCTION("INDIRECT(""'收支紀錄'!C""&amp;TO_TEXT(ROW()-$C$72))"),699.0)</f>
        <v>699</v>
      </c>
      <c r="D869" s="63" t="str">
        <f>IFERROR(__xludf.DUMMYFUNCTION("INDIRECT(""'收支紀錄'!D""&amp;TO_TEXT(ROW()-$C$72))"),"昨天 (-1 day)")</f>
        <v>昨天 (-1 day)</v>
      </c>
      <c r="E869" s="61" t="str">
        <f>IFERROR(__xludf.DUMMYFUNCTION("INDIRECT(""'收支紀錄'!E""&amp;TO_TEXT(ROW()-$C$72))"),"")</f>
        <v/>
      </c>
      <c r="F869" s="61" t="str">
        <f>IFERROR(__xludf.DUMMYFUNCTION("INDIRECT(""'收支紀錄'!F""&amp;TO_TEXT(ROW()-$C$72))"),"")</f>
        <v/>
      </c>
      <c r="G869" s="61" t="str">
        <f>IFERROR(__xludf.DUMMYFUNCTION("INDIRECT(""'收支紀錄'!G""&amp;TO_TEXT(ROW()-$C$72))"),"")</f>
        <v/>
      </c>
      <c r="H869" s="61" t="str">
        <f>IFERROR(__xludf.DUMMYFUNCTION("INDIRECT(""'收支紀錄'!H""&amp;TO_TEXT(ROW()-$C$72))"),"行車交通")</f>
        <v>行車交通</v>
      </c>
      <c r="I869" s="61" t="str">
        <f>IFERROR(__xludf.DUMMYFUNCTION("INDIRECT(""'收支紀錄'!I""&amp;TO_TEXT(ROW()-$C$72))"),"")</f>
        <v/>
      </c>
      <c r="J869" s="61" t="str">
        <f>IFERROR(__xludf.DUMMYFUNCTION("INDIRECT(""'收支紀錄'!J""&amp;TO_TEXT(ROW()-$C$72))"),"")</f>
        <v/>
      </c>
      <c r="K869" s="61" t="str">
        <f>IFERROR(__xludf.DUMMYFUNCTION("INDIRECT(""'收支紀錄'!K""&amp;TO_TEXT(ROW()-$C$72))"),"")</f>
        <v/>
      </c>
      <c r="L869" s="61" t="str">
        <f>IFERROR(__xludf.DUMMYFUNCTION("INDIRECT(""'收支紀錄'!L""&amp;TO_TEXT(ROW()-$C$72))"),"捷運費")</f>
        <v>捷運費</v>
      </c>
      <c r="M869" s="61" t="str">
        <f>IFERROR(__xludf.DUMMYFUNCTION("INDIRECT(""'收支紀錄'!M""&amp;TO_TEXT(ROW()-$C$72))"),"")</f>
        <v/>
      </c>
      <c r="N869" s="61" t="str">
        <f>IFERROR(__xludf.DUMMYFUNCTION("INDIRECT(""'收支紀錄'!N""&amp;TO_TEXT(ROW()-$C$72))"),"")</f>
        <v/>
      </c>
      <c r="O869" s="61" t="str">
        <f>IFERROR(__xludf.DUMMYFUNCTION("INDIRECT(""'收支紀錄'!O""&amp;TO_TEXT(ROW()-$C$72))"),"")</f>
        <v/>
      </c>
      <c r="P869" s="61" t="str">
        <f>IFERROR(__xludf.DUMMYFUNCTION("INDIRECT(""'收支紀錄'!P""&amp;TO_TEXT(ROW()-$C$72))"),"")</f>
        <v/>
      </c>
      <c r="Q869" s="61" t="str">
        <f>IFERROR(__xludf.DUMMYFUNCTION("INDIRECT(""'收支紀錄'!Q""&amp;TO_TEXT(ROW()-$C$72))"),"")</f>
        <v/>
      </c>
      <c r="R869" s="61" t="str">
        <f>IFERROR(__xludf.DUMMYFUNCTION("INDIRECT(""'收支紀錄'!R""&amp;TO_TEXT(ROW()-$C$72))"),"")</f>
        <v/>
      </c>
      <c r="S869" s="61" t="str">
        <f>IFERROR(__xludf.DUMMYFUNCTION("INDIRECT(""'收支紀錄'!S""&amp;TO_TEXT(ROW()-$C$72))"),"")</f>
        <v/>
      </c>
      <c r="T869" s="61" t="str">
        <f>IFERROR(__xludf.DUMMYFUNCTION("INDIRECT(""'收支紀錄'!T""&amp;TO_TEXT(ROW()-$C$72))"),"")</f>
        <v/>
      </c>
      <c r="U869" s="62" t="str">
        <f>IFERROR(__xludf.DUMMYFUNCTION("IF(T869=""是"",TEXTJOIN("""", TRUE, ""$"", TO_TEXT(C869), S869),"""")"),"")</f>
        <v/>
      </c>
    </row>
    <row r="870">
      <c r="A870" s="58">
        <f>IFERROR(__xludf.DUMMYFUNCTION("INDIRECT(""'收支紀錄'!A""&amp;TO_TEXT(ROW()-$C$72))"),45794.72953862269)</f>
        <v>45794.72954</v>
      </c>
      <c r="B870" s="59">
        <f>IFERROR(__xludf.DUMMYFUNCTION("IF(ISBLANK(D870), """", IF(ISDATE(D870), D870, IF(D870=""今天"", A870, IF(D870=""昨天 (-1 day)"", A870-1, IF(D870=""前天 (-2 days)"", A870-2, IF(D870=""明天 (+1 day)"", A870+1, DATE(LEFT(D870,4), MID(D870,5,2), RIGHT(D870,2))))))))"),45794.72953862269)</f>
        <v>45794.72954</v>
      </c>
      <c r="C870" s="60">
        <f>IFERROR(__xludf.DUMMYFUNCTION("INDIRECT(""'收支紀錄'!C""&amp;TO_TEXT(ROW()-$C$72))"),310.0)</f>
        <v>310</v>
      </c>
      <c r="D870" s="63" t="str">
        <f>IFERROR(__xludf.DUMMYFUNCTION("INDIRECT(""'收支紀錄'!D""&amp;TO_TEXT(ROW()-$C$72))"),"今天")</f>
        <v>今天</v>
      </c>
      <c r="E870" s="61" t="str">
        <f>IFERROR(__xludf.DUMMYFUNCTION("INDIRECT(""'收支紀錄'!E""&amp;TO_TEXT(ROW()-$C$72))"),"")</f>
        <v/>
      </c>
      <c r="F870" s="61" t="str">
        <f>IFERROR(__xludf.DUMMYFUNCTION("INDIRECT(""'收支紀錄'!F""&amp;TO_TEXT(ROW()-$C$72))"),"")</f>
        <v/>
      </c>
      <c r="G870" s="61" t="str">
        <f>IFERROR(__xludf.DUMMYFUNCTION("INDIRECT(""'收支紀錄'!G""&amp;TO_TEXT(ROW()-$C$72))"),"")</f>
        <v/>
      </c>
      <c r="H870" s="61" t="str">
        <f>IFERROR(__xludf.DUMMYFUNCTION("INDIRECT(""'收支紀錄'!H""&amp;TO_TEXT(ROW()-$C$72))"),"食品酒水")</f>
        <v>食品酒水</v>
      </c>
      <c r="I870" s="61" t="str">
        <f>IFERROR(__xludf.DUMMYFUNCTION("INDIRECT(""'收支紀錄'!I""&amp;TO_TEXT(ROW()-$C$72))"),"午餐")</f>
        <v>午餐</v>
      </c>
      <c r="J870" s="61" t="str">
        <f>IFERROR(__xludf.DUMMYFUNCTION("INDIRECT(""'收支紀錄'!J""&amp;TO_TEXT(ROW()-$C$72))"),"")</f>
        <v/>
      </c>
      <c r="K870" s="61" t="str">
        <f>IFERROR(__xludf.DUMMYFUNCTION("INDIRECT(""'收支紀錄'!K""&amp;TO_TEXT(ROW()-$C$72))"),"")</f>
        <v/>
      </c>
      <c r="L870" s="61" t="str">
        <f>IFERROR(__xludf.DUMMYFUNCTION("INDIRECT(""'收支紀錄'!L""&amp;TO_TEXT(ROW()-$C$72))"),"")</f>
        <v/>
      </c>
      <c r="M870" s="61" t="str">
        <f>IFERROR(__xludf.DUMMYFUNCTION("INDIRECT(""'收支紀錄'!M""&amp;TO_TEXT(ROW()-$C$72))"),"")</f>
        <v/>
      </c>
      <c r="N870" s="61" t="str">
        <f>IFERROR(__xludf.DUMMYFUNCTION("INDIRECT(""'收支紀錄'!N""&amp;TO_TEXT(ROW()-$C$72))"),"")</f>
        <v/>
      </c>
      <c r="O870" s="61" t="str">
        <f>IFERROR(__xludf.DUMMYFUNCTION("INDIRECT(""'收支紀錄'!O""&amp;TO_TEXT(ROW()-$C$72))"),"")</f>
        <v/>
      </c>
      <c r="P870" s="61" t="str">
        <f>IFERROR(__xludf.DUMMYFUNCTION("INDIRECT(""'收支紀錄'!P""&amp;TO_TEXT(ROW()-$C$72))"),"")</f>
        <v/>
      </c>
      <c r="Q870" s="61" t="str">
        <f>IFERROR(__xludf.DUMMYFUNCTION("INDIRECT(""'收支紀錄'!Q""&amp;TO_TEXT(ROW()-$C$72))"),"")</f>
        <v/>
      </c>
      <c r="R870" s="61" t="str">
        <f>IFERROR(__xludf.DUMMYFUNCTION("INDIRECT(""'收支紀錄'!R""&amp;TO_TEXT(ROW()-$C$72))"),"")</f>
        <v/>
      </c>
      <c r="S870" s="61" t="str">
        <f>IFERROR(__xludf.DUMMYFUNCTION("INDIRECT(""'收支紀錄'!S""&amp;TO_TEXT(ROW()-$C$72))"),"")</f>
        <v/>
      </c>
      <c r="T870" s="61" t="str">
        <f>IFERROR(__xludf.DUMMYFUNCTION("INDIRECT(""'收支紀錄'!T""&amp;TO_TEXT(ROW()-$C$72))"),"")</f>
        <v/>
      </c>
      <c r="U870" s="62" t="str">
        <f>IFERROR(__xludf.DUMMYFUNCTION("IF(T870=""是"",TEXTJOIN("""", TRUE, ""$"", TO_TEXT(C870), S870),"""")"),"")</f>
        <v/>
      </c>
    </row>
    <row r="871">
      <c r="A871" s="58">
        <f>IFERROR(__xludf.DUMMYFUNCTION("INDIRECT(""'收支紀錄'!A""&amp;TO_TEXT(ROW()-$C$72))"),45794.72970715278)</f>
        <v>45794.72971</v>
      </c>
      <c r="B871" s="59">
        <f>IFERROR(__xludf.DUMMYFUNCTION("IF(ISBLANK(D871), """", IF(ISDATE(D871), D871, IF(D871=""今天"", A871, IF(D871=""昨天 (-1 day)"", A871-1, IF(D871=""前天 (-2 days)"", A871-2, IF(D871=""明天 (+1 day)"", A871+1, DATE(LEFT(D871,4), MID(D871,5,2), RIGHT(D871,2))))))))"),45794.72970715278)</f>
        <v>45794.72971</v>
      </c>
      <c r="C871" s="60">
        <f>IFERROR(__xludf.DUMMYFUNCTION("INDIRECT(""'收支紀錄'!C""&amp;TO_TEXT(ROW()-$C$72))"),2656.0)</f>
        <v>2656</v>
      </c>
      <c r="D871" s="63" t="str">
        <f>IFERROR(__xludf.DUMMYFUNCTION("INDIRECT(""'收支紀錄'!D""&amp;TO_TEXT(ROW()-$C$72))"),"今天")</f>
        <v>今天</v>
      </c>
      <c r="E871" s="61" t="str">
        <f>IFERROR(__xludf.DUMMYFUNCTION("INDIRECT(""'收支紀錄'!E""&amp;TO_TEXT(ROW()-$C$72))"),"")</f>
        <v/>
      </c>
      <c r="F871" s="61" t="str">
        <f>IFERROR(__xludf.DUMMYFUNCTION("INDIRECT(""'收支紀錄'!F""&amp;TO_TEXT(ROW()-$C$72))"),"")</f>
        <v/>
      </c>
      <c r="G871" s="61" t="str">
        <f>IFERROR(__xludf.DUMMYFUNCTION("INDIRECT(""'收支紀錄'!G""&amp;TO_TEXT(ROW()-$C$72))"),"")</f>
        <v/>
      </c>
      <c r="H871" s="61" t="str">
        <f>IFERROR(__xludf.DUMMYFUNCTION("INDIRECT(""'收支紀錄'!H""&amp;TO_TEXT(ROW()-$C$72))"),"食品酒水")</f>
        <v>食品酒水</v>
      </c>
      <c r="I871" s="61" t="str">
        <f>IFERROR(__xludf.DUMMYFUNCTION("INDIRECT(""'收支紀錄'!I""&amp;TO_TEXT(ROW()-$C$72))"),"食材")</f>
        <v>食材</v>
      </c>
      <c r="J871" s="61" t="str">
        <f>IFERROR(__xludf.DUMMYFUNCTION("INDIRECT(""'收支紀錄'!J""&amp;TO_TEXT(ROW()-$C$72))"),"")</f>
        <v/>
      </c>
      <c r="K871" s="61" t="str">
        <f>IFERROR(__xludf.DUMMYFUNCTION("INDIRECT(""'收支紀錄'!K""&amp;TO_TEXT(ROW()-$C$72))"),"")</f>
        <v/>
      </c>
      <c r="L871" s="61" t="str">
        <f>IFERROR(__xludf.DUMMYFUNCTION("INDIRECT(""'收支紀錄'!L""&amp;TO_TEXT(ROW()-$C$72))"),"")</f>
        <v/>
      </c>
      <c r="M871" s="61" t="str">
        <f>IFERROR(__xludf.DUMMYFUNCTION("INDIRECT(""'收支紀錄'!M""&amp;TO_TEXT(ROW()-$C$72))"),"")</f>
        <v/>
      </c>
      <c r="N871" s="61" t="str">
        <f>IFERROR(__xludf.DUMMYFUNCTION("INDIRECT(""'收支紀錄'!N""&amp;TO_TEXT(ROW()-$C$72))"),"")</f>
        <v/>
      </c>
      <c r="O871" s="61" t="str">
        <f>IFERROR(__xludf.DUMMYFUNCTION("INDIRECT(""'收支紀錄'!O""&amp;TO_TEXT(ROW()-$C$72))"),"")</f>
        <v/>
      </c>
      <c r="P871" s="61" t="str">
        <f>IFERROR(__xludf.DUMMYFUNCTION("INDIRECT(""'收支紀錄'!P""&amp;TO_TEXT(ROW()-$C$72))"),"")</f>
        <v/>
      </c>
      <c r="Q871" s="61" t="str">
        <f>IFERROR(__xludf.DUMMYFUNCTION("INDIRECT(""'收支紀錄'!Q""&amp;TO_TEXT(ROW()-$C$72))"),"")</f>
        <v/>
      </c>
      <c r="R871" s="61" t="str">
        <f>IFERROR(__xludf.DUMMYFUNCTION("INDIRECT(""'收支紀錄'!R""&amp;TO_TEXT(ROW()-$C$72))"),"")</f>
        <v/>
      </c>
      <c r="S871" s="61" t="str">
        <f>IFERROR(__xludf.DUMMYFUNCTION("INDIRECT(""'收支紀錄'!S""&amp;TO_TEXT(ROW()-$C$72))"),"")</f>
        <v/>
      </c>
      <c r="T871" s="61" t="str">
        <f>IFERROR(__xludf.DUMMYFUNCTION("INDIRECT(""'收支紀錄'!T""&amp;TO_TEXT(ROW()-$C$72))"),"")</f>
        <v/>
      </c>
      <c r="U871" s="62" t="str">
        <f>IFERROR(__xludf.DUMMYFUNCTION("IF(T871=""是"",TEXTJOIN("""", TRUE, ""$"", TO_TEXT(C871), S871),"""")"),"")</f>
        <v/>
      </c>
    </row>
    <row r="872">
      <c r="A872" s="58">
        <f>IFERROR(__xludf.DUMMYFUNCTION("INDIRECT(""'收支紀錄'!A""&amp;TO_TEXT(ROW()-$C$72))"),45794.72984697917)</f>
        <v>45794.72985</v>
      </c>
      <c r="B872" s="59">
        <f>IFERROR(__xludf.DUMMYFUNCTION("IF(ISBLANK(D872), """", IF(ISDATE(D872), D872, IF(D872=""今天"", A872, IF(D872=""昨天 (-1 day)"", A872-1, IF(D872=""前天 (-2 days)"", A872-2, IF(D872=""明天 (+1 day)"", A872+1, DATE(LEFT(D872,4), MID(D872,5,2), RIGHT(D872,2))))))))"),45794.72984697917)</f>
        <v>45794.72985</v>
      </c>
      <c r="C872" s="60">
        <f>IFERROR(__xludf.DUMMYFUNCTION("INDIRECT(""'收支紀錄'!C""&amp;TO_TEXT(ROW()-$C$72))"),30.0)</f>
        <v>30</v>
      </c>
      <c r="D872" s="63" t="str">
        <f>IFERROR(__xludf.DUMMYFUNCTION("INDIRECT(""'收支紀錄'!D""&amp;TO_TEXT(ROW()-$C$72))"),"今天")</f>
        <v>今天</v>
      </c>
      <c r="E872" s="61" t="str">
        <f>IFERROR(__xludf.DUMMYFUNCTION("INDIRECT(""'收支紀錄'!E""&amp;TO_TEXT(ROW()-$C$72))"),"")</f>
        <v/>
      </c>
      <c r="F872" s="61" t="str">
        <f>IFERROR(__xludf.DUMMYFUNCTION("INDIRECT(""'收支紀錄'!F""&amp;TO_TEXT(ROW()-$C$72))"),"")</f>
        <v/>
      </c>
      <c r="G872" s="61" t="str">
        <f>IFERROR(__xludf.DUMMYFUNCTION("INDIRECT(""'收支紀錄'!G""&amp;TO_TEXT(ROW()-$C$72))"),"")</f>
        <v/>
      </c>
      <c r="H872" s="61" t="str">
        <f>IFERROR(__xludf.DUMMYFUNCTION("INDIRECT(""'收支紀錄'!H""&amp;TO_TEXT(ROW()-$C$72))"),"行車交通")</f>
        <v>行車交通</v>
      </c>
      <c r="I872" s="61" t="str">
        <f>IFERROR(__xludf.DUMMYFUNCTION("INDIRECT(""'收支紀錄'!I""&amp;TO_TEXT(ROW()-$C$72))"),"")</f>
        <v/>
      </c>
      <c r="J872" s="61" t="str">
        <f>IFERROR(__xludf.DUMMYFUNCTION("INDIRECT(""'收支紀錄'!J""&amp;TO_TEXT(ROW()-$C$72))"),"")</f>
        <v/>
      </c>
      <c r="K872" s="61" t="str">
        <f>IFERROR(__xludf.DUMMYFUNCTION("INDIRECT(""'收支紀錄'!K""&amp;TO_TEXT(ROW()-$C$72))"),"")</f>
        <v/>
      </c>
      <c r="L872" s="61" t="str">
        <f>IFERROR(__xludf.DUMMYFUNCTION("INDIRECT(""'收支紀錄'!L""&amp;TO_TEXT(ROW()-$C$72))"),"停車")</f>
        <v>停車</v>
      </c>
      <c r="M872" s="61" t="str">
        <f>IFERROR(__xludf.DUMMYFUNCTION("INDIRECT(""'收支紀錄'!M""&amp;TO_TEXT(ROW()-$C$72))"),"")</f>
        <v/>
      </c>
      <c r="N872" s="61" t="str">
        <f>IFERROR(__xludf.DUMMYFUNCTION("INDIRECT(""'收支紀錄'!N""&amp;TO_TEXT(ROW()-$C$72))"),"")</f>
        <v/>
      </c>
      <c r="O872" s="61" t="str">
        <f>IFERROR(__xludf.DUMMYFUNCTION("INDIRECT(""'收支紀錄'!O""&amp;TO_TEXT(ROW()-$C$72))"),"")</f>
        <v/>
      </c>
      <c r="P872" s="61" t="str">
        <f>IFERROR(__xludf.DUMMYFUNCTION("INDIRECT(""'收支紀錄'!P""&amp;TO_TEXT(ROW()-$C$72))"),"")</f>
        <v/>
      </c>
      <c r="Q872" s="61" t="str">
        <f>IFERROR(__xludf.DUMMYFUNCTION("INDIRECT(""'收支紀錄'!Q""&amp;TO_TEXT(ROW()-$C$72))"),"")</f>
        <v/>
      </c>
      <c r="R872" s="61" t="str">
        <f>IFERROR(__xludf.DUMMYFUNCTION("INDIRECT(""'收支紀錄'!R""&amp;TO_TEXT(ROW()-$C$72))"),"")</f>
        <v/>
      </c>
      <c r="S872" s="61" t="str">
        <f>IFERROR(__xludf.DUMMYFUNCTION("INDIRECT(""'收支紀錄'!S""&amp;TO_TEXT(ROW()-$C$72))"),"")</f>
        <v/>
      </c>
      <c r="T872" s="61" t="str">
        <f>IFERROR(__xludf.DUMMYFUNCTION("INDIRECT(""'收支紀錄'!T""&amp;TO_TEXT(ROW()-$C$72))"),"")</f>
        <v/>
      </c>
      <c r="U872" s="62" t="str">
        <f>IFERROR(__xludf.DUMMYFUNCTION("IF(T872=""是"",TEXTJOIN("""", TRUE, ""$"", TO_TEXT(C872), S872),"""")"),"")</f>
        <v/>
      </c>
    </row>
    <row r="873">
      <c r="A873" s="58">
        <f>IFERROR(__xludf.DUMMYFUNCTION("INDIRECT(""'收支紀錄'!A""&amp;TO_TEXT(ROW()-$C$72))"),45794.965175324076)</f>
        <v>45794.96518</v>
      </c>
      <c r="B873" s="59">
        <f>IFERROR(__xludf.DUMMYFUNCTION("IF(ISBLANK(D873), """", IF(ISDATE(D873), D873, IF(D873=""今天"", A873, IF(D873=""昨天 (-1 day)"", A873-1, IF(D873=""前天 (-2 days)"", A873-2, IF(D873=""明天 (+1 day)"", A873+1, DATE(LEFT(D873,4), MID(D873,5,2), RIGHT(D873,2))))))))"),45794.965175324076)</f>
        <v>45794.96518</v>
      </c>
      <c r="C873" s="60">
        <f>IFERROR(__xludf.DUMMYFUNCTION("INDIRECT(""'收支紀錄'!C""&amp;TO_TEXT(ROW()-$C$72))"),919.0)</f>
        <v>919</v>
      </c>
      <c r="D873" s="63" t="str">
        <f>IFERROR(__xludf.DUMMYFUNCTION("INDIRECT(""'收支紀錄'!D""&amp;TO_TEXT(ROW()-$C$72))"),"今天")</f>
        <v>今天</v>
      </c>
      <c r="E873" s="61" t="str">
        <f>IFERROR(__xludf.DUMMYFUNCTION("INDIRECT(""'收支紀錄'!E""&amp;TO_TEXT(ROW()-$C$72))"),"")</f>
        <v/>
      </c>
      <c r="F873" s="61" t="str">
        <f>IFERROR(__xludf.DUMMYFUNCTION("INDIRECT(""'收支紀錄'!F""&amp;TO_TEXT(ROW()-$C$72))"),"")</f>
        <v/>
      </c>
      <c r="G873" s="61" t="str">
        <f>IFERROR(__xludf.DUMMYFUNCTION("INDIRECT(""'收支紀錄'!G""&amp;TO_TEXT(ROW()-$C$72))"),"")</f>
        <v/>
      </c>
      <c r="H873" s="61" t="str">
        <f>IFERROR(__xludf.DUMMYFUNCTION("INDIRECT(""'收支紀錄'!H""&amp;TO_TEXT(ROW()-$C$72))"),"食品酒水")</f>
        <v>食品酒水</v>
      </c>
      <c r="I873" s="61" t="str">
        <f>IFERROR(__xludf.DUMMYFUNCTION("INDIRECT(""'收支紀錄'!I""&amp;TO_TEXT(ROW()-$C$72))"),"食材")</f>
        <v>食材</v>
      </c>
      <c r="J873" s="61" t="str">
        <f>IFERROR(__xludf.DUMMYFUNCTION("INDIRECT(""'收支紀錄'!J""&amp;TO_TEXT(ROW()-$C$72))"),"")</f>
        <v/>
      </c>
      <c r="K873" s="61" t="str">
        <f>IFERROR(__xludf.DUMMYFUNCTION("INDIRECT(""'收支紀錄'!K""&amp;TO_TEXT(ROW()-$C$72))"),"")</f>
        <v/>
      </c>
      <c r="L873" s="61" t="str">
        <f>IFERROR(__xludf.DUMMYFUNCTION("INDIRECT(""'收支紀錄'!L""&amp;TO_TEXT(ROW()-$C$72))"),"")</f>
        <v/>
      </c>
      <c r="M873" s="61" t="str">
        <f>IFERROR(__xludf.DUMMYFUNCTION("INDIRECT(""'收支紀錄'!M""&amp;TO_TEXT(ROW()-$C$72))"),"")</f>
        <v/>
      </c>
      <c r="N873" s="61" t="str">
        <f>IFERROR(__xludf.DUMMYFUNCTION("INDIRECT(""'收支紀錄'!N""&amp;TO_TEXT(ROW()-$C$72))"),"")</f>
        <v/>
      </c>
      <c r="O873" s="61" t="str">
        <f>IFERROR(__xludf.DUMMYFUNCTION("INDIRECT(""'收支紀錄'!O""&amp;TO_TEXT(ROW()-$C$72))"),"")</f>
        <v/>
      </c>
      <c r="P873" s="61" t="str">
        <f>IFERROR(__xludf.DUMMYFUNCTION("INDIRECT(""'收支紀錄'!P""&amp;TO_TEXT(ROW()-$C$72))"),"")</f>
        <v/>
      </c>
      <c r="Q873" s="61" t="str">
        <f>IFERROR(__xludf.DUMMYFUNCTION("INDIRECT(""'收支紀錄'!Q""&amp;TO_TEXT(ROW()-$C$72))"),"")</f>
        <v/>
      </c>
      <c r="R873" s="61" t="str">
        <f>IFERROR(__xludf.DUMMYFUNCTION("INDIRECT(""'收支紀錄'!R""&amp;TO_TEXT(ROW()-$C$72))"),"")</f>
        <v/>
      </c>
      <c r="S873" s="61" t="str">
        <f>IFERROR(__xludf.DUMMYFUNCTION("INDIRECT(""'收支紀錄'!S""&amp;TO_TEXT(ROW()-$C$72))"),"Coupang")</f>
        <v>Coupang</v>
      </c>
      <c r="T873" s="61" t="str">
        <f>IFERROR(__xludf.DUMMYFUNCTION("INDIRECT(""'收支紀錄'!T""&amp;TO_TEXT(ROW()-$C$72))"),"否")</f>
        <v>否</v>
      </c>
      <c r="U873" s="62" t="str">
        <f>IFERROR(__xludf.DUMMYFUNCTION("IF(T873=""是"",TEXTJOIN("""", TRUE, ""$"", TO_TEXT(C873), S873),"""")"),"")</f>
        <v/>
      </c>
    </row>
    <row r="874">
      <c r="A874" s="58">
        <f>IFERROR(__xludf.DUMMYFUNCTION("INDIRECT(""'收支紀錄'!A""&amp;TO_TEXT(ROW()-$C$72))"),45795.55911787037)</f>
        <v>45795.55912</v>
      </c>
      <c r="B874" s="59">
        <f>IFERROR(__xludf.DUMMYFUNCTION("IF(ISBLANK(D874), """", IF(ISDATE(D874), D874, IF(D874=""今天"", A874, IF(D874=""昨天 (-1 day)"", A874-1, IF(D874=""前天 (-2 days)"", A874-2, IF(D874=""明天 (+1 day)"", A874+1, DATE(LEFT(D874,4), MID(D874,5,2), RIGHT(D874,2))))))))"),45795.55911787037)</f>
        <v>45795.55912</v>
      </c>
      <c r="C874" s="60">
        <f>IFERROR(__xludf.DUMMYFUNCTION("INDIRECT(""'收支紀錄'!C""&amp;TO_TEXT(ROW()-$C$72))"),50.0)</f>
        <v>50</v>
      </c>
      <c r="D874" s="63" t="str">
        <f>IFERROR(__xludf.DUMMYFUNCTION("INDIRECT(""'收支紀錄'!D""&amp;TO_TEXT(ROW()-$C$72))"),"今天")</f>
        <v>今天</v>
      </c>
      <c r="E874" s="61" t="str">
        <f>IFERROR(__xludf.DUMMYFUNCTION("INDIRECT(""'收支紀錄'!E""&amp;TO_TEXT(ROW()-$C$72))"),"")</f>
        <v/>
      </c>
      <c r="F874" s="61" t="str">
        <f>IFERROR(__xludf.DUMMYFUNCTION("INDIRECT(""'收支紀錄'!F""&amp;TO_TEXT(ROW()-$C$72))"),"")</f>
        <v/>
      </c>
      <c r="G874" s="61" t="str">
        <f>IFERROR(__xludf.DUMMYFUNCTION("INDIRECT(""'收支紀錄'!G""&amp;TO_TEXT(ROW()-$C$72))"),"")</f>
        <v/>
      </c>
      <c r="H874" s="61" t="str">
        <f>IFERROR(__xludf.DUMMYFUNCTION("INDIRECT(""'收支紀錄'!H""&amp;TO_TEXT(ROW()-$C$72))"),"食品酒水")</f>
        <v>食品酒水</v>
      </c>
      <c r="I874" s="61" t="str">
        <f>IFERROR(__xludf.DUMMYFUNCTION("INDIRECT(""'收支紀錄'!I""&amp;TO_TEXT(ROW()-$C$72))"),"食材")</f>
        <v>食材</v>
      </c>
      <c r="J874" s="61" t="str">
        <f>IFERROR(__xludf.DUMMYFUNCTION("INDIRECT(""'收支紀錄'!J""&amp;TO_TEXT(ROW()-$C$72))"),"")</f>
        <v/>
      </c>
      <c r="K874" s="61" t="str">
        <f>IFERROR(__xludf.DUMMYFUNCTION("INDIRECT(""'收支紀錄'!K""&amp;TO_TEXT(ROW()-$C$72))"),"")</f>
        <v/>
      </c>
      <c r="L874" s="61" t="str">
        <f>IFERROR(__xludf.DUMMYFUNCTION("INDIRECT(""'收支紀錄'!L""&amp;TO_TEXT(ROW()-$C$72))"),"")</f>
        <v/>
      </c>
      <c r="M874" s="61" t="str">
        <f>IFERROR(__xludf.DUMMYFUNCTION("INDIRECT(""'收支紀錄'!M""&amp;TO_TEXT(ROW()-$C$72))"),"")</f>
        <v/>
      </c>
      <c r="N874" s="61" t="str">
        <f>IFERROR(__xludf.DUMMYFUNCTION("INDIRECT(""'收支紀錄'!N""&amp;TO_TEXT(ROW()-$C$72))"),"")</f>
        <v/>
      </c>
      <c r="O874" s="61" t="str">
        <f>IFERROR(__xludf.DUMMYFUNCTION("INDIRECT(""'收支紀錄'!O""&amp;TO_TEXT(ROW()-$C$72))"),"")</f>
        <v/>
      </c>
      <c r="P874" s="61" t="str">
        <f>IFERROR(__xludf.DUMMYFUNCTION("INDIRECT(""'收支紀錄'!P""&amp;TO_TEXT(ROW()-$C$72))"),"")</f>
        <v/>
      </c>
      <c r="Q874" s="61" t="str">
        <f>IFERROR(__xludf.DUMMYFUNCTION("INDIRECT(""'收支紀錄'!Q""&amp;TO_TEXT(ROW()-$C$72))"),"")</f>
        <v/>
      </c>
      <c r="R874" s="61" t="str">
        <f>IFERROR(__xludf.DUMMYFUNCTION("INDIRECT(""'收支紀錄'!R""&amp;TO_TEXT(ROW()-$C$72))"),"")</f>
        <v/>
      </c>
      <c r="S874" s="61" t="str">
        <f>IFERROR(__xludf.DUMMYFUNCTION("INDIRECT(""'收支紀錄'!S""&amp;TO_TEXT(ROW()-$C$72))"),"")</f>
        <v/>
      </c>
      <c r="T874" s="61" t="str">
        <f>IFERROR(__xludf.DUMMYFUNCTION("INDIRECT(""'收支紀錄'!T""&amp;TO_TEXT(ROW()-$C$72))"),"")</f>
        <v/>
      </c>
      <c r="U874" s="62" t="str">
        <f>IFERROR(__xludf.DUMMYFUNCTION("IF(T874=""是"",TEXTJOIN("""", TRUE, ""$"", TO_TEXT(C874), S874),"""")"),"")</f>
        <v/>
      </c>
    </row>
    <row r="875">
      <c r="A875" s="58">
        <f>IFERROR(__xludf.DUMMYFUNCTION("INDIRECT(""'收支紀錄'!A""&amp;TO_TEXT(ROW()-$C$72))"),45795.559319409724)</f>
        <v>45795.55932</v>
      </c>
      <c r="B875" s="59">
        <f>IFERROR(__xludf.DUMMYFUNCTION("IF(ISBLANK(D875), """", IF(ISDATE(D875), D875, IF(D875=""今天"", A875, IF(D875=""昨天 (-1 day)"", A875-1, IF(D875=""前天 (-2 days)"", A875-2, IF(D875=""明天 (+1 day)"", A875+1, DATE(LEFT(D875,4), MID(D875,5,2), RIGHT(D875,2))))))))"),45795.559319409724)</f>
        <v>45795.55932</v>
      </c>
      <c r="C875" s="60">
        <f>IFERROR(__xludf.DUMMYFUNCTION("INDIRECT(""'收支紀錄'!C""&amp;TO_TEXT(ROW()-$C$72))"),1500.0)</f>
        <v>1500</v>
      </c>
      <c r="D875" s="63" t="str">
        <f>IFERROR(__xludf.DUMMYFUNCTION("INDIRECT(""'收支紀錄'!D""&amp;TO_TEXT(ROW()-$C$72))"),"今天")</f>
        <v>今天</v>
      </c>
      <c r="E875" s="61" t="str">
        <f>IFERROR(__xludf.DUMMYFUNCTION("INDIRECT(""'收支紀錄'!E""&amp;TO_TEXT(ROW()-$C$72))"),"")</f>
        <v/>
      </c>
      <c r="F875" s="61" t="str">
        <f>IFERROR(__xludf.DUMMYFUNCTION("INDIRECT(""'收支紀錄'!F""&amp;TO_TEXT(ROW()-$C$72))"),"")</f>
        <v/>
      </c>
      <c r="G875" s="61" t="str">
        <f>IFERROR(__xludf.DUMMYFUNCTION("INDIRECT(""'收支紀錄'!G""&amp;TO_TEXT(ROW()-$C$72))"),"")</f>
        <v/>
      </c>
      <c r="H875" s="61" t="str">
        <f>IFERROR(__xludf.DUMMYFUNCTION("INDIRECT(""'收支紀錄'!H""&amp;TO_TEXT(ROW()-$C$72))"),"食品酒水")</f>
        <v>食品酒水</v>
      </c>
      <c r="I875" s="61" t="str">
        <f>IFERROR(__xludf.DUMMYFUNCTION("INDIRECT(""'收支紀錄'!I""&amp;TO_TEXT(ROW()-$C$72))"),"食材")</f>
        <v>食材</v>
      </c>
      <c r="J875" s="61" t="str">
        <f>IFERROR(__xludf.DUMMYFUNCTION("INDIRECT(""'收支紀錄'!J""&amp;TO_TEXT(ROW()-$C$72))"),"")</f>
        <v/>
      </c>
      <c r="K875" s="61" t="str">
        <f>IFERROR(__xludf.DUMMYFUNCTION("INDIRECT(""'收支紀錄'!K""&amp;TO_TEXT(ROW()-$C$72))"),"")</f>
        <v/>
      </c>
      <c r="L875" s="61" t="str">
        <f>IFERROR(__xludf.DUMMYFUNCTION("INDIRECT(""'收支紀錄'!L""&amp;TO_TEXT(ROW()-$C$72))"),"")</f>
        <v/>
      </c>
      <c r="M875" s="61" t="str">
        <f>IFERROR(__xludf.DUMMYFUNCTION("INDIRECT(""'收支紀錄'!M""&amp;TO_TEXT(ROW()-$C$72))"),"")</f>
        <v/>
      </c>
      <c r="N875" s="61" t="str">
        <f>IFERROR(__xludf.DUMMYFUNCTION("INDIRECT(""'收支紀錄'!N""&amp;TO_TEXT(ROW()-$C$72))"),"")</f>
        <v/>
      </c>
      <c r="O875" s="61" t="str">
        <f>IFERROR(__xludf.DUMMYFUNCTION("INDIRECT(""'收支紀錄'!O""&amp;TO_TEXT(ROW()-$C$72))"),"")</f>
        <v/>
      </c>
      <c r="P875" s="61" t="str">
        <f>IFERROR(__xludf.DUMMYFUNCTION("INDIRECT(""'收支紀錄'!P""&amp;TO_TEXT(ROW()-$C$72))"),"")</f>
        <v/>
      </c>
      <c r="Q875" s="61" t="str">
        <f>IFERROR(__xludf.DUMMYFUNCTION("INDIRECT(""'收支紀錄'!Q""&amp;TO_TEXT(ROW()-$C$72))"),"")</f>
        <v/>
      </c>
      <c r="R875" s="61" t="str">
        <f>IFERROR(__xludf.DUMMYFUNCTION("INDIRECT(""'收支紀錄'!R""&amp;TO_TEXT(ROW()-$C$72))"),"")</f>
        <v/>
      </c>
      <c r="S875" s="61" t="str">
        <f>IFERROR(__xludf.DUMMYFUNCTION("INDIRECT(""'收支紀錄'!S""&amp;TO_TEXT(ROW()-$C$72))"),"蜂蜜$1800g(賴爺爺蜜蜂小森林）")</f>
        <v>蜂蜜$1800g(賴爺爺蜜蜂小森林）</v>
      </c>
      <c r="T875" s="61" t="str">
        <f>IFERROR(__xludf.DUMMYFUNCTION("INDIRECT(""'收支紀錄'!T""&amp;TO_TEXT(ROW()-$C$72))"),"")</f>
        <v/>
      </c>
      <c r="U875" s="62" t="str">
        <f>IFERROR(__xludf.DUMMYFUNCTION("IF(T875=""是"",TEXTJOIN("""", TRUE, ""$"", TO_TEXT(C875), S875),"""")"),"")</f>
        <v/>
      </c>
    </row>
    <row r="876">
      <c r="A876" s="58">
        <f>IFERROR(__xludf.DUMMYFUNCTION("INDIRECT(""'收支紀錄'!A""&amp;TO_TEXT(ROW()-$C$72))"),45795.57943817129)</f>
        <v>45795.57944</v>
      </c>
      <c r="B876" s="59">
        <f>IFERROR(__xludf.DUMMYFUNCTION("IF(ISBLANK(D876), """", IF(ISDATE(D876), D876, IF(D876=""今天"", A876, IF(D876=""昨天 (-1 day)"", A876-1, IF(D876=""前天 (-2 days)"", A876-2, IF(D876=""明天 (+1 day)"", A876+1, DATE(LEFT(D876,4), MID(D876,5,2), RIGHT(D876,2))))))))"),45795.57943817129)</f>
        <v>45795.57944</v>
      </c>
      <c r="C876" s="60">
        <f>IFERROR(__xludf.DUMMYFUNCTION("INDIRECT(""'收支紀錄'!C""&amp;TO_TEXT(ROW()-$C$72))"),490.0)</f>
        <v>490</v>
      </c>
      <c r="D876" s="63" t="str">
        <f>IFERROR(__xludf.DUMMYFUNCTION("INDIRECT(""'收支紀錄'!D""&amp;TO_TEXT(ROW()-$C$72))"),"今天")</f>
        <v>今天</v>
      </c>
      <c r="E876" s="61" t="str">
        <f>IFERROR(__xludf.DUMMYFUNCTION("INDIRECT(""'收支紀錄'!E""&amp;TO_TEXT(ROW()-$C$72))"),"")</f>
        <v/>
      </c>
      <c r="F876" s="61" t="str">
        <f>IFERROR(__xludf.DUMMYFUNCTION("INDIRECT(""'收支紀錄'!F""&amp;TO_TEXT(ROW()-$C$72))"),"")</f>
        <v/>
      </c>
      <c r="G876" s="61" t="str">
        <f>IFERROR(__xludf.DUMMYFUNCTION("INDIRECT(""'收支紀錄'!G""&amp;TO_TEXT(ROW()-$C$72))"),"")</f>
        <v/>
      </c>
      <c r="H876" s="61" t="str">
        <f>IFERROR(__xludf.DUMMYFUNCTION("INDIRECT(""'收支紀錄'!H""&amp;TO_TEXT(ROW()-$C$72))"),"食品酒水")</f>
        <v>食品酒水</v>
      </c>
      <c r="I876" s="61" t="str">
        <f>IFERROR(__xludf.DUMMYFUNCTION("INDIRECT(""'收支紀錄'!I""&amp;TO_TEXT(ROW()-$C$72))"),"午餐")</f>
        <v>午餐</v>
      </c>
      <c r="J876" s="61" t="str">
        <f>IFERROR(__xludf.DUMMYFUNCTION("INDIRECT(""'收支紀錄'!J""&amp;TO_TEXT(ROW()-$C$72))"),"")</f>
        <v/>
      </c>
      <c r="K876" s="61" t="str">
        <f>IFERROR(__xludf.DUMMYFUNCTION("INDIRECT(""'收支紀錄'!K""&amp;TO_TEXT(ROW()-$C$72))"),"")</f>
        <v/>
      </c>
      <c r="L876" s="61" t="str">
        <f>IFERROR(__xludf.DUMMYFUNCTION("INDIRECT(""'收支紀錄'!L""&amp;TO_TEXT(ROW()-$C$72))"),"")</f>
        <v/>
      </c>
      <c r="M876" s="61" t="str">
        <f>IFERROR(__xludf.DUMMYFUNCTION("INDIRECT(""'收支紀錄'!M""&amp;TO_TEXT(ROW()-$C$72))"),"")</f>
        <v/>
      </c>
      <c r="N876" s="61" t="str">
        <f>IFERROR(__xludf.DUMMYFUNCTION("INDIRECT(""'收支紀錄'!N""&amp;TO_TEXT(ROW()-$C$72))"),"")</f>
        <v/>
      </c>
      <c r="O876" s="61" t="str">
        <f>IFERROR(__xludf.DUMMYFUNCTION("INDIRECT(""'收支紀錄'!O""&amp;TO_TEXT(ROW()-$C$72))"),"")</f>
        <v/>
      </c>
      <c r="P876" s="61" t="str">
        <f>IFERROR(__xludf.DUMMYFUNCTION("INDIRECT(""'收支紀錄'!P""&amp;TO_TEXT(ROW()-$C$72))"),"")</f>
        <v/>
      </c>
      <c r="Q876" s="61" t="str">
        <f>IFERROR(__xludf.DUMMYFUNCTION("INDIRECT(""'收支紀錄'!Q""&amp;TO_TEXT(ROW()-$C$72))"),"")</f>
        <v/>
      </c>
      <c r="R876" s="61" t="str">
        <f>IFERROR(__xludf.DUMMYFUNCTION("INDIRECT(""'收支紀錄'!R""&amp;TO_TEXT(ROW()-$C$72))"),"")</f>
        <v/>
      </c>
      <c r="S876" s="61" t="str">
        <f>IFERROR(__xludf.DUMMYFUNCTION("INDIRECT(""'收支紀錄'!S""&amp;TO_TEXT(ROW()-$C$72))"),"")</f>
        <v/>
      </c>
      <c r="T876" s="61" t="str">
        <f>IFERROR(__xludf.DUMMYFUNCTION("INDIRECT(""'收支紀錄'!T""&amp;TO_TEXT(ROW()-$C$72))"),"")</f>
        <v/>
      </c>
      <c r="U876" s="62" t="str">
        <f>IFERROR(__xludf.DUMMYFUNCTION("IF(T876=""是"",TEXTJOIN("""", TRUE, ""$"", TO_TEXT(C876), S876),"""")"),"")</f>
        <v/>
      </c>
    </row>
    <row r="877">
      <c r="A877" s="58">
        <f>IFERROR(__xludf.DUMMYFUNCTION("INDIRECT(""'收支紀錄'!A""&amp;TO_TEXT(ROW()-$C$72))"),45795.90270673611)</f>
        <v>45795.90271</v>
      </c>
      <c r="B877" s="59">
        <f>IFERROR(__xludf.DUMMYFUNCTION("IF(ISBLANK(D877), """", IF(ISDATE(D877), D877, IF(D877=""今天"", A877, IF(D877=""昨天 (-1 day)"", A877-1, IF(D877=""前天 (-2 days)"", A877-2, IF(D877=""明天 (+1 day)"", A877+1, DATE(LEFT(D877,4), MID(D877,5,2), RIGHT(D877,2))))))))"),45795.90270673611)</f>
        <v>45795.90271</v>
      </c>
      <c r="C877" s="60">
        <f>IFERROR(__xludf.DUMMYFUNCTION("INDIRECT(""'收支紀錄'!C""&amp;TO_TEXT(ROW()-$C$72))"),722.0)</f>
        <v>722</v>
      </c>
      <c r="D877" s="63" t="str">
        <f>IFERROR(__xludf.DUMMYFUNCTION("INDIRECT(""'收支紀錄'!D""&amp;TO_TEXT(ROW()-$C$72))"),"今天")</f>
        <v>今天</v>
      </c>
      <c r="E877" s="61" t="str">
        <f>IFERROR(__xludf.DUMMYFUNCTION("INDIRECT(""'收支紀錄'!E""&amp;TO_TEXT(ROW()-$C$72))"),"")</f>
        <v/>
      </c>
      <c r="F877" s="61" t="str">
        <f>IFERROR(__xludf.DUMMYFUNCTION("INDIRECT(""'收支紀錄'!F""&amp;TO_TEXT(ROW()-$C$72))"),"")</f>
        <v/>
      </c>
      <c r="G877" s="61" t="str">
        <f>IFERROR(__xludf.DUMMYFUNCTION("INDIRECT(""'收支紀錄'!G""&amp;TO_TEXT(ROW()-$C$72))"),"")</f>
        <v/>
      </c>
      <c r="H877" s="61" t="str">
        <f>IFERROR(__xludf.DUMMYFUNCTION("INDIRECT(""'收支紀錄'!H""&amp;TO_TEXT(ROW()-$C$72))"),"行車交通")</f>
        <v>行車交通</v>
      </c>
      <c r="I877" s="61" t="str">
        <f>IFERROR(__xludf.DUMMYFUNCTION("INDIRECT(""'收支紀錄'!I""&amp;TO_TEXT(ROW()-$C$72))"),"")</f>
        <v/>
      </c>
      <c r="J877" s="61" t="str">
        <f>IFERROR(__xludf.DUMMYFUNCTION("INDIRECT(""'收支紀錄'!J""&amp;TO_TEXT(ROW()-$C$72))"),"")</f>
        <v/>
      </c>
      <c r="K877" s="61" t="str">
        <f>IFERROR(__xludf.DUMMYFUNCTION("INDIRECT(""'收支紀錄'!K""&amp;TO_TEXT(ROW()-$C$72))"),"")</f>
        <v/>
      </c>
      <c r="L877" s="61" t="str">
        <f>IFERROR(__xludf.DUMMYFUNCTION("INDIRECT(""'收支紀錄'!L""&amp;TO_TEXT(ROW()-$C$72))"),"加油")</f>
        <v>加油</v>
      </c>
      <c r="M877" s="61" t="str">
        <f>IFERROR(__xludf.DUMMYFUNCTION("INDIRECT(""'收支紀錄'!M""&amp;TO_TEXT(ROW()-$C$72))"),"")</f>
        <v/>
      </c>
      <c r="N877" s="61" t="str">
        <f>IFERROR(__xludf.DUMMYFUNCTION("INDIRECT(""'收支紀錄'!N""&amp;TO_TEXT(ROW()-$C$72))"),"")</f>
        <v/>
      </c>
      <c r="O877" s="61" t="str">
        <f>IFERROR(__xludf.DUMMYFUNCTION("INDIRECT(""'收支紀錄'!O""&amp;TO_TEXT(ROW()-$C$72))"),"")</f>
        <v/>
      </c>
      <c r="P877" s="61" t="str">
        <f>IFERROR(__xludf.DUMMYFUNCTION("INDIRECT(""'收支紀錄'!P""&amp;TO_TEXT(ROW()-$C$72))"),"")</f>
        <v/>
      </c>
      <c r="Q877" s="61" t="str">
        <f>IFERROR(__xludf.DUMMYFUNCTION("INDIRECT(""'收支紀錄'!Q""&amp;TO_TEXT(ROW()-$C$72))"),"")</f>
        <v/>
      </c>
      <c r="R877" s="61" t="str">
        <f>IFERROR(__xludf.DUMMYFUNCTION("INDIRECT(""'收支紀錄'!R""&amp;TO_TEXT(ROW()-$C$72))"),"")</f>
        <v/>
      </c>
      <c r="S877" s="61" t="str">
        <f>IFERROR(__xludf.DUMMYFUNCTION("INDIRECT(""'收支紀錄'!S""&amp;TO_TEXT(ROW()-$C$72))"),"")</f>
        <v/>
      </c>
      <c r="T877" s="61" t="str">
        <f>IFERROR(__xludf.DUMMYFUNCTION("INDIRECT(""'收支紀錄'!T""&amp;TO_TEXT(ROW()-$C$72))"),"")</f>
        <v/>
      </c>
      <c r="U877" s="62" t="str">
        <f>IFERROR(__xludf.DUMMYFUNCTION("IF(T877=""是"",TEXTJOIN("""", TRUE, ""$"", TO_TEXT(C877), S877),"""")"),"")</f>
        <v/>
      </c>
    </row>
    <row r="878">
      <c r="A878" s="58">
        <f>IFERROR(__xludf.DUMMYFUNCTION("INDIRECT(""'收支紀錄'!A""&amp;TO_TEXT(ROW()-$C$72))"),45795.902842615746)</f>
        <v>45795.90284</v>
      </c>
      <c r="B878" s="59">
        <f>IFERROR(__xludf.DUMMYFUNCTION("IF(ISBLANK(D878), """", IF(ISDATE(D878), D878, IF(D878=""今天"", A878, IF(D878=""昨天 (-1 day)"", A878-1, IF(D878=""前天 (-2 days)"", A878-2, IF(D878=""明天 (+1 day)"", A878+1, DATE(LEFT(D878,4), MID(D878,5,2), RIGHT(D878,2))))))))"),45795.902842615746)</f>
        <v>45795.90284</v>
      </c>
      <c r="C878" s="60">
        <f>IFERROR(__xludf.DUMMYFUNCTION("INDIRECT(""'收支紀錄'!C""&amp;TO_TEXT(ROW()-$C$72))"),628.0)</f>
        <v>628</v>
      </c>
      <c r="D878" s="63" t="str">
        <f>IFERROR(__xludf.DUMMYFUNCTION("INDIRECT(""'收支紀錄'!D""&amp;TO_TEXT(ROW()-$C$72))"),"今天")</f>
        <v>今天</v>
      </c>
      <c r="E878" s="61" t="str">
        <f>IFERROR(__xludf.DUMMYFUNCTION("INDIRECT(""'收支紀錄'!E""&amp;TO_TEXT(ROW()-$C$72))"),"")</f>
        <v/>
      </c>
      <c r="F878" s="61" t="str">
        <f>IFERROR(__xludf.DUMMYFUNCTION("INDIRECT(""'收支紀錄'!F""&amp;TO_TEXT(ROW()-$C$72))"),"")</f>
        <v/>
      </c>
      <c r="G878" s="61" t="str">
        <f>IFERROR(__xludf.DUMMYFUNCTION("INDIRECT(""'收支紀錄'!G""&amp;TO_TEXT(ROW()-$C$72))"),"")</f>
        <v/>
      </c>
      <c r="H878" s="61" t="str">
        <f>IFERROR(__xludf.DUMMYFUNCTION("INDIRECT(""'收支紀錄'!H""&amp;TO_TEXT(ROW()-$C$72))"),"食品酒水")</f>
        <v>食品酒水</v>
      </c>
      <c r="I878" s="61" t="str">
        <f>IFERROR(__xludf.DUMMYFUNCTION("INDIRECT(""'收支紀錄'!I""&amp;TO_TEXT(ROW()-$C$72))"),"食材")</f>
        <v>食材</v>
      </c>
      <c r="J878" s="61" t="str">
        <f>IFERROR(__xludf.DUMMYFUNCTION("INDIRECT(""'收支紀錄'!J""&amp;TO_TEXT(ROW()-$C$72))"),"")</f>
        <v/>
      </c>
      <c r="K878" s="61" t="str">
        <f>IFERROR(__xludf.DUMMYFUNCTION("INDIRECT(""'收支紀錄'!K""&amp;TO_TEXT(ROW()-$C$72))"),"")</f>
        <v/>
      </c>
      <c r="L878" s="61" t="str">
        <f>IFERROR(__xludf.DUMMYFUNCTION("INDIRECT(""'收支紀錄'!L""&amp;TO_TEXT(ROW()-$C$72))"),"")</f>
        <v/>
      </c>
      <c r="M878" s="61" t="str">
        <f>IFERROR(__xludf.DUMMYFUNCTION("INDIRECT(""'收支紀錄'!M""&amp;TO_TEXT(ROW()-$C$72))"),"")</f>
        <v/>
      </c>
      <c r="N878" s="61" t="str">
        <f>IFERROR(__xludf.DUMMYFUNCTION("INDIRECT(""'收支紀錄'!N""&amp;TO_TEXT(ROW()-$C$72))"),"")</f>
        <v/>
      </c>
      <c r="O878" s="61" t="str">
        <f>IFERROR(__xludf.DUMMYFUNCTION("INDIRECT(""'收支紀錄'!O""&amp;TO_TEXT(ROW()-$C$72))"),"")</f>
        <v/>
      </c>
      <c r="P878" s="61" t="str">
        <f>IFERROR(__xludf.DUMMYFUNCTION("INDIRECT(""'收支紀錄'!P""&amp;TO_TEXT(ROW()-$C$72))"),"")</f>
        <v/>
      </c>
      <c r="Q878" s="61" t="str">
        <f>IFERROR(__xludf.DUMMYFUNCTION("INDIRECT(""'收支紀錄'!Q""&amp;TO_TEXT(ROW()-$C$72))"),"")</f>
        <v/>
      </c>
      <c r="R878" s="61" t="str">
        <f>IFERROR(__xludf.DUMMYFUNCTION("INDIRECT(""'收支紀錄'!R""&amp;TO_TEXT(ROW()-$C$72))"),"")</f>
        <v/>
      </c>
      <c r="S878" s="61" t="str">
        <f>IFERROR(__xludf.DUMMYFUNCTION("INDIRECT(""'收支紀錄'!S""&amp;TO_TEXT(ROW()-$C$72))"),"")</f>
        <v/>
      </c>
      <c r="T878" s="61" t="str">
        <f>IFERROR(__xludf.DUMMYFUNCTION("INDIRECT(""'收支紀錄'!T""&amp;TO_TEXT(ROW()-$C$72))"),"")</f>
        <v/>
      </c>
      <c r="U878" s="62" t="str">
        <f>IFERROR(__xludf.DUMMYFUNCTION("IF(T878=""是"",TEXTJOIN("""", TRUE, ""$"", TO_TEXT(C878), S878),"""")"),"")</f>
        <v/>
      </c>
    </row>
    <row r="879">
      <c r="A879" s="58">
        <f>IFERROR(__xludf.DUMMYFUNCTION("INDIRECT(""'收支紀錄'!A""&amp;TO_TEXT(ROW()-$C$72))"),45796.964356666664)</f>
        <v>45796.96436</v>
      </c>
      <c r="B879" s="59">
        <f>IFERROR(__xludf.DUMMYFUNCTION("IF(ISBLANK(D879), """", IF(ISDATE(D879), D879, IF(D879=""今天"", A879, IF(D879=""昨天 (-1 day)"", A879-1, IF(D879=""前天 (-2 days)"", A879-2, IF(D879=""明天 (+1 day)"", A879+1, DATE(LEFT(D879,4), MID(D879,5,2), RIGHT(D879,2))))))))"),45796.964356666664)</f>
        <v>45796.96436</v>
      </c>
      <c r="C879" s="60">
        <f>IFERROR(__xludf.DUMMYFUNCTION("INDIRECT(""'收支紀錄'!C""&amp;TO_TEXT(ROW()-$C$72))"),2000.0)</f>
        <v>2000</v>
      </c>
      <c r="D879" s="63" t="str">
        <f>IFERROR(__xludf.DUMMYFUNCTION("INDIRECT(""'收支紀錄'!D""&amp;TO_TEXT(ROW()-$C$72))"),"今天")</f>
        <v>今天</v>
      </c>
      <c r="E879" s="61" t="str">
        <f>IFERROR(__xludf.DUMMYFUNCTION("INDIRECT(""'收支紀錄'!E""&amp;TO_TEXT(ROW()-$C$72))"),"")</f>
        <v/>
      </c>
      <c r="F879" s="61" t="str">
        <f>IFERROR(__xludf.DUMMYFUNCTION("INDIRECT(""'收支紀錄'!F""&amp;TO_TEXT(ROW()-$C$72))"),"")</f>
        <v/>
      </c>
      <c r="G879" s="61" t="str">
        <f>IFERROR(__xludf.DUMMYFUNCTION("INDIRECT(""'收支紀錄'!G""&amp;TO_TEXT(ROW()-$C$72))"),"")</f>
        <v/>
      </c>
      <c r="H879" s="61" t="str">
        <f>IFERROR(__xludf.DUMMYFUNCTION("INDIRECT(""'收支紀錄'!H""&amp;TO_TEXT(ROW()-$C$72))"),"人情往來")</f>
        <v>人情往來</v>
      </c>
      <c r="I879" s="61" t="str">
        <f>IFERROR(__xludf.DUMMYFUNCTION("INDIRECT(""'收支紀錄'!I""&amp;TO_TEXT(ROW()-$C$72))"),"")</f>
        <v/>
      </c>
      <c r="J879" s="61" t="str">
        <f>IFERROR(__xludf.DUMMYFUNCTION("INDIRECT(""'收支紀錄'!J""&amp;TO_TEXT(ROW()-$C$72))"),"")</f>
        <v/>
      </c>
      <c r="K879" s="61" t="str">
        <f>IFERROR(__xludf.DUMMYFUNCTION("INDIRECT(""'收支紀錄'!K""&amp;TO_TEXT(ROW()-$C$72))"),"")</f>
        <v/>
      </c>
      <c r="L879" s="61" t="str">
        <f>IFERROR(__xludf.DUMMYFUNCTION("INDIRECT(""'收支紀錄'!L""&amp;TO_TEXT(ROW()-$C$72))"),"")</f>
        <v/>
      </c>
      <c r="M879" s="61" t="str">
        <f>IFERROR(__xludf.DUMMYFUNCTION("INDIRECT(""'收支紀錄'!M""&amp;TO_TEXT(ROW()-$C$72))"),"")</f>
        <v/>
      </c>
      <c r="N879" s="61" t="str">
        <f>IFERROR(__xludf.DUMMYFUNCTION("INDIRECT(""'收支紀錄'!N""&amp;TO_TEXT(ROW()-$C$72))"),"")</f>
        <v/>
      </c>
      <c r="O879" s="61" t="str">
        <f>IFERROR(__xludf.DUMMYFUNCTION("INDIRECT(""'收支紀錄'!O""&amp;TO_TEXT(ROW()-$C$72))"),"")</f>
        <v/>
      </c>
      <c r="P879" s="61" t="str">
        <f>IFERROR(__xludf.DUMMYFUNCTION("INDIRECT(""'收支紀錄'!P""&amp;TO_TEXT(ROW()-$C$72))"),"")</f>
        <v/>
      </c>
      <c r="Q879" s="61" t="str">
        <f>IFERROR(__xludf.DUMMYFUNCTION("INDIRECT(""'收支紀錄'!Q""&amp;TO_TEXT(ROW()-$C$72))"),"慈善捐款")</f>
        <v>慈善捐款</v>
      </c>
      <c r="R879" s="61" t="str">
        <f>IFERROR(__xludf.DUMMYFUNCTION("INDIRECT(""'收支紀錄'!R""&amp;TO_TEXT(ROW()-$C$72))"),"")</f>
        <v/>
      </c>
      <c r="S879" s="61" t="str">
        <f>IFERROR(__xludf.DUMMYFUNCTION("INDIRECT(""'收支紀錄'!S""&amp;TO_TEXT(ROW()-$C$72))"),"勵馨捐款")</f>
        <v>勵馨捐款</v>
      </c>
      <c r="T879" s="61" t="str">
        <f>IFERROR(__xludf.DUMMYFUNCTION("INDIRECT(""'收支紀錄'!T""&amp;TO_TEXT(ROW()-$C$72))"),"")</f>
        <v/>
      </c>
      <c r="U879" s="62" t="str">
        <f>IFERROR(__xludf.DUMMYFUNCTION("IF(T879=""是"",TEXTJOIN("""", TRUE, ""$"", TO_TEXT(C879), S879),"""")"),"")</f>
        <v/>
      </c>
    </row>
    <row r="880">
      <c r="A880" s="58">
        <f>IFERROR(__xludf.DUMMYFUNCTION("INDIRECT(""'收支紀錄'!A""&amp;TO_TEXT(ROW()-$C$72))"),45798.52217490741)</f>
        <v>45798.52217</v>
      </c>
      <c r="B880" s="59">
        <f>IFERROR(__xludf.DUMMYFUNCTION("IF(ISBLANK(D880), """", IF(ISDATE(D880), D880, IF(D880=""今天"", A880, IF(D880=""昨天 (-1 day)"", A880-1, IF(D880=""前天 (-2 days)"", A880-2, IF(D880=""明天 (+1 day)"", A880+1, DATE(LEFT(D880,4), MID(D880,5,2), RIGHT(D880,2))))))))"),45797.52217490741)</f>
        <v>45797.52217</v>
      </c>
      <c r="C880" s="60">
        <f>IFERROR(__xludf.DUMMYFUNCTION("INDIRECT(""'收支紀錄'!C""&amp;TO_TEXT(ROW()-$C$72))"),180.0)</f>
        <v>180</v>
      </c>
      <c r="D880" s="63" t="str">
        <f>IFERROR(__xludf.DUMMYFUNCTION("INDIRECT(""'收支紀錄'!D""&amp;TO_TEXT(ROW()-$C$72))"),"昨天 (-1 day)")</f>
        <v>昨天 (-1 day)</v>
      </c>
      <c r="E880" s="61" t="str">
        <f>IFERROR(__xludf.DUMMYFUNCTION("INDIRECT(""'收支紀錄'!E""&amp;TO_TEXT(ROW()-$C$72))"),"")</f>
        <v/>
      </c>
      <c r="F880" s="61" t="str">
        <f>IFERROR(__xludf.DUMMYFUNCTION("INDIRECT(""'收支紀錄'!F""&amp;TO_TEXT(ROW()-$C$72))"),"")</f>
        <v/>
      </c>
      <c r="G880" s="61" t="str">
        <f>IFERROR(__xludf.DUMMYFUNCTION("INDIRECT(""'收支紀錄'!G""&amp;TO_TEXT(ROW()-$C$72))"),"")</f>
        <v/>
      </c>
      <c r="H880" s="61" t="str">
        <f>IFERROR(__xludf.DUMMYFUNCTION("INDIRECT(""'收支紀錄'!H""&amp;TO_TEXT(ROW()-$C$72))"),"食品酒水")</f>
        <v>食品酒水</v>
      </c>
      <c r="I880" s="61" t="str">
        <f>IFERROR(__xludf.DUMMYFUNCTION("INDIRECT(""'收支紀錄'!I""&amp;TO_TEXT(ROW()-$C$72))"),"晚餐")</f>
        <v>晚餐</v>
      </c>
      <c r="J880" s="61" t="str">
        <f>IFERROR(__xludf.DUMMYFUNCTION("INDIRECT(""'收支紀錄'!J""&amp;TO_TEXT(ROW()-$C$72))"),"")</f>
        <v/>
      </c>
      <c r="K880" s="61" t="str">
        <f>IFERROR(__xludf.DUMMYFUNCTION("INDIRECT(""'收支紀錄'!K""&amp;TO_TEXT(ROW()-$C$72))"),"")</f>
        <v/>
      </c>
      <c r="L880" s="61" t="str">
        <f>IFERROR(__xludf.DUMMYFUNCTION("INDIRECT(""'收支紀錄'!L""&amp;TO_TEXT(ROW()-$C$72))"),"")</f>
        <v/>
      </c>
      <c r="M880" s="61" t="str">
        <f>IFERROR(__xludf.DUMMYFUNCTION("INDIRECT(""'收支紀錄'!M""&amp;TO_TEXT(ROW()-$C$72))"),"")</f>
        <v/>
      </c>
      <c r="N880" s="61" t="str">
        <f>IFERROR(__xludf.DUMMYFUNCTION("INDIRECT(""'收支紀錄'!N""&amp;TO_TEXT(ROW()-$C$72))"),"")</f>
        <v/>
      </c>
      <c r="O880" s="61" t="str">
        <f>IFERROR(__xludf.DUMMYFUNCTION("INDIRECT(""'收支紀錄'!O""&amp;TO_TEXT(ROW()-$C$72))"),"")</f>
        <v/>
      </c>
      <c r="P880" s="61" t="str">
        <f>IFERROR(__xludf.DUMMYFUNCTION("INDIRECT(""'收支紀錄'!P""&amp;TO_TEXT(ROW()-$C$72))"),"")</f>
        <v/>
      </c>
      <c r="Q880" s="61" t="str">
        <f>IFERROR(__xludf.DUMMYFUNCTION("INDIRECT(""'收支紀錄'!Q""&amp;TO_TEXT(ROW()-$C$72))"),"")</f>
        <v/>
      </c>
      <c r="R880" s="61" t="str">
        <f>IFERROR(__xludf.DUMMYFUNCTION("INDIRECT(""'收支紀錄'!R""&amp;TO_TEXT(ROW()-$C$72))"),"")</f>
        <v/>
      </c>
      <c r="S880" s="61" t="str">
        <f>IFERROR(__xludf.DUMMYFUNCTION("INDIRECT(""'收支紀錄'!S""&amp;TO_TEXT(ROW()-$C$72))"),"")</f>
        <v/>
      </c>
      <c r="T880" s="61" t="str">
        <f>IFERROR(__xludf.DUMMYFUNCTION("INDIRECT(""'收支紀錄'!T""&amp;TO_TEXT(ROW()-$C$72))"),"")</f>
        <v/>
      </c>
      <c r="U880" s="62" t="str">
        <f>IFERROR(__xludf.DUMMYFUNCTION("IF(T880=""是"",TEXTJOIN("""", TRUE, ""$"", TO_TEXT(C880), S880),"""")"),"")</f>
        <v/>
      </c>
    </row>
    <row r="881">
      <c r="A881" s="58">
        <f>IFERROR(__xludf.DUMMYFUNCTION("INDIRECT(""'收支紀錄'!A""&amp;TO_TEXT(ROW()-$C$72))"),45798.9805031713)</f>
        <v>45798.9805</v>
      </c>
      <c r="B881" s="59">
        <f>IFERROR(__xludf.DUMMYFUNCTION("IF(ISBLANK(D881), """", IF(ISDATE(D881), D881, IF(D881=""今天"", A881, IF(D881=""昨天 (-1 day)"", A881-1, IF(D881=""前天 (-2 days)"", A881-2, IF(D881=""明天 (+1 day)"", A881+1, DATE(LEFT(D881,4), MID(D881,5,2), RIGHT(D881,2))))))))"),45798.9805031713)</f>
        <v>45798.9805</v>
      </c>
      <c r="C881" s="60">
        <f>IFERROR(__xludf.DUMMYFUNCTION("INDIRECT(""'收支紀錄'!C""&amp;TO_TEXT(ROW()-$C$72))"),175.0)</f>
        <v>175</v>
      </c>
      <c r="D881" s="63" t="str">
        <f>IFERROR(__xludf.DUMMYFUNCTION("INDIRECT(""'收支紀錄'!D""&amp;TO_TEXT(ROW()-$C$72))"),"今天")</f>
        <v>今天</v>
      </c>
      <c r="E881" s="61" t="str">
        <f>IFERROR(__xludf.DUMMYFUNCTION("INDIRECT(""'收支紀錄'!E""&amp;TO_TEXT(ROW()-$C$72))"),"")</f>
        <v/>
      </c>
      <c r="F881" s="61" t="str">
        <f>IFERROR(__xludf.DUMMYFUNCTION("INDIRECT(""'收支紀錄'!F""&amp;TO_TEXT(ROW()-$C$72))"),"")</f>
        <v/>
      </c>
      <c r="G881" s="61" t="str">
        <f>IFERROR(__xludf.DUMMYFUNCTION("INDIRECT(""'收支紀錄'!G""&amp;TO_TEXT(ROW()-$C$72))"),"")</f>
        <v/>
      </c>
      <c r="H881" s="61" t="str">
        <f>IFERROR(__xludf.DUMMYFUNCTION("INDIRECT(""'收支紀錄'!H""&amp;TO_TEXT(ROW()-$C$72))"),"食品酒水")</f>
        <v>食品酒水</v>
      </c>
      <c r="I881" s="61" t="str">
        <f>IFERROR(__xludf.DUMMYFUNCTION("INDIRECT(""'收支紀錄'!I""&amp;TO_TEXT(ROW()-$C$72))"),"晚餐")</f>
        <v>晚餐</v>
      </c>
      <c r="J881" s="61" t="str">
        <f>IFERROR(__xludf.DUMMYFUNCTION("INDIRECT(""'收支紀錄'!J""&amp;TO_TEXT(ROW()-$C$72))"),"")</f>
        <v/>
      </c>
      <c r="K881" s="61" t="str">
        <f>IFERROR(__xludf.DUMMYFUNCTION("INDIRECT(""'收支紀錄'!K""&amp;TO_TEXT(ROW()-$C$72))"),"")</f>
        <v/>
      </c>
      <c r="L881" s="61" t="str">
        <f>IFERROR(__xludf.DUMMYFUNCTION("INDIRECT(""'收支紀錄'!L""&amp;TO_TEXT(ROW()-$C$72))"),"")</f>
        <v/>
      </c>
      <c r="M881" s="61" t="str">
        <f>IFERROR(__xludf.DUMMYFUNCTION("INDIRECT(""'收支紀錄'!M""&amp;TO_TEXT(ROW()-$C$72))"),"")</f>
        <v/>
      </c>
      <c r="N881" s="61" t="str">
        <f>IFERROR(__xludf.DUMMYFUNCTION("INDIRECT(""'收支紀錄'!N""&amp;TO_TEXT(ROW()-$C$72))"),"")</f>
        <v/>
      </c>
      <c r="O881" s="61" t="str">
        <f>IFERROR(__xludf.DUMMYFUNCTION("INDIRECT(""'收支紀錄'!O""&amp;TO_TEXT(ROW()-$C$72))"),"")</f>
        <v/>
      </c>
      <c r="P881" s="61" t="str">
        <f>IFERROR(__xludf.DUMMYFUNCTION("INDIRECT(""'收支紀錄'!P""&amp;TO_TEXT(ROW()-$C$72))"),"")</f>
        <v/>
      </c>
      <c r="Q881" s="61" t="str">
        <f>IFERROR(__xludf.DUMMYFUNCTION("INDIRECT(""'收支紀錄'!Q""&amp;TO_TEXT(ROW()-$C$72))"),"")</f>
        <v/>
      </c>
      <c r="R881" s="61" t="str">
        <f>IFERROR(__xludf.DUMMYFUNCTION("INDIRECT(""'收支紀錄'!R""&amp;TO_TEXT(ROW()-$C$72))"),"")</f>
        <v/>
      </c>
      <c r="S881" s="61" t="str">
        <f>IFERROR(__xludf.DUMMYFUNCTION("INDIRECT(""'收支紀錄'!S""&amp;TO_TEXT(ROW()-$C$72))"),"")</f>
        <v/>
      </c>
      <c r="T881" s="61" t="str">
        <f>IFERROR(__xludf.DUMMYFUNCTION("INDIRECT(""'收支紀錄'!T""&amp;TO_TEXT(ROW()-$C$72))"),"")</f>
        <v/>
      </c>
      <c r="U881" s="62" t="str">
        <f>IFERROR(__xludf.DUMMYFUNCTION("IF(T881=""是"",TEXTJOIN("""", TRUE, ""$"", TO_TEXT(C881), S881),"""")"),"")</f>
        <v/>
      </c>
    </row>
    <row r="882">
      <c r="A882" s="58">
        <f>IFERROR(__xludf.DUMMYFUNCTION("INDIRECT(""'收支紀錄'!A""&amp;TO_TEXT(ROW()-$C$72))"),45799.0028147338)</f>
        <v>45799.00281</v>
      </c>
      <c r="B882" s="59">
        <f>IFERROR(__xludf.DUMMYFUNCTION("IF(ISBLANK(D882), """", IF(ISDATE(D882), D882, IF(D882=""今天"", A882, IF(D882=""昨天 (-1 day)"", A882-1, IF(D882=""前天 (-2 days)"", A882-2, IF(D882=""明天 (+1 day)"", A882+1, DATE(LEFT(D882,4), MID(D882,5,2), RIGHT(D882,2))))))))"),45826.0)</f>
        <v>45826</v>
      </c>
      <c r="C882" s="60">
        <f>IFERROR(__xludf.DUMMYFUNCTION("INDIRECT(""'收支紀錄'!C""&amp;TO_TEXT(ROW()-$C$72))"),685.0)</f>
        <v>685</v>
      </c>
      <c r="D882" s="63">
        <f>IFERROR(__xludf.DUMMYFUNCTION("INDIRECT(""'收支紀錄'!D""&amp;TO_TEXT(ROW()-$C$72))"),2.0250618E7)</f>
        <v>20250618</v>
      </c>
      <c r="E882" s="61" t="str">
        <f>IFERROR(__xludf.DUMMYFUNCTION("INDIRECT(""'收支紀錄'!E""&amp;TO_TEXT(ROW()-$C$72))"),"")</f>
        <v/>
      </c>
      <c r="F882" s="61" t="str">
        <f>IFERROR(__xludf.DUMMYFUNCTION("INDIRECT(""'收支紀錄'!F""&amp;TO_TEXT(ROW()-$C$72))"),"")</f>
        <v/>
      </c>
      <c r="G882" s="61" t="str">
        <f>IFERROR(__xludf.DUMMYFUNCTION("INDIRECT(""'收支紀錄'!G""&amp;TO_TEXT(ROW()-$C$72))"),"")</f>
        <v/>
      </c>
      <c r="H882" s="61" t="str">
        <f>IFERROR(__xludf.DUMMYFUNCTION("INDIRECT(""'收支紀錄'!H""&amp;TO_TEXT(ROW()-$C$72))"),"行車交通")</f>
        <v>行車交通</v>
      </c>
      <c r="I882" s="61" t="str">
        <f>IFERROR(__xludf.DUMMYFUNCTION("INDIRECT(""'收支紀錄'!I""&amp;TO_TEXT(ROW()-$C$72))"),"")</f>
        <v/>
      </c>
      <c r="J882" s="61" t="str">
        <f>IFERROR(__xludf.DUMMYFUNCTION("INDIRECT(""'收支紀錄'!J""&amp;TO_TEXT(ROW()-$C$72))"),"")</f>
        <v/>
      </c>
      <c r="K882" s="61" t="str">
        <f>IFERROR(__xludf.DUMMYFUNCTION("INDIRECT(""'收支紀錄'!K""&amp;TO_TEXT(ROW()-$C$72))"),"")</f>
        <v/>
      </c>
      <c r="L882" s="61" t="str">
        <f>IFERROR(__xludf.DUMMYFUNCTION("INDIRECT(""'收支紀錄'!L""&amp;TO_TEXT(ROW()-$C$72))"),"高鐵")</f>
        <v>高鐵</v>
      </c>
      <c r="M882" s="61" t="str">
        <f>IFERROR(__xludf.DUMMYFUNCTION("INDIRECT(""'收支紀錄'!M""&amp;TO_TEXT(ROW()-$C$72))"),"")</f>
        <v/>
      </c>
      <c r="N882" s="61" t="str">
        <f>IFERROR(__xludf.DUMMYFUNCTION("INDIRECT(""'收支紀錄'!N""&amp;TO_TEXT(ROW()-$C$72))"),"")</f>
        <v/>
      </c>
      <c r="O882" s="61" t="str">
        <f>IFERROR(__xludf.DUMMYFUNCTION("INDIRECT(""'收支紀錄'!O""&amp;TO_TEXT(ROW()-$C$72))"),"")</f>
        <v/>
      </c>
      <c r="P882" s="61" t="str">
        <f>IFERROR(__xludf.DUMMYFUNCTION("INDIRECT(""'收支紀錄'!P""&amp;TO_TEXT(ROW()-$C$72))"),"")</f>
        <v/>
      </c>
      <c r="Q882" s="61" t="str">
        <f>IFERROR(__xludf.DUMMYFUNCTION("INDIRECT(""'收支紀錄'!Q""&amp;TO_TEXT(ROW()-$C$72))"),"")</f>
        <v/>
      </c>
      <c r="R882" s="61" t="str">
        <f>IFERROR(__xludf.DUMMYFUNCTION("INDIRECT(""'收支紀錄'!R""&amp;TO_TEXT(ROW()-$C$72))"),"")</f>
        <v/>
      </c>
      <c r="S882" s="61" t="str">
        <f>IFERROR(__xludf.DUMMYFUNCTION("INDIRECT(""'收支紀錄'!S""&amp;TO_TEXT(ROW()-$C$72))"),"苗栗-左營早鳥65折")</f>
        <v>苗栗-左營早鳥65折</v>
      </c>
      <c r="T882" s="61" t="str">
        <f>IFERROR(__xludf.DUMMYFUNCTION("INDIRECT(""'收支紀錄'!T""&amp;TO_TEXT(ROW()-$C$72))"),"")</f>
        <v/>
      </c>
      <c r="U882" s="62" t="str">
        <f>IFERROR(__xludf.DUMMYFUNCTION("IF(T882=""是"",TEXTJOIN("""", TRUE, ""$"", TO_TEXT(C882), S882),"""")"),"")</f>
        <v/>
      </c>
    </row>
    <row r="883">
      <c r="A883" s="58">
        <f>IFERROR(__xludf.DUMMYFUNCTION("INDIRECT(""'收支紀錄'!A""&amp;TO_TEXT(ROW()-$C$72))"),45799.91629521991)</f>
        <v>45799.9163</v>
      </c>
      <c r="B883" s="59">
        <f>IFERROR(__xludf.DUMMYFUNCTION("IF(ISBLANK(D883), """", IF(ISDATE(D883), D883, IF(D883=""今天"", A883, IF(D883=""昨天 (-1 day)"", A883-1, IF(D883=""前天 (-2 days)"", A883-2, IF(D883=""明天 (+1 day)"", A883+1, DATE(LEFT(D883,4), MID(D883,5,2), RIGHT(D883,2))))))))"),45799.91629521991)</f>
        <v>45799.9163</v>
      </c>
      <c r="C883" s="60">
        <f>IFERROR(__xludf.DUMMYFUNCTION("INDIRECT(""'收支紀錄'!C""&amp;TO_TEXT(ROW()-$C$72))"),100.0)</f>
        <v>100</v>
      </c>
      <c r="D883" s="63" t="str">
        <f>IFERROR(__xludf.DUMMYFUNCTION("INDIRECT(""'收支紀錄'!D""&amp;TO_TEXT(ROW()-$C$72))"),"今天")</f>
        <v>今天</v>
      </c>
      <c r="E883" s="61" t="str">
        <f>IFERROR(__xludf.DUMMYFUNCTION("INDIRECT(""'收支紀錄'!E""&amp;TO_TEXT(ROW()-$C$72))"),"")</f>
        <v/>
      </c>
      <c r="F883" s="61" t="str">
        <f>IFERROR(__xludf.DUMMYFUNCTION("INDIRECT(""'收支紀錄'!F""&amp;TO_TEXT(ROW()-$C$72))"),"")</f>
        <v/>
      </c>
      <c r="G883" s="61" t="str">
        <f>IFERROR(__xludf.DUMMYFUNCTION("INDIRECT(""'收支紀錄'!G""&amp;TO_TEXT(ROW()-$C$72))"),"")</f>
        <v/>
      </c>
      <c r="H883" s="61" t="str">
        <f>IFERROR(__xludf.DUMMYFUNCTION("INDIRECT(""'收支紀錄'!H""&amp;TO_TEXT(ROW()-$C$72))"),"休閒娛樂")</f>
        <v>休閒娛樂</v>
      </c>
      <c r="I883" s="61" t="str">
        <f>IFERROR(__xludf.DUMMYFUNCTION("INDIRECT(""'收支紀錄'!I""&amp;TO_TEXT(ROW()-$C$72))"),"")</f>
        <v/>
      </c>
      <c r="J883" s="61" t="str">
        <f>IFERROR(__xludf.DUMMYFUNCTION("INDIRECT(""'收支紀錄'!J""&amp;TO_TEXT(ROW()-$C$72))"),"")</f>
        <v/>
      </c>
      <c r="K883" s="61" t="str">
        <f>IFERROR(__xludf.DUMMYFUNCTION("INDIRECT(""'收支紀錄'!K""&amp;TO_TEXT(ROW()-$C$72))"),"")</f>
        <v/>
      </c>
      <c r="L883" s="61" t="str">
        <f>IFERROR(__xludf.DUMMYFUNCTION("INDIRECT(""'收支紀錄'!L""&amp;TO_TEXT(ROW()-$C$72))"),"")</f>
        <v/>
      </c>
      <c r="M883" s="61" t="str">
        <f>IFERROR(__xludf.DUMMYFUNCTION("INDIRECT(""'收支紀錄'!M""&amp;TO_TEXT(ROW()-$C$72))"),"運動健身")</f>
        <v>運動健身</v>
      </c>
      <c r="N883" s="61" t="str">
        <f>IFERROR(__xludf.DUMMYFUNCTION("INDIRECT(""'收支紀錄'!N""&amp;TO_TEXT(ROW()-$C$72))"),"")</f>
        <v/>
      </c>
      <c r="O883" s="61" t="str">
        <f>IFERROR(__xludf.DUMMYFUNCTION("INDIRECT(""'收支紀錄'!O""&amp;TO_TEXT(ROW()-$C$72))"),"")</f>
        <v/>
      </c>
      <c r="P883" s="61" t="str">
        <f>IFERROR(__xludf.DUMMYFUNCTION("INDIRECT(""'收支紀錄'!P""&amp;TO_TEXT(ROW()-$C$72))"),"")</f>
        <v/>
      </c>
      <c r="Q883" s="61" t="str">
        <f>IFERROR(__xludf.DUMMYFUNCTION("INDIRECT(""'收支紀錄'!Q""&amp;TO_TEXT(ROW()-$C$72))"),"")</f>
        <v/>
      </c>
      <c r="R883" s="61" t="str">
        <f>IFERROR(__xludf.DUMMYFUNCTION("INDIRECT(""'收支紀錄'!R""&amp;TO_TEXT(ROW()-$C$72))"),"")</f>
        <v/>
      </c>
      <c r="S883" s="61" t="str">
        <f>IFERROR(__xludf.DUMMYFUNCTION("INDIRECT(""'收支紀錄'!S""&amp;TO_TEXT(ROW()-$C$72))"),"")</f>
        <v/>
      </c>
      <c r="T883" s="61" t="str">
        <f>IFERROR(__xludf.DUMMYFUNCTION("INDIRECT(""'收支紀錄'!T""&amp;TO_TEXT(ROW()-$C$72))"),"")</f>
        <v/>
      </c>
      <c r="U883" s="62" t="str">
        <f>IFERROR(__xludf.DUMMYFUNCTION("IF(T883=""是"",TEXTJOIN("""", TRUE, ""$"", TO_TEXT(C883), S883),"""")"),"")</f>
        <v/>
      </c>
    </row>
    <row r="884">
      <c r="A884" s="58">
        <f>IFERROR(__xludf.DUMMYFUNCTION("INDIRECT(""'收支紀錄'!A""&amp;TO_TEXT(ROW()-$C$72))"),45801.39567510417)</f>
        <v>45801.39568</v>
      </c>
      <c r="B884" s="59">
        <f>IFERROR(__xludf.DUMMYFUNCTION("IF(ISBLANK(D884), """", IF(ISDATE(D884), D884, IF(D884=""今天"", A884, IF(D884=""昨天 (-1 day)"", A884-1, IF(D884=""前天 (-2 days)"", A884-2, IF(D884=""明天 (+1 day)"", A884+1, DATE(LEFT(D884,4), MID(D884,5,2), RIGHT(D884,2))))))))"),45800.39567510417)</f>
        <v>45800.39568</v>
      </c>
      <c r="C884" s="60">
        <f>IFERROR(__xludf.DUMMYFUNCTION("INDIRECT(""'收支紀錄'!C""&amp;TO_TEXT(ROW()-$C$72))"),28.0)</f>
        <v>28</v>
      </c>
      <c r="D884" s="63" t="str">
        <f>IFERROR(__xludf.DUMMYFUNCTION("INDIRECT(""'收支紀錄'!D""&amp;TO_TEXT(ROW()-$C$72))"),"昨天 (-1 day)")</f>
        <v>昨天 (-1 day)</v>
      </c>
      <c r="E884" s="61" t="str">
        <f>IFERROR(__xludf.DUMMYFUNCTION("INDIRECT(""'收支紀錄'!E""&amp;TO_TEXT(ROW()-$C$72))"),"")</f>
        <v/>
      </c>
      <c r="F884" s="61" t="str">
        <f>IFERROR(__xludf.DUMMYFUNCTION("INDIRECT(""'收支紀錄'!F""&amp;TO_TEXT(ROW()-$C$72))"),"")</f>
        <v/>
      </c>
      <c r="G884" s="61" t="str">
        <f>IFERROR(__xludf.DUMMYFUNCTION("INDIRECT(""'收支紀錄'!G""&amp;TO_TEXT(ROW()-$C$72))"),"")</f>
        <v/>
      </c>
      <c r="H884" s="61" t="str">
        <f>IFERROR(__xludf.DUMMYFUNCTION("INDIRECT(""'收支紀錄'!H""&amp;TO_TEXT(ROW()-$C$72))"),"行車交通")</f>
        <v>行車交通</v>
      </c>
      <c r="I884" s="61" t="str">
        <f>IFERROR(__xludf.DUMMYFUNCTION("INDIRECT(""'收支紀錄'!I""&amp;TO_TEXT(ROW()-$C$72))"),"")</f>
        <v/>
      </c>
      <c r="J884" s="61" t="str">
        <f>IFERROR(__xludf.DUMMYFUNCTION("INDIRECT(""'收支紀錄'!J""&amp;TO_TEXT(ROW()-$C$72))"),"")</f>
        <v/>
      </c>
      <c r="K884" s="61" t="str">
        <f>IFERROR(__xludf.DUMMYFUNCTION("INDIRECT(""'收支紀錄'!K""&amp;TO_TEXT(ROW()-$C$72))"),"")</f>
        <v/>
      </c>
      <c r="L884" s="61" t="str">
        <f>IFERROR(__xludf.DUMMYFUNCTION("INDIRECT(""'收支紀錄'!L""&amp;TO_TEXT(ROW()-$C$72))"),"火車費")</f>
        <v>火車費</v>
      </c>
      <c r="M884" s="61" t="str">
        <f>IFERROR(__xludf.DUMMYFUNCTION("INDIRECT(""'收支紀錄'!M""&amp;TO_TEXT(ROW()-$C$72))"),"")</f>
        <v/>
      </c>
      <c r="N884" s="61" t="str">
        <f>IFERROR(__xludf.DUMMYFUNCTION("INDIRECT(""'收支紀錄'!N""&amp;TO_TEXT(ROW()-$C$72))"),"")</f>
        <v/>
      </c>
      <c r="O884" s="61" t="str">
        <f>IFERROR(__xludf.DUMMYFUNCTION("INDIRECT(""'收支紀錄'!O""&amp;TO_TEXT(ROW()-$C$72))"),"")</f>
        <v/>
      </c>
      <c r="P884" s="61" t="str">
        <f>IFERROR(__xludf.DUMMYFUNCTION("INDIRECT(""'收支紀錄'!P""&amp;TO_TEXT(ROW()-$C$72))"),"")</f>
        <v/>
      </c>
      <c r="Q884" s="61" t="str">
        <f>IFERROR(__xludf.DUMMYFUNCTION("INDIRECT(""'收支紀錄'!Q""&amp;TO_TEXT(ROW()-$C$72))"),"")</f>
        <v/>
      </c>
      <c r="R884" s="61" t="str">
        <f>IFERROR(__xludf.DUMMYFUNCTION("INDIRECT(""'收支紀錄'!R""&amp;TO_TEXT(ROW()-$C$72))"),"")</f>
        <v/>
      </c>
      <c r="S884" s="61" t="str">
        <f>IFERROR(__xludf.DUMMYFUNCTION("INDIRECT(""'收支紀錄'!S""&amp;TO_TEXT(ROW()-$C$72))"),"")</f>
        <v/>
      </c>
      <c r="T884" s="61" t="str">
        <f>IFERROR(__xludf.DUMMYFUNCTION("INDIRECT(""'收支紀錄'!T""&amp;TO_TEXT(ROW()-$C$72))"),"")</f>
        <v/>
      </c>
      <c r="U884" s="62" t="str">
        <f>IFERROR(__xludf.DUMMYFUNCTION("IF(T884=""是"",TEXTJOIN("""", TRUE, ""$"", TO_TEXT(C884), S884),"""")"),"")</f>
        <v/>
      </c>
    </row>
    <row r="885">
      <c r="A885" s="58">
        <f>IFERROR(__xludf.DUMMYFUNCTION("INDIRECT(""'收支紀錄'!A""&amp;TO_TEXT(ROW()-$C$72))"),45801.39585043982)</f>
        <v>45801.39585</v>
      </c>
      <c r="B885" s="59">
        <f>IFERROR(__xludf.DUMMYFUNCTION("IF(ISBLANK(D885), """", IF(ISDATE(D885), D885, IF(D885=""今天"", A885, IF(D885=""昨天 (-1 day)"", A885-1, IF(D885=""前天 (-2 days)"", A885-2, IF(D885=""明天 (+1 day)"", A885+1, DATE(LEFT(D885,4), MID(D885,5,2), RIGHT(D885,2))))))))"),45800.39585043982)</f>
        <v>45800.39585</v>
      </c>
      <c r="C885" s="60">
        <f>IFERROR(__xludf.DUMMYFUNCTION("INDIRECT(""'收支紀錄'!C""&amp;TO_TEXT(ROW()-$C$72))"),400.0)</f>
        <v>400</v>
      </c>
      <c r="D885" s="63" t="str">
        <f>IFERROR(__xludf.DUMMYFUNCTION("INDIRECT(""'收支紀錄'!D""&amp;TO_TEXT(ROW()-$C$72))"),"昨天 (-1 day)")</f>
        <v>昨天 (-1 day)</v>
      </c>
      <c r="E885" s="61" t="str">
        <f>IFERROR(__xludf.DUMMYFUNCTION("INDIRECT(""'收支紀錄'!E""&amp;TO_TEXT(ROW()-$C$72))"),"")</f>
        <v/>
      </c>
      <c r="F885" s="61" t="str">
        <f>IFERROR(__xludf.DUMMYFUNCTION("INDIRECT(""'收支紀錄'!F""&amp;TO_TEXT(ROW()-$C$72))"),"")</f>
        <v/>
      </c>
      <c r="G885" s="61" t="str">
        <f>IFERROR(__xludf.DUMMYFUNCTION("INDIRECT(""'收支紀錄'!G""&amp;TO_TEXT(ROW()-$C$72))"),"")</f>
        <v/>
      </c>
      <c r="H885" s="61" t="str">
        <f>IFERROR(__xludf.DUMMYFUNCTION("INDIRECT(""'收支紀錄'!H""&amp;TO_TEXT(ROW()-$C$72))"),"食品酒水")</f>
        <v>食品酒水</v>
      </c>
      <c r="I885" s="61" t="str">
        <f>IFERROR(__xludf.DUMMYFUNCTION("INDIRECT(""'收支紀錄'!I""&amp;TO_TEXT(ROW()-$C$72))"),"晚餐")</f>
        <v>晚餐</v>
      </c>
      <c r="J885" s="61" t="str">
        <f>IFERROR(__xludf.DUMMYFUNCTION("INDIRECT(""'收支紀錄'!J""&amp;TO_TEXT(ROW()-$C$72))"),"")</f>
        <v/>
      </c>
      <c r="K885" s="61" t="str">
        <f>IFERROR(__xludf.DUMMYFUNCTION("INDIRECT(""'收支紀錄'!K""&amp;TO_TEXT(ROW()-$C$72))"),"")</f>
        <v/>
      </c>
      <c r="L885" s="61" t="str">
        <f>IFERROR(__xludf.DUMMYFUNCTION("INDIRECT(""'收支紀錄'!L""&amp;TO_TEXT(ROW()-$C$72))"),"")</f>
        <v/>
      </c>
      <c r="M885" s="61" t="str">
        <f>IFERROR(__xludf.DUMMYFUNCTION("INDIRECT(""'收支紀錄'!M""&amp;TO_TEXT(ROW()-$C$72))"),"")</f>
        <v/>
      </c>
      <c r="N885" s="61" t="str">
        <f>IFERROR(__xludf.DUMMYFUNCTION("INDIRECT(""'收支紀錄'!N""&amp;TO_TEXT(ROW()-$C$72))"),"")</f>
        <v/>
      </c>
      <c r="O885" s="61" t="str">
        <f>IFERROR(__xludf.DUMMYFUNCTION("INDIRECT(""'收支紀錄'!O""&amp;TO_TEXT(ROW()-$C$72))"),"")</f>
        <v/>
      </c>
      <c r="P885" s="61" t="str">
        <f>IFERROR(__xludf.DUMMYFUNCTION("INDIRECT(""'收支紀錄'!P""&amp;TO_TEXT(ROW()-$C$72))"),"")</f>
        <v/>
      </c>
      <c r="Q885" s="61" t="str">
        <f>IFERROR(__xludf.DUMMYFUNCTION("INDIRECT(""'收支紀錄'!Q""&amp;TO_TEXT(ROW()-$C$72))"),"")</f>
        <v/>
      </c>
      <c r="R885" s="61" t="str">
        <f>IFERROR(__xludf.DUMMYFUNCTION("INDIRECT(""'收支紀錄'!R""&amp;TO_TEXT(ROW()-$C$72))"),"")</f>
        <v/>
      </c>
      <c r="S885" s="61" t="str">
        <f>IFERROR(__xludf.DUMMYFUNCTION("INDIRECT(""'收支紀錄'!S""&amp;TO_TEXT(ROW()-$C$72))"),"")</f>
        <v/>
      </c>
      <c r="T885" s="61" t="str">
        <f>IFERROR(__xludf.DUMMYFUNCTION("INDIRECT(""'收支紀錄'!T""&amp;TO_TEXT(ROW()-$C$72))"),"")</f>
        <v/>
      </c>
      <c r="U885" s="62" t="str">
        <f>IFERROR(__xludf.DUMMYFUNCTION("IF(T885=""是"",TEXTJOIN("""", TRUE, ""$"", TO_TEXT(C885), S885),"""")"),"")</f>
        <v/>
      </c>
    </row>
    <row r="886">
      <c r="A886" s="58">
        <f>IFERROR(__xludf.DUMMYFUNCTION("INDIRECT(""'收支紀錄'!A""&amp;TO_TEXT(ROW()-$C$72))"),45801.39600460648)</f>
        <v>45801.396</v>
      </c>
      <c r="B886" s="59">
        <f>IFERROR(__xludf.DUMMYFUNCTION("IF(ISBLANK(D886), """", IF(ISDATE(D886), D886, IF(D886=""今天"", A886, IF(D886=""昨天 (-1 day)"", A886-1, IF(D886=""前天 (-2 days)"", A886-2, IF(D886=""明天 (+1 day)"", A886+1, DATE(LEFT(D886,4), MID(D886,5,2), RIGHT(D886,2))))))))"),45800.39600460648)</f>
        <v>45800.396</v>
      </c>
      <c r="C886" s="60">
        <f>IFERROR(__xludf.DUMMYFUNCTION("INDIRECT(""'收支紀錄'!C""&amp;TO_TEXT(ROW()-$C$72))"),69.0)</f>
        <v>69</v>
      </c>
      <c r="D886" s="63" t="str">
        <f>IFERROR(__xludf.DUMMYFUNCTION("INDIRECT(""'收支紀錄'!D""&amp;TO_TEXT(ROW()-$C$72))"),"昨天 (-1 day)")</f>
        <v>昨天 (-1 day)</v>
      </c>
      <c r="E886" s="61" t="str">
        <f>IFERROR(__xludf.DUMMYFUNCTION("INDIRECT(""'收支紀錄'!E""&amp;TO_TEXT(ROW()-$C$72))"),"")</f>
        <v/>
      </c>
      <c r="F886" s="61" t="str">
        <f>IFERROR(__xludf.DUMMYFUNCTION("INDIRECT(""'收支紀錄'!F""&amp;TO_TEXT(ROW()-$C$72))"),"")</f>
        <v/>
      </c>
      <c r="G886" s="61" t="str">
        <f>IFERROR(__xludf.DUMMYFUNCTION("INDIRECT(""'收支紀錄'!G""&amp;TO_TEXT(ROW()-$C$72))"),"")</f>
        <v/>
      </c>
      <c r="H886" s="61" t="str">
        <f>IFERROR(__xludf.DUMMYFUNCTION("INDIRECT(""'收支紀錄'!H""&amp;TO_TEXT(ROW()-$C$72))"),"食品酒水")</f>
        <v>食品酒水</v>
      </c>
      <c r="I886" s="61" t="str">
        <f>IFERROR(__xludf.DUMMYFUNCTION("INDIRECT(""'收支紀錄'!I""&amp;TO_TEXT(ROW()-$C$72))"),"飲料酒水")</f>
        <v>飲料酒水</v>
      </c>
      <c r="J886" s="61" t="str">
        <f>IFERROR(__xludf.DUMMYFUNCTION("INDIRECT(""'收支紀錄'!J""&amp;TO_TEXT(ROW()-$C$72))"),"")</f>
        <v/>
      </c>
      <c r="K886" s="61" t="str">
        <f>IFERROR(__xludf.DUMMYFUNCTION("INDIRECT(""'收支紀錄'!K""&amp;TO_TEXT(ROW()-$C$72))"),"")</f>
        <v/>
      </c>
      <c r="L886" s="61" t="str">
        <f>IFERROR(__xludf.DUMMYFUNCTION("INDIRECT(""'收支紀錄'!L""&amp;TO_TEXT(ROW()-$C$72))"),"")</f>
        <v/>
      </c>
      <c r="M886" s="61" t="str">
        <f>IFERROR(__xludf.DUMMYFUNCTION("INDIRECT(""'收支紀錄'!M""&amp;TO_TEXT(ROW()-$C$72))"),"")</f>
        <v/>
      </c>
      <c r="N886" s="61" t="str">
        <f>IFERROR(__xludf.DUMMYFUNCTION("INDIRECT(""'收支紀錄'!N""&amp;TO_TEXT(ROW()-$C$72))"),"")</f>
        <v/>
      </c>
      <c r="O886" s="61" t="str">
        <f>IFERROR(__xludf.DUMMYFUNCTION("INDIRECT(""'收支紀錄'!O""&amp;TO_TEXT(ROW()-$C$72))"),"")</f>
        <v/>
      </c>
      <c r="P886" s="61" t="str">
        <f>IFERROR(__xludf.DUMMYFUNCTION("INDIRECT(""'收支紀錄'!P""&amp;TO_TEXT(ROW()-$C$72))"),"")</f>
        <v/>
      </c>
      <c r="Q886" s="61" t="str">
        <f>IFERROR(__xludf.DUMMYFUNCTION("INDIRECT(""'收支紀錄'!Q""&amp;TO_TEXT(ROW()-$C$72))"),"")</f>
        <v/>
      </c>
      <c r="R886" s="61" t="str">
        <f>IFERROR(__xludf.DUMMYFUNCTION("INDIRECT(""'收支紀錄'!R""&amp;TO_TEXT(ROW()-$C$72))"),"")</f>
        <v/>
      </c>
      <c r="S886" s="61" t="str">
        <f>IFERROR(__xludf.DUMMYFUNCTION("INDIRECT(""'收支紀錄'!S""&amp;TO_TEXT(ROW()-$C$72))"),"")</f>
        <v/>
      </c>
      <c r="T886" s="61" t="str">
        <f>IFERROR(__xludf.DUMMYFUNCTION("INDIRECT(""'收支紀錄'!T""&amp;TO_TEXT(ROW()-$C$72))"),"")</f>
        <v/>
      </c>
      <c r="U886" s="62" t="str">
        <f>IFERROR(__xludf.DUMMYFUNCTION("IF(T886=""是"",TEXTJOIN("""", TRUE, ""$"", TO_TEXT(C886), S886),"""")"),"")</f>
        <v/>
      </c>
    </row>
    <row r="887">
      <c r="A887" s="58">
        <f>IFERROR(__xludf.DUMMYFUNCTION("INDIRECT(""'收支紀錄'!A""&amp;TO_TEXT(ROW()-$C$72))"),45801.396136944444)</f>
        <v>45801.39614</v>
      </c>
      <c r="B887" s="59">
        <f>IFERROR(__xludf.DUMMYFUNCTION("IF(ISBLANK(D887), """", IF(ISDATE(D887), D887, IF(D887=""今天"", A887, IF(D887=""昨天 (-1 day)"", A887-1, IF(D887=""前天 (-2 days)"", A887-2, IF(D887=""明天 (+1 day)"", A887+1, DATE(LEFT(D887,4), MID(D887,5,2), RIGHT(D887,2))))))))"),45801.396136944444)</f>
        <v>45801.39614</v>
      </c>
      <c r="C887" s="60">
        <f>IFERROR(__xludf.DUMMYFUNCTION("INDIRECT(""'收支紀錄'!C""&amp;TO_TEXT(ROW()-$C$72))"),161.0)</f>
        <v>161</v>
      </c>
      <c r="D887" s="63" t="str">
        <f>IFERROR(__xludf.DUMMYFUNCTION("INDIRECT(""'收支紀錄'!D""&amp;TO_TEXT(ROW()-$C$72))"),"今天")</f>
        <v>今天</v>
      </c>
      <c r="E887" s="61" t="str">
        <f>IFERROR(__xludf.DUMMYFUNCTION("INDIRECT(""'收支紀錄'!E""&amp;TO_TEXT(ROW()-$C$72))"),"")</f>
        <v/>
      </c>
      <c r="F887" s="61" t="str">
        <f>IFERROR(__xludf.DUMMYFUNCTION("INDIRECT(""'收支紀錄'!F""&amp;TO_TEXT(ROW()-$C$72))"),"")</f>
        <v/>
      </c>
      <c r="G887" s="61" t="str">
        <f>IFERROR(__xludf.DUMMYFUNCTION("INDIRECT(""'收支紀錄'!G""&amp;TO_TEXT(ROW()-$C$72))"),"")</f>
        <v/>
      </c>
      <c r="H887" s="61" t="str">
        <f>IFERROR(__xludf.DUMMYFUNCTION("INDIRECT(""'收支紀錄'!H""&amp;TO_TEXT(ROW()-$C$72))"),"食品酒水")</f>
        <v>食品酒水</v>
      </c>
      <c r="I887" s="61" t="str">
        <f>IFERROR(__xludf.DUMMYFUNCTION("INDIRECT(""'收支紀錄'!I""&amp;TO_TEXT(ROW()-$C$72))"),"早餐")</f>
        <v>早餐</v>
      </c>
      <c r="J887" s="61" t="str">
        <f>IFERROR(__xludf.DUMMYFUNCTION("INDIRECT(""'收支紀錄'!J""&amp;TO_TEXT(ROW()-$C$72))"),"")</f>
        <v/>
      </c>
      <c r="K887" s="61" t="str">
        <f>IFERROR(__xludf.DUMMYFUNCTION("INDIRECT(""'收支紀錄'!K""&amp;TO_TEXT(ROW()-$C$72))"),"")</f>
        <v/>
      </c>
      <c r="L887" s="61" t="str">
        <f>IFERROR(__xludf.DUMMYFUNCTION("INDIRECT(""'收支紀錄'!L""&amp;TO_TEXT(ROW()-$C$72))"),"")</f>
        <v/>
      </c>
      <c r="M887" s="61" t="str">
        <f>IFERROR(__xludf.DUMMYFUNCTION("INDIRECT(""'收支紀錄'!M""&amp;TO_TEXT(ROW()-$C$72))"),"")</f>
        <v/>
      </c>
      <c r="N887" s="61" t="str">
        <f>IFERROR(__xludf.DUMMYFUNCTION("INDIRECT(""'收支紀錄'!N""&amp;TO_TEXT(ROW()-$C$72))"),"")</f>
        <v/>
      </c>
      <c r="O887" s="61" t="str">
        <f>IFERROR(__xludf.DUMMYFUNCTION("INDIRECT(""'收支紀錄'!O""&amp;TO_TEXT(ROW()-$C$72))"),"")</f>
        <v/>
      </c>
      <c r="P887" s="61" t="str">
        <f>IFERROR(__xludf.DUMMYFUNCTION("INDIRECT(""'收支紀錄'!P""&amp;TO_TEXT(ROW()-$C$72))"),"")</f>
        <v/>
      </c>
      <c r="Q887" s="61" t="str">
        <f>IFERROR(__xludf.DUMMYFUNCTION("INDIRECT(""'收支紀錄'!Q""&amp;TO_TEXT(ROW()-$C$72))"),"")</f>
        <v/>
      </c>
      <c r="R887" s="61" t="str">
        <f>IFERROR(__xludf.DUMMYFUNCTION("INDIRECT(""'收支紀錄'!R""&amp;TO_TEXT(ROW()-$C$72))"),"")</f>
        <v/>
      </c>
      <c r="S887" s="61" t="str">
        <f>IFERROR(__xludf.DUMMYFUNCTION("INDIRECT(""'收支紀錄'!S""&amp;TO_TEXT(ROW()-$C$72))"),"")</f>
        <v/>
      </c>
      <c r="T887" s="61" t="str">
        <f>IFERROR(__xludf.DUMMYFUNCTION("INDIRECT(""'收支紀錄'!T""&amp;TO_TEXT(ROW()-$C$72))"),"")</f>
        <v/>
      </c>
      <c r="U887" s="62" t="str">
        <f>IFERROR(__xludf.DUMMYFUNCTION("IF(T887=""是"",TEXTJOIN("""", TRUE, ""$"", TO_TEXT(C887), S887),"""")"),"")</f>
        <v/>
      </c>
    </row>
    <row r="888">
      <c r="A888" s="58">
        <f>IFERROR(__xludf.DUMMYFUNCTION("INDIRECT(""'收支紀錄'!A""&amp;TO_TEXT(ROW()-$C$72))"),45801.61979793981)</f>
        <v>45801.6198</v>
      </c>
      <c r="B888" s="59">
        <f>IFERROR(__xludf.DUMMYFUNCTION("IF(ISBLANK(D888), """", IF(ISDATE(D888), D888, IF(D888=""今天"", A888, IF(D888=""昨天 (-1 day)"", A888-1, IF(D888=""前天 (-2 days)"", A888-2, IF(D888=""明天 (+1 day)"", A888+1, DATE(LEFT(D888,4), MID(D888,5,2), RIGHT(D888,2))))))))"),45801.61979793981)</f>
        <v>45801.6198</v>
      </c>
      <c r="C888" s="60">
        <f>IFERROR(__xludf.DUMMYFUNCTION("INDIRECT(""'收支紀錄'!C""&amp;TO_TEXT(ROW()-$C$72))"),1000.0)</f>
        <v>1000</v>
      </c>
      <c r="D888" s="63" t="str">
        <f>IFERROR(__xludf.DUMMYFUNCTION("INDIRECT(""'收支紀錄'!D""&amp;TO_TEXT(ROW()-$C$72))"),"今天")</f>
        <v>今天</v>
      </c>
      <c r="E888" s="61" t="str">
        <f>IFERROR(__xludf.DUMMYFUNCTION("INDIRECT(""'收支紀錄'!E""&amp;TO_TEXT(ROW()-$C$72))"),"")</f>
        <v/>
      </c>
      <c r="F888" s="61" t="str">
        <f>IFERROR(__xludf.DUMMYFUNCTION("INDIRECT(""'收支紀錄'!F""&amp;TO_TEXT(ROW()-$C$72))"),"")</f>
        <v/>
      </c>
      <c r="G888" s="61" t="str">
        <f>IFERROR(__xludf.DUMMYFUNCTION("INDIRECT(""'收支紀錄'!G""&amp;TO_TEXT(ROW()-$C$72))"),"")</f>
        <v/>
      </c>
      <c r="H888" s="61" t="str">
        <f>IFERROR(__xludf.DUMMYFUNCTION("INDIRECT(""'收支紀錄'!H""&amp;TO_TEXT(ROW()-$C$72))"),"休閒娛樂")</f>
        <v>休閒娛樂</v>
      </c>
      <c r="I888" s="61" t="str">
        <f>IFERROR(__xludf.DUMMYFUNCTION("INDIRECT(""'收支紀錄'!I""&amp;TO_TEXT(ROW()-$C$72))"),"")</f>
        <v/>
      </c>
      <c r="J888" s="61" t="str">
        <f>IFERROR(__xludf.DUMMYFUNCTION("INDIRECT(""'收支紀錄'!J""&amp;TO_TEXT(ROW()-$C$72))"),"")</f>
        <v/>
      </c>
      <c r="K888" s="61" t="str">
        <f>IFERROR(__xludf.DUMMYFUNCTION("INDIRECT(""'收支紀錄'!K""&amp;TO_TEXT(ROW()-$C$72))"),"")</f>
        <v/>
      </c>
      <c r="L888" s="61" t="str">
        <f>IFERROR(__xludf.DUMMYFUNCTION("INDIRECT(""'收支紀錄'!L""&amp;TO_TEXT(ROW()-$C$72))"),"")</f>
        <v/>
      </c>
      <c r="M888" s="61" t="str">
        <f>IFERROR(__xludf.DUMMYFUNCTION("INDIRECT(""'收支紀錄'!M""&amp;TO_TEXT(ROW()-$C$72))"),"休閒玩樂")</f>
        <v>休閒玩樂</v>
      </c>
      <c r="N888" s="61" t="str">
        <f>IFERROR(__xludf.DUMMYFUNCTION("INDIRECT(""'收支紀錄'!N""&amp;TO_TEXT(ROW()-$C$72))"),"")</f>
        <v/>
      </c>
      <c r="O888" s="61" t="str">
        <f>IFERROR(__xludf.DUMMYFUNCTION("INDIRECT(""'收支紀錄'!O""&amp;TO_TEXT(ROW()-$C$72))"),"")</f>
        <v/>
      </c>
      <c r="P888" s="61" t="str">
        <f>IFERROR(__xludf.DUMMYFUNCTION("INDIRECT(""'收支紀錄'!P""&amp;TO_TEXT(ROW()-$C$72))"),"")</f>
        <v/>
      </c>
      <c r="Q888" s="61" t="str">
        <f>IFERROR(__xludf.DUMMYFUNCTION("INDIRECT(""'收支紀錄'!Q""&amp;TO_TEXT(ROW()-$C$72))"),"")</f>
        <v/>
      </c>
      <c r="R888" s="61" t="str">
        <f>IFERROR(__xludf.DUMMYFUNCTION("INDIRECT(""'收支紀錄'!R""&amp;TO_TEXT(ROW()-$C$72))"),"")</f>
        <v/>
      </c>
      <c r="S888" s="61" t="str">
        <f>IFERROR(__xludf.DUMMYFUNCTION("INDIRECT(""'收支紀錄'!S""&amp;TO_TEXT(ROW()-$C$72))"),"威秀加值")</f>
        <v>威秀加值</v>
      </c>
      <c r="T888" s="61" t="str">
        <f>IFERROR(__xludf.DUMMYFUNCTION("INDIRECT(""'收支紀錄'!T""&amp;TO_TEXT(ROW()-$C$72))"),"")</f>
        <v/>
      </c>
      <c r="U888" s="62" t="str">
        <f>IFERROR(__xludf.DUMMYFUNCTION("IF(T888=""是"",TEXTJOIN("""", TRUE, ""$"", TO_TEXT(C888), S888),"""")"),"")</f>
        <v/>
      </c>
    </row>
    <row r="889">
      <c r="A889" s="58">
        <f>IFERROR(__xludf.DUMMYFUNCTION("INDIRECT(""'收支紀錄'!A""&amp;TO_TEXT(ROW()-$C$72))"),45801.62001246528)</f>
        <v>45801.62001</v>
      </c>
      <c r="B889" s="59">
        <f>IFERROR(__xludf.DUMMYFUNCTION("IF(ISBLANK(D889), """", IF(ISDATE(D889), D889, IF(D889=""今天"", A889, IF(D889=""昨天 (-1 day)"", A889-1, IF(D889=""前天 (-2 days)"", A889-2, IF(D889=""明天 (+1 day)"", A889+1, DATE(LEFT(D889,4), MID(D889,5,2), RIGHT(D889,2))))))))"),45801.62001246528)</f>
        <v>45801.62001</v>
      </c>
      <c r="C889" s="60">
        <f>IFERROR(__xludf.DUMMYFUNCTION("INDIRECT(""'收支紀錄'!C""&amp;TO_TEXT(ROW()-$C$72))"),951.0)</f>
        <v>951</v>
      </c>
      <c r="D889" s="63" t="str">
        <f>IFERROR(__xludf.DUMMYFUNCTION("INDIRECT(""'收支紀錄'!D""&amp;TO_TEXT(ROW()-$C$72))"),"今天")</f>
        <v>今天</v>
      </c>
      <c r="E889" s="61" t="str">
        <f>IFERROR(__xludf.DUMMYFUNCTION("INDIRECT(""'收支紀錄'!E""&amp;TO_TEXT(ROW()-$C$72))"),"")</f>
        <v/>
      </c>
      <c r="F889" s="61" t="str">
        <f>IFERROR(__xludf.DUMMYFUNCTION("INDIRECT(""'收支紀錄'!F""&amp;TO_TEXT(ROW()-$C$72))"),"")</f>
        <v/>
      </c>
      <c r="G889" s="61" t="str">
        <f>IFERROR(__xludf.DUMMYFUNCTION("INDIRECT(""'收支紀錄'!G""&amp;TO_TEXT(ROW()-$C$72))"),"")</f>
        <v/>
      </c>
      <c r="H889" s="61" t="str">
        <f>IFERROR(__xludf.DUMMYFUNCTION("INDIRECT(""'收支紀錄'!H""&amp;TO_TEXT(ROW()-$C$72))"),"食品酒水")</f>
        <v>食品酒水</v>
      </c>
      <c r="I889" s="61" t="str">
        <f>IFERROR(__xludf.DUMMYFUNCTION("INDIRECT(""'收支紀錄'!I""&amp;TO_TEXT(ROW()-$C$72))"),"午餐")</f>
        <v>午餐</v>
      </c>
      <c r="J889" s="61" t="str">
        <f>IFERROR(__xludf.DUMMYFUNCTION("INDIRECT(""'收支紀錄'!J""&amp;TO_TEXT(ROW()-$C$72))"),"")</f>
        <v/>
      </c>
      <c r="K889" s="61" t="str">
        <f>IFERROR(__xludf.DUMMYFUNCTION("INDIRECT(""'收支紀錄'!K""&amp;TO_TEXT(ROW()-$C$72))"),"")</f>
        <v/>
      </c>
      <c r="L889" s="61" t="str">
        <f>IFERROR(__xludf.DUMMYFUNCTION("INDIRECT(""'收支紀錄'!L""&amp;TO_TEXT(ROW()-$C$72))"),"")</f>
        <v/>
      </c>
      <c r="M889" s="61" t="str">
        <f>IFERROR(__xludf.DUMMYFUNCTION("INDIRECT(""'收支紀錄'!M""&amp;TO_TEXT(ROW()-$C$72))"),"")</f>
        <v/>
      </c>
      <c r="N889" s="61" t="str">
        <f>IFERROR(__xludf.DUMMYFUNCTION("INDIRECT(""'收支紀錄'!N""&amp;TO_TEXT(ROW()-$C$72))"),"")</f>
        <v/>
      </c>
      <c r="O889" s="61" t="str">
        <f>IFERROR(__xludf.DUMMYFUNCTION("INDIRECT(""'收支紀錄'!O""&amp;TO_TEXT(ROW()-$C$72))"),"")</f>
        <v/>
      </c>
      <c r="P889" s="61" t="str">
        <f>IFERROR(__xludf.DUMMYFUNCTION("INDIRECT(""'收支紀錄'!P""&amp;TO_TEXT(ROW()-$C$72))"),"")</f>
        <v/>
      </c>
      <c r="Q889" s="61" t="str">
        <f>IFERROR(__xludf.DUMMYFUNCTION("INDIRECT(""'收支紀錄'!Q""&amp;TO_TEXT(ROW()-$C$72))"),"")</f>
        <v/>
      </c>
      <c r="R889" s="61" t="str">
        <f>IFERROR(__xludf.DUMMYFUNCTION("INDIRECT(""'收支紀錄'!R""&amp;TO_TEXT(ROW()-$C$72))"),"")</f>
        <v/>
      </c>
      <c r="S889" s="61" t="str">
        <f>IFERROR(__xludf.DUMMYFUNCTION("INDIRECT(""'收支紀錄'!S""&amp;TO_TEXT(ROW()-$C$72))"),"鼎泰豐")</f>
        <v>鼎泰豐</v>
      </c>
      <c r="T889" s="61" t="str">
        <f>IFERROR(__xludf.DUMMYFUNCTION("INDIRECT(""'收支紀錄'!T""&amp;TO_TEXT(ROW()-$C$72))"),"")</f>
        <v/>
      </c>
      <c r="U889" s="62" t="str">
        <f>IFERROR(__xludf.DUMMYFUNCTION("IF(T889=""是"",TEXTJOIN("""", TRUE, ""$"", TO_TEXT(C889), S889),"""")"),"")</f>
        <v/>
      </c>
    </row>
    <row r="890">
      <c r="A890" s="58">
        <f>IFERROR(__xludf.DUMMYFUNCTION("INDIRECT(""'收支紀錄'!A""&amp;TO_TEXT(ROW()-$C$72))"),45801.96519501157)</f>
        <v>45801.9652</v>
      </c>
      <c r="B890" s="59">
        <f>IFERROR(__xludf.DUMMYFUNCTION("IF(ISBLANK(D890), """", IF(ISDATE(D890), D890, IF(D890=""今天"", A890, IF(D890=""昨天 (-1 day)"", A890-1, IF(D890=""前天 (-2 days)"", A890-2, IF(D890=""明天 (+1 day)"", A890+1, DATE(LEFT(D890,4), MID(D890,5,2), RIGHT(D890,2))))))))"),45801.96519501157)</f>
        <v>45801.9652</v>
      </c>
      <c r="C890" s="60">
        <f>IFERROR(__xludf.DUMMYFUNCTION("INDIRECT(""'收支紀錄'!C""&amp;TO_TEXT(ROW()-$C$72))"),75.0)</f>
        <v>75</v>
      </c>
      <c r="D890" s="63" t="str">
        <f>IFERROR(__xludf.DUMMYFUNCTION("INDIRECT(""'收支紀錄'!D""&amp;TO_TEXT(ROW()-$C$72))"),"今天")</f>
        <v>今天</v>
      </c>
      <c r="E890" s="61" t="str">
        <f>IFERROR(__xludf.DUMMYFUNCTION("INDIRECT(""'收支紀錄'!E""&amp;TO_TEXT(ROW()-$C$72))"),"")</f>
        <v/>
      </c>
      <c r="F890" s="61" t="str">
        <f>IFERROR(__xludf.DUMMYFUNCTION("INDIRECT(""'收支紀錄'!F""&amp;TO_TEXT(ROW()-$C$72))"),"")</f>
        <v/>
      </c>
      <c r="G890" s="61" t="str">
        <f>IFERROR(__xludf.DUMMYFUNCTION("INDIRECT(""'收支紀錄'!G""&amp;TO_TEXT(ROW()-$C$72))"),"")</f>
        <v/>
      </c>
      <c r="H890" s="61" t="str">
        <f>IFERROR(__xludf.DUMMYFUNCTION("INDIRECT(""'收支紀錄'!H""&amp;TO_TEXT(ROW()-$C$72))"),"行車交通")</f>
        <v>行車交通</v>
      </c>
      <c r="I890" s="61" t="str">
        <f>IFERROR(__xludf.DUMMYFUNCTION("INDIRECT(""'收支紀錄'!I""&amp;TO_TEXT(ROW()-$C$72))"),"")</f>
        <v/>
      </c>
      <c r="J890" s="61" t="str">
        <f>IFERROR(__xludf.DUMMYFUNCTION("INDIRECT(""'收支紀錄'!J""&amp;TO_TEXT(ROW()-$C$72))"),"")</f>
        <v/>
      </c>
      <c r="K890" s="61" t="str">
        <f>IFERROR(__xludf.DUMMYFUNCTION("INDIRECT(""'收支紀錄'!K""&amp;TO_TEXT(ROW()-$C$72))"),"")</f>
        <v/>
      </c>
      <c r="L890" s="61" t="str">
        <f>IFERROR(__xludf.DUMMYFUNCTION("INDIRECT(""'收支紀錄'!L""&amp;TO_TEXT(ROW()-$C$72))"),"停車")</f>
        <v>停車</v>
      </c>
      <c r="M890" s="61" t="str">
        <f>IFERROR(__xludf.DUMMYFUNCTION("INDIRECT(""'收支紀錄'!M""&amp;TO_TEXT(ROW()-$C$72))"),"")</f>
        <v/>
      </c>
      <c r="N890" s="61" t="str">
        <f>IFERROR(__xludf.DUMMYFUNCTION("INDIRECT(""'收支紀錄'!N""&amp;TO_TEXT(ROW()-$C$72))"),"")</f>
        <v/>
      </c>
      <c r="O890" s="61" t="str">
        <f>IFERROR(__xludf.DUMMYFUNCTION("INDIRECT(""'收支紀錄'!O""&amp;TO_TEXT(ROW()-$C$72))"),"")</f>
        <v/>
      </c>
      <c r="P890" s="61" t="str">
        <f>IFERROR(__xludf.DUMMYFUNCTION("INDIRECT(""'收支紀錄'!P""&amp;TO_TEXT(ROW()-$C$72))"),"")</f>
        <v/>
      </c>
      <c r="Q890" s="61" t="str">
        <f>IFERROR(__xludf.DUMMYFUNCTION("INDIRECT(""'收支紀錄'!Q""&amp;TO_TEXT(ROW()-$C$72))"),"")</f>
        <v/>
      </c>
      <c r="R890" s="61" t="str">
        <f>IFERROR(__xludf.DUMMYFUNCTION("INDIRECT(""'收支紀錄'!R""&amp;TO_TEXT(ROW()-$C$72))"),"")</f>
        <v/>
      </c>
      <c r="S890" s="61" t="str">
        <f>IFERROR(__xludf.DUMMYFUNCTION("INDIRECT(""'收支紀錄'!S""&amp;TO_TEXT(ROW()-$C$72))"),"")</f>
        <v/>
      </c>
      <c r="T890" s="61" t="str">
        <f>IFERROR(__xludf.DUMMYFUNCTION("INDIRECT(""'收支紀錄'!T""&amp;TO_TEXT(ROW()-$C$72))"),"")</f>
        <v/>
      </c>
      <c r="U890" s="62" t="str">
        <f>IFERROR(__xludf.DUMMYFUNCTION("IF(T890=""是"",TEXTJOIN("""", TRUE, ""$"", TO_TEXT(C890), S890),"""")"),"")</f>
        <v/>
      </c>
    </row>
    <row r="891">
      <c r="A891" s="58">
        <f>IFERROR(__xludf.DUMMYFUNCTION("INDIRECT(""'收支紀錄'!A""&amp;TO_TEXT(ROW()-$C$72))"),45801.965373240746)</f>
        <v>45801.96537</v>
      </c>
      <c r="B891" s="59">
        <f>IFERROR(__xludf.DUMMYFUNCTION("IF(ISBLANK(D891), """", IF(ISDATE(D891), D891, IF(D891=""今天"", A891, IF(D891=""昨天 (-1 day)"", A891-1, IF(D891=""前天 (-2 days)"", A891-2, IF(D891=""明天 (+1 day)"", A891+1, DATE(LEFT(D891,4), MID(D891,5,2), RIGHT(D891,2))))))))"),45801.965373240746)</f>
        <v>45801.96537</v>
      </c>
      <c r="C891" s="60">
        <f>IFERROR(__xludf.DUMMYFUNCTION("INDIRECT(""'收支紀錄'!C""&amp;TO_TEXT(ROW()-$C$72))"),150.0)</f>
        <v>150</v>
      </c>
      <c r="D891" s="63" t="str">
        <f>IFERROR(__xludf.DUMMYFUNCTION("INDIRECT(""'收支紀錄'!D""&amp;TO_TEXT(ROW()-$C$72))"),"今天")</f>
        <v>今天</v>
      </c>
      <c r="E891" s="61" t="str">
        <f>IFERROR(__xludf.DUMMYFUNCTION("INDIRECT(""'收支紀錄'!E""&amp;TO_TEXT(ROW()-$C$72))"),"")</f>
        <v/>
      </c>
      <c r="F891" s="61" t="str">
        <f>IFERROR(__xludf.DUMMYFUNCTION("INDIRECT(""'收支紀錄'!F""&amp;TO_TEXT(ROW()-$C$72))"),"")</f>
        <v/>
      </c>
      <c r="G891" s="61" t="str">
        <f>IFERROR(__xludf.DUMMYFUNCTION("INDIRECT(""'收支紀錄'!G""&amp;TO_TEXT(ROW()-$C$72))"),"")</f>
        <v/>
      </c>
      <c r="H891" s="61" t="str">
        <f>IFERROR(__xludf.DUMMYFUNCTION("INDIRECT(""'收支紀錄'!H""&amp;TO_TEXT(ROW()-$C$72))"),"日常生活")</f>
        <v>日常生活</v>
      </c>
      <c r="I891" s="61" t="str">
        <f>IFERROR(__xludf.DUMMYFUNCTION("INDIRECT(""'收支紀錄'!I""&amp;TO_TEXT(ROW()-$C$72))"),"")</f>
        <v/>
      </c>
      <c r="J891" s="61" t="str">
        <f>IFERROR(__xludf.DUMMYFUNCTION("INDIRECT(""'收支紀錄'!J""&amp;TO_TEXT(ROW()-$C$72))"),"日常用品")</f>
        <v>日常用品</v>
      </c>
      <c r="K891" s="61" t="str">
        <f>IFERROR(__xludf.DUMMYFUNCTION("INDIRECT(""'收支紀錄'!K""&amp;TO_TEXT(ROW()-$C$72))"),"")</f>
        <v/>
      </c>
      <c r="L891" s="61" t="str">
        <f>IFERROR(__xludf.DUMMYFUNCTION("INDIRECT(""'收支紀錄'!L""&amp;TO_TEXT(ROW()-$C$72))"),"")</f>
        <v/>
      </c>
      <c r="M891" s="61" t="str">
        <f>IFERROR(__xludf.DUMMYFUNCTION("INDIRECT(""'收支紀錄'!M""&amp;TO_TEXT(ROW()-$C$72))"),"")</f>
        <v/>
      </c>
      <c r="N891" s="61" t="str">
        <f>IFERROR(__xludf.DUMMYFUNCTION("INDIRECT(""'收支紀錄'!N""&amp;TO_TEXT(ROW()-$C$72))"),"")</f>
        <v/>
      </c>
      <c r="O891" s="61" t="str">
        <f>IFERROR(__xludf.DUMMYFUNCTION("INDIRECT(""'收支紀錄'!O""&amp;TO_TEXT(ROW()-$C$72))"),"")</f>
        <v/>
      </c>
      <c r="P891" s="61" t="str">
        <f>IFERROR(__xludf.DUMMYFUNCTION("INDIRECT(""'收支紀錄'!P""&amp;TO_TEXT(ROW()-$C$72))"),"")</f>
        <v/>
      </c>
      <c r="Q891" s="61" t="str">
        <f>IFERROR(__xludf.DUMMYFUNCTION("INDIRECT(""'收支紀錄'!Q""&amp;TO_TEXT(ROW()-$C$72))"),"")</f>
        <v/>
      </c>
      <c r="R891" s="61" t="str">
        <f>IFERROR(__xludf.DUMMYFUNCTION("INDIRECT(""'收支紀錄'!R""&amp;TO_TEXT(ROW()-$C$72))"),"")</f>
        <v/>
      </c>
      <c r="S891" s="61" t="str">
        <f>IFERROR(__xludf.DUMMYFUNCTION("INDIRECT(""'收支紀錄'!S""&amp;TO_TEXT(ROW()-$C$72))"),"")</f>
        <v/>
      </c>
      <c r="T891" s="61" t="str">
        <f>IFERROR(__xludf.DUMMYFUNCTION("INDIRECT(""'收支紀錄'!T""&amp;TO_TEXT(ROW()-$C$72))"),"")</f>
        <v/>
      </c>
      <c r="U891" s="62" t="str">
        <f>IFERROR(__xludf.DUMMYFUNCTION("IF(T891=""是"",TEXTJOIN("""", TRUE, ""$"", TO_TEXT(C891), S891),"""")"),"")</f>
        <v/>
      </c>
    </row>
    <row r="892">
      <c r="A892" s="58">
        <f>IFERROR(__xludf.DUMMYFUNCTION("INDIRECT(""'收支紀錄'!A""&amp;TO_TEXT(ROW()-$C$72))"),45801.96556636574)</f>
        <v>45801.96557</v>
      </c>
      <c r="B892" s="59">
        <f>IFERROR(__xludf.DUMMYFUNCTION("IF(ISBLANK(D892), """", IF(ISDATE(D892), D892, IF(D892=""今天"", A892, IF(D892=""昨天 (-1 day)"", A892-1, IF(D892=""前天 (-2 days)"", A892-2, IF(D892=""明天 (+1 day)"", A892+1, DATE(LEFT(D892,4), MID(D892,5,2), RIGHT(D892,2))))))))"),45801.96556636574)</f>
        <v>45801.96557</v>
      </c>
      <c r="C892" s="60">
        <f>IFERROR(__xludf.DUMMYFUNCTION("INDIRECT(""'收支紀錄'!C""&amp;TO_TEXT(ROW()-$C$72))"),30.0)</f>
        <v>30</v>
      </c>
      <c r="D892" s="63" t="str">
        <f>IFERROR(__xludf.DUMMYFUNCTION("INDIRECT(""'收支紀錄'!D""&amp;TO_TEXT(ROW()-$C$72))"),"今天")</f>
        <v>今天</v>
      </c>
      <c r="E892" s="61" t="str">
        <f>IFERROR(__xludf.DUMMYFUNCTION("INDIRECT(""'收支紀錄'!E""&amp;TO_TEXT(ROW()-$C$72))"),"")</f>
        <v/>
      </c>
      <c r="F892" s="61" t="str">
        <f>IFERROR(__xludf.DUMMYFUNCTION("INDIRECT(""'收支紀錄'!F""&amp;TO_TEXT(ROW()-$C$72))"),"")</f>
        <v/>
      </c>
      <c r="G892" s="61" t="str">
        <f>IFERROR(__xludf.DUMMYFUNCTION("INDIRECT(""'收支紀錄'!G""&amp;TO_TEXT(ROW()-$C$72))"),"")</f>
        <v/>
      </c>
      <c r="H892" s="61" t="str">
        <f>IFERROR(__xludf.DUMMYFUNCTION("INDIRECT(""'收支紀錄'!H""&amp;TO_TEXT(ROW()-$C$72))"),"行車交通")</f>
        <v>行車交通</v>
      </c>
      <c r="I892" s="61" t="str">
        <f>IFERROR(__xludf.DUMMYFUNCTION("INDIRECT(""'收支紀錄'!I""&amp;TO_TEXT(ROW()-$C$72))"),"")</f>
        <v/>
      </c>
      <c r="J892" s="61" t="str">
        <f>IFERROR(__xludf.DUMMYFUNCTION("INDIRECT(""'收支紀錄'!J""&amp;TO_TEXT(ROW()-$C$72))"),"")</f>
        <v/>
      </c>
      <c r="K892" s="61" t="str">
        <f>IFERROR(__xludf.DUMMYFUNCTION("INDIRECT(""'收支紀錄'!K""&amp;TO_TEXT(ROW()-$C$72))"),"")</f>
        <v/>
      </c>
      <c r="L892" s="61" t="str">
        <f>IFERROR(__xludf.DUMMYFUNCTION("INDIRECT(""'收支紀錄'!L""&amp;TO_TEXT(ROW()-$C$72))"),"停車")</f>
        <v>停車</v>
      </c>
      <c r="M892" s="61" t="str">
        <f>IFERROR(__xludf.DUMMYFUNCTION("INDIRECT(""'收支紀錄'!M""&amp;TO_TEXT(ROW()-$C$72))"),"")</f>
        <v/>
      </c>
      <c r="N892" s="61" t="str">
        <f>IFERROR(__xludf.DUMMYFUNCTION("INDIRECT(""'收支紀錄'!N""&amp;TO_TEXT(ROW()-$C$72))"),"")</f>
        <v/>
      </c>
      <c r="O892" s="61" t="str">
        <f>IFERROR(__xludf.DUMMYFUNCTION("INDIRECT(""'收支紀錄'!O""&amp;TO_TEXT(ROW()-$C$72))"),"")</f>
        <v/>
      </c>
      <c r="P892" s="61" t="str">
        <f>IFERROR(__xludf.DUMMYFUNCTION("INDIRECT(""'收支紀錄'!P""&amp;TO_TEXT(ROW()-$C$72))"),"")</f>
        <v/>
      </c>
      <c r="Q892" s="61" t="str">
        <f>IFERROR(__xludf.DUMMYFUNCTION("INDIRECT(""'收支紀錄'!Q""&amp;TO_TEXT(ROW()-$C$72))"),"")</f>
        <v/>
      </c>
      <c r="R892" s="61" t="str">
        <f>IFERROR(__xludf.DUMMYFUNCTION("INDIRECT(""'收支紀錄'!R""&amp;TO_TEXT(ROW()-$C$72))"),"")</f>
        <v/>
      </c>
      <c r="S892" s="61" t="str">
        <f>IFERROR(__xludf.DUMMYFUNCTION("INDIRECT(""'收支紀錄'!S""&amp;TO_TEXT(ROW()-$C$72))"),"")</f>
        <v/>
      </c>
      <c r="T892" s="61" t="str">
        <f>IFERROR(__xludf.DUMMYFUNCTION("INDIRECT(""'收支紀錄'!T""&amp;TO_TEXT(ROW()-$C$72))"),"")</f>
        <v/>
      </c>
      <c r="U892" s="62" t="str">
        <f>IFERROR(__xludf.DUMMYFUNCTION("IF(T892=""是"",TEXTJOIN("""", TRUE, ""$"", TO_TEXT(C892), S892),"""")"),"")</f>
        <v/>
      </c>
    </row>
    <row r="893">
      <c r="A893" s="58">
        <f>IFERROR(__xludf.DUMMYFUNCTION("INDIRECT(""'收支紀錄'!A""&amp;TO_TEXT(ROW()-$C$72))"),45802.6307071412)</f>
        <v>45802.63071</v>
      </c>
      <c r="B893" s="59">
        <f>IFERROR(__xludf.DUMMYFUNCTION("IF(ISBLANK(D893), """", IF(ISDATE(D893), D893, IF(D893=""今天"", A893, IF(D893=""昨天 (-1 day)"", A893-1, IF(D893=""前天 (-2 days)"", A893-2, IF(D893=""明天 (+1 day)"", A893+1, DATE(LEFT(D893,4), MID(D893,5,2), RIGHT(D893,2))))))))"),45802.6307071412)</f>
        <v>45802.63071</v>
      </c>
      <c r="C893" s="60">
        <f>IFERROR(__xludf.DUMMYFUNCTION("INDIRECT(""'收支紀錄'!C""&amp;TO_TEXT(ROW()-$C$72))"),338.0)</f>
        <v>338</v>
      </c>
      <c r="D893" s="63" t="str">
        <f>IFERROR(__xludf.DUMMYFUNCTION("INDIRECT(""'收支紀錄'!D""&amp;TO_TEXT(ROW()-$C$72))"),"今天")</f>
        <v>今天</v>
      </c>
      <c r="E893" s="61" t="str">
        <f>IFERROR(__xludf.DUMMYFUNCTION("INDIRECT(""'收支紀錄'!E""&amp;TO_TEXT(ROW()-$C$72))"),"")</f>
        <v/>
      </c>
      <c r="F893" s="61" t="str">
        <f>IFERROR(__xludf.DUMMYFUNCTION("INDIRECT(""'收支紀錄'!F""&amp;TO_TEXT(ROW()-$C$72))"),"")</f>
        <v/>
      </c>
      <c r="G893" s="61" t="str">
        <f>IFERROR(__xludf.DUMMYFUNCTION("INDIRECT(""'收支紀錄'!G""&amp;TO_TEXT(ROW()-$C$72))"),"")</f>
        <v/>
      </c>
      <c r="H893" s="61" t="str">
        <f>IFERROR(__xludf.DUMMYFUNCTION("INDIRECT(""'收支紀錄'!H""&amp;TO_TEXT(ROW()-$C$72))"),"食品酒水")</f>
        <v>食品酒水</v>
      </c>
      <c r="I893" s="61" t="str">
        <f>IFERROR(__xludf.DUMMYFUNCTION("INDIRECT(""'收支紀錄'!I""&amp;TO_TEXT(ROW()-$C$72))"),"午餐")</f>
        <v>午餐</v>
      </c>
      <c r="J893" s="61" t="str">
        <f>IFERROR(__xludf.DUMMYFUNCTION("INDIRECT(""'收支紀錄'!J""&amp;TO_TEXT(ROW()-$C$72))"),"")</f>
        <v/>
      </c>
      <c r="K893" s="61" t="str">
        <f>IFERROR(__xludf.DUMMYFUNCTION("INDIRECT(""'收支紀錄'!K""&amp;TO_TEXT(ROW()-$C$72))"),"")</f>
        <v/>
      </c>
      <c r="L893" s="61" t="str">
        <f>IFERROR(__xludf.DUMMYFUNCTION("INDIRECT(""'收支紀錄'!L""&amp;TO_TEXT(ROW()-$C$72))"),"")</f>
        <v/>
      </c>
      <c r="M893" s="61" t="str">
        <f>IFERROR(__xludf.DUMMYFUNCTION("INDIRECT(""'收支紀錄'!M""&amp;TO_TEXT(ROW()-$C$72))"),"")</f>
        <v/>
      </c>
      <c r="N893" s="61" t="str">
        <f>IFERROR(__xludf.DUMMYFUNCTION("INDIRECT(""'收支紀錄'!N""&amp;TO_TEXT(ROW()-$C$72))"),"")</f>
        <v/>
      </c>
      <c r="O893" s="61" t="str">
        <f>IFERROR(__xludf.DUMMYFUNCTION("INDIRECT(""'收支紀錄'!O""&amp;TO_TEXT(ROW()-$C$72))"),"")</f>
        <v/>
      </c>
      <c r="P893" s="61" t="str">
        <f>IFERROR(__xludf.DUMMYFUNCTION("INDIRECT(""'收支紀錄'!P""&amp;TO_TEXT(ROW()-$C$72))"),"")</f>
        <v/>
      </c>
      <c r="Q893" s="61" t="str">
        <f>IFERROR(__xludf.DUMMYFUNCTION("INDIRECT(""'收支紀錄'!Q""&amp;TO_TEXT(ROW()-$C$72))"),"")</f>
        <v/>
      </c>
      <c r="R893" s="61" t="str">
        <f>IFERROR(__xludf.DUMMYFUNCTION("INDIRECT(""'收支紀錄'!R""&amp;TO_TEXT(ROW()-$C$72))"),"")</f>
        <v/>
      </c>
      <c r="S893" s="61" t="str">
        <f>IFERROR(__xludf.DUMMYFUNCTION("INDIRECT(""'收支紀錄'!S""&amp;TO_TEXT(ROW()-$C$72))"),"")</f>
        <v/>
      </c>
      <c r="T893" s="61" t="str">
        <f>IFERROR(__xludf.DUMMYFUNCTION("INDIRECT(""'收支紀錄'!T""&amp;TO_TEXT(ROW()-$C$72))"),"")</f>
        <v/>
      </c>
      <c r="U893" s="62" t="str">
        <f>IFERROR(__xludf.DUMMYFUNCTION("IF(T893=""是"",TEXTJOIN("""", TRUE, ""$"", TO_TEXT(C893), S893),"""")"),"")</f>
        <v/>
      </c>
    </row>
    <row r="894">
      <c r="A894" s="58">
        <f>IFERROR(__xludf.DUMMYFUNCTION("INDIRECT(""'收支紀錄'!A""&amp;TO_TEXT(ROW()-$C$72))"),45802.630994583335)</f>
        <v>45802.63099</v>
      </c>
      <c r="B894" s="59">
        <f>IFERROR(__xludf.DUMMYFUNCTION("IF(ISBLANK(D894), """", IF(ISDATE(D894), D894, IF(D894=""今天"", A894, IF(D894=""昨天 (-1 day)"", A894-1, IF(D894=""前天 (-2 days)"", A894-2, IF(D894=""明天 (+1 day)"", A894+1, DATE(LEFT(D894,4), MID(D894,5,2), RIGHT(D894,2))))))))"),45802.630994583335)</f>
        <v>45802.63099</v>
      </c>
      <c r="C894" s="60">
        <f>IFERROR(__xludf.DUMMYFUNCTION("INDIRECT(""'收支紀錄'!C""&amp;TO_TEXT(ROW()-$C$72))"),1087.0)</f>
        <v>1087</v>
      </c>
      <c r="D894" s="63" t="str">
        <f>IFERROR(__xludf.DUMMYFUNCTION("INDIRECT(""'收支紀錄'!D""&amp;TO_TEXT(ROW()-$C$72))"),"今天")</f>
        <v>今天</v>
      </c>
      <c r="E894" s="61" t="str">
        <f>IFERROR(__xludf.DUMMYFUNCTION("INDIRECT(""'收支紀錄'!E""&amp;TO_TEXT(ROW()-$C$72))"),"")</f>
        <v/>
      </c>
      <c r="F894" s="61" t="str">
        <f>IFERROR(__xludf.DUMMYFUNCTION("INDIRECT(""'收支紀錄'!F""&amp;TO_TEXT(ROW()-$C$72))"),"")</f>
        <v/>
      </c>
      <c r="G894" s="61" t="str">
        <f>IFERROR(__xludf.DUMMYFUNCTION("INDIRECT(""'收支紀錄'!G""&amp;TO_TEXT(ROW()-$C$72))"),"")</f>
        <v/>
      </c>
      <c r="H894" s="61" t="str">
        <f>IFERROR(__xludf.DUMMYFUNCTION("INDIRECT(""'收支紀錄'!H""&amp;TO_TEXT(ROW()-$C$72))"),"日常生活")</f>
        <v>日常生活</v>
      </c>
      <c r="I894" s="61" t="str">
        <f>IFERROR(__xludf.DUMMYFUNCTION("INDIRECT(""'收支紀錄'!I""&amp;TO_TEXT(ROW()-$C$72))"),"")</f>
        <v/>
      </c>
      <c r="J894" s="61" t="str">
        <f>IFERROR(__xludf.DUMMYFUNCTION("INDIRECT(""'收支紀錄'!J""&amp;TO_TEXT(ROW()-$C$72))"),"日常用品")</f>
        <v>日常用品</v>
      </c>
      <c r="K894" s="61" t="str">
        <f>IFERROR(__xludf.DUMMYFUNCTION("INDIRECT(""'收支紀錄'!K""&amp;TO_TEXT(ROW()-$C$72))"),"")</f>
        <v/>
      </c>
      <c r="L894" s="61" t="str">
        <f>IFERROR(__xludf.DUMMYFUNCTION("INDIRECT(""'收支紀錄'!L""&amp;TO_TEXT(ROW()-$C$72))"),"")</f>
        <v/>
      </c>
      <c r="M894" s="61" t="str">
        <f>IFERROR(__xludf.DUMMYFUNCTION("INDIRECT(""'收支紀錄'!M""&amp;TO_TEXT(ROW()-$C$72))"),"")</f>
        <v/>
      </c>
      <c r="N894" s="61" t="str">
        <f>IFERROR(__xludf.DUMMYFUNCTION("INDIRECT(""'收支紀錄'!N""&amp;TO_TEXT(ROW()-$C$72))"),"")</f>
        <v/>
      </c>
      <c r="O894" s="61" t="str">
        <f>IFERROR(__xludf.DUMMYFUNCTION("INDIRECT(""'收支紀錄'!O""&amp;TO_TEXT(ROW()-$C$72))"),"")</f>
        <v/>
      </c>
      <c r="P894" s="61" t="str">
        <f>IFERROR(__xludf.DUMMYFUNCTION("INDIRECT(""'收支紀錄'!P""&amp;TO_TEXT(ROW()-$C$72))"),"")</f>
        <v/>
      </c>
      <c r="Q894" s="61" t="str">
        <f>IFERROR(__xludf.DUMMYFUNCTION("INDIRECT(""'收支紀錄'!Q""&amp;TO_TEXT(ROW()-$C$72))"),"")</f>
        <v/>
      </c>
      <c r="R894" s="61" t="str">
        <f>IFERROR(__xludf.DUMMYFUNCTION("INDIRECT(""'收支紀錄'!R""&amp;TO_TEXT(ROW()-$C$72))"),"")</f>
        <v/>
      </c>
      <c r="S894" s="61" t="str">
        <f>IFERROR(__xludf.DUMMYFUNCTION("INDIRECT(""'收支紀錄'!S""&amp;TO_TEXT(ROW()-$C$72))"),"康是美+蠟筆小新周邊")</f>
        <v>康是美+蠟筆小新周邊</v>
      </c>
      <c r="T894" s="61" t="str">
        <f>IFERROR(__xludf.DUMMYFUNCTION("INDIRECT(""'收支紀錄'!T""&amp;TO_TEXT(ROW()-$C$72))"),"")</f>
        <v/>
      </c>
      <c r="U894" s="62" t="str">
        <f>IFERROR(__xludf.DUMMYFUNCTION("IF(T894=""是"",TEXTJOIN("""", TRUE, ""$"", TO_TEXT(C894), S894),"""")"),"")</f>
        <v/>
      </c>
    </row>
    <row r="895">
      <c r="A895" s="58">
        <f>IFERROR(__xludf.DUMMYFUNCTION("INDIRECT(""'收支紀錄'!A""&amp;TO_TEXT(ROW()-$C$72))"),45802.631153738424)</f>
        <v>45802.63115</v>
      </c>
      <c r="B895" s="59">
        <f>IFERROR(__xludf.DUMMYFUNCTION("IF(ISBLANK(D895), """", IF(ISDATE(D895), D895, IF(D895=""今天"", A895, IF(D895=""昨天 (-1 day)"", A895-1, IF(D895=""前天 (-2 days)"", A895-2, IF(D895=""明天 (+1 day)"", A895+1, DATE(LEFT(D895,4), MID(D895,5,2), RIGHT(D895,2))))))))"),45802.631153738424)</f>
        <v>45802.63115</v>
      </c>
      <c r="C895" s="60">
        <f>IFERROR(__xludf.DUMMYFUNCTION("INDIRECT(""'收支紀錄'!C""&amp;TO_TEXT(ROW()-$C$72))"),30.0)</f>
        <v>30</v>
      </c>
      <c r="D895" s="63" t="str">
        <f>IFERROR(__xludf.DUMMYFUNCTION("INDIRECT(""'收支紀錄'!D""&amp;TO_TEXT(ROW()-$C$72))"),"今天")</f>
        <v>今天</v>
      </c>
      <c r="E895" s="61" t="str">
        <f>IFERROR(__xludf.DUMMYFUNCTION("INDIRECT(""'收支紀錄'!E""&amp;TO_TEXT(ROW()-$C$72))"),"")</f>
        <v/>
      </c>
      <c r="F895" s="61" t="str">
        <f>IFERROR(__xludf.DUMMYFUNCTION("INDIRECT(""'收支紀錄'!F""&amp;TO_TEXT(ROW()-$C$72))"),"")</f>
        <v/>
      </c>
      <c r="G895" s="61" t="str">
        <f>IFERROR(__xludf.DUMMYFUNCTION("INDIRECT(""'收支紀錄'!G""&amp;TO_TEXT(ROW()-$C$72))"),"")</f>
        <v/>
      </c>
      <c r="H895" s="61" t="str">
        <f>IFERROR(__xludf.DUMMYFUNCTION("INDIRECT(""'收支紀錄'!H""&amp;TO_TEXT(ROW()-$C$72))"),"行車交通")</f>
        <v>行車交通</v>
      </c>
      <c r="I895" s="61" t="str">
        <f>IFERROR(__xludf.DUMMYFUNCTION("INDIRECT(""'收支紀錄'!I""&amp;TO_TEXT(ROW()-$C$72))"),"")</f>
        <v/>
      </c>
      <c r="J895" s="61" t="str">
        <f>IFERROR(__xludf.DUMMYFUNCTION("INDIRECT(""'收支紀錄'!J""&amp;TO_TEXT(ROW()-$C$72))"),"")</f>
        <v/>
      </c>
      <c r="K895" s="61" t="str">
        <f>IFERROR(__xludf.DUMMYFUNCTION("INDIRECT(""'收支紀錄'!K""&amp;TO_TEXT(ROW()-$C$72))"),"")</f>
        <v/>
      </c>
      <c r="L895" s="61" t="str">
        <f>IFERROR(__xludf.DUMMYFUNCTION("INDIRECT(""'收支紀錄'!L""&amp;TO_TEXT(ROW()-$C$72))"),"停車")</f>
        <v>停車</v>
      </c>
      <c r="M895" s="61" t="str">
        <f>IFERROR(__xludf.DUMMYFUNCTION("INDIRECT(""'收支紀錄'!M""&amp;TO_TEXT(ROW()-$C$72))"),"")</f>
        <v/>
      </c>
      <c r="N895" s="61" t="str">
        <f>IFERROR(__xludf.DUMMYFUNCTION("INDIRECT(""'收支紀錄'!N""&amp;TO_TEXT(ROW()-$C$72))"),"")</f>
        <v/>
      </c>
      <c r="O895" s="61" t="str">
        <f>IFERROR(__xludf.DUMMYFUNCTION("INDIRECT(""'收支紀錄'!O""&amp;TO_TEXT(ROW()-$C$72))"),"")</f>
        <v/>
      </c>
      <c r="P895" s="61" t="str">
        <f>IFERROR(__xludf.DUMMYFUNCTION("INDIRECT(""'收支紀錄'!P""&amp;TO_TEXT(ROW()-$C$72))"),"")</f>
        <v/>
      </c>
      <c r="Q895" s="61" t="str">
        <f>IFERROR(__xludf.DUMMYFUNCTION("INDIRECT(""'收支紀錄'!Q""&amp;TO_TEXT(ROW()-$C$72))"),"")</f>
        <v/>
      </c>
      <c r="R895" s="61" t="str">
        <f>IFERROR(__xludf.DUMMYFUNCTION("INDIRECT(""'收支紀錄'!R""&amp;TO_TEXT(ROW()-$C$72))"),"")</f>
        <v/>
      </c>
      <c r="S895" s="61" t="str">
        <f>IFERROR(__xludf.DUMMYFUNCTION("INDIRECT(""'收支紀錄'!S""&amp;TO_TEXT(ROW()-$C$72))"),"")</f>
        <v/>
      </c>
      <c r="T895" s="61" t="str">
        <f>IFERROR(__xludf.DUMMYFUNCTION("INDIRECT(""'收支紀錄'!T""&amp;TO_TEXT(ROW()-$C$72))"),"")</f>
        <v/>
      </c>
      <c r="U895" s="62" t="str">
        <f>IFERROR(__xludf.DUMMYFUNCTION("IF(T895=""是"",TEXTJOIN("""", TRUE, ""$"", TO_TEXT(C895), S895),"""")"),"")</f>
        <v/>
      </c>
    </row>
    <row r="896">
      <c r="A896" s="58">
        <f>IFERROR(__xludf.DUMMYFUNCTION("INDIRECT(""'收支紀錄'!A""&amp;TO_TEXT(ROW()-$C$72))"),45802.68489559028)</f>
        <v>45802.6849</v>
      </c>
      <c r="B896" s="59">
        <f>IFERROR(__xludf.DUMMYFUNCTION("IF(ISBLANK(D896), """", IF(ISDATE(D896), D896, IF(D896=""今天"", A896, IF(D896=""昨天 (-1 day)"", A896-1, IF(D896=""前天 (-2 days)"", A896-2, IF(D896=""明天 (+1 day)"", A896+1, DATE(LEFT(D896,4), MID(D896,5,2), RIGHT(D896,2))))))))"),45802.68489559028)</f>
        <v>45802.6849</v>
      </c>
      <c r="C896" s="60">
        <f>IFERROR(__xludf.DUMMYFUNCTION("INDIRECT(""'收支紀錄'!C""&amp;TO_TEXT(ROW()-$C$72))"),639.0)</f>
        <v>639</v>
      </c>
      <c r="D896" s="63" t="str">
        <f>IFERROR(__xludf.DUMMYFUNCTION("INDIRECT(""'收支紀錄'!D""&amp;TO_TEXT(ROW()-$C$72))"),"今天")</f>
        <v>今天</v>
      </c>
      <c r="E896" s="61" t="str">
        <f>IFERROR(__xludf.DUMMYFUNCTION("INDIRECT(""'收支紀錄'!E""&amp;TO_TEXT(ROW()-$C$72))"),"")</f>
        <v/>
      </c>
      <c r="F896" s="61" t="str">
        <f>IFERROR(__xludf.DUMMYFUNCTION("INDIRECT(""'收支紀錄'!F""&amp;TO_TEXT(ROW()-$C$72))"),"")</f>
        <v/>
      </c>
      <c r="G896" s="61" t="str">
        <f>IFERROR(__xludf.DUMMYFUNCTION("INDIRECT(""'收支紀錄'!G""&amp;TO_TEXT(ROW()-$C$72))"),"")</f>
        <v/>
      </c>
      <c r="H896" s="61" t="str">
        <f>IFERROR(__xludf.DUMMYFUNCTION("INDIRECT(""'收支紀錄'!H""&amp;TO_TEXT(ROW()-$C$72))"),"食品酒水")</f>
        <v>食品酒水</v>
      </c>
      <c r="I896" s="61" t="str">
        <f>IFERROR(__xludf.DUMMYFUNCTION("INDIRECT(""'收支紀錄'!I""&amp;TO_TEXT(ROW()-$C$72))"),"食材")</f>
        <v>食材</v>
      </c>
      <c r="J896" s="61" t="str">
        <f>IFERROR(__xludf.DUMMYFUNCTION("INDIRECT(""'收支紀錄'!J""&amp;TO_TEXT(ROW()-$C$72))"),"")</f>
        <v/>
      </c>
      <c r="K896" s="61" t="str">
        <f>IFERROR(__xludf.DUMMYFUNCTION("INDIRECT(""'收支紀錄'!K""&amp;TO_TEXT(ROW()-$C$72))"),"")</f>
        <v/>
      </c>
      <c r="L896" s="61" t="str">
        <f>IFERROR(__xludf.DUMMYFUNCTION("INDIRECT(""'收支紀錄'!L""&amp;TO_TEXT(ROW()-$C$72))"),"")</f>
        <v/>
      </c>
      <c r="M896" s="61" t="str">
        <f>IFERROR(__xludf.DUMMYFUNCTION("INDIRECT(""'收支紀錄'!M""&amp;TO_TEXT(ROW()-$C$72))"),"")</f>
        <v/>
      </c>
      <c r="N896" s="61" t="str">
        <f>IFERROR(__xludf.DUMMYFUNCTION("INDIRECT(""'收支紀錄'!N""&amp;TO_TEXT(ROW()-$C$72))"),"")</f>
        <v/>
      </c>
      <c r="O896" s="61" t="str">
        <f>IFERROR(__xludf.DUMMYFUNCTION("INDIRECT(""'收支紀錄'!O""&amp;TO_TEXT(ROW()-$C$72))"),"")</f>
        <v/>
      </c>
      <c r="P896" s="61" t="str">
        <f>IFERROR(__xludf.DUMMYFUNCTION("INDIRECT(""'收支紀錄'!P""&amp;TO_TEXT(ROW()-$C$72))"),"")</f>
        <v/>
      </c>
      <c r="Q896" s="61" t="str">
        <f>IFERROR(__xludf.DUMMYFUNCTION("INDIRECT(""'收支紀錄'!Q""&amp;TO_TEXT(ROW()-$C$72))"),"")</f>
        <v/>
      </c>
      <c r="R896" s="61" t="str">
        <f>IFERROR(__xludf.DUMMYFUNCTION("INDIRECT(""'收支紀錄'!R""&amp;TO_TEXT(ROW()-$C$72))"),"")</f>
        <v/>
      </c>
      <c r="S896" s="61" t="str">
        <f>IFERROR(__xludf.DUMMYFUNCTION("INDIRECT(""'收支紀錄'!S""&amp;TO_TEXT(ROW()-$C$72))"),"好市多益生菌")</f>
        <v>好市多益生菌</v>
      </c>
      <c r="T896" s="61" t="str">
        <f>IFERROR(__xludf.DUMMYFUNCTION("INDIRECT(""'收支紀錄'!T""&amp;TO_TEXT(ROW()-$C$72))"),"否")</f>
        <v>否</v>
      </c>
      <c r="U896" s="62" t="str">
        <f>IFERROR(__xludf.DUMMYFUNCTION("IF(T896=""是"",TEXTJOIN("""", TRUE, ""$"", TO_TEXT(C896), S896),"""")"),"")</f>
        <v/>
      </c>
    </row>
    <row r="897">
      <c r="A897" s="58">
        <f>IFERROR(__xludf.DUMMYFUNCTION("INDIRECT(""'收支紀錄'!A""&amp;TO_TEXT(ROW()-$C$72))"),45802.685151875005)</f>
        <v>45802.68515</v>
      </c>
      <c r="B897" s="59">
        <f>IFERROR(__xludf.DUMMYFUNCTION("IF(ISBLANK(D897), """", IF(ISDATE(D897), D897, IF(D897=""今天"", A897, IF(D897=""昨天 (-1 day)"", A897-1, IF(D897=""前天 (-2 days)"", A897-2, IF(D897=""明天 (+1 day)"", A897+1, DATE(LEFT(D897,4), MID(D897,5,2), RIGHT(D897,2))))))))"),45802.685151875005)</f>
        <v>45802.68515</v>
      </c>
      <c r="C897" s="60">
        <f>IFERROR(__xludf.DUMMYFUNCTION("INDIRECT(""'收支紀錄'!C""&amp;TO_TEXT(ROW()-$C$72))"),10.0)</f>
        <v>10</v>
      </c>
      <c r="D897" s="63" t="str">
        <f>IFERROR(__xludf.DUMMYFUNCTION("INDIRECT(""'收支紀錄'!D""&amp;TO_TEXT(ROW()-$C$72))"),"今天")</f>
        <v>今天</v>
      </c>
      <c r="E897" s="61" t="str">
        <f>IFERROR(__xludf.DUMMYFUNCTION("INDIRECT(""'收支紀錄'!E""&amp;TO_TEXT(ROW()-$C$72))"),"")</f>
        <v/>
      </c>
      <c r="F897" s="61" t="str">
        <f>IFERROR(__xludf.DUMMYFUNCTION("INDIRECT(""'收支紀錄'!F""&amp;TO_TEXT(ROW()-$C$72))"),"")</f>
        <v/>
      </c>
      <c r="G897" s="61" t="str">
        <f>IFERROR(__xludf.DUMMYFUNCTION("INDIRECT(""'收支紀錄'!G""&amp;TO_TEXT(ROW()-$C$72))"),"")</f>
        <v/>
      </c>
      <c r="H897" s="61" t="str">
        <f>IFERROR(__xludf.DUMMYFUNCTION("INDIRECT(""'收支紀錄'!H""&amp;TO_TEXT(ROW()-$C$72))"),"休閒娛樂")</f>
        <v>休閒娛樂</v>
      </c>
      <c r="I897" s="61" t="str">
        <f>IFERROR(__xludf.DUMMYFUNCTION("INDIRECT(""'收支紀錄'!I""&amp;TO_TEXT(ROW()-$C$72))"),"")</f>
        <v/>
      </c>
      <c r="J897" s="61" t="str">
        <f>IFERROR(__xludf.DUMMYFUNCTION("INDIRECT(""'收支紀錄'!J""&amp;TO_TEXT(ROW()-$C$72))"),"")</f>
        <v/>
      </c>
      <c r="K897" s="61" t="str">
        <f>IFERROR(__xludf.DUMMYFUNCTION("INDIRECT(""'收支紀錄'!K""&amp;TO_TEXT(ROW()-$C$72))"),"")</f>
        <v/>
      </c>
      <c r="L897" s="61" t="str">
        <f>IFERROR(__xludf.DUMMYFUNCTION("INDIRECT(""'收支紀錄'!L""&amp;TO_TEXT(ROW()-$C$72))"),"")</f>
        <v/>
      </c>
      <c r="M897" s="61" t="str">
        <f>IFERROR(__xludf.DUMMYFUNCTION("INDIRECT(""'收支紀錄'!M""&amp;TO_TEXT(ROW()-$C$72))"),"運動健身")</f>
        <v>運動健身</v>
      </c>
      <c r="N897" s="61" t="str">
        <f>IFERROR(__xludf.DUMMYFUNCTION("INDIRECT(""'收支紀錄'!N""&amp;TO_TEXT(ROW()-$C$72))"),"")</f>
        <v/>
      </c>
      <c r="O897" s="61" t="str">
        <f>IFERROR(__xludf.DUMMYFUNCTION("INDIRECT(""'收支紀錄'!O""&amp;TO_TEXT(ROW()-$C$72))"),"")</f>
        <v/>
      </c>
      <c r="P897" s="61" t="str">
        <f>IFERROR(__xludf.DUMMYFUNCTION("INDIRECT(""'收支紀錄'!P""&amp;TO_TEXT(ROW()-$C$72))"),"")</f>
        <v/>
      </c>
      <c r="Q897" s="61" t="str">
        <f>IFERROR(__xludf.DUMMYFUNCTION("INDIRECT(""'收支紀錄'!Q""&amp;TO_TEXT(ROW()-$C$72))"),"")</f>
        <v/>
      </c>
      <c r="R897" s="61" t="str">
        <f>IFERROR(__xludf.DUMMYFUNCTION("INDIRECT(""'收支紀錄'!R""&amp;TO_TEXT(ROW()-$C$72))"),"")</f>
        <v/>
      </c>
      <c r="S897" s="61" t="str">
        <f>IFERROR(__xludf.DUMMYFUNCTION("INDIRECT(""'收支紀錄'!S""&amp;TO_TEXT(ROW()-$C$72))"),"")</f>
        <v/>
      </c>
      <c r="T897" s="61" t="str">
        <f>IFERROR(__xludf.DUMMYFUNCTION("INDIRECT(""'收支紀錄'!T""&amp;TO_TEXT(ROW()-$C$72))"),"")</f>
        <v/>
      </c>
      <c r="U897" s="62" t="str">
        <f>IFERROR(__xludf.DUMMYFUNCTION("IF(T897=""是"",TEXTJOIN("""", TRUE, ""$"", TO_TEXT(C897), S897),"""")"),"")</f>
        <v/>
      </c>
    </row>
    <row r="898">
      <c r="A898" s="58">
        <f>IFERROR(__xludf.DUMMYFUNCTION("INDIRECT(""'收支紀錄'!A""&amp;TO_TEXT(ROW()-$C$72))"),45803.9210409838)</f>
        <v>45803.92104</v>
      </c>
      <c r="B898" s="59">
        <f>IFERROR(__xludf.DUMMYFUNCTION("IF(ISBLANK(D898), """", IF(ISDATE(D898), D898, IF(D898=""今天"", A898, IF(D898=""昨天 (-1 day)"", A898-1, IF(D898=""前天 (-2 days)"", A898-2, IF(D898=""明天 (+1 day)"", A898+1, DATE(LEFT(D898,4), MID(D898,5,2), RIGHT(D898,2))))))))"),45803.9210409838)</f>
        <v>45803.92104</v>
      </c>
      <c r="C898" s="60">
        <f>IFERROR(__xludf.DUMMYFUNCTION("INDIRECT(""'收支紀錄'!C""&amp;TO_TEXT(ROW()-$C$72))"),130.0)</f>
        <v>130</v>
      </c>
      <c r="D898" s="63" t="str">
        <f>IFERROR(__xludf.DUMMYFUNCTION("INDIRECT(""'收支紀錄'!D""&amp;TO_TEXT(ROW()-$C$72))"),"今天")</f>
        <v>今天</v>
      </c>
      <c r="E898" s="61" t="str">
        <f>IFERROR(__xludf.DUMMYFUNCTION("INDIRECT(""'收支紀錄'!E""&amp;TO_TEXT(ROW()-$C$72))"),"")</f>
        <v/>
      </c>
      <c r="F898" s="61" t="str">
        <f>IFERROR(__xludf.DUMMYFUNCTION("INDIRECT(""'收支紀錄'!F""&amp;TO_TEXT(ROW()-$C$72))"),"")</f>
        <v/>
      </c>
      <c r="G898" s="61" t="str">
        <f>IFERROR(__xludf.DUMMYFUNCTION("INDIRECT(""'收支紀錄'!G""&amp;TO_TEXT(ROW()-$C$72))"),"")</f>
        <v/>
      </c>
      <c r="H898" s="61" t="str">
        <f>IFERROR(__xludf.DUMMYFUNCTION("INDIRECT(""'收支紀錄'!H""&amp;TO_TEXT(ROW()-$C$72))"),"行車交通")</f>
        <v>行車交通</v>
      </c>
      <c r="I898" s="61" t="str">
        <f>IFERROR(__xludf.DUMMYFUNCTION("INDIRECT(""'收支紀錄'!I""&amp;TO_TEXT(ROW()-$C$72))"),"")</f>
        <v/>
      </c>
      <c r="J898" s="61" t="str">
        <f>IFERROR(__xludf.DUMMYFUNCTION("INDIRECT(""'收支紀錄'!J""&amp;TO_TEXT(ROW()-$C$72))"),"")</f>
        <v/>
      </c>
      <c r="K898" s="61" t="str">
        <f>IFERROR(__xludf.DUMMYFUNCTION("INDIRECT(""'收支紀錄'!K""&amp;TO_TEXT(ROW()-$C$72))"),"")</f>
        <v/>
      </c>
      <c r="L898" s="61" t="str">
        <f>IFERROR(__xludf.DUMMYFUNCTION("INDIRECT(""'收支紀錄'!L""&amp;TO_TEXT(ROW()-$C$72))"),"加油")</f>
        <v>加油</v>
      </c>
      <c r="M898" s="61" t="str">
        <f>IFERROR(__xludf.DUMMYFUNCTION("INDIRECT(""'收支紀錄'!M""&amp;TO_TEXT(ROW()-$C$72))"),"")</f>
        <v/>
      </c>
      <c r="N898" s="61" t="str">
        <f>IFERROR(__xludf.DUMMYFUNCTION("INDIRECT(""'收支紀錄'!N""&amp;TO_TEXT(ROW()-$C$72))"),"")</f>
        <v/>
      </c>
      <c r="O898" s="61" t="str">
        <f>IFERROR(__xludf.DUMMYFUNCTION("INDIRECT(""'收支紀錄'!O""&amp;TO_TEXT(ROW()-$C$72))"),"")</f>
        <v/>
      </c>
      <c r="P898" s="61" t="str">
        <f>IFERROR(__xludf.DUMMYFUNCTION("INDIRECT(""'收支紀錄'!P""&amp;TO_TEXT(ROW()-$C$72))"),"")</f>
        <v/>
      </c>
      <c r="Q898" s="61" t="str">
        <f>IFERROR(__xludf.DUMMYFUNCTION("INDIRECT(""'收支紀錄'!Q""&amp;TO_TEXT(ROW()-$C$72))"),"")</f>
        <v/>
      </c>
      <c r="R898" s="61" t="str">
        <f>IFERROR(__xludf.DUMMYFUNCTION("INDIRECT(""'收支紀錄'!R""&amp;TO_TEXT(ROW()-$C$72))"),"")</f>
        <v/>
      </c>
      <c r="S898" s="61" t="str">
        <f>IFERROR(__xludf.DUMMYFUNCTION("INDIRECT(""'收支紀錄'!S""&amp;TO_TEXT(ROW()-$C$72))"),"")</f>
        <v/>
      </c>
      <c r="T898" s="61" t="str">
        <f>IFERROR(__xludf.DUMMYFUNCTION("INDIRECT(""'收支紀錄'!T""&amp;TO_TEXT(ROW()-$C$72))"),"")</f>
        <v/>
      </c>
      <c r="U898" s="62" t="str">
        <f>IFERROR(__xludf.DUMMYFUNCTION("IF(T898=""是"",TEXTJOIN("""", TRUE, ""$"", TO_TEXT(C898), S898),"""")"),"")</f>
        <v/>
      </c>
    </row>
    <row r="899">
      <c r="A899" s="58">
        <f>IFERROR(__xludf.DUMMYFUNCTION("INDIRECT(""'收支紀錄'!A""&amp;TO_TEXT(ROW()-$C$72))"),45804.857335567125)</f>
        <v>45804.85734</v>
      </c>
      <c r="B899" s="59">
        <f>IFERROR(__xludf.DUMMYFUNCTION("IF(ISBLANK(D899), """", IF(ISDATE(D899), D899, IF(D899=""今天"", A899, IF(D899=""昨天 (-1 day)"", A899-1, IF(D899=""前天 (-2 days)"", A899-2, IF(D899=""明天 (+1 day)"", A899+1, DATE(LEFT(D899,4), MID(D899,5,2), RIGHT(D899,2))))))))"),45804.857335567125)</f>
        <v>45804.85734</v>
      </c>
      <c r="C899" s="60">
        <f>IFERROR(__xludf.DUMMYFUNCTION("INDIRECT(""'收支紀錄'!C""&amp;TO_TEXT(ROW()-$C$72))"),480.0)</f>
        <v>480</v>
      </c>
      <c r="D899" s="63" t="str">
        <f>IFERROR(__xludf.DUMMYFUNCTION("INDIRECT(""'收支紀錄'!D""&amp;TO_TEXT(ROW()-$C$72))"),"今天")</f>
        <v>今天</v>
      </c>
      <c r="E899" s="61" t="str">
        <f>IFERROR(__xludf.DUMMYFUNCTION("INDIRECT(""'收支紀錄'!E""&amp;TO_TEXT(ROW()-$C$72))"),"")</f>
        <v/>
      </c>
      <c r="F899" s="61" t="str">
        <f>IFERROR(__xludf.DUMMYFUNCTION("INDIRECT(""'收支紀錄'!F""&amp;TO_TEXT(ROW()-$C$72))"),"")</f>
        <v/>
      </c>
      <c r="G899" s="61" t="str">
        <f>IFERROR(__xludf.DUMMYFUNCTION("INDIRECT(""'收支紀錄'!G""&amp;TO_TEXT(ROW()-$C$72))"),"")</f>
        <v/>
      </c>
      <c r="H899" s="61" t="str">
        <f>IFERROR(__xludf.DUMMYFUNCTION("INDIRECT(""'收支紀錄'!H""&amp;TO_TEXT(ROW()-$C$72))"),"房屋支出")</f>
        <v>房屋支出</v>
      </c>
      <c r="I899" s="61" t="str">
        <f>IFERROR(__xludf.DUMMYFUNCTION("INDIRECT(""'收支紀錄'!I""&amp;TO_TEXT(ROW()-$C$72))"),"")</f>
        <v/>
      </c>
      <c r="J899" s="61" t="str">
        <f>IFERROR(__xludf.DUMMYFUNCTION("INDIRECT(""'收支紀錄'!J""&amp;TO_TEXT(ROW()-$C$72))"),"")</f>
        <v/>
      </c>
      <c r="K899" s="61" t="str">
        <f>IFERROR(__xludf.DUMMYFUNCTION("INDIRECT(""'收支紀錄'!K""&amp;TO_TEXT(ROW()-$C$72))"),"租屋電費")</f>
        <v>租屋電費</v>
      </c>
      <c r="L899" s="61" t="str">
        <f>IFERROR(__xludf.DUMMYFUNCTION("INDIRECT(""'收支紀錄'!L""&amp;TO_TEXT(ROW()-$C$72))"),"")</f>
        <v/>
      </c>
      <c r="M899" s="61" t="str">
        <f>IFERROR(__xludf.DUMMYFUNCTION("INDIRECT(""'收支紀錄'!M""&amp;TO_TEXT(ROW()-$C$72))"),"")</f>
        <v/>
      </c>
      <c r="N899" s="61" t="str">
        <f>IFERROR(__xludf.DUMMYFUNCTION("INDIRECT(""'收支紀錄'!N""&amp;TO_TEXT(ROW()-$C$72))"),"")</f>
        <v/>
      </c>
      <c r="O899" s="61" t="str">
        <f>IFERROR(__xludf.DUMMYFUNCTION("INDIRECT(""'收支紀錄'!O""&amp;TO_TEXT(ROW()-$C$72))"),"")</f>
        <v/>
      </c>
      <c r="P899" s="61" t="str">
        <f>IFERROR(__xludf.DUMMYFUNCTION("INDIRECT(""'收支紀錄'!P""&amp;TO_TEXT(ROW()-$C$72))"),"")</f>
        <v/>
      </c>
      <c r="Q899" s="61" t="str">
        <f>IFERROR(__xludf.DUMMYFUNCTION("INDIRECT(""'收支紀錄'!Q""&amp;TO_TEXT(ROW()-$C$72))"),"")</f>
        <v/>
      </c>
      <c r="R899" s="61" t="str">
        <f>IFERROR(__xludf.DUMMYFUNCTION("INDIRECT(""'收支紀錄'!R""&amp;TO_TEXT(ROW()-$C$72))"),"")</f>
        <v/>
      </c>
      <c r="S899" s="61" t="str">
        <f>IFERROR(__xludf.DUMMYFUNCTION("INDIRECT(""'收支紀錄'!S""&amp;TO_TEXT(ROW()-$C$72))"),"")</f>
        <v/>
      </c>
      <c r="T899" s="61" t="str">
        <f>IFERROR(__xludf.DUMMYFUNCTION("INDIRECT(""'收支紀錄'!T""&amp;TO_TEXT(ROW()-$C$72))"),"")</f>
        <v/>
      </c>
      <c r="U899" s="62" t="str">
        <f>IFERROR(__xludf.DUMMYFUNCTION("IF(T899=""是"",TEXTJOIN("""", TRUE, ""$"", TO_TEXT(C899), S899),"""")"),"")</f>
        <v/>
      </c>
    </row>
    <row r="900">
      <c r="A900" s="58">
        <f>IFERROR(__xludf.DUMMYFUNCTION("INDIRECT(""'收支紀錄'!A""&amp;TO_TEXT(ROW()-$C$72))"),45804.857662395836)</f>
        <v>45804.85766</v>
      </c>
      <c r="B900" s="59">
        <f>IFERROR(__xludf.DUMMYFUNCTION("IF(ISBLANK(D900), """", IF(ISDATE(D900), D900, IF(D900=""今天"", A900, IF(D900=""昨天 (-1 day)"", A900-1, IF(D900=""前天 (-2 days)"", A900-2, IF(D900=""明天 (+1 day)"", A900+1, DATE(LEFT(D900,4), MID(D900,5,2), RIGHT(D900,2))))))))"),45804.857662395836)</f>
        <v>45804.85766</v>
      </c>
      <c r="C900" s="60">
        <f>IFERROR(__xludf.DUMMYFUNCTION("INDIRECT(""'收支紀錄'!C""&amp;TO_TEXT(ROW()-$C$72))"),600.0)</f>
        <v>600</v>
      </c>
      <c r="D900" s="63" t="str">
        <f>IFERROR(__xludf.DUMMYFUNCTION("INDIRECT(""'收支紀錄'!D""&amp;TO_TEXT(ROW()-$C$72))"),"今天")</f>
        <v>今天</v>
      </c>
      <c r="E900" s="61" t="str">
        <f>IFERROR(__xludf.DUMMYFUNCTION("INDIRECT(""'收支紀錄'!E""&amp;TO_TEXT(ROW()-$C$72))"),"")</f>
        <v/>
      </c>
      <c r="F900" s="61" t="str">
        <f>IFERROR(__xludf.DUMMYFUNCTION("INDIRECT(""'收支紀錄'!F""&amp;TO_TEXT(ROW()-$C$72))"),"")</f>
        <v/>
      </c>
      <c r="G900" s="61" t="str">
        <f>IFERROR(__xludf.DUMMYFUNCTION("INDIRECT(""'收支紀錄'!G""&amp;TO_TEXT(ROW()-$C$72))"),"")</f>
        <v/>
      </c>
      <c r="H900" s="61" t="str">
        <f>IFERROR(__xludf.DUMMYFUNCTION("INDIRECT(""'收支紀錄'!H""&amp;TO_TEXT(ROW()-$C$72))"),"人情往來")</f>
        <v>人情往來</v>
      </c>
      <c r="I900" s="61" t="str">
        <f>IFERROR(__xludf.DUMMYFUNCTION("INDIRECT(""'收支紀錄'!I""&amp;TO_TEXT(ROW()-$C$72))"),"")</f>
        <v/>
      </c>
      <c r="J900" s="61" t="str">
        <f>IFERROR(__xludf.DUMMYFUNCTION("INDIRECT(""'收支紀錄'!J""&amp;TO_TEXT(ROW()-$C$72))"),"")</f>
        <v/>
      </c>
      <c r="K900" s="61" t="str">
        <f>IFERROR(__xludf.DUMMYFUNCTION("INDIRECT(""'收支紀錄'!K""&amp;TO_TEXT(ROW()-$C$72))"),"")</f>
        <v/>
      </c>
      <c r="L900" s="61" t="str">
        <f>IFERROR(__xludf.DUMMYFUNCTION("INDIRECT(""'收支紀錄'!L""&amp;TO_TEXT(ROW()-$C$72))"),"")</f>
        <v/>
      </c>
      <c r="M900" s="61" t="str">
        <f>IFERROR(__xludf.DUMMYFUNCTION("INDIRECT(""'收支紀錄'!M""&amp;TO_TEXT(ROW()-$C$72))"),"")</f>
        <v/>
      </c>
      <c r="N900" s="61" t="str">
        <f>IFERROR(__xludf.DUMMYFUNCTION("INDIRECT(""'收支紀錄'!N""&amp;TO_TEXT(ROW()-$C$72))"),"")</f>
        <v/>
      </c>
      <c r="O900" s="61" t="str">
        <f>IFERROR(__xludf.DUMMYFUNCTION("INDIRECT(""'收支紀錄'!O""&amp;TO_TEXT(ROW()-$C$72))"),"")</f>
        <v/>
      </c>
      <c r="P900" s="61" t="str">
        <f>IFERROR(__xludf.DUMMYFUNCTION("INDIRECT(""'收支紀錄'!P""&amp;TO_TEXT(ROW()-$C$72))"),"")</f>
        <v/>
      </c>
      <c r="Q900" s="61" t="str">
        <f>IFERROR(__xludf.DUMMYFUNCTION("INDIRECT(""'收支紀錄'!Q""&amp;TO_TEXT(ROW()-$C$72))"),"送禮請客")</f>
        <v>送禮請客</v>
      </c>
      <c r="R900" s="61" t="str">
        <f>IFERROR(__xludf.DUMMYFUNCTION("INDIRECT(""'收支紀錄'!R""&amp;TO_TEXT(ROW()-$C$72))"),"")</f>
        <v/>
      </c>
      <c r="S900" s="61" t="str">
        <f>IFERROR(__xludf.DUMMYFUNCTION("INDIRECT(""'收支紀錄'!S""&amp;TO_TEXT(ROW()-$C$72))"),"皇旗滿月")</f>
        <v>皇旗滿月</v>
      </c>
      <c r="T900" s="61" t="str">
        <f>IFERROR(__xludf.DUMMYFUNCTION("INDIRECT(""'收支紀錄'!T""&amp;TO_TEXT(ROW()-$C$72))"),"")</f>
        <v/>
      </c>
      <c r="U900" s="62" t="str">
        <f>IFERROR(__xludf.DUMMYFUNCTION("IF(T900=""是"",TEXTJOIN("""", TRUE, ""$"", TO_TEXT(C900), S900),"""")"),"")</f>
        <v/>
      </c>
    </row>
    <row r="901">
      <c r="A901" s="58">
        <f>IFERROR(__xludf.DUMMYFUNCTION("INDIRECT(""'收支紀錄'!A""&amp;TO_TEXT(ROW()-$C$72))"),45807.21482501157)</f>
        <v>45807.21483</v>
      </c>
      <c r="B901" s="59">
        <f>IFERROR(__xludf.DUMMYFUNCTION("IF(ISBLANK(D901), """", IF(ISDATE(D901), D901, IF(D901=""今天"", A901, IF(D901=""昨天 (-1 day)"", A901-1, IF(D901=""前天 (-2 days)"", A901-2, IF(D901=""明天 (+1 day)"", A901+1, DATE(LEFT(D901,4), MID(D901,5,2), RIGHT(D901,2))))))))"),45806.21482501157)</f>
        <v>45806.21483</v>
      </c>
      <c r="C901" s="60">
        <f>IFERROR(__xludf.DUMMYFUNCTION("INDIRECT(""'收支紀錄'!C""&amp;TO_TEXT(ROW()-$C$72))"),1025.0)</f>
        <v>1025</v>
      </c>
      <c r="D901" s="63" t="str">
        <f>IFERROR(__xludf.DUMMYFUNCTION("INDIRECT(""'收支紀錄'!D""&amp;TO_TEXT(ROW()-$C$72))"),"昨天 (-1 day)")</f>
        <v>昨天 (-1 day)</v>
      </c>
      <c r="E901" s="61" t="str">
        <f>IFERROR(__xludf.DUMMYFUNCTION("INDIRECT(""'收支紀錄'!E""&amp;TO_TEXT(ROW()-$C$72))"),"")</f>
        <v/>
      </c>
      <c r="F901" s="61" t="str">
        <f>IFERROR(__xludf.DUMMYFUNCTION("INDIRECT(""'收支紀錄'!F""&amp;TO_TEXT(ROW()-$C$72))"),"")</f>
        <v/>
      </c>
      <c r="G901" s="61" t="str">
        <f>IFERROR(__xludf.DUMMYFUNCTION("INDIRECT(""'收支紀錄'!G""&amp;TO_TEXT(ROW()-$C$72))"),"")</f>
        <v/>
      </c>
      <c r="H901" s="61" t="str">
        <f>IFERROR(__xludf.DUMMYFUNCTION("INDIRECT(""'收支紀錄'!H""&amp;TO_TEXT(ROW()-$C$72))"),"行車交通")</f>
        <v>行車交通</v>
      </c>
      <c r="I901" s="61" t="str">
        <f>IFERROR(__xludf.DUMMYFUNCTION("INDIRECT(""'收支紀錄'!I""&amp;TO_TEXT(ROW()-$C$72))"),"")</f>
        <v/>
      </c>
      <c r="J901" s="61" t="str">
        <f>IFERROR(__xludf.DUMMYFUNCTION("INDIRECT(""'收支紀錄'!J""&amp;TO_TEXT(ROW()-$C$72))"),"")</f>
        <v/>
      </c>
      <c r="K901" s="61" t="str">
        <f>IFERROR(__xludf.DUMMYFUNCTION("INDIRECT(""'收支紀錄'!K""&amp;TO_TEXT(ROW()-$C$72))"),"")</f>
        <v/>
      </c>
      <c r="L901" s="61" t="str">
        <f>IFERROR(__xludf.DUMMYFUNCTION("INDIRECT(""'收支紀錄'!L""&amp;TO_TEXT(ROW()-$C$72))"),"高鐵")</f>
        <v>高鐵</v>
      </c>
      <c r="M901" s="61" t="str">
        <f>IFERROR(__xludf.DUMMYFUNCTION("INDIRECT(""'收支紀錄'!M""&amp;TO_TEXT(ROW()-$C$72))"),"")</f>
        <v/>
      </c>
      <c r="N901" s="61" t="str">
        <f>IFERROR(__xludf.DUMMYFUNCTION("INDIRECT(""'收支紀錄'!N""&amp;TO_TEXT(ROW()-$C$72))"),"")</f>
        <v/>
      </c>
      <c r="O901" s="61" t="str">
        <f>IFERROR(__xludf.DUMMYFUNCTION("INDIRECT(""'收支紀錄'!O""&amp;TO_TEXT(ROW()-$C$72))"),"")</f>
        <v/>
      </c>
      <c r="P901" s="61" t="str">
        <f>IFERROR(__xludf.DUMMYFUNCTION("INDIRECT(""'收支紀錄'!P""&amp;TO_TEXT(ROW()-$C$72))"),"")</f>
        <v/>
      </c>
      <c r="Q901" s="61" t="str">
        <f>IFERROR(__xludf.DUMMYFUNCTION("INDIRECT(""'收支紀錄'!Q""&amp;TO_TEXT(ROW()-$C$72))"),"")</f>
        <v/>
      </c>
      <c r="R901" s="61" t="str">
        <f>IFERROR(__xludf.DUMMYFUNCTION("INDIRECT(""'收支紀錄'!R""&amp;TO_TEXT(ROW()-$C$72))"),"")</f>
        <v/>
      </c>
      <c r="S901" s="61" t="str">
        <f>IFERROR(__xludf.DUMMYFUNCTION("INDIRECT(""'收支紀錄'!S""&amp;TO_TEXT(ROW()-$C$72))"),"")</f>
        <v/>
      </c>
      <c r="T901" s="61" t="str">
        <f>IFERROR(__xludf.DUMMYFUNCTION("INDIRECT(""'收支紀錄'!T""&amp;TO_TEXT(ROW()-$C$72))"),"")</f>
        <v/>
      </c>
      <c r="U901" s="62" t="str">
        <f>IFERROR(__xludf.DUMMYFUNCTION("IF(T901=""是"",TEXTJOIN("""", TRUE, ""$"", TO_TEXT(C901), S901),"""")"),"")</f>
        <v/>
      </c>
    </row>
    <row r="902">
      <c r="A902" s="58">
        <f>IFERROR(__xludf.DUMMYFUNCTION("INDIRECT(""'收支紀錄'!A""&amp;TO_TEXT(ROW()-$C$72))"),45807.215007164355)</f>
        <v>45807.21501</v>
      </c>
      <c r="B902" s="59">
        <f>IFERROR(__xludf.DUMMYFUNCTION("IF(ISBLANK(D902), """", IF(ISDATE(D902), D902, IF(D902=""今天"", A902, IF(D902=""昨天 (-1 day)"", A902-1, IF(D902=""前天 (-2 days)"", A902-2, IF(D902=""明天 (+1 day)"", A902+1, DATE(LEFT(D902,4), MID(D902,5,2), RIGHT(D902,2))))))))"),45806.215007164355)</f>
        <v>45806.21501</v>
      </c>
      <c r="C902" s="60">
        <f>IFERROR(__xludf.DUMMYFUNCTION("INDIRECT(""'收支紀錄'!C""&amp;TO_TEXT(ROW()-$C$72))"),35.0)</f>
        <v>35</v>
      </c>
      <c r="D902" s="63" t="str">
        <f>IFERROR(__xludf.DUMMYFUNCTION("INDIRECT(""'收支紀錄'!D""&amp;TO_TEXT(ROW()-$C$72))"),"昨天 (-1 day)")</f>
        <v>昨天 (-1 day)</v>
      </c>
      <c r="E902" s="61" t="str">
        <f>IFERROR(__xludf.DUMMYFUNCTION("INDIRECT(""'收支紀錄'!E""&amp;TO_TEXT(ROW()-$C$72))"),"")</f>
        <v/>
      </c>
      <c r="F902" s="61" t="str">
        <f>IFERROR(__xludf.DUMMYFUNCTION("INDIRECT(""'收支紀錄'!F""&amp;TO_TEXT(ROW()-$C$72))"),"")</f>
        <v/>
      </c>
      <c r="G902" s="61" t="str">
        <f>IFERROR(__xludf.DUMMYFUNCTION("INDIRECT(""'收支紀錄'!G""&amp;TO_TEXT(ROW()-$C$72))"),"")</f>
        <v/>
      </c>
      <c r="H902" s="61" t="str">
        <f>IFERROR(__xludf.DUMMYFUNCTION("INDIRECT(""'收支紀錄'!H""&amp;TO_TEXT(ROW()-$C$72))"),"行車交通")</f>
        <v>行車交通</v>
      </c>
      <c r="I902" s="61" t="str">
        <f>IFERROR(__xludf.DUMMYFUNCTION("INDIRECT(""'收支紀錄'!I""&amp;TO_TEXT(ROW()-$C$72))"),"")</f>
        <v/>
      </c>
      <c r="J902" s="61" t="str">
        <f>IFERROR(__xludf.DUMMYFUNCTION("INDIRECT(""'收支紀錄'!J""&amp;TO_TEXT(ROW()-$C$72))"),"")</f>
        <v/>
      </c>
      <c r="K902" s="61" t="str">
        <f>IFERROR(__xludf.DUMMYFUNCTION("INDIRECT(""'收支紀錄'!K""&amp;TO_TEXT(ROW()-$C$72))"),"")</f>
        <v/>
      </c>
      <c r="L902" s="61" t="str">
        <f>IFERROR(__xludf.DUMMYFUNCTION("INDIRECT(""'收支紀錄'!L""&amp;TO_TEXT(ROW()-$C$72))"),"捷運費")</f>
        <v>捷運費</v>
      </c>
      <c r="M902" s="61" t="str">
        <f>IFERROR(__xludf.DUMMYFUNCTION("INDIRECT(""'收支紀錄'!M""&amp;TO_TEXT(ROW()-$C$72))"),"")</f>
        <v/>
      </c>
      <c r="N902" s="61" t="str">
        <f>IFERROR(__xludf.DUMMYFUNCTION("INDIRECT(""'收支紀錄'!N""&amp;TO_TEXT(ROW()-$C$72))"),"")</f>
        <v/>
      </c>
      <c r="O902" s="61" t="str">
        <f>IFERROR(__xludf.DUMMYFUNCTION("INDIRECT(""'收支紀錄'!O""&amp;TO_TEXT(ROW()-$C$72))"),"")</f>
        <v/>
      </c>
      <c r="P902" s="61" t="str">
        <f>IFERROR(__xludf.DUMMYFUNCTION("INDIRECT(""'收支紀錄'!P""&amp;TO_TEXT(ROW()-$C$72))"),"")</f>
        <v/>
      </c>
      <c r="Q902" s="61" t="str">
        <f>IFERROR(__xludf.DUMMYFUNCTION("INDIRECT(""'收支紀錄'!Q""&amp;TO_TEXT(ROW()-$C$72))"),"")</f>
        <v/>
      </c>
      <c r="R902" s="61" t="str">
        <f>IFERROR(__xludf.DUMMYFUNCTION("INDIRECT(""'收支紀錄'!R""&amp;TO_TEXT(ROW()-$C$72))"),"")</f>
        <v/>
      </c>
      <c r="S902" s="61" t="str">
        <f>IFERROR(__xludf.DUMMYFUNCTION("INDIRECT(""'收支紀錄'!S""&amp;TO_TEXT(ROW()-$C$72))"),"")</f>
        <v/>
      </c>
      <c r="T902" s="61" t="str">
        <f>IFERROR(__xludf.DUMMYFUNCTION("INDIRECT(""'收支紀錄'!T""&amp;TO_TEXT(ROW()-$C$72))"),"")</f>
        <v/>
      </c>
      <c r="U902" s="62" t="str">
        <f>IFERROR(__xludf.DUMMYFUNCTION("IF(T902=""是"",TEXTJOIN("""", TRUE, ""$"", TO_TEXT(C902), S902),"""")"),"")</f>
        <v/>
      </c>
    </row>
    <row r="903">
      <c r="A903" s="58">
        <f>IFERROR(__xludf.DUMMYFUNCTION("INDIRECT(""'收支紀錄'!A""&amp;TO_TEXT(ROW()-$C$72))"),45807.215528553235)</f>
        <v>45807.21553</v>
      </c>
      <c r="B903" s="59">
        <f>IFERROR(__xludf.DUMMYFUNCTION("IF(ISBLANK(D903), """", IF(ISDATE(D903), D903, IF(D903=""今天"", A903, IF(D903=""昨天 (-1 day)"", A903-1, IF(D903=""前天 (-2 days)"", A903-2, IF(D903=""明天 (+1 day)"", A903+1, DATE(LEFT(D903,4), MID(D903,5,2), RIGHT(D903,2))))))))"),45805.215528553235)</f>
        <v>45805.21553</v>
      </c>
      <c r="C903" s="60">
        <f>IFERROR(__xludf.DUMMYFUNCTION("INDIRECT(""'收支紀錄'!C""&amp;TO_TEXT(ROW()-$C$72))"),1000.0)</f>
        <v>1000</v>
      </c>
      <c r="D903" s="63" t="str">
        <f>IFERROR(__xludf.DUMMYFUNCTION("INDIRECT(""'收支紀錄'!D""&amp;TO_TEXT(ROW()-$C$72))"),"前天 (-2 days)")</f>
        <v>前天 (-2 days)</v>
      </c>
      <c r="E903" s="61" t="str">
        <f>IFERROR(__xludf.DUMMYFUNCTION("INDIRECT(""'收支紀錄'!E""&amp;TO_TEXT(ROW()-$C$72))"),"工作")</f>
        <v>工作</v>
      </c>
      <c r="F903" s="61" t="str">
        <f>IFERROR(__xludf.DUMMYFUNCTION("INDIRECT(""'收支紀錄'!F""&amp;TO_TEXT(ROW()-$C$72))"),"加班/津貼")</f>
        <v>加班/津貼</v>
      </c>
      <c r="G903" s="61" t="str">
        <f>IFERROR(__xludf.DUMMYFUNCTION("INDIRECT(""'收支紀錄'!G""&amp;TO_TEXT(ROW()-$C$72))"),"")</f>
        <v/>
      </c>
      <c r="H903" s="61" t="str">
        <f>IFERROR(__xludf.DUMMYFUNCTION("INDIRECT(""'收支紀錄'!H""&amp;TO_TEXT(ROW()-$C$72))"),"")</f>
        <v/>
      </c>
      <c r="I903" s="61" t="str">
        <f>IFERROR(__xludf.DUMMYFUNCTION("INDIRECT(""'收支紀錄'!I""&amp;TO_TEXT(ROW()-$C$72))"),"")</f>
        <v/>
      </c>
      <c r="J903" s="61" t="str">
        <f>IFERROR(__xludf.DUMMYFUNCTION("INDIRECT(""'收支紀錄'!J""&amp;TO_TEXT(ROW()-$C$72))"),"")</f>
        <v/>
      </c>
      <c r="K903" s="61" t="str">
        <f>IFERROR(__xludf.DUMMYFUNCTION("INDIRECT(""'收支紀錄'!K""&amp;TO_TEXT(ROW()-$C$72))"),"")</f>
        <v/>
      </c>
      <c r="L903" s="61" t="str">
        <f>IFERROR(__xludf.DUMMYFUNCTION("INDIRECT(""'收支紀錄'!L""&amp;TO_TEXT(ROW()-$C$72))"),"")</f>
        <v/>
      </c>
      <c r="M903" s="61" t="str">
        <f>IFERROR(__xludf.DUMMYFUNCTION("INDIRECT(""'收支紀錄'!M""&amp;TO_TEXT(ROW()-$C$72))"),"")</f>
        <v/>
      </c>
      <c r="N903" s="61" t="str">
        <f>IFERROR(__xludf.DUMMYFUNCTION("INDIRECT(""'收支紀錄'!N""&amp;TO_TEXT(ROW()-$C$72))"),"")</f>
        <v/>
      </c>
      <c r="O903" s="61" t="str">
        <f>IFERROR(__xludf.DUMMYFUNCTION("INDIRECT(""'收支紀錄'!O""&amp;TO_TEXT(ROW()-$C$72))"),"")</f>
        <v/>
      </c>
      <c r="P903" s="61" t="str">
        <f>IFERROR(__xludf.DUMMYFUNCTION("INDIRECT(""'收支紀錄'!P""&amp;TO_TEXT(ROW()-$C$72))"),"")</f>
        <v/>
      </c>
      <c r="Q903" s="61" t="str">
        <f>IFERROR(__xludf.DUMMYFUNCTION("INDIRECT(""'收支紀錄'!Q""&amp;TO_TEXT(ROW()-$C$72))"),"")</f>
        <v/>
      </c>
      <c r="R903" s="61" t="str">
        <f>IFERROR(__xludf.DUMMYFUNCTION("INDIRECT(""'收支紀錄'!R""&amp;TO_TEXT(ROW()-$C$72))"),"")</f>
        <v/>
      </c>
      <c r="S903" s="61" t="str">
        <f>IFERROR(__xludf.DUMMYFUNCTION("INDIRECT(""'收支紀錄'!S""&amp;TO_TEXT(ROW()-$C$72))"),"端午節")</f>
        <v>端午節</v>
      </c>
      <c r="T903" s="61" t="str">
        <f>IFERROR(__xludf.DUMMYFUNCTION("INDIRECT(""'收支紀錄'!T""&amp;TO_TEXT(ROW()-$C$72))"),"是")</f>
        <v>是</v>
      </c>
      <c r="U903" s="62" t="str">
        <f>IFERROR(__xludf.DUMMYFUNCTION("IF(T903=""是"",TEXTJOIN("""", TRUE, ""$"", TO_TEXT(C903), S903),"""")"),"$1000端午節")</f>
        <v>$1000端午節</v>
      </c>
    </row>
    <row r="904">
      <c r="A904" s="58">
        <f>IFERROR(__xludf.DUMMYFUNCTION("INDIRECT(""'收支紀錄'!A""&amp;TO_TEXT(ROW()-$C$72))"),45807.79741298611)</f>
        <v>45807.79741</v>
      </c>
      <c r="B904" s="59">
        <f>IFERROR(__xludf.DUMMYFUNCTION("IF(ISBLANK(D904), """", IF(ISDATE(D904), D904, IF(D904=""今天"", A904, IF(D904=""昨天 (-1 day)"", A904-1, IF(D904=""前天 (-2 days)"", A904-2, IF(D904=""明天 (+1 day)"", A904+1, DATE(LEFT(D904,4), MID(D904,5,2), RIGHT(D904,2))))))))"),45807.79741298611)</f>
        <v>45807.79741</v>
      </c>
      <c r="C904" s="60">
        <f>IFERROR(__xludf.DUMMYFUNCTION("INDIRECT(""'收支紀錄'!C""&amp;TO_TEXT(ROW()-$C$72))"),1065.0)</f>
        <v>1065</v>
      </c>
      <c r="D904" s="63" t="str">
        <f>IFERROR(__xludf.DUMMYFUNCTION("INDIRECT(""'收支紀錄'!D""&amp;TO_TEXT(ROW()-$C$72))"),"今天")</f>
        <v>今天</v>
      </c>
      <c r="E904" s="61" t="str">
        <f>IFERROR(__xludf.DUMMYFUNCTION("INDIRECT(""'收支紀錄'!E""&amp;TO_TEXT(ROW()-$C$72))"),"")</f>
        <v/>
      </c>
      <c r="F904" s="61" t="str">
        <f>IFERROR(__xludf.DUMMYFUNCTION("INDIRECT(""'收支紀錄'!F""&amp;TO_TEXT(ROW()-$C$72))"),"")</f>
        <v/>
      </c>
      <c r="G904" s="61" t="str">
        <f>IFERROR(__xludf.DUMMYFUNCTION("INDIRECT(""'收支紀錄'!G""&amp;TO_TEXT(ROW()-$C$72))"),"")</f>
        <v/>
      </c>
      <c r="H904" s="61" t="str">
        <f>IFERROR(__xludf.DUMMYFUNCTION("INDIRECT(""'收支紀錄'!H""&amp;TO_TEXT(ROW()-$C$72))"),"食品酒水")</f>
        <v>食品酒水</v>
      </c>
      <c r="I904" s="61" t="str">
        <f>IFERROR(__xludf.DUMMYFUNCTION("INDIRECT(""'收支紀錄'!I""&amp;TO_TEXT(ROW()-$C$72))"),"晚餐")</f>
        <v>晚餐</v>
      </c>
      <c r="J904" s="61" t="str">
        <f>IFERROR(__xludf.DUMMYFUNCTION("INDIRECT(""'收支紀錄'!J""&amp;TO_TEXT(ROW()-$C$72))"),"")</f>
        <v/>
      </c>
      <c r="K904" s="61" t="str">
        <f>IFERROR(__xludf.DUMMYFUNCTION("INDIRECT(""'收支紀錄'!K""&amp;TO_TEXT(ROW()-$C$72))"),"")</f>
        <v/>
      </c>
      <c r="L904" s="61" t="str">
        <f>IFERROR(__xludf.DUMMYFUNCTION("INDIRECT(""'收支紀錄'!L""&amp;TO_TEXT(ROW()-$C$72))"),"")</f>
        <v/>
      </c>
      <c r="M904" s="61" t="str">
        <f>IFERROR(__xludf.DUMMYFUNCTION("INDIRECT(""'收支紀錄'!M""&amp;TO_TEXT(ROW()-$C$72))"),"")</f>
        <v/>
      </c>
      <c r="N904" s="61" t="str">
        <f>IFERROR(__xludf.DUMMYFUNCTION("INDIRECT(""'收支紀錄'!N""&amp;TO_TEXT(ROW()-$C$72))"),"")</f>
        <v/>
      </c>
      <c r="O904" s="61" t="str">
        <f>IFERROR(__xludf.DUMMYFUNCTION("INDIRECT(""'收支紀錄'!O""&amp;TO_TEXT(ROW()-$C$72))"),"")</f>
        <v/>
      </c>
      <c r="P904" s="61" t="str">
        <f>IFERROR(__xludf.DUMMYFUNCTION("INDIRECT(""'收支紀錄'!P""&amp;TO_TEXT(ROW()-$C$72))"),"")</f>
        <v/>
      </c>
      <c r="Q904" s="61" t="str">
        <f>IFERROR(__xludf.DUMMYFUNCTION("INDIRECT(""'收支紀錄'!Q""&amp;TO_TEXT(ROW()-$C$72))"),"")</f>
        <v/>
      </c>
      <c r="R904" s="61" t="str">
        <f>IFERROR(__xludf.DUMMYFUNCTION("INDIRECT(""'收支紀錄'!R""&amp;TO_TEXT(ROW()-$C$72))"),"")</f>
        <v/>
      </c>
      <c r="S904" s="61" t="str">
        <f>IFERROR(__xludf.DUMMYFUNCTION("INDIRECT(""'收支紀錄'!S""&amp;TO_TEXT(ROW()-$C$72))"),"")</f>
        <v/>
      </c>
      <c r="T904" s="61" t="str">
        <f>IFERROR(__xludf.DUMMYFUNCTION("INDIRECT(""'收支紀錄'!T""&amp;TO_TEXT(ROW()-$C$72))"),"")</f>
        <v/>
      </c>
      <c r="U904" s="62" t="str">
        <f>IFERROR(__xludf.DUMMYFUNCTION("IF(T904=""是"",TEXTJOIN("""", TRUE, ""$"", TO_TEXT(C904), S904),"""")"),"")</f>
        <v/>
      </c>
    </row>
    <row r="905">
      <c r="A905" s="58">
        <f>IFERROR(__xludf.DUMMYFUNCTION("INDIRECT(""'收支紀錄'!A""&amp;TO_TEXT(ROW()-$C$72))"),45807.875159456016)</f>
        <v>45807.87516</v>
      </c>
      <c r="B905" s="59">
        <f>IFERROR(__xludf.DUMMYFUNCTION("IF(ISBLANK(D905), """", IF(ISDATE(D905), D905, IF(D905=""今天"", A905, IF(D905=""昨天 (-1 day)"", A905-1, IF(D905=""前天 (-2 days)"", A905-2, IF(D905=""明天 (+1 day)"", A905+1, DATE(LEFT(D905,4), MID(D905,5,2), RIGHT(D905,2))))))))"),45807.875159456016)</f>
        <v>45807.87516</v>
      </c>
      <c r="C905" s="60">
        <f>IFERROR(__xludf.DUMMYFUNCTION("INDIRECT(""'收支紀錄'!C""&amp;TO_TEXT(ROW()-$C$72))"),494.0)</f>
        <v>494</v>
      </c>
      <c r="D905" s="63" t="str">
        <f>IFERROR(__xludf.DUMMYFUNCTION("INDIRECT(""'收支紀錄'!D""&amp;TO_TEXT(ROW()-$C$72))"),"今天")</f>
        <v>今天</v>
      </c>
      <c r="E905" s="61" t="str">
        <f>IFERROR(__xludf.DUMMYFUNCTION("INDIRECT(""'收支紀錄'!E""&amp;TO_TEXT(ROW()-$C$72))"),"")</f>
        <v/>
      </c>
      <c r="F905" s="61" t="str">
        <f>IFERROR(__xludf.DUMMYFUNCTION("INDIRECT(""'收支紀錄'!F""&amp;TO_TEXT(ROW()-$C$72))"),"")</f>
        <v/>
      </c>
      <c r="G905" s="61" t="str">
        <f>IFERROR(__xludf.DUMMYFUNCTION("INDIRECT(""'收支紀錄'!G""&amp;TO_TEXT(ROW()-$C$72))"),"")</f>
        <v/>
      </c>
      <c r="H905" s="61" t="str">
        <f>IFERROR(__xludf.DUMMYFUNCTION("INDIRECT(""'收支紀錄'!H""&amp;TO_TEXT(ROW()-$C$72))"),"食品酒水")</f>
        <v>食品酒水</v>
      </c>
      <c r="I905" s="61" t="str">
        <f>IFERROR(__xludf.DUMMYFUNCTION("INDIRECT(""'收支紀錄'!I""&amp;TO_TEXT(ROW()-$C$72))"),"食材")</f>
        <v>食材</v>
      </c>
      <c r="J905" s="61" t="str">
        <f>IFERROR(__xludf.DUMMYFUNCTION("INDIRECT(""'收支紀錄'!J""&amp;TO_TEXT(ROW()-$C$72))"),"")</f>
        <v/>
      </c>
      <c r="K905" s="61" t="str">
        <f>IFERROR(__xludf.DUMMYFUNCTION("INDIRECT(""'收支紀錄'!K""&amp;TO_TEXT(ROW()-$C$72))"),"")</f>
        <v/>
      </c>
      <c r="L905" s="61" t="str">
        <f>IFERROR(__xludf.DUMMYFUNCTION("INDIRECT(""'收支紀錄'!L""&amp;TO_TEXT(ROW()-$C$72))"),"")</f>
        <v/>
      </c>
      <c r="M905" s="61" t="str">
        <f>IFERROR(__xludf.DUMMYFUNCTION("INDIRECT(""'收支紀錄'!M""&amp;TO_TEXT(ROW()-$C$72))"),"")</f>
        <v/>
      </c>
      <c r="N905" s="61" t="str">
        <f>IFERROR(__xludf.DUMMYFUNCTION("INDIRECT(""'收支紀錄'!N""&amp;TO_TEXT(ROW()-$C$72))"),"")</f>
        <v/>
      </c>
      <c r="O905" s="61" t="str">
        <f>IFERROR(__xludf.DUMMYFUNCTION("INDIRECT(""'收支紀錄'!O""&amp;TO_TEXT(ROW()-$C$72))"),"")</f>
        <v/>
      </c>
      <c r="P905" s="61" t="str">
        <f>IFERROR(__xludf.DUMMYFUNCTION("INDIRECT(""'收支紀錄'!P""&amp;TO_TEXT(ROW()-$C$72))"),"")</f>
        <v/>
      </c>
      <c r="Q905" s="61" t="str">
        <f>IFERROR(__xludf.DUMMYFUNCTION("INDIRECT(""'收支紀錄'!Q""&amp;TO_TEXT(ROW()-$C$72))"),"")</f>
        <v/>
      </c>
      <c r="R905" s="61" t="str">
        <f>IFERROR(__xludf.DUMMYFUNCTION("INDIRECT(""'收支紀錄'!R""&amp;TO_TEXT(ROW()-$C$72))"),"")</f>
        <v/>
      </c>
      <c r="S905" s="61" t="str">
        <f>IFERROR(__xludf.DUMMYFUNCTION("INDIRECT(""'收支紀錄'!S""&amp;TO_TEXT(ROW()-$C$72))"),"")</f>
        <v/>
      </c>
      <c r="T905" s="61" t="str">
        <f>IFERROR(__xludf.DUMMYFUNCTION("INDIRECT(""'收支紀錄'!T""&amp;TO_TEXT(ROW()-$C$72))"),"")</f>
        <v/>
      </c>
      <c r="U905" s="62" t="str">
        <f>IFERROR(__xludf.DUMMYFUNCTION("IF(T905=""是"",TEXTJOIN("""", TRUE, ""$"", TO_TEXT(C905), S905),"""")"),"")</f>
        <v/>
      </c>
    </row>
    <row r="906">
      <c r="A906" s="58">
        <f>IFERROR(__xludf.DUMMYFUNCTION("INDIRECT(""'收支紀錄'!A""&amp;TO_TEXT(ROW()-$C$72))"),45809.61225034722)</f>
        <v>45809.61225</v>
      </c>
      <c r="B906" s="59">
        <f>IFERROR(__xludf.DUMMYFUNCTION("IF(ISBLANK(D906), """", IF(ISDATE(D906), D906, IF(D906=""今天"", A906, IF(D906=""昨天 (-1 day)"", A906-1, IF(D906=""前天 (-2 days)"", A906-2, IF(D906=""明天 (+1 day)"", A906+1, DATE(LEFT(D906,4), MID(D906,5,2), RIGHT(D906,2))))))))"),45809.61225034722)</f>
        <v>45809.61225</v>
      </c>
      <c r="C906" s="60">
        <f>IFERROR(__xludf.DUMMYFUNCTION("INDIRECT(""'收支紀錄'!C""&amp;TO_TEXT(ROW()-$C$72))"),35.0)</f>
        <v>35</v>
      </c>
      <c r="D906" s="63" t="str">
        <f>IFERROR(__xludf.DUMMYFUNCTION("INDIRECT(""'收支紀錄'!D""&amp;TO_TEXT(ROW()-$C$72))"),"今天")</f>
        <v>今天</v>
      </c>
      <c r="E906" s="61" t="str">
        <f>IFERROR(__xludf.DUMMYFUNCTION("INDIRECT(""'收支紀錄'!E""&amp;TO_TEXT(ROW()-$C$72))"),"")</f>
        <v/>
      </c>
      <c r="F906" s="61" t="str">
        <f>IFERROR(__xludf.DUMMYFUNCTION("INDIRECT(""'收支紀錄'!F""&amp;TO_TEXT(ROW()-$C$72))"),"")</f>
        <v/>
      </c>
      <c r="G906" s="61" t="str">
        <f>IFERROR(__xludf.DUMMYFUNCTION("INDIRECT(""'收支紀錄'!G""&amp;TO_TEXT(ROW()-$C$72))"),"")</f>
        <v/>
      </c>
      <c r="H906" s="61" t="str">
        <f>IFERROR(__xludf.DUMMYFUNCTION("INDIRECT(""'收支紀錄'!H""&amp;TO_TEXT(ROW()-$C$72))"),"行車交通")</f>
        <v>行車交通</v>
      </c>
      <c r="I906" s="61" t="str">
        <f>IFERROR(__xludf.DUMMYFUNCTION("INDIRECT(""'收支紀錄'!I""&amp;TO_TEXT(ROW()-$C$72))"),"")</f>
        <v/>
      </c>
      <c r="J906" s="61" t="str">
        <f>IFERROR(__xludf.DUMMYFUNCTION("INDIRECT(""'收支紀錄'!J""&amp;TO_TEXT(ROW()-$C$72))"),"")</f>
        <v/>
      </c>
      <c r="K906" s="61" t="str">
        <f>IFERROR(__xludf.DUMMYFUNCTION("INDIRECT(""'收支紀錄'!K""&amp;TO_TEXT(ROW()-$C$72))"),"")</f>
        <v/>
      </c>
      <c r="L906" s="61" t="str">
        <f>IFERROR(__xludf.DUMMYFUNCTION("INDIRECT(""'收支紀錄'!L""&amp;TO_TEXT(ROW()-$C$72))"),"捷運費")</f>
        <v>捷運費</v>
      </c>
      <c r="M906" s="61" t="str">
        <f>IFERROR(__xludf.DUMMYFUNCTION("INDIRECT(""'收支紀錄'!M""&amp;TO_TEXT(ROW()-$C$72))"),"")</f>
        <v/>
      </c>
      <c r="N906" s="61" t="str">
        <f>IFERROR(__xludf.DUMMYFUNCTION("INDIRECT(""'收支紀錄'!N""&amp;TO_TEXT(ROW()-$C$72))"),"")</f>
        <v/>
      </c>
      <c r="O906" s="61" t="str">
        <f>IFERROR(__xludf.DUMMYFUNCTION("INDIRECT(""'收支紀錄'!O""&amp;TO_TEXT(ROW()-$C$72))"),"")</f>
        <v/>
      </c>
      <c r="P906" s="61" t="str">
        <f>IFERROR(__xludf.DUMMYFUNCTION("INDIRECT(""'收支紀錄'!P""&amp;TO_TEXT(ROW()-$C$72))"),"")</f>
        <v/>
      </c>
      <c r="Q906" s="61" t="str">
        <f>IFERROR(__xludf.DUMMYFUNCTION("INDIRECT(""'收支紀錄'!Q""&amp;TO_TEXT(ROW()-$C$72))"),"")</f>
        <v/>
      </c>
      <c r="R906" s="61" t="str">
        <f>IFERROR(__xludf.DUMMYFUNCTION("INDIRECT(""'收支紀錄'!R""&amp;TO_TEXT(ROW()-$C$72))"),"")</f>
        <v/>
      </c>
      <c r="S906" s="61" t="str">
        <f>IFERROR(__xludf.DUMMYFUNCTION("INDIRECT(""'收支紀錄'!S""&amp;TO_TEXT(ROW()-$C$72))"),"")</f>
        <v/>
      </c>
      <c r="T906" s="61" t="str">
        <f>IFERROR(__xludf.DUMMYFUNCTION("INDIRECT(""'收支紀錄'!T""&amp;TO_TEXT(ROW()-$C$72))"),"")</f>
        <v/>
      </c>
      <c r="U906" s="62" t="str">
        <f>IFERROR(__xludf.DUMMYFUNCTION("IF(T906=""是"",TEXTJOIN("""", TRUE, ""$"", TO_TEXT(C906), S906),"""")"),"")</f>
        <v/>
      </c>
    </row>
    <row r="907">
      <c r="A907" s="58">
        <f>IFERROR(__xludf.DUMMYFUNCTION("INDIRECT(""'收支紀錄'!A""&amp;TO_TEXT(ROW()-$C$72))"),45809.612461365745)</f>
        <v>45809.61246</v>
      </c>
      <c r="B907" s="59">
        <f>IFERROR(__xludf.DUMMYFUNCTION("IF(ISBLANK(D907), """", IF(ISDATE(D907), D907, IF(D907=""今天"", A907, IF(D907=""昨天 (-1 day)"", A907-1, IF(D907=""前天 (-2 days)"", A907-2, IF(D907=""明天 (+1 day)"", A907+1, DATE(LEFT(D907,4), MID(D907,5,2), RIGHT(D907,2))))))))"),45809.612461365745)</f>
        <v>45809.61246</v>
      </c>
      <c r="C907" s="60">
        <f>IFERROR(__xludf.DUMMYFUNCTION("INDIRECT(""'收支紀錄'!C""&amp;TO_TEXT(ROW()-$C$72))"),765.0)</f>
        <v>765</v>
      </c>
      <c r="D907" s="63" t="str">
        <f>IFERROR(__xludf.DUMMYFUNCTION("INDIRECT(""'收支紀錄'!D""&amp;TO_TEXT(ROW()-$C$72))"),"今天")</f>
        <v>今天</v>
      </c>
      <c r="E907" s="61" t="str">
        <f>IFERROR(__xludf.DUMMYFUNCTION("INDIRECT(""'收支紀錄'!E""&amp;TO_TEXT(ROW()-$C$72))"),"")</f>
        <v/>
      </c>
      <c r="F907" s="61" t="str">
        <f>IFERROR(__xludf.DUMMYFUNCTION("INDIRECT(""'收支紀錄'!F""&amp;TO_TEXT(ROW()-$C$72))"),"")</f>
        <v/>
      </c>
      <c r="G907" s="61" t="str">
        <f>IFERROR(__xludf.DUMMYFUNCTION("INDIRECT(""'收支紀錄'!G""&amp;TO_TEXT(ROW()-$C$72))"),"")</f>
        <v/>
      </c>
      <c r="H907" s="61" t="str">
        <f>IFERROR(__xludf.DUMMYFUNCTION("INDIRECT(""'收支紀錄'!H""&amp;TO_TEXT(ROW()-$C$72))"),"行車交通")</f>
        <v>行車交通</v>
      </c>
      <c r="I907" s="61" t="str">
        <f>IFERROR(__xludf.DUMMYFUNCTION("INDIRECT(""'收支紀錄'!I""&amp;TO_TEXT(ROW()-$C$72))"),"")</f>
        <v/>
      </c>
      <c r="J907" s="61" t="str">
        <f>IFERROR(__xludf.DUMMYFUNCTION("INDIRECT(""'收支紀錄'!J""&amp;TO_TEXT(ROW()-$C$72))"),"")</f>
        <v/>
      </c>
      <c r="K907" s="61" t="str">
        <f>IFERROR(__xludf.DUMMYFUNCTION("INDIRECT(""'收支紀錄'!K""&amp;TO_TEXT(ROW()-$C$72))"),"")</f>
        <v/>
      </c>
      <c r="L907" s="61" t="str">
        <f>IFERROR(__xludf.DUMMYFUNCTION("INDIRECT(""'收支紀錄'!L""&amp;TO_TEXT(ROW()-$C$72))"),"高鐵")</f>
        <v>高鐵</v>
      </c>
      <c r="M907" s="61" t="str">
        <f>IFERROR(__xludf.DUMMYFUNCTION("INDIRECT(""'收支紀錄'!M""&amp;TO_TEXT(ROW()-$C$72))"),"")</f>
        <v/>
      </c>
      <c r="N907" s="61" t="str">
        <f>IFERROR(__xludf.DUMMYFUNCTION("INDIRECT(""'收支紀錄'!N""&amp;TO_TEXT(ROW()-$C$72))"),"")</f>
        <v/>
      </c>
      <c r="O907" s="61" t="str">
        <f>IFERROR(__xludf.DUMMYFUNCTION("INDIRECT(""'收支紀錄'!O""&amp;TO_TEXT(ROW()-$C$72))"),"")</f>
        <v/>
      </c>
      <c r="P907" s="61" t="str">
        <f>IFERROR(__xludf.DUMMYFUNCTION("INDIRECT(""'收支紀錄'!P""&amp;TO_TEXT(ROW()-$C$72))"),"")</f>
        <v/>
      </c>
      <c r="Q907" s="61" t="str">
        <f>IFERROR(__xludf.DUMMYFUNCTION("INDIRECT(""'收支紀錄'!Q""&amp;TO_TEXT(ROW()-$C$72))"),"")</f>
        <v/>
      </c>
      <c r="R907" s="61" t="str">
        <f>IFERROR(__xludf.DUMMYFUNCTION("INDIRECT(""'收支紀錄'!R""&amp;TO_TEXT(ROW()-$C$72))"),"")</f>
        <v/>
      </c>
      <c r="S907" s="61" t="str">
        <f>IFERROR(__xludf.DUMMYFUNCTION("INDIRECT(""'收支紀錄'!S""&amp;TO_TEXT(ROW()-$C$72))"),"")</f>
        <v/>
      </c>
      <c r="T907" s="61" t="str">
        <f>IFERROR(__xludf.DUMMYFUNCTION("INDIRECT(""'收支紀錄'!T""&amp;TO_TEXT(ROW()-$C$72))"),"")</f>
        <v/>
      </c>
      <c r="U907" s="62" t="str">
        <f>IFERROR(__xludf.DUMMYFUNCTION("IF(T907=""是"",TEXTJOIN("""", TRUE, ""$"", TO_TEXT(C907), S907),"""")"),"")</f>
        <v/>
      </c>
    </row>
    <row r="908">
      <c r="A908" s="58">
        <f>IFERROR(__xludf.DUMMYFUNCTION("INDIRECT(""'收支紀錄'!A""&amp;TO_TEXT(ROW()-$C$72))"),45810.32305234954)</f>
        <v>45810.32305</v>
      </c>
      <c r="B908" s="59">
        <f>IFERROR(__xludf.DUMMYFUNCTION("IF(ISBLANK(D908), """", IF(ISDATE(D908), D908, IF(D908=""今天"", A908, IF(D908=""昨天 (-1 day)"", A908-1, IF(D908=""前天 (-2 days)"", A908-2, IF(D908=""明天 (+1 day)"", A908+1, DATE(LEFT(D908,4), MID(D908,5,2), RIGHT(D908,2))))))))"),45809.32305234954)</f>
        <v>45809.32305</v>
      </c>
      <c r="C908" s="60">
        <f>IFERROR(__xludf.DUMMYFUNCTION("INDIRECT(""'收支紀錄'!C""&amp;TO_TEXT(ROW()-$C$72))"),6000.0)</f>
        <v>6000</v>
      </c>
      <c r="D908" s="63" t="str">
        <f>IFERROR(__xludf.DUMMYFUNCTION("INDIRECT(""'收支紀錄'!D""&amp;TO_TEXT(ROW()-$C$72))"),"昨天 (-1 day)")</f>
        <v>昨天 (-1 day)</v>
      </c>
      <c r="E908" s="61" t="str">
        <f>IFERROR(__xludf.DUMMYFUNCTION("INDIRECT(""'收支紀錄'!E""&amp;TO_TEXT(ROW()-$C$72))"),"")</f>
        <v/>
      </c>
      <c r="F908" s="61" t="str">
        <f>IFERROR(__xludf.DUMMYFUNCTION("INDIRECT(""'收支紀錄'!F""&amp;TO_TEXT(ROW()-$C$72))"),"")</f>
        <v/>
      </c>
      <c r="G908" s="61" t="str">
        <f>IFERROR(__xludf.DUMMYFUNCTION("INDIRECT(""'收支紀錄'!G""&amp;TO_TEXT(ROW()-$C$72))"),"")</f>
        <v/>
      </c>
      <c r="H908" s="61" t="str">
        <f>IFERROR(__xludf.DUMMYFUNCTION("INDIRECT(""'收支紀錄'!H""&amp;TO_TEXT(ROW()-$C$72))"),"房屋支出")</f>
        <v>房屋支出</v>
      </c>
      <c r="I908" s="61" t="str">
        <f>IFERROR(__xludf.DUMMYFUNCTION("INDIRECT(""'收支紀錄'!I""&amp;TO_TEXT(ROW()-$C$72))"),"")</f>
        <v/>
      </c>
      <c r="J908" s="61" t="str">
        <f>IFERROR(__xludf.DUMMYFUNCTION("INDIRECT(""'收支紀錄'!J""&amp;TO_TEXT(ROW()-$C$72))"),"")</f>
        <v/>
      </c>
      <c r="K908" s="61" t="str">
        <f>IFERROR(__xludf.DUMMYFUNCTION("INDIRECT(""'收支紀錄'!K""&amp;TO_TEXT(ROW()-$C$72))"),"租屋")</f>
        <v>租屋</v>
      </c>
      <c r="L908" s="61" t="str">
        <f>IFERROR(__xludf.DUMMYFUNCTION("INDIRECT(""'收支紀錄'!L""&amp;TO_TEXT(ROW()-$C$72))"),"")</f>
        <v/>
      </c>
      <c r="M908" s="61" t="str">
        <f>IFERROR(__xludf.DUMMYFUNCTION("INDIRECT(""'收支紀錄'!M""&amp;TO_TEXT(ROW()-$C$72))"),"")</f>
        <v/>
      </c>
      <c r="N908" s="61" t="str">
        <f>IFERROR(__xludf.DUMMYFUNCTION("INDIRECT(""'收支紀錄'!N""&amp;TO_TEXT(ROW()-$C$72))"),"")</f>
        <v/>
      </c>
      <c r="O908" s="61" t="str">
        <f>IFERROR(__xludf.DUMMYFUNCTION("INDIRECT(""'收支紀錄'!O""&amp;TO_TEXT(ROW()-$C$72))"),"")</f>
        <v/>
      </c>
      <c r="P908" s="61" t="str">
        <f>IFERROR(__xludf.DUMMYFUNCTION("INDIRECT(""'收支紀錄'!P""&amp;TO_TEXT(ROW()-$C$72))"),"")</f>
        <v/>
      </c>
      <c r="Q908" s="61" t="str">
        <f>IFERROR(__xludf.DUMMYFUNCTION("INDIRECT(""'收支紀錄'!Q""&amp;TO_TEXT(ROW()-$C$72))"),"")</f>
        <v/>
      </c>
      <c r="R908" s="61" t="str">
        <f>IFERROR(__xludf.DUMMYFUNCTION("INDIRECT(""'收支紀錄'!R""&amp;TO_TEXT(ROW()-$C$72))"),"")</f>
        <v/>
      </c>
      <c r="S908" s="61" t="str">
        <f>IFERROR(__xludf.DUMMYFUNCTION("INDIRECT(""'收支紀錄'!S""&amp;TO_TEXT(ROW()-$C$72))"),"")</f>
        <v/>
      </c>
      <c r="T908" s="61" t="str">
        <f>IFERROR(__xludf.DUMMYFUNCTION("INDIRECT(""'收支紀錄'!T""&amp;TO_TEXT(ROW()-$C$72))"),"")</f>
        <v/>
      </c>
      <c r="U908" s="62" t="str">
        <f>IFERROR(__xludf.DUMMYFUNCTION("IF(T908=""是"",TEXTJOIN("""", TRUE, ""$"", TO_TEXT(C908), S908),"""")"),"")</f>
        <v/>
      </c>
    </row>
    <row r="909">
      <c r="A909" s="58">
        <f>IFERROR(__xludf.DUMMYFUNCTION("INDIRECT(""'收支紀錄'!A""&amp;TO_TEXT(ROW()-$C$72))"),45810.32328236111)</f>
        <v>45810.32328</v>
      </c>
      <c r="B909" s="59">
        <f>IFERROR(__xludf.DUMMYFUNCTION("IF(ISBLANK(D909), """", IF(ISDATE(D909), D909, IF(D909=""今天"", A909, IF(D909=""昨天 (-1 day)"", A909-1, IF(D909=""前天 (-2 days)"", A909-2, IF(D909=""明天 (+1 day)"", A909+1, DATE(LEFT(D909,4), MID(D909,5,2), RIGHT(D909,2))))))))"),45809.32328236111)</f>
        <v>45809.32328</v>
      </c>
      <c r="C909" s="60">
        <f>IFERROR(__xludf.DUMMYFUNCTION("INDIRECT(""'收支紀錄'!C""&amp;TO_TEXT(ROW()-$C$72))"),20000.0)</f>
        <v>20000</v>
      </c>
      <c r="D909" s="63" t="str">
        <f>IFERROR(__xludf.DUMMYFUNCTION("INDIRECT(""'收支紀錄'!D""&amp;TO_TEXT(ROW()-$C$72))"),"昨天 (-1 day)")</f>
        <v>昨天 (-1 day)</v>
      </c>
      <c r="E909" s="61" t="str">
        <f>IFERROR(__xludf.DUMMYFUNCTION("INDIRECT(""'收支紀錄'!E""&amp;TO_TEXT(ROW()-$C$72))"),"")</f>
        <v/>
      </c>
      <c r="F909" s="61" t="str">
        <f>IFERROR(__xludf.DUMMYFUNCTION("INDIRECT(""'收支紀錄'!F""&amp;TO_TEXT(ROW()-$C$72))"),"")</f>
        <v/>
      </c>
      <c r="G909" s="61" t="str">
        <f>IFERROR(__xludf.DUMMYFUNCTION("INDIRECT(""'收支紀錄'!G""&amp;TO_TEXT(ROW()-$C$72))"),"")</f>
        <v/>
      </c>
      <c r="H909" s="61" t="str">
        <f>IFERROR(__xludf.DUMMYFUNCTION("INDIRECT(""'收支紀錄'!H""&amp;TO_TEXT(ROW()-$C$72))"),"房屋支出")</f>
        <v>房屋支出</v>
      </c>
      <c r="I909" s="61" t="str">
        <f>IFERROR(__xludf.DUMMYFUNCTION("INDIRECT(""'收支紀錄'!I""&amp;TO_TEXT(ROW()-$C$72))"),"")</f>
        <v/>
      </c>
      <c r="J909" s="61" t="str">
        <f>IFERROR(__xludf.DUMMYFUNCTION("INDIRECT(""'收支紀錄'!J""&amp;TO_TEXT(ROW()-$C$72))"),"")</f>
        <v/>
      </c>
      <c r="K909" s="61" t="str">
        <f>IFERROR(__xludf.DUMMYFUNCTION("INDIRECT(""'收支紀錄'!K""&amp;TO_TEXT(ROW()-$C$72))"),"文心1房貸代繳")</f>
        <v>文心1房貸代繳</v>
      </c>
      <c r="L909" s="61" t="str">
        <f>IFERROR(__xludf.DUMMYFUNCTION("INDIRECT(""'收支紀錄'!L""&amp;TO_TEXT(ROW()-$C$72))"),"")</f>
        <v/>
      </c>
      <c r="M909" s="61" t="str">
        <f>IFERROR(__xludf.DUMMYFUNCTION("INDIRECT(""'收支紀錄'!M""&amp;TO_TEXT(ROW()-$C$72))"),"")</f>
        <v/>
      </c>
      <c r="N909" s="61" t="str">
        <f>IFERROR(__xludf.DUMMYFUNCTION("INDIRECT(""'收支紀錄'!N""&amp;TO_TEXT(ROW()-$C$72))"),"")</f>
        <v/>
      </c>
      <c r="O909" s="61" t="str">
        <f>IFERROR(__xludf.DUMMYFUNCTION("INDIRECT(""'收支紀錄'!O""&amp;TO_TEXT(ROW()-$C$72))"),"")</f>
        <v/>
      </c>
      <c r="P909" s="61" t="str">
        <f>IFERROR(__xludf.DUMMYFUNCTION("INDIRECT(""'收支紀錄'!P""&amp;TO_TEXT(ROW()-$C$72))"),"")</f>
        <v/>
      </c>
      <c r="Q909" s="61" t="str">
        <f>IFERROR(__xludf.DUMMYFUNCTION("INDIRECT(""'收支紀錄'!Q""&amp;TO_TEXT(ROW()-$C$72))"),"")</f>
        <v/>
      </c>
      <c r="R909" s="61" t="str">
        <f>IFERROR(__xludf.DUMMYFUNCTION("INDIRECT(""'收支紀錄'!R""&amp;TO_TEXT(ROW()-$C$72))"),"")</f>
        <v/>
      </c>
      <c r="S909" s="61" t="str">
        <f>IFERROR(__xludf.DUMMYFUNCTION("INDIRECT(""'收支紀錄'!S""&amp;TO_TEXT(ROW()-$C$72))"),"")</f>
        <v/>
      </c>
      <c r="T909" s="61" t="str">
        <f>IFERROR(__xludf.DUMMYFUNCTION("INDIRECT(""'收支紀錄'!T""&amp;TO_TEXT(ROW()-$C$72))"),"")</f>
        <v/>
      </c>
      <c r="U909" s="62" t="str">
        <f>IFERROR(__xludf.DUMMYFUNCTION("IF(T909=""是"",TEXTJOIN("""", TRUE, ""$"", TO_TEXT(C909), S909),"""")"),"")</f>
        <v/>
      </c>
    </row>
    <row r="910">
      <c r="A910" s="58">
        <f>IFERROR(__xludf.DUMMYFUNCTION("INDIRECT(""'收支紀錄'!A""&amp;TO_TEXT(ROW()-$C$72))"),45810.323496666664)</f>
        <v>45810.3235</v>
      </c>
      <c r="B910" s="59">
        <f>IFERROR(__xludf.DUMMYFUNCTION("IF(ISBLANK(D910), """", IF(ISDATE(D910), D910, IF(D910=""今天"", A910, IF(D910=""昨天 (-1 day)"", A910-1, IF(D910=""前天 (-2 days)"", A910-2, IF(D910=""明天 (+1 day)"", A910+1, DATE(LEFT(D910,4), MID(D910,5,2), RIGHT(D910,2))))))))"),45809.323496666664)</f>
        <v>45809.3235</v>
      </c>
      <c r="C910" s="60">
        <f>IFERROR(__xludf.DUMMYFUNCTION("INDIRECT(""'收支紀錄'!C""&amp;TO_TEXT(ROW()-$C$72))"),6000.0)</f>
        <v>6000</v>
      </c>
      <c r="D910" s="63" t="str">
        <f>IFERROR(__xludf.DUMMYFUNCTION("INDIRECT(""'收支紀錄'!D""&amp;TO_TEXT(ROW()-$C$72))"),"昨天 (-1 day)")</f>
        <v>昨天 (-1 day)</v>
      </c>
      <c r="E910" s="61" t="str">
        <f>IFERROR(__xludf.DUMMYFUNCTION("INDIRECT(""'收支紀錄'!E""&amp;TO_TEXT(ROW()-$C$72))"),"其他業外")</f>
        <v>其他業外</v>
      </c>
      <c r="F910" s="61" t="str">
        <f>IFERROR(__xludf.DUMMYFUNCTION("INDIRECT(""'收支紀錄'!F""&amp;TO_TEXT(ROW()-$C$72))"),"")</f>
        <v/>
      </c>
      <c r="G910" s="61" t="str">
        <f>IFERROR(__xludf.DUMMYFUNCTION("INDIRECT(""'收支紀錄'!G""&amp;TO_TEXT(ROW()-$C$72))"),"房屋補貼")</f>
        <v>房屋補貼</v>
      </c>
      <c r="H910" s="61" t="str">
        <f>IFERROR(__xludf.DUMMYFUNCTION("INDIRECT(""'收支紀錄'!H""&amp;TO_TEXT(ROW()-$C$72))"),"")</f>
        <v/>
      </c>
      <c r="I910" s="61" t="str">
        <f>IFERROR(__xludf.DUMMYFUNCTION("INDIRECT(""'收支紀錄'!I""&amp;TO_TEXT(ROW()-$C$72))"),"")</f>
        <v/>
      </c>
      <c r="J910" s="61" t="str">
        <f>IFERROR(__xludf.DUMMYFUNCTION("INDIRECT(""'收支紀錄'!J""&amp;TO_TEXT(ROW()-$C$72))"),"")</f>
        <v/>
      </c>
      <c r="K910" s="61" t="str">
        <f>IFERROR(__xludf.DUMMYFUNCTION("INDIRECT(""'收支紀錄'!K""&amp;TO_TEXT(ROW()-$C$72))"),"")</f>
        <v/>
      </c>
      <c r="L910" s="61" t="str">
        <f>IFERROR(__xludf.DUMMYFUNCTION("INDIRECT(""'收支紀錄'!L""&amp;TO_TEXT(ROW()-$C$72))"),"")</f>
        <v/>
      </c>
      <c r="M910" s="61" t="str">
        <f>IFERROR(__xludf.DUMMYFUNCTION("INDIRECT(""'收支紀錄'!M""&amp;TO_TEXT(ROW()-$C$72))"),"")</f>
        <v/>
      </c>
      <c r="N910" s="61" t="str">
        <f>IFERROR(__xludf.DUMMYFUNCTION("INDIRECT(""'收支紀錄'!N""&amp;TO_TEXT(ROW()-$C$72))"),"")</f>
        <v/>
      </c>
      <c r="O910" s="61" t="str">
        <f>IFERROR(__xludf.DUMMYFUNCTION("INDIRECT(""'收支紀錄'!O""&amp;TO_TEXT(ROW()-$C$72))"),"")</f>
        <v/>
      </c>
      <c r="P910" s="61" t="str">
        <f>IFERROR(__xludf.DUMMYFUNCTION("INDIRECT(""'收支紀錄'!P""&amp;TO_TEXT(ROW()-$C$72))"),"")</f>
        <v/>
      </c>
      <c r="Q910" s="61" t="str">
        <f>IFERROR(__xludf.DUMMYFUNCTION("INDIRECT(""'收支紀錄'!Q""&amp;TO_TEXT(ROW()-$C$72))"),"")</f>
        <v/>
      </c>
      <c r="R910" s="61" t="str">
        <f>IFERROR(__xludf.DUMMYFUNCTION("INDIRECT(""'收支紀錄'!R""&amp;TO_TEXT(ROW()-$C$72))"),"")</f>
        <v/>
      </c>
      <c r="S910" s="61" t="str">
        <f>IFERROR(__xludf.DUMMYFUNCTION("INDIRECT(""'收支紀錄'!S""&amp;TO_TEXT(ROW()-$C$72))"),"")</f>
        <v/>
      </c>
      <c r="T910" s="61" t="str">
        <f>IFERROR(__xludf.DUMMYFUNCTION("INDIRECT(""'收支紀錄'!T""&amp;TO_TEXT(ROW()-$C$72))"),"")</f>
        <v/>
      </c>
      <c r="U910" s="62" t="str">
        <f>IFERROR(__xludf.DUMMYFUNCTION("IF(T910=""是"",TEXTJOIN("""", TRUE, ""$"", TO_TEXT(C910), S910),"""")"),"")</f>
        <v/>
      </c>
    </row>
    <row r="911">
      <c r="A911" s="58">
        <f>IFERROR(__xludf.DUMMYFUNCTION("INDIRECT(""'收支紀錄'!A""&amp;TO_TEXT(ROW()-$C$72))"),45811.50704951389)</f>
        <v>45811.50705</v>
      </c>
      <c r="B911" s="59">
        <f>IFERROR(__xludf.DUMMYFUNCTION("IF(ISBLANK(D911), """", IF(ISDATE(D911), D911, IF(D911=""今天"", A911, IF(D911=""昨天 (-1 day)"", A911-1, IF(D911=""前天 (-2 days)"", A911-2, IF(D911=""明天 (+1 day)"", A911+1, DATE(LEFT(D911,4), MID(D911,5,2), RIGHT(D911,2))))))))"),45811.50704951389)</f>
        <v>45811.50705</v>
      </c>
      <c r="C911" s="60">
        <f>IFERROR(__xludf.DUMMYFUNCTION("INDIRECT(""'收支紀錄'!C""&amp;TO_TEXT(ROW()-$C$72))"),139.0)</f>
        <v>139</v>
      </c>
      <c r="D911" s="63" t="str">
        <f>IFERROR(__xludf.DUMMYFUNCTION("INDIRECT(""'收支紀錄'!D""&amp;TO_TEXT(ROW()-$C$72))"),"今天")</f>
        <v>今天</v>
      </c>
      <c r="E911" s="61" t="str">
        <f>IFERROR(__xludf.DUMMYFUNCTION("INDIRECT(""'收支紀錄'!E""&amp;TO_TEXT(ROW()-$C$72))"),"")</f>
        <v/>
      </c>
      <c r="F911" s="61" t="str">
        <f>IFERROR(__xludf.DUMMYFUNCTION("INDIRECT(""'收支紀錄'!F""&amp;TO_TEXT(ROW()-$C$72))"),"")</f>
        <v/>
      </c>
      <c r="G911" s="61" t="str">
        <f>IFERROR(__xludf.DUMMYFUNCTION("INDIRECT(""'收支紀錄'!G""&amp;TO_TEXT(ROW()-$C$72))"),"")</f>
        <v/>
      </c>
      <c r="H911" s="61" t="str">
        <f>IFERROR(__xludf.DUMMYFUNCTION("INDIRECT(""'收支紀錄'!H""&amp;TO_TEXT(ROW()-$C$72))"),"行車交通")</f>
        <v>行車交通</v>
      </c>
      <c r="I911" s="61" t="str">
        <f>IFERROR(__xludf.DUMMYFUNCTION("INDIRECT(""'收支紀錄'!I""&amp;TO_TEXT(ROW()-$C$72))"),"")</f>
        <v/>
      </c>
      <c r="J911" s="61" t="str">
        <f>IFERROR(__xludf.DUMMYFUNCTION("INDIRECT(""'收支紀錄'!J""&amp;TO_TEXT(ROW()-$C$72))"),"")</f>
        <v/>
      </c>
      <c r="K911" s="61" t="str">
        <f>IFERROR(__xludf.DUMMYFUNCTION("INDIRECT(""'收支紀錄'!K""&amp;TO_TEXT(ROW()-$C$72))"),"")</f>
        <v/>
      </c>
      <c r="L911" s="61" t="str">
        <f>IFERROR(__xludf.DUMMYFUNCTION("INDIRECT(""'收支紀錄'!L""&amp;TO_TEXT(ROW()-$C$72))"),"計程車/Uber")</f>
        <v>計程車/Uber</v>
      </c>
      <c r="M911" s="61" t="str">
        <f>IFERROR(__xludf.DUMMYFUNCTION("INDIRECT(""'收支紀錄'!M""&amp;TO_TEXT(ROW()-$C$72))"),"")</f>
        <v/>
      </c>
      <c r="N911" s="61" t="str">
        <f>IFERROR(__xludf.DUMMYFUNCTION("INDIRECT(""'收支紀錄'!N""&amp;TO_TEXT(ROW()-$C$72))"),"")</f>
        <v/>
      </c>
      <c r="O911" s="61" t="str">
        <f>IFERROR(__xludf.DUMMYFUNCTION("INDIRECT(""'收支紀錄'!O""&amp;TO_TEXT(ROW()-$C$72))"),"")</f>
        <v/>
      </c>
      <c r="P911" s="61" t="str">
        <f>IFERROR(__xludf.DUMMYFUNCTION("INDIRECT(""'收支紀錄'!P""&amp;TO_TEXT(ROW()-$C$72))"),"")</f>
        <v/>
      </c>
      <c r="Q911" s="61" t="str">
        <f>IFERROR(__xludf.DUMMYFUNCTION("INDIRECT(""'收支紀錄'!Q""&amp;TO_TEXT(ROW()-$C$72))"),"")</f>
        <v/>
      </c>
      <c r="R911" s="61" t="str">
        <f>IFERROR(__xludf.DUMMYFUNCTION("INDIRECT(""'收支紀錄'!R""&amp;TO_TEXT(ROW()-$C$72))"),"")</f>
        <v/>
      </c>
      <c r="S911" s="61" t="str">
        <f>IFERROR(__xludf.DUMMYFUNCTION("INDIRECT(""'收支紀錄'!S""&amp;TO_TEXT(ROW()-$C$72))"),"")</f>
        <v/>
      </c>
      <c r="T911" s="61" t="str">
        <f>IFERROR(__xludf.DUMMYFUNCTION("INDIRECT(""'收支紀錄'!T""&amp;TO_TEXT(ROW()-$C$72))"),"")</f>
        <v/>
      </c>
      <c r="U911" s="62" t="str">
        <f>IFERROR(__xludf.DUMMYFUNCTION("IF(T911=""是"",TEXTJOIN("""", TRUE, ""$"", TO_TEXT(C911), S911),"""")"),"")</f>
        <v/>
      </c>
    </row>
    <row r="912">
      <c r="A912" s="58">
        <f>IFERROR(__xludf.DUMMYFUNCTION("INDIRECT(""'收支紀錄'!A""&amp;TO_TEXT(ROW()-$C$72))"),45813.291320648146)</f>
        <v>45813.29132</v>
      </c>
      <c r="B912" s="59">
        <f>IFERROR(__xludf.DUMMYFUNCTION("IF(ISBLANK(D912), """", IF(ISDATE(D912), D912, IF(D912=""今天"", A912, IF(D912=""昨天 (-1 day)"", A912-1, IF(D912=""前天 (-2 days)"", A912-2, IF(D912=""明天 (+1 day)"", A912+1, DATE(LEFT(D912,4), MID(D912,5,2), RIGHT(D912,2))))))))"),45809.0)</f>
        <v>45809</v>
      </c>
      <c r="C912" s="60">
        <f>IFERROR(__xludf.DUMMYFUNCTION("INDIRECT(""'收支紀錄'!C""&amp;TO_TEXT(ROW()-$C$72))"),20000.0)</f>
        <v>20000</v>
      </c>
      <c r="D912" s="63">
        <f>IFERROR(__xludf.DUMMYFUNCTION("INDIRECT(""'收支紀錄'!D""&amp;TO_TEXT(ROW()-$C$72))"),2.0250601E7)</f>
        <v>20250601</v>
      </c>
      <c r="E912" s="61" t="str">
        <f>IFERROR(__xludf.DUMMYFUNCTION("INDIRECT(""'收支紀錄'!E""&amp;TO_TEXT(ROW()-$C$72))"),"")</f>
        <v/>
      </c>
      <c r="F912" s="61" t="str">
        <f>IFERROR(__xludf.DUMMYFUNCTION("INDIRECT(""'收支紀錄'!F""&amp;TO_TEXT(ROW()-$C$72))"),"")</f>
        <v/>
      </c>
      <c r="G912" s="61" t="str">
        <f>IFERROR(__xludf.DUMMYFUNCTION("INDIRECT(""'收支紀錄'!G""&amp;TO_TEXT(ROW()-$C$72))"),"")</f>
        <v/>
      </c>
      <c r="H912" s="61" t="str">
        <f>IFERROR(__xludf.DUMMYFUNCTION("INDIRECT(""'收支紀錄'!H""&amp;TO_TEXT(ROW()-$C$72))"),"人情往來")</f>
        <v>人情往來</v>
      </c>
      <c r="I912" s="61" t="str">
        <f>IFERROR(__xludf.DUMMYFUNCTION("INDIRECT(""'收支紀錄'!I""&amp;TO_TEXT(ROW()-$C$72))"),"")</f>
        <v/>
      </c>
      <c r="J912" s="61" t="str">
        <f>IFERROR(__xludf.DUMMYFUNCTION("INDIRECT(""'收支紀錄'!J""&amp;TO_TEXT(ROW()-$C$72))"),"")</f>
        <v/>
      </c>
      <c r="K912" s="61" t="str">
        <f>IFERROR(__xludf.DUMMYFUNCTION("INDIRECT(""'收支紀錄'!K""&amp;TO_TEXT(ROW()-$C$72))"),"")</f>
        <v/>
      </c>
      <c r="L912" s="61" t="str">
        <f>IFERROR(__xludf.DUMMYFUNCTION("INDIRECT(""'收支紀錄'!L""&amp;TO_TEXT(ROW()-$C$72))"),"")</f>
        <v/>
      </c>
      <c r="M912" s="61" t="str">
        <f>IFERROR(__xludf.DUMMYFUNCTION("INDIRECT(""'收支紀錄'!M""&amp;TO_TEXT(ROW()-$C$72))"),"")</f>
        <v/>
      </c>
      <c r="N912" s="61" t="str">
        <f>IFERROR(__xludf.DUMMYFUNCTION("INDIRECT(""'收支紀錄'!N""&amp;TO_TEXT(ROW()-$C$72))"),"")</f>
        <v/>
      </c>
      <c r="O912" s="61" t="str">
        <f>IFERROR(__xludf.DUMMYFUNCTION("INDIRECT(""'收支紀錄'!O""&amp;TO_TEXT(ROW()-$C$72))"),"")</f>
        <v/>
      </c>
      <c r="P912" s="61" t="str">
        <f>IFERROR(__xludf.DUMMYFUNCTION("INDIRECT(""'收支紀錄'!P""&amp;TO_TEXT(ROW()-$C$72))"),"")</f>
        <v/>
      </c>
      <c r="Q912" s="61" t="str">
        <f>IFERROR(__xludf.DUMMYFUNCTION("INDIRECT(""'收支紀錄'!Q""&amp;TO_TEXT(ROW()-$C$72))"),"送禮請客")</f>
        <v>送禮請客</v>
      </c>
      <c r="R912" s="61" t="str">
        <f>IFERROR(__xludf.DUMMYFUNCTION("INDIRECT(""'收支紀錄'!R""&amp;TO_TEXT(ROW()-$C$72))"),"")</f>
        <v/>
      </c>
      <c r="S912" s="61" t="str">
        <f>IFERROR(__xludf.DUMMYFUNCTION("INDIRECT(""'收支紀錄'!S""&amp;TO_TEXT(ROW()-$C$72))"),"哥生小孩紅包")</f>
        <v>哥生小孩紅包</v>
      </c>
      <c r="T912" s="61" t="str">
        <f>IFERROR(__xludf.DUMMYFUNCTION("INDIRECT(""'收支紀錄'!T""&amp;TO_TEXT(ROW()-$C$72))"),"是")</f>
        <v>是</v>
      </c>
      <c r="U912" s="62" t="str">
        <f>IFERROR(__xludf.DUMMYFUNCTION("IF(T912=""是"",TEXTJOIN("""", TRUE, ""$"", TO_TEXT(C912), S912),"""")"),"$20000哥生小孩紅包")</f>
        <v>$20000哥生小孩紅包</v>
      </c>
    </row>
    <row r="913">
      <c r="A913" s="58">
        <f>IFERROR(__xludf.DUMMYFUNCTION("INDIRECT(""'收支紀錄'!A""&amp;TO_TEXT(ROW()-$C$72))"),45813.81544100694)</f>
        <v>45813.81544</v>
      </c>
      <c r="B913" s="59">
        <f>IFERROR(__xludf.DUMMYFUNCTION("IF(ISBLANK(D913), """", IF(ISDATE(D913), D913, IF(D913=""今天"", A913, IF(D913=""昨天 (-1 day)"", A913-1, IF(D913=""前天 (-2 days)"", A913-2, IF(D913=""明天 (+1 day)"", A913+1, DATE(LEFT(D913,4), MID(D913,5,2), RIGHT(D913,2))))))))"),45813.81544100694)</f>
        <v>45813.81544</v>
      </c>
      <c r="C913" s="60">
        <f>IFERROR(__xludf.DUMMYFUNCTION("INDIRECT(""'收支紀錄'!C""&amp;TO_TEXT(ROW()-$C$72))"),5000.0)</f>
        <v>5000</v>
      </c>
      <c r="D913" s="63" t="str">
        <f>IFERROR(__xludf.DUMMYFUNCTION("INDIRECT(""'收支紀錄'!D""&amp;TO_TEXT(ROW()-$C$72))"),"今天")</f>
        <v>今天</v>
      </c>
      <c r="E913" s="61" t="str">
        <f>IFERROR(__xludf.DUMMYFUNCTION("INDIRECT(""'收支紀錄'!E""&amp;TO_TEXT(ROW()-$C$72))"),"")</f>
        <v/>
      </c>
      <c r="F913" s="61" t="str">
        <f>IFERROR(__xludf.DUMMYFUNCTION("INDIRECT(""'收支紀錄'!F""&amp;TO_TEXT(ROW()-$C$72))"),"")</f>
        <v/>
      </c>
      <c r="G913" s="61" t="str">
        <f>IFERROR(__xludf.DUMMYFUNCTION("INDIRECT(""'收支紀錄'!G""&amp;TO_TEXT(ROW()-$C$72))"),"")</f>
        <v/>
      </c>
      <c r="H913" s="61" t="str">
        <f>IFERROR(__xludf.DUMMYFUNCTION("INDIRECT(""'收支紀錄'!H""&amp;TO_TEXT(ROW()-$C$72))"),"醫療費用")</f>
        <v>醫療費用</v>
      </c>
      <c r="I913" s="61" t="str">
        <f>IFERROR(__xludf.DUMMYFUNCTION("INDIRECT(""'收支紀錄'!I""&amp;TO_TEXT(ROW()-$C$72))"),"")</f>
        <v/>
      </c>
      <c r="J913" s="61" t="str">
        <f>IFERROR(__xludf.DUMMYFUNCTION("INDIRECT(""'收支紀錄'!J""&amp;TO_TEXT(ROW()-$C$72))"),"")</f>
        <v/>
      </c>
      <c r="K913" s="61" t="str">
        <f>IFERROR(__xludf.DUMMYFUNCTION("INDIRECT(""'收支紀錄'!K""&amp;TO_TEXT(ROW()-$C$72))"),"")</f>
        <v/>
      </c>
      <c r="L913" s="61" t="str">
        <f>IFERROR(__xludf.DUMMYFUNCTION("INDIRECT(""'收支紀錄'!L""&amp;TO_TEXT(ROW()-$C$72))"),"")</f>
        <v/>
      </c>
      <c r="M913" s="61" t="str">
        <f>IFERROR(__xludf.DUMMYFUNCTION("INDIRECT(""'收支紀錄'!M""&amp;TO_TEXT(ROW()-$C$72))"),"")</f>
        <v/>
      </c>
      <c r="N913" s="61" t="str">
        <f>IFERROR(__xludf.DUMMYFUNCTION("INDIRECT(""'收支紀錄'!N""&amp;TO_TEXT(ROW()-$C$72))"),"")</f>
        <v/>
      </c>
      <c r="O913" s="61" t="str">
        <f>IFERROR(__xludf.DUMMYFUNCTION("INDIRECT(""'收支紀錄'!O""&amp;TO_TEXT(ROW()-$C$72))"),"生病醫療")</f>
        <v>生病醫療</v>
      </c>
      <c r="P913" s="61" t="str">
        <f>IFERROR(__xludf.DUMMYFUNCTION("INDIRECT(""'收支紀錄'!P""&amp;TO_TEXT(ROW()-$C$72))"),"")</f>
        <v/>
      </c>
      <c r="Q913" s="61" t="str">
        <f>IFERROR(__xludf.DUMMYFUNCTION("INDIRECT(""'收支紀錄'!Q""&amp;TO_TEXT(ROW()-$C$72))"),"")</f>
        <v/>
      </c>
      <c r="R913" s="61" t="str">
        <f>IFERROR(__xludf.DUMMYFUNCTION("INDIRECT(""'收支紀錄'!R""&amp;TO_TEXT(ROW()-$C$72))"),"")</f>
        <v/>
      </c>
      <c r="S913" s="61" t="str">
        <f>IFERROR(__xludf.DUMMYFUNCTION("INDIRECT(""'收支紀錄'!S""&amp;TO_TEXT(ROW()-$C$72))"),"根管治療")</f>
        <v>根管治療</v>
      </c>
      <c r="T913" s="61" t="str">
        <f>IFERROR(__xludf.DUMMYFUNCTION("INDIRECT(""'收支紀錄'!T""&amp;TO_TEXT(ROW()-$C$72))"),"是")</f>
        <v>是</v>
      </c>
      <c r="U913" s="62" t="str">
        <f>IFERROR(__xludf.DUMMYFUNCTION("IF(T913=""是"",TEXTJOIN("""", TRUE, ""$"", TO_TEXT(C913), S913),"""")"),"$5000根管治療")</f>
        <v>$5000根管治療</v>
      </c>
    </row>
    <row r="914">
      <c r="A914" s="58">
        <f>IFERROR(__xludf.DUMMYFUNCTION("INDIRECT(""'收支紀錄'!A""&amp;TO_TEXT(ROW()-$C$72))"),45813.81559219907)</f>
        <v>45813.81559</v>
      </c>
      <c r="B914" s="59">
        <f>IFERROR(__xludf.DUMMYFUNCTION("IF(ISBLANK(D914), """", IF(ISDATE(D914), D914, IF(D914=""今天"", A914, IF(D914=""昨天 (-1 day)"", A914-1, IF(D914=""前天 (-2 days)"", A914-2, IF(D914=""明天 (+1 day)"", A914+1, DATE(LEFT(D914,4), MID(D914,5,2), RIGHT(D914,2))))))))"),45813.81559219907)</f>
        <v>45813.81559</v>
      </c>
      <c r="C914" s="60">
        <f>IFERROR(__xludf.DUMMYFUNCTION("INDIRECT(""'收支紀錄'!C""&amp;TO_TEXT(ROW()-$C$72))"),200.0)</f>
        <v>200</v>
      </c>
      <c r="D914" s="63" t="str">
        <f>IFERROR(__xludf.DUMMYFUNCTION("INDIRECT(""'收支紀錄'!D""&amp;TO_TEXT(ROW()-$C$72))"),"今天")</f>
        <v>今天</v>
      </c>
      <c r="E914" s="61" t="str">
        <f>IFERROR(__xludf.DUMMYFUNCTION("INDIRECT(""'收支紀錄'!E""&amp;TO_TEXT(ROW()-$C$72))"),"")</f>
        <v/>
      </c>
      <c r="F914" s="61" t="str">
        <f>IFERROR(__xludf.DUMMYFUNCTION("INDIRECT(""'收支紀錄'!F""&amp;TO_TEXT(ROW()-$C$72))"),"")</f>
        <v/>
      </c>
      <c r="G914" s="61" t="str">
        <f>IFERROR(__xludf.DUMMYFUNCTION("INDIRECT(""'收支紀錄'!G""&amp;TO_TEXT(ROW()-$C$72))"),"")</f>
        <v/>
      </c>
      <c r="H914" s="61" t="str">
        <f>IFERROR(__xludf.DUMMYFUNCTION("INDIRECT(""'收支紀錄'!H""&amp;TO_TEXT(ROW()-$C$72))"),"醫療費用")</f>
        <v>醫療費用</v>
      </c>
      <c r="I914" s="61" t="str">
        <f>IFERROR(__xludf.DUMMYFUNCTION("INDIRECT(""'收支紀錄'!I""&amp;TO_TEXT(ROW()-$C$72))"),"")</f>
        <v/>
      </c>
      <c r="J914" s="61" t="str">
        <f>IFERROR(__xludf.DUMMYFUNCTION("INDIRECT(""'收支紀錄'!J""&amp;TO_TEXT(ROW()-$C$72))"),"")</f>
        <v/>
      </c>
      <c r="K914" s="61" t="str">
        <f>IFERROR(__xludf.DUMMYFUNCTION("INDIRECT(""'收支紀錄'!K""&amp;TO_TEXT(ROW()-$C$72))"),"")</f>
        <v/>
      </c>
      <c r="L914" s="61" t="str">
        <f>IFERROR(__xludf.DUMMYFUNCTION("INDIRECT(""'收支紀錄'!L""&amp;TO_TEXT(ROW()-$C$72))"),"")</f>
        <v/>
      </c>
      <c r="M914" s="61" t="str">
        <f>IFERROR(__xludf.DUMMYFUNCTION("INDIRECT(""'收支紀錄'!M""&amp;TO_TEXT(ROW()-$C$72))"),"")</f>
        <v/>
      </c>
      <c r="N914" s="61" t="str">
        <f>IFERROR(__xludf.DUMMYFUNCTION("INDIRECT(""'收支紀錄'!N""&amp;TO_TEXT(ROW()-$C$72))"),"")</f>
        <v/>
      </c>
      <c r="O914" s="61" t="str">
        <f>IFERROR(__xludf.DUMMYFUNCTION("INDIRECT(""'收支紀錄'!O""&amp;TO_TEXT(ROW()-$C$72))"),"生病醫療")</f>
        <v>生病醫療</v>
      </c>
      <c r="P914" s="61" t="str">
        <f>IFERROR(__xludf.DUMMYFUNCTION("INDIRECT(""'收支紀錄'!P""&amp;TO_TEXT(ROW()-$C$72))"),"")</f>
        <v/>
      </c>
      <c r="Q914" s="61" t="str">
        <f>IFERROR(__xludf.DUMMYFUNCTION("INDIRECT(""'收支紀錄'!Q""&amp;TO_TEXT(ROW()-$C$72))"),"")</f>
        <v/>
      </c>
      <c r="R914" s="61" t="str">
        <f>IFERROR(__xludf.DUMMYFUNCTION("INDIRECT(""'收支紀錄'!R""&amp;TO_TEXT(ROW()-$C$72))"),"")</f>
        <v/>
      </c>
      <c r="S914" s="61" t="str">
        <f>IFERROR(__xludf.DUMMYFUNCTION("INDIRECT(""'收支紀錄'!S""&amp;TO_TEXT(ROW()-$C$72))"),"")</f>
        <v/>
      </c>
      <c r="T914" s="61" t="str">
        <f>IFERROR(__xludf.DUMMYFUNCTION("INDIRECT(""'收支紀錄'!T""&amp;TO_TEXT(ROW()-$C$72))"),"")</f>
        <v/>
      </c>
      <c r="U914" s="62" t="str">
        <f>IFERROR(__xludf.DUMMYFUNCTION("IF(T914=""是"",TEXTJOIN("""", TRUE, ""$"", TO_TEXT(C914), S914),"""")"),"")</f>
        <v/>
      </c>
    </row>
    <row r="915">
      <c r="A915" s="58">
        <f>IFERROR(__xludf.DUMMYFUNCTION("INDIRECT(""'收支紀錄'!A""&amp;TO_TEXT(ROW()-$C$72))"),45813.910035567125)</f>
        <v>45813.91004</v>
      </c>
      <c r="B915" s="59">
        <f>IFERROR(__xludf.DUMMYFUNCTION("IF(ISBLANK(D915), """", IF(ISDATE(D915), D915, IF(D915=""今天"", A915, IF(D915=""昨天 (-1 day)"", A915-1, IF(D915=""前天 (-2 days)"", A915-2, IF(D915=""明天 (+1 day)"", A915+1, DATE(LEFT(D915,4), MID(D915,5,2), RIGHT(D915,2))))))))"),45813.910035567125)</f>
        <v>45813.91004</v>
      </c>
      <c r="C915" s="60">
        <f>IFERROR(__xludf.DUMMYFUNCTION("INDIRECT(""'收支紀錄'!C""&amp;TO_TEXT(ROW()-$C$72))"),155.0)</f>
        <v>155</v>
      </c>
      <c r="D915" s="63" t="str">
        <f>IFERROR(__xludf.DUMMYFUNCTION("INDIRECT(""'收支紀錄'!D""&amp;TO_TEXT(ROW()-$C$72))"),"今天")</f>
        <v>今天</v>
      </c>
      <c r="E915" s="61" t="str">
        <f>IFERROR(__xludf.DUMMYFUNCTION("INDIRECT(""'收支紀錄'!E""&amp;TO_TEXT(ROW()-$C$72))"),"")</f>
        <v/>
      </c>
      <c r="F915" s="61" t="str">
        <f>IFERROR(__xludf.DUMMYFUNCTION("INDIRECT(""'收支紀錄'!F""&amp;TO_TEXT(ROW()-$C$72))"),"")</f>
        <v/>
      </c>
      <c r="G915" s="61" t="str">
        <f>IFERROR(__xludf.DUMMYFUNCTION("INDIRECT(""'收支紀錄'!G""&amp;TO_TEXT(ROW()-$C$72))"),"")</f>
        <v/>
      </c>
      <c r="H915" s="61" t="str">
        <f>IFERROR(__xludf.DUMMYFUNCTION("INDIRECT(""'收支紀錄'!H""&amp;TO_TEXT(ROW()-$C$72))"),"食品酒水")</f>
        <v>食品酒水</v>
      </c>
      <c r="I915" s="61" t="str">
        <f>IFERROR(__xludf.DUMMYFUNCTION("INDIRECT(""'收支紀錄'!I""&amp;TO_TEXT(ROW()-$C$72))"),"晚餐")</f>
        <v>晚餐</v>
      </c>
      <c r="J915" s="61" t="str">
        <f>IFERROR(__xludf.DUMMYFUNCTION("INDIRECT(""'收支紀錄'!J""&amp;TO_TEXT(ROW()-$C$72))"),"")</f>
        <v/>
      </c>
      <c r="K915" s="61" t="str">
        <f>IFERROR(__xludf.DUMMYFUNCTION("INDIRECT(""'收支紀錄'!K""&amp;TO_TEXT(ROW()-$C$72))"),"")</f>
        <v/>
      </c>
      <c r="L915" s="61" t="str">
        <f>IFERROR(__xludf.DUMMYFUNCTION("INDIRECT(""'收支紀錄'!L""&amp;TO_TEXT(ROW()-$C$72))"),"")</f>
        <v/>
      </c>
      <c r="M915" s="61" t="str">
        <f>IFERROR(__xludf.DUMMYFUNCTION("INDIRECT(""'收支紀錄'!M""&amp;TO_TEXT(ROW()-$C$72))"),"")</f>
        <v/>
      </c>
      <c r="N915" s="61" t="str">
        <f>IFERROR(__xludf.DUMMYFUNCTION("INDIRECT(""'收支紀錄'!N""&amp;TO_TEXT(ROW()-$C$72))"),"")</f>
        <v/>
      </c>
      <c r="O915" s="61" t="str">
        <f>IFERROR(__xludf.DUMMYFUNCTION("INDIRECT(""'收支紀錄'!O""&amp;TO_TEXT(ROW()-$C$72))"),"")</f>
        <v/>
      </c>
      <c r="P915" s="61" t="str">
        <f>IFERROR(__xludf.DUMMYFUNCTION("INDIRECT(""'收支紀錄'!P""&amp;TO_TEXT(ROW()-$C$72))"),"")</f>
        <v/>
      </c>
      <c r="Q915" s="61" t="str">
        <f>IFERROR(__xludf.DUMMYFUNCTION("INDIRECT(""'收支紀錄'!Q""&amp;TO_TEXT(ROW()-$C$72))"),"")</f>
        <v/>
      </c>
      <c r="R915" s="61" t="str">
        <f>IFERROR(__xludf.DUMMYFUNCTION("INDIRECT(""'收支紀錄'!R""&amp;TO_TEXT(ROW()-$C$72))"),"")</f>
        <v/>
      </c>
      <c r="S915" s="61" t="str">
        <f>IFERROR(__xludf.DUMMYFUNCTION("INDIRECT(""'收支紀錄'!S""&amp;TO_TEXT(ROW()-$C$72))"),"")</f>
        <v/>
      </c>
      <c r="T915" s="61" t="str">
        <f>IFERROR(__xludf.DUMMYFUNCTION("INDIRECT(""'收支紀錄'!T""&amp;TO_TEXT(ROW()-$C$72))"),"")</f>
        <v/>
      </c>
      <c r="U915" s="62" t="str">
        <f>IFERROR(__xludf.DUMMYFUNCTION("IF(T915=""是"",TEXTJOIN("""", TRUE, ""$"", TO_TEXT(C915), S915),"""")"),"")</f>
        <v/>
      </c>
    </row>
    <row r="916">
      <c r="A916" s="58">
        <f>IFERROR(__xludf.DUMMYFUNCTION("INDIRECT(""'收支紀錄'!A""&amp;TO_TEXT(ROW()-$C$72))"),45815.3821882176)</f>
        <v>45815.38219</v>
      </c>
      <c r="B916" s="59">
        <f>IFERROR(__xludf.DUMMYFUNCTION("IF(ISBLANK(D916), """", IF(ISDATE(D916), D916, IF(D916=""今天"", A916, IF(D916=""昨天 (-1 day)"", A916-1, IF(D916=""前天 (-2 days)"", A916-2, IF(D916=""明天 (+1 day)"", A916+1, DATE(LEFT(D916,4), MID(D916,5,2), RIGHT(D916,2))))))))"),45815.3821882176)</f>
        <v>45815.38219</v>
      </c>
      <c r="C916" s="60">
        <f>IFERROR(__xludf.DUMMYFUNCTION("INDIRECT(""'收支紀錄'!C""&amp;TO_TEXT(ROW()-$C$72))"),100.0)</f>
        <v>100</v>
      </c>
      <c r="D916" s="63" t="str">
        <f>IFERROR(__xludf.DUMMYFUNCTION("INDIRECT(""'收支紀錄'!D""&amp;TO_TEXT(ROW()-$C$72))"),"今天")</f>
        <v>今天</v>
      </c>
      <c r="E916" s="61" t="str">
        <f>IFERROR(__xludf.DUMMYFUNCTION("INDIRECT(""'收支紀錄'!E""&amp;TO_TEXT(ROW()-$C$72))"),"")</f>
        <v/>
      </c>
      <c r="F916" s="61" t="str">
        <f>IFERROR(__xludf.DUMMYFUNCTION("INDIRECT(""'收支紀錄'!F""&amp;TO_TEXT(ROW()-$C$72))"),"")</f>
        <v/>
      </c>
      <c r="G916" s="61" t="str">
        <f>IFERROR(__xludf.DUMMYFUNCTION("INDIRECT(""'收支紀錄'!G""&amp;TO_TEXT(ROW()-$C$72))"),"")</f>
        <v/>
      </c>
      <c r="H916" s="61" t="str">
        <f>IFERROR(__xludf.DUMMYFUNCTION("INDIRECT(""'收支紀錄'!H""&amp;TO_TEXT(ROW()-$C$72))"),"休閒娛樂")</f>
        <v>休閒娛樂</v>
      </c>
      <c r="I916" s="61" t="str">
        <f>IFERROR(__xludf.DUMMYFUNCTION("INDIRECT(""'收支紀錄'!I""&amp;TO_TEXT(ROW()-$C$72))"),"")</f>
        <v/>
      </c>
      <c r="J916" s="61" t="str">
        <f>IFERROR(__xludf.DUMMYFUNCTION("INDIRECT(""'收支紀錄'!J""&amp;TO_TEXT(ROW()-$C$72))"),"")</f>
        <v/>
      </c>
      <c r="K916" s="61" t="str">
        <f>IFERROR(__xludf.DUMMYFUNCTION("INDIRECT(""'收支紀錄'!K""&amp;TO_TEXT(ROW()-$C$72))"),"")</f>
        <v/>
      </c>
      <c r="L916" s="61" t="str">
        <f>IFERROR(__xludf.DUMMYFUNCTION("INDIRECT(""'收支紀錄'!L""&amp;TO_TEXT(ROW()-$C$72))"),"")</f>
        <v/>
      </c>
      <c r="M916" s="61" t="str">
        <f>IFERROR(__xludf.DUMMYFUNCTION("INDIRECT(""'收支紀錄'!M""&amp;TO_TEXT(ROW()-$C$72))"),"運動健身")</f>
        <v>運動健身</v>
      </c>
      <c r="N916" s="61" t="str">
        <f>IFERROR(__xludf.DUMMYFUNCTION("INDIRECT(""'收支紀錄'!N""&amp;TO_TEXT(ROW()-$C$72))"),"")</f>
        <v/>
      </c>
      <c r="O916" s="61" t="str">
        <f>IFERROR(__xludf.DUMMYFUNCTION("INDIRECT(""'收支紀錄'!O""&amp;TO_TEXT(ROW()-$C$72))"),"")</f>
        <v/>
      </c>
      <c r="P916" s="61" t="str">
        <f>IFERROR(__xludf.DUMMYFUNCTION("INDIRECT(""'收支紀錄'!P""&amp;TO_TEXT(ROW()-$C$72))"),"")</f>
        <v/>
      </c>
      <c r="Q916" s="61" t="str">
        <f>IFERROR(__xludf.DUMMYFUNCTION("INDIRECT(""'收支紀錄'!Q""&amp;TO_TEXT(ROW()-$C$72))"),"")</f>
        <v/>
      </c>
      <c r="R916" s="61" t="str">
        <f>IFERROR(__xludf.DUMMYFUNCTION("INDIRECT(""'收支紀錄'!R""&amp;TO_TEXT(ROW()-$C$72))"),"")</f>
        <v/>
      </c>
      <c r="S916" s="61" t="str">
        <f>IFERROR(__xludf.DUMMYFUNCTION("INDIRECT(""'收支紀錄'!S""&amp;TO_TEXT(ROW()-$C$72))"),"")</f>
        <v/>
      </c>
      <c r="T916" s="61" t="str">
        <f>IFERROR(__xludf.DUMMYFUNCTION("INDIRECT(""'收支紀錄'!T""&amp;TO_TEXT(ROW()-$C$72))"),"")</f>
        <v/>
      </c>
      <c r="U916" s="62" t="str">
        <f>IFERROR(__xludf.DUMMYFUNCTION("IF(T916=""是"",TEXTJOIN("""", TRUE, ""$"", TO_TEXT(C916), S916),"""")"),"")</f>
        <v/>
      </c>
    </row>
    <row r="917">
      <c r="A917" s="58">
        <f>IFERROR(__xludf.DUMMYFUNCTION("INDIRECT(""'收支紀錄'!A""&amp;TO_TEXT(ROW()-$C$72))"),45815.43556894676)</f>
        <v>45815.43557</v>
      </c>
      <c r="B917" s="59">
        <f>IFERROR(__xludf.DUMMYFUNCTION("IF(ISBLANK(D917), """", IF(ISDATE(D917), D917, IF(D917=""今天"", A917, IF(D917=""昨天 (-1 day)"", A917-1, IF(D917=""前天 (-2 days)"", A917-2, IF(D917=""明天 (+1 day)"", A917+1, DATE(LEFT(D917,4), MID(D917,5,2), RIGHT(D917,2))))))))"),45815.43556894676)</f>
        <v>45815.43557</v>
      </c>
      <c r="C917" s="60">
        <f>IFERROR(__xludf.DUMMYFUNCTION("INDIRECT(""'收支紀錄'!C""&amp;TO_TEXT(ROW()-$C$72))"),1000.0)</f>
        <v>1000</v>
      </c>
      <c r="D917" s="63" t="str">
        <f>IFERROR(__xludf.DUMMYFUNCTION("INDIRECT(""'收支紀錄'!D""&amp;TO_TEXT(ROW()-$C$72))"),"今天")</f>
        <v>今天</v>
      </c>
      <c r="E917" s="61" t="str">
        <f>IFERROR(__xludf.DUMMYFUNCTION("INDIRECT(""'收支紀錄'!E""&amp;TO_TEXT(ROW()-$C$72))"),"")</f>
        <v/>
      </c>
      <c r="F917" s="61" t="str">
        <f>IFERROR(__xludf.DUMMYFUNCTION("INDIRECT(""'收支紀錄'!F""&amp;TO_TEXT(ROW()-$C$72))"),"")</f>
        <v/>
      </c>
      <c r="G917" s="61" t="str">
        <f>IFERROR(__xludf.DUMMYFUNCTION("INDIRECT(""'收支紀錄'!G""&amp;TO_TEXT(ROW()-$C$72))"),"")</f>
        <v/>
      </c>
      <c r="H917" s="61" t="str">
        <f>IFERROR(__xludf.DUMMYFUNCTION("INDIRECT(""'收支紀錄'!H""&amp;TO_TEXT(ROW()-$C$72))"),"日常生活")</f>
        <v>日常生活</v>
      </c>
      <c r="I917" s="61" t="str">
        <f>IFERROR(__xludf.DUMMYFUNCTION("INDIRECT(""'收支紀錄'!I""&amp;TO_TEXT(ROW()-$C$72))"),"")</f>
        <v/>
      </c>
      <c r="J917" s="61" t="str">
        <f>IFERROR(__xludf.DUMMYFUNCTION("INDIRECT(""'收支紀錄'!J""&amp;TO_TEXT(ROW()-$C$72))"),"日常用品")</f>
        <v>日常用品</v>
      </c>
      <c r="K917" s="61" t="str">
        <f>IFERROR(__xludf.DUMMYFUNCTION("INDIRECT(""'收支紀錄'!K""&amp;TO_TEXT(ROW()-$C$72))"),"")</f>
        <v/>
      </c>
      <c r="L917" s="61" t="str">
        <f>IFERROR(__xludf.DUMMYFUNCTION("INDIRECT(""'收支紀錄'!L""&amp;TO_TEXT(ROW()-$C$72))"),"")</f>
        <v/>
      </c>
      <c r="M917" s="61" t="str">
        <f>IFERROR(__xludf.DUMMYFUNCTION("INDIRECT(""'收支紀錄'!M""&amp;TO_TEXT(ROW()-$C$72))"),"")</f>
        <v/>
      </c>
      <c r="N917" s="61" t="str">
        <f>IFERROR(__xludf.DUMMYFUNCTION("INDIRECT(""'收支紀錄'!N""&amp;TO_TEXT(ROW()-$C$72))"),"")</f>
        <v/>
      </c>
      <c r="O917" s="61" t="str">
        <f>IFERROR(__xludf.DUMMYFUNCTION("INDIRECT(""'收支紀錄'!O""&amp;TO_TEXT(ROW()-$C$72))"),"")</f>
        <v/>
      </c>
      <c r="P917" s="61" t="str">
        <f>IFERROR(__xludf.DUMMYFUNCTION("INDIRECT(""'收支紀錄'!P""&amp;TO_TEXT(ROW()-$C$72))"),"")</f>
        <v/>
      </c>
      <c r="Q917" s="61" t="str">
        <f>IFERROR(__xludf.DUMMYFUNCTION("INDIRECT(""'收支紀錄'!Q""&amp;TO_TEXT(ROW()-$C$72))"),"")</f>
        <v/>
      </c>
      <c r="R917" s="61" t="str">
        <f>IFERROR(__xludf.DUMMYFUNCTION("INDIRECT(""'收支紀錄'!R""&amp;TO_TEXT(ROW()-$C$72))"),"")</f>
        <v/>
      </c>
      <c r="S917" s="61" t="str">
        <f>IFERROR(__xludf.DUMMYFUNCTION("INDIRECT(""'收支紀錄'!S""&amp;TO_TEXT(ROW()-$C$72))"),"洗衣儲值")</f>
        <v>洗衣儲值</v>
      </c>
      <c r="T917" s="61" t="str">
        <f>IFERROR(__xludf.DUMMYFUNCTION("INDIRECT(""'收支紀錄'!T""&amp;TO_TEXT(ROW()-$C$72))"),"")</f>
        <v/>
      </c>
      <c r="U917" s="62" t="str">
        <f>IFERROR(__xludf.DUMMYFUNCTION("IF(T917=""是"",TEXTJOIN("""", TRUE, ""$"", TO_TEXT(C917), S917),"""")"),"")</f>
        <v/>
      </c>
    </row>
    <row r="918">
      <c r="A918" s="58">
        <f>IFERROR(__xludf.DUMMYFUNCTION("INDIRECT(""'收支紀錄'!A""&amp;TO_TEXT(ROW()-$C$72))"),45815.43574446759)</f>
        <v>45815.43574</v>
      </c>
      <c r="B918" s="59">
        <f>IFERROR(__xludf.DUMMYFUNCTION("IF(ISBLANK(D918), """", IF(ISDATE(D918), D918, IF(D918=""今天"", A918, IF(D918=""昨天 (-1 day)"", A918-1, IF(D918=""前天 (-2 days)"", A918-2, IF(D918=""明天 (+1 day)"", A918+1, DATE(LEFT(D918,4), MID(D918,5,2), RIGHT(D918,2))))))))"),45815.43574446759)</f>
        <v>45815.43574</v>
      </c>
      <c r="C918" s="60">
        <f>IFERROR(__xludf.DUMMYFUNCTION("INDIRECT(""'收支紀錄'!C""&amp;TO_TEXT(ROW()-$C$72))"),250.0)</f>
        <v>250</v>
      </c>
      <c r="D918" s="63" t="str">
        <f>IFERROR(__xludf.DUMMYFUNCTION("INDIRECT(""'收支紀錄'!D""&amp;TO_TEXT(ROW()-$C$72))"),"今天")</f>
        <v>今天</v>
      </c>
      <c r="E918" s="61" t="str">
        <f>IFERROR(__xludf.DUMMYFUNCTION("INDIRECT(""'收支紀錄'!E""&amp;TO_TEXT(ROW()-$C$72))"),"")</f>
        <v/>
      </c>
      <c r="F918" s="61" t="str">
        <f>IFERROR(__xludf.DUMMYFUNCTION("INDIRECT(""'收支紀錄'!F""&amp;TO_TEXT(ROW()-$C$72))"),"")</f>
        <v/>
      </c>
      <c r="G918" s="61" t="str">
        <f>IFERROR(__xludf.DUMMYFUNCTION("INDIRECT(""'收支紀錄'!G""&amp;TO_TEXT(ROW()-$C$72))"),"")</f>
        <v/>
      </c>
      <c r="H918" s="61" t="str">
        <f>IFERROR(__xludf.DUMMYFUNCTION("INDIRECT(""'收支紀錄'!H""&amp;TO_TEXT(ROW()-$C$72))"),"醫療費用")</f>
        <v>醫療費用</v>
      </c>
      <c r="I918" s="61" t="str">
        <f>IFERROR(__xludf.DUMMYFUNCTION("INDIRECT(""'收支紀錄'!I""&amp;TO_TEXT(ROW()-$C$72))"),"")</f>
        <v/>
      </c>
      <c r="J918" s="61" t="str">
        <f>IFERROR(__xludf.DUMMYFUNCTION("INDIRECT(""'收支紀錄'!J""&amp;TO_TEXT(ROW()-$C$72))"),"")</f>
        <v/>
      </c>
      <c r="K918" s="61" t="str">
        <f>IFERROR(__xludf.DUMMYFUNCTION("INDIRECT(""'收支紀錄'!K""&amp;TO_TEXT(ROW()-$C$72))"),"")</f>
        <v/>
      </c>
      <c r="L918" s="61" t="str">
        <f>IFERROR(__xludf.DUMMYFUNCTION("INDIRECT(""'收支紀錄'!L""&amp;TO_TEXT(ROW()-$C$72))"),"")</f>
        <v/>
      </c>
      <c r="M918" s="61" t="str">
        <f>IFERROR(__xludf.DUMMYFUNCTION("INDIRECT(""'收支紀錄'!M""&amp;TO_TEXT(ROW()-$C$72))"),"")</f>
        <v/>
      </c>
      <c r="N918" s="61" t="str">
        <f>IFERROR(__xludf.DUMMYFUNCTION("INDIRECT(""'收支紀錄'!N""&amp;TO_TEXT(ROW()-$C$72))"),"")</f>
        <v/>
      </c>
      <c r="O918" s="61" t="str">
        <f>IFERROR(__xludf.DUMMYFUNCTION("INDIRECT(""'收支紀錄'!O""&amp;TO_TEXT(ROW()-$C$72))"),"生病醫療")</f>
        <v>生病醫療</v>
      </c>
      <c r="P918" s="61" t="str">
        <f>IFERROR(__xludf.DUMMYFUNCTION("INDIRECT(""'收支紀錄'!P""&amp;TO_TEXT(ROW()-$C$72))"),"")</f>
        <v/>
      </c>
      <c r="Q918" s="61" t="str">
        <f>IFERROR(__xludf.DUMMYFUNCTION("INDIRECT(""'收支紀錄'!Q""&amp;TO_TEXT(ROW()-$C$72))"),"")</f>
        <v/>
      </c>
      <c r="R918" s="61" t="str">
        <f>IFERROR(__xludf.DUMMYFUNCTION("INDIRECT(""'收支紀錄'!R""&amp;TO_TEXT(ROW()-$C$72))"),"")</f>
        <v/>
      </c>
      <c r="S918" s="61" t="str">
        <f>IFERROR(__xludf.DUMMYFUNCTION("INDIRECT(""'收支紀錄'!S""&amp;TO_TEXT(ROW()-$C$72))"),"")</f>
        <v/>
      </c>
      <c r="T918" s="61" t="str">
        <f>IFERROR(__xludf.DUMMYFUNCTION("INDIRECT(""'收支紀錄'!T""&amp;TO_TEXT(ROW()-$C$72))"),"")</f>
        <v/>
      </c>
      <c r="U918" s="62" t="str">
        <f>IFERROR(__xludf.DUMMYFUNCTION("IF(T918=""是"",TEXTJOIN("""", TRUE, ""$"", TO_TEXT(C918), S918),"""")"),"")</f>
        <v/>
      </c>
    </row>
    <row r="919">
      <c r="A919" s="58">
        <f>IFERROR(__xludf.DUMMYFUNCTION("INDIRECT(""'收支紀錄'!A""&amp;TO_TEXT(ROW()-$C$72))"),45816.39361934028)</f>
        <v>45816.39362</v>
      </c>
      <c r="B919" s="59">
        <f>IFERROR(__xludf.DUMMYFUNCTION("IF(ISBLANK(D919), """", IF(ISDATE(D919), D919, IF(D919=""今天"", A919, IF(D919=""昨天 (-1 day)"", A919-1, IF(D919=""前天 (-2 days)"", A919-2, IF(D919=""明天 (+1 day)"", A919+1, DATE(LEFT(D919,4), MID(D919,5,2), RIGHT(D919,2))))))))"),45816.39361934028)</f>
        <v>45816.39362</v>
      </c>
      <c r="C919" s="60">
        <f>IFERROR(__xludf.DUMMYFUNCTION("INDIRECT(""'收支紀錄'!C""&amp;TO_TEXT(ROW()-$C$72))"),359.0)</f>
        <v>359</v>
      </c>
      <c r="D919" s="63" t="str">
        <f>IFERROR(__xludf.DUMMYFUNCTION("INDIRECT(""'收支紀錄'!D""&amp;TO_TEXT(ROW()-$C$72))"),"今天")</f>
        <v>今天</v>
      </c>
      <c r="E919" s="61" t="str">
        <f>IFERROR(__xludf.DUMMYFUNCTION("INDIRECT(""'收支紀錄'!E""&amp;TO_TEXT(ROW()-$C$72))"),"")</f>
        <v/>
      </c>
      <c r="F919" s="61" t="str">
        <f>IFERROR(__xludf.DUMMYFUNCTION("INDIRECT(""'收支紀錄'!F""&amp;TO_TEXT(ROW()-$C$72))"),"")</f>
        <v/>
      </c>
      <c r="G919" s="61" t="str">
        <f>IFERROR(__xludf.DUMMYFUNCTION("INDIRECT(""'收支紀錄'!G""&amp;TO_TEXT(ROW()-$C$72))"),"")</f>
        <v/>
      </c>
      <c r="H919" s="61" t="str">
        <f>IFERROR(__xludf.DUMMYFUNCTION("INDIRECT(""'收支紀錄'!H""&amp;TO_TEXT(ROW()-$C$72))"),"食品酒水")</f>
        <v>食品酒水</v>
      </c>
      <c r="I919" s="61" t="str">
        <f>IFERROR(__xludf.DUMMYFUNCTION("INDIRECT(""'收支紀錄'!I""&amp;TO_TEXT(ROW()-$C$72))"),"早餐")</f>
        <v>早餐</v>
      </c>
      <c r="J919" s="61" t="str">
        <f>IFERROR(__xludf.DUMMYFUNCTION("INDIRECT(""'收支紀錄'!J""&amp;TO_TEXT(ROW()-$C$72))"),"")</f>
        <v/>
      </c>
      <c r="K919" s="61" t="str">
        <f>IFERROR(__xludf.DUMMYFUNCTION("INDIRECT(""'收支紀錄'!K""&amp;TO_TEXT(ROW()-$C$72))"),"")</f>
        <v/>
      </c>
      <c r="L919" s="61" t="str">
        <f>IFERROR(__xludf.DUMMYFUNCTION("INDIRECT(""'收支紀錄'!L""&amp;TO_TEXT(ROW()-$C$72))"),"")</f>
        <v/>
      </c>
      <c r="M919" s="61" t="str">
        <f>IFERROR(__xludf.DUMMYFUNCTION("INDIRECT(""'收支紀錄'!M""&amp;TO_TEXT(ROW()-$C$72))"),"")</f>
        <v/>
      </c>
      <c r="N919" s="61" t="str">
        <f>IFERROR(__xludf.DUMMYFUNCTION("INDIRECT(""'收支紀錄'!N""&amp;TO_TEXT(ROW()-$C$72))"),"")</f>
        <v/>
      </c>
      <c r="O919" s="61" t="str">
        <f>IFERROR(__xludf.DUMMYFUNCTION("INDIRECT(""'收支紀錄'!O""&amp;TO_TEXT(ROW()-$C$72))"),"")</f>
        <v/>
      </c>
      <c r="P919" s="61" t="str">
        <f>IFERROR(__xludf.DUMMYFUNCTION("INDIRECT(""'收支紀錄'!P""&amp;TO_TEXT(ROW()-$C$72))"),"")</f>
        <v/>
      </c>
      <c r="Q919" s="61" t="str">
        <f>IFERROR(__xludf.DUMMYFUNCTION("INDIRECT(""'收支紀錄'!Q""&amp;TO_TEXT(ROW()-$C$72))"),"")</f>
        <v/>
      </c>
      <c r="R919" s="61" t="str">
        <f>IFERROR(__xludf.DUMMYFUNCTION("INDIRECT(""'收支紀錄'!R""&amp;TO_TEXT(ROW()-$C$72))"),"")</f>
        <v/>
      </c>
      <c r="S919" s="61" t="str">
        <f>IFERROR(__xludf.DUMMYFUNCTION("INDIRECT(""'收支紀錄'!S""&amp;TO_TEXT(ROW()-$C$72))"),"")</f>
        <v/>
      </c>
      <c r="T919" s="61" t="str">
        <f>IFERROR(__xludf.DUMMYFUNCTION("INDIRECT(""'收支紀錄'!T""&amp;TO_TEXT(ROW()-$C$72))"),"")</f>
        <v/>
      </c>
      <c r="U919" s="62" t="str">
        <f>IFERROR(__xludf.DUMMYFUNCTION("IF(T919=""是"",TEXTJOIN("""", TRUE, ""$"", TO_TEXT(C919), S919),"""")"),"")</f>
        <v/>
      </c>
    </row>
    <row r="920">
      <c r="A920" s="58">
        <f>IFERROR(__xludf.DUMMYFUNCTION("INDIRECT(""'收支紀錄'!A""&amp;TO_TEXT(ROW()-$C$72))"),45816.394316817124)</f>
        <v>45816.39432</v>
      </c>
      <c r="B920" s="59">
        <f>IFERROR(__xludf.DUMMYFUNCTION("IF(ISBLANK(D920), """", IF(ISDATE(D920), D920, IF(D920=""今天"", A920, IF(D920=""昨天 (-1 day)"", A920-1, IF(D920=""前天 (-2 days)"", A920-2, IF(D920=""明天 (+1 day)"", A920+1, DATE(LEFT(D920,4), MID(D920,5,2), RIGHT(D920,2))))))))"),45815.394316817124)</f>
        <v>45815.39432</v>
      </c>
      <c r="C920" s="60">
        <f>IFERROR(__xludf.DUMMYFUNCTION("INDIRECT(""'收支紀錄'!C""&amp;TO_TEXT(ROW()-$C$72))"),530.0)</f>
        <v>530</v>
      </c>
      <c r="D920" s="63" t="str">
        <f>IFERROR(__xludf.DUMMYFUNCTION("INDIRECT(""'收支紀錄'!D""&amp;TO_TEXT(ROW()-$C$72))"),"昨天 (-1 day)")</f>
        <v>昨天 (-1 day)</v>
      </c>
      <c r="E920" s="61" t="str">
        <f>IFERROR(__xludf.DUMMYFUNCTION("INDIRECT(""'收支紀錄'!E""&amp;TO_TEXT(ROW()-$C$72))"),"")</f>
        <v/>
      </c>
      <c r="F920" s="61" t="str">
        <f>IFERROR(__xludf.DUMMYFUNCTION("INDIRECT(""'收支紀錄'!F""&amp;TO_TEXT(ROW()-$C$72))"),"")</f>
        <v/>
      </c>
      <c r="G920" s="61" t="str">
        <f>IFERROR(__xludf.DUMMYFUNCTION("INDIRECT(""'收支紀錄'!G""&amp;TO_TEXT(ROW()-$C$72))"),"")</f>
        <v/>
      </c>
      <c r="H920" s="61" t="str">
        <f>IFERROR(__xludf.DUMMYFUNCTION("INDIRECT(""'收支紀錄'!H""&amp;TO_TEXT(ROW()-$C$72))"),"食品酒水")</f>
        <v>食品酒水</v>
      </c>
      <c r="I920" s="61" t="str">
        <f>IFERROR(__xludf.DUMMYFUNCTION("INDIRECT(""'收支紀錄'!I""&amp;TO_TEXT(ROW()-$C$72))"),"晚餐")</f>
        <v>晚餐</v>
      </c>
      <c r="J920" s="61" t="str">
        <f>IFERROR(__xludf.DUMMYFUNCTION("INDIRECT(""'收支紀錄'!J""&amp;TO_TEXT(ROW()-$C$72))"),"")</f>
        <v/>
      </c>
      <c r="K920" s="61" t="str">
        <f>IFERROR(__xludf.DUMMYFUNCTION("INDIRECT(""'收支紀錄'!K""&amp;TO_TEXT(ROW()-$C$72))"),"")</f>
        <v/>
      </c>
      <c r="L920" s="61" t="str">
        <f>IFERROR(__xludf.DUMMYFUNCTION("INDIRECT(""'收支紀錄'!L""&amp;TO_TEXT(ROW()-$C$72))"),"")</f>
        <v/>
      </c>
      <c r="M920" s="61" t="str">
        <f>IFERROR(__xludf.DUMMYFUNCTION("INDIRECT(""'收支紀錄'!M""&amp;TO_TEXT(ROW()-$C$72))"),"")</f>
        <v/>
      </c>
      <c r="N920" s="61" t="str">
        <f>IFERROR(__xludf.DUMMYFUNCTION("INDIRECT(""'收支紀錄'!N""&amp;TO_TEXT(ROW()-$C$72))"),"")</f>
        <v/>
      </c>
      <c r="O920" s="61" t="str">
        <f>IFERROR(__xludf.DUMMYFUNCTION("INDIRECT(""'收支紀錄'!O""&amp;TO_TEXT(ROW()-$C$72))"),"")</f>
        <v/>
      </c>
      <c r="P920" s="61" t="str">
        <f>IFERROR(__xludf.DUMMYFUNCTION("INDIRECT(""'收支紀錄'!P""&amp;TO_TEXT(ROW()-$C$72))"),"")</f>
        <v/>
      </c>
      <c r="Q920" s="61" t="str">
        <f>IFERROR(__xludf.DUMMYFUNCTION("INDIRECT(""'收支紀錄'!Q""&amp;TO_TEXT(ROW()-$C$72))"),"")</f>
        <v/>
      </c>
      <c r="R920" s="61" t="str">
        <f>IFERROR(__xludf.DUMMYFUNCTION("INDIRECT(""'收支紀錄'!R""&amp;TO_TEXT(ROW()-$C$72))"),"")</f>
        <v/>
      </c>
      <c r="S920" s="61" t="str">
        <f>IFERROR(__xludf.DUMMYFUNCTION("INDIRECT(""'收支紀錄'!S""&amp;TO_TEXT(ROW()-$C$72))"),"")</f>
        <v/>
      </c>
      <c r="T920" s="61" t="str">
        <f>IFERROR(__xludf.DUMMYFUNCTION("INDIRECT(""'收支紀錄'!T""&amp;TO_TEXT(ROW()-$C$72))"),"")</f>
        <v/>
      </c>
      <c r="U920" s="62" t="str">
        <f>IFERROR(__xludf.DUMMYFUNCTION("IF(T920=""是"",TEXTJOIN("""", TRUE, ""$"", TO_TEXT(C920), S920),"""")"),"")</f>
        <v/>
      </c>
    </row>
    <row r="921">
      <c r="A921" s="58">
        <f>IFERROR(__xludf.DUMMYFUNCTION("INDIRECT(""'收支紀錄'!A""&amp;TO_TEXT(ROW()-$C$72))"),45816.39445959491)</f>
        <v>45816.39446</v>
      </c>
      <c r="B921" s="59">
        <f>IFERROR(__xludf.DUMMYFUNCTION("IF(ISBLANK(D921), """", IF(ISDATE(D921), D921, IF(D921=""今天"", A921, IF(D921=""昨天 (-1 day)"", A921-1, IF(D921=""前天 (-2 days)"", A921-2, IF(D921=""明天 (+1 day)"", A921+1, DATE(LEFT(D921,4), MID(D921,5,2), RIGHT(D921,2))))))))"),45815.39445959491)</f>
        <v>45815.39446</v>
      </c>
      <c r="C921" s="60">
        <f>IFERROR(__xludf.DUMMYFUNCTION("INDIRECT(""'收支紀錄'!C""&amp;TO_TEXT(ROW()-$C$72))"),80.0)</f>
        <v>80</v>
      </c>
      <c r="D921" s="63" t="str">
        <f>IFERROR(__xludf.DUMMYFUNCTION("INDIRECT(""'收支紀錄'!D""&amp;TO_TEXT(ROW()-$C$72))"),"昨天 (-1 day)")</f>
        <v>昨天 (-1 day)</v>
      </c>
      <c r="E921" s="61" t="str">
        <f>IFERROR(__xludf.DUMMYFUNCTION("INDIRECT(""'收支紀錄'!E""&amp;TO_TEXT(ROW()-$C$72))"),"")</f>
        <v/>
      </c>
      <c r="F921" s="61" t="str">
        <f>IFERROR(__xludf.DUMMYFUNCTION("INDIRECT(""'收支紀錄'!F""&amp;TO_TEXT(ROW()-$C$72))"),"")</f>
        <v/>
      </c>
      <c r="G921" s="61" t="str">
        <f>IFERROR(__xludf.DUMMYFUNCTION("INDIRECT(""'收支紀錄'!G""&amp;TO_TEXT(ROW()-$C$72))"),"")</f>
        <v/>
      </c>
      <c r="H921" s="61" t="str">
        <f>IFERROR(__xludf.DUMMYFUNCTION("INDIRECT(""'收支紀錄'!H""&amp;TO_TEXT(ROW()-$C$72))"),"食品酒水")</f>
        <v>食品酒水</v>
      </c>
      <c r="I921" s="61" t="str">
        <f>IFERROR(__xludf.DUMMYFUNCTION("INDIRECT(""'收支紀錄'!I""&amp;TO_TEXT(ROW()-$C$72))"),"宵夜")</f>
        <v>宵夜</v>
      </c>
      <c r="J921" s="61" t="str">
        <f>IFERROR(__xludf.DUMMYFUNCTION("INDIRECT(""'收支紀錄'!J""&amp;TO_TEXT(ROW()-$C$72))"),"")</f>
        <v/>
      </c>
      <c r="K921" s="61" t="str">
        <f>IFERROR(__xludf.DUMMYFUNCTION("INDIRECT(""'收支紀錄'!K""&amp;TO_TEXT(ROW()-$C$72))"),"")</f>
        <v/>
      </c>
      <c r="L921" s="61" t="str">
        <f>IFERROR(__xludf.DUMMYFUNCTION("INDIRECT(""'收支紀錄'!L""&amp;TO_TEXT(ROW()-$C$72))"),"")</f>
        <v/>
      </c>
      <c r="M921" s="61" t="str">
        <f>IFERROR(__xludf.DUMMYFUNCTION("INDIRECT(""'收支紀錄'!M""&amp;TO_TEXT(ROW()-$C$72))"),"")</f>
        <v/>
      </c>
      <c r="N921" s="61" t="str">
        <f>IFERROR(__xludf.DUMMYFUNCTION("INDIRECT(""'收支紀錄'!N""&amp;TO_TEXT(ROW()-$C$72))"),"")</f>
        <v/>
      </c>
      <c r="O921" s="61" t="str">
        <f>IFERROR(__xludf.DUMMYFUNCTION("INDIRECT(""'收支紀錄'!O""&amp;TO_TEXT(ROW()-$C$72))"),"")</f>
        <v/>
      </c>
      <c r="P921" s="61" t="str">
        <f>IFERROR(__xludf.DUMMYFUNCTION("INDIRECT(""'收支紀錄'!P""&amp;TO_TEXT(ROW()-$C$72))"),"")</f>
        <v/>
      </c>
      <c r="Q921" s="61" t="str">
        <f>IFERROR(__xludf.DUMMYFUNCTION("INDIRECT(""'收支紀錄'!Q""&amp;TO_TEXT(ROW()-$C$72))"),"")</f>
        <v/>
      </c>
      <c r="R921" s="61" t="str">
        <f>IFERROR(__xludf.DUMMYFUNCTION("INDIRECT(""'收支紀錄'!R""&amp;TO_TEXT(ROW()-$C$72))"),"")</f>
        <v/>
      </c>
      <c r="S921" s="61" t="str">
        <f>IFERROR(__xludf.DUMMYFUNCTION("INDIRECT(""'收支紀錄'!S""&amp;TO_TEXT(ROW()-$C$72))"),"")</f>
        <v/>
      </c>
      <c r="T921" s="61" t="str">
        <f>IFERROR(__xludf.DUMMYFUNCTION("INDIRECT(""'收支紀錄'!T""&amp;TO_TEXT(ROW()-$C$72))"),"")</f>
        <v/>
      </c>
      <c r="U921" s="62" t="str">
        <f>IFERROR(__xludf.DUMMYFUNCTION("IF(T921=""是"",TEXTJOIN("""", TRUE, ""$"", TO_TEXT(C921), S921),"""")"),"")</f>
        <v/>
      </c>
    </row>
    <row r="922">
      <c r="A922" s="58">
        <f>IFERROR(__xludf.DUMMYFUNCTION("INDIRECT(""'收支紀錄'!A""&amp;TO_TEXT(ROW()-$C$72))"),45816.394939756945)</f>
        <v>45816.39494</v>
      </c>
      <c r="B922" s="59">
        <f>IFERROR(__xludf.DUMMYFUNCTION("IF(ISBLANK(D922), """", IF(ISDATE(D922), D922, IF(D922=""今天"", A922, IF(D922=""昨天 (-1 day)"", A922-1, IF(D922=""前天 (-2 days)"", A922-2, IF(D922=""明天 (+1 day)"", A922+1, DATE(LEFT(D922,4), MID(D922,5,2), RIGHT(D922,2))))))))"),45815.394939756945)</f>
        <v>45815.39494</v>
      </c>
      <c r="C922" s="60">
        <f>IFERROR(__xludf.DUMMYFUNCTION("INDIRECT(""'收支紀錄'!C""&amp;TO_TEXT(ROW()-$C$72))"),25.0)</f>
        <v>25</v>
      </c>
      <c r="D922" s="63" t="str">
        <f>IFERROR(__xludf.DUMMYFUNCTION("INDIRECT(""'收支紀錄'!D""&amp;TO_TEXT(ROW()-$C$72))"),"昨天 (-1 day)")</f>
        <v>昨天 (-1 day)</v>
      </c>
      <c r="E922" s="61" t="str">
        <f>IFERROR(__xludf.DUMMYFUNCTION("INDIRECT(""'收支紀錄'!E""&amp;TO_TEXT(ROW()-$C$72))"),"")</f>
        <v/>
      </c>
      <c r="F922" s="61" t="str">
        <f>IFERROR(__xludf.DUMMYFUNCTION("INDIRECT(""'收支紀錄'!F""&amp;TO_TEXT(ROW()-$C$72))"),"")</f>
        <v/>
      </c>
      <c r="G922" s="61" t="str">
        <f>IFERROR(__xludf.DUMMYFUNCTION("INDIRECT(""'收支紀錄'!G""&amp;TO_TEXT(ROW()-$C$72))"),"")</f>
        <v/>
      </c>
      <c r="H922" s="61" t="str">
        <f>IFERROR(__xludf.DUMMYFUNCTION("INDIRECT(""'收支紀錄'!H""&amp;TO_TEXT(ROW()-$C$72))"),"行車交通")</f>
        <v>行車交通</v>
      </c>
      <c r="I922" s="61" t="str">
        <f>IFERROR(__xludf.DUMMYFUNCTION("INDIRECT(""'收支紀錄'!I""&amp;TO_TEXT(ROW()-$C$72))"),"")</f>
        <v/>
      </c>
      <c r="J922" s="61" t="str">
        <f>IFERROR(__xludf.DUMMYFUNCTION("INDIRECT(""'收支紀錄'!J""&amp;TO_TEXT(ROW()-$C$72))"),"")</f>
        <v/>
      </c>
      <c r="K922" s="61" t="str">
        <f>IFERROR(__xludf.DUMMYFUNCTION("INDIRECT(""'收支紀錄'!K""&amp;TO_TEXT(ROW()-$C$72))"),"")</f>
        <v/>
      </c>
      <c r="L922" s="61" t="str">
        <f>IFERROR(__xludf.DUMMYFUNCTION("INDIRECT(""'收支紀錄'!L""&amp;TO_TEXT(ROW()-$C$72))"),"停車")</f>
        <v>停車</v>
      </c>
      <c r="M922" s="61" t="str">
        <f>IFERROR(__xludf.DUMMYFUNCTION("INDIRECT(""'收支紀錄'!M""&amp;TO_TEXT(ROW()-$C$72))"),"")</f>
        <v/>
      </c>
      <c r="N922" s="61" t="str">
        <f>IFERROR(__xludf.DUMMYFUNCTION("INDIRECT(""'收支紀錄'!N""&amp;TO_TEXT(ROW()-$C$72))"),"")</f>
        <v/>
      </c>
      <c r="O922" s="61" t="str">
        <f>IFERROR(__xludf.DUMMYFUNCTION("INDIRECT(""'收支紀錄'!O""&amp;TO_TEXT(ROW()-$C$72))"),"")</f>
        <v/>
      </c>
      <c r="P922" s="61" t="str">
        <f>IFERROR(__xludf.DUMMYFUNCTION("INDIRECT(""'收支紀錄'!P""&amp;TO_TEXT(ROW()-$C$72))"),"")</f>
        <v/>
      </c>
      <c r="Q922" s="61" t="str">
        <f>IFERROR(__xludf.DUMMYFUNCTION("INDIRECT(""'收支紀錄'!Q""&amp;TO_TEXT(ROW()-$C$72))"),"")</f>
        <v/>
      </c>
      <c r="R922" s="61" t="str">
        <f>IFERROR(__xludf.DUMMYFUNCTION("INDIRECT(""'收支紀錄'!R""&amp;TO_TEXT(ROW()-$C$72))"),"")</f>
        <v/>
      </c>
      <c r="S922" s="61" t="str">
        <f>IFERROR(__xludf.DUMMYFUNCTION("INDIRECT(""'收支紀錄'!S""&amp;TO_TEXT(ROW()-$C$72))"),"")</f>
        <v/>
      </c>
      <c r="T922" s="61" t="str">
        <f>IFERROR(__xludf.DUMMYFUNCTION("INDIRECT(""'收支紀錄'!T""&amp;TO_TEXT(ROW()-$C$72))"),"")</f>
        <v/>
      </c>
      <c r="U922" s="62" t="str">
        <f>IFERROR(__xludf.DUMMYFUNCTION("IF(T922=""是"",TEXTJOIN("""", TRUE, ""$"", TO_TEXT(C922), S922),"""")"),"")</f>
        <v/>
      </c>
    </row>
    <row r="923">
      <c r="A923" s="58">
        <f>IFERROR(__xludf.DUMMYFUNCTION("INDIRECT(""'收支紀錄'!A""&amp;TO_TEXT(ROW()-$C$72))"),45816.63581342592)</f>
        <v>45816.63581</v>
      </c>
      <c r="B923" s="59">
        <f>IFERROR(__xludf.DUMMYFUNCTION("IF(ISBLANK(D923), """", IF(ISDATE(D923), D923, IF(D923=""今天"", A923, IF(D923=""昨天 (-1 day)"", A923-1, IF(D923=""前天 (-2 days)"", A923-2, IF(D923=""明天 (+1 day)"", A923+1, DATE(LEFT(D923,4), MID(D923,5,2), RIGHT(D923,2))))))))"),45816.63581342592)</f>
        <v>45816.63581</v>
      </c>
      <c r="C923" s="60">
        <f>IFERROR(__xludf.DUMMYFUNCTION("INDIRECT(""'收支紀錄'!C""&amp;TO_TEXT(ROW()-$C$72))"),67.0)</f>
        <v>67</v>
      </c>
      <c r="D923" s="63" t="str">
        <f>IFERROR(__xludf.DUMMYFUNCTION("INDIRECT(""'收支紀錄'!D""&amp;TO_TEXT(ROW()-$C$72))"),"今天")</f>
        <v>今天</v>
      </c>
      <c r="E923" s="61" t="str">
        <f>IFERROR(__xludf.DUMMYFUNCTION("INDIRECT(""'收支紀錄'!E""&amp;TO_TEXT(ROW()-$C$72))"),"")</f>
        <v/>
      </c>
      <c r="F923" s="61" t="str">
        <f>IFERROR(__xludf.DUMMYFUNCTION("INDIRECT(""'收支紀錄'!F""&amp;TO_TEXT(ROW()-$C$72))"),"")</f>
        <v/>
      </c>
      <c r="G923" s="61" t="str">
        <f>IFERROR(__xludf.DUMMYFUNCTION("INDIRECT(""'收支紀錄'!G""&amp;TO_TEXT(ROW()-$C$72))"),"")</f>
        <v/>
      </c>
      <c r="H923" s="61" t="str">
        <f>IFERROR(__xludf.DUMMYFUNCTION("INDIRECT(""'收支紀錄'!H""&amp;TO_TEXT(ROW()-$C$72))"),"食品酒水")</f>
        <v>食品酒水</v>
      </c>
      <c r="I923" s="61" t="str">
        <f>IFERROR(__xludf.DUMMYFUNCTION("INDIRECT(""'收支紀錄'!I""&amp;TO_TEXT(ROW()-$C$72))"),"飲料酒水")</f>
        <v>飲料酒水</v>
      </c>
      <c r="J923" s="61" t="str">
        <f>IFERROR(__xludf.DUMMYFUNCTION("INDIRECT(""'收支紀錄'!J""&amp;TO_TEXT(ROW()-$C$72))"),"")</f>
        <v/>
      </c>
      <c r="K923" s="61" t="str">
        <f>IFERROR(__xludf.DUMMYFUNCTION("INDIRECT(""'收支紀錄'!K""&amp;TO_TEXT(ROW()-$C$72))"),"")</f>
        <v/>
      </c>
      <c r="L923" s="61" t="str">
        <f>IFERROR(__xludf.DUMMYFUNCTION("INDIRECT(""'收支紀錄'!L""&amp;TO_TEXT(ROW()-$C$72))"),"")</f>
        <v/>
      </c>
      <c r="M923" s="61" t="str">
        <f>IFERROR(__xludf.DUMMYFUNCTION("INDIRECT(""'收支紀錄'!M""&amp;TO_TEXT(ROW()-$C$72))"),"")</f>
        <v/>
      </c>
      <c r="N923" s="61" t="str">
        <f>IFERROR(__xludf.DUMMYFUNCTION("INDIRECT(""'收支紀錄'!N""&amp;TO_TEXT(ROW()-$C$72))"),"")</f>
        <v/>
      </c>
      <c r="O923" s="61" t="str">
        <f>IFERROR(__xludf.DUMMYFUNCTION("INDIRECT(""'收支紀錄'!O""&amp;TO_TEXT(ROW()-$C$72))"),"")</f>
        <v/>
      </c>
      <c r="P923" s="61" t="str">
        <f>IFERROR(__xludf.DUMMYFUNCTION("INDIRECT(""'收支紀錄'!P""&amp;TO_TEXT(ROW()-$C$72))"),"")</f>
        <v/>
      </c>
      <c r="Q923" s="61" t="str">
        <f>IFERROR(__xludf.DUMMYFUNCTION("INDIRECT(""'收支紀錄'!Q""&amp;TO_TEXT(ROW()-$C$72))"),"")</f>
        <v/>
      </c>
      <c r="R923" s="61" t="str">
        <f>IFERROR(__xludf.DUMMYFUNCTION("INDIRECT(""'收支紀錄'!R""&amp;TO_TEXT(ROW()-$C$72))"),"")</f>
        <v/>
      </c>
      <c r="S923" s="61" t="str">
        <f>IFERROR(__xludf.DUMMYFUNCTION("INDIRECT(""'收支紀錄'!S""&amp;TO_TEXT(ROW()-$C$72))"),"")</f>
        <v/>
      </c>
      <c r="T923" s="61" t="str">
        <f>IFERROR(__xludf.DUMMYFUNCTION("INDIRECT(""'收支紀錄'!T""&amp;TO_TEXT(ROW()-$C$72))"),"")</f>
        <v/>
      </c>
      <c r="U923" s="62" t="str">
        <f>IFERROR(__xludf.DUMMYFUNCTION("IF(T923=""是"",TEXTJOIN("""", TRUE, ""$"", TO_TEXT(C923), S923),"""")"),"")</f>
        <v/>
      </c>
    </row>
    <row r="924">
      <c r="A924" s="58">
        <f>IFERROR(__xludf.DUMMYFUNCTION("INDIRECT(""'收支紀錄'!A""&amp;TO_TEXT(ROW()-$C$72))"),45817.28093789352)</f>
        <v>45817.28094</v>
      </c>
      <c r="B924" s="59">
        <f>IFERROR(__xludf.DUMMYFUNCTION("IF(ISBLANK(D924), """", IF(ISDATE(D924), D924, IF(D924=""今天"", A924, IF(D924=""昨天 (-1 day)"", A924-1, IF(D924=""前天 (-2 days)"", A924-2, IF(D924=""明天 (+1 day)"", A924+1, DATE(LEFT(D924,4), MID(D924,5,2), RIGHT(D924,2))))))))"),45816.28093789352)</f>
        <v>45816.28094</v>
      </c>
      <c r="C924" s="60">
        <f>IFERROR(__xludf.DUMMYFUNCTION("INDIRECT(""'收支紀錄'!C""&amp;TO_TEXT(ROW()-$C$72))"),60.0)</f>
        <v>60</v>
      </c>
      <c r="D924" s="63" t="str">
        <f>IFERROR(__xludf.DUMMYFUNCTION("INDIRECT(""'收支紀錄'!D""&amp;TO_TEXT(ROW()-$C$72))"),"昨天 (-1 day)")</f>
        <v>昨天 (-1 day)</v>
      </c>
      <c r="E924" s="61" t="str">
        <f>IFERROR(__xludf.DUMMYFUNCTION("INDIRECT(""'收支紀錄'!E""&amp;TO_TEXT(ROW()-$C$72))"),"")</f>
        <v/>
      </c>
      <c r="F924" s="61" t="str">
        <f>IFERROR(__xludf.DUMMYFUNCTION("INDIRECT(""'收支紀錄'!F""&amp;TO_TEXT(ROW()-$C$72))"),"")</f>
        <v/>
      </c>
      <c r="G924" s="61" t="str">
        <f>IFERROR(__xludf.DUMMYFUNCTION("INDIRECT(""'收支紀錄'!G""&amp;TO_TEXT(ROW()-$C$72))"),"")</f>
        <v/>
      </c>
      <c r="H924" s="61" t="str">
        <f>IFERROR(__xludf.DUMMYFUNCTION("INDIRECT(""'收支紀錄'!H""&amp;TO_TEXT(ROW()-$C$72))"),"行車交通")</f>
        <v>行車交通</v>
      </c>
      <c r="I924" s="61" t="str">
        <f>IFERROR(__xludf.DUMMYFUNCTION("INDIRECT(""'收支紀錄'!I""&amp;TO_TEXT(ROW()-$C$72))"),"")</f>
        <v/>
      </c>
      <c r="J924" s="61" t="str">
        <f>IFERROR(__xludf.DUMMYFUNCTION("INDIRECT(""'收支紀錄'!J""&amp;TO_TEXT(ROW()-$C$72))"),"")</f>
        <v/>
      </c>
      <c r="K924" s="61" t="str">
        <f>IFERROR(__xludf.DUMMYFUNCTION("INDIRECT(""'收支紀錄'!K""&amp;TO_TEXT(ROW()-$C$72))"),"")</f>
        <v/>
      </c>
      <c r="L924" s="61" t="str">
        <f>IFERROR(__xludf.DUMMYFUNCTION("INDIRECT(""'收支紀錄'!L""&amp;TO_TEXT(ROW()-$C$72))"),"停車")</f>
        <v>停車</v>
      </c>
      <c r="M924" s="61" t="str">
        <f>IFERROR(__xludf.DUMMYFUNCTION("INDIRECT(""'收支紀錄'!M""&amp;TO_TEXT(ROW()-$C$72))"),"")</f>
        <v/>
      </c>
      <c r="N924" s="61" t="str">
        <f>IFERROR(__xludf.DUMMYFUNCTION("INDIRECT(""'收支紀錄'!N""&amp;TO_TEXT(ROW()-$C$72))"),"")</f>
        <v/>
      </c>
      <c r="O924" s="61" t="str">
        <f>IFERROR(__xludf.DUMMYFUNCTION("INDIRECT(""'收支紀錄'!O""&amp;TO_TEXT(ROW()-$C$72))"),"")</f>
        <v/>
      </c>
      <c r="P924" s="61" t="str">
        <f>IFERROR(__xludf.DUMMYFUNCTION("INDIRECT(""'收支紀錄'!P""&amp;TO_TEXT(ROW()-$C$72))"),"")</f>
        <v/>
      </c>
      <c r="Q924" s="61" t="str">
        <f>IFERROR(__xludf.DUMMYFUNCTION("INDIRECT(""'收支紀錄'!Q""&amp;TO_TEXT(ROW()-$C$72))"),"")</f>
        <v/>
      </c>
      <c r="R924" s="61" t="str">
        <f>IFERROR(__xludf.DUMMYFUNCTION("INDIRECT(""'收支紀錄'!R""&amp;TO_TEXT(ROW()-$C$72))"),"")</f>
        <v/>
      </c>
      <c r="S924" s="61" t="str">
        <f>IFERROR(__xludf.DUMMYFUNCTION("INDIRECT(""'收支紀錄'!S""&amp;TO_TEXT(ROW()-$C$72))"),"")</f>
        <v/>
      </c>
      <c r="T924" s="61" t="str">
        <f>IFERROR(__xludf.DUMMYFUNCTION("INDIRECT(""'收支紀錄'!T""&amp;TO_TEXT(ROW()-$C$72))"),"")</f>
        <v/>
      </c>
      <c r="U924" s="62" t="str">
        <f>IFERROR(__xludf.DUMMYFUNCTION("IF(T924=""是"",TEXTJOIN("""", TRUE, ""$"", TO_TEXT(C924), S924),"""")"),"")</f>
        <v/>
      </c>
    </row>
    <row r="925">
      <c r="A925" s="58">
        <f>IFERROR(__xludf.DUMMYFUNCTION("INDIRECT(""'收支紀錄'!A""&amp;TO_TEXT(ROW()-$C$72))"),45817.28113300926)</f>
        <v>45817.28113</v>
      </c>
      <c r="B925" s="59">
        <f>IFERROR(__xludf.DUMMYFUNCTION("IF(ISBLANK(D925), """", IF(ISDATE(D925), D925, IF(D925=""今天"", A925, IF(D925=""昨天 (-1 day)"", A925-1, IF(D925=""前天 (-2 days)"", A925-2, IF(D925=""明天 (+1 day)"", A925+1, DATE(LEFT(D925,4), MID(D925,5,2), RIGHT(D925,2))))))))"),45816.28113300926)</f>
        <v>45816.28113</v>
      </c>
      <c r="C925" s="60">
        <f>IFERROR(__xludf.DUMMYFUNCTION("INDIRECT(""'收支紀錄'!C""&amp;TO_TEXT(ROW()-$C$72))"),234.0)</f>
        <v>234</v>
      </c>
      <c r="D925" s="63" t="str">
        <f>IFERROR(__xludf.DUMMYFUNCTION("INDIRECT(""'收支紀錄'!D""&amp;TO_TEXT(ROW()-$C$72))"),"昨天 (-1 day)")</f>
        <v>昨天 (-1 day)</v>
      </c>
      <c r="E925" s="61" t="str">
        <f>IFERROR(__xludf.DUMMYFUNCTION("INDIRECT(""'收支紀錄'!E""&amp;TO_TEXT(ROW()-$C$72))"),"")</f>
        <v/>
      </c>
      <c r="F925" s="61" t="str">
        <f>IFERROR(__xludf.DUMMYFUNCTION("INDIRECT(""'收支紀錄'!F""&amp;TO_TEXT(ROW()-$C$72))"),"")</f>
        <v/>
      </c>
      <c r="G925" s="61" t="str">
        <f>IFERROR(__xludf.DUMMYFUNCTION("INDIRECT(""'收支紀錄'!G""&amp;TO_TEXT(ROW()-$C$72))"),"")</f>
        <v/>
      </c>
      <c r="H925" s="61" t="str">
        <f>IFERROR(__xludf.DUMMYFUNCTION("INDIRECT(""'收支紀錄'!H""&amp;TO_TEXT(ROW()-$C$72))"),"食品酒水")</f>
        <v>食品酒水</v>
      </c>
      <c r="I925" s="61" t="str">
        <f>IFERROR(__xludf.DUMMYFUNCTION("INDIRECT(""'收支紀錄'!I""&amp;TO_TEXT(ROW()-$C$72))"),"食材")</f>
        <v>食材</v>
      </c>
      <c r="J925" s="61" t="str">
        <f>IFERROR(__xludf.DUMMYFUNCTION("INDIRECT(""'收支紀錄'!J""&amp;TO_TEXT(ROW()-$C$72))"),"")</f>
        <v/>
      </c>
      <c r="K925" s="61" t="str">
        <f>IFERROR(__xludf.DUMMYFUNCTION("INDIRECT(""'收支紀錄'!K""&amp;TO_TEXT(ROW()-$C$72))"),"")</f>
        <v/>
      </c>
      <c r="L925" s="61" t="str">
        <f>IFERROR(__xludf.DUMMYFUNCTION("INDIRECT(""'收支紀錄'!L""&amp;TO_TEXT(ROW()-$C$72))"),"")</f>
        <v/>
      </c>
      <c r="M925" s="61" t="str">
        <f>IFERROR(__xludf.DUMMYFUNCTION("INDIRECT(""'收支紀錄'!M""&amp;TO_TEXT(ROW()-$C$72))"),"")</f>
        <v/>
      </c>
      <c r="N925" s="61" t="str">
        <f>IFERROR(__xludf.DUMMYFUNCTION("INDIRECT(""'收支紀錄'!N""&amp;TO_TEXT(ROW()-$C$72))"),"")</f>
        <v/>
      </c>
      <c r="O925" s="61" t="str">
        <f>IFERROR(__xludf.DUMMYFUNCTION("INDIRECT(""'收支紀錄'!O""&amp;TO_TEXT(ROW()-$C$72))"),"")</f>
        <v/>
      </c>
      <c r="P925" s="61" t="str">
        <f>IFERROR(__xludf.DUMMYFUNCTION("INDIRECT(""'收支紀錄'!P""&amp;TO_TEXT(ROW()-$C$72))"),"")</f>
        <v/>
      </c>
      <c r="Q925" s="61" t="str">
        <f>IFERROR(__xludf.DUMMYFUNCTION("INDIRECT(""'收支紀錄'!Q""&amp;TO_TEXT(ROW()-$C$72))"),"")</f>
        <v/>
      </c>
      <c r="R925" s="61" t="str">
        <f>IFERROR(__xludf.DUMMYFUNCTION("INDIRECT(""'收支紀錄'!R""&amp;TO_TEXT(ROW()-$C$72))"),"")</f>
        <v/>
      </c>
      <c r="S925" s="61" t="str">
        <f>IFERROR(__xludf.DUMMYFUNCTION("INDIRECT(""'收支紀錄'!S""&amp;TO_TEXT(ROW()-$C$72))"),"")</f>
        <v/>
      </c>
      <c r="T925" s="61" t="str">
        <f>IFERROR(__xludf.DUMMYFUNCTION("INDIRECT(""'收支紀錄'!T""&amp;TO_TEXT(ROW()-$C$72))"),"")</f>
        <v/>
      </c>
      <c r="U925" s="62" t="str">
        <f>IFERROR(__xludf.DUMMYFUNCTION("IF(T925=""是"",TEXTJOIN("""", TRUE, ""$"", TO_TEXT(C925), S925),"""")"),"")</f>
        <v/>
      </c>
    </row>
    <row r="926">
      <c r="A926" s="58">
        <f>IFERROR(__xludf.DUMMYFUNCTION("INDIRECT(""'收支紀錄'!A""&amp;TO_TEXT(ROW()-$C$72))"),45817.88293626157)</f>
        <v>45817.88294</v>
      </c>
      <c r="B926" s="59">
        <f>IFERROR(__xludf.DUMMYFUNCTION("IF(ISBLANK(D926), """", IF(ISDATE(D926), D926, IF(D926=""今天"", A926, IF(D926=""昨天 (-1 day)"", A926-1, IF(D926=""前天 (-2 days)"", A926-2, IF(D926=""明天 (+1 day)"", A926+1, DATE(LEFT(D926,4), MID(D926,5,2), RIGHT(D926,2))))))))"),45813.0)</f>
        <v>45813</v>
      </c>
      <c r="C926" s="60">
        <f>IFERROR(__xludf.DUMMYFUNCTION("INDIRECT(""'收支紀錄'!C""&amp;TO_TEXT(ROW()-$C$72))"),107300.0)</f>
        <v>107300</v>
      </c>
      <c r="D926" s="63">
        <f>IFERROR(__xludf.DUMMYFUNCTION("INDIRECT(""'收支紀錄'!D""&amp;TO_TEXT(ROW()-$C$72))"),2.0250605E7)</f>
        <v>20250605</v>
      </c>
      <c r="E926" s="61" t="str">
        <f>IFERROR(__xludf.DUMMYFUNCTION("INDIRECT(""'收支紀錄'!E""&amp;TO_TEXT(ROW()-$C$72))"),"工作")</f>
        <v>工作</v>
      </c>
      <c r="F926" s="61" t="str">
        <f>IFERROR(__xludf.DUMMYFUNCTION("INDIRECT(""'收支紀錄'!F""&amp;TO_TEXT(ROW()-$C$72))"),"底薪")</f>
        <v>底薪</v>
      </c>
      <c r="G926" s="61" t="str">
        <f>IFERROR(__xludf.DUMMYFUNCTION("INDIRECT(""'收支紀錄'!G""&amp;TO_TEXT(ROW()-$C$72))"),"")</f>
        <v/>
      </c>
      <c r="H926" s="61" t="str">
        <f>IFERROR(__xludf.DUMMYFUNCTION("INDIRECT(""'收支紀錄'!H""&amp;TO_TEXT(ROW()-$C$72))"),"")</f>
        <v/>
      </c>
      <c r="I926" s="61" t="str">
        <f>IFERROR(__xludf.DUMMYFUNCTION("INDIRECT(""'收支紀錄'!I""&amp;TO_TEXT(ROW()-$C$72))"),"")</f>
        <v/>
      </c>
      <c r="J926" s="61" t="str">
        <f>IFERROR(__xludf.DUMMYFUNCTION("INDIRECT(""'收支紀錄'!J""&amp;TO_TEXT(ROW()-$C$72))"),"")</f>
        <v/>
      </c>
      <c r="K926" s="61" t="str">
        <f>IFERROR(__xludf.DUMMYFUNCTION("INDIRECT(""'收支紀錄'!K""&amp;TO_TEXT(ROW()-$C$72))"),"")</f>
        <v/>
      </c>
      <c r="L926" s="61" t="str">
        <f>IFERROR(__xludf.DUMMYFUNCTION("INDIRECT(""'收支紀錄'!L""&amp;TO_TEXT(ROW()-$C$72))"),"")</f>
        <v/>
      </c>
      <c r="M926" s="61" t="str">
        <f>IFERROR(__xludf.DUMMYFUNCTION("INDIRECT(""'收支紀錄'!M""&amp;TO_TEXT(ROW()-$C$72))"),"")</f>
        <v/>
      </c>
      <c r="N926" s="61" t="str">
        <f>IFERROR(__xludf.DUMMYFUNCTION("INDIRECT(""'收支紀錄'!N""&amp;TO_TEXT(ROW()-$C$72))"),"")</f>
        <v/>
      </c>
      <c r="O926" s="61" t="str">
        <f>IFERROR(__xludf.DUMMYFUNCTION("INDIRECT(""'收支紀錄'!O""&amp;TO_TEXT(ROW()-$C$72))"),"")</f>
        <v/>
      </c>
      <c r="P926" s="61" t="str">
        <f>IFERROR(__xludf.DUMMYFUNCTION("INDIRECT(""'收支紀錄'!P""&amp;TO_TEXT(ROW()-$C$72))"),"")</f>
        <v/>
      </c>
      <c r="Q926" s="61" t="str">
        <f>IFERROR(__xludf.DUMMYFUNCTION("INDIRECT(""'收支紀錄'!Q""&amp;TO_TEXT(ROW()-$C$72))"),"")</f>
        <v/>
      </c>
      <c r="R926" s="61" t="str">
        <f>IFERROR(__xludf.DUMMYFUNCTION("INDIRECT(""'收支紀錄'!R""&amp;TO_TEXT(ROW()-$C$72))"),"")</f>
        <v/>
      </c>
      <c r="S926" s="61" t="str">
        <f>IFERROR(__xludf.DUMMYFUNCTION("INDIRECT(""'收支紀錄'!S""&amp;TO_TEXT(ROW()-$C$72))"),"")</f>
        <v/>
      </c>
      <c r="T926" s="61" t="str">
        <f>IFERROR(__xludf.DUMMYFUNCTION("INDIRECT(""'收支紀錄'!T""&amp;TO_TEXT(ROW()-$C$72))"),"")</f>
        <v/>
      </c>
      <c r="U926" s="62" t="str">
        <f>IFERROR(__xludf.DUMMYFUNCTION("IF(T926=""是"",TEXTJOIN("""", TRUE, ""$"", TO_TEXT(C926), S926),"""")"),"")</f>
        <v/>
      </c>
    </row>
    <row r="927">
      <c r="A927" s="58">
        <f>IFERROR(__xludf.DUMMYFUNCTION("INDIRECT(""'收支紀錄'!A""&amp;TO_TEXT(ROW()-$C$72))"),45817.88327896991)</f>
        <v>45817.88328</v>
      </c>
      <c r="B927" s="59">
        <f>IFERROR(__xludf.DUMMYFUNCTION("IF(ISBLANK(D927), """", IF(ISDATE(D927), D927, IF(D927=""今天"", A927, IF(D927=""昨天 (-1 day)"", A927-1, IF(D927=""前天 (-2 days)"", A927-2, IF(D927=""明天 (+1 day)"", A927+1, DATE(LEFT(D927,4), MID(D927,5,2), RIGHT(D927,2))))))))"),45813.0)</f>
        <v>45813</v>
      </c>
      <c r="C927" s="60">
        <f>IFERROR(__xludf.DUMMYFUNCTION("INDIRECT(""'收支紀錄'!C""&amp;TO_TEXT(ROW()-$C$72))"),1231.0)</f>
        <v>1231</v>
      </c>
      <c r="D927" s="63">
        <f>IFERROR(__xludf.DUMMYFUNCTION("INDIRECT(""'收支紀錄'!D""&amp;TO_TEXT(ROW()-$C$72))"),2.0250605E7)</f>
        <v>20250605</v>
      </c>
      <c r="E927" s="61" t="str">
        <f>IFERROR(__xludf.DUMMYFUNCTION("INDIRECT(""'收支紀錄'!E""&amp;TO_TEXT(ROW()-$C$72))"),"")</f>
        <v/>
      </c>
      <c r="F927" s="61" t="str">
        <f>IFERROR(__xludf.DUMMYFUNCTION("INDIRECT(""'收支紀錄'!F""&amp;TO_TEXT(ROW()-$C$72))"),"")</f>
        <v/>
      </c>
      <c r="G927" s="61" t="str">
        <f>IFERROR(__xludf.DUMMYFUNCTION("INDIRECT(""'收支紀錄'!G""&amp;TO_TEXT(ROW()-$C$72))"),"")</f>
        <v/>
      </c>
      <c r="H927" s="61" t="str">
        <f>IFERROR(__xludf.DUMMYFUNCTION("INDIRECT(""'收支紀錄'!H""&amp;TO_TEXT(ROW()-$C$72))"),"食品酒水")</f>
        <v>食品酒水</v>
      </c>
      <c r="I927" s="61" t="str">
        <f>IFERROR(__xludf.DUMMYFUNCTION("INDIRECT(""'收支紀錄'!I""&amp;TO_TEXT(ROW()-$C$72))"),"前月公司餐費扣款")</f>
        <v>前月公司餐費扣款</v>
      </c>
      <c r="J927" s="61" t="str">
        <f>IFERROR(__xludf.DUMMYFUNCTION("INDIRECT(""'收支紀錄'!J""&amp;TO_TEXT(ROW()-$C$72))"),"")</f>
        <v/>
      </c>
      <c r="K927" s="61" t="str">
        <f>IFERROR(__xludf.DUMMYFUNCTION("INDIRECT(""'收支紀錄'!K""&amp;TO_TEXT(ROW()-$C$72))"),"")</f>
        <v/>
      </c>
      <c r="L927" s="61" t="str">
        <f>IFERROR(__xludf.DUMMYFUNCTION("INDIRECT(""'收支紀錄'!L""&amp;TO_TEXT(ROW()-$C$72))"),"")</f>
        <v/>
      </c>
      <c r="M927" s="61" t="str">
        <f>IFERROR(__xludf.DUMMYFUNCTION("INDIRECT(""'收支紀錄'!M""&amp;TO_TEXT(ROW()-$C$72))"),"")</f>
        <v/>
      </c>
      <c r="N927" s="61" t="str">
        <f>IFERROR(__xludf.DUMMYFUNCTION("INDIRECT(""'收支紀錄'!N""&amp;TO_TEXT(ROW()-$C$72))"),"")</f>
        <v/>
      </c>
      <c r="O927" s="61" t="str">
        <f>IFERROR(__xludf.DUMMYFUNCTION("INDIRECT(""'收支紀錄'!O""&amp;TO_TEXT(ROW()-$C$72))"),"")</f>
        <v/>
      </c>
      <c r="P927" s="61" t="str">
        <f>IFERROR(__xludf.DUMMYFUNCTION("INDIRECT(""'收支紀錄'!P""&amp;TO_TEXT(ROW()-$C$72))"),"")</f>
        <v/>
      </c>
      <c r="Q927" s="61" t="str">
        <f>IFERROR(__xludf.DUMMYFUNCTION("INDIRECT(""'收支紀錄'!Q""&amp;TO_TEXT(ROW()-$C$72))"),"")</f>
        <v/>
      </c>
      <c r="R927" s="61" t="str">
        <f>IFERROR(__xludf.DUMMYFUNCTION("INDIRECT(""'收支紀錄'!R""&amp;TO_TEXT(ROW()-$C$72))"),"")</f>
        <v/>
      </c>
      <c r="S927" s="61" t="str">
        <f>IFERROR(__xludf.DUMMYFUNCTION("INDIRECT(""'收支紀錄'!S""&amp;TO_TEXT(ROW()-$C$72))"),"")</f>
        <v/>
      </c>
      <c r="T927" s="61" t="str">
        <f>IFERROR(__xludf.DUMMYFUNCTION("INDIRECT(""'收支紀錄'!T""&amp;TO_TEXT(ROW()-$C$72))"),"")</f>
        <v/>
      </c>
      <c r="U927" s="62" t="str">
        <f>IFERROR(__xludf.DUMMYFUNCTION("IF(T927=""是"",TEXTJOIN("""", TRUE, ""$"", TO_TEXT(C927), S927),"""")"),"")</f>
        <v/>
      </c>
    </row>
    <row r="928">
      <c r="A928" s="58">
        <f>IFERROR(__xludf.DUMMYFUNCTION("INDIRECT(""'收支紀錄'!A""&amp;TO_TEXT(ROW()-$C$72))"),45817.883786446764)</f>
        <v>45817.88379</v>
      </c>
      <c r="B928" s="59">
        <f>IFERROR(__xludf.DUMMYFUNCTION("IF(ISBLANK(D928), """", IF(ISDATE(D928), D928, IF(D928=""今天"", A928, IF(D928=""昨天 (-1 day)"", A928-1, IF(D928=""前天 (-2 days)"", A928-2, IF(D928=""明天 (+1 day)"", A928+1, DATE(LEFT(D928,4), MID(D928,5,2), RIGHT(D928,2))))))))"),45813.0)</f>
        <v>45813</v>
      </c>
      <c r="C928" s="60">
        <f>IFERROR(__xludf.DUMMYFUNCTION("INDIRECT(""'收支紀錄'!C""&amp;TO_TEXT(ROW()-$C$72))"),4292.0)</f>
        <v>4292</v>
      </c>
      <c r="D928" s="63">
        <f>IFERROR(__xludf.DUMMYFUNCTION("INDIRECT(""'收支紀錄'!D""&amp;TO_TEXT(ROW()-$C$72))"),2.0250605E7)</f>
        <v>20250605</v>
      </c>
      <c r="E928" s="61" t="str">
        <f>IFERROR(__xludf.DUMMYFUNCTION("INDIRECT(""'收支紀錄'!E""&amp;TO_TEXT(ROW()-$C$72))"),"")</f>
        <v/>
      </c>
      <c r="F928" s="61" t="str">
        <f>IFERROR(__xludf.DUMMYFUNCTION("INDIRECT(""'收支紀錄'!F""&amp;TO_TEXT(ROW()-$C$72))"),"")</f>
        <v/>
      </c>
      <c r="G928" s="61" t="str">
        <f>IFERROR(__xludf.DUMMYFUNCTION("INDIRECT(""'收支紀錄'!G""&amp;TO_TEXT(ROW()-$C$72))"),"")</f>
        <v/>
      </c>
      <c r="H928" s="61" t="str">
        <f>IFERROR(__xludf.DUMMYFUNCTION("INDIRECT(""'收支紀錄'!H""&amp;TO_TEXT(ROW()-$C$72))"),"投資及其他")</f>
        <v>投資及其他</v>
      </c>
      <c r="I928" s="61" t="str">
        <f>IFERROR(__xludf.DUMMYFUNCTION("INDIRECT(""'收支紀錄'!I""&amp;TO_TEXT(ROW()-$C$72))"),"")</f>
        <v/>
      </c>
      <c r="J928" s="61" t="str">
        <f>IFERROR(__xludf.DUMMYFUNCTION("INDIRECT(""'收支紀錄'!J""&amp;TO_TEXT(ROW()-$C$72))"),"")</f>
        <v/>
      </c>
      <c r="K928" s="61" t="str">
        <f>IFERROR(__xludf.DUMMYFUNCTION("INDIRECT(""'收支紀錄'!K""&amp;TO_TEXT(ROW()-$C$72))"),"")</f>
        <v/>
      </c>
      <c r="L928" s="61" t="str">
        <f>IFERROR(__xludf.DUMMYFUNCTION("INDIRECT(""'收支紀錄'!L""&amp;TO_TEXT(ROW()-$C$72))"),"")</f>
        <v/>
      </c>
      <c r="M928" s="61" t="str">
        <f>IFERROR(__xludf.DUMMYFUNCTION("INDIRECT(""'收支紀錄'!M""&amp;TO_TEXT(ROW()-$C$72))"),"")</f>
        <v/>
      </c>
      <c r="N928" s="61" t="str">
        <f>IFERROR(__xludf.DUMMYFUNCTION("INDIRECT(""'收支紀錄'!N""&amp;TO_TEXT(ROW()-$C$72))"),"")</f>
        <v/>
      </c>
      <c r="O928" s="61" t="str">
        <f>IFERROR(__xludf.DUMMYFUNCTION("INDIRECT(""'收支紀錄'!O""&amp;TO_TEXT(ROW()-$C$72))"),"")</f>
        <v/>
      </c>
      <c r="P928" s="61" t="str">
        <f>IFERROR(__xludf.DUMMYFUNCTION("INDIRECT(""'收支紀錄'!P""&amp;TO_TEXT(ROW()-$C$72))"),"")</f>
        <v/>
      </c>
      <c r="Q928" s="61" t="str">
        <f>IFERROR(__xludf.DUMMYFUNCTION("INDIRECT(""'收支紀錄'!Q""&amp;TO_TEXT(ROW()-$C$72))"),"")</f>
        <v/>
      </c>
      <c r="R928" s="61" t="str">
        <f>IFERROR(__xludf.DUMMYFUNCTION("INDIRECT(""'收支紀錄'!R""&amp;TO_TEXT(ROW()-$C$72))"),"公司認股")</f>
        <v>公司認股</v>
      </c>
      <c r="S928" s="61" t="str">
        <f>IFERROR(__xludf.DUMMYFUNCTION("INDIRECT(""'收支紀錄'!S""&amp;TO_TEXT(ROW()-$C$72))"),"")</f>
        <v/>
      </c>
      <c r="T928" s="61" t="str">
        <f>IFERROR(__xludf.DUMMYFUNCTION("INDIRECT(""'收支紀錄'!T""&amp;TO_TEXT(ROW()-$C$72))"),"")</f>
        <v/>
      </c>
      <c r="U928" s="62" t="str">
        <f>IFERROR(__xludf.DUMMYFUNCTION("IF(T928=""是"",TEXTJOIN("""", TRUE, ""$"", TO_TEXT(C928), S928),"""")"),"")</f>
        <v/>
      </c>
    </row>
    <row r="929">
      <c r="A929" s="58">
        <f>IFERROR(__xludf.DUMMYFUNCTION("INDIRECT(""'收支紀錄'!A""&amp;TO_TEXT(ROW()-$C$72))"),45817.884329016204)</f>
        <v>45817.88433</v>
      </c>
      <c r="B929" s="59">
        <f>IFERROR(__xludf.DUMMYFUNCTION("IF(ISBLANK(D929), """", IF(ISDATE(D929), D929, IF(D929=""今天"", A929, IF(D929=""昨天 (-1 day)"", A929-1, IF(D929=""前天 (-2 days)"", A929-2, IF(D929=""明天 (+1 day)"", A929+1, DATE(LEFT(D929,4), MID(D929,5,2), RIGHT(D929,2))))))))"),45813.0)</f>
        <v>45813</v>
      </c>
      <c r="C929" s="60">
        <f>IFERROR(__xludf.DUMMYFUNCTION("INDIRECT(""'收支紀錄'!C""&amp;TO_TEXT(ROW()-$C$72))"),2828.0)</f>
        <v>2828</v>
      </c>
      <c r="D929" s="63">
        <f>IFERROR(__xludf.DUMMYFUNCTION("INDIRECT(""'收支紀錄'!D""&amp;TO_TEXT(ROW()-$C$72))"),2.0250605E7)</f>
        <v>20250605</v>
      </c>
      <c r="E929" s="61" t="str">
        <f>IFERROR(__xludf.DUMMYFUNCTION("INDIRECT(""'收支紀錄'!E""&amp;TO_TEXT(ROW()-$C$72))"),"")</f>
        <v/>
      </c>
      <c r="F929" s="61" t="str">
        <f>IFERROR(__xludf.DUMMYFUNCTION("INDIRECT(""'收支紀錄'!F""&amp;TO_TEXT(ROW()-$C$72))"),"")</f>
        <v/>
      </c>
      <c r="G929" s="61" t="str">
        <f>IFERROR(__xludf.DUMMYFUNCTION("INDIRECT(""'收支紀錄'!G""&amp;TO_TEXT(ROW()-$C$72))"),"")</f>
        <v/>
      </c>
      <c r="H929" s="61" t="str">
        <f>IFERROR(__xludf.DUMMYFUNCTION("INDIRECT(""'收支紀錄'!H""&amp;TO_TEXT(ROW()-$C$72))"),"稅金保險")</f>
        <v>稅金保險</v>
      </c>
      <c r="I929" s="61" t="str">
        <f>IFERROR(__xludf.DUMMYFUNCTION("INDIRECT(""'收支紀錄'!I""&amp;TO_TEXT(ROW()-$C$72))"),"")</f>
        <v/>
      </c>
      <c r="J929" s="61" t="str">
        <f>IFERROR(__xludf.DUMMYFUNCTION("INDIRECT(""'收支紀錄'!J""&amp;TO_TEXT(ROW()-$C$72))"),"")</f>
        <v/>
      </c>
      <c r="K929" s="61" t="str">
        <f>IFERROR(__xludf.DUMMYFUNCTION("INDIRECT(""'收支紀錄'!K""&amp;TO_TEXT(ROW()-$C$72))"),"")</f>
        <v/>
      </c>
      <c r="L929" s="61" t="str">
        <f>IFERROR(__xludf.DUMMYFUNCTION("INDIRECT(""'收支紀錄'!L""&amp;TO_TEXT(ROW()-$C$72))"),"")</f>
        <v/>
      </c>
      <c r="M929" s="61" t="str">
        <f>IFERROR(__xludf.DUMMYFUNCTION("INDIRECT(""'收支紀錄'!M""&amp;TO_TEXT(ROW()-$C$72))"),"")</f>
        <v/>
      </c>
      <c r="N929" s="61" t="str">
        <f>IFERROR(__xludf.DUMMYFUNCTION("INDIRECT(""'收支紀錄'!N""&amp;TO_TEXT(ROW()-$C$72))"),"勞健保")</f>
        <v>勞健保</v>
      </c>
      <c r="O929" s="61" t="str">
        <f>IFERROR(__xludf.DUMMYFUNCTION("INDIRECT(""'收支紀錄'!O""&amp;TO_TEXT(ROW()-$C$72))"),"")</f>
        <v/>
      </c>
      <c r="P929" s="61" t="str">
        <f>IFERROR(__xludf.DUMMYFUNCTION("INDIRECT(""'收支紀錄'!P""&amp;TO_TEXT(ROW()-$C$72))"),"")</f>
        <v/>
      </c>
      <c r="Q929" s="61" t="str">
        <f>IFERROR(__xludf.DUMMYFUNCTION("INDIRECT(""'收支紀錄'!Q""&amp;TO_TEXT(ROW()-$C$72))"),"")</f>
        <v/>
      </c>
      <c r="R929" s="61" t="str">
        <f>IFERROR(__xludf.DUMMYFUNCTION("INDIRECT(""'收支紀錄'!R""&amp;TO_TEXT(ROW()-$C$72))"),"")</f>
        <v/>
      </c>
      <c r="S929" s="61" t="str">
        <f>IFERROR(__xludf.DUMMYFUNCTION("INDIRECT(""'收支紀錄'!S""&amp;TO_TEXT(ROW()-$C$72))"),"")</f>
        <v/>
      </c>
      <c r="T929" s="61" t="str">
        <f>IFERROR(__xludf.DUMMYFUNCTION("INDIRECT(""'收支紀錄'!T""&amp;TO_TEXT(ROW()-$C$72))"),"")</f>
        <v/>
      </c>
      <c r="U929" s="62" t="str">
        <f>IFERROR(__xludf.DUMMYFUNCTION("IF(T929=""是"",TEXTJOIN("""", TRUE, ""$"", TO_TEXT(C929), S929),"""")"),"")</f>
        <v/>
      </c>
    </row>
    <row r="930">
      <c r="A930" s="58">
        <f>IFERROR(__xludf.DUMMYFUNCTION("INDIRECT(""'收支紀錄'!A""&amp;TO_TEXT(ROW()-$C$72))"),45817.8846102199)</f>
        <v>45817.88461</v>
      </c>
      <c r="B930" s="59">
        <f>IFERROR(__xludf.DUMMYFUNCTION("IF(ISBLANK(D930), """", IF(ISDATE(D930), D930, IF(D930=""今天"", A930, IF(D930=""昨天 (-1 day)"", A930-1, IF(D930=""前天 (-2 days)"", A930-2, IF(D930=""明天 (+1 day)"", A930+1, DATE(LEFT(D930,4), MID(D930,5,2), RIGHT(D930,2))))))))"),45813.0)</f>
        <v>45813</v>
      </c>
      <c r="C930" s="60">
        <f>IFERROR(__xludf.DUMMYFUNCTION("INDIRECT(""'收支紀錄'!C""&amp;TO_TEXT(ROW()-$C$72))"),537.0)</f>
        <v>537</v>
      </c>
      <c r="D930" s="63">
        <f>IFERROR(__xludf.DUMMYFUNCTION("INDIRECT(""'收支紀錄'!D""&amp;TO_TEXT(ROW()-$C$72))"),2.0250605E7)</f>
        <v>20250605</v>
      </c>
      <c r="E930" s="61" t="str">
        <f>IFERROR(__xludf.DUMMYFUNCTION("INDIRECT(""'收支紀錄'!E""&amp;TO_TEXT(ROW()-$C$72))"),"")</f>
        <v/>
      </c>
      <c r="F930" s="61" t="str">
        <f>IFERROR(__xludf.DUMMYFUNCTION("INDIRECT(""'收支紀錄'!F""&amp;TO_TEXT(ROW()-$C$72))"),"")</f>
        <v/>
      </c>
      <c r="G930" s="61" t="str">
        <f>IFERROR(__xludf.DUMMYFUNCTION("INDIRECT(""'收支紀錄'!G""&amp;TO_TEXT(ROW()-$C$72))"),"")</f>
        <v/>
      </c>
      <c r="H930" s="61" t="str">
        <f>IFERROR(__xludf.DUMMYFUNCTION("INDIRECT(""'收支紀錄'!H""&amp;TO_TEXT(ROW()-$C$72))"),"休閒娛樂")</f>
        <v>休閒娛樂</v>
      </c>
      <c r="I930" s="61" t="str">
        <f>IFERROR(__xludf.DUMMYFUNCTION("INDIRECT(""'收支紀錄'!I""&amp;TO_TEXT(ROW()-$C$72))"),"")</f>
        <v/>
      </c>
      <c r="J930" s="61" t="str">
        <f>IFERROR(__xludf.DUMMYFUNCTION("INDIRECT(""'收支紀錄'!J""&amp;TO_TEXT(ROW()-$C$72))"),"")</f>
        <v/>
      </c>
      <c r="K930" s="61" t="str">
        <f>IFERROR(__xludf.DUMMYFUNCTION("INDIRECT(""'收支紀錄'!K""&amp;TO_TEXT(ROW()-$C$72))"),"")</f>
        <v/>
      </c>
      <c r="L930" s="61" t="str">
        <f>IFERROR(__xludf.DUMMYFUNCTION("INDIRECT(""'收支紀錄'!L""&amp;TO_TEXT(ROW()-$C$72))"),"")</f>
        <v/>
      </c>
      <c r="M930" s="61" t="str">
        <f>IFERROR(__xludf.DUMMYFUNCTION("INDIRECT(""'收支紀錄'!M""&amp;TO_TEXT(ROW()-$C$72))"),"公司福利金")</f>
        <v>公司福利金</v>
      </c>
      <c r="N930" s="61" t="str">
        <f>IFERROR(__xludf.DUMMYFUNCTION("INDIRECT(""'收支紀錄'!N""&amp;TO_TEXT(ROW()-$C$72))"),"")</f>
        <v/>
      </c>
      <c r="O930" s="61" t="str">
        <f>IFERROR(__xludf.DUMMYFUNCTION("INDIRECT(""'收支紀錄'!O""&amp;TO_TEXT(ROW()-$C$72))"),"")</f>
        <v/>
      </c>
      <c r="P930" s="61" t="str">
        <f>IFERROR(__xludf.DUMMYFUNCTION("INDIRECT(""'收支紀錄'!P""&amp;TO_TEXT(ROW()-$C$72))"),"")</f>
        <v/>
      </c>
      <c r="Q930" s="61" t="str">
        <f>IFERROR(__xludf.DUMMYFUNCTION("INDIRECT(""'收支紀錄'!Q""&amp;TO_TEXT(ROW()-$C$72))"),"")</f>
        <v/>
      </c>
      <c r="R930" s="61" t="str">
        <f>IFERROR(__xludf.DUMMYFUNCTION("INDIRECT(""'收支紀錄'!R""&amp;TO_TEXT(ROW()-$C$72))"),"")</f>
        <v/>
      </c>
      <c r="S930" s="61" t="str">
        <f>IFERROR(__xludf.DUMMYFUNCTION("INDIRECT(""'收支紀錄'!S""&amp;TO_TEXT(ROW()-$C$72))"),"")</f>
        <v/>
      </c>
      <c r="T930" s="61" t="str">
        <f>IFERROR(__xludf.DUMMYFUNCTION("INDIRECT(""'收支紀錄'!T""&amp;TO_TEXT(ROW()-$C$72))"),"")</f>
        <v/>
      </c>
      <c r="U930" s="62" t="str">
        <f>IFERROR(__xludf.DUMMYFUNCTION("IF(T930=""是"",TEXTJOIN("""", TRUE, ""$"", TO_TEXT(C930), S930),"""")"),"")</f>
        <v/>
      </c>
    </row>
    <row r="931">
      <c r="A931" s="58">
        <f>IFERROR(__xludf.DUMMYFUNCTION("INDIRECT(""'收支紀錄'!A""&amp;TO_TEXT(ROW()-$C$72))"),45817.884868506946)</f>
        <v>45817.88487</v>
      </c>
      <c r="B931" s="59">
        <f>IFERROR(__xludf.DUMMYFUNCTION("IF(ISBLANK(D931), """", IF(ISDATE(D931), D931, IF(D931=""今天"", A931, IF(D931=""昨天 (-1 day)"", A931-1, IF(D931=""前天 (-2 days)"", A931-2, IF(D931=""明天 (+1 day)"", A931+1, DATE(LEFT(D931,4), MID(D931,5,2), RIGHT(D931,2))))))))"),45813.0)</f>
        <v>45813</v>
      </c>
      <c r="C931" s="60">
        <f>IFERROR(__xludf.DUMMYFUNCTION("INDIRECT(""'收支紀錄'!C""&amp;TO_TEXT(ROW()-$C$72))"),3860.0)</f>
        <v>3860</v>
      </c>
      <c r="D931" s="63">
        <f>IFERROR(__xludf.DUMMYFUNCTION("INDIRECT(""'收支紀錄'!D""&amp;TO_TEXT(ROW()-$C$72))"),2.0250605E7)</f>
        <v>20250605</v>
      </c>
      <c r="E931" s="61" t="str">
        <f>IFERROR(__xludf.DUMMYFUNCTION("INDIRECT(""'收支紀錄'!E""&amp;TO_TEXT(ROW()-$C$72))"),"")</f>
        <v/>
      </c>
      <c r="F931" s="61" t="str">
        <f>IFERROR(__xludf.DUMMYFUNCTION("INDIRECT(""'收支紀錄'!F""&amp;TO_TEXT(ROW()-$C$72))"),"")</f>
        <v/>
      </c>
      <c r="G931" s="61" t="str">
        <f>IFERROR(__xludf.DUMMYFUNCTION("INDIRECT(""'收支紀錄'!G""&amp;TO_TEXT(ROW()-$C$72))"),"")</f>
        <v/>
      </c>
      <c r="H931" s="61" t="str">
        <f>IFERROR(__xludf.DUMMYFUNCTION("INDIRECT(""'收支紀錄'!H""&amp;TO_TEXT(ROW()-$C$72))"),"稅金保險")</f>
        <v>稅金保險</v>
      </c>
      <c r="I931" s="61" t="str">
        <f>IFERROR(__xludf.DUMMYFUNCTION("INDIRECT(""'收支紀錄'!I""&amp;TO_TEXT(ROW()-$C$72))"),"")</f>
        <v/>
      </c>
      <c r="J931" s="61" t="str">
        <f>IFERROR(__xludf.DUMMYFUNCTION("INDIRECT(""'收支紀錄'!J""&amp;TO_TEXT(ROW()-$C$72))"),"")</f>
        <v/>
      </c>
      <c r="K931" s="61" t="str">
        <f>IFERROR(__xludf.DUMMYFUNCTION("INDIRECT(""'收支紀錄'!K""&amp;TO_TEXT(ROW()-$C$72))"),"")</f>
        <v/>
      </c>
      <c r="L931" s="61" t="str">
        <f>IFERROR(__xludf.DUMMYFUNCTION("INDIRECT(""'收支紀錄'!L""&amp;TO_TEXT(ROW()-$C$72))"),"")</f>
        <v/>
      </c>
      <c r="M931" s="61" t="str">
        <f>IFERROR(__xludf.DUMMYFUNCTION("INDIRECT(""'收支紀錄'!M""&amp;TO_TEXT(ROW()-$C$72))"),"")</f>
        <v/>
      </c>
      <c r="N931" s="61" t="str">
        <f>IFERROR(__xludf.DUMMYFUNCTION("INDIRECT(""'收支紀錄'!N""&amp;TO_TEXT(ROW()-$C$72))"),"稅金")</f>
        <v>稅金</v>
      </c>
      <c r="O931" s="61" t="str">
        <f>IFERROR(__xludf.DUMMYFUNCTION("INDIRECT(""'收支紀錄'!O""&amp;TO_TEXT(ROW()-$C$72))"),"")</f>
        <v/>
      </c>
      <c r="P931" s="61" t="str">
        <f>IFERROR(__xludf.DUMMYFUNCTION("INDIRECT(""'收支紀錄'!P""&amp;TO_TEXT(ROW()-$C$72))"),"")</f>
        <v/>
      </c>
      <c r="Q931" s="61" t="str">
        <f>IFERROR(__xludf.DUMMYFUNCTION("INDIRECT(""'收支紀錄'!Q""&amp;TO_TEXT(ROW()-$C$72))"),"")</f>
        <v/>
      </c>
      <c r="R931" s="61" t="str">
        <f>IFERROR(__xludf.DUMMYFUNCTION("INDIRECT(""'收支紀錄'!R""&amp;TO_TEXT(ROW()-$C$72))"),"")</f>
        <v/>
      </c>
      <c r="S931" s="61" t="str">
        <f>IFERROR(__xludf.DUMMYFUNCTION("INDIRECT(""'收支紀錄'!S""&amp;TO_TEXT(ROW()-$C$72))"),"")</f>
        <v/>
      </c>
      <c r="T931" s="61" t="str">
        <f>IFERROR(__xludf.DUMMYFUNCTION("INDIRECT(""'收支紀錄'!T""&amp;TO_TEXT(ROW()-$C$72))"),"")</f>
        <v/>
      </c>
      <c r="U931" s="62" t="str">
        <f>IFERROR(__xludf.DUMMYFUNCTION("IF(T931=""是"",TEXTJOIN("""", TRUE, ""$"", TO_TEXT(C931), S931),"""")"),"")</f>
        <v/>
      </c>
    </row>
    <row r="932">
      <c r="A932" s="58">
        <f>IFERROR(__xludf.DUMMYFUNCTION("INDIRECT(""'收支紀錄'!A""&amp;TO_TEXT(ROW()-$C$72))"),45817.88556663194)</f>
        <v>45817.88557</v>
      </c>
      <c r="B932" s="59">
        <f>IFERROR(__xludf.DUMMYFUNCTION("IF(ISBLANK(D932), """", IF(ISDATE(D932), D932, IF(D932=""今天"", A932, IF(D932=""昨天 (-1 day)"", A932-1, IF(D932=""前天 (-2 days)"", A932-2, IF(D932=""明天 (+1 day)"", A932+1, DATE(LEFT(D932,4), MID(D932,5,2), RIGHT(D932,2))))))))"),45807.0)</f>
        <v>45807</v>
      </c>
      <c r="C932" s="60">
        <f>IFERROR(__xludf.DUMMYFUNCTION("INDIRECT(""'收支紀錄'!C""&amp;TO_TEXT(ROW()-$C$72))"),99.0)</f>
        <v>99</v>
      </c>
      <c r="D932" s="63">
        <f>IFERROR(__xludf.DUMMYFUNCTION("INDIRECT(""'收支紀錄'!D""&amp;TO_TEXT(ROW()-$C$72))"),2.025053E7)</f>
        <v>20250530</v>
      </c>
      <c r="E932" s="61" t="str">
        <f>IFERROR(__xludf.DUMMYFUNCTION("INDIRECT(""'收支紀錄'!E""&amp;TO_TEXT(ROW()-$C$72))"),"")</f>
        <v/>
      </c>
      <c r="F932" s="61" t="str">
        <f>IFERROR(__xludf.DUMMYFUNCTION("INDIRECT(""'收支紀錄'!F""&amp;TO_TEXT(ROW()-$C$72))"),"")</f>
        <v/>
      </c>
      <c r="G932" s="61" t="str">
        <f>IFERROR(__xludf.DUMMYFUNCTION("INDIRECT(""'收支紀錄'!G""&amp;TO_TEXT(ROW()-$C$72))"),"")</f>
        <v/>
      </c>
      <c r="H932" s="61" t="str">
        <f>IFERROR(__xludf.DUMMYFUNCTION("INDIRECT(""'收支紀錄'!H""&amp;TO_TEXT(ROW()-$C$72))"),"行車交通")</f>
        <v>行車交通</v>
      </c>
      <c r="I932" s="61" t="str">
        <f>IFERROR(__xludf.DUMMYFUNCTION("INDIRECT(""'收支紀錄'!I""&amp;TO_TEXT(ROW()-$C$72))"),"")</f>
        <v/>
      </c>
      <c r="J932" s="61" t="str">
        <f>IFERROR(__xludf.DUMMYFUNCTION("INDIRECT(""'收支紀錄'!J""&amp;TO_TEXT(ROW()-$C$72))"),"")</f>
        <v/>
      </c>
      <c r="K932" s="61" t="str">
        <f>IFERROR(__xludf.DUMMYFUNCTION("INDIRECT(""'收支紀錄'!K""&amp;TO_TEXT(ROW()-$C$72))"),"")</f>
        <v/>
      </c>
      <c r="L932" s="61" t="str">
        <f>IFERROR(__xludf.DUMMYFUNCTION("INDIRECT(""'收支紀錄'!L""&amp;TO_TEXT(ROW()-$C$72))"),"停車")</f>
        <v>停車</v>
      </c>
      <c r="M932" s="61" t="str">
        <f>IFERROR(__xludf.DUMMYFUNCTION("INDIRECT(""'收支紀錄'!M""&amp;TO_TEXT(ROW()-$C$72))"),"")</f>
        <v/>
      </c>
      <c r="N932" s="61" t="str">
        <f>IFERROR(__xludf.DUMMYFUNCTION("INDIRECT(""'收支紀錄'!N""&amp;TO_TEXT(ROW()-$C$72))"),"")</f>
        <v/>
      </c>
      <c r="O932" s="61" t="str">
        <f>IFERROR(__xludf.DUMMYFUNCTION("INDIRECT(""'收支紀錄'!O""&amp;TO_TEXT(ROW()-$C$72))"),"")</f>
        <v/>
      </c>
      <c r="P932" s="61" t="str">
        <f>IFERROR(__xludf.DUMMYFUNCTION("INDIRECT(""'收支紀錄'!P""&amp;TO_TEXT(ROW()-$C$72))"),"")</f>
        <v/>
      </c>
      <c r="Q932" s="61" t="str">
        <f>IFERROR(__xludf.DUMMYFUNCTION("INDIRECT(""'收支紀錄'!Q""&amp;TO_TEXT(ROW()-$C$72))"),"")</f>
        <v/>
      </c>
      <c r="R932" s="61" t="str">
        <f>IFERROR(__xludf.DUMMYFUNCTION("INDIRECT(""'收支紀錄'!R""&amp;TO_TEXT(ROW()-$C$72))"),"")</f>
        <v/>
      </c>
      <c r="S932" s="61" t="str">
        <f>IFERROR(__xludf.DUMMYFUNCTION("INDIRECT(""'收支紀錄'!S""&amp;TO_TEXT(ROW()-$C$72))"),"")</f>
        <v/>
      </c>
      <c r="T932" s="61" t="str">
        <f>IFERROR(__xludf.DUMMYFUNCTION("INDIRECT(""'收支紀錄'!T""&amp;TO_TEXT(ROW()-$C$72))"),"")</f>
        <v/>
      </c>
      <c r="U932" s="62" t="str">
        <f>IFERROR(__xludf.DUMMYFUNCTION("IF(T932=""是"",TEXTJOIN("""", TRUE, ""$"", TO_TEXT(C932), S932),"""")"),"")</f>
        <v/>
      </c>
    </row>
    <row r="933">
      <c r="A933" s="58">
        <f>IFERROR(__xludf.DUMMYFUNCTION("INDIRECT(""'收支紀錄'!A""&amp;TO_TEXT(ROW()-$C$72))"),45817.88660486111)</f>
        <v>45817.8866</v>
      </c>
      <c r="B933" s="59">
        <f>IFERROR(__xludf.DUMMYFUNCTION("IF(ISBLANK(D933), """", IF(ISDATE(D933), D933, IF(D933=""今天"", A933, IF(D933=""昨天 (-1 day)"", A933-1, IF(D933=""前天 (-2 days)"", A933-2, IF(D933=""明天 (+1 day)"", A933+1, DATE(LEFT(D933,4), MID(D933,5,2), RIGHT(D933,2))))))))"),45797.0)</f>
        <v>45797</v>
      </c>
      <c r="C933" s="60">
        <f>IFERROR(__xludf.DUMMYFUNCTION("INDIRECT(""'收支紀錄'!C""&amp;TO_TEXT(ROW()-$C$72))"),585.0)</f>
        <v>585</v>
      </c>
      <c r="D933" s="63">
        <f>IFERROR(__xludf.DUMMYFUNCTION("INDIRECT(""'收支紀錄'!D""&amp;TO_TEXT(ROW()-$C$72))"),2.025052E7)</f>
        <v>20250520</v>
      </c>
      <c r="E933" s="61" t="str">
        <f>IFERROR(__xludf.DUMMYFUNCTION("INDIRECT(""'收支紀錄'!E""&amp;TO_TEXT(ROW()-$C$72))"),"")</f>
        <v/>
      </c>
      <c r="F933" s="61" t="str">
        <f>IFERROR(__xludf.DUMMYFUNCTION("INDIRECT(""'收支紀錄'!F""&amp;TO_TEXT(ROW()-$C$72))"),"")</f>
        <v/>
      </c>
      <c r="G933" s="61" t="str">
        <f>IFERROR(__xludf.DUMMYFUNCTION("INDIRECT(""'收支紀錄'!G""&amp;TO_TEXT(ROW()-$C$72))"),"")</f>
        <v/>
      </c>
      <c r="H933" s="61" t="str">
        <f>IFERROR(__xludf.DUMMYFUNCTION("INDIRECT(""'收支紀錄'!H""&amp;TO_TEXT(ROW()-$C$72))"),"房屋支出")</f>
        <v>房屋支出</v>
      </c>
      <c r="I933" s="61" t="str">
        <f>IFERROR(__xludf.DUMMYFUNCTION("INDIRECT(""'收支紀錄'!I""&amp;TO_TEXT(ROW()-$C$72))"),"")</f>
        <v/>
      </c>
      <c r="J933" s="61" t="str">
        <f>IFERROR(__xludf.DUMMYFUNCTION("INDIRECT(""'收支紀錄'!J""&amp;TO_TEXT(ROW()-$C$72))"),"")</f>
        <v/>
      </c>
      <c r="K933" s="61" t="str">
        <f>IFERROR(__xludf.DUMMYFUNCTION("INDIRECT(""'收支紀錄'!K""&amp;TO_TEXT(ROW()-$C$72))"),"瓦斯費")</f>
        <v>瓦斯費</v>
      </c>
      <c r="L933" s="61" t="str">
        <f>IFERROR(__xludf.DUMMYFUNCTION("INDIRECT(""'收支紀錄'!L""&amp;TO_TEXT(ROW()-$C$72))"),"")</f>
        <v/>
      </c>
      <c r="M933" s="61" t="str">
        <f>IFERROR(__xludf.DUMMYFUNCTION("INDIRECT(""'收支紀錄'!M""&amp;TO_TEXT(ROW()-$C$72))"),"")</f>
        <v/>
      </c>
      <c r="N933" s="61" t="str">
        <f>IFERROR(__xludf.DUMMYFUNCTION("INDIRECT(""'收支紀錄'!N""&amp;TO_TEXT(ROW()-$C$72))"),"")</f>
        <v/>
      </c>
      <c r="O933" s="61" t="str">
        <f>IFERROR(__xludf.DUMMYFUNCTION("INDIRECT(""'收支紀錄'!O""&amp;TO_TEXT(ROW()-$C$72))"),"")</f>
        <v/>
      </c>
      <c r="P933" s="61" t="str">
        <f>IFERROR(__xludf.DUMMYFUNCTION("INDIRECT(""'收支紀錄'!P""&amp;TO_TEXT(ROW()-$C$72))"),"")</f>
        <v/>
      </c>
      <c r="Q933" s="61" t="str">
        <f>IFERROR(__xludf.DUMMYFUNCTION("INDIRECT(""'收支紀錄'!Q""&amp;TO_TEXT(ROW()-$C$72))"),"")</f>
        <v/>
      </c>
      <c r="R933" s="61" t="str">
        <f>IFERROR(__xludf.DUMMYFUNCTION("INDIRECT(""'收支紀錄'!R""&amp;TO_TEXT(ROW()-$C$72))"),"")</f>
        <v/>
      </c>
      <c r="S933" s="61" t="str">
        <f>IFERROR(__xludf.DUMMYFUNCTION("INDIRECT(""'收支紀錄'!S""&amp;TO_TEXT(ROW()-$C$72))"),"")</f>
        <v/>
      </c>
      <c r="T933" s="61" t="str">
        <f>IFERROR(__xludf.DUMMYFUNCTION("INDIRECT(""'收支紀錄'!T""&amp;TO_TEXT(ROW()-$C$72))"),"")</f>
        <v/>
      </c>
      <c r="U933" s="62" t="str">
        <f>IFERROR(__xludf.DUMMYFUNCTION("IF(T933=""是"",TEXTJOIN("""", TRUE, ""$"", TO_TEXT(C933), S933),"""")"),"")</f>
        <v/>
      </c>
    </row>
    <row r="934">
      <c r="A934" s="58">
        <f>IFERROR(__xludf.DUMMYFUNCTION("INDIRECT(""'收支紀錄'!A""&amp;TO_TEXT(ROW()-$C$72))"),45817.886927997686)</f>
        <v>45817.88693</v>
      </c>
      <c r="B934" s="59">
        <f>IFERROR(__xludf.DUMMYFUNCTION("IF(ISBLANK(D934), """", IF(ISDATE(D934), D934, IF(D934=""今天"", A934, IF(D934=""昨天 (-1 day)"", A934-1, IF(D934=""前天 (-2 days)"", A934-2, IF(D934=""明天 (+1 day)"", A934+1, DATE(LEFT(D934,4), MID(D934,5,2), RIGHT(D934,2))))))))"),45790.0)</f>
        <v>45790</v>
      </c>
      <c r="C934" s="60">
        <f>IFERROR(__xludf.DUMMYFUNCTION("INDIRECT(""'收支紀錄'!C""&amp;TO_TEXT(ROW()-$C$72))"),220.0)</f>
        <v>220</v>
      </c>
      <c r="D934" s="63">
        <f>IFERROR(__xludf.DUMMYFUNCTION("INDIRECT(""'收支紀錄'!D""&amp;TO_TEXT(ROW()-$C$72))"),2.0250513E7)</f>
        <v>20250513</v>
      </c>
      <c r="E934" s="61" t="str">
        <f>IFERROR(__xludf.DUMMYFUNCTION("INDIRECT(""'收支紀錄'!E""&amp;TO_TEXT(ROW()-$C$72))"),"")</f>
        <v/>
      </c>
      <c r="F934" s="61" t="str">
        <f>IFERROR(__xludf.DUMMYFUNCTION("INDIRECT(""'收支紀錄'!F""&amp;TO_TEXT(ROW()-$C$72))"),"")</f>
        <v/>
      </c>
      <c r="G934" s="61" t="str">
        <f>IFERROR(__xludf.DUMMYFUNCTION("INDIRECT(""'收支紀錄'!G""&amp;TO_TEXT(ROW()-$C$72))"),"")</f>
        <v/>
      </c>
      <c r="H934" s="61" t="str">
        <f>IFERROR(__xludf.DUMMYFUNCTION("INDIRECT(""'收支紀錄'!H""&amp;TO_TEXT(ROW()-$C$72))"),"房屋支出")</f>
        <v>房屋支出</v>
      </c>
      <c r="I934" s="61" t="str">
        <f>IFERROR(__xludf.DUMMYFUNCTION("INDIRECT(""'收支紀錄'!I""&amp;TO_TEXT(ROW()-$C$72))"),"")</f>
        <v/>
      </c>
      <c r="J934" s="61" t="str">
        <f>IFERROR(__xludf.DUMMYFUNCTION("INDIRECT(""'收支紀錄'!J""&amp;TO_TEXT(ROW()-$C$72))"),"")</f>
        <v/>
      </c>
      <c r="K934" s="61" t="str">
        <f>IFERROR(__xludf.DUMMYFUNCTION("INDIRECT(""'收支紀錄'!K""&amp;TO_TEXT(ROW()-$C$72))"),"水費")</f>
        <v>水費</v>
      </c>
      <c r="L934" s="61" t="str">
        <f>IFERROR(__xludf.DUMMYFUNCTION("INDIRECT(""'收支紀錄'!L""&amp;TO_TEXT(ROW()-$C$72))"),"")</f>
        <v/>
      </c>
      <c r="M934" s="61" t="str">
        <f>IFERROR(__xludf.DUMMYFUNCTION("INDIRECT(""'收支紀錄'!M""&amp;TO_TEXT(ROW()-$C$72))"),"")</f>
        <v/>
      </c>
      <c r="N934" s="61" t="str">
        <f>IFERROR(__xludf.DUMMYFUNCTION("INDIRECT(""'收支紀錄'!N""&amp;TO_TEXT(ROW()-$C$72))"),"")</f>
        <v/>
      </c>
      <c r="O934" s="61" t="str">
        <f>IFERROR(__xludf.DUMMYFUNCTION("INDIRECT(""'收支紀錄'!O""&amp;TO_TEXT(ROW()-$C$72))"),"")</f>
        <v/>
      </c>
      <c r="P934" s="61" t="str">
        <f>IFERROR(__xludf.DUMMYFUNCTION("INDIRECT(""'收支紀錄'!P""&amp;TO_TEXT(ROW()-$C$72))"),"")</f>
        <v/>
      </c>
      <c r="Q934" s="61" t="str">
        <f>IFERROR(__xludf.DUMMYFUNCTION("INDIRECT(""'收支紀錄'!Q""&amp;TO_TEXT(ROW()-$C$72))"),"")</f>
        <v/>
      </c>
      <c r="R934" s="61" t="str">
        <f>IFERROR(__xludf.DUMMYFUNCTION("INDIRECT(""'收支紀錄'!R""&amp;TO_TEXT(ROW()-$C$72))"),"")</f>
        <v/>
      </c>
      <c r="S934" s="61" t="str">
        <f>IFERROR(__xludf.DUMMYFUNCTION("INDIRECT(""'收支紀錄'!S""&amp;TO_TEXT(ROW()-$C$72))"),"")</f>
        <v/>
      </c>
      <c r="T934" s="61" t="str">
        <f>IFERROR(__xludf.DUMMYFUNCTION("INDIRECT(""'收支紀錄'!T""&amp;TO_TEXT(ROW()-$C$72))"),"")</f>
        <v/>
      </c>
      <c r="U934" s="62" t="str">
        <f>IFERROR(__xludf.DUMMYFUNCTION("IF(T934=""是"",TEXTJOIN("""", TRUE, ""$"", TO_TEXT(C934), S934),"""")"),"")</f>
        <v/>
      </c>
    </row>
    <row r="935">
      <c r="A935" s="58">
        <f>IFERROR(__xludf.DUMMYFUNCTION("INDIRECT(""'收支紀錄'!A""&amp;TO_TEXT(ROW()-$C$72))"),45817.887606828706)</f>
        <v>45817.88761</v>
      </c>
      <c r="B935" s="59">
        <f>IFERROR(__xludf.DUMMYFUNCTION("IF(ISBLANK(D935), """", IF(ISDATE(D935), D935, IF(D935=""今天"", A935, IF(D935=""昨天 (-1 day)"", A935-1, IF(D935=""前天 (-2 days)"", A935-2, IF(D935=""明天 (+1 day)"", A935+1, DATE(LEFT(D935,4), MID(D935,5,2), RIGHT(D935,2))))))))"),45805.0)</f>
        <v>45805</v>
      </c>
      <c r="C935" s="60">
        <f>IFERROR(__xludf.DUMMYFUNCTION("INDIRECT(""'收支紀錄'!C""&amp;TO_TEXT(ROW()-$C$72))"),788.0)</f>
        <v>788</v>
      </c>
      <c r="D935" s="63">
        <f>IFERROR(__xludf.DUMMYFUNCTION("INDIRECT(""'收支紀錄'!D""&amp;TO_TEXT(ROW()-$C$72))"),2.0250528E7)</f>
        <v>20250528</v>
      </c>
      <c r="E935" s="61" t="str">
        <f>IFERROR(__xludf.DUMMYFUNCTION("INDIRECT(""'收支紀錄'!E""&amp;TO_TEXT(ROW()-$C$72))"),"")</f>
        <v/>
      </c>
      <c r="F935" s="61" t="str">
        <f>IFERROR(__xludf.DUMMYFUNCTION("INDIRECT(""'收支紀錄'!F""&amp;TO_TEXT(ROW()-$C$72))"),"")</f>
        <v/>
      </c>
      <c r="G935" s="61" t="str">
        <f>IFERROR(__xludf.DUMMYFUNCTION("INDIRECT(""'收支紀錄'!G""&amp;TO_TEXT(ROW()-$C$72))"),"")</f>
        <v/>
      </c>
      <c r="H935" s="61" t="str">
        <f>IFERROR(__xludf.DUMMYFUNCTION("INDIRECT(""'收支紀錄'!H""&amp;TO_TEXT(ROW()-$C$72))"),"日常生活")</f>
        <v>日常生活</v>
      </c>
      <c r="I935" s="61" t="str">
        <f>IFERROR(__xludf.DUMMYFUNCTION("INDIRECT(""'收支紀錄'!I""&amp;TO_TEXT(ROW()-$C$72))"),"")</f>
        <v/>
      </c>
      <c r="J935" s="61" t="str">
        <f>IFERROR(__xludf.DUMMYFUNCTION("INDIRECT(""'收支紀錄'!J""&amp;TO_TEXT(ROW()-$C$72))"),"電話費")</f>
        <v>電話費</v>
      </c>
      <c r="K935" s="61" t="str">
        <f>IFERROR(__xludf.DUMMYFUNCTION("INDIRECT(""'收支紀錄'!K""&amp;TO_TEXT(ROW()-$C$72))"),"")</f>
        <v/>
      </c>
      <c r="L935" s="61" t="str">
        <f>IFERROR(__xludf.DUMMYFUNCTION("INDIRECT(""'收支紀錄'!L""&amp;TO_TEXT(ROW()-$C$72))"),"")</f>
        <v/>
      </c>
      <c r="M935" s="61" t="str">
        <f>IFERROR(__xludf.DUMMYFUNCTION("INDIRECT(""'收支紀錄'!M""&amp;TO_TEXT(ROW()-$C$72))"),"")</f>
        <v/>
      </c>
      <c r="N935" s="61" t="str">
        <f>IFERROR(__xludf.DUMMYFUNCTION("INDIRECT(""'收支紀錄'!N""&amp;TO_TEXT(ROW()-$C$72))"),"")</f>
        <v/>
      </c>
      <c r="O935" s="61" t="str">
        <f>IFERROR(__xludf.DUMMYFUNCTION("INDIRECT(""'收支紀錄'!O""&amp;TO_TEXT(ROW()-$C$72))"),"")</f>
        <v/>
      </c>
      <c r="P935" s="61" t="str">
        <f>IFERROR(__xludf.DUMMYFUNCTION("INDIRECT(""'收支紀錄'!P""&amp;TO_TEXT(ROW()-$C$72))"),"")</f>
        <v/>
      </c>
      <c r="Q935" s="61" t="str">
        <f>IFERROR(__xludf.DUMMYFUNCTION("INDIRECT(""'收支紀錄'!Q""&amp;TO_TEXT(ROW()-$C$72))"),"")</f>
        <v/>
      </c>
      <c r="R935" s="61" t="str">
        <f>IFERROR(__xludf.DUMMYFUNCTION("INDIRECT(""'收支紀錄'!R""&amp;TO_TEXT(ROW()-$C$72))"),"")</f>
        <v/>
      </c>
      <c r="S935" s="61" t="str">
        <f>IFERROR(__xludf.DUMMYFUNCTION("INDIRECT(""'收支紀錄'!S""&amp;TO_TEXT(ROW()-$C$72))"),"")</f>
        <v/>
      </c>
      <c r="T935" s="61" t="str">
        <f>IFERROR(__xludf.DUMMYFUNCTION("INDIRECT(""'收支紀錄'!T""&amp;TO_TEXT(ROW()-$C$72))"),"")</f>
        <v/>
      </c>
      <c r="U935" s="62" t="str">
        <f>IFERROR(__xludf.DUMMYFUNCTION("IF(T935=""是"",TEXTJOIN("""", TRUE, ""$"", TO_TEXT(C935), S935),"""")"),"")</f>
        <v/>
      </c>
    </row>
    <row r="936">
      <c r="A936" s="58">
        <f>IFERROR(__xludf.DUMMYFUNCTION("INDIRECT(""'收支紀錄'!A""&amp;TO_TEXT(ROW()-$C$72))"),45817.88978533565)</f>
        <v>45817.88979</v>
      </c>
      <c r="B936" s="59">
        <f>IFERROR(__xludf.DUMMYFUNCTION("IF(ISBLANK(D936), """", IF(ISDATE(D936), D936, IF(D936=""今天"", A936, IF(D936=""昨天 (-1 day)"", A936-1, IF(D936=""前天 (-2 days)"", A936-2, IF(D936=""明天 (+1 day)"", A936+1, DATE(LEFT(D936,4), MID(D936,5,2), RIGHT(D936,2))))))))"),45796.0)</f>
        <v>45796</v>
      </c>
      <c r="C936" s="60">
        <f>IFERROR(__xludf.DUMMYFUNCTION("INDIRECT(""'收支紀錄'!C""&amp;TO_TEXT(ROW()-$C$72))"),282.0)</f>
        <v>282</v>
      </c>
      <c r="D936" s="63">
        <f>IFERROR(__xludf.DUMMYFUNCTION("INDIRECT(""'收支紀錄'!D""&amp;TO_TEXT(ROW()-$C$72))"),2.0250519E7)</f>
        <v>20250519</v>
      </c>
      <c r="E936" s="61" t="str">
        <f>IFERROR(__xludf.DUMMYFUNCTION("INDIRECT(""'收支紀錄'!E""&amp;TO_TEXT(ROW()-$C$72))"),"其他業外")</f>
        <v>其他業外</v>
      </c>
      <c r="F936" s="61" t="str">
        <f>IFERROR(__xludf.DUMMYFUNCTION("INDIRECT(""'收支紀錄'!F""&amp;TO_TEXT(ROW()-$C$72))"),"")</f>
        <v/>
      </c>
      <c r="G936" s="61" t="str">
        <f>IFERROR(__xludf.DUMMYFUNCTION("INDIRECT(""'收支紀錄'!G""&amp;TO_TEXT(ROW()-$C$72))"),"股票配息")</f>
        <v>股票配息</v>
      </c>
      <c r="H936" s="61" t="str">
        <f>IFERROR(__xludf.DUMMYFUNCTION("INDIRECT(""'收支紀錄'!H""&amp;TO_TEXT(ROW()-$C$72))"),"")</f>
        <v/>
      </c>
      <c r="I936" s="61" t="str">
        <f>IFERROR(__xludf.DUMMYFUNCTION("INDIRECT(""'收支紀錄'!I""&amp;TO_TEXT(ROW()-$C$72))"),"")</f>
        <v/>
      </c>
      <c r="J936" s="61" t="str">
        <f>IFERROR(__xludf.DUMMYFUNCTION("INDIRECT(""'收支紀錄'!J""&amp;TO_TEXT(ROW()-$C$72))"),"")</f>
        <v/>
      </c>
      <c r="K936" s="61" t="str">
        <f>IFERROR(__xludf.DUMMYFUNCTION("INDIRECT(""'收支紀錄'!K""&amp;TO_TEXT(ROW()-$C$72))"),"")</f>
        <v/>
      </c>
      <c r="L936" s="61" t="str">
        <f>IFERROR(__xludf.DUMMYFUNCTION("INDIRECT(""'收支紀錄'!L""&amp;TO_TEXT(ROW()-$C$72))"),"")</f>
        <v/>
      </c>
      <c r="M936" s="61" t="str">
        <f>IFERROR(__xludf.DUMMYFUNCTION("INDIRECT(""'收支紀錄'!M""&amp;TO_TEXT(ROW()-$C$72))"),"")</f>
        <v/>
      </c>
      <c r="N936" s="61" t="str">
        <f>IFERROR(__xludf.DUMMYFUNCTION("INDIRECT(""'收支紀錄'!N""&amp;TO_TEXT(ROW()-$C$72))"),"")</f>
        <v/>
      </c>
      <c r="O936" s="61" t="str">
        <f>IFERROR(__xludf.DUMMYFUNCTION("INDIRECT(""'收支紀錄'!O""&amp;TO_TEXT(ROW()-$C$72))"),"")</f>
        <v/>
      </c>
      <c r="P936" s="61" t="str">
        <f>IFERROR(__xludf.DUMMYFUNCTION("INDIRECT(""'收支紀錄'!P""&amp;TO_TEXT(ROW()-$C$72))"),"")</f>
        <v/>
      </c>
      <c r="Q936" s="61" t="str">
        <f>IFERROR(__xludf.DUMMYFUNCTION("INDIRECT(""'收支紀錄'!Q""&amp;TO_TEXT(ROW()-$C$72))"),"")</f>
        <v/>
      </c>
      <c r="R936" s="61" t="str">
        <f>IFERROR(__xludf.DUMMYFUNCTION("INDIRECT(""'收支紀錄'!R""&amp;TO_TEXT(ROW()-$C$72))"),"")</f>
        <v/>
      </c>
      <c r="S936" s="61" t="str">
        <f>IFERROR(__xludf.DUMMYFUNCTION("INDIRECT(""'收支紀錄'!S""&amp;TO_TEXT(ROW()-$C$72))"),"台灣中小")</f>
        <v>台灣中小</v>
      </c>
      <c r="T936" s="61" t="str">
        <f>IFERROR(__xludf.DUMMYFUNCTION("INDIRECT(""'收支紀錄'!T""&amp;TO_TEXT(ROW()-$C$72))"),"是")</f>
        <v>是</v>
      </c>
      <c r="U936" s="62" t="str">
        <f>IFERROR(__xludf.DUMMYFUNCTION("IF(T936=""是"",TEXTJOIN("""", TRUE, ""$"", TO_TEXT(C936), S936),"""")"),"$282台灣中小")</f>
        <v>$282台灣中小</v>
      </c>
    </row>
    <row r="937">
      <c r="A937" s="58">
        <f>IFERROR(__xludf.DUMMYFUNCTION("INDIRECT(""'收支紀錄'!A""&amp;TO_TEXT(ROW()-$C$72))"),45817.89028972222)</f>
        <v>45817.89029</v>
      </c>
      <c r="B937" s="59">
        <f>IFERROR(__xludf.DUMMYFUNCTION("IF(ISBLANK(D937), """", IF(ISDATE(D937), D937, IF(D937=""今天"", A937, IF(D937=""昨天 (-1 day)"", A937-1, IF(D937=""前天 (-2 days)"", A937-2, IF(D937=""明天 (+1 day)"", A937+1, DATE(LEFT(D937,4), MID(D937,5,2), RIGHT(D937,2))))))))"),45792.0)</f>
        <v>45792</v>
      </c>
      <c r="C937" s="60">
        <f>IFERROR(__xludf.DUMMYFUNCTION("INDIRECT(""'收支紀錄'!C""&amp;TO_TEXT(ROW()-$C$72))"),2592.0)</f>
        <v>2592</v>
      </c>
      <c r="D937" s="63">
        <f>IFERROR(__xludf.DUMMYFUNCTION("INDIRECT(""'收支紀錄'!D""&amp;TO_TEXT(ROW()-$C$72))"),2.0250515E7)</f>
        <v>20250515</v>
      </c>
      <c r="E937" s="61" t="str">
        <f>IFERROR(__xludf.DUMMYFUNCTION("INDIRECT(""'收支紀錄'!E""&amp;TO_TEXT(ROW()-$C$72))"),"其他業外")</f>
        <v>其他業外</v>
      </c>
      <c r="F937" s="61" t="str">
        <f>IFERROR(__xludf.DUMMYFUNCTION("INDIRECT(""'收支紀錄'!F""&amp;TO_TEXT(ROW()-$C$72))"),"")</f>
        <v/>
      </c>
      <c r="G937" s="61" t="str">
        <f>IFERROR(__xludf.DUMMYFUNCTION("INDIRECT(""'收支紀錄'!G""&amp;TO_TEXT(ROW()-$C$72))"),"股票配息")</f>
        <v>股票配息</v>
      </c>
      <c r="H937" s="61" t="str">
        <f>IFERROR(__xludf.DUMMYFUNCTION("INDIRECT(""'收支紀錄'!H""&amp;TO_TEXT(ROW()-$C$72))"),"")</f>
        <v/>
      </c>
      <c r="I937" s="61" t="str">
        <f>IFERROR(__xludf.DUMMYFUNCTION("INDIRECT(""'收支紀錄'!I""&amp;TO_TEXT(ROW()-$C$72))"),"")</f>
        <v/>
      </c>
      <c r="J937" s="61" t="str">
        <f>IFERROR(__xludf.DUMMYFUNCTION("INDIRECT(""'收支紀錄'!J""&amp;TO_TEXT(ROW()-$C$72))"),"")</f>
        <v/>
      </c>
      <c r="K937" s="61" t="str">
        <f>IFERROR(__xludf.DUMMYFUNCTION("INDIRECT(""'收支紀錄'!K""&amp;TO_TEXT(ROW()-$C$72))"),"")</f>
        <v/>
      </c>
      <c r="L937" s="61" t="str">
        <f>IFERROR(__xludf.DUMMYFUNCTION("INDIRECT(""'收支紀錄'!L""&amp;TO_TEXT(ROW()-$C$72))"),"")</f>
        <v/>
      </c>
      <c r="M937" s="61" t="str">
        <f>IFERROR(__xludf.DUMMYFUNCTION("INDIRECT(""'收支紀錄'!M""&amp;TO_TEXT(ROW()-$C$72))"),"")</f>
        <v/>
      </c>
      <c r="N937" s="61" t="str">
        <f>IFERROR(__xludf.DUMMYFUNCTION("INDIRECT(""'收支紀錄'!N""&amp;TO_TEXT(ROW()-$C$72))"),"")</f>
        <v/>
      </c>
      <c r="O937" s="61" t="str">
        <f>IFERROR(__xludf.DUMMYFUNCTION("INDIRECT(""'收支紀錄'!O""&amp;TO_TEXT(ROW()-$C$72))"),"")</f>
        <v/>
      </c>
      <c r="P937" s="61" t="str">
        <f>IFERROR(__xludf.DUMMYFUNCTION("INDIRECT(""'收支紀錄'!P""&amp;TO_TEXT(ROW()-$C$72))"),"")</f>
        <v/>
      </c>
      <c r="Q937" s="61" t="str">
        <f>IFERROR(__xludf.DUMMYFUNCTION("INDIRECT(""'收支紀錄'!Q""&amp;TO_TEXT(ROW()-$C$72))"),"")</f>
        <v/>
      </c>
      <c r="R937" s="61" t="str">
        <f>IFERROR(__xludf.DUMMYFUNCTION("INDIRECT(""'收支紀錄'!R""&amp;TO_TEXT(ROW()-$C$72))"),"")</f>
        <v/>
      </c>
      <c r="S937" s="61" t="str">
        <f>IFERROR(__xludf.DUMMYFUNCTION("INDIRECT(""'收支紀錄'!S""&amp;TO_TEXT(ROW()-$C$72))"),"中信優息")</f>
        <v>中信優息</v>
      </c>
      <c r="T937" s="61" t="str">
        <f>IFERROR(__xludf.DUMMYFUNCTION("INDIRECT(""'收支紀錄'!T""&amp;TO_TEXT(ROW()-$C$72))"),"是")</f>
        <v>是</v>
      </c>
      <c r="U937" s="62" t="str">
        <f>IFERROR(__xludf.DUMMYFUNCTION("IF(T937=""是"",TEXTJOIN("""", TRUE, ""$"", TO_TEXT(C937), S937),"""")"),"$2592中信優息")</f>
        <v>$2592中信優息</v>
      </c>
    </row>
    <row r="938">
      <c r="A938" s="58">
        <f>IFERROR(__xludf.DUMMYFUNCTION("INDIRECT(""'收支紀錄'!A""&amp;TO_TEXT(ROW()-$C$72))"),45818.88324925926)</f>
        <v>45818.88325</v>
      </c>
      <c r="B938" s="59">
        <f>IFERROR(__xludf.DUMMYFUNCTION("IF(ISBLANK(D938), """", IF(ISDATE(D938), D938, IF(D938=""今天"", A938, IF(D938=""昨天 (-1 day)"", A938-1, IF(D938=""前天 (-2 days)"", A938-2, IF(D938=""明天 (+1 day)"", A938+1, DATE(LEFT(D938,4), MID(D938,5,2), RIGHT(D938,2))))))))"),45818.88324925926)</f>
        <v>45818.88325</v>
      </c>
      <c r="C938" s="60">
        <f>IFERROR(__xludf.DUMMYFUNCTION("INDIRECT(""'收支紀錄'!C""&amp;TO_TEXT(ROW()-$C$72))"),1500.0)</f>
        <v>1500</v>
      </c>
      <c r="D938" s="63" t="str">
        <f>IFERROR(__xludf.DUMMYFUNCTION("INDIRECT(""'收支紀錄'!D""&amp;TO_TEXT(ROW()-$C$72))"),"今天")</f>
        <v>今天</v>
      </c>
      <c r="E938" s="61" t="str">
        <f>IFERROR(__xludf.DUMMYFUNCTION("INDIRECT(""'收支紀錄'!E""&amp;TO_TEXT(ROW()-$C$72))"),"")</f>
        <v/>
      </c>
      <c r="F938" s="61" t="str">
        <f>IFERROR(__xludf.DUMMYFUNCTION("INDIRECT(""'收支紀錄'!F""&amp;TO_TEXT(ROW()-$C$72))"),"")</f>
        <v/>
      </c>
      <c r="G938" s="61" t="str">
        <f>IFERROR(__xludf.DUMMYFUNCTION("INDIRECT(""'收支紀錄'!G""&amp;TO_TEXT(ROW()-$C$72))"),"")</f>
        <v/>
      </c>
      <c r="H938" s="61" t="str">
        <f>IFERROR(__xludf.DUMMYFUNCTION("INDIRECT(""'收支紀錄'!H""&amp;TO_TEXT(ROW()-$C$72))"),"行車交通")</f>
        <v>行車交通</v>
      </c>
      <c r="I938" s="61" t="str">
        <f>IFERROR(__xludf.DUMMYFUNCTION("INDIRECT(""'收支紀錄'!I""&amp;TO_TEXT(ROW()-$C$72))"),"")</f>
        <v/>
      </c>
      <c r="J938" s="61" t="str">
        <f>IFERROR(__xludf.DUMMYFUNCTION("INDIRECT(""'收支紀錄'!J""&amp;TO_TEXT(ROW()-$C$72))"),"")</f>
        <v/>
      </c>
      <c r="K938" s="61" t="str">
        <f>IFERROR(__xludf.DUMMYFUNCTION("INDIRECT(""'收支紀錄'!K""&amp;TO_TEXT(ROW()-$C$72))"),"")</f>
        <v/>
      </c>
      <c r="L938" s="61" t="str">
        <f>IFERROR(__xludf.DUMMYFUNCTION("INDIRECT(""'收支紀錄'!L""&amp;TO_TEXT(ROW()-$C$72))"),"機車清油管")</f>
        <v>機車清油管</v>
      </c>
      <c r="M938" s="61" t="str">
        <f>IFERROR(__xludf.DUMMYFUNCTION("INDIRECT(""'收支紀錄'!M""&amp;TO_TEXT(ROW()-$C$72))"),"")</f>
        <v/>
      </c>
      <c r="N938" s="61" t="str">
        <f>IFERROR(__xludf.DUMMYFUNCTION("INDIRECT(""'收支紀錄'!N""&amp;TO_TEXT(ROW()-$C$72))"),"")</f>
        <v/>
      </c>
      <c r="O938" s="61" t="str">
        <f>IFERROR(__xludf.DUMMYFUNCTION("INDIRECT(""'收支紀錄'!O""&amp;TO_TEXT(ROW()-$C$72))"),"")</f>
        <v/>
      </c>
      <c r="P938" s="61" t="str">
        <f>IFERROR(__xludf.DUMMYFUNCTION("INDIRECT(""'收支紀錄'!P""&amp;TO_TEXT(ROW()-$C$72))"),"")</f>
        <v/>
      </c>
      <c r="Q938" s="61" t="str">
        <f>IFERROR(__xludf.DUMMYFUNCTION("INDIRECT(""'收支紀錄'!Q""&amp;TO_TEXT(ROW()-$C$72))"),"")</f>
        <v/>
      </c>
      <c r="R938" s="61" t="str">
        <f>IFERROR(__xludf.DUMMYFUNCTION("INDIRECT(""'收支紀錄'!R""&amp;TO_TEXT(ROW()-$C$72))"),"")</f>
        <v/>
      </c>
      <c r="S938" s="61" t="str">
        <f>IFERROR(__xludf.DUMMYFUNCTION("INDIRECT(""'收支紀錄'!S""&amp;TO_TEXT(ROW()-$C$72))"),"機車清油管")</f>
        <v>機車清油管</v>
      </c>
      <c r="T938" s="61" t="str">
        <f>IFERROR(__xludf.DUMMYFUNCTION("INDIRECT(""'收支紀錄'!T""&amp;TO_TEXT(ROW()-$C$72))"),"是")</f>
        <v>是</v>
      </c>
      <c r="U938" s="62" t="str">
        <f>IFERROR(__xludf.DUMMYFUNCTION("IF(T938=""是"",TEXTJOIN("""", TRUE, ""$"", TO_TEXT(C938), S938),"""")"),"$1500機車清油管")</f>
        <v>$1500機車清油管</v>
      </c>
    </row>
    <row r="939">
      <c r="A939" s="58">
        <f>IFERROR(__xludf.DUMMYFUNCTION("INDIRECT(""'收支紀錄'!A""&amp;TO_TEXT(ROW()-$C$72))"),45818.88341530092)</f>
        <v>45818.88342</v>
      </c>
      <c r="B939" s="59">
        <f>IFERROR(__xludf.DUMMYFUNCTION("IF(ISBLANK(D939), """", IF(ISDATE(D939), D939, IF(D939=""今天"", A939, IF(D939=""昨天 (-1 day)"", A939-1, IF(D939=""前天 (-2 days)"", A939-2, IF(D939=""明天 (+1 day)"", A939+1, DATE(LEFT(D939,4), MID(D939,5,2), RIGHT(D939,2))))))))"),45818.88341530092)</f>
        <v>45818.88342</v>
      </c>
      <c r="C939" s="60">
        <f>IFERROR(__xludf.DUMMYFUNCTION("INDIRECT(""'收支紀錄'!C""&amp;TO_TEXT(ROW()-$C$72))"),109.0)</f>
        <v>109</v>
      </c>
      <c r="D939" s="63" t="str">
        <f>IFERROR(__xludf.DUMMYFUNCTION("INDIRECT(""'收支紀錄'!D""&amp;TO_TEXT(ROW()-$C$72))"),"今天")</f>
        <v>今天</v>
      </c>
      <c r="E939" s="61" t="str">
        <f>IFERROR(__xludf.DUMMYFUNCTION("INDIRECT(""'收支紀錄'!E""&amp;TO_TEXT(ROW()-$C$72))"),"")</f>
        <v/>
      </c>
      <c r="F939" s="61" t="str">
        <f>IFERROR(__xludf.DUMMYFUNCTION("INDIRECT(""'收支紀錄'!F""&amp;TO_TEXT(ROW()-$C$72))"),"")</f>
        <v/>
      </c>
      <c r="G939" s="61" t="str">
        <f>IFERROR(__xludf.DUMMYFUNCTION("INDIRECT(""'收支紀錄'!G""&amp;TO_TEXT(ROW()-$C$72))"),"")</f>
        <v/>
      </c>
      <c r="H939" s="61" t="str">
        <f>IFERROR(__xludf.DUMMYFUNCTION("INDIRECT(""'收支紀錄'!H""&amp;TO_TEXT(ROW()-$C$72))"),"行車交通")</f>
        <v>行車交通</v>
      </c>
      <c r="I939" s="61" t="str">
        <f>IFERROR(__xludf.DUMMYFUNCTION("INDIRECT(""'收支紀錄'!I""&amp;TO_TEXT(ROW()-$C$72))"),"")</f>
        <v/>
      </c>
      <c r="J939" s="61" t="str">
        <f>IFERROR(__xludf.DUMMYFUNCTION("INDIRECT(""'收支紀錄'!J""&amp;TO_TEXT(ROW()-$C$72))"),"")</f>
        <v/>
      </c>
      <c r="K939" s="61" t="str">
        <f>IFERROR(__xludf.DUMMYFUNCTION("INDIRECT(""'收支紀錄'!K""&amp;TO_TEXT(ROW()-$C$72))"),"")</f>
        <v/>
      </c>
      <c r="L939" s="61" t="str">
        <f>IFERROR(__xludf.DUMMYFUNCTION("INDIRECT(""'收支紀錄'!L""&amp;TO_TEXT(ROW()-$C$72))"),"加油")</f>
        <v>加油</v>
      </c>
      <c r="M939" s="61" t="str">
        <f>IFERROR(__xludf.DUMMYFUNCTION("INDIRECT(""'收支紀錄'!M""&amp;TO_TEXT(ROW()-$C$72))"),"")</f>
        <v/>
      </c>
      <c r="N939" s="61" t="str">
        <f>IFERROR(__xludf.DUMMYFUNCTION("INDIRECT(""'收支紀錄'!N""&amp;TO_TEXT(ROW()-$C$72))"),"")</f>
        <v/>
      </c>
      <c r="O939" s="61" t="str">
        <f>IFERROR(__xludf.DUMMYFUNCTION("INDIRECT(""'收支紀錄'!O""&amp;TO_TEXT(ROW()-$C$72))"),"")</f>
        <v/>
      </c>
      <c r="P939" s="61" t="str">
        <f>IFERROR(__xludf.DUMMYFUNCTION("INDIRECT(""'收支紀錄'!P""&amp;TO_TEXT(ROW()-$C$72))"),"")</f>
        <v/>
      </c>
      <c r="Q939" s="61" t="str">
        <f>IFERROR(__xludf.DUMMYFUNCTION("INDIRECT(""'收支紀錄'!Q""&amp;TO_TEXT(ROW()-$C$72))"),"")</f>
        <v/>
      </c>
      <c r="R939" s="61" t="str">
        <f>IFERROR(__xludf.DUMMYFUNCTION("INDIRECT(""'收支紀錄'!R""&amp;TO_TEXT(ROW()-$C$72))"),"")</f>
        <v/>
      </c>
      <c r="S939" s="61" t="str">
        <f>IFERROR(__xludf.DUMMYFUNCTION("INDIRECT(""'收支紀錄'!S""&amp;TO_TEXT(ROW()-$C$72))"),"")</f>
        <v/>
      </c>
      <c r="T939" s="61" t="str">
        <f>IFERROR(__xludf.DUMMYFUNCTION("INDIRECT(""'收支紀錄'!T""&amp;TO_TEXT(ROW()-$C$72))"),"")</f>
        <v/>
      </c>
      <c r="U939" s="62" t="str">
        <f>IFERROR(__xludf.DUMMYFUNCTION("IF(T939=""是"",TEXTJOIN("""", TRUE, ""$"", TO_TEXT(C939), S939),"""")"),"")</f>
        <v/>
      </c>
    </row>
    <row r="940">
      <c r="A940" s="58">
        <f>IFERROR(__xludf.DUMMYFUNCTION("INDIRECT(""'收支紀錄'!A""&amp;TO_TEXT(ROW()-$C$72))"),45819.31672336806)</f>
        <v>45819.31672</v>
      </c>
      <c r="B940" s="59">
        <f>IFERROR(__xludf.DUMMYFUNCTION("IF(ISBLANK(D940), """", IF(ISDATE(D940), D940, IF(D940=""今天"", A940, IF(D940=""昨天 (-1 day)"", A940-1, IF(D940=""前天 (-2 days)"", A940-2, IF(D940=""明天 (+1 day)"", A940+1, DATE(LEFT(D940,4), MID(D940,5,2), RIGHT(D940,2))))))))"),45815.0)</f>
        <v>45815</v>
      </c>
      <c r="C940" s="60">
        <f>IFERROR(__xludf.DUMMYFUNCTION("INDIRECT(""'收支紀錄'!C""&amp;TO_TEXT(ROW()-$C$72))"),350.0)</f>
        <v>350</v>
      </c>
      <c r="D940" s="63">
        <f>IFERROR(__xludf.DUMMYFUNCTION("INDIRECT(""'收支紀錄'!D""&amp;TO_TEXT(ROW()-$C$72))"),2.0250607E7)</f>
        <v>20250607</v>
      </c>
      <c r="E940" s="61" t="str">
        <f>IFERROR(__xludf.DUMMYFUNCTION("INDIRECT(""'收支紀錄'!E""&amp;TO_TEXT(ROW()-$C$72))"),"")</f>
        <v/>
      </c>
      <c r="F940" s="61" t="str">
        <f>IFERROR(__xludf.DUMMYFUNCTION("INDIRECT(""'收支紀錄'!F""&amp;TO_TEXT(ROW()-$C$72))"),"")</f>
        <v/>
      </c>
      <c r="G940" s="61" t="str">
        <f>IFERROR(__xludf.DUMMYFUNCTION("INDIRECT(""'收支紀錄'!G""&amp;TO_TEXT(ROW()-$C$72))"),"")</f>
        <v/>
      </c>
      <c r="H940" s="61" t="str">
        <f>IFERROR(__xludf.DUMMYFUNCTION("INDIRECT(""'收支紀錄'!H""&amp;TO_TEXT(ROW()-$C$72))"),"日常生活")</f>
        <v>日常生活</v>
      </c>
      <c r="I940" s="61" t="str">
        <f>IFERROR(__xludf.DUMMYFUNCTION("INDIRECT(""'收支紀錄'!I""&amp;TO_TEXT(ROW()-$C$72))"),"")</f>
        <v/>
      </c>
      <c r="J940" s="61" t="str">
        <f>IFERROR(__xludf.DUMMYFUNCTION("INDIRECT(""'收支紀錄'!J""&amp;TO_TEXT(ROW()-$C$72))"),"日常用品")</f>
        <v>日常用品</v>
      </c>
      <c r="K940" s="61" t="str">
        <f>IFERROR(__xludf.DUMMYFUNCTION("INDIRECT(""'收支紀錄'!K""&amp;TO_TEXT(ROW()-$C$72))"),"")</f>
        <v/>
      </c>
      <c r="L940" s="61" t="str">
        <f>IFERROR(__xludf.DUMMYFUNCTION("INDIRECT(""'收支紀錄'!L""&amp;TO_TEXT(ROW()-$C$72))"),"")</f>
        <v/>
      </c>
      <c r="M940" s="61" t="str">
        <f>IFERROR(__xludf.DUMMYFUNCTION("INDIRECT(""'收支紀錄'!M""&amp;TO_TEXT(ROW()-$C$72))"),"")</f>
        <v/>
      </c>
      <c r="N940" s="61" t="str">
        <f>IFERROR(__xludf.DUMMYFUNCTION("INDIRECT(""'收支紀錄'!N""&amp;TO_TEXT(ROW()-$C$72))"),"")</f>
        <v/>
      </c>
      <c r="O940" s="61" t="str">
        <f>IFERROR(__xludf.DUMMYFUNCTION("INDIRECT(""'收支紀錄'!O""&amp;TO_TEXT(ROW()-$C$72))"),"")</f>
        <v/>
      </c>
      <c r="P940" s="61" t="str">
        <f>IFERROR(__xludf.DUMMYFUNCTION("INDIRECT(""'收支紀錄'!P""&amp;TO_TEXT(ROW()-$C$72))"),"")</f>
        <v/>
      </c>
      <c r="Q940" s="61" t="str">
        <f>IFERROR(__xludf.DUMMYFUNCTION("INDIRECT(""'收支紀錄'!Q""&amp;TO_TEXT(ROW()-$C$72))"),"")</f>
        <v/>
      </c>
      <c r="R940" s="61" t="str">
        <f>IFERROR(__xludf.DUMMYFUNCTION("INDIRECT(""'收支紀錄'!R""&amp;TO_TEXT(ROW()-$C$72))"),"")</f>
        <v/>
      </c>
      <c r="S940" s="61" t="str">
        <f>IFERROR(__xludf.DUMMYFUNCTION("INDIRECT(""'收支紀錄'!S""&amp;TO_TEXT(ROW()-$C$72))"),"寶機油")</f>
        <v>寶機油</v>
      </c>
      <c r="T940" s="61" t="str">
        <f>IFERROR(__xludf.DUMMYFUNCTION("INDIRECT(""'收支紀錄'!T""&amp;TO_TEXT(ROW()-$C$72))"),"否")</f>
        <v>否</v>
      </c>
      <c r="U940" s="62" t="str">
        <f>IFERROR(__xludf.DUMMYFUNCTION("IF(T940=""是"",TEXTJOIN("""", TRUE, ""$"", TO_TEXT(C940), S940),"""")"),"")</f>
        <v/>
      </c>
    </row>
    <row r="941">
      <c r="A941" s="58">
        <f>IFERROR(__xludf.DUMMYFUNCTION("INDIRECT(""'收支紀錄'!A""&amp;TO_TEXT(ROW()-$C$72))"),45820.997452696756)</f>
        <v>45820.99745</v>
      </c>
      <c r="B941" s="59">
        <f>IFERROR(__xludf.DUMMYFUNCTION("IF(ISBLANK(D941), """", IF(ISDATE(D941), D941, IF(D941=""今天"", A941, IF(D941=""昨天 (-1 day)"", A941-1, IF(D941=""前天 (-2 days)"", A941-2, IF(D941=""明天 (+1 day)"", A941+1, DATE(LEFT(D941,4), MID(D941,5,2), RIGHT(D941,2))))))))"),45820.997452696756)</f>
        <v>45820.99745</v>
      </c>
      <c r="C941" s="60">
        <f>IFERROR(__xludf.DUMMYFUNCTION("INDIRECT(""'收支紀錄'!C""&amp;TO_TEXT(ROW()-$C$72))"),355.0)</f>
        <v>355</v>
      </c>
      <c r="D941" s="63" t="str">
        <f>IFERROR(__xludf.DUMMYFUNCTION("INDIRECT(""'收支紀錄'!D""&amp;TO_TEXT(ROW()-$C$72))"),"今天")</f>
        <v>今天</v>
      </c>
      <c r="E941" s="61" t="str">
        <f>IFERROR(__xludf.DUMMYFUNCTION("INDIRECT(""'收支紀錄'!E""&amp;TO_TEXT(ROW()-$C$72))"),"")</f>
        <v/>
      </c>
      <c r="F941" s="61" t="str">
        <f>IFERROR(__xludf.DUMMYFUNCTION("INDIRECT(""'收支紀錄'!F""&amp;TO_TEXT(ROW()-$C$72))"),"")</f>
        <v/>
      </c>
      <c r="G941" s="61" t="str">
        <f>IFERROR(__xludf.DUMMYFUNCTION("INDIRECT(""'收支紀錄'!G""&amp;TO_TEXT(ROW()-$C$72))"),"")</f>
        <v/>
      </c>
      <c r="H941" s="61" t="str">
        <f>IFERROR(__xludf.DUMMYFUNCTION("INDIRECT(""'收支紀錄'!H""&amp;TO_TEXT(ROW()-$C$72))"),"進修學習")</f>
        <v>進修學習</v>
      </c>
      <c r="I941" s="61" t="str">
        <f>IFERROR(__xludf.DUMMYFUNCTION("INDIRECT(""'收支紀錄'!I""&amp;TO_TEXT(ROW()-$C$72))"),"")</f>
        <v/>
      </c>
      <c r="J941" s="61" t="str">
        <f>IFERROR(__xludf.DUMMYFUNCTION("INDIRECT(""'收支紀錄'!J""&amp;TO_TEXT(ROW()-$C$72))"),"")</f>
        <v/>
      </c>
      <c r="K941" s="61" t="str">
        <f>IFERROR(__xludf.DUMMYFUNCTION("INDIRECT(""'收支紀錄'!K""&amp;TO_TEXT(ROW()-$C$72))"),"")</f>
        <v/>
      </c>
      <c r="L941" s="61" t="str">
        <f>IFERROR(__xludf.DUMMYFUNCTION("INDIRECT(""'收支紀錄'!L""&amp;TO_TEXT(ROW()-$C$72))"),"")</f>
        <v/>
      </c>
      <c r="M941" s="61" t="str">
        <f>IFERROR(__xludf.DUMMYFUNCTION("INDIRECT(""'收支紀錄'!M""&amp;TO_TEXT(ROW()-$C$72))"),"")</f>
        <v/>
      </c>
      <c r="N941" s="61" t="str">
        <f>IFERROR(__xludf.DUMMYFUNCTION("INDIRECT(""'收支紀錄'!N""&amp;TO_TEXT(ROW()-$C$72))"),"")</f>
        <v/>
      </c>
      <c r="O941" s="61" t="str">
        <f>IFERROR(__xludf.DUMMYFUNCTION("INDIRECT(""'收支紀錄'!O""&amp;TO_TEXT(ROW()-$C$72))"),"")</f>
        <v/>
      </c>
      <c r="P941" s="61" t="str">
        <f>IFERROR(__xludf.DUMMYFUNCTION("INDIRECT(""'收支紀錄'!P""&amp;TO_TEXT(ROW()-$C$72))"),"書報雜誌")</f>
        <v>書報雜誌</v>
      </c>
      <c r="Q941" s="61" t="str">
        <f>IFERROR(__xludf.DUMMYFUNCTION("INDIRECT(""'收支紀錄'!Q""&amp;TO_TEXT(ROW()-$C$72))"),"")</f>
        <v/>
      </c>
      <c r="R941" s="61" t="str">
        <f>IFERROR(__xludf.DUMMYFUNCTION("INDIRECT(""'收支紀錄'!R""&amp;TO_TEXT(ROW()-$C$72))"),"")</f>
        <v/>
      </c>
      <c r="S941" s="61" t="str">
        <f>IFERROR(__xludf.DUMMYFUNCTION("INDIRECT(""'收支紀錄'!S""&amp;TO_TEXT(ROW()-$C$72))"),"")</f>
        <v/>
      </c>
      <c r="T941" s="61" t="str">
        <f>IFERROR(__xludf.DUMMYFUNCTION("INDIRECT(""'收支紀錄'!T""&amp;TO_TEXT(ROW()-$C$72))"),"")</f>
        <v/>
      </c>
      <c r="U941" s="62" t="str">
        <f>IFERROR(__xludf.DUMMYFUNCTION("IF(T941=""是"",TEXTJOIN("""", TRUE, ""$"", TO_TEXT(C941), S941),"""")"),"")</f>
        <v/>
      </c>
    </row>
    <row r="942">
      <c r="A942" s="58">
        <f>IFERROR(__xludf.DUMMYFUNCTION("INDIRECT(""'收支紀錄'!A""&amp;TO_TEXT(ROW()-$C$72))"),45821.75977351852)</f>
        <v>45821.75977</v>
      </c>
      <c r="B942" s="59">
        <f>IFERROR(__xludf.DUMMYFUNCTION("IF(ISBLANK(D942), """", IF(ISDATE(D942), D942, IF(D942=""今天"", A942, IF(D942=""昨天 (-1 day)"", A942-1, IF(D942=""前天 (-2 days)"", A942-2, IF(D942=""明天 (+1 day)"", A942+1, DATE(LEFT(D942,4), MID(D942,5,2), RIGHT(D942,2))))))))"),45820.75977351852)</f>
        <v>45820.75977</v>
      </c>
      <c r="C942" s="60">
        <f>IFERROR(__xludf.DUMMYFUNCTION("INDIRECT(""'收支紀錄'!C""&amp;TO_TEXT(ROW()-$C$72))"),1359.0)</f>
        <v>1359</v>
      </c>
      <c r="D942" s="63" t="str">
        <f>IFERROR(__xludf.DUMMYFUNCTION("INDIRECT(""'收支紀錄'!D""&amp;TO_TEXT(ROW()-$C$72))"),"昨天 (-1 day)")</f>
        <v>昨天 (-1 day)</v>
      </c>
      <c r="E942" s="61" t="str">
        <f>IFERROR(__xludf.DUMMYFUNCTION("INDIRECT(""'收支紀錄'!E""&amp;TO_TEXT(ROW()-$C$72))"),"")</f>
        <v/>
      </c>
      <c r="F942" s="61" t="str">
        <f>IFERROR(__xludf.DUMMYFUNCTION("INDIRECT(""'收支紀錄'!F""&amp;TO_TEXT(ROW()-$C$72))"),"")</f>
        <v/>
      </c>
      <c r="G942" s="61" t="str">
        <f>IFERROR(__xludf.DUMMYFUNCTION("INDIRECT(""'收支紀錄'!G""&amp;TO_TEXT(ROW()-$C$72))"),"")</f>
        <v/>
      </c>
      <c r="H942" s="61" t="str">
        <f>IFERROR(__xludf.DUMMYFUNCTION("INDIRECT(""'收支紀錄'!H""&amp;TO_TEXT(ROW()-$C$72))"),"食品酒水")</f>
        <v>食品酒水</v>
      </c>
      <c r="I942" s="61" t="str">
        <f>IFERROR(__xludf.DUMMYFUNCTION("INDIRECT(""'收支紀錄'!I""&amp;TO_TEXT(ROW()-$C$72))"),"晚餐")</f>
        <v>晚餐</v>
      </c>
      <c r="J942" s="61" t="str">
        <f>IFERROR(__xludf.DUMMYFUNCTION("INDIRECT(""'收支紀錄'!J""&amp;TO_TEXT(ROW()-$C$72))"),"")</f>
        <v/>
      </c>
      <c r="K942" s="61" t="str">
        <f>IFERROR(__xludf.DUMMYFUNCTION("INDIRECT(""'收支紀錄'!K""&amp;TO_TEXT(ROW()-$C$72))"),"")</f>
        <v/>
      </c>
      <c r="L942" s="61" t="str">
        <f>IFERROR(__xludf.DUMMYFUNCTION("INDIRECT(""'收支紀錄'!L""&amp;TO_TEXT(ROW()-$C$72))"),"")</f>
        <v/>
      </c>
      <c r="M942" s="61" t="str">
        <f>IFERROR(__xludf.DUMMYFUNCTION("INDIRECT(""'收支紀錄'!M""&amp;TO_TEXT(ROW()-$C$72))"),"")</f>
        <v/>
      </c>
      <c r="N942" s="61" t="str">
        <f>IFERROR(__xludf.DUMMYFUNCTION("INDIRECT(""'收支紀錄'!N""&amp;TO_TEXT(ROW()-$C$72))"),"")</f>
        <v/>
      </c>
      <c r="O942" s="61" t="str">
        <f>IFERROR(__xludf.DUMMYFUNCTION("INDIRECT(""'收支紀錄'!O""&amp;TO_TEXT(ROW()-$C$72))"),"")</f>
        <v/>
      </c>
      <c r="P942" s="61" t="str">
        <f>IFERROR(__xludf.DUMMYFUNCTION("INDIRECT(""'收支紀錄'!P""&amp;TO_TEXT(ROW()-$C$72))"),"")</f>
        <v/>
      </c>
      <c r="Q942" s="61" t="str">
        <f>IFERROR(__xludf.DUMMYFUNCTION("INDIRECT(""'收支紀錄'!Q""&amp;TO_TEXT(ROW()-$C$72))"),"")</f>
        <v/>
      </c>
      <c r="R942" s="61" t="str">
        <f>IFERROR(__xludf.DUMMYFUNCTION("INDIRECT(""'收支紀錄'!R""&amp;TO_TEXT(ROW()-$C$72))"),"")</f>
        <v/>
      </c>
      <c r="S942" s="61" t="str">
        <f>IFERROR(__xludf.DUMMYFUNCTION("INDIRECT(""'收支紀錄'!S""&amp;TO_TEXT(ROW()-$C$72))"),"部門聚餐")</f>
        <v>部門聚餐</v>
      </c>
      <c r="T942" s="61" t="str">
        <f>IFERROR(__xludf.DUMMYFUNCTION("INDIRECT(""'收支紀錄'!T""&amp;TO_TEXT(ROW()-$C$72))"),"")</f>
        <v/>
      </c>
      <c r="U942" s="62" t="str">
        <f>IFERROR(__xludf.DUMMYFUNCTION("IF(T942=""是"",TEXTJOIN("""", TRUE, ""$"", TO_TEXT(C942), S942),"""")"),"")</f>
        <v/>
      </c>
    </row>
    <row r="943">
      <c r="A943" s="58">
        <f>IFERROR(__xludf.DUMMYFUNCTION("INDIRECT(""'收支紀錄'!A""&amp;TO_TEXT(ROW()-$C$72))"),45821.87707121528)</f>
        <v>45821.87707</v>
      </c>
      <c r="B943" s="59">
        <f>IFERROR(__xludf.DUMMYFUNCTION("IF(ISBLANK(D943), """", IF(ISDATE(D943), D943, IF(D943=""今天"", A943, IF(D943=""昨天 (-1 day)"", A943-1, IF(D943=""前天 (-2 days)"", A943-2, IF(D943=""明天 (+1 day)"", A943+1, DATE(LEFT(D943,4), MID(D943,5,2), RIGHT(D943,2))))))))"),45821.87707121528)</f>
        <v>45821.87707</v>
      </c>
      <c r="C943" s="60">
        <f>IFERROR(__xludf.DUMMYFUNCTION("INDIRECT(""'收支紀錄'!C""&amp;TO_TEXT(ROW()-$C$72))"),499.0)</f>
        <v>499</v>
      </c>
      <c r="D943" s="63" t="str">
        <f>IFERROR(__xludf.DUMMYFUNCTION("INDIRECT(""'收支紀錄'!D""&amp;TO_TEXT(ROW()-$C$72))"),"今天")</f>
        <v>今天</v>
      </c>
      <c r="E943" s="61" t="str">
        <f>IFERROR(__xludf.DUMMYFUNCTION("INDIRECT(""'收支紀錄'!E""&amp;TO_TEXT(ROW()-$C$72))"),"")</f>
        <v/>
      </c>
      <c r="F943" s="61" t="str">
        <f>IFERROR(__xludf.DUMMYFUNCTION("INDIRECT(""'收支紀錄'!F""&amp;TO_TEXT(ROW()-$C$72))"),"")</f>
        <v/>
      </c>
      <c r="G943" s="61" t="str">
        <f>IFERROR(__xludf.DUMMYFUNCTION("INDIRECT(""'收支紀錄'!G""&amp;TO_TEXT(ROW()-$C$72))"),"")</f>
        <v/>
      </c>
      <c r="H943" s="61" t="str">
        <f>IFERROR(__xludf.DUMMYFUNCTION("INDIRECT(""'收支紀錄'!H""&amp;TO_TEXT(ROW()-$C$72))"),"食品酒水")</f>
        <v>食品酒水</v>
      </c>
      <c r="I943" s="61" t="str">
        <f>IFERROR(__xludf.DUMMYFUNCTION("INDIRECT(""'收支紀錄'!I""&amp;TO_TEXT(ROW()-$C$72))"),"晚餐")</f>
        <v>晚餐</v>
      </c>
      <c r="J943" s="61" t="str">
        <f>IFERROR(__xludf.DUMMYFUNCTION("INDIRECT(""'收支紀錄'!J""&amp;TO_TEXT(ROW()-$C$72))"),"")</f>
        <v/>
      </c>
      <c r="K943" s="61" t="str">
        <f>IFERROR(__xludf.DUMMYFUNCTION("INDIRECT(""'收支紀錄'!K""&amp;TO_TEXT(ROW()-$C$72))"),"")</f>
        <v/>
      </c>
      <c r="L943" s="61" t="str">
        <f>IFERROR(__xludf.DUMMYFUNCTION("INDIRECT(""'收支紀錄'!L""&amp;TO_TEXT(ROW()-$C$72))"),"")</f>
        <v/>
      </c>
      <c r="M943" s="61" t="str">
        <f>IFERROR(__xludf.DUMMYFUNCTION("INDIRECT(""'收支紀錄'!M""&amp;TO_TEXT(ROW()-$C$72))"),"")</f>
        <v/>
      </c>
      <c r="N943" s="61" t="str">
        <f>IFERROR(__xludf.DUMMYFUNCTION("INDIRECT(""'收支紀錄'!N""&amp;TO_TEXT(ROW()-$C$72))"),"")</f>
        <v/>
      </c>
      <c r="O943" s="61" t="str">
        <f>IFERROR(__xludf.DUMMYFUNCTION("INDIRECT(""'收支紀錄'!O""&amp;TO_TEXT(ROW()-$C$72))"),"")</f>
        <v/>
      </c>
      <c r="P943" s="61" t="str">
        <f>IFERROR(__xludf.DUMMYFUNCTION("INDIRECT(""'收支紀錄'!P""&amp;TO_TEXT(ROW()-$C$72))"),"")</f>
        <v/>
      </c>
      <c r="Q943" s="61" t="str">
        <f>IFERROR(__xludf.DUMMYFUNCTION("INDIRECT(""'收支紀錄'!Q""&amp;TO_TEXT(ROW()-$C$72))"),"")</f>
        <v/>
      </c>
      <c r="R943" s="61" t="str">
        <f>IFERROR(__xludf.DUMMYFUNCTION("INDIRECT(""'收支紀錄'!R""&amp;TO_TEXT(ROW()-$C$72))"),"")</f>
        <v/>
      </c>
      <c r="S943" s="61" t="str">
        <f>IFERROR(__xludf.DUMMYFUNCTION("INDIRECT(""'收支紀錄'!S""&amp;TO_TEXT(ROW()-$C$72))"),"")</f>
        <v/>
      </c>
      <c r="T943" s="61" t="str">
        <f>IFERROR(__xludf.DUMMYFUNCTION("INDIRECT(""'收支紀錄'!T""&amp;TO_TEXT(ROW()-$C$72))"),"")</f>
        <v/>
      </c>
      <c r="U943" s="62" t="str">
        <f>IFERROR(__xludf.DUMMYFUNCTION("IF(T943=""是"",TEXTJOIN("""", TRUE, ""$"", TO_TEXT(C943), S943),"""")"),"")</f>
        <v/>
      </c>
    </row>
    <row r="944">
      <c r="A944" s="58">
        <f>IFERROR(__xludf.DUMMYFUNCTION("INDIRECT(""'收支紀錄'!A""&amp;TO_TEXT(ROW()-$C$72))"),45822.702455763894)</f>
        <v>45822.70246</v>
      </c>
      <c r="B944" s="59">
        <f>IFERROR(__xludf.DUMMYFUNCTION("IF(ISBLANK(D944), """", IF(ISDATE(D944), D944, IF(D944=""今天"", A944, IF(D944=""昨天 (-1 day)"", A944-1, IF(D944=""前天 (-2 days)"", A944-2, IF(D944=""明天 (+1 day)"", A944+1, DATE(LEFT(D944,4), MID(D944,5,2), RIGHT(D944,2))))))))"),45822.702455763894)</f>
        <v>45822.70246</v>
      </c>
      <c r="C944" s="60">
        <f>IFERROR(__xludf.DUMMYFUNCTION("INDIRECT(""'收支紀錄'!C""&amp;TO_TEXT(ROW()-$C$72))"),170.0)</f>
        <v>170</v>
      </c>
      <c r="D944" s="63" t="str">
        <f>IFERROR(__xludf.DUMMYFUNCTION("INDIRECT(""'收支紀錄'!D""&amp;TO_TEXT(ROW()-$C$72))"),"今天")</f>
        <v>今天</v>
      </c>
      <c r="E944" s="61" t="str">
        <f>IFERROR(__xludf.DUMMYFUNCTION("INDIRECT(""'收支紀錄'!E""&amp;TO_TEXT(ROW()-$C$72))"),"")</f>
        <v/>
      </c>
      <c r="F944" s="61" t="str">
        <f>IFERROR(__xludf.DUMMYFUNCTION("INDIRECT(""'收支紀錄'!F""&amp;TO_TEXT(ROW()-$C$72))"),"")</f>
        <v/>
      </c>
      <c r="G944" s="61" t="str">
        <f>IFERROR(__xludf.DUMMYFUNCTION("INDIRECT(""'收支紀錄'!G""&amp;TO_TEXT(ROW()-$C$72))"),"")</f>
        <v/>
      </c>
      <c r="H944" s="61" t="str">
        <f>IFERROR(__xludf.DUMMYFUNCTION("INDIRECT(""'收支紀錄'!H""&amp;TO_TEXT(ROW()-$C$72))"),"食品酒水")</f>
        <v>食品酒水</v>
      </c>
      <c r="I944" s="61" t="str">
        <f>IFERROR(__xludf.DUMMYFUNCTION("INDIRECT(""'收支紀錄'!I""&amp;TO_TEXT(ROW()-$C$72))"),"午餐")</f>
        <v>午餐</v>
      </c>
      <c r="J944" s="61" t="str">
        <f>IFERROR(__xludf.DUMMYFUNCTION("INDIRECT(""'收支紀錄'!J""&amp;TO_TEXT(ROW()-$C$72))"),"")</f>
        <v/>
      </c>
      <c r="K944" s="61" t="str">
        <f>IFERROR(__xludf.DUMMYFUNCTION("INDIRECT(""'收支紀錄'!K""&amp;TO_TEXT(ROW()-$C$72))"),"")</f>
        <v/>
      </c>
      <c r="L944" s="61" t="str">
        <f>IFERROR(__xludf.DUMMYFUNCTION("INDIRECT(""'收支紀錄'!L""&amp;TO_TEXT(ROW()-$C$72))"),"")</f>
        <v/>
      </c>
      <c r="M944" s="61" t="str">
        <f>IFERROR(__xludf.DUMMYFUNCTION("INDIRECT(""'收支紀錄'!M""&amp;TO_TEXT(ROW()-$C$72))"),"")</f>
        <v/>
      </c>
      <c r="N944" s="61" t="str">
        <f>IFERROR(__xludf.DUMMYFUNCTION("INDIRECT(""'收支紀錄'!N""&amp;TO_TEXT(ROW()-$C$72))"),"")</f>
        <v/>
      </c>
      <c r="O944" s="61" t="str">
        <f>IFERROR(__xludf.DUMMYFUNCTION("INDIRECT(""'收支紀錄'!O""&amp;TO_TEXT(ROW()-$C$72))"),"")</f>
        <v/>
      </c>
      <c r="P944" s="61" t="str">
        <f>IFERROR(__xludf.DUMMYFUNCTION("INDIRECT(""'收支紀錄'!P""&amp;TO_TEXT(ROW()-$C$72))"),"")</f>
        <v/>
      </c>
      <c r="Q944" s="61" t="str">
        <f>IFERROR(__xludf.DUMMYFUNCTION("INDIRECT(""'收支紀錄'!Q""&amp;TO_TEXT(ROW()-$C$72))"),"")</f>
        <v/>
      </c>
      <c r="R944" s="61" t="str">
        <f>IFERROR(__xludf.DUMMYFUNCTION("INDIRECT(""'收支紀錄'!R""&amp;TO_TEXT(ROW()-$C$72))"),"")</f>
        <v/>
      </c>
      <c r="S944" s="61" t="str">
        <f>IFERROR(__xludf.DUMMYFUNCTION("INDIRECT(""'收支紀錄'!S""&amp;TO_TEXT(ROW()-$C$72))"),"")</f>
        <v/>
      </c>
      <c r="T944" s="61" t="str">
        <f>IFERROR(__xludf.DUMMYFUNCTION("INDIRECT(""'收支紀錄'!T""&amp;TO_TEXT(ROW()-$C$72))"),"")</f>
        <v/>
      </c>
      <c r="U944" s="62" t="str">
        <f>IFERROR(__xludf.DUMMYFUNCTION("IF(T944=""是"",TEXTJOIN("""", TRUE, ""$"", TO_TEXT(C944), S944),"""")"),"")</f>
        <v/>
      </c>
    </row>
    <row r="945">
      <c r="A945" s="58">
        <f>IFERROR(__xludf.DUMMYFUNCTION("INDIRECT(""'收支紀錄'!A""&amp;TO_TEXT(ROW()-$C$72))"),45822.70277243055)</f>
        <v>45822.70277</v>
      </c>
      <c r="B945" s="59">
        <f>IFERROR(__xludf.DUMMYFUNCTION("IF(ISBLANK(D945), """", IF(ISDATE(D945), D945, IF(D945=""今天"", A945, IF(D945=""昨天 (-1 day)"", A945-1, IF(D945=""前天 (-2 days)"", A945-2, IF(D945=""明天 (+1 day)"", A945+1, DATE(LEFT(D945,4), MID(D945,5,2), RIGHT(D945,2))))))))"),45822.70277243055)</f>
        <v>45822.70277</v>
      </c>
      <c r="C945" s="60">
        <f>IFERROR(__xludf.DUMMYFUNCTION("INDIRECT(""'收支紀錄'!C""&amp;TO_TEXT(ROW()-$C$72))"),708.0)</f>
        <v>708</v>
      </c>
      <c r="D945" s="63" t="str">
        <f>IFERROR(__xludf.DUMMYFUNCTION("INDIRECT(""'收支紀錄'!D""&amp;TO_TEXT(ROW()-$C$72))"),"今天")</f>
        <v>今天</v>
      </c>
      <c r="E945" s="61" t="str">
        <f>IFERROR(__xludf.DUMMYFUNCTION("INDIRECT(""'收支紀錄'!E""&amp;TO_TEXT(ROW()-$C$72))"),"")</f>
        <v/>
      </c>
      <c r="F945" s="61" t="str">
        <f>IFERROR(__xludf.DUMMYFUNCTION("INDIRECT(""'收支紀錄'!F""&amp;TO_TEXT(ROW()-$C$72))"),"")</f>
        <v/>
      </c>
      <c r="G945" s="61" t="str">
        <f>IFERROR(__xludf.DUMMYFUNCTION("INDIRECT(""'收支紀錄'!G""&amp;TO_TEXT(ROW()-$C$72))"),"")</f>
        <v/>
      </c>
      <c r="H945" s="61" t="str">
        <f>IFERROR(__xludf.DUMMYFUNCTION("INDIRECT(""'收支紀錄'!H""&amp;TO_TEXT(ROW()-$C$72))"),"行車交通")</f>
        <v>行車交通</v>
      </c>
      <c r="I945" s="61" t="str">
        <f>IFERROR(__xludf.DUMMYFUNCTION("INDIRECT(""'收支紀錄'!I""&amp;TO_TEXT(ROW()-$C$72))"),"")</f>
        <v/>
      </c>
      <c r="J945" s="61" t="str">
        <f>IFERROR(__xludf.DUMMYFUNCTION("INDIRECT(""'收支紀錄'!J""&amp;TO_TEXT(ROW()-$C$72))"),"")</f>
        <v/>
      </c>
      <c r="K945" s="61" t="str">
        <f>IFERROR(__xludf.DUMMYFUNCTION("INDIRECT(""'收支紀錄'!K""&amp;TO_TEXT(ROW()-$C$72))"),"")</f>
        <v/>
      </c>
      <c r="L945" s="61" t="str">
        <f>IFERROR(__xludf.DUMMYFUNCTION("INDIRECT(""'收支紀錄'!L""&amp;TO_TEXT(ROW()-$C$72))"),"加油")</f>
        <v>加油</v>
      </c>
      <c r="M945" s="61" t="str">
        <f>IFERROR(__xludf.DUMMYFUNCTION("INDIRECT(""'收支紀錄'!M""&amp;TO_TEXT(ROW()-$C$72))"),"")</f>
        <v/>
      </c>
      <c r="N945" s="61" t="str">
        <f>IFERROR(__xludf.DUMMYFUNCTION("INDIRECT(""'收支紀錄'!N""&amp;TO_TEXT(ROW()-$C$72))"),"")</f>
        <v/>
      </c>
      <c r="O945" s="61" t="str">
        <f>IFERROR(__xludf.DUMMYFUNCTION("INDIRECT(""'收支紀錄'!O""&amp;TO_TEXT(ROW()-$C$72))"),"")</f>
        <v/>
      </c>
      <c r="P945" s="61" t="str">
        <f>IFERROR(__xludf.DUMMYFUNCTION("INDIRECT(""'收支紀錄'!P""&amp;TO_TEXT(ROW()-$C$72))"),"")</f>
        <v/>
      </c>
      <c r="Q945" s="61" t="str">
        <f>IFERROR(__xludf.DUMMYFUNCTION("INDIRECT(""'收支紀錄'!Q""&amp;TO_TEXT(ROW()-$C$72))"),"")</f>
        <v/>
      </c>
      <c r="R945" s="61" t="str">
        <f>IFERROR(__xludf.DUMMYFUNCTION("INDIRECT(""'收支紀錄'!R""&amp;TO_TEXT(ROW()-$C$72))"),"")</f>
        <v/>
      </c>
      <c r="S945" s="61" t="str">
        <f>IFERROR(__xludf.DUMMYFUNCTION("INDIRECT(""'收支紀錄'!S""&amp;TO_TEXT(ROW()-$C$72))"),"")</f>
        <v/>
      </c>
      <c r="T945" s="61" t="str">
        <f>IFERROR(__xludf.DUMMYFUNCTION("INDIRECT(""'收支紀錄'!T""&amp;TO_TEXT(ROW()-$C$72))"),"")</f>
        <v/>
      </c>
      <c r="U945" s="62" t="str">
        <f>IFERROR(__xludf.DUMMYFUNCTION("IF(T945=""是"",TEXTJOIN("""", TRUE, ""$"", TO_TEXT(C945), S945),"""")"),"")</f>
        <v/>
      </c>
    </row>
    <row r="946">
      <c r="A946" s="58">
        <f>IFERROR(__xludf.DUMMYFUNCTION("INDIRECT(""'收支紀錄'!A""&amp;TO_TEXT(ROW()-$C$72))"),45822.70293929398)</f>
        <v>45822.70294</v>
      </c>
      <c r="B946" s="59">
        <f>IFERROR(__xludf.DUMMYFUNCTION("IF(ISBLANK(D946), """", IF(ISDATE(D946), D946, IF(D946=""今天"", A946, IF(D946=""昨天 (-1 day)"", A946-1, IF(D946=""前天 (-2 days)"", A946-2, IF(D946=""明天 (+1 day)"", A946+1, DATE(LEFT(D946,4), MID(D946,5,2), RIGHT(D946,2))))))))"),45822.70293929398)</f>
        <v>45822.70294</v>
      </c>
      <c r="C946" s="60">
        <f>IFERROR(__xludf.DUMMYFUNCTION("INDIRECT(""'收支紀錄'!C""&amp;TO_TEXT(ROW()-$C$72))"),1056.0)</f>
        <v>1056</v>
      </c>
      <c r="D946" s="63" t="str">
        <f>IFERROR(__xludf.DUMMYFUNCTION("INDIRECT(""'收支紀錄'!D""&amp;TO_TEXT(ROW()-$C$72))"),"今天")</f>
        <v>今天</v>
      </c>
      <c r="E946" s="61" t="str">
        <f>IFERROR(__xludf.DUMMYFUNCTION("INDIRECT(""'收支紀錄'!E""&amp;TO_TEXT(ROW()-$C$72))"),"")</f>
        <v/>
      </c>
      <c r="F946" s="61" t="str">
        <f>IFERROR(__xludf.DUMMYFUNCTION("INDIRECT(""'收支紀錄'!F""&amp;TO_TEXT(ROW()-$C$72))"),"")</f>
        <v/>
      </c>
      <c r="G946" s="61" t="str">
        <f>IFERROR(__xludf.DUMMYFUNCTION("INDIRECT(""'收支紀錄'!G""&amp;TO_TEXT(ROW()-$C$72))"),"")</f>
        <v/>
      </c>
      <c r="H946" s="61" t="str">
        <f>IFERROR(__xludf.DUMMYFUNCTION("INDIRECT(""'收支紀錄'!H""&amp;TO_TEXT(ROW()-$C$72))"),"食品酒水")</f>
        <v>食品酒水</v>
      </c>
      <c r="I946" s="61" t="str">
        <f>IFERROR(__xludf.DUMMYFUNCTION("INDIRECT(""'收支紀錄'!I""&amp;TO_TEXT(ROW()-$C$72))"),"食材")</f>
        <v>食材</v>
      </c>
      <c r="J946" s="61" t="str">
        <f>IFERROR(__xludf.DUMMYFUNCTION("INDIRECT(""'收支紀錄'!J""&amp;TO_TEXT(ROW()-$C$72))"),"")</f>
        <v/>
      </c>
      <c r="K946" s="61" t="str">
        <f>IFERROR(__xludf.DUMMYFUNCTION("INDIRECT(""'收支紀錄'!K""&amp;TO_TEXT(ROW()-$C$72))"),"")</f>
        <v/>
      </c>
      <c r="L946" s="61" t="str">
        <f>IFERROR(__xludf.DUMMYFUNCTION("INDIRECT(""'收支紀錄'!L""&amp;TO_TEXT(ROW()-$C$72))"),"")</f>
        <v/>
      </c>
      <c r="M946" s="61" t="str">
        <f>IFERROR(__xludf.DUMMYFUNCTION("INDIRECT(""'收支紀錄'!M""&amp;TO_TEXT(ROW()-$C$72))"),"")</f>
        <v/>
      </c>
      <c r="N946" s="61" t="str">
        <f>IFERROR(__xludf.DUMMYFUNCTION("INDIRECT(""'收支紀錄'!N""&amp;TO_TEXT(ROW()-$C$72))"),"")</f>
        <v/>
      </c>
      <c r="O946" s="61" t="str">
        <f>IFERROR(__xludf.DUMMYFUNCTION("INDIRECT(""'收支紀錄'!O""&amp;TO_TEXT(ROW()-$C$72))"),"")</f>
        <v/>
      </c>
      <c r="P946" s="61" t="str">
        <f>IFERROR(__xludf.DUMMYFUNCTION("INDIRECT(""'收支紀錄'!P""&amp;TO_TEXT(ROW()-$C$72))"),"")</f>
        <v/>
      </c>
      <c r="Q946" s="61" t="str">
        <f>IFERROR(__xludf.DUMMYFUNCTION("INDIRECT(""'收支紀錄'!Q""&amp;TO_TEXT(ROW()-$C$72))"),"")</f>
        <v/>
      </c>
      <c r="R946" s="61" t="str">
        <f>IFERROR(__xludf.DUMMYFUNCTION("INDIRECT(""'收支紀錄'!R""&amp;TO_TEXT(ROW()-$C$72))"),"")</f>
        <v/>
      </c>
      <c r="S946" s="61" t="str">
        <f>IFERROR(__xludf.DUMMYFUNCTION("INDIRECT(""'收支紀錄'!S""&amp;TO_TEXT(ROW()-$C$72))"),"")</f>
        <v/>
      </c>
      <c r="T946" s="61" t="str">
        <f>IFERROR(__xludf.DUMMYFUNCTION("INDIRECT(""'收支紀錄'!T""&amp;TO_TEXT(ROW()-$C$72))"),"")</f>
        <v/>
      </c>
      <c r="U946" s="62" t="str">
        <f>IFERROR(__xludf.DUMMYFUNCTION("IF(T946=""是"",TEXTJOIN("""", TRUE, ""$"", TO_TEXT(C946), S946),"""")"),"")</f>
        <v/>
      </c>
    </row>
    <row r="947">
      <c r="A947" s="58">
        <f>IFERROR(__xludf.DUMMYFUNCTION("INDIRECT(""'收支紀錄'!A""&amp;TO_TEXT(ROW()-$C$72))"),45823.685294097224)</f>
        <v>45823.68529</v>
      </c>
      <c r="B947" s="59">
        <f>IFERROR(__xludf.DUMMYFUNCTION("IF(ISBLANK(D947), """", IF(ISDATE(D947), D947, IF(D947=""今天"", A947, IF(D947=""昨天 (-1 day)"", A947-1, IF(D947=""前天 (-2 days)"", A947-2, IF(D947=""明天 (+1 day)"", A947+1, DATE(LEFT(D947,4), MID(D947,5,2), RIGHT(D947,2))))))))"),45823.685294097224)</f>
        <v>45823.68529</v>
      </c>
      <c r="C947" s="60">
        <f>IFERROR(__xludf.DUMMYFUNCTION("INDIRECT(""'收支紀錄'!C""&amp;TO_TEXT(ROW()-$C$72))"),73.0)</f>
        <v>73</v>
      </c>
      <c r="D947" s="63" t="str">
        <f>IFERROR(__xludf.DUMMYFUNCTION("INDIRECT(""'收支紀錄'!D""&amp;TO_TEXT(ROW()-$C$72))"),"今天")</f>
        <v>今天</v>
      </c>
      <c r="E947" s="61" t="str">
        <f>IFERROR(__xludf.DUMMYFUNCTION("INDIRECT(""'收支紀錄'!E""&amp;TO_TEXT(ROW()-$C$72))"),"")</f>
        <v/>
      </c>
      <c r="F947" s="61" t="str">
        <f>IFERROR(__xludf.DUMMYFUNCTION("INDIRECT(""'收支紀錄'!F""&amp;TO_TEXT(ROW()-$C$72))"),"")</f>
        <v/>
      </c>
      <c r="G947" s="61" t="str">
        <f>IFERROR(__xludf.DUMMYFUNCTION("INDIRECT(""'收支紀錄'!G""&amp;TO_TEXT(ROW()-$C$72))"),"")</f>
        <v/>
      </c>
      <c r="H947" s="61" t="str">
        <f>IFERROR(__xludf.DUMMYFUNCTION("INDIRECT(""'收支紀錄'!H""&amp;TO_TEXT(ROW()-$C$72))"),"行車交通")</f>
        <v>行車交通</v>
      </c>
      <c r="I947" s="61" t="str">
        <f>IFERROR(__xludf.DUMMYFUNCTION("INDIRECT(""'收支紀錄'!I""&amp;TO_TEXT(ROW()-$C$72))"),"")</f>
        <v/>
      </c>
      <c r="J947" s="61" t="str">
        <f>IFERROR(__xludf.DUMMYFUNCTION("INDIRECT(""'收支紀錄'!J""&amp;TO_TEXT(ROW()-$C$72))"),"")</f>
        <v/>
      </c>
      <c r="K947" s="61" t="str">
        <f>IFERROR(__xludf.DUMMYFUNCTION("INDIRECT(""'收支紀錄'!K""&amp;TO_TEXT(ROW()-$C$72))"),"")</f>
        <v/>
      </c>
      <c r="L947" s="61" t="str">
        <f>IFERROR(__xludf.DUMMYFUNCTION("INDIRECT(""'收支紀錄'!L""&amp;TO_TEXT(ROW()-$C$72))"),"加油")</f>
        <v>加油</v>
      </c>
      <c r="M947" s="61" t="str">
        <f>IFERROR(__xludf.DUMMYFUNCTION("INDIRECT(""'收支紀錄'!M""&amp;TO_TEXT(ROW()-$C$72))"),"")</f>
        <v/>
      </c>
      <c r="N947" s="61" t="str">
        <f>IFERROR(__xludf.DUMMYFUNCTION("INDIRECT(""'收支紀錄'!N""&amp;TO_TEXT(ROW()-$C$72))"),"")</f>
        <v/>
      </c>
      <c r="O947" s="61" t="str">
        <f>IFERROR(__xludf.DUMMYFUNCTION("INDIRECT(""'收支紀錄'!O""&amp;TO_TEXT(ROW()-$C$72))"),"")</f>
        <v/>
      </c>
      <c r="P947" s="61" t="str">
        <f>IFERROR(__xludf.DUMMYFUNCTION("INDIRECT(""'收支紀錄'!P""&amp;TO_TEXT(ROW()-$C$72))"),"")</f>
        <v/>
      </c>
      <c r="Q947" s="61" t="str">
        <f>IFERROR(__xludf.DUMMYFUNCTION("INDIRECT(""'收支紀錄'!Q""&amp;TO_TEXT(ROW()-$C$72))"),"")</f>
        <v/>
      </c>
      <c r="R947" s="61" t="str">
        <f>IFERROR(__xludf.DUMMYFUNCTION("INDIRECT(""'收支紀錄'!R""&amp;TO_TEXT(ROW()-$C$72))"),"")</f>
        <v/>
      </c>
      <c r="S947" s="61" t="str">
        <f>IFERROR(__xludf.DUMMYFUNCTION("INDIRECT(""'收支紀錄'!S""&amp;TO_TEXT(ROW()-$C$72))"),"")</f>
        <v/>
      </c>
      <c r="T947" s="61" t="str">
        <f>IFERROR(__xludf.DUMMYFUNCTION("INDIRECT(""'收支紀錄'!T""&amp;TO_TEXT(ROW()-$C$72))"),"")</f>
        <v/>
      </c>
      <c r="U947" s="62" t="str">
        <f>IFERROR(__xludf.DUMMYFUNCTION("IF(T947=""是"",TEXTJOIN("""", TRUE, ""$"", TO_TEXT(C947), S947),"""")"),"")</f>
        <v/>
      </c>
    </row>
    <row r="948">
      <c r="A948" s="58">
        <f>IFERROR(__xludf.DUMMYFUNCTION("INDIRECT(""'收支紀錄'!A""&amp;TO_TEXT(ROW()-$C$72))"),45823.897394513886)</f>
        <v>45823.89739</v>
      </c>
      <c r="B948" s="59">
        <f>IFERROR(__xludf.DUMMYFUNCTION("IF(ISBLANK(D948), """", IF(ISDATE(D948), D948, IF(D948=""今天"", A948, IF(D948=""昨天 (-1 day)"", A948-1, IF(D948=""前天 (-2 days)"", A948-2, IF(D948=""明天 (+1 day)"", A948+1, DATE(LEFT(D948,4), MID(D948,5,2), RIGHT(D948,2))))))))"),45823.897394513886)</f>
        <v>45823.89739</v>
      </c>
      <c r="C948" s="60">
        <f>IFERROR(__xludf.DUMMYFUNCTION("INDIRECT(""'收支紀錄'!C""&amp;TO_TEXT(ROW()-$C$72))"),142.0)</f>
        <v>142</v>
      </c>
      <c r="D948" s="63" t="str">
        <f>IFERROR(__xludf.DUMMYFUNCTION("INDIRECT(""'收支紀錄'!D""&amp;TO_TEXT(ROW()-$C$72))"),"今天")</f>
        <v>今天</v>
      </c>
      <c r="E948" s="61" t="str">
        <f>IFERROR(__xludf.DUMMYFUNCTION("INDIRECT(""'收支紀錄'!E""&amp;TO_TEXT(ROW()-$C$72))"),"")</f>
        <v/>
      </c>
      <c r="F948" s="61" t="str">
        <f>IFERROR(__xludf.DUMMYFUNCTION("INDIRECT(""'收支紀錄'!F""&amp;TO_TEXT(ROW()-$C$72))"),"")</f>
        <v/>
      </c>
      <c r="G948" s="61" t="str">
        <f>IFERROR(__xludf.DUMMYFUNCTION("INDIRECT(""'收支紀錄'!G""&amp;TO_TEXT(ROW()-$C$72))"),"")</f>
        <v/>
      </c>
      <c r="H948" s="61" t="str">
        <f>IFERROR(__xludf.DUMMYFUNCTION("INDIRECT(""'收支紀錄'!H""&amp;TO_TEXT(ROW()-$C$72))"),"食品酒水")</f>
        <v>食品酒水</v>
      </c>
      <c r="I948" s="61" t="str">
        <f>IFERROR(__xludf.DUMMYFUNCTION("INDIRECT(""'收支紀錄'!I""&amp;TO_TEXT(ROW()-$C$72))"),"晚餐")</f>
        <v>晚餐</v>
      </c>
      <c r="J948" s="61" t="str">
        <f>IFERROR(__xludf.DUMMYFUNCTION("INDIRECT(""'收支紀錄'!J""&amp;TO_TEXT(ROW()-$C$72))"),"")</f>
        <v/>
      </c>
      <c r="K948" s="61" t="str">
        <f>IFERROR(__xludf.DUMMYFUNCTION("INDIRECT(""'收支紀錄'!K""&amp;TO_TEXT(ROW()-$C$72))"),"")</f>
        <v/>
      </c>
      <c r="L948" s="61" t="str">
        <f>IFERROR(__xludf.DUMMYFUNCTION("INDIRECT(""'收支紀錄'!L""&amp;TO_TEXT(ROW()-$C$72))"),"")</f>
        <v/>
      </c>
      <c r="M948" s="61" t="str">
        <f>IFERROR(__xludf.DUMMYFUNCTION("INDIRECT(""'收支紀錄'!M""&amp;TO_TEXT(ROW()-$C$72))"),"")</f>
        <v/>
      </c>
      <c r="N948" s="61" t="str">
        <f>IFERROR(__xludf.DUMMYFUNCTION("INDIRECT(""'收支紀錄'!N""&amp;TO_TEXT(ROW()-$C$72))"),"")</f>
        <v/>
      </c>
      <c r="O948" s="61" t="str">
        <f>IFERROR(__xludf.DUMMYFUNCTION("INDIRECT(""'收支紀錄'!O""&amp;TO_TEXT(ROW()-$C$72))"),"")</f>
        <v/>
      </c>
      <c r="P948" s="61" t="str">
        <f>IFERROR(__xludf.DUMMYFUNCTION("INDIRECT(""'收支紀錄'!P""&amp;TO_TEXT(ROW()-$C$72))"),"")</f>
        <v/>
      </c>
      <c r="Q948" s="61" t="str">
        <f>IFERROR(__xludf.DUMMYFUNCTION("INDIRECT(""'收支紀錄'!Q""&amp;TO_TEXT(ROW()-$C$72))"),"")</f>
        <v/>
      </c>
      <c r="R948" s="61" t="str">
        <f>IFERROR(__xludf.DUMMYFUNCTION("INDIRECT(""'收支紀錄'!R""&amp;TO_TEXT(ROW()-$C$72))"),"")</f>
        <v/>
      </c>
      <c r="S948" s="61" t="str">
        <f>IFERROR(__xludf.DUMMYFUNCTION("INDIRECT(""'收支紀錄'!S""&amp;TO_TEXT(ROW()-$C$72))"),"")</f>
        <v/>
      </c>
      <c r="T948" s="61" t="str">
        <f>IFERROR(__xludf.DUMMYFUNCTION("INDIRECT(""'收支紀錄'!T""&amp;TO_TEXT(ROW()-$C$72))"),"")</f>
        <v/>
      </c>
      <c r="U948" s="62" t="str">
        <f>IFERROR(__xludf.DUMMYFUNCTION("IF(T948=""是"",TEXTJOIN("""", TRUE, ""$"", TO_TEXT(C948), S948),"""")"),"")</f>
        <v/>
      </c>
    </row>
    <row r="949">
      <c r="A949" s="58">
        <f>IFERROR(__xludf.DUMMYFUNCTION("INDIRECT(""'收支紀錄'!A""&amp;TO_TEXT(ROW()-$C$72))"),45823.89804318287)</f>
        <v>45823.89804</v>
      </c>
      <c r="B949" s="59">
        <f>IFERROR(__xludf.DUMMYFUNCTION("IF(ISBLANK(D949), """", IF(ISDATE(D949), D949, IF(D949=""今天"", A949, IF(D949=""昨天 (-1 day)"", A949-1, IF(D949=""前天 (-2 days)"", A949-2, IF(D949=""明天 (+1 day)"", A949+1, DATE(LEFT(D949,4), MID(D949,5,2), RIGHT(D949,2))))))))"),45824.89804318287)</f>
        <v>45824.89804</v>
      </c>
      <c r="C949" s="60">
        <f>IFERROR(__xludf.DUMMYFUNCTION("INDIRECT(""'收支紀錄'!C""&amp;TO_TEXT(ROW()-$C$72))"),699.0)</f>
        <v>699</v>
      </c>
      <c r="D949" s="63" t="str">
        <f>IFERROR(__xludf.DUMMYFUNCTION("INDIRECT(""'收支紀錄'!D""&amp;TO_TEXT(ROW()-$C$72))"),"明天 (+1 day)")</f>
        <v>明天 (+1 day)</v>
      </c>
      <c r="E949" s="61" t="str">
        <f>IFERROR(__xludf.DUMMYFUNCTION("INDIRECT(""'收支紀錄'!E""&amp;TO_TEXT(ROW()-$C$72))"),"")</f>
        <v/>
      </c>
      <c r="F949" s="61" t="str">
        <f>IFERROR(__xludf.DUMMYFUNCTION("INDIRECT(""'收支紀錄'!F""&amp;TO_TEXT(ROW()-$C$72))"),"")</f>
        <v/>
      </c>
      <c r="G949" s="61" t="str">
        <f>IFERROR(__xludf.DUMMYFUNCTION("INDIRECT(""'收支紀錄'!G""&amp;TO_TEXT(ROW()-$C$72))"),"")</f>
        <v/>
      </c>
      <c r="H949" s="61" t="str">
        <f>IFERROR(__xludf.DUMMYFUNCTION("INDIRECT(""'收支紀錄'!H""&amp;TO_TEXT(ROW()-$C$72))"),"行車交通")</f>
        <v>行車交通</v>
      </c>
      <c r="I949" s="61" t="str">
        <f>IFERROR(__xludf.DUMMYFUNCTION("INDIRECT(""'收支紀錄'!I""&amp;TO_TEXT(ROW()-$C$72))"),"")</f>
        <v/>
      </c>
      <c r="J949" s="61" t="str">
        <f>IFERROR(__xludf.DUMMYFUNCTION("INDIRECT(""'收支紀錄'!J""&amp;TO_TEXT(ROW()-$C$72))"),"")</f>
        <v/>
      </c>
      <c r="K949" s="61" t="str">
        <f>IFERROR(__xludf.DUMMYFUNCTION("INDIRECT(""'收支紀錄'!K""&amp;TO_TEXT(ROW()-$C$72))"),"")</f>
        <v/>
      </c>
      <c r="L949" s="61" t="str">
        <f>IFERROR(__xludf.DUMMYFUNCTION("INDIRECT(""'收支紀錄'!L""&amp;TO_TEXT(ROW()-$C$72))"),"捷運費")</f>
        <v>捷運費</v>
      </c>
      <c r="M949" s="61" t="str">
        <f>IFERROR(__xludf.DUMMYFUNCTION("INDIRECT(""'收支紀錄'!M""&amp;TO_TEXT(ROW()-$C$72))"),"")</f>
        <v/>
      </c>
      <c r="N949" s="61" t="str">
        <f>IFERROR(__xludf.DUMMYFUNCTION("INDIRECT(""'收支紀錄'!N""&amp;TO_TEXT(ROW()-$C$72))"),"")</f>
        <v/>
      </c>
      <c r="O949" s="61" t="str">
        <f>IFERROR(__xludf.DUMMYFUNCTION("INDIRECT(""'收支紀錄'!O""&amp;TO_TEXT(ROW()-$C$72))"),"")</f>
        <v/>
      </c>
      <c r="P949" s="61" t="str">
        <f>IFERROR(__xludf.DUMMYFUNCTION("INDIRECT(""'收支紀錄'!P""&amp;TO_TEXT(ROW()-$C$72))"),"")</f>
        <v/>
      </c>
      <c r="Q949" s="61" t="str">
        <f>IFERROR(__xludf.DUMMYFUNCTION("INDIRECT(""'收支紀錄'!Q""&amp;TO_TEXT(ROW()-$C$72))"),"")</f>
        <v/>
      </c>
      <c r="R949" s="61" t="str">
        <f>IFERROR(__xludf.DUMMYFUNCTION("INDIRECT(""'收支紀錄'!R""&amp;TO_TEXT(ROW()-$C$72))"),"")</f>
        <v/>
      </c>
      <c r="S949" s="61" t="str">
        <f>IFERROR(__xludf.DUMMYFUNCTION("INDIRECT(""'收支紀錄'!S""&amp;TO_TEXT(ROW()-$C$72))"),"")</f>
        <v/>
      </c>
      <c r="T949" s="61" t="str">
        <f>IFERROR(__xludf.DUMMYFUNCTION("INDIRECT(""'收支紀錄'!T""&amp;TO_TEXT(ROW()-$C$72))"),"")</f>
        <v/>
      </c>
      <c r="U949" s="62" t="str">
        <f>IFERROR(__xludf.DUMMYFUNCTION("IF(T949=""是"",TEXTJOIN("""", TRUE, ""$"", TO_TEXT(C949), S949),"""")"),"")</f>
        <v/>
      </c>
    </row>
    <row r="950">
      <c r="A950" s="58">
        <f>IFERROR(__xludf.DUMMYFUNCTION("INDIRECT(""'收支紀錄'!A""&amp;TO_TEXT(ROW()-$C$72))"),45825.51126056713)</f>
        <v>45825.51126</v>
      </c>
      <c r="B950" s="59">
        <f>IFERROR(__xludf.DUMMYFUNCTION("IF(ISBLANK(D950), """", IF(ISDATE(D950), D950, IF(D950=""今天"", A950, IF(D950=""昨天 (-1 day)"", A950-1, IF(D950=""前天 (-2 days)"", A950-2, IF(D950=""明天 (+1 day)"", A950+1, DATE(LEFT(D950,4), MID(D950,5,2), RIGHT(D950,2))))))))"),45825.51126056713)</f>
        <v>45825.51126</v>
      </c>
      <c r="C950" s="60">
        <f>IFERROR(__xludf.DUMMYFUNCTION("INDIRECT(""'收支紀錄'!C""&amp;TO_TEXT(ROW()-$C$72))"),1300.0)</f>
        <v>1300</v>
      </c>
      <c r="D950" s="63" t="str">
        <f>IFERROR(__xludf.DUMMYFUNCTION("INDIRECT(""'收支紀錄'!D""&amp;TO_TEXT(ROW()-$C$72))"),"今天")</f>
        <v>今天</v>
      </c>
      <c r="E950" s="61" t="str">
        <f>IFERROR(__xludf.DUMMYFUNCTION("INDIRECT(""'收支紀錄'!E""&amp;TO_TEXT(ROW()-$C$72))"),"")</f>
        <v/>
      </c>
      <c r="F950" s="61" t="str">
        <f>IFERROR(__xludf.DUMMYFUNCTION("INDIRECT(""'收支紀錄'!F""&amp;TO_TEXT(ROW()-$C$72))"),"")</f>
        <v/>
      </c>
      <c r="G950" s="61" t="str">
        <f>IFERROR(__xludf.DUMMYFUNCTION("INDIRECT(""'收支紀錄'!G""&amp;TO_TEXT(ROW()-$C$72))"),"")</f>
        <v/>
      </c>
      <c r="H950" s="61" t="str">
        <f>IFERROR(__xludf.DUMMYFUNCTION("INDIRECT(""'收支紀錄'!H""&amp;TO_TEXT(ROW()-$C$72))"),"食品酒水")</f>
        <v>食品酒水</v>
      </c>
      <c r="I950" s="61" t="str">
        <f>IFERROR(__xludf.DUMMYFUNCTION("INDIRECT(""'收支紀錄'!I""&amp;TO_TEXT(ROW()-$C$72))"),"食材")</f>
        <v>食材</v>
      </c>
      <c r="J950" s="61" t="str">
        <f>IFERROR(__xludf.DUMMYFUNCTION("INDIRECT(""'收支紀錄'!J""&amp;TO_TEXT(ROW()-$C$72))"),"")</f>
        <v/>
      </c>
      <c r="K950" s="61" t="str">
        <f>IFERROR(__xludf.DUMMYFUNCTION("INDIRECT(""'收支紀錄'!K""&amp;TO_TEXT(ROW()-$C$72))"),"")</f>
        <v/>
      </c>
      <c r="L950" s="61" t="str">
        <f>IFERROR(__xludf.DUMMYFUNCTION("INDIRECT(""'收支紀錄'!L""&amp;TO_TEXT(ROW()-$C$72))"),"")</f>
        <v/>
      </c>
      <c r="M950" s="61" t="str">
        <f>IFERROR(__xludf.DUMMYFUNCTION("INDIRECT(""'收支紀錄'!M""&amp;TO_TEXT(ROW()-$C$72))"),"")</f>
        <v/>
      </c>
      <c r="N950" s="61" t="str">
        <f>IFERROR(__xludf.DUMMYFUNCTION("INDIRECT(""'收支紀錄'!N""&amp;TO_TEXT(ROW()-$C$72))"),"")</f>
        <v/>
      </c>
      <c r="O950" s="61" t="str">
        <f>IFERROR(__xludf.DUMMYFUNCTION("INDIRECT(""'收支紀錄'!O""&amp;TO_TEXT(ROW()-$C$72))"),"")</f>
        <v/>
      </c>
      <c r="P950" s="61" t="str">
        <f>IFERROR(__xludf.DUMMYFUNCTION("INDIRECT(""'收支紀錄'!P""&amp;TO_TEXT(ROW()-$C$72))"),"")</f>
        <v/>
      </c>
      <c r="Q950" s="61" t="str">
        <f>IFERROR(__xludf.DUMMYFUNCTION("INDIRECT(""'收支紀錄'!Q""&amp;TO_TEXT(ROW()-$C$72))"),"")</f>
        <v/>
      </c>
      <c r="R950" s="61" t="str">
        <f>IFERROR(__xludf.DUMMYFUNCTION("INDIRECT(""'收支紀錄'!R""&amp;TO_TEXT(ROW()-$C$72))"),"")</f>
        <v/>
      </c>
      <c r="S950" s="61" t="str">
        <f>IFERROR(__xludf.DUMMYFUNCTION("INDIRECT(""'收支紀錄'!S""&amp;TO_TEXT(ROW()-$C$72))"),"寶買牛肉")</f>
        <v>寶買牛肉</v>
      </c>
      <c r="T950" s="61" t="str">
        <f>IFERROR(__xludf.DUMMYFUNCTION("INDIRECT(""'收支紀錄'!T""&amp;TO_TEXT(ROW()-$C$72))"),"")</f>
        <v/>
      </c>
      <c r="U950" s="62" t="str">
        <f>IFERROR(__xludf.DUMMYFUNCTION("IF(T950=""是"",TEXTJOIN("""", TRUE, ""$"", TO_TEXT(C950), S950),"""")"),"")</f>
        <v/>
      </c>
    </row>
    <row r="951">
      <c r="A951" s="58">
        <f>IFERROR(__xludf.DUMMYFUNCTION("INDIRECT(""'收支紀錄'!A""&amp;TO_TEXT(ROW()-$C$72))"),45827.960445000004)</f>
        <v>45827.96045</v>
      </c>
      <c r="B951" s="59">
        <f>IFERROR(__xludf.DUMMYFUNCTION("IF(ISBLANK(D951), """", IF(ISDATE(D951), D951, IF(D951=""今天"", A951, IF(D951=""昨天 (-1 day)"", A951-1, IF(D951=""前天 (-2 days)"", A951-2, IF(D951=""明天 (+1 day)"", A951+1, DATE(LEFT(D951,4), MID(D951,5,2), RIGHT(D951,2))))))))"),45827.960445000004)</f>
        <v>45827.96045</v>
      </c>
      <c r="C951" s="60">
        <f>IFERROR(__xludf.DUMMYFUNCTION("INDIRECT(""'收支紀錄'!C""&amp;TO_TEXT(ROW()-$C$72))"),35.0)</f>
        <v>35</v>
      </c>
      <c r="D951" s="63" t="str">
        <f>IFERROR(__xludf.DUMMYFUNCTION("INDIRECT(""'收支紀錄'!D""&amp;TO_TEXT(ROW()-$C$72))"),"今天")</f>
        <v>今天</v>
      </c>
      <c r="E951" s="61" t="str">
        <f>IFERROR(__xludf.DUMMYFUNCTION("INDIRECT(""'收支紀錄'!E""&amp;TO_TEXT(ROW()-$C$72))"),"")</f>
        <v/>
      </c>
      <c r="F951" s="61" t="str">
        <f>IFERROR(__xludf.DUMMYFUNCTION("INDIRECT(""'收支紀錄'!F""&amp;TO_TEXT(ROW()-$C$72))"),"")</f>
        <v/>
      </c>
      <c r="G951" s="61" t="str">
        <f>IFERROR(__xludf.DUMMYFUNCTION("INDIRECT(""'收支紀錄'!G""&amp;TO_TEXT(ROW()-$C$72))"),"")</f>
        <v/>
      </c>
      <c r="H951" s="61" t="str">
        <f>IFERROR(__xludf.DUMMYFUNCTION("INDIRECT(""'收支紀錄'!H""&amp;TO_TEXT(ROW()-$C$72))"),"行車交通")</f>
        <v>行車交通</v>
      </c>
      <c r="I951" s="61" t="str">
        <f>IFERROR(__xludf.DUMMYFUNCTION("INDIRECT(""'收支紀錄'!I""&amp;TO_TEXT(ROW()-$C$72))"),"")</f>
        <v/>
      </c>
      <c r="J951" s="61" t="str">
        <f>IFERROR(__xludf.DUMMYFUNCTION("INDIRECT(""'收支紀錄'!J""&amp;TO_TEXT(ROW()-$C$72))"),"")</f>
        <v/>
      </c>
      <c r="K951" s="61" t="str">
        <f>IFERROR(__xludf.DUMMYFUNCTION("INDIRECT(""'收支紀錄'!K""&amp;TO_TEXT(ROW()-$C$72))"),"")</f>
        <v/>
      </c>
      <c r="L951" s="61" t="str">
        <f>IFERROR(__xludf.DUMMYFUNCTION("INDIRECT(""'收支紀錄'!L""&amp;TO_TEXT(ROW()-$C$72))"),"捷運費")</f>
        <v>捷運費</v>
      </c>
      <c r="M951" s="61" t="str">
        <f>IFERROR(__xludf.DUMMYFUNCTION("INDIRECT(""'收支紀錄'!M""&amp;TO_TEXT(ROW()-$C$72))"),"")</f>
        <v/>
      </c>
      <c r="N951" s="61" t="str">
        <f>IFERROR(__xludf.DUMMYFUNCTION("INDIRECT(""'收支紀錄'!N""&amp;TO_TEXT(ROW()-$C$72))"),"")</f>
        <v/>
      </c>
      <c r="O951" s="61" t="str">
        <f>IFERROR(__xludf.DUMMYFUNCTION("INDIRECT(""'收支紀錄'!O""&amp;TO_TEXT(ROW()-$C$72))"),"")</f>
        <v/>
      </c>
      <c r="P951" s="61" t="str">
        <f>IFERROR(__xludf.DUMMYFUNCTION("INDIRECT(""'收支紀錄'!P""&amp;TO_TEXT(ROW()-$C$72))"),"")</f>
        <v/>
      </c>
      <c r="Q951" s="61" t="str">
        <f>IFERROR(__xludf.DUMMYFUNCTION("INDIRECT(""'收支紀錄'!Q""&amp;TO_TEXT(ROW()-$C$72))"),"")</f>
        <v/>
      </c>
      <c r="R951" s="61" t="str">
        <f>IFERROR(__xludf.DUMMYFUNCTION("INDIRECT(""'收支紀錄'!R""&amp;TO_TEXT(ROW()-$C$72))"),"")</f>
        <v/>
      </c>
      <c r="S951" s="61" t="str">
        <f>IFERROR(__xludf.DUMMYFUNCTION("INDIRECT(""'收支紀錄'!S""&amp;TO_TEXT(ROW()-$C$72))"),"")</f>
        <v/>
      </c>
      <c r="T951" s="61" t="str">
        <f>IFERROR(__xludf.DUMMYFUNCTION("INDIRECT(""'收支紀錄'!T""&amp;TO_TEXT(ROW()-$C$72))"),"")</f>
        <v/>
      </c>
      <c r="U951" s="62" t="str">
        <f>IFERROR(__xludf.DUMMYFUNCTION("IF(T951=""是"",TEXTJOIN("""", TRUE, ""$"", TO_TEXT(C951), S951),"""")"),"")</f>
        <v/>
      </c>
    </row>
    <row r="952">
      <c r="A952" s="58">
        <f>IFERROR(__xludf.DUMMYFUNCTION("INDIRECT(""'收支紀錄'!A""&amp;TO_TEXT(ROW()-$C$72))"),45828.69188604166)</f>
        <v>45828.69189</v>
      </c>
      <c r="B952" s="59">
        <f>IFERROR(__xludf.DUMMYFUNCTION("IF(ISBLANK(D952), """", IF(ISDATE(D952), D952, IF(D952=""今天"", A952, IF(D952=""昨天 (-1 day)"", A952-1, IF(D952=""前天 (-2 days)"", A952-2, IF(D952=""明天 (+1 day)"", A952+1, DATE(LEFT(D952,4), MID(D952,5,2), RIGHT(D952,2))))))))"),45828.69188604166)</f>
        <v>45828.69189</v>
      </c>
      <c r="C952" s="60">
        <f>IFERROR(__xludf.DUMMYFUNCTION("INDIRECT(""'收支紀錄'!C""&amp;TO_TEXT(ROW()-$C$72))"),15000.0)</f>
        <v>15000</v>
      </c>
      <c r="D952" s="63" t="str">
        <f>IFERROR(__xludf.DUMMYFUNCTION("INDIRECT(""'收支紀錄'!D""&amp;TO_TEXT(ROW()-$C$72))"),"今天")</f>
        <v>今天</v>
      </c>
      <c r="E952" s="61" t="str">
        <f>IFERROR(__xludf.DUMMYFUNCTION("INDIRECT(""'收支紀錄'!E""&amp;TO_TEXT(ROW()-$C$72))"),"")</f>
        <v/>
      </c>
      <c r="F952" s="61" t="str">
        <f>IFERROR(__xludf.DUMMYFUNCTION("INDIRECT(""'收支紀錄'!F""&amp;TO_TEXT(ROW()-$C$72))"),"")</f>
        <v/>
      </c>
      <c r="G952" s="61" t="str">
        <f>IFERROR(__xludf.DUMMYFUNCTION("INDIRECT(""'收支紀錄'!G""&amp;TO_TEXT(ROW()-$C$72))"),"")</f>
        <v/>
      </c>
      <c r="H952" s="61" t="str">
        <f>IFERROR(__xludf.DUMMYFUNCTION("INDIRECT(""'收支紀錄'!H""&amp;TO_TEXT(ROW()-$C$72))"),"醫療費用")</f>
        <v>醫療費用</v>
      </c>
      <c r="I952" s="61" t="str">
        <f>IFERROR(__xludf.DUMMYFUNCTION("INDIRECT(""'收支紀錄'!I""&amp;TO_TEXT(ROW()-$C$72))"),"")</f>
        <v/>
      </c>
      <c r="J952" s="61" t="str">
        <f>IFERROR(__xludf.DUMMYFUNCTION("INDIRECT(""'收支紀錄'!J""&amp;TO_TEXT(ROW()-$C$72))"),"")</f>
        <v/>
      </c>
      <c r="K952" s="61" t="str">
        <f>IFERROR(__xludf.DUMMYFUNCTION("INDIRECT(""'收支紀錄'!K""&amp;TO_TEXT(ROW()-$C$72))"),"")</f>
        <v/>
      </c>
      <c r="L952" s="61" t="str">
        <f>IFERROR(__xludf.DUMMYFUNCTION("INDIRECT(""'收支紀錄'!L""&amp;TO_TEXT(ROW()-$C$72))"),"")</f>
        <v/>
      </c>
      <c r="M952" s="61" t="str">
        <f>IFERROR(__xludf.DUMMYFUNCTION("INDIRECT(""'收支紀錄'!M""&amp;TO_TEXT(ROW()-$C$72))"),"")</f>
        <v/>
      </c>
      <c r="N952" s="61" t="str">
        <f>IFERROR(__xludf.DUMMYFUNCTION("INDIRECT(""'收支紀錄'!N""&amp;TO_TEXT(ROW()-$C$72))"),"")</f>
        <v/>
      </c>
      <c r="O952" s="61" t="str">
        <f>IFERROR(__xludf.DUMMYFUNCTION("INDIRECT(""'收支紀錄'!O""&amp;TO_TEXT(ROW()-$C$72))"),"生病醫療")</f>
        <v>生病醫療</v>
      </c>
      <c r="P952" s="61" t="str">
        <f>IFERROR(__xludf.DUMMYFUNCTION("INDIRECT(""'收支紀錄'!P""&amp;TO_TEXT(ROW()-$C$72))"),"")</f>
        <v/>
      </c>
      <c r="Q952" s="61" t="str">
        <f>IFERROR(__xludf.DUMMYFUNCTION("INDIRECT(""'收支紀錄'!Q""&amp;TO_TEXT(ROW()-$C$72))"),"")</f>
        <v/>
      </c>
      <c r="R952" s="61" t="str">
        <f>IFERROR(__xludf.DUMMYFUNCTION("INDIRECT(""'收支紀錄'!R""&amp;TO_TEXT(ROW()-$C$72))"),"")</f>
        <v/>
      </c>
      <c r="S952" s="61" t="str">
        <f>IFERROR(__xludf.DUMMYFUNCTION("INDIRECT(""'收支紀錄'!S""&amp;TO_TEXT(ROW()-$C$72))"),"長庚體檢")</f>
        <v>長庚體檢</v>
      </c>
      <c r="T952" s="61" t="str">
        <f>IFERROR(__xludf.DUMMYFUNCTION("INDIRECT(""'收支紀錄'!T""&amp;TO_TEXT(ROW()-$C$72))"),"是")</f>
        <v>是</v>
      </c>
      <c r="U952" s="62" t="str">
        <f>IFERROR(__xludf.DUMMYFUNCTION("IF(T952=""是"",TEXTJOIN("""", TRUE, ""$"", TO_TEXT(C952), S952),"""")"),"$15000長庚體檢")</f>
        <v>$15000長庚體檢</v>
      </c>
    </row>
    <row r="953">
      <c r="A953" s="58">
        <f>IFERROR(__xludf.DUMMYFUNCTION("INDIRECT(""'收支紀錄'!A""&amp;TO_TEXT(ROW()-$C$72))"),45829.355644247684)</f>
        <v>45829.35564</v>
      </c>
      <c r="B953" s="59">
        <f>IFERROR(__xludf.DUMMYFUNCTION("IF(ISBLANK(D953), """", IF(ISDATE(D953), D953, IF(D953=""今天"", A953, IF(D953=""昨天 (-1 day)"", A953-1, IF(D953=""前天 (-2 days)"", A953-2, IF(D953=""明天 (+1 day)"", A953+1, DATE(LEFT(D953,4), MID(D953,5,2), RIGHT(D953,2))))))))"),45828.355644247684)</f>
        <v>45828.35564</v>
      </c>
      <c r="C953" s="60">
        <f>IFERROR(__xludf.DUMMYFUNCTION("INDIRECT(""'收支紀錄'!C""&amp;TO_TEXT(ROW()-$C$72))"),2000.0)</f>
        <v>2000</v>
      </c>
      <c r="D953" s="63" t="str">
        <f>IFERROR(__xludf.DUMMYFUNCTION("INDIRECT(""'收支紀錄'!D""&amp;TO_TEXT(ROW()-$C$72))"),"昨天 (-1 day)")</f>
        <v>昨天 (-1 day)</v>
      </c>
      <c r="E953" s="61" t="str">
        <f>IFERROR(__xludf.DUMMYFUNCTION("INDIRECT(""'收支紀錄'!E""&amp;TO_TEXT(ROW()-$C$72))"),"")</f>
        <v/>
      </c>
      <c r="F953" s="61" t="str">
        <f>IFERROR(__xludf.DUMMYFUNCTION("INDIRECT(""'收支紀錄'!F""&amp;TO_TEXT(ROW()-$C$72))"),"")</f>
        <v/>
      </c>
      <c r="G953" s="61" t="str">
        <f>IFERROR(__xludf.DUMMYFUNCTION("INDIRECT(""'收支紀錄'!G""&amp;TO_TEXT(ROW()-$C$72))"),"")</f>
        <v/>
      </c>
      <c r="H953" s="61" t="str">
        <f>IFERROR(__xludf.DUMMYFUNCTION("INDIRECT(""'收支紀錄'!H""&amp;TO_TEXT(ROW()-$C$72))"),"食品酒水")</f>
        <v>食品酒水</v>
      </c>
      <c r="I953" s="61" t="str">
        <f>IFERROR(__xludf.DUMMYFUNCTION("INDIRECT(""'收支紀錄'!I""&amp;TO_TEXT(ROW()-$C$72))"),"晚餐")</f>
        <v>晚餐</v>
      </c>
      <c r="J953" s="61" t="str">
        <f>IFERROR(__xludf.DUMMYFUNCTION("INDIRECT(""'收支紀錄'!J""&amp;TO_TEXT(ROW()-$C$72))"),"")</f>
        <v/>
      </c>
      <c r="K953" s="61" t="str">
        <f>IFERROR(__xludf.DUMMYFUNCTION("INDIRECT(""'收支紀錄'!K""&amp;TO_TEXT(ROW()-$C$72))"),"")</f>
        <v/>
      </c>
      <c r="L953" s="61" t="str">
        <f>IFERROR(__xludf.DUMMYFUNCTION("INDIRECT(""'收支紀錄'!L""&amp;TO_TEXT(ROW()-$C$72))"),"")</f>
        <v/>
      </c>
      <c r="M953" s="61" t="str">
        <f>IFERROR(__xludf.DUMMYFUNCTION("INDIRECT(""'收支紀錄'!M""&amp;TO_TEXT(ROW()-$C$72))"),"")</f>
        <v/>
      </c>
      <c r="N953" s="61" t="str">
        <f>IFERROR(__xludf.DUMMYFUNCTION("INDIRECT(""'收支紀錄'!N""&amp;TO_TEXT(ROW()-$C$72))"),"")</f>
        <v/>
      </c>
      <c r="O953" s="61" t="str">
        <f>IFERROR(__xludf.DUMMYFUNCTION("INDIRECT(""'收支紀錄'!O""&amp;TO_TEXT(ROW()-$C$72))"),"")</f>
        <v/>
      </c>
      <c r="P953" s="61" t="str">
        <f>IFERROR(__xludf.DUMMYFUNCTION("INDIRECT(""'收支紀錄'!P""&amp;TO_TEXT(ROW()-$C$72))"),"")</f>
        <v/>
      </c>
      <c r="Q953" s="61" t="str">
        <f>IFERROR(__xludf.DUMMYFUNCTION("INDIRECT(""'收支紀錄'!Q""&amp;TO_TEXT(ROW()-$C$72))"),"")</f>
        <v/>
      </c>
      <c r="R953" s="61" t="str">
        <f>IFERROR(__xludf.DUMMYFUNCTION("INDIRECT(""'收支紀錄'!R""&amp;TO_TEXT(ROW()-$C$72))"),"")</f>
        <v/>
      </c>
      <c r="S953" s="61" t="str">
        <f>IFERROR(__xludf.DUMMYFUNCTION("INDIRECT(""'收支紀錄'!S""&amp;TO_TEXT(ROW()-$C$72))"),"燒肉幫蓋付")</f>
        <v>燒肉幫蓋付</v>
      </c>
      <c r="T953" s="61" t="str">
        <f>IFERROR(__xludf.DUMMYFUNCTION("INDIRECT(""'收支紀錄'!T""&amp;TO_TEXT(ROW()-$C$72))"),"")</f>
        <v/>
      </c>
      <c r="U953" s="62" t="str">
        <f>IFERROR(__xludf.DUMMYFUNCTION("IF(T953=""是"",TEXTJOIN("""", TRUE, ""$"", TO_TEXT(C953), S953),"""")"),"")</f>
        <v/>
      </c>
    </row>
    <row r="954">
      <c r="A954" s="58">
        <f>IFERROR(__xludf.DUMMYFUNCTION("INDIRECT(""'收支紀錄'!A""&amp;TO_TEXT(ROW()-$C$72))"),45830.332378657404)</f>
        <v>45830.33238</v>
      </c>
      <c r="B954" s="59">
        <f>IFERROR(__xludf.DUMMYFUNCTION("IF(ISBLANK(D954), """", IF(ISDATE(D954), D954, IF(D954=""今天"", A954, IF(D954=""昨天 (-1 day)"", A954-1, IF(D954=""前天 (-2 days)"", A954-2, IF(D954=""明天 (+1 day)"", A954+1, DATE(LEFT(D954,4), MID(D954,5,2), RIGHT(D954,2))))))))"),45829.332378657404)</f>
        <v>45829.33238</v>
      </c>
      <c r="C954" s="60">
        <f>IFERROR(__xludf.DUMMYFUNCTION("INDIRECT(""'收支紀錄'!C""&amp;TO_TEXT(ROW()-$C$72))"),80.0)</f>
        <v>80</v>
      </c>
      <c r="D954" s="63" t="str">
        <f>IFERROR(__xludf.DUMMYFUNCTION("INDIRECT(""'收支紀錄'!D""&amp;TO_TEXT(ROW()-$C$72))"),"昨天 (-1 day)")</f>
        <v>昨天 (-1 day)</v>
      </c>
      <c r="E954" s="61" t="str">
        <f>IFERROR(__xludf.DUMMYFUNCTION("INDIRECT(""'收支紀錄'!E""&amp;TO_TEXT(ROW()-$C$72))"),"")</f>
        <v/>
      </c>
      <c r="F954" s="61" t="str">
        <f>IFERROR(__xludf.DUMMYFUNCTION("INDIRECT(""'收支紀錄'!F""&amp;TO_TEXT(ROW()-$C$72))"),"")</f>
        <v/>
      </c>
      <c r="G954" s="61" t="str">
        <f>IFERROR(__xludf.DUMMYFUNCTION("INDIRECT(""'收支紀錄'!G""&amp;TO_TEXT(ROW()-$C$72))"),"")</f>
        <v/>
      </c>
      <c r="H954" s="61" t="str">
        <f>IFERROR(__xludf.DUMMYFUNCTION("INDIRECT(""'收支紀錄'!H""&amp;TO_TEXT(ROW()-$C$72))"),"行車交通")</f>
        <v>行車交通</v>
      </c>
      <c r="I954" s="61" t="str">
        <f>IFERROR(__xludf.DUMMYFUNCTION("INDIRECT(""'收支紀錄'!I""&amp;TO_TEXT(ROW()-$C$72))"),"")</f>
        <v/>
      </c>
      <c r="J954" s="61" t="str">
        <f>IFERROR(__xludf.DUMMYFUNCTION("INDIRECT(""'收支紀錄'!J""&amp;TO_TEXT(ROW()-$C$72))"),"")</f>
        <v/>
      </c>
      <c r="K954" s="61" t="str">
        <f>IFERROR(__xludf.DUMMYFUNCTION("INDIRECT(""'收支紀錄'!K""&amp;TO_TEXT(ROW()-$C$72))"),"")</f>
        <v/>
      </c>
      <c r="L954" s="61" t="str">
        <f>IFERROR(__xludf.DUMMYFUNCTION("INDIRECT(""'收支紀錄'!L""&amp;TO_TEXT(ROW()-$C$72))"),"停車")</f>
        <v>停車</v>
      </c>
      <c r="M954" s="61" t="str">
        <f>IFERROR(__xludf.DUMMYFUNCTION("INDIRECT(""'收支紀錄'!M""&amp;TO_TEXT(ROW()-$C$72))"),"")</f>
        <v/>
      </c>
      <c r="N954" s="61" t="str">
        <f>IFERROR(__xludf.DUMMYFUNCTION("INDIRECT(""'收支紀錄'!N""&amp;TO_TEXT(ROW()-$C$72))"),"")</f>
        <v/>
      </c>
      <c r="O954" s="61" t="str">
        <f>IFERROR(__xludf.DUMMYFUNCTION("INDIRECT(""'收支紀錄'!O""&amp;TO_TEXT(ROW()-$C$72))"),"")</f>
        <v/>
      </c>
      <c r="P954" s="61" t="str">
        <f>IFERROR(__xludf.DUMMYFUNCTION("INDIRECT(""'收支紀錄'!P""&amp;TO_TEXT(ROW()-$C$72))"),"")</f>
        <v/>
      </c>
      <c r="Q954" s="61" t="str">
        <f>IFERROR(__xludf.DUMMYFUNCTION("INDIRECT(""'收支紀錄'!Q""&amp;TO_TEXT(ROW()-$C$72))"),"")</f>
        <v/>
      </c>
      <c r="R954" s="61" t="str">
        <f>IFERROR(__xludf.DUMMYFUNCTION("INDIRECT(""'收支紀錄'!R""&amp;TO_TEXT(ROW()-$C$72))"),"")</f>
        <v/>
      </c>
      <c r="S954" s="61" t="str">
        <f>IFERROR(__xludf.DUMMYFUNCTION("INDIRECT(""'收支紀錄'!S""&amp;TO_TEXT(ROW()-$C$72))"),"")</f>
        <v/>
      </c>
      <c r="T954" s="61" t="str">
        <f>IFERROR(__xludf.DUMMYFUNCTION("INDIRECT(""'收支紀錄'!T""&amp;TO_TEXT(ROW()-$C$72))"),"")</f>
        <v/>
      </c>
      <c r="U954" s="62" t="str">
        <f>IFERROR(__xludf.DUMMYFUNCTION("IF(T954=""是"",TEXTJOIN("""", TRUE, ""$"", TO_TEXT(C954), S954),"""")"),"")</f>
        <v/>
      </c>
    </row>
    <row r="955">
      <c r="A955" s="58">
        <f>IFERROR(__xludf.DUMMYFUNCTION("INDIRECT(""'收支紀錄'!A""&amp;TO_TEXT(ROW()-$C$72))"),45830.61855800926)</f>
        <v>45830.61856</v>
      </c>
      <c r="B955" s="59">
        <f>IFERROR(__xludf.DUMMYFUNCTION("IF(ISBLANK(D955), """", IF(ISDATE(D955), D955, IF(D955=""今天"", A955, IF(D955=""昨天 (-1 day)"", A955-1, IF(D955=""前天 (-2 days)"", A955-2, IF(D955=""明天 (+1 day)"", A955+1, DATE(LEFT(D955,4), MID(D955,5,2), RIGHT(D955,2))))))))"),45830.61855800926)</f>
        <v>45830.61856</v>
      </c>
      <c r="C955" s="60">
        <f>IFERROR(__xludf.DUMMYFUNCTION("INDIRECT(""'收支紀錄'!C""&amp;TO_TEXT(ROW()-$C$72))"),35.0)</f>
        <v>35</v>
      </c>
      <c r="D955" s="63" t="str">
        <f>IFERROR(__xludf.DUMMYFUNCTION("INDIRECT(""'收支紀錄'!D""&amp;TO_TEXT(ROW()-$C$72))"),"今天")</f>
        <v>今天</v>
      </c>
      <c r="E955" s="61" t="str">
        <f>IFERROR(__xludf.DUMMYFUNCTION("INDIRECT(""'收支紀錄'!E""&amp;TO_TEXT(ROW()-$C$72))"),"")</f>
        <v/>
      </c>
      <c r="F955" s="61" t="str">
        <f>IFERROR(__xludf.DUMMYFUNCTION("INDIRECT(""'收支紀錄'!F""&amp;TO_TEXT(ROW()-$C$72))"),"")</f>
        <v/>
      </c>
      <c r="G955" s="61" t="str">
        <f>IFERROR(__xludf.DUMMYFUNCTION("INDIRECT(""'收支紀錄'!G""&amp;TO_TEXT(ROW()-$C$72))"),"")</f>
        <v/>
      </c>
      <c r="H955" s="61" t="str">
        <f>IFERROR(__xludf.DUMMYFUNCTION("INDIRECT(""'收支紀錄'!H""&amp;TO_TEXT(ROW()-$C$72))"),"行車交通")</f>
        <v>行車交通</v>
      </c>
      <c r="I955" s="61" t="str">
        <f>IFERROR(__xludf.DUMMYFUNCTION("INDIRECT(""'收支紀錄'!I""&amp;TO_TEXT(ROW()-$C$72))"),"")</f>
        <v/>
      </c>
      <c r="J955" s="61" t="str">
        <f>IFERROR(__xludf.DUMMYFUNCTION("INDIRECT(""'收支紀錄'!J""&amp;TO_TEXT(ROW()-$C$72))"),"")</f>
        <v/>
      </c>
      <c r="K955" s="61" t="str">
        <f>IFERROR(__xludf.DUMMYFUNCTION("INDIRECT(""'收支紀錄'!K""&amp;TO_TEXT(ROW()-$C$72))"),"")</f>
        <v/>
      </c>
      <c r="L955" s="61" t="str">
        <f>IFERROR(__xludf.DUMMYFUNCTION("INDIRECT(""'收支紀錄'!L""&amp;TO_TEXT(ROW()-$C$72))"),"捷運費")</f>
        <v>捷運費</v>
      </c>
      <c r="M955" s="61" t="str">
        <f>IFERROR(__xludf.DUMMYFUNCTION("INDIRECT(""'收支紀錄'!M""&amp;TO_TEXT(ROW()-$C$72))"),"")</f>
        <v/>
      </c>
      <c r="N955" s="61" t="str">
        <f>IFERROR(__xludf.DUMMYFUNCTION("INDIRECT(""'收支紀錄'!N""&amp;TO_TEXT(ROW()-$C$72))"),"")</f>
        <v/>
      </c>
      <c r="O955" s="61" t="str">
        <f>IFERROR(__xludf.DUMMYFUNCTION("INDIRECT(""'收支紀錄'!O""&amp;TO_TEXT(ROW()-$C$72))"),"")</f>
        <v/>
      </c>
      <c r="P955" s="61" t="str">
        <f>IFERROR(__xludf.DUMMYFUNCTION("INDIRECT(""'收支紀錄'!P""&amp;TO_TEXT(ROW()-$C$72))"),"")</f>
        <v/>
      </c>
      <c r="Q955" s="61" t="str">
        <f>IFERROR(__xludf.DUMMYFUNCTION("INDIRECT(""'收支紀錄'!Q""&amp;TO_TEXT(ROW()-$C$72))"),"")</f>
        <v/>
      </c>
      <c r="R955" s="61" t="str">
        <f>IFERROR(__xludf.DUMMYFUNCTION("INDIRECT(""'收支紀錄'!R""&amp;TO_TEXT(ROW()-$C$72))"),"")</f>
        <v/>
      </c>
      <c r="S955" s="61" t="str">
        <f>IFERROR(__xludf.DUMMYFUNCTION("INDIRECT(""'收支紀錄'!S""&amp;TO_TEXT(ROW()-$C$72))"),"")</f>
        <v/>
      </c>
      <c r="T955" s="61" t="str">
        <f>IFERROR(__xludf.DUMMYFUNCTION("INDIRECT(""'收支紀錄'!T""&amp;TO_TEXT(ROW()-$C$72))"),"")</f>
        <v/>
      </c>
      <c r="U955" s="62" t="str">
        <f>IFERROR(__xludf.DUMMYFUNCTION("IF(T955=""是"",TEXTJOIN("""", TRUE, ""$"", TO_TEXT(C955), S955),"""")"),"")</f>
        <v/>
      </c>
    </row>
    <row r="956">
      <c r="A956" s="58">
        <f>IFERROR(__xludf.DUMMYFUNCTION("INDIRECT(""'收支紀錄'!A""&amp;TO_TEXT(ROW()-$C$72))"),45830.61874262731)</f>
        <v>45830.61874</v>
      </c>
      <c r="B956" s="59">
        <f>IFERROR(__xludf.DUMMYFUNCTION("IF(ISBLANK(D956), """", IF(ISDATE(D956), D956, IF(D956=""今天"", A956, IF(D956=""昨天 (-1 day)"", A956-1, IF(D956=""前天 (-2 days)"", A956-2, IF(D956=""明天 (+1 day)"", A956+1, DATE(LEFT(D956,4), MID(D956,5,2), RIGHT(D956,2))))))))"),45830.61874262731)</f>
        <v>45830.61874</v>
      </c>
      <c r="C956" s="60">
        <f>IFERROR(__xludf.DUMMYFUNCTION("INDIRECT(""'收支紀錄'!C""&amp;TO_TEXT(ROW()-$C$72))"),765.0)</f>
        <v>765</v>
      </c>
      <c r="D956" s="63" t="str">
        <f>IFERROR(__xludf.DUMMYFUNCTION("INDIRECT(""'收支紀錄'!D""&amp;TO_TEXT(ROW()-$C$72))"),"今天")</f>
        <v>今天</v>
      </c>
      <c r="E956" s="61" t="str">
        <f>IFERROR(__xludf.DUMMYFUNCTION("INDIRECT(""'收支紀錄'!E""&amp;TO_TEXT(ROW()-$C$72))"),"")</f>
        <v/>
      </c>
      <c r="F956" s="61" t="str">
        <f>IFERROR(__xludf.DUMMYFUNCTION("INDIRECT(""'收支紀錄'!F""&amp;TO_TEXT(ROW()-$C$72))"),"")</f>
        <v/>
      </c>
      <c r="G956" s="61" t="str">
        <f>IFERROR(__xludf.DUMMYFUNCTION("INDIRECT(""'收支紀錄'!G""&amp;TO_TEXT(ROW()-$C$72))"),"")</f>
        <v/>
      </c>
      <c r="H956" s="61" t="str">
        <f>IFERROR(__xludf.DUMMYFUNCTION("INDIRECT(""'收支紀錄'!H""&amp;TO_TEXT(ROW()-$C$72))"),"行車交通")</f>
        <v>行車交通</v>
      </c>
      <c r="I956" s="61" t="str">
        <f>IFERROR(__xludf.DUMMYFUNCTION("INDIRECT(""'收支紀錄'!I""&amp;TO_TEXT(ROW()-$C$72))"),"")</f>
        <v/>
      </c>
      <c r="J956" s="61" t="str">
        <f>IFERROR(__xludf.DUMMYFUNCTION("INDIRECT(""'收支紀錄'!J""&amp;TO_TEXT(ROW()-$C$72))"),"")</f>
        <v/>
      </c>
      <c r="K956" s="61" t="str">
        <f>IFERROR(__xludf.DUMMYFUNCTION("INDIRECT(""'收支紀錄'!K""&amp;TO_TEXT(ROW()-$C$72))"),"")</f>
        <v/>
      </c>
      <c r="L956" s="61" t="str">
        <f>IFERROR(__xludf.DUMMYFUNCTION("INDIRECT(""'收支紀錄'!L""&amp;TO_TEXT(ROW()-$C$72))"),"高鐵")</f>
        <v>高鐵</v>
      </c>
      <c r="M956" s="61" t="str">
        <f>IFERROR(__xludf.DUMMYFUNCTION("INDIRECT(""'收支紀錄'!M""&amp;TO_TEXT(ROW()-$C$72))"),"")</f>
        <v/>
      </c>
      <c r="N956" s="61" t="str">
        <f>IFERROR(__xludf.DUMMYFUNCTION("INDIRECT(""'收支紀錄'!N""&amp;TO_TEXT(ROW()-$C$72))"),"")</f>
        <v/>
      </c>
      <c r="O956" s="61" t="str">
        <f>IFERROR(__xludf.DUMMYFUNCTION("INDIRECT(""'收支紀錄'!O""&amp;TO_TEXT(ROW()-$C$72))"),"")</f>
        <v/>
      </c>
      <c r="P956" s="61" t="str">
        <f>IFERROR(__xludf.DUMMYFUNCTION("INDIRECT(""'收支紀錄'!P""&amp;TO_TEXT(ROW()-$C$72))"),"")</f>
        <v/>
      </c>
      <c r="Q956" s="61" t="str">
        <f>IFERROR(__xludf.DUMMYFUNCTION("INDIRECT(""'收支紀錄'!Q""&amp;TO_TEXT(ROW()-$C$72))"),"")</f>
        <v/>
      </c>
      <c r="R956" s="61" t="str">
        <f>IFERROR(__xludf.DUMMYFUNCTION("INDIRECT(""'收支紀錄'!R""&amp;TO_TEXT(ROW()-$C$72))"),"")</f>
        <v/>
      </c>
      <c r="S956" s="61" t="str">
        <f>IFERROR(__xludf.DUMMYFUNCTION("INDIRECT(""'收支紀錄'!S""&amp;TO_TEXT(ROW()-$C$72))"),"")</f>
        <v/>
      </c>
      <c r="T956" s="61" t="str">
        <f>IFERROR(__xludf.DUMMYFUNCTION("INDIRECT(""'收支紀錄'!T""&amp;TO_TEXT(ROW()-$C$72))"),"")</f>
        <v/>
      </c>
      <c r="U956" s="62" t="str">
        <f>IFERROR(__xludf.DUMMYFUNCTION("IF(T956=""是"",TEXTJOIN("""", TRUE, ""$"", TO_TEXT(C956), S956),"""")"),"")</f>
        <v/>
      </c>
    </row>
    <row r="957">
      <c r="A957" s="58">
        <f>IFERROR(__xludf.DUMMYFUNCTION("INDIRECT(""'收支紀錄'!A""&amp;TO_TEXT(ROW()-$C$72))"),45831.315461782404)</f>
        <v>45831.31546</v>
      </c>
      <c r="B957" s="59">
        <f>IFERROR(__xludf.DUMMYFUNCTION("IF(ISBLANK(D957), """", IF(ISDATE(D957), D957, IF(D957=""今天"", A957, IF(D957=""昨天 (-1 day)"", A957-1, IF(D957=""前天 (-2 days)"", A957-2, IF(D957=""明天 (+1 day)"", A957+1, DATE(LEFT(D957,4), MID(D957,5,2), RIGHT(D957,2))))))))"),45830.315461782404)</f>
        <v>45830.31546</v>
      </c>
      <c r="C957" s="60">
        <f>IFERROR(__xludf.DUMMYFUNCTION("INDIRECT(""'收支紀錄'!C""&amp;TO_TEXT(ROW()-$C$72))"),270.0)</f>
        <v>270</v>
      </c>
      <c r="D957" s="63" t="str">
        <f>IFERROR(__xludf.DUMMYFUNCTION("INDIRECT(""'收支紀錄'!D""&amp;TO_TEXT(ROW()-$C$72))"),"昨天 (-1 day)")</f>
        <v>昨天 (-1 day)</v>
      </c>
      <c r="E957" s="61" t="str">
        <f>IFERROR(__xludf.DUMMYFUNCTION("INDIRECT(""'收支紀錄'!E""&amp;TO_TEXT(ROW()-$C$72))"),"")</f>
        <v/>
      </c>
      <c r="F957" s="61" t="str">
        <f>IFERROR(__xludf.DUMMYFUNCTION("INDIRECT(""'收支紀錄'!F""&amp;TO_TEXT(ROW()-$C$72))"),"")</f>
        <v/>
      </c>
      <c r="G957" s="61" t="str">
        <f>IFERROR(__xludf.DUMMYFUNCTION("INDIRECT(""'收支紀錄'!G""&amp;TO_TEXT(ROW()-$C$72))"),"")</f>
        <v/>
      </c>
      <c r="H957" s="61" t="str">
        <f>IFERROR(__xludf.DUMMYFUNCTION("INDIRECT(""'收支紀錄'!H""&amp;TO_TEXT(ROW()-$C$72))"),"食品酒水")</f>
        <v>食品酒水</v>
      </c>
      <c r="I957" s="61" t="str">
        <f>IFERROR(__xludf.DUMMYFUNCTION("INDIRECT(""'收支紀錄'!I""&amp;TO_TEXT(ROW()-$C$72))"),"晚餐")</f>
        <v>晚餐</v>
      </c>
      <c r="J957" s="61" t="str">
        <f>IFERROR(__xludf.DUMMYFUNCTION("INDIRECT(""'收支紀錄'!J""&amp;TO_TEXT(ROW()-$C$72))"),"")</f>
        <v/>
      </c>
      <c r="K957" s="61" t="str">
        <f>IFERROR(__xludf.DUMMYFUNCTION("INDIRECT(""'收支紀錄'!K""&amp;TO_TEXT(ROW()-$C$72))"),"")</f>
        <v/>
      </c>
      <c r="L957" s="61" t="str">
        <f>IFERROR(__xludf.DUMMYFUNCTION("INDIRECT(""'收支紀錄'!L""&amp;TO_TEXT(ROW()-$C$72))"),"")</f>
        <v/>
      </c>
      <c r="M957" s="61" t="str">
        <f>IFERROR(__xludf.DUMMYFUNCTION("INDIRECT(""'收支紀錄'!M""&amp;TO_TEXT(ROW()-$C$72))"),"")</f>
        <v/>
      </c>
      <c r="N957" s="61" t="str">
        <f>IFERROR(__xludf.DUMMYFUNCTION("INDIRECT(""'收支紀錄'!N""&amp;TO_TEXT(ROW()-$C$72))"),"")</f>
        <v/>
      </c>
      <c r="O957" s="61" t="str">
        <f>IFERROR(__xludf.DUMMYFUNCTION("INDIRECT(""'收支紀錄'!O""&amp;TO_TEXT(ROW()-$C$72))"),"")</f>
        <v/>
      </c>
      <c r="P957" s="61" t="str">
        <f>IFERROR(__xludf.DUMMYFUNCTION("INDIRECT(""'收支紀錄'!P""&amp;TO_TEXT(ROW()-$C$72))"),"")</f>
        <v/>
      </c>
      <c r="Q957" s="61" t="str">
        <f>IFERROR(__xludf.DUMMYFUNCTION("INDIRECT(""'收支紀錄'!Q""&amp;TO_TEXT(ROW()-$C$72))"),"")</f>
        <v/>
      </c>
      <c r="R957" s="61" t="str">
        <f>IFERROR(__xludf.DUMMYFUNCTION("INDIRECT(""'收支紀錄'!R""&amp;TO_TEXT(ROW()-$C$72))"),"")</f>
        <v/>
      </c>
      <c r="S957" s="61" t="str">
        <f>IFERROR(__xludf.DUMMYFUNCTION("INDIRECT(""'收支紀錄'!S""&amp;TO_TEXT(ROW()-$C$72))"),"")</f>
        <v/>
      </c>
      <c r="T957" s="61" t="str">
        <f>IFERROR(__xludf.DUMMYFUNCTION("INDIRECT(""'收支紀錄'!T""&amp;TO_TEXT(ROW()-$C$72))"),"")</f>
        <v/>
      </c>
      <c r="U957" s="62" t="str">
        <f>IFERROR(__xludf.DUMMYFUNCTION("IF(T957=""是"",TEXTJOIN("""", TRUE, ""$"", TO_TEXT(C957), S957),"""")"),"")</f>
        <v/>
      </c>
    </row>
    <row r="958">
      <c r="A958" s="58">
        <f>IFERROR(__xludf.DUMMYFUNCTION("INDIRECT(""'收支紀錄'!A""&amp;TO_TEXT(ROW()-$C$72))"),45835.81691976852)</f>
        <v>45835.81692</v>
      </c>
      <c r="B958" s="59">
        <f>IFERROR(__xludf.DUMMYFUNCTION("IF(ISBLANK(D958), """", IF(ISDATE(D958), D958, IF(D958=""今天"", A958, IF(D958=""昨天 (-1 day)"", A958-1, IF(D958=""前天 (-2 days)"", A958-2, IF(D958=""明天 (+1 day)"", A958+1, DATE(LEFT(D958,4), MID(D958,5,2), RIGHT(D958,2))))))))"),45836.81691976852)</f>
        <v>45836.81692</v>
      </c>
      <c r="C958" s="60">
        <f>IFERROR(__xludf.DUMMYFUNCTION("INDIRECT(""'收支紀錄'!C""&amp;TO_TEXT(ROW()-$C$72))"),6900.0)</f>
        <v>6900</v>
      </c>
      <c r="D958" s="63" t="str">
        <f>IFERROR(__xludf.DUMMYFUNCTION("INDIRECT(""'收支紀錄'!D""&amp;TO_TEXT(ROW()-$C$72))"),"明天 (+1 day)")</f>
        <v>明天 (+1 day)</v>
      </c>
      <c r="E958" s="61" t="str">
        <f>IFERROR(__xludf.DUMMYFUNCTION("INDIRECT(""'收支紀錄'!E""&amp;TO_TEXT(ROW()-$C$72))"),"")</f>
        <v/>
      </c>
      <c r="F958" s="61" t="str">
        <f>IFERROR(__xludf.DUMMYFUNCTION("INDIRECT(""'收支紀錄'!F""&amp;TO_TEXT(ROW()-$C$72))"),"")</f>
        <v/>
      </c>
      <c r="G958" s="61" t="str">
        <f>IFERROR(__xludf.DUMMYFUNCTION("INDIRECT(""'收支紀錄'!G""&amp;TO_TEXT(ROW()-$C$72))"),"")</f>
        <v/>
      </c>
      <c r="H958" s="61" t="str">
        <f>IFERROR(__xludf.DUMMYFUNCTION("INDIRECT(""'收支紀錄'!H""&amp;TO_TEXT(ROW()-$C$72))"),"休閒娛樂")</f>
        <v>休閒娛樂</v>
      </c>
      <c r="I958" s="61" t="str">
        <f>IFERROR(__xludf.DUMMYFUNCTION("INDIRECT(""'收支紀錄'!I""&amp;TO_TEXT(ROW()-$C$72))"),"")</f>
        <v/>
      </c>
      <c r="J958" s="61" t="str">
        <f>IFERROR(__xludf.DUMMYFUNCTION("INDIRECT(""'收支紀錄'!J""&amp;TO_TEXT(ROW()-$C$72))"),"")</f>
        <v/>
      </c>
      <c r="K958" s="61" t="str">
        <f>IFERROR(__xludf.DUMMYFUNCTION("INDIRECT(""'收支紀錄'!K""&amp;TO_TEXT(ROW()-$C$72))"),"")</f>
        <v/>
      </c>
      <c r="L958" s="61" t="str">
        <f>IFERROR(__xludf.DUMMYFUNCTION("INDIRECT(""'收支紀錄'!L""&amp;TO_TEXT(ROW()-$C$72))"),"")</f>
        <v/>
      </c>
      <c r="M958" s="61" t="str">
        <f>IFERROR(__xludf.DUMMYFUNCTION("INDIRECT(""'收支紀錄'!M""&amp;TO_TEXT(ROW()-$C$72))"),"旅遊度假")</f>
        <v>旅遊度假</v>
      </c>
      <c r="N958" s="61" t="str">
        <f>IFERROR(__xludf.DUMMYFUNCTION("INDIRECT(""'收支紀錄'!N""&amp;TO_TEXT(ROW()-$C$72))"),"")</f>
        <v/>
      </c>
      <c r="O958" s="61" t="str">
        <f>IFERROR(__xludf.DUMMYFUNCTION("INDIRECT(""'收支紀錄'!O""&amp;TO_TEXT(ROW()-$C$72))"),"")</f>
        <v/>
      </c>
      <c r="P958" s="61" t="str">
        <f>IFERROR(__xludf.DUMMYFUNCTION("INDIRECT(""'收支紀錄'!P""&amp;TO_TEXT(ROW()-$C$72))"),"")</f>
        <v/>
      </c>
      <c r="Q958" s="61" t="str">
        <f>IFERROR(__xludf.DUMMYFUNCTION("INDIRECT(""'收支紀錄'!Q""&amp;TO_TEXT(ROW()-$C$72))"),"")</f>
        <v/>
      </c>
      <c r="R958" s="61" t="str">
        <f>IFERROR(__xludf.DUMMYFUNCTION("INDIRECT(""'收支紀錄'!R""&amp;TO_TEXT(ROW()-$C$72))"),"")</f>
        <v/>
      </c>
      <c r="S958" s="61" t="str">
        <f>IFERROR(__xludf.DUMMYFUNCTION("INDIRECT(""'收支紀錄'!S""&amp;TO_TEXT(ROW()-$C$72))"),"H2O豪華景觀客房")</f>
        <v>H2O豪華景觀客房</v>
      </c>
      <c r="T958" s="61" t="str">
        <f>IFERROR(__xludf.DUMMYFUNCTION("INDIRECT(""'收支紀錄'!T""&amp;TO_TEXT(ROW()-$C$72))"),"是")</f>
        <v>是</v>
      </c>
      <c r="U958" s="62" t="str">
        <f>IFERROR(__xludf.DUMMYFUNCTION("IF(T958=""是"",TEXTJOIN("""", TRUE, ""$"", TO_TEXT(C958), S958),"""")"),"$6900H2O豪華景觀客房")</f>
        <v>$6900H2O豪華景觀客房</v>
      </c>
    </row>
    <row r="959">
      <c r="A959" s="58">
        <f>IFERROR(__xludf.DUMMYFUNCTION("INDIRECT(""'收支紀錄'!A""&amp;TO_TEXT(ROW()-$C$72))"),45835.82543107639)</f>
        <v>45835.82543</v>
      </c>
      <c r="B959" s="59">
        <f>IFERROR(__xludf.DUMMYFUNCTION("IF(ISBLANK(D959), """", IF(ISDATE(D959), D959, IF(D959=""今天"", A959, IF(D959=""昨天 (-1 day)"", A959-1, IF(D959=""前天 (-2 days)"", A959-2, IF(D959=""明天 (+1 day)"", A959+1, DATE(LEFT(D959,4), MID(D959,5,2), RIGHT(D959,2))))))))"),45835.82543107639)</f>
        <v>45835.82543</v>
      </c>
      <c r="C959" s="60">
        <f>IFERROR(__xludf.DUMMYFUNCTION("INDIRECT(""'收支紀錄'!C""&amp;TO_TEXT(ROW()-$C$72))"),20.0)</f>
        <v>20</v>
      </c>
      <c r="D959" s="63" t="str">
        <f>IFERROR(__xludf.DUMMYFUNCTION("INDIRECT(""'收支紀錄'!D""&amp;TO_TEXT(ROW()-$C$72))"),"今天")</f>
        <v>今天</v>
      </c>
      <c r="E959" s="61" t="str">
        <f>IFERROR(__xludf.DUMMYFUNCTION("INDIRECT(""'收支紀錄'!E""&amp;TO_TEXT(ROW()-$C$72))"),"")</f>
        <v/>
      </c>
      <c r="F959" s="61" t="str">
        <f>IFERROR(__xludf.DUMMYFUNCTION("INDIRECT(""'收支紀錄'!F""&amp;TO_TEXT(ROW()-$C$72))"),"")</f>
        <v/>
      </c>
      <c r="G959" s="61" t="str">
        <f>IFERROR(__xludf.DUMMYFUNCTION("INDIRECT(""'收支紀錄'!G""&amp;TO_TEXT(ROW()-$C$72))"),"")</f>
        <v/>
      </c>
      <c r="H959" s="61" t="str">
        <f>IFERROR(__xludf.DUMMYFUNCTION("INDIRECT(""'收支紀錄'!H""&amp;TO_TEXT(ROW()-$C$72))"),"食品酒水")</f>
        <v>食品酒水</v>
      </c>
      <c r="I959" s="61" t="str">
        <f>IFERROR(__xludf.DUMMYFUNCTION("INDIRECT(""'收支紀錄'!I""&amp;TO_TEXT(ROW()-$C$72))"),"飲料酒水")</f>
        <v>飲料酒水</v>
      </c>
      <c r="J959" s="61" t="str">
        <f>IFERROR(__xludf.DUMMYFUNCTION("INDIRECT(""'收支紀錄'!J""&amp;TO_TEXT(ROW()-$C$72))"),"")</f>
        <v/>
      </c>
      <c r="K959" s="61" t="str">
        <f>IFERROR(__xludf.DUMMYFUNCTION("INDIRECT(""'收支紀錄'!K""&amp;TO_TEXT(ROW()-$C$72))"),"")</f>
        <v/>
      </c>
      <c r="L959" s="61" t="str">
        <f>IFERROR(__xludf.DUMMYFUNCTION("INDIRECT(""'收支紀錄'!L""&amp;TO_TEXT(ROW()-$C$72))"),"")</f>
        <v/>
      </c>
      <c r="M959" s="61" t="str">
        <f>IFERROR(__xludf.DUMMYFUNCTION("INDIRECT(""'收支紀錄'!M""&amp;TO_TEXT(ROW()-$C$72))"),"")</f>
        <v/>
      </c>
      <c r="N959" s="61" t="str">
        <f>IFERROR(__xludf.DUMMYFUNCTION("INDIRECT(""'收支紀錄'!N""&amp;TO_TEXT(ROW()-$C$72))"),"")</f>
        <v/>
      </c>
      <c r="O959" s="61" t="str">
        <f>IFERROR(__xludf.DUMMYFUNCTION("INDIRECT(""'收支紀錄'!O""&amp;TO_TEXT(ROW()-$C$72))"),"")</f>
        <v/>
      </c>
      <c r="P959" s="61" t="str">
        <f>IFERROR(__xludf.DUMMYFUNCTION("INDIRECT(""'收支紀錄'!P""&amp;TO_TEXT(ROW()-$C$72))"),"")</f>
        <v/>
      </c>
      <c r="Q959" s="61" t="str">
        <f>IFERROR(__xludf.DUMMYFUNCTION("INDIRECT(""'收支紀錄'!Q""&amp;TO_TEXT(ROW()-$C$72))"),"")</f>
        <v/>
      </c>
      <c r="R959" s="61" t="str">
        <f>IFERROR(__xludf.DUMMYFUNCTION("INDIRECT(""'收支紀錄'!R""&amp;TO_TEXT(ROW()-$C$72))"),"")</f>
        <v/>
      </c>
      <c r="S959" s="61" t="str">
        <f>IFERROR(__xludf.DUMMYFUNCTION("INDIRECT(""'收支紀錄'!S""&amp;TO_TEXT(ROW()-$C$72))"),"")</f>
        <v/>
      </c>
      <c r="T959" s="61" t="str">
        <f>IFERROR(__xludf.DUMMYFUNCTION("INDIRECT(""'收支紀錄'!T""&amp;TO_TEXT(ROW()-$C$72))"),"")</f>
        <v/>
      </c>
      <c r="U959" s="62" t="str">
        <f>IFERROR(__xludf.DUMMYFUNCTION("IF(T959=""是"",TEXTJOIN("""", TRUE, ""$"", TO_TEXT(C959), S959),"""")"),"")</f>
        <v/>
      </c>
    </row>
    <row r="960">
      <c r="A960" s="58">
        <f>IFERROR(__xludf.DUMMYFUNCTION("INDIRECT(""'收支紀錄'!A""&amp;TO_TEXT(ROW()-$C$72))"),45836.79442048611)</f>
        <v>45836.79442</v>
      </c>
      <c r="B960" s="59">
        <f>IFERROR(__xludf.DUMMYFUNCTION("IF(ISBLANK(D960), """", IF(ISDATE(D960), D960, IF(D960=""今天"", A960, IF(D960=""昨天 (-1 day)"", A960-1, IF(D960=""前天 (-2 days)"", A960-2, IF(D960=""明天 (+1 day)"", A960+1, DATE(LEFT(D960,4), MID(D960,5,2), RIGHT(D960,2))))))))"),45836.79442048611)</f>
        <v>45836.79442</v>
      </c>
      <c r="C960" s="60">
        <f>IFERROR(__xludf.DUMMYFUNCTION("INDIRECT(""'收支紀錄'!C""&amp;TO_TEXT(ROW()-$C$72))"),8052.0)</f>
        <v>8052</v>
      </c>
      <c r="D960" s="63" t="str">
        <f>IFERROR(__xludf.DUMMYFUNCTION("INDIRECT(""'收支紀錄'!D""&amp;TO_TEXT(ROW()-$C$72))"),"今天")</f>
        <v>今天</v>
      </c>
      <c r="E960" s="61" t="str">
        <f>IFERROR(__xludf.DUMMYFUNCTION("INDIRECT(""'收支紀錄'!E""&amp;TO_TEXT(ROW()-$C$72))"),"")</f>
        <v/>
      </c>
      <c r="F960" s="61" t="str">
        <f>IFERROR(__xludf.DUMMYFUNCTION("INDIRECT(""'收支紀錄'!F""&amp;TO_TEXT(ROW()-$C$72))"),"")</f>
        <v/>
      </c>
      <c r="G960" s="61" t="str">
        <f>IFERROR(__xludf.DUMMYFUNCTION("INDIRECT(""'收支紀錄'!G""&amp;TO_TEXT(ROW()-$C$72))"),"")</f>
        <v/>
      </c>
      <c r="H960" s="61" t="str">
        <f>IFERROR(__xludf.DUMMYFUNCTION("INDIRECT(""'收支紀錄'!H""&amp;TO_TEXT(ROW()-$C$72))"),"食品酒水")</f>
        <v>食品酒水</v>
      </c>
      <c r="I960" s="61" t="str">
        <f>IFERROR(__xludf.DUMMYFUNCTION("INDIRECT(""'收支紀錄'!I""&amp;TO_TEXT(ROW()-$C$72))"),"午餐")</f>
        <v>午餐</v>
      </c>
      <c r="J960" s="61" t="str">
        <f>IFERROR(__xludf.DUMMYFUNCTION("INDIRECT(""'收支紀錄'!J""&amp;TO_TEXT(ROW()-$C$72))"),"")</f>
        <v/>
      </c>
      <c r="K960" s="61" t="str">
        <f>IFERROR(__xludf.DUMMYFUNCTION("INDIRECT(""'收支紀錄'!K""&amp;TO_TEXT(ROW()-$C$72))"),"")</f>
        <v/>
      </c>
      <c r="L960" s="61" t="str">
        <f>IFERROR(__xludf.DUMMYFUNCTION("INDIRECT(""'收支紀錄'!L""&amp;TO_TEXT(ROW()-$C$72))"),"")</f>
        <v/>
      </c>
      <c r="M960" s="61" t="str">
        <f>IFERROR(__xludf.DUMMYFUNCTION("INDIRECT(""'收支紀錄'!M""&amp;TO_TEXT(ROW()-$C$72))"),"")</f>
        <v/>
      </c>
      <c r="N960" s="61" t="str">
        <f>IFERROR(__xludf.DUMMYFUNCTION("INDIRECT(""'收支紀錄'!N""&amp;TO_TEXT(ROW()-$C$72))"),"")</f>
        <v/>
      </c>
      <c r="O960" s="61" t="str">
        <f>IFERROR(__xludf.DUMMYFUNCTION("INDIRECT(""'收支紀錄'!O""&amp;TO_TEXT(ROW()-$C$72))"),"")</f>
        <v/>
      </c>
      <c r="P960" s="61" t="str">
        <f>IFERROR(__xludf.DUMMYFUNCTION("INDIRECT(""'收支紀錄'!P""&amp;TO_TEXT(ROW()-$C$72))"),"")</f>
        <v/>
      </c>
      <c r="Q960" s="61" t="str">
        <f>IFERROR(__xludf.DUMMYFUNCTION("INDIRECT(""'收支紀錄'!Q""&amp;TO_TEXT(ROW()-$C$72))"),"")</f>
        <v/>
      </c>
      <c r="R960" s="61" t="str">
        <f>IFERROR(__xludf.DUMMYFUNCTION("INDIRECT(""'收支紀錄'!R""&amp;TO_TEXT(ROW()-$C$72))"),"")</f>
        <v/>
      </c>
      <c r="S960" s="61" t="str">
        <f>IFERROR(__xludf.DUMMYFUNCTION("INDIRECT(""'收支紀錄'!S""&amp;TO_TEXT(ROW()-$C$72))"),"豪享自助餐*6人")</f>
        <v>豪享自助餐*6人</v>
      </c>
      <c r="T960" s="61" t="str">
        <f>IFERROR(__xludf.DUMMYFUNCTION("INDIRECT(""'收支紀錄'!T""&amp;TO_TEXT(ROW()-$C$72))"),"是")</f>
        <v>是</v>
      </c>
      <c r="U960" s="62" t="str">
        <f>IFERROR(__xludf.DUMMYFUNCTION("IF(T960=""是"",TEXTJOIN("""", TRUE, ""$"", TO_TEXT(C960), S960),"""")"),"$8052豪享自助餐*6人")</f>
        <v>$8052豪享自助餐*6人</v>
      </c>
    </row>
    <row r="961">
      <c r="A961" s="58">
        <f>IFERROR(__xludf.DUMMYFUNCTION("INDIRECT(""'收支紀錄'!A""&amp;TO_TEXT(ROW()-$C$72))"),45836.79468141204)</f>
        <v>45836.79468</v>
      </c>
      <c r="B961" s="59">
        <f>IFERROR(__xludf.DUMMYFUNCTION("IF(ISBLANK(D961), """", IF(ISDATE(D961), D961, IF(D961=""今天"", A961, IF(D961=""昨天 (-1 day)"", A961-1, IF(D961=""前天 (-2 days)"", A961-2, IF(D961=""明天 (+1 day)"", A961+1, DATE(LEFT(D961,4), MID(D961,5,2), RIGHT(D961,2))))))))"),45836.79468141204)</f>
        <v>45836.79468</v>
      </c>
      <c r="C961" s="60">
        <f>IFERROR(__xludf.DUMMYFUNCTION("INDIRECT(""'收支紀錄'!C""&amp;TO_TEXT(ROW()-$C$72))"),794.0)</f>
        <v>794</v>
      </c>
      <c r="D961" s="63" t="str">
        <f>IFERROR(__xludf.DUMMYFUNCTION("INDIRECT(""'收支紀錄'!D""&amp;TO_TEXT(ROW()-$C$72))"),"今天")</f>
        <v>今天</v>
      </c>
      <c r="E961" s="61" t="str">
        <f>IFERROR(__xludf.DUMMYFUNCTION("INDIRECT(""'收支紀錄'!E""&amp;TO_TEXT(ROW()-$C$72))"),"")</f>
        <v/>
      </c>
      <c r="F961" s="61" t="str">
        <f>IFERROR(__xludf.DUMMYFUNCTION("INDIRECT(""'收支紀錄'!F""&amp;TO_TEXT(ROW()-$C$72))"),"")</f>
        <v/>
      </c>
      <c r="G961" s="61" t="str">
        <f>IFERROR(__xludf.DUMMYFUNCTION("INDIRECT(""'收支紀錄'!G""&amp;TO_TEXT(ROW()-$C$72))"),"")</f>
        <v/>
      </c>
      <c r="H961" s="61" t="str">
        <f>IFERROR(__xludf.DUMMYFUNCTION("INDIRECT(""'收支紀錄'!H""&amp;TO_TEXT(ROW()-$C$72))"),"行車交通")</f>
        <v>行車交通</v>
      </c>
      <c r="I961" s="61" t="str">
        <f>IFERROR(__xludf.DUMMYFUNCTION("INDIRECT(""'收支紀錄'!I""&amp;TO_TEXT(ROW()-$C$72))"),"")</f>
        <v/>
      </c>
      <c r="J961" s="61" t="str">
        <f>IFERROR(__xludf.DUMMYFUNCTION("INDIRECT(""'收支紀錄'!J""&amp;TO_TEXT(ROW()-$C$72))"),"")</f>
        <v/>
      </c>
      <c r="K961" s="61" t="str">
        <f>IFERROR(__xludf.DUMMYFUNCTION("INDIRECT(""'收支紀錄'!K""&amp;TO_TEXT(ROW()-$C$72))"),"")</f>
        <v/>
      </c>
      <c r="L961" s="61" t="str">
        <f>IFERROR(__xludf.DUMMYFUNCTION("INDIRECT(""'收支紀錄'!L""&amp;TO_TEXT(ROW()-$C$72))"),"加油")</f>
        <v>加油</v>
      </c>
      <c r="M961" s="61" t="str">
        <f>IFERROR(__xludf.DUMMYFUNCTION("INDIRECT(""'收支紀錄'!M""&amp;TO_TEXT(ROW()-$C$72))"),"")</f>
        <v/>
      </c>
      <c r="N961" s="61" t="str">
        <f>IFERROR(__xludf.DUMMYFUNCTION("INDIRECT(""'收支紀錄'!N""&amp;TO_TEXT(ROW()-$C$72))"),"")</f>
        <v/>
      </c>
      <c r="O961" s="61" t="str">
        <f>IFERROR(__xludf.DUMMYFUNCTION("INDIRECT(""'收支紀錄'!O""&amp;TO_TEXT(ROW()-$C$72))"),"")</f>
        <v/>
      </c>
      <c r="P961" s="61" t="str">
        <f>IFERROR(__xludf.DUMMYFUNCTION("INDIRECT(""'收支紀錄'!P""&amp;TO_TEXT(ROW()-$C$72))"),"")</f>
        <v/>
      </c>
      <c r="Q961" s="61" t="str">
        <f>IFERROR(__xludf.DUMMYFUNCTION("INDIRECT(""'收支紀錄'!Q""&amp;TO_TEXT(ROW()-$C$72))"),"")</f>
        <v/>
      </c>
      <c r="R961" s="61" t="str">
        <f>IFERROR(__xludf.DUMMYFUNCTION("INDIRECT(""'收支紀錄'!R""&amp;TO_TEXT(ROW()-$C$72))"),"")</f>
        <v/>
      </c>
      <c r="S961" s="61" t="str">
        <f>IFERROR(__xludf.DUMMYFUNCTION("INDIRECT(""'收支紀錄'!S""&amp;TO_TEXT(ROW()-$C$72))"),"")</f>
        <v/>
      </c>
      <c r="T961" s="61" t="str">
        <f>IFERROR(__xludf.DUMMYFUNCTION("INDIRECT(""'收支紀錄'!T""&amp;TO_TEXT(ROW()-$C$72))"),"")</f>
        <v/>
      </c>
      <c r="U961" s="62" t="str">
        <f>IFERROR(__xludf.DUMMYFUNCTION("IF(T961=""是"",TEXTJOIN("""", TRUE, ""$"", TO_TEXT(C961), S961),"""")"),"")</f>
        <v/>
      </c>
    </row>
    <row r="962">
      <c r="A962" s="58">
        <f>IFERROR(__xludf.DUMMYFUNCTION("INDIRECT(""'收支紀錄'!A""&amp;TO_TEXT(ROW()-$C$72))"),45837.0011422338)</f>
        <v>45837.00114</v>
      </c>
      <c r="B962" s="59">
        <f>IFERROR(__xludf.DUMMYFUNCTION("IF(ISBLANK(D962), """", IF(ISDATE(D962), D962, IF(D962=""今天"", A962, IF(D962=""昨天 (-1 day)"", A962-1, IF(D962=""前天 (-2 days)"", A962-2, IF(D962=""明天 (+1 day)"", A962+1, DATE(LEFT(D962,4), MID(D962,5,2), RIGHT(D962,2))))))))"),45836.0011422338)</f>
        <v>45836.00114</v>
      </c>
      <c r="C962" s="60">
        <f>IFERROR(__xludf.DUMMYFUNCTION("INDIRECT(""'收支紀錄'!C""&amp;TO_TEXT(ROW()-$C$72))"),1356.0)</f>
        <v>1356</v>
      </c>
      <c r="D962" s="63" t="str">
        <f>IFERROR(__xludf.DUMMYFUNCTION("INDIRECT(""'收支紀錄'!D""&amp;TO_TEXT(ROW()-$C$72))"),"昨天 (-1 day)")</f>
        <v>昨天 (-1 day)</v>
      </c>
      <c r="E962" s="61" t="str">
        <f>IFERROR(__xludf.DUMMYFUNCTION("INDIRECT(""'收支紀錄'!E""&amp;TO_TEXT(ROW()-$C$72))"),"")</f>
        <v/>
      </c>
      <c r="F962" s="61" t="str">
        <f>IFERROR(__xludf.DUMMYFUNCTION("INDIRECT(""'收支紀錄'!F""&amp;TO_TEXT(ROW()-$C$72))"),"")</f>
        <v/>
      </c>
      <c r="G962" s="61" t="str">
        <f>IFERROR(__xludf.DUMMYFUNCTION("INDIRECT(""'收支紀錄'!G""&amp;TO_TEXT(ROW()-$C$72))"),"")</f>
        <v/>
      </c>
      <c r="H962" s="61" t="str">
        <f>IFERROR(__xludf.DUMMYFUNCTION("INDIRECT(""'收支紀錄'!H""&amp;TO_TEXT(ROW()-$C$72))"),"食品酒水")</f>
        <v>食品酒水</v>
      </c>
      <c r="I962" s="61" t="str">
        <f>IFERROR(__xludf.DUMMYFUNCTION("INDIRECT(""'收支紀錄'!I""&amp;TO_TEXT(ROW()-$C$72))"),"晚餐")</f>
        <v>晚餐</v>
      </c>
      <c r="J962" s="61" t="str">
        <f>IFERROR(__xludf.DUMMYFUNCTION("INDIRECT(""'收支紀錄'!J""&amp;TO_TEXT(ROW()-$C$72))"),"")</f>
        <v/>
      </c>
      <c r="K962" s="61" t="str">
        <f>IFERROR(__xludf.DUMMYFUNCTION("INDIRECT(""'收支紀錄'!K""&amp;TO_TEXT(ROW()-$C$72))"),"")</f>
        <v/>
      </c>
      <c r="L962" s="61" t="str">
        <f>IFERROR(__xludf.DUMMYFUNCTION("INDIRECT(""'收支紀錄'!L""&amp;TO_TEXT(ROW()-$C$72))"),"")</f>
        <v/>
      </c>
      <c r="M962" s="61" t="str">
        <f>IFERROR(__xludf.DUMMYFUNCTION("INDIRECT(""'收支紀錄'!M""&amp;TO_TEXT(ROW()-$C$72))"),"")</f>
        <v/>
      </c>
      <c r="N962" s="61" t="str">
        <f>IFERROR(__xludf.DUMMYFUNCTION("INDIRECT(""'收支紀錄'!N""&amp;TO_TEXT(ROW()-$C$72))"),"")</f>
        <v/>
      </c>
      <c r="O962" s="61" t="str">
        <f>IFERROR(__xludf.DUMMYFUNCTION("INDIRECT(""'收支紀錄'!O""&amp;TO_TEXT(ROW()-$C$72))"),"")</f>
        <v/>
      </c>
      <c r="P962" s="61" t="str">
        <f>IFERROR(__xludf.DUMMYFUNCTION("INDIRECT(""'收支紀錄'!P""&amp;TO_TEXT(ROW()-$C$72))"),"")</f>
        <v/>
      </c>
      <c r="Q962" s="61" t="str">
        <f>IFERROR(__xludf.DUMMYFUNCTION("INDIRECT(""'收支紀錄'!Q""&amp;TO_TEXT(ROW()-$C$72))"),"")</f>
        <v/>
      </c>
      <c r="R962" s="61" t="str">
        <f>IFERROR(__xludf.DUMMYFUNCTION("INDIRECT(""'收支紀錄'!R""&amp;TO_TEXT(ROW()-$C$72))"),"")</f>
        <v/>
      </c>
      <c r="S962" s="61" t="str">
        <f>IFERROR(__xludf.DUMMYFUNCTION("INDIRECT(""'收支紀錄'!S""&amp;TO_TEXT(ROW()-$C$72))"),"京悅軒")</f>
        <v>京悅軒</v>
      </c>
      <c r="T962" s="61" t="str">
        <f>IFERROR(__xludf.DUMMYFUNCTION("INDIRECT(""'收支紀錄'!T""&amp;TO_TEXT(ROW()-$C$72))"),"")</f>
        <v/>
      </c>
      <c r="U962" s="62" t="str">
        <f>IFERROR(__xludf.DUMMYFUNCTION("IF(T962=""是"",TEXTJOIN("""", TRUE, ""$"", TO_TEXT(C962), S962),"""")"),"")</f>
        <v/>
      </c>
    </row>
    <row r="963">
      <c r="A963" s="58">
        <f>IFERROR(__xludf.DUMMYFUNCTION("INDIRECT(""'收支紀錄'!A""&amp;TO_TEXT(ROW()-$C$72))"),45837.00187997685)</f>
        <v>45837.00188</v>
      </c>
      <c r="B963" s="59">
        <f>IFERROR(__xludf.DUMMYFUNCTION("IF(ISBLANK(D963), """", IF(ISDATE(D963), D963, IF(D963=""今天"", A963, IF(D963=""昨天 (-1 day)"", A963-1, IF(D963=""前天 (-2 days)"", A963-2, IF(D963=""明天 (+1 day)"", A963+1, DATE(LEFT(D963,4), MID(D963,5,2), RIGHT(D963,2))))))))"),45836.00187997685)</f>
        <v>45836.00188</v>
      </c>
      <c r="C963" s="60">
        <f>IFERROR(__xludf.DUMMYFUNCTION("INDIRECT(""'收支紀錄'!C""&amp;TO_TEXT(ROW()-$C$72))"),687.0)</f>
        <v>687</v>
      </c>
      <c r="D963" s="63" t="str">
        <f>IFERROR(__xludf.DUMMYFUNCTION("INDIRECT(""'收支紀錄'!D""&amp;TO_TEXT(ROW()-$C$72))"),"昨天 (-1 day)")</f>
        <v>昨天 (-1 day)</v>
      </c>
      <c r="E963" s="61" t="str">
        <f>IFERROR(__xludf.DUMMYFUNCTION("INDIRECT(""'收支紀錄'!E""&amp;TO_TEXT(ROW()-$C$72))"),"")</f>
        <v/>
      </c>
      <c r="F963" s="61" t="str">
        <f>IFERROR(__xludf.DUMMYFUNCTION("INDIRECT(""'收支紀錄'!F""&amp;TO_TEXT(ROW()-$C$72))"),"")</f>
        <v/>
      </c>
      <c r="G963" s="61" t="str">
        <f>IFERROR(__xludf.DUMMYFUNCTION("INDIRECT(""'收支紀錄'!G""&amp;TO_TEXT(ROW()-$C$72))"),"")</f>
        <v/>
      </c>
      <c r="H963" s="61" t="str">
        <f>IFERROR(__xludf.DUMMYFUNCTION("INDIRECT(""'收支紀錄'!H""&amp;TO_TEXT(ROW()-$C$72))"),"食品酒水")</f>
        <v>食品酒水</v>
      </c>
      <c r="I963" s="61" t="str">
        <f>IFERROR(__xludf.DUMMYFUNCTION("INDIRECT(""'收支紀錄'!I""&amp;TO_TEXT(ROW()-$C$72))"),"宵夜")</f>
        <v>宵夜</v>
      </c>
      <c r="J963" s="61" t="str">
        <f>IFERROR(__xludf.DUMMYFUNCTION("INDIRECT(""'收支紀錄'!J""&amp;TO_TEXT(ROW()-$C$72))"),"")</f>
        <v/>
      </c>
      <c r="K963" s="61" t="str">
        <f>IFERROR(__xludf.DUMMYFUNCTION("INDIRECT(""'收支紀錄'!K""&amp;TO_TEXT(ROW()-$C$72))"),"")</f>
        <v/>
      </c>
      <c r="L963" s="61" t="str">
        <f>IFERROR(__xludf.DUMMYFUNCTION("INDIRECT(""'收支紀錄'!L""&amp;TO_TEXT(ROW()-$C$72))"),"")</f>
        <v/>
      </c>
      <c r="M963" s="61" t="str">
        <f>IFERROR(__xludf.DUMMYFUNCTION("INDIRECT(""'收支紀錄'!M""&amp;TO_TEXT(ROW()-$C$72))"),"")</f>
        <v/>
      </c>
      <c r="N963" s="61" t="str">
        <f>IFERROR(__xludf.DUMMYFUNCTION("INDIRECT(""'收支紀錄'!N""&amp;TO_TEXT(ROW()-$C$72))"),"")</f>
        <v/>
      </c>
      <c r="O963" s="61" t="str">
        <f>IFERROR(__xludf.DUMMYFUNCTION("INDIRECT(""'收支紀錄'!O""&amp;TO_TEXT(ROW()-$C$72))"),"")</f>
        <v/>
      </c>
      <c r="P963" s="61" t="str">
        <f>IFERROR(__xludf.DUMMYFUNCTION("INDIRECT(""'收支紀錄'!P""&amp;TO_TEXT(ROW()-$C$72))"),"")</f>
        <v/>
      </c>
      <c r="Q963" s="61" t="str">
        <f>IFERROR(__xludf.DUMMYFUNCTION("INDIRECT(""'收支紀錄'!Q""&amp;TO_TEXT(ROW()-$C$72))"),"")</f>
        <v/>
      </c>
      <c r="R963" s="61" t="str">
        <f>IFERROR(__xludf.DUMMYFUNCTION("INDIRECT(""'收支紀錄'!R""&amp;TO_TEXT(ROW()-$C$72))"),"")</f>
        <v/>
      </c>
      <c r="S963" s="61" t="str">
        <f>IFERROR(__xludf.DUMMYFUNCTION("INDIRECT(""'收支紀錄'!S""&amp;TO_TEXT(ROW()-$C$72))"),"酒吧")</f>
        <v>酒吧</v>
      </c>
      <c r="T963" s="61" t="str">
        <f>IFERROR(__xludf.DUMMYFUNCTION("INDIRECT(""'收支紀錄'!T""&amp;TO_TEXT(ROW()-$C$72))"),"")</f>
        <v/>
      </c>
      <c r="U963" s="62" t="str">
        <f>IFERROR(__xludf.DUMMYFUNCTION("IF(T963=""是"",TEXTJOIN("""", TRUE, ""$"", TO_TEXT(C963), S963),"""")"),"")</f>
        <v/>
      </c>
    </row>
    <row r="964">
      <c r="A964" s="58">
        <f>IFERROR(__xludf.DUMMYFUNCTION("INDIRECT(""'收支紀錄'!A""&amp;TO_TEXT(ROW()-$C$72))"),45837.01098791667)</f>
        <v>45837.01099</v>
      </c>
      <c r="B964" s="59">
        <f>IFERROR(__xludf.DUMMYFUNCTION("IF(ISBLANK(D964), """", IF(ISDATE(D964), D964, IF(D964=""今天"", A964, IF(D964=""昨天 (-1 day)"", A964-1, IF(D964=""前天 (-2 days)"", A964-2, IF(D964=""明天 (+1 day)"", A964+1, DATE(LEFT(D964,4), MID(D964,5,2), RIGHT(D964,2))))))))"),45837.01098791667)</f>
        <v>45837.01099</v>
      </c>
      <c r="C964" s="60">
        <f>IFERROR(__xludf.DUMMYFUNCTION("INDIRECT(""'收支紀錄'!C""&amp;TO_TEXT(ROW()-$C$72))"),40.0)</f>
        <v>40</v>
      </c>
      <c r="D964" s="63" t="str">
        <f>IFERROR(__xludf.DUMMYFUNCTION("INDIRECT(""'收支紀錄'!D""&amp;TO_TEXT(ROW()-$C$72))"),"今天")</f>
        <v>今天</v>
      </c>
      <c r="E964" s="61" t="str">
        <f>IFERROR(__xludf.DUMMYFUNCTION("INDIRECT(""'收支紀錄'!E""&amp;TO_TEXT(ROW()-$C$72))"),"")</f>
        <v/>
      </c>
      <c r="F964" s="61" t="str">
        <f>IFERROR(__xludf.DUMMYFUNCTION("INDIRECT(""'收支紀錄'!F""&amp;TO_TEXT(ROW()-$C$72))"),"")</f>
        <v/>
      </c>
      <c r="G964" s="61" t="str">
        <f>IFERROR(__xludf.DUMMYFUNCTION("INDIRECT(""'收支紀錄'!G""&amp;TO_TEXT(ROW()-$C$72))"),"")</f>
        <v/>
      </c>
      <c r="H964" s="61" t="str">
        <f>IFERROR(__xludf.DUMMYFUNCTION("INDIRECT(""'收支紀錄'!H""&amp;TO_TEXT(ROW()-$C$72))"),"行車交通")</f>
        <v>行車交通</v>
      </c>
      <c r="I964" s="61" t="str">
        <f>IFERROR(__xludf.DUMMYFUNCTION("INDIRECT(""'收支紀錄'!I""&amp;TO_TEXT(ROW()-$C$72))"),"")</f>
        <v/>
      </c>
      <c r="J964" s="61" t="str">
        <f>IFERROR(__xludf.DUMMYFUNCTION("INDIRECT(""'收支紀錄'!J""&amp;TO_TEXT(ROW()-$C$72))"),"")</f>
        <v/>
      </c>
      <c r="K964" s="61" t="str">
        <f>IFERROR(__xludf.DUMMYFUNCTION("INDIRECT(""'收支紀錄'!K""&amp;TO_TEXT(ROW()-$C$72))"),"")</f>
        <v/>
      </c>
      <c r="L964" s="61" t="str">
        <f>IFERROR(__xludf.DUMMYFUNCTION("INDIRECT(""'收支紀錄'!L""&amp;TO_TEXT(ROW()-$C$72))"),"停車")</f>
        <v>停車</v>
      </c>
      <c r="M964" s="61" t="str">
        <f>IFERROR(__xludf.DUMMYFUNCTION("INDIRECT(""'收支紀錄'!M""&amp;TO_TEXT(ROW()-$C$72))"),"")</f>
        <v/>
      </c>
      <c r="N964" s="61" t="str">
        <f>IFERROR(__xludf.DUMMYFUNCTION("INDIRECT(""'收支紀錄'!N""&amp;TO_TEXT(ROW()-$C$72))"),"")</f>
        <v/>
      </c>
      <c r="O964" s="61" t="str">
        <f>IFERROR(__xludf.DUMMYFUNCTION("INDIRECT(""'收支紀錄'!O""&amp;TO_TEXT(ROW()-$C$72))"),"")</f>
        <v/>
      </c>
      <c r="P964" s="61" t="str">
        <f>IFERROR(__xludf.DUMMYFUNCTION("INDIRECT(""'收支紀錄'!P""&amp;TO_TEXT(ROW()-$C$72))"),"")</f>
        <v/>
      </c>
      <c r="Q964" s="61" t="str">
        <f>IFERROR(__xludf.DUMMYFUNCTION("INDIRECT(""'收支紀錄'!Q""&amp;TO_TEXT(ROW()-$C$72))"),"")</f>
        <v/>
      </c>
      <c r="R964" s="61" t="str">
        <f>IFERROR(__xludf.DUMMYFUNCTION("INDIRECT(""'收支紀錄'!R""&amp;TO_TEXT(ROW()-$C$72))"),"")</f>
        <v/>
      </c>
      <c r="S964" s="61" t="str">
        <f>IFERROR(__xludf.DUMMYFUNCTION("INDIRECT(""'收支紀錄'!S""&amp;TO_TEXT(ROW()-$C$72))"),"")</f>
        <v/>
      </c>
      <c r="T964" s="61" t="str">
        <f>IFERROR(__xludf.DUMMYFUNCTION("INDIRECT(""'收支紀錄'!T""&amp;TO_TEXT(ROW()-$C$72))"),"")</f>
        <v/>
      </c>
      <c r="U964" s="62" t="str">
        <f>IFERROR(__xludf.DUMMYFUNCTION("IF(T964=""是"",TEXTJOIN("""", TRUE, ""$"", TO_TEXT(C964), S964),"""")"),"")</f>
        <v/>
      </c>
    </row>
    <row r="965">
      <c r="A965" s="58">
        <f>IFERROR(__xludf.DUMMYFUNCTION("INDIRECT(""'收支紀錄'!A""&amp;TO_TEXT(ROW()-$C$72))"),45838.317876493056)</f>
        <v>45838.31788</v>
      </c>
      <c r="B965" s="59">
        <f>IFERROR(__xludf.DUMMYFUNCTION("IF(ISBLANK(D965), """", IF(ISDATE(D965), D965, IF(D965=""今天"", A965, IF(D965=""昨天 (-1 day)"", A965-1, IF(D965=""前天 (-2 days)"", A965-2, IF(D965=""明天 (+1 day)"", A965+1, DATE(LEFT(D965,4), MID(D965,5,2), RIGHT(D965,2))))))))"),45837.317876493056)</f>
        <v>45837.31788</v>
      </c>
      <c r="C965" s="60">
        <f>IFERROR(__xludf.DUMMYFUNCTION("INDIRECT(""'收支紀錄'!C""&amp;TO_TEXT(ROW()-$C$72))"),305.0)</f>
        <v>305</v>
      </c>
      <c r="D965" s="63" t="str">
        <f>IFERROR(__xludf.DUMMYFUNCTION("INDIRECT(""'收支紀錄'!D""&amp;TO_TEXT(ROW()-$C$72))"),"昨天 (-1 day)")</f>
        <v>昨天 (-1 day)</v>
      </c>
      <c r="E965" s="61" t="str">
        <f>IFERROR(__xludf.DUMMYFUNCTION("INDIRECT(""'收支紀錄'!E""&amp;TO_TEXT(ROW()-$C$72))"),"")</f>
        <v/>
      </c>
      <c r="F965" s="61" t="str">
        <f>IFERROR(__xludf.DUMMYFUNCTION("INDIRECT(""'收支紀錄'!F""&amp;TO_TEXT(ROW()-$C$72))"),"")</f>
        <v/>
      </c>
      <c r="G965" s="61" t="str">
        <f>IFERROR(__xludf.DUMMYFUNCTION("INDIRECT(""'收支紀錄'!G""&amp;TO_TEXT(ROW()-$C$72))"),"")</f>
        <v/>
      </c>
      <c r="H965" s="61" t="str">
        <f>IFERROR(__xludf.DUMMYFUNCTION("INDIRECT(""'收支紀錄'!H""&amp;TO_TEXT(ROW()-$C$72))"),"食品酒水")</f>
        <v>食品酒水</v>
      </c>
      <c r="I965" s="61" t="str">
        <f>IFERROR(__xludf.DUMMYFUNCTION("INDIRECT(""'收支紀錄'!I""&amp;TO_TEXT(ROW()-$C$72))"),"食材")</f>
        <v>食材</v>
      </c>
      <c r="J965" s="61" t="str">
        <f>IFERROR(__xludf.DUMMYFUNCTION("INDIRECT(""'收支紀錄'!J""&amp;TO_TEXT(ROW()-$C$72))"),"")</f>
        <v/>
      </c>
      <c r="K965" s="61" t="str">
        <f>IFERROR(__xludf.DUMMYFUNCTION("INDIRECT(""'收支紀錄'!K""&amp;TO_TEXT(ROW()-$C$72))"),"")</f>
        <v/>
      </c>
      <c r="L965" s="61" t="str">
        <f>IFERROR(__xludf.DUMMYFUNCTION("INDIRECT(""'收支紀錄'!L""&amp;TO_TEXT(ROW()-$C$72))"),"")</f>
        <v/>
      </c>
      <c r="M965" s="61" t="str">
        <f>IFERROR(__xludf.DUMMYFUNCTION("INDIRECT(""'收支紀錄'!M""&amp;TO_TEXT(ROW()-$C$72))"),"")</f>
        <v/>
      </c>
      <c r="N965" s="61" t="str">
        <f>IFERROR(__xludf.DUMMYFUNCTION("INDIRECT(""'收支紀錄'!N""&amp;TO_TEXT(ROW()-$C$72))"),"")</f>
        <v/>
      </c>
      <c r="O965" s="61" t="str">
        <f>IFERROR(__xludf.DUMMYFUNCTION("INDIRECT(""'收支紀錄'!O""&amp;TO_TEXT(ROW()-$C$72))"),"")</f>
        <v/>
      </c>
      <c r="P965" s="61" t="str">
        <f>IFERROR(__xludf.DUMMYFUNCTION("INDIRECT(""'收支紀錄'!P""&amp;TO_TEXT(ROW()-$C$72))"),"")</f>
        <v/>
      </c>
      <c r="Q965" s="61" t="str">
        <f>IFERROR(__xludf.DUMMYFUNCTION("INDIRECT(""'收支紀錄'!Q""&amp;TO_TEXT(ROW()-$C$72))"),"")</f>
        <v/>
      </c>
      <c r="R965" s="61" t="str">
        <f>IFERROR(__xludf.DUMMYFUNCTION("INDIRECT(""'收支紀錄'!R""&amp;TO_TEXT(ROW()-$C$72))"),"")</f>
        <v/>
      </c>
      <c r="S965" s="61" t="str">
        <f>IFERROR(__xludf.DUMMYFUNCTION("INDIRECT(""'收支紀錄'!S""&amp;TO_TEXT(ROW()-$C$72))"),"麵包")</f>
        <v>麵包</v>
      </c>
      <c r="T965" s="61" t="str">
        <f>IFERROR(__xludf.DUMMYFUNCTION("INDIRECT(""'收支紀錄'!T""&amp;TO_TEXT(ROW()-$C$72))"),"")</f>
        <v/>
      </c>
      <c r="U965" s="62" t="str">
        <f>IFERROR(__xludf.DUMMYFUNCTION("IF(T965=""是"",TEXTJOIN("""", TRUE, ""$"", TO_TEXT(C965), S965),"""")"),"")</f>
        <v/>
      </c>
    </row>
    <row r="966">
      <c r="A966" s="58">
        <f>IFERROR(__xludf.DUMMYFUNCTION("INDIRECT(""'收支紀錄'!A""&amp;TO_TEXT(ROW()-$C$72))"),45838.31811559028)</f>
        <v>45838.31812</v>
      </c>
      <c r="B966" s="59">
        <f>IFERROR(__xludf.DUMMYFUNCTION("IF(ISBLANK(D966), """", IF(ISDATE(D966), D966, IF(D966=""今天"", A966, IF(D966=""昨天 (-1 day)"", A966-1, IF(D966=""前天 (-2 days)"", A966-2, IF(D966=""明天 (+1 day)"", A966+1, DATE(LEFT(D966,4), MID(D966,5,2), RIGHT(D966,2))))))))"),45837.31811559028)</f>
        <v>45837.31812</v>
      </c>
      <c r="C966" s="60">
        <f>IFERROR(__xludf.DUMMYFUNCTION("INDIRECT(""'收支紀錄'!C""&amp;TO_TEXT(ROW()-$C$72))"),45.0)</f>
        <v>45</v>
      </c>
      <c r="D966" s="63" t="str">
        <f>IFERROR(__xludf.DUMMYFUNCTION("INDIRECT(""'收支紀錄'!D""&amp;TO_TEXT(ROW()-$C$72))"),"昨天 (-1 day)")</f>
        <v>昨天 (-1 day)</v>
      </c>
      <c r="E966" s="61" t="str">
        <f>IFERROR(__xludf.DUMMYFUNCTION("INDIRECT(""'收支紀錄'!E""&amp;TO_TEXT(ROW()-$C$72))"),"")</f>
        <v/>
      </c>
      <c r="F966" s="61" t="str">
        <f>IFERROR(__xludf.DUMMYFUNCTION("INDIRECT(""'收支紀錄'!F""&amp;TO_TEXT(ROW()-$C$72))"),"")</f>
        <v/>
      </c>
      <c r="G966" s="61" t="str">
        <f>IFERROR(__xludf.DUMMYFUNCTION("INDIRECT(""'收支紀錄'!G""&amp;TO_TEXT(ROW()-$C$72))"),"")</f>
        <v/>
      </c>
      <c r="H966" s="61" t="str">
        <f>IFERROR(__xludf.DUMMYFUNCTION("INDIRECT(""'收支紀錄'!H""&amp;TO_TEXT(ROW()-$C$72))"),"行車交通")</f>
        <v>行車交通</v>
      </c>
      <c r="I966" s="61" t="str">
        <f>IFERROR(__xludf.DUMMYFUNCTION("INDIRECT(""'收支紀錄'!I""&amp;TO_TEXT(ROW()-$C$72))"),"")</f>
        <v/>
      </c>
      <c r="J966" s="61" t="str">
        <f>IFERROR(__xludf.DUMMYFUNCTION("INDIRECT(""'收支紀錄'!J""&amp;TO_TEXT(ROW()-$C$72))"),"")</f>
        <v/>
      </c>
      <c r="K966" s="61" t="str">
        <f>IFERROR(__xludf.DUMMYFUNCTION("INDIRECT(""'收支紀錄'!K""&amp;TO_TEXT(ROW()-$C$72))"),"")</f>
        <v/>
      </c>
      <c r="L966" s="61" t="str">
        <f>IFERROR(__xludf.DUMMYFUNCTION("INDIRECT(""'收支紀錄'!L""&amp;TO_TEXT(ROW()-$C$72))"),"停車")</f>
        <v>停車</v>
      </c>
      <c r="M966" s="61" t="str">
        <f>IFERROR(__xludf.DUMMYFUNCTION("INDIRECT(""'收支紀錄'!M""&amp;TO_TEXT(ROW()-$C$72))"),"")</f>
        <v/>
      </c>
      <c r="N966" s="61" t="str">
        <f>IFERROR(__xludf.DUMMYFUNCTION("INDIRECT(""'收支紀錄'!N""&amp;TO_TEXT(ROW()-$C$72))"),"")</f>
        <v/>
      </c>
      <c r="O966" s="61" t="str">
        <f>IFERROR(__xludf.DUMMYFUNCTION("INDIRECT(""'收支紀錄'!O""&amp;TO_TEXT(ROW()-$C$72))"),"")</f>
        <v/>
      </c>
      <c r="P966" s="61" t="str">
        <f>IFERROR(__xludf.DUMMYFUNCTION("INDIRECT(""'收支紀錄'!P""&amp;TO_TEXT(ROW()-$C$72))"),"")</f>
        <v/>
      </c>
      <c r="Q966" s="61" t="str">
        <f>IFERROR(__xludf.DUMMYFUNCTION("INDIRECT(""'收支紀錄'!Q""&amp;TO_TEXT(ROW()-$C$72))"),"")</f>
        <v/>
      </c>
      <c r="R966" s="61" t="str">
        <f>IFERROR(__xludf.DUMMYFUNCTION("INDIRECT(""'收支紀錄'!R""&amp;TO_TEXT(ROW()-$C$72))"),"")</f>
        <v/>
      </c>
      <c r="S966" s="61" t="str">
        <f>IFERROR(__xludf.DUMMYFUNCTION("INDIRECT(""'收支紀錄'!S""&amp;TO_TEXT(ROW()-$C$72))"),"")</f>
        <v/>
      </c>
      <c r="T966" s="61" t="str">
        <f>IFERROR(__xludf.DUMMYFUNCTION("INDIRECT(""'收支紀錄'!T""&amp;TO_TEXT(ROW()-$C$72))"),"")</f>
        <v/>
      </c>
      <c r="U966" s="62" t="str">
        <f>IFERROR(__xludf.DUMMYFUNCTION("IF(T966=""是"",TEXTJOIN("""", TRUE, ""$"", TO_TEXT(C966), S966),"""")"),"")</f>
        <v/>
      </c>
    </row>
    <row r="967">
      <c r="A967" s="58">
        <f>IFERROR(__xludf.DUMMYFUNCTION("INDIRECT(""'收支紀錄'!A""&amp;TO_TEXT(ROW()-$C$72))"),45838.318380717596)</f>
        <v>45838.31838</v>
      </c>
      <c r="B967" s="59">
        <f>IFERROR(__xludf.DUMMYFUNCTION("IF(ISBLANK(D967), """", IF(ISDATE(D967), D967, IF(D967=""今天"", A967, IF(D967=""昨天 (-1 day)"", A967-1, IF(D967=""前天 (-2 days)"", A967-2, IF(D967=""明天 (+1 day)"", A967+1, DATE(LEFT(D967,4), MID(D967,5,2), RIGHT(D967,2))))))))"),45837.318380717596)</f>
        <v>45837.31838</v>
      </c>
      <c r="C967" s="60">
        <f>IFERROR(__xludf.DUMMYFUNCTION("INDIRECT(""'收支紀錄'!C""&amp;TO_TEXT(ROW()-$C$72))"),700.0)</f>
        <v>700</v>
      </c>
      <c r="D967" s="63" t="str">
        <f>IFERROR(__xludf.DUMMYFUNCTION("INDIRECT(""'收支紀錄'!D""&amp;TO_TEXT(ROW()-$C$72))"),"昨天 (-1 day)")</f>
        <v>昨天 (-1 day)</v>
      </c>
      <c r="E967" s="61" t="str">
        <f>IFERROR(__xludf.DUMMYFUNCTION("INDIRECT(""'收支紀錄'!E""&amp;TO_TEXT(ROW()-$C$72))"),"")</f>
        <v/>
      </c>
      <c r="F967" s="61" t="str">
        <f>IFERROR(__xludf.DUMMYFUNCTION("INDIRECT(""'收支紀錄'!F""&amp;TO_TEXT(ROW()-$C$72))"),"")</f>
        <v/>
      </c>
      <c r="G967" s="61" t="str">
        <f>IFERROR(__xludf.DUMMYFUNCTION("INDIRECT(""'收支紀錄'!G""&amp;TO_TEXT(ROW()-$C$72))"),"")</f>
        <v/>
      </c>
      <c r="H967" s="61" t="str">
        <f>IFERROR(__xludf.DUMMYFUNCTION("INDIRECT(""'收支紀錄'!H""&amp;TO_TEXT(ROW()-$C$72))"),"食品酒水")</f>
        <v>食品酒水</v>
      </c>
      <c r="I967" s="61" t="str">
        <f>IFERROR(__xludf.DUMMYFUNCTION("INDIRECT(""'收支紀錄'!I""&amp;TO_TEXT(ROW()-$C$72))"),"伴手禮")</f>
        <v>伴手禮</v>
      </c>
      <c r="J967" s="61" t="str">
        <f>IFERROR(__xludf.DUMMYFUNCTION("INDIRECT(""'收支紀錄'!J""&amp;TO_TEXT(ROW()-$C$72))"),"")</f>
        <v/>
      </c>
      <c r="K967" s="61" t="str">
        <f>IFERROR(__xludf.DUMMYFUNCTION("INDIRECT(""'收支紀錄'!K""&amp;TO_TEXT(ROW()-$C$72))"),"")</f>
        <v/>
      </c>
      <c r="L967" s="61" t="str">
        <f>IFERROR(__xludf.DUMMYFUNCTION("INDIRECT(""'收支紀錄'!L""&amp;TO_TEXT(ROW()-$C$72))"),"")</f>
        <v/>
      </c>
      <c r="M967" s="61" t="str">
        <f>IFERROR(__xludf.DUMMYFUNCTION("INDIRECT(""'收支紀錄'!M""&amp;TO_TEXT(ROW()-$C$72))"),"")</f>
        <v/>
      </c>
      <c r="N967" s="61" t="str">
        <f>IFERROR(__xludf.DUMMYFUNCTION("INDIRECT(""'收支紀錄'!N""&amp;TO_TEXT(ROW()-$C$72))"),"")</f>
        <v/>
      </c>
      <c r="O967" s="61" t="str">
        <f>IFERROR(__xludf.DUMMYFUNCTION("INDIRECT(""'收支紀錄'!O""&amp;TO_TEXT(ROW()-$C$72))"),"")</f>
        <v/>
      </c>
      <c r="P967" s="61" t="str">
        <f>IFERROR(__xludf.DUMMYFUNCTION("INDIRECT(""'收支紀錄'!P""&amp;TO_TEXT(ROW()-$C$72))"),"")</f>
        <v/>
      </c>
      <c r="Q967" s="61" t="str">
        <f>IFERROR(__xludf.DUMMYFUNCTION("INDIRECT(""'收支紀錄'!Q""&amp;TO_TEXT(ROW()-$C$72))"),"")</f>
        <v/>
      </c>
      <c r="R967" s="61" t="str">
        <f>IFERROR(__xludf.DUMMYFUNCTION("INDIRECT(""'收支紀錄'!R""&amp;TO_TEXT(ROW()-$C$72))"),"")</f>
        <v/>
      </c>
      <c r="S967" s="61" t="str">
        <f>IFERROR(__xludf.DUMMYFUNCTION("INDIRECT(""'收支紀錄'!S""&amp;TO_TEXT(ROW()-$C$72))"),"東山休息站")</f>
        <v>東山休息站</v>
      </c>
      <c r="T967" s="61" t="str">
        <f>IFERROR(__xludf.DUMMYFUNCTION("INDIRECT(""'收支紀錄'!T""&amp;TO_TEXT(ROW()-$C$72))"),"")</f>
        <v/>
      </c>
      <c r="U967" s="62" t="str">
        <f>IFERROR(__xludf.DUMMYFUNCTION("IF(T967=""是"",TEXTJOIN("""", TRUE, ""$"", TO_TEXT(C967), S967),"""")"),"")</f>
        <v/>
      </c>
    </row>
    <row r="968">
      <c r="A968" s="58">
        <f>IFERROR(__xludf.DUMMYFUNCTION("INDIRECT(""'收支紀錄'!A""&amp;TO_TEXT(ROW()-$C$72))"),45838.31857326389)</f>
        <v>45838.31857</v>
      </c>
      <c r="B968" s="59">
        <f>IFERROR(__xludf.DUMMYFUNCTION("IF(ISBLANK(D968), """", IF(ISDATE(D968), D968, IF(D968=""今天"", A968, IF(D968=""昨天 (-1 day)"", A968-1, IF(D968=""前天 (-2 days)"", A968-2, IF(D968=""明天 (+1 day)"", A968+1, DATE(LEFT(D968,4), MID(D968,5,2), RIGHT(D968,2))))))))"),45837.31857326389)</f>
        <v>45837.31857</v>
      </c>
      <c r="C968" s="60">
        <f>IFERROR(__xludf.DUMMYFUNCTION("INDIRECT(""'收支紀錄'!C""&amp;TO_TEXT(ROW()-$C$72))"),416.0)</f>
        <v>416</v>
      </c>
      <c r="D968" s="63" t="str">
        <f>IFERROR(__xludf.DUMMYFUNCTION("INDIRECT(""'收支紀錄'!D""&amp;TO_TEXT(ROW()-$C$72))"),"昨天 (-1 day)")</f>
        <v>昨天 (-1 day)</v>
      </c>
      <c r="E968" s="61" t="str">
        <f>IFERROR(__xludf.DUMMYFUNCTION("INDIRECT(""'收支紀錄'!E""&amp;TO_TEXT(ROW()-$C$72))"),"")</f>
        <v/>
      </c>
      <c r="F968" s="61" t="str">
        <f>IFERROR(__xludf.DUMMYFUNCTION("INDIRECT(""'收支紀錄'!F""&amp;TO_TEXT(ROW()-$C$72))"),"")</f>
        <v/>
      </c>
      <c r="G968" s="61" t="str">
        <f>IFERROR(__xludf.DUMMYFUNCTION("INDIRECT(""'收支紀錄'!G""&amp;TO_TEXT(ROW()-$C$72))"),"")</f>
        <v/>
      </c>
      <c r="H968" s="61" t="str">
        <f>IFERROR(__xludf.DUMMYFUNCTION("INDIRECT(""'收支紀錄'!H""&amp;TO_TEXT(ROW()-$C$72))"),"行車交通")</f>
        <v>行車交通</v>
      </c>
      <c r="I968" s="61" t="str">
        <f>IFERROR(__xludf.DUMMYFUNCTION("INDIRECT(""'收支紀錄'!I""&amp;TO_TEXT(ROW()-$C$72))"),"")</f>
        <v/>
      </c>
      <c r="J968" s="61" t="str">
        <f>IFERROR(__xludf.DUMMYFUNCTION("INDIRECT(""'收支紀錄'!J""&amp;TO_TEXT(ROW()-$C$72))"),"")</f>
        <v/>
      </c>
      <c r="K968" s="61" t="str">
        <f>IFERROR(__xludf.DUMMYFUNCTION("INDIRECT(""'收支紀錄'!K""&amp;TO_TEXT(ROW()-$C$72))"),"")</f>
        <v/>
      </c>
      <c r="L968" s="61" t="str">
        <f>IFERROR(__xludf.DUMMYFUNCTION("INDIRECT(""'收支紀錄'!L""&amp;TO_TEXT(ROW()-$C$72))"),"加油")</f>
        <v>加油</v>
      </c>
      <c r="M968" s="61" t="str">
        <f>IFERROR(__xludf.DUMMYFUNCTION("INDIRECT(""'收支紀錄'!M""&amp;TO_TEXT(ROW()-$C$72))"),"")</f>
        <v/>
      </c>
      <c r="N968" s="61" t="str">
        <f>IFERROR(__xludf.DUMMYFUNCTION("INDIRECT(""'收支紀錄'!N""&amp;TO_TEXT(ROW()-$C$72))"),"")</f>
        <v/>
      </c>
      <c r="O968" s="61" t="str">
        <f>IFERROR(__xludf.DUMMYFUNCTION("INDIRECT(""'收支紀錄'!O""&amp;TO_TEXT(ROW()-$C$72))"),"")</f>
        <v/>
      </c>
      <c r="P968" s="61" t="str">
        <f>IFERROR(__xludf.DUMMYFUNCTION("INDIRECT(""'收支紀錄'!P""&amp;TO_TEXT(ROW()-$C$72))"),"")</f>
        <v/>
      </c>
      <c r="Q968" s="61" t="str">
        <f>IFERROR(__xludf.DUMMYFUNCTION("INDIRECT(""'收支紀錄'!Q""&amp;TO_TEXT(ROW()-$C$72))"),"")</f>
        <v/>
      </c>
      <c r="R968" s="61" t="str">
        <f>IFERROR(__xludf.DUMMYFUNCTION("INDIRECT(""'收支紀錄'!R""&amp;TO_TEXT(ROW()-$C$72))"),"")</f>
        <v/>
      </c>
      <c r="S968" s="61" t="str">
        <f>IFERROR(__xludf.DUMMYFUNCTION("INDIRECT(""'收支紀錄'!S""&amp;TO_TEXT(ROW()-$C$72))"),"")</f>
        <v/>
      </c>
      <c r="T968" s="61" t="str">
        <f>IFERROR(__xludf.DUMMYFUNCTION("INDIRECT(""'收支紀錄'!T""&amp;TO_TEXT(ROW()-$C$72))"),"")</f>
        <v/>
      </c>
      <c r="U968" s="62" t="str">
        <f>IFERROR(__xludf.DUMMYFUNCTION("IF(T968=""是"",TEXTJOIN("""", TRUE, ""$"", TO_TEXT(C968), S968),"""")"),"")</f>
        <v/>
      </c>
    </row>
    <row r="969">
      <c r="A969" s="58">
        <f>IFERROR(__xludf.DUMMYFUNCTION("INDIRECT(""'收支紀錄'!A""&amp;TO_TEXT(ROW()-$C$72))"),45838.88727356482)</f>
        <v>45838.88727</v>
      </c>
      <c r="B969" s="59">
        <f>IFERROR(__xludf.DUMMYFUNCTION("IF(ISBLANK(D969), """", IF(ISDATE(D969), D969, IF(D969=""今天"", A969, IF(D969=""昨天 (-1 day)"", A969-1, IF(D969=""前天 (-2 days)"", A969-2, IF(D969=""明天 (+1 day)"", A969+1, DATE(LEFT(D969,4), MID(D969,5,2), RIGHT(D969,2))))))))"),45838.88727356482)</f>
        <v>45838.88727</v>
      </c>
      <c r="C969" s="60">
        <f>IFERROR(__xludf.DUMMYFUNCTION("INDIRECT(""'收支紀錄'!C""&amp;TO_TEXT(ROW()-$C$72))"),60.0)</f>
        <v>60</v>
      </c>
      <c r="D969" s="63" t="str">
        <f>IFERROR(__xludf.DUMMYFUNCTION("INDIRECT(""'收支紀錄'!D""&amp;TO_TEXT(ROW()-$C$72))"),"今天")</f>
        <v>今天</v>
      </c>
      <c r="E969" s="61" t="str">
        <f>IFERROR(__xludf.DUMMYFUNCTION("INDIRECT(""'收支紀錄'!E""&amp;TO_TEXT(ROW()-$C$72))"),"")</f>
        <v/>
      </c>
      <c r="F969" s="61" t="str">
        <f>IFERROR(__xludf.DUMMYFUNCTION("INDIRECT(""'收支紀錄'!F""&amp;TO_TEXT(ROW()-$C$72))"),"")</f>
        <v/>
      </c>
      <c r="G969" s="61" t="str">
        <f>IFERROR(__xludf.DUMMYFUNCTION("INDIRECT(""'收支紀錄'!G""&amp;TO_TEXT(ROW()-$C$72))"),"")</f>
        <v/>
      </c>
      <c r="H969" s="61" t="str">
        <f>IFERROR(__xludf.DUMMYFUNCTION("INDIRECT(""'收支紀錄'!H""&amp;TO_TEXT(ROW()-$C$72))"),"日常生活")</f>
        <v>日常生活</v>
      </c>
      <c r="I969" s="61" t="str">
        <f>IFERROR(__xludf.DUMMYFUNCTION("INDIRECT(""'收支紀錄'!I""&amp;TO_TEXT(ROW()-$C$72))"),"")</f>
        <v/>
      </c>
      <c r="J969" s="61" t="str">
        <f>IFERROR(__xludf.DUMMYFUNCTION("INDIRECT(""'收支紀錄'!J""&amp;TO_TEXT(ROW()-$C$72))"),"日常用品")</f>
        <v>日常用品</v>
      </c>
      <c r="K969" s="61" t="str">
        <f>IFERROR(__xludf.DUMMYFUNCTION("INDIRECT(""'收支紀錄'!K""&amp;TO_TEXT(ROW()-$C$72))"),"")</f>
        <v/>
      </c>
      <c r="L969" s="61" t="str">
        <f>IFERROR(__xludf.DUMMYFUNCTION("INDIRECT(""'收支紀錄'!L""&amp;TO_TEXT(ROW()-$C$72))"),"")</f>
        <v/>
      </c>
      <c r="M969" s="61" t="str">
        <f>IFERROR(__xludf.DUMMYFUNCTION("INDIRECT(""'收支紀錄'!M""&amp;TO_TEXT(ROW()-$C$72))"),"")</f>
        <v/>
      </c>
      <c r="N969" s="61" t="str">
        <f>IFERROR(__xludf.DUMMYFUNCTION("INDIRECT(""'收支紀錄'!N""&amp;TO_TEXT(ROW()-$C$72))"),"")</f>
        <v/>
      </c>
      <c r="O969" s="61" t="str">
        <f>IFERROR(__xludf.DUMMYFUNCTION("INDIRECT(""'收支紀錄'!O""&amp;TO_TEXT(ROW()-$C$72))"),"")</f>
        <v/>
      </c>
      <c r="P969" s="61" t="str">
        <f>IFERROR(__xludf.DUMMYFUNCTION("INDIRECT(""'收支紀錄'!P""&amp;TO_TEXT(ROW()-$C$72))"),"")</f>
        <v/>
      </c>
      <c r="Q969" s="61" t="str">
        <f>IFERROR(__xludf.DUMMYFUNCTION("INDIRECT(""'收支紀錄'!Q""&amp;TO_TEXT(ROW()-$C$72))"),"")</f>
        <v/>
      </c>
      <c r="R969" s="61" t="str">
        <f>IFERROR(__xludf.DUMMYFUNCTION("INDIRECT(""'收支紀錄'!R""&amp;TO_TEXT(ROW()-$C$72))"),"")</f>
        <v/>
      </c>
      <c r="S969" s="61" t="str">
        <f>IFERROR(__xludf.DUMMYFUNCTION("INDIRECT(""'收支紀錄'!S""&amp;TO_TEXT(ROW()-$C$72))"),"")</f>
        <v/>
      </c>
      <c r="T969" s="61" t="str">
        <f>IFERROR(__xludf.DUMMYFUNCTION("INDIRECT(""'收支紀錄'!T""&amp;TO_TEXT(ROW()-$C$72))"),"")</f>
        <v/>
      </c>
      <c r="U969" s="62" t="str">
        <f>IFERROR(__xludf.DUMMYFUNCTION("IF(T969=""是"",TEXTJOIN("""", TRUE, ""$"", TO_TEXT(C969), S969),"""")"),"")</f>
        <v/>
      </c>
    </row>
    <row r="970">
      <c r="A970" s="58">
        <f>IFERROR(__xludf.DUMMYFUNCTION("INDIRECT(""'收支紀錄'!A""&amp;TO_TEXT(ROW()-$C$72))"),45839.39306002315)</f>
        <v>45839.39306</v>
      </c>
      <c r="B970" s="59">
        <f>IFERROR(__xludf.DUMMYFUNCTION("IF(ISBLANK(D970), """", IF(ISDATE(D970), D970, IF(D970=""今天"", A970, IF(D970=""昨天 (-1 day)"", A970-1, IF(D970=""前天 (-2 days)"", A970-2, IF(D970=""明天 (+1 day)"", A970+1, DATE(LEFT(D970,4), MID(D970,5,2), RIGHT(D970,2))))))))"),45838.39306002315)</f>
        <v>45838.39306</v>
      </c>
      <c r="C970" s="60">
        <f>IFERROR(__xludf.DUMMYFUNCTION("INDIRECT(""'收支紀錄'!C""&amp;TO_TEXT(ROW()-$C$72))"),500.0)</f>
        <v>500</v>
      </c>
      <c r="D970" s="63" t="str">
        <f>IFERROR(__xludf.DUMMYFUNCTION("INDIRECT(""'收支紀錄'!D""&amp;TO_TEXT(ROW()-$C$72))"),"昨天 (-1 day)")</f>
        <v>昨天 (-1 day)</v>
      </c>
      <c r="E970" s="61" t="str">
        <f>IFERROR(__xludf.DUMMYFUNCTION("INDIRECT(""'收支紀錄'!E""&amp;TO_TEXT(ROW()-$C$72))"),"")</f>
        <v/>
      </c>
      <c r="F970" s="61" t="str">
        <f>IFERROR(__xludf.DUMMYFUNCTION("INDIRECT(""'收支紀錄'!F""&amp;TO_TEXT(ROW()-$C$72))"),"")</f>
        <v/>
      </c>
      <c r="G970" s="61" t="str">
        <f>IFERROR(__xludf.DUMMYFUNCTION("INDIRECT(""'收支紀錄'!G""&amp;TO_TEXT(ROW()-$C$72))"),"")</f>
        <v/>
      </c>
      <c r="H970" s="61" t="str">
        <f>IFERROR(__xludf.DUMMYFUNCTION("INDIRECT(""'收支紀錄'!H""&amp;TO_TEXT(ROW()-$C$72))"),"食品酒水")</f>
        <v>食品酒水</v>
      </c>
      <c r="I970" s="61" t="str">
        <f>IFERROR(__xludf.DUMMYFUNCTION("INDIRECT(""'收支紀錄'!I""&amp;TO_TEXT(ROW()-$C$72))"),"禮券儲值")</f>
        <v>禮券儲值</v>
      </c>
      <c r="J970" s="61" t="str">
        <f>IFERROR(__xludf.DUMMYFUNCTION("INDIRECT(""'收支紀錄'!J""&amp;TO_TEXT(ROW()-$C$72))"),"")</f>
        <v/>
      </c>
      <c r="K970" s="61" t="str">
        <f>IFERROR(__xludf.DUMMYFUNCTION("INDIRECT(""'收支紀錄'!K""&amp;TO_TEXT(ROW()-$C$72))"),"")</f>
        <v/>
      </c>
      <c r="L970" s="61" t="str">
        <f>IFERROR(__xludf.DUMMYFUNCTION("INDIRECT(""'收支紀錄'!L""&amp;TO_TEXT(ROW()-$C$72))"),"")</f>
        <v/>
      </c>
      <c r="M970" s="61" t="str">
        <f>IFERROR(__xludf.DUMMYFUNCTION("INDIRECT(""'收支紀錄'!M""&amp;TO_TEXT(ROW()-$C$72))"),"")</f>
        <v/>
      </c>
      <c r="N970" s="61" t="str">
        <f>IFERROR(__xludf.DUMMYFUNCTION("INDIRECT(""'收支紀錄'!N""&amp;TO_TEXT(ROW()-$C$72))"),"")</f>
        <v/>
      </c>
      <c r="O970" s="61" t="str">
        <f>IFERROR(__xludf.DUMMYFUNCTION("INDIRECT(""'收支紀錄'!O""&amp;TO_TEXT(ROW()-$C$72))"),"")</f>
        <v/>
      </c>
      <c r="P970" s="61" t="str">
        <f>IFERROR(__xludf.DUMMYFUNCTION("INDIRECT(""'收支紀錄'!P""&amp;TO_TEXT(ROW()-$C$72))"),"")</f>
        <v/>
      </c>
      <c r="Q970" s="61" t="str">
        <f>IFERROR(__xludf.DUMMYFUNCTION("INDIRECT(""'收支紀錄'!Q""&amp;TO_TEXT(ROW()-$C$72))"),"")</f>
        <v/>
      </c>
      <c r="R970" s="61" t="str">
        <f>IFERROR(__xludf.DUMMYFUNCTION("INDIRECT(""'收支紀錄'!R""&amp;TO_TEXT(ROW()-$C$72))"),"")</f>
        <v/>
      </c>
      <c r="S970" s="61" t="str">
        <f>IFERROR(__xludf.DUMMYFUNCTION("INDIRECT(""'收支紀錄'!S""&amp;TO_TEXT(ROW()-$C$72))"),"麥當勞點點卡")</f>
        <v>麥當勞點點卡</v>
      </c>
      <c r="T970" s="61" t="str">
        <f>IFERROR(__xludf.DUMMYFUNCTION("INDIRECT(""'收支紀錄'!T""&amp;TO_TEXT(ROW()-$C$72))"),"")</f>
        <v/>
      </c>
      <c r="U970" s="62" t="str">
        <f>IFERROR(__xludf.DUMMYFUNCTION("IF(T970=""是"",TEXTJOIN("""", TRUE, ""$"", TO_TEXT(C970), S970),"""")"),"")</f>
        <v/>
      </c>
    </row>
    <row r="971">
      <c r="A971" s="58">
        <f>IFERROR(__xludf.DUMMYFUNCTION("INDIRECT(""'收支紀錄'!A""&amp;TO_TEXT(ROW()-$C$72))"),45839.39329295139)</f>
        <v>45839.39329</v>
      </c>
      <c r="B971" s="59">
        <f>IFERROR(__xludf.DUMMYFUNCTION("IF(ISBLANK(D971), """", IF(ISDATE(D971), D971, IF(D971=""今天"", A971, IF(D971=""昨天 (-1 day)"", A971-1, IF(D971=""前天 (-2 days)"", A971-2, IF(D971=""明天 (+1 day)"", A971+1, DATE(LEFT(D971,4), MID(D971,5,2), RIGHT(D971,2))))))))"),45838.39329295139)</f>
        <v>45838.39329</v>
      </c>
      <c r="C971" s="60">
        <f>IFERROR(__xludf.DUMMYFUNCTION("INDIRECT(""'收支紀錄'!C""&amp;TO_TEXT(ROW()-$C$72))"),1000.0)</f>
        <v>1000</v>
      </c>
      <c r="D971" s="63" t="str">
        <f>IFERROR(__xludf.DUMMYFUNCTION("INDIRECT(""'收支紀錄'!D""&amp;TO_TEXT(ROW()-$C$72))"),"昨天 (-1 day)")</f>
        <v>昨天 (-1 day)</v>
      </c>
      <c r="E971" s="61" t="str">
        <f>IFERROR(__xludf.DUMMYFUNCTION("INDIRECT(""'收支紀錄'!E""&amp;TO_TEXT(ROW()-$C$72))"),"")</f>
        <v/>
      </c>
      <c r="F971" s="61" t="str">
        <f>IFERROR(__xludf.DUMMYFUNCTION("INDIRECT(""'收支紀錄'!F""&amp;TO_TEXT(ROW()-$C$72))"),"")</f>
        <v/>
      </c>
      <c r="G971" s="61" t="str">
        <f>IFERROR(__xludf.DUMMYFUNCTION("INDIRECT(""'收支紀錄'!G""&amp;TO_TEXT(ROW()-$C$72))"),"")</f>
        <v/>
      </c>
      <c r="H971" s="61" t="str">
        <f>IFERROR(__xludf.DUMMYFUNCTION("INDIRECT(""'收支紀錄'!H""&amp;TO_TEXT(ROW()-$C$72))"),"食品酒水")</f>
        <v>食品酒水</v>
      </c>
      <c r="I971" s="61" t="str">
        <f>IFERROR(__xludf.DUMMYFUNCTION("INDIRECT(""'收支紀錄'!I""&amp;TO_TEXT(ROW()-$C$72))"),"禮券儲值")</f>
        <v>禮券儲值</v>
      </c>
      <c r="J971" s="61" t="str">
        <f>IFERROR(__xludf.DUMMYFUNCTION("INDIRECT(""'收支紀錄'!J""&amp;TO_TEXT(ROW()-$C$72))"),"")</f>
        <v/>
      </c>
      <c r="K971" s="61" t="str">
        <f>IFERROR(__xludf.DUMMYFUNCTION("INDIRECT(""'收支紀錄'!K""&amp;TO_TEXT(ROW()-$C$72))"),"")</f>
        <v/>
      </c>
      <c r="L971" s="61" t="str">
        <f>IFERROR(__xludf.DUMMYFUNCTION("INDIRECT(""'收支紀錄'!L""&amp;TO_TEXT(ROW()-$C$72))"),"")</f>
        <v/>
      </c>
      <c r="M971" s="61" t="str">
        <f>IFERROR(__xludf.DUMMYFUNCTION("INDIRECT(""'收支紀錄'!M""&amp;TO_TEXT(ROW()-$C$72))"),"")</f>
        <v/>
      </c>
      <c r="N971" s="61" t="str">
        <f>IFERROR(__xludf.DUMMYFUNCTION("INDIRECT(""'收支紀錄'!N""&amp;TO_TEXT(ROW()-$C$72))"),"")</f>
        <v/>
      </c>
      <c r="O971" s="61" t="str">
        <f>IFERROR(__xludf.DUMMYFUNCTION("INDIRECT(""'收支紀錄'!O""&amp;TO_TEXT(ROW()-$C$72))"),"")</f>
        <v/>
      </c>
      <c r="P971" s="61" t="str">
        <f>IFERROR(__xludf.DUMMYFUNCTION("INDIRECT(""'收支紀錄'!P""&amp;TO_TEXT(ROW()-$C$72))"),"")</f>
        <v/>
      </c>
      <c r="Q971" s="61" t="str">
        <f>IFERROR(__xludf.DUMMYFUNCTION("INDIRECT(""'收支紀錄'!Q""&amp;TO_TEXT(ROW()-$C$72))"),"")</f>
        <v/>
      </c>
      <c r="R971" s="61" t="str">
        <f>IFERROR(__xludf.DUMMYFUNCTION("INDIRECT(""'收支紀錄'!R""&amp;TO_TEXT(ROW()-$C$72))"),"")</f>
        <v/>
      </c>
      <c r="S971" s="61" t="str">
        <f>IFERROR(__xludf.DUMMYFUNCTION("INDIRECT(""'收支紀錄'!S""&amp;TO_TEXT(ROW()-$C$72))"),"全聯儲值")</f>
        <v>全聯儲值</v>
      </c>
      <c r="T971" s="61" t="str">
        <f>IFERROR(__xludf.DUMMYFUNCTION("INDIRECT(""'收支紀錄'!T""&amp;TO_TEXT(ROW()-$C$72))"),"")</f>
        <v/>
      </c>
      <c r="U971" s="62" t="str">
        <f>IFERROR(__xludf.DUMMYFUNCTION("IF(T971=""是"",TEXTJOIN("""", TRUE, ""$"", TO_TEXT(C971), S971),"""")"),"")</f>
        <v/>
      </c>
    </row>
    <row r="972">
      <c r="A972" s="58">
        <f>IFERROR(__xludf.DUMMYFUNCTION("INDIRECT(""'收支紀錄'!A""&amp;TO_TEXT(ROW()-$C$72))"),45841.78452400463)</f>
        <v>45841.78452</v>
      </c>
      <c r="B972" s="59">
        <f>IFERROR(__xludf.DUMMYFUNCTION("IF(ISBLANK(D972), """", IF(ISDATE(D972), D972, IF(D972=""今天"", A972, IF(D972=""昨天 (-1 day)"", A972-1, IF(D972=""前天 (-2 days)"", A972-2, IF(D972=""明天 (+1 day)"", A972+1, DATE(LEFT(D972,4), MID(D972,5,2), RIGHT(D972,2))))))))"),45841.78452400463)</f>
        <v>45841.78452</v>
      </c>
      <c r="C972" s="60">
        <f>IFERROR(__xludf.DUMMYFUNCTION("INDIRECT(""'收支紀錄'!C""&amp;TO_TEXT(ROW()-$C$72))"),129.0)</f>
        <v>129</v>
      </c>
      <c r="D972" s="63" t="str">
        <f>IFERROR(__xludf.DUMMYFUNCTION("INDIRECT(""'收支紀錄'!D""&amp;TO_TEXT(ROW()-$C$72))"),"今天")</f>
        <v>今天</v>
      </c>
      <c r="E972" s="61" t="str">
        <f>IFERROR(__xludf.DUMMYFUNCTION("INDIRECT(""'收支紀錄'!E""&amp;TO_TEXT(ROW()-$C$72))"),"")</f>
        <v/>
      </c>
      <c r="F972" s="61" t="str">
        <f>IFERROR(__xludf.DUMMYFUNCTION("INDIRECT(""'收支紀錄'!F""&amp;TO_TEXT(ROW()-$C$72))"),"")</f>
        <v/>
      </c>
      <c r="G972" s="61" t="str">
        <f>IFERROR(__xludf.DUMMYFUNCTION("INDIRECT(""'收支紀錄'!G""&amp;TO_TEXT(ROW()-$C$72))"),"")</f>
        <v/>
      </c>
      <c r="H972" s="61" t="str">
        <f>IFERROR(__xludf.DUMMYFUNCTION("INDIRECT(""'收支紀錄'!H""&amp;TO_TEXT(ROW()-$C$72))"),"行車交通")</f>
        <v>行車交通</v>
      </c>
      <c r="I972" s="61" t="str">
        <f>IFERROR(__xludf.DUMMYFUNCTION("INDIRECT(""'收支紀錄'!I""&amp;TO_TEXT(ROW()-$C$72))"),"")</f>
        <v/>
      </c>
      <c r="J972" s="61" t="str">
        <f>IFERROR(__xludf.DUMMYFUNCTION("INDIRECT(""'收支紀錄'!J""&amp;TO_TEXT(ROW()-$C$72))"),"")</f>
        <v/>
      </c>
      <c r="K972" s="61" t="str">
        <f>IFERROR(__xludf.DUMMYFUNCTION("INDIRECT(""'收支紀錄'!K""&amp;TO_TEXT(ROW()-$C$72))"),"")</f>
        <v/>
      </c>
      <c r="L972" s="61" t="str">
        <f>IFERROR(__xludf.DUMMYFUNCTION("INDIRECT(""'收支紀錄'!L""&amp;TO_TEXT(ROW()-$C$72))"),"加油")</f>
        <v>加油</v>
      </c>
      <c r="M972" s="61" t="str">
        <f>IFERROR(__xludf.DUMMYFUNCTION("INDIRECT(""'收支紀錄'!M""&amp;TO_TEXT(ROW()-$C$72))"),"")</f>
        <v/>
      </c>
      <c r="N972" s="61" t="str">
        <f>IFERROR(__xludf.DUMMYFUNCTION("INDIRECT(""'收支紀錄'!N""&amp;TO_TEXT(ROW()-$C$72))"),"")</f>
        <v/>
      </c>
      <c r="O972" s="61" t="str">
        <f>IFERROR(__xludf.DUMMYFUNCTION("INDIRECT(""'收支紀錄'!O""&amp;TO_TEXT(ROW()-$C$72))"),"")</f>
        <v/>
      </c>
      <c r="P972" s="61" t="str">
        <f>IFERROR(__xludf.DUMMYFUNCTION("INDIRECT(""'收支紀錄'!P""&amp;TO_TEXT(ROW()-$C$72))"),"")</f>
        <v/>
      </c>
      <c r="Q972" s="61" t="str">
        <f>IFERROR(__xludf.DUMMYFUNCTION("INDIRECT(""'收支紀錄'!Q""&amp;TO_TEXT(ROW()-$C$72))"),"")</f>
        <v/>
      </c>
      <c r="R972" s="61" t="str">
        <f>IFERROR(__xludf.DUMMYFUNCTION("INDIRECT(""'收支紀錄'!R""&amp;TO_TEXT(ROW()-$C$72))"),"")</f>
        <v/>
      </c>
      <c r="S972" s="61" t="str">
        <f>IFERROR(__xludf.DUMMYFUNCTION("INDIRECT(""'收支紀錄'!S""&amp;TO_TEXT(ROW()-$C$72))"),"")</f>
        <v/>
      </c>
      <c r="T972" s="61" t="str">
        <f>IFERROR(__xludf.DUMMYFUNCTION("INDIRECT(""'收支紀錄'!T""&amp;TO_TEXT(ROW()-$C$72))"),"")</f>
        <v/>
      </c>
      <c r="U972" s="62" t="str">
        <f>IFERROR(__xludf.DUMMYFUNCTION("IF(T972=""是"",TEXTJOIN("""", TRUE, ""$"", TO_TEXT(C972), S972),"""")"),"")</f>
        <v/>
      </c>
    </row>
    <row r="973">
      <c r="A973" s="58">
        <f>IFERROR(__xludf.DUMMYFUNCTION("INDIRECT(""'收支紀錄'!A""&amp;TO_TEXT(ROW()-$C$72))"),45841.92089925926)</f>
        <v>45841.9209</v>
      </c>
      <c r="B973" s="59">
        <f>IFERROR(__xludf.DUMMYFUNCTION("IF(ISBLANK(D973), """", IF(ISDATE(D973), D973, IF(D973=""今天"", A973, IF(D973=""昨天 (-1 day)"", A973-1, IF(D973=""前天 (-2 days)"", A973-2, IF(D973=""明天 (+1 day)"", A973+1, DATE(LEFT(D973,4), MID(D973,5,2), RIGHT(D973,2))))))))"),45841.92089925926)</f>
        <v>45841.9209</v>
      </c>
      <c r="C973" s="60">
        <f>IFERROR(__xludf.DUMMYFUNCTION("INDIRECT(""'收支紀錄'!C""&amp;TO_TEXT(ROW()-$C$72))"),150.0)</f>
        <v>150</v>
      </c>
      <c r="D973" s="63" t="str">
        <f>IFERROR(__xludf.DUMMYFUNCTION("INDIRECT(""'收支紀錄'!D""&amp;TO_TEXT(ROW()-$C$72))"),"今天")</f>
        <v>今天</v>
      </c>
      <c r="E973" s="61" t="str">
        <f>IFERROR(__xludf.DUMMYFUNCTION("INDIRECT(""'收支紀錄'!E""&amp;TO_TEXT(ROW()-$C$72))"),"")</f>
        <v/>
      </c>
      <c r="F973" s="61" t="str">
        <f>IFERROR(__xludf.DUMMYFUNCTION("INDIRECT(""'收支紀錄'!F""&amp;TO_TEXT(ROW()-$C$72))"),"")</f>
        <v/>
      </c>
      <c r="G973" s="61" t="str">
        <f>IFERROR(__xludf.DUMMYFUNCTION("INDIRECT(""'收支紀錄'!G""&amp;TO_TEXT(ROW()-$C$72))"),"")</f>
        <v/>
      </c>
      <c r="H973" s="61" t="str">
        <f>IFERROR(__xludf.DUMMYFUNCTION("INDIRECT(""'收支紀錄'!H""&amp;TO_TEXT(ROW()-$C$72))"),"醫療費用")</f>
        <v>醫療費用</v>
      </c>
      <c r="I973" s="61" t="str">
        <f>IFERROR(__xludf.DUMMYFUNCTION("INDIRECT(""'收支紀錄'!I""&amp;TO_TEXT(ROW()-$C$72))"),"")</f>
        <v/>
      </c>
      <c r="J973" s="61" t="str">
        <f>IFERROR(__xludf.DUMMYFUNCTION("INDIRECT(""'收支紀錄'!J""&amp;TO_TEXT(ROW()-$C$72))"),"")</f>
        <v/>
      </c>
      <c r="K973" s="61" t="str">
        <f>IFERROR(__xludf.DUMMYFUNCTION("INDIRECT(""'收支紀錄'!K""&amp;TO_TEXT(ROW()-$C$72))"),"")</f>
        <v/>
      </c>
      <c r="L973" s="61" t="str">
        <f>IFERROR(__xludf.DUMMYFUNCTION("INDIRECT(""'收支紀錄'!L""&amp;TO_TEXT(ROW()-$C$72))"),"")</f>
        <v/>
      </c>
      <c r="M973" s="61" t="str">
        <f>IFERROR(__xludf.DUMMYFUNCTION("INDIRECT(""'收支紀錄'!M""&amp;TO_TEXT(ROW()-$C$72))"),"")</f>
        <v/>
      </c>
      <c r="N973" s="61" t="str">
        <f>IFERROR(__xludf.DUMMYFUNCTION("INDIRECT(""'收支紀錄'!N""&amp;TO_TEXT(ROW()-$C$72))"),"")</f>
        <v/>
      </c>
      <c r="O973" s="61" t="str">
        <f>IFERROR(__xludf.DUMMYFUNCTION("INDIRECT(""'收支紀錄'!O""&amp;TO_TEXT(ROW()-$C$72))"),"生病醫療")</f>
        <v>生病醫療</v>
      </c>
      <c r="P973" s="61" t="str">
        <f>IFERROR(__xludf.DUMMYFUNCTION("INDIRECT(""'收支紀錄'!P""&amp;TO_TEXT(ROW()-$C$72))"),"")</f>
        <v/>
      </c>
      <c r="Q973" s="61" t="str">
        <f>IFERROR(__xludf.DUMMYFUNCTION("INDIRECT(""'收支紀錄'!Q""&amp;TO_TEXT(ROW()-$C$72))"),"")</f>
        <v/>
      </c>
      <c r="R973" s="61" t="str">
        <f>IFERROR(__xludf.DUMMYFUNCTION("INDIRECT(""'收支紀錄'!R""&amp;TO_TEXT(ROW()-$C$72))"),"")</f>
        <v/>
      </c>
      <c r="S973" s="61" t="str">
        <f>IFERROR(__xludf.DUMMYFUNCTION("INDIRECT(""'收支紀錄'!S""&amp;TO_TEXT(ROW()-$C$72))"),"")</f>
        <v/>
      </c>
      <c r="T973" s="61" t="str">
        <f>IFERROR(__xludf.DUMMYFUNCTION("INDIRECT(""'收支紀錄'!T""&amp;TO_TEXT(ROW()-$C$72))"),"")</f>
        <v/>
      </c>
      <c r="U973" s="62" t="str">
        <f>IFERROR(__xludf.DUMMYFUNCTION("IF(T973=""是"",TEXTJOIN("""", TRUE, ""$"", TO_TEXT(C973), S973),"""")"),"")</f>
        <v/>
      </c>
    </row>
    <row r="974">
      <c r="A974" s="58">
        <f>IFERROR(__xludf.DUMMYFUNCTION("INDIRECT(""'收支紀錄'!A""&amp;TO_TEXT(ROW()-$C$72))"),45841.92111984953)</f>
        <v>45841.92112</v>
      </c>
      <c r="B974" s="59">
        <f>IFERROR(__xludf.DUMMYFUNCTION("IF(ISBLANK(D974), """", IF(ISDATE(D974), D974, IF(D974=""今天"", A974, IF(D974=""昨天 (-1 day)"", A974-1, IF(D974=""前天 (-2 days)"", A974-2, IF(D974=""明天 (+1 day)"", A974+1, DATE(LEFT(D974,4), MID(D974,5,2), RIGHT(D974,2))))))))"),45841.92111984953)</f>
        <v>45841.92112</v>
      </c>
      <c r="C974" s="60">
        <f>IFERROR(__xludf.DUMMYFUNCTION("INDIRECT(""'收支紀錄'!C""&amp;TO_TEXT(ROW()-$C$72))"),5000.0)</f>
        <v>5000</v>
      </c>
      <c r="D974" s="63" t="str">
        <f>IFERROR(__xludf.DUMMYFUNCTION("INDIRECT(""'收支紀錄'!D""&amp;TO_TEXT(ROW()-$C$72))"),"今天")</f>
        <v>今天</v>
      </c>
      <c r="E974" s="61" t="str">
        <f>IFERROR(__xludf.DUMMYFUNCTION("INDIRECT(""'收支紀錄'!E""&amp;TO_TEXT(ROW()-$C$72))"),"")</f>
        <v/>
      </c>
      <c r="F974" s="61" t="str">
        <f>IFERROR(__xludf.DUMMYFUNCTION("INDIRECT(""'收支紀錄'!F""&amp;TO_TEXT(ROW()-$C$72))"),"")</f>
        <v/>
      </c>
      <c r="G974" s="61" t="str">
        <f>IFERROR(__xludf.DUMMYFUNCTION("INDIRECT(""'收支紀錄'!G""&amp;TO_TEXT(ROW()-$C$72))"),"")</f>
        <v/>
      </c>
      <c r="H974" s="61" t="str">
        <f>IFERROR(__xludf.DUMMYFUNCTION("INDIRECT(""'收支紀錄'!H""&amp;TO_TEXT(ROW()-$C$72))"),"醫療費用")</f>
        <v>醫療費用</v>
      </c>
      <c r="I974" s="61" t="str">
        <f>IFERROR(__xludf.DUMMYFUNCTION("INDIRECT(""'收支紀錄'!I""&amp;TO_TEXT(ROW()-$C$72))"),"")</f>
        <v/>
      </c>
      <c r="J974" s="61" t="str">
        <f>IFERROR(__xludf.DUMMYFUNCTION("INDIRECT(""'收支紀錄'!J""&amp;TO_TEXT(ROW()-$C$72))"),"")</f>
        <v/>
      </c>
      <c r="K974" s="61" t="str">
        <f>IFERROR(__xludf.DUMMYFUNCTION("INDIRECT(""'收支紀錄'!K""&amp;TO_TEXT(ROW()-$C$72))"),"")</f>
        <v/>
      </c>
      <c r="L974" s="61" t="str">
        <f>IFERROR(__xludf.DUMMYFUNCTION("INDIRECT(""'收支紀錄'!L""&amp;TO_TEXT(ROW()-$C$72))"),"")</f>
        <v/>
      </c>
      <c r="M974" s="61" t="str">
        <f>IFERROR(__xludf.DUMMYFUNCTION("INDIRECT(""'收支紀錄'!M""&amp;TO_TEXT(ROW()-$C$72))"),"")</f>
        <v/>
      </c>
      <c r="N974" s="61" t="str">
        <f>IFERROR(__xludf.DUMMYFUNCTION("INDIRECT(""'收支紀錄'!N""&amp;TO_TEXT(ROW()-$C$72))"),"")</f>
        <v/>
      </c>
      <c r="O974" s="61" t="str">
        <f>IFERROR(__xludf.DUMMYFUNCTION("INDIRECT(""'收支紀錄'!O""&amp;TO_TEXT(ROW()-$C$72))"),"生病醫療")</f>
        <v>生病醫療</v>
      </c>
      <c r="P974" s="61" t="str">
        <f>IFERROR(__xludf.DUMMYFUNCTION("INDIRECT(""'收支紀錄'!P""&amp;TO_TEXT(ROW()-$C$72))"),"")</f>
        <v/>
      </c>
      <c r="Q974" s="61" t="str">
        <f>IFERROR(__xludf.DUMMYFUNCTION("INDIRECT(""'收支紀錄'!Q""&amp;TO_TEXT(ROW()-$C$72))"),"")</f>
        <v/>
      </c>
      <c r="R974" s="61" t="str">
        <f>IFERROR(__xludf.DUMMYFUNCTION("INDIRECT(""'收支紀錄'!R""&amp;TO_TEXT(ROW()-$C$72))"),"")</f>
        <v/>
      </c>
      <c r="S974" s="61" t="str">
        <f>IFERROR(__xludf.DUMMYFUNCTION("INDIRECT(""'收支紀錄'!S""&amp;TO_TEXT(ROW()-$C$72))"),"根管治療")</f>
        <v>根管治療</v>
      </c>
      <c r="T974" s="61" t="str">
        <f>IFERROR(__xludf.DUMMYFUNCTION("INDIRECT(""'收支紀錄'!T""&amp;TO_TEXT(ROW()-$C$72))"),"是")</f>
        <v>是</v>
      </c>
      <c r="U974" s="62" t="str">
        <f>IFERROR(__xludf.DUMMYFUNCTION("IF(T974=""是"",TEXTJOIN("""", TRUE, ""$"", TO_TEXT(C974), S974),"""")"),"$5000根管治療")</f>
        <v>$5000根管治療</v>
      </c>
    </row>
    <row r="975">
      <c r="A975" s="58">
        <f>IFERROR(__xludf.DUMMYFUNCTION("INDIRECT(""'收支紀錄'!A""&amp;TO_TEXT(ROW()-$C$72))"),45841.921306828706)</f>
        <v>45841.92131</v>
      </c>
      <c r="B975" s="59">
        <f>IFERROR(__xludf.DUMMYFUNCTION("IF(ISBLANK(D975), """", IF(ISDATE(D975), D975, IF(D975=""今天"", A975, IF(D975=""昨天 (-1 day)"", A975-1, IF(D975=""前天 (-2 days)"", A975-2, IF(D975=""明天 (+1 day)"", A975+1, DATE(LEFT(D975,4), MID(D975,5,2), RIGHT(D975,2))))))))"),45839.921306828706)</f>
        <v>45839.92131</v>
      </c>
      <c r="C975" s="60">
        <f>IFERROR(__xludf.DUMMYFUNCTION("INDIRECT(""'收支紀錄'!C""&amp;TO_TEXT(ROW()-$C$72))"),6000.0)</f>
        <v>6000</v>
      </c>
      <c r="D975" s="63" t="str">
        <f>IFERROR(__xludf.DUMMYFUNCTION("INDIRECT(""'收支紀錄'!D""&amp;TO_TEXT(ROW()-$C$72))"),"前天 (-2 days)")</f>
        <v>前天 (-2 days)</v>
      </c>
      <c r="E975" s="61" t="str">
        <f>IFERROR(__xludf.DUMMYFUNCTION("INDIRECT(""'收支紀錄'!E""&amp;TO_TEXT(ROW()-$C$72))"),"")</f>
        <v/>
      </c>
      <c r="F975" s="61" t="str">
        <f>IFERROR(__xludf.DUMMYFUNCTION("INDIRECT(""'收支紀錄'!F""&amp;TO_TEXT(ROW()-$C$72))"),"")</f>
        <v/>
      </c>
      <c r="G975" s="61" t="str">
        <f>IFERROR(__xludf.DUMMYFUNCTION("INDIRECT(""'收支紀錄'!G""&amp;TO_TEXT(ROW()-$C$72))"),"")</f>
        <v/>
      </c>
      <c r="H975" s="61" t="str">
        <f>IFERROR(__xludf.DUMMYFUNCTION("INDIRECT(""'收支紀錄'!H""&amp;TO_TEXT(ROW()-$C$72))"),"房屋支出")</f>
        <v>房屋支出</v>
      </c>
      <c r="I975" s="61" t="str">
        <f>IFERROR(__xludf.DUMMYFUNCTION("INDIRECT(""'收支紀錄'!I""&amp;TO_TEXT(ROW()-$C$72))"),"")</f>
        <v/>
      </c>
      <c r="J975" s="61" t="str">
        <f>IFERROR(__xludf.DUMMYFUNCTION("INDIRECT(""'收支紀錄'!J""&amp;TO_TEXT(ROW()-$C$72))"),"")</f>
        <v/>
      </c>
      <c r="K975" s="61" t="str">
        <f>IFERROR(__xludf.DUMMYFUNCTION("INDIRECT(""'收支紀錄'!K""&amp;TO_TEXT(ROW()-$C$72))"),"租屋")</f>
        <v>租屋</v>
      </c>
      <c r="L975" s="61" t="str">
        <f>IFERROR(__xludf.DUMMYFUNCTION("INDIRECT(""'收支紀錄'!L""&amp;TO_TEXT(ROW()-$C$72))"),"")</f>
        <v/>
      </c>
      <c r="M975" s="61" t="str">
        <f>IFERROR(__xludf.DUMMYFUNCTION("INDIRECT(""'收支紀錄'!M""&amp;TO_TEXT(ROW()-$C$72))"),"")</f>
        <v/>
      </c>
      <c r="N975" s="61" t="str">
        <f>IFERROR(__xludf.DUMMYFUNCTION("INDIRECT(""'收支紀錄'!N""&amp;TO_TEXT(ROW()-$C$72))"),"")</f>
        <v/>
      </c>
      <c r="O975" s="61" t="str">
        <f>IFERROR(__xludf.DUMMYFUNCTION("INDIRECT(""'收支紀錄'!O""&amp;TO_TEXT(ROW()-$C$72))"),"")</f>
        <v/>
      </c>
      <c r="P975" s="61" t="str">
        <f>IFERROR(__xludf.DUMMYFUNCTION("INDIRECT(""'收支紀錄'!P""&amp;TO_TEXT(ROW()-$C$72))"),"")</f>
        <v/>
      </c>
      <c r="Q975" s="61" t="str">
        <f>IFERROR(__xludf.DUMMYFUNCTION("INDIRECT(""'收支紀錄'!Q""&amp;TO_TEXT(ROW()-$C$72))"),"")</f>
        <v/>
      </c>
      <c r="R975" s="61" t="str">
        <f>IFERROR(__xludf.DUMMYFUNCTION("INDIRECT(""'收支紀錄'!R""&amp;TO_TEXT(ROW()-$C$72))"),"")</f>
        <v/>
      </c>
      <c r="S975" s="61" t="str">
        <f>IFERROR(__xludf.DUMMYFUNCTION("INDIRECT(""'收支紀錄'!S""&amp;TO_TEXT(ROW()-$C$72))"),"")</f>
        <v/>
      </c>
      <c r="T975" s="61" t="str">
        <f>IFERROR(__xludf.DUMMYFUNCTION("INDIRECT(""'收支紀錄'!T""&amp;TO_TEXT(ROW()-$C$72))"),"")</f>
        <v/>
      </c>
      <c r="U975" s="62" t="str">
        <f>IFERROR(__xludf.DUMMYFUNCTION("IF(T975=""是"",TEXTJOIN("""", TRUE, ""$"", TO_TEXT(C975), S975),"""")"),"")</f>
        <v/>
      </c>
    </row>
    <row r="976">
      <c r="A976" s="58">
        <f>IFERROR(__xludf.DUMMYFUNCTION("INDIRECT(""'收支紀錄'!A""&amp;TO_TEXT(ROW()-$C$72))"),45841.92147756944)</f>
        <v>45841.92148</v>
      </c>
      <c r="B976" s="59">
        <f>IFERROR(__xludf.DUMMYFUNCTION("IF(ISBLANK(D976), """", IF(ISDATE(D976), D976, IF(D976=""今天"", A976, IF(D976=""昨天 (-1 day)"", A976-1, IF(D976=""前天 (-2 days)"", A976-2, IF(D976=""明天 (+1 day)"", A976+1, DATE(LEFT(D976,4), MID(D976,5,2), RIGHT(D976,2))))))))"),45839.92147756944)</f>
        <v>45839.92148</v>
      </c>
      <c r="C976" s="60">
        <f>IFERROR(__xludf.DUMMYFUNCTION("INDIRECT(""'收支紀錄'!C""&amp;TO_TEXT(ROW()-$C$72))"),20000.0)</f>
        <v>20000</v>
      </c>
      <c r="D976" s="63" t="str">
        <f>IFERROR(__xludf.DUMMYFUNCTION("INDIRECT(""'收支紀錄'!D""&amp;TO_TEXT(ROW()-$C$72))"),"前天 (-2 days)")</f>
        <v>前天 (-2 days)</v>
      </c>
      <c r="E976" s="61" t="str">
        <f>IFERROR(__xludf.DUMMYFUNCTION("INDIRECT(""'收支紀錄'!E""&amp;TO_TEXT(ROW()-$C$72))"),"")</f>
        <v/>
      </c>
      <c r="F976" s="61" t="str">
        <f>IFERROR(__xludf.DUMMYFUNCTION("INDIRECT(""'收支紀錄'!F""&amp;TO_TEXT(ROW()-$C$72))"),"")</f>
        <v/>
      </c>
      <c r="G976" s="61" t="str">
        <f>IFERROR(__xludf.DUMMYFUNCTION("INDIRECT(""'收支紀錄'!G""&amp;TO_TEXT(ROW()-$C$72))"),"")</f>
        <v/>
      </c>
      <c r="H976" s="61" t="str">
        <f>IFERROR(__xludf.DUMMYFUNCTION("INDIRECT(""'收支紀錄'!H""&amp;TO_TEXT(ROW()-$C$72))"),"房屋支出")</f>
        <v>房屋支出</v>
      </c>
      <c r="I976" s="61" t="str">
        <f>IFERROR(__xludf.DUMMYFUNCTION("INDIRECT(""'收支紀錄'!I""&amp;TO_TEXT(ROW()-$C$72))"),"")</f>
        <v/>
      </c>
      <c r="J976" s="61" t="str">
        <f>IFERROR(__xludf.DUMMYFUNCTION("INDIRECT(""'收支紀錄'!J""&amp;TO_TEXT(ROW()-$C$72))"),"")</f>
        <v/>
      </c>
      <c r="K976" s="61" t="str">
        <f>IFERROR(__xludf.DUMMYFUNCTION("INDIRECT(""'收支紀錄'!K""&amp;TO_TEXT(ROW()-$C$72))"),"文心1房貸代繳")</f>
        <v>文心1房貸代繳</v>
      </c>
      <c r="L976" s="61" t="str">
        <f>IFERROR(__xludf.DUMMYFUNCTION("INDIRECT(""'收支紀錄'!L""&amp;TO_TEXT(ROW()-$C$72))"),"")</f>
        <v/>
      </c>
      <c r="M976" s="61" t="str">
        <f>IFERROR(__xludf.DUMMYFUNCTION("INDIRECT(""'收支紀錄'!M""&amp;TO_TEXT(ROW()-$C$72))"),"")</f>
        <v/>
      </c>
      <c r="N976" s="61" t="str">
        <f>IFERROR(__xludf.DUMMYFUNCTION("INDIRECT(""'收支紀錄'!N""&amp;TO_TEXT(ROW()-$C$72))"),"")</f>
        <v/>
      </c>
      <c r="O976" s="61" t="str">
        <f>IFERROR(__xludf.DUMMYFUNCTION("INDIRECT(""'收支紀錄'!O""&amp;TO_TEXT(ROW()-$C$72))"),"")</f>
        <v/>
      </c>
      <c r="P976" s="61" t="str">
        <f>IFERROR(__xludf.DUMMYFUNCTION("INDIRECT(""'收支紀錄'!P""&amp;TO_TEXT(ROW()-$C$72))"),"")</f>
        <v/>
      </c>
      <c r="Q976" s="61" t="str">
        <f>IFERROR(__xludf.DUMMYFUNCTION("INDIRECT(""'收支紀錄'!Q""&amp;TO_TEXT(ROW()-$C$72))"),"")</f>
        <v/>
      </c>
      <c r="R976" s="61" t="str">
        <f>IFERROR(__xludf.DUMMYFUNCTION("INDIRECT(""'收支紀錄'!R""&amp;TO_TEXT(ROW()-$C$72))"),"")</f>
        <v/>
      </c>
      <c r="S976" s="61" t="str">
        <f>IFERROR(__xludf.DUMMYFUNCTION("INDIRECT(""'收支紀錄'!S""&amp;TO_TEXT(ROW()-$C$72))"),"")</f>
        <v/>
      </c>
      <c r="T976" s="61" t="str">
        <f>IFERROR(__xludf.DUMMYFUNCTION("INDIRECT(""'收支紀錄'!T""&amp;TO_TEXT(ROW()-$C$72))"),"")</f>
        <v/>
      </c>
      <c r="U976" s="62" t="str">
        <f>IFERROR(__xludf.DUMMYFUNCTION("IF(T976=""是"",TEXTJOIN("""", TRUE, ""$"", TO_TEXT(C976), S976),"""")"),"")</f>
        <v/>
      </c>
    </row>
    <row r="977">
      <c r="A977" s="58">
        <f>IFERROR(__xludf.DUMMYFUNCTION("INDIRECT(""'收支紀錄'!A""&amp;TO_TEXT(ROW()-$C$72))"),45841.92164277778)</f>
        <v>45841.92164</v>
      </c>
      <c r="B977" s="59">
        <f>IFERROR(__xludf.DUMMYFUNCTION("IF(ISBLANK(D977), """", IF(ISDATE(D977), D977, IF(D977=""今天"", A977, IF(D977=""昨天 (-1 day)"", A977-1, IF(D977=""前天 (-2 days)"", A977-2, IF(D977=""明天 (+1 day)"", A977+1, DATE(LEFT(D977,4), MID(D977,5,2), RIGHT(D977,2))))))))"),45839.92164277778)</f>
        <v>45839.92164</v>
      </c>
      <c r="C977" s="60">
        <f>IFERROR(__xludf.DUMMYFUNCTION("INDIRECT(""'收支紀錄'!C""&amp;TO_TEXT(ROW()-$C$72))"),6000.0)</f>
        <v>6000</v>
      </c>
      <c r="D977" s="63" t="str">
        <f>IFERROR(__xludf.DUMMYFUNCTION("INDIRECT(""'收支紀錄'!D""&amp;TO_TEXT(ROW()-$C$72))"),"前天 (-2 days)")</f>
        <v>前天 (-2 days)</v>
      </c>
      <c r="E977" s="61" t="str">
        <f>IFERROR(__xludf.DUMMYFUNCTION("INDIRECT(""'收支紀錄'!E""&amp;TO_TEXT(ROW()-$C$72))"),"其他業外")</f>
        <v>其他業外</v>
      </c>
      <c r="F977" s="61" t="str">
        <f>IFERROR(__xludf.DUMMYFUNCTION("INDIRECT(""'收支紀錄'!F""&amp;TO_TEXT(ROW()-$C$72))"),"")</f>
        <v/>
      </c>
      <c r="G977" s="61" t="str">
        <f>IFERROR(__xludf.DUMMYFUNCTION("INDIRECT(""'收支紀錄'!G""&amp;TO_TEXT(ROW()-$C$72))"),"房屋補貼")</f>
        <v>房屋補貼</v>
      </c>
      <c r="H977" s="61" t="str">
        <f>IFERROR(__xludf.DUMMYFUNCTION("INDIRECT(""'收支紀錄'!H""&amp;TO_TEXT(ROW()-$C$72))"),"")</f>
        <v/>
      </c>
      <c r="I977" s="61" t="str">
        <f>IFERROR(__xludf.DUMMYFUNCTION("INDIRECT(""'收支紀錄'!I""&amp;TO_TEXT(ROW()-$C$72))"),"")</f>
        <v/>
      </c>
      <c r="J977" s="61" t="str">
        <f>IFERROR(__xludf.DUMMYFUNCTION("INDIRECT(""'收支紀錄'!J""&amp;TO_TEXT(ROW()-$C$72))"),"")</f>
        <v/>
      </c>
      <c r="K977" s="61" t="str">
        <f>IFERROR(__xludf.DUMMYFUNCTION("INDIRECT(""'收支紀錄'!K""&amp;TO_TEXT(ROW()-$C$72))"),"")</f>
        <v/>
      </c>
      <c r="L977" s="61" t="str">
        <f>IFERROR(__xludf.DUMMYFUNCTION("INDIRECT(""'收支紀錄'!L""&amp;TO_TEXT(ROW()-$C$72))"),"")</f>
        <v/>
      </c>
      <c r="M977" s="61" t="str">
        <f>IFERROR(__xludf.DUMMYFUNCTION("INDIRECT(""'收支紀錄'!M""&amp;TO_TEXT(ROW()-$C$72))"),"")</f>
        <v/>
      </c>
      <c r="N977" s="61" t="str">
        <f>IFERROR(__xludf.DUMMYFUNCTION("INDIRECT(""'收支紀錄'!N""&amp;TO_TEXT(ROW()-$C$72))"),"")</f>
        <v/>
      </c>
      <c r="O977" s="61" t="str">
        <f>IFERROR(__xludf.DUMMYFUNCTION("INDIRECT(""'收支紀錄'!O""&amp;TO_TEXT(ROW()-$C$72))"),"")</f>
        <v/>
      </c>
      <c r="P977" s="61" t="str">
        <f>IFERROR(__xludf.DUMMYFUNCTION("INDIRECT(""'收支紀錄'!P""&amp;TO_TEXT(ROW()-$C$72))"),"")</f>
        <v/>
      </c>
      <c r="Q977" s="61" t="str">
        <f>IFERROR(__xludf.DUMMYFUNCTION("INDIRECT(""'收支紀錄'!Q""&amp;TO_TEXT(ROW()-$C$72))"),"")</f>
        <v/>
      </c>
      <c r="R977" s="61" t="str">
        <f>IFERROR(__xludf.DUMMYFUNCTION("INDIRECT(""'收支紀錄'!R""&amp;TO_TEXT(ROW()-$C$72))"),"")</f>
        <v/>
      </c>
      <c r="S977" s="61" t="str">
        <f>IFERROR(__xludf.DUMMYFUNCTION("INDIRECT(""'收支紀錄'!S""&amp;TO_TEXT(ROW()-$C$72))"),"")</f>
        <v/>
      </c>
      <c r="T977" s="61" t="str">
        <f>IFERROR(__xludf.DUMMYFUNCTION("INDIRECT(""'收支紀錄'!T""&amp;TO_TEXT(ROW()-$C$72))"),"")</f>
        <v/>
      </c>
      <c r="U977" s="62" t="str">
        <f>IFERROR(__xludf.DUMMYFUNCTION("IF(T977=""是"",TEXTJOIN("""", TRUE, ""$"", TO_TEXT(C977), S977),"""")"),"")</f>
        <v/>
      </c>
    </row>
    <row r="978">
      <c r="A978" s="58">
        <f>IFERROR(__xludf.DUMMYFUNCTION("INDIRECT(""'收支紀錄'!A""&amp;TO_TEXT(ROW()-$C$72))"),45842.909397048614)</f>
        <v>45842.9094</v>
      </c>
      <c r="B978" s="59">
        <f>IFERROR(__xludf.DUMMYFUNCTION("IF(ISBLANK(D978), """", IF(ISDATE(D978), D978, IF(D978=""今天"", A978, IF(D978=""昨天 (-1 day)"", A978-1, IF(D978=""前天 (-2 days)"", A978-2, IF(D978=""明天 (+1 day)"", A978+1, DATE(LEFT(D978,4), MID(D978,5,2), RIGHT(D978,2))))))))"),45842.909397048614)</f>
        <v>45842.9094</v>
      </c>
      <c r="C978" s="60">
        <f>IFERROR(__xludf.DUMMYFUNCTION("INDIRECT(""'收支紀錄'!C""&amp;TO_TEXT(ROW()-$C$72))"),7802.0)</f>
        <v>7802</v>
      </c>
      <c r="D978" s="63" t="str">
        <f>IFERROR(__xludf.DUMMYFUNCTION("INDIRECT(""'收支紀錄'!D""&amp;TO_TEXT(ROW()-$C$72))"),"今天")</f>
        <v>今天</v>
      </c>
      <c r="E978" s="61" t="str">
        <f>IFERROR(__xludf.DUMMYFUNCTION("INDIRECT(""'收支紀錄'!E""&amp;TO_TEXT(ROW()-$C$72))"),"")</f>
        <v/>
      </c>
      <c r="F978" s="61" t="str">
        <f>IFERROR(__xludf.DUMMYFUNCTION("INDIRECT(""'收支紀錄'!F""&amp;TO_TEXT(ROW()-$C$72))"),"")</f>
        <v/>
      </c>
      <c r="G978" s="61" t="str">
        <f>IFERROR(__xludf.DUMMYFUNCTION("INDIRECT(""'收支紀錄'!G""&amp;TO_TEXT(ROW()-$C$72))"),"")</f>
        <v/>
      </c>
      <c r="H978" s="61" t="str">
        <f>IFERROR(__xludf.DUMMYFUNCTION("INDIRECT(""'收支紀錄'!H""&amp;TO_TEXT(ROW()-$C$72))"),"房屋支出")</f>
        <v>房屋支出</v>
      </c>
      <c r="I978" s="61" t="str">
        <f>IFERROR(__xludf.DUMMYFUNCTION("INDIRECT(""'收支紀錄'!I""&amp;TO_TEXT(ROW()-$C$72))"),"")</f>
        <v/>
      </c>
      <c r="J978" s="61" t="str">
        <f>IFERROR(__xludf.DUMMYFUNCTION("INDIRECT(""'收支紀錄'!J""&amp;TO_TEXT(ROW()-$C$72))"),"")</f>
        <v/>
      </c>
      <c r="K978" s="61" t="str">
        <f>IFERROR(__xludf.DUMMYFUNCTION("INDIRECT(""'收支紀錄'!K""&amp;TO_TEXT(ROW()-$C$72))"),"管理費")</f>
        <v>管理費</v>
      </c>
      <c r="L978" s="61" t="str">
        <f>IFERROR(__xludf.DUMMYFUNCTION("INDIRECT(""'收支紀錄'!L""&amp;TO_TEXT(ROW()-$C$72))"),"")</f>
        <v/>
      </c>
      <c r="M978" s="61" t="str">
        <f>IFERROR(__xludf.DUMMYFUNCTION("INDIRECT(""'收支紀錄'!M""&amp;TO_TEXT(ROW()-$C$72))"),"")</f>
        <v/>
      </c>
      <c r="N978" s="61" t="str">
        <f>IFERROR(__xludf.DUMMYFUNCTION("INDIRECT(""'收支紀錄'!N""&amp;TO_TEXT(ROW()-$C$72))"),"")</f>
        <v/>
      </c>
      <c r="O978" s="61" t="str">
        <f>IFERROR(__xludf.DUMMYFUNCTION("INDIRECT(""'收支紀錄'!O""&amp;TO_TEXT(ROW()-$C$72))"),"")</f>
        <v/>
      </c>
      <c r="P978" s="61" t="str">
        <f>IFERROR(__xludf.DUMMYFUNCTION("INDIRECT(""'收支紀錄'!P""&amp;TO_TEXT(ROW()-$C$72))"),"")</f>
        <v/>
      </c>
      <c r="Q978" s="61" t="str">
        <f>IFERROR(__xludf.DUMMYFUNCTION("INDIRECT(""'收支紀錄'!Q""&amp;TO_TEXT(ROW()-$C$72))"),"")</f>
        <v/>
      </c>
      <c r="R978" s="61" t="str">
        <f>IFERROR(__xludf.DUMMYFUNCTION("INDIRECT(""'收支紀錄'!R""&amp;TO_TEXT(ROW()-$C$72))"),"")</f>
        <v/>
      </c>
      <c r="S978" s="61" t="str">
        <f>IFERROR(__xludf.DUMMYFUNCTION("INDIRECT(""'收支紀錄'!S""&amp;TO_TEXT(ROW()-$C$72))"),"")</f>
        <v/>
      </c>
      <c r="T978" s="61" t="str">
        <f>IFERROR(__xludf.DUMMYFUNCTION("INDIRECT(""'收支紀錄'!T""&amp;TO_TEXT(ROW()-$C$72))"),"")</f>
        <v/>
      </c>
      <c r="U978" s="62" t="str">
        <f>IFERROR(__xludf.DUMMYFUNCTION("IF(T978=""是"",TEXTJOIN("""", TRUE, ""$"", TO_TEXT(C978), S978),"""")"),"")</f>
        <v/>
      </c>
    </row>
    <row r="979">
      <c r="A979" s="58">
        <f>IFERROR(__xludf.DUMMYFUNCTION("INDIRECT(""'收支紀錄'!A""&amp;TO_TEXT(ROW()-$C$72))"),45843.51312539352)</f>
        <v>45843.51313</v>
      </c>
      <c r="B979" s="59">
        <f>IFERROR(__xludf.DUMMYFUNCTION("IF(ISBLANK(D979), """", IF(ISDATE(D979), D979, IF(D979=""今天"", A979, IF(D979=""昨天 (-1 day)"", A979-1, IF(D979=""前天 (-2 days)"", A979-2, IF(D979=""明天 (+1 day)"", A979+1, DATE(LEFT(D979,4), MID(D979,5,2), RIGHT(D979,2))))))))"),45843.51312539352)</f>
        <v>45843.51313</v>
      </c>
      <c r="C979" s="60">
        <f>IFERROR(__xludf.DUMMYFUNCTION("INDIRECT(""'收支紀錄'!C""&amp;TO_TEXT(ROW()-$C$72))"),30.0)</f>
        <v>30</v>
      </c>
      <c r="D979" s="63" t="str">
        <f>IFERROR(__xludf.DUMMYFUNCTION("INDIRECT(""'收支紀錄'!D""&amp;TO_TEXT(ROW()-$C$72))"),"今天")</f>
        <v>今天</v>
      </c>
      <c r="E979" s="61" t="str">
        <f>IFERROR(__xludf.DUMMYFUNCTION("INDIRECT(""'收支紀錄'!E""&amp;TO_TEXT(ROW()-$C$72))"),"")</f>
        <v/>
      </c>
      <c r="F979" s="61" t="str">
        <f>IFERROR(__xludf.DUMMYFUNCTION("INDIRECT(""'收支紀錄'!F""&amp;TO_TEXT(ROW()-$C$72))"),"")</f>
        <v/>
      </c>
      <c r="G979" s="61" t="str">
        <f>IFERROR(__xludf.DUMMYFUNCTION("INDIRECT(""'收支紀錄'!G""&amp;TO_TEXT(ROW()-$C$72))"),"")</f>
        <v/>
      </c>
      <c r="H979" s="61" t="str">
        <f>IFERROR(__xludf.DUMMYFUNCTION("INDIRECT(""'收支紀錄'!H""&amp;TO_TEXT(ROW()-$C$72))"),"行車交通")</f>
        <v>行車交通</v>
      </c>
      <c r="I979" s="61" t="str">
        <f>IFERROR(__xludf.DUMMYFUNCTION("INDIRECT(""'收支紀錄'!I""&amp;TO_TEXT(ROW()-$C$72))"),"")</f>
        <v/>
      </c>
      <c r="J979" s="61" t="str">
        <f>IFERROR(__xludf.DUMMYFUNCTION("INDIRECT(""'收支紀錄'!J""&amp;TO_TEXT(ROW()-$C$72))"),"")</f>
        <v/>
      </c>
      <c r="K979" s="61" t="str">
        <f>IFERROR(__xludf.DUMMYFUNCTION("INDIRECT(""'收支紀錄'!K""&amp;TO_TEXT(ROW()-$C$72))"),"")</f>
        <v/>
      </c>
      <c r="L979" s="61" t="str">
        <f>IFERROR(__xludf.DUMMYFUNCTION("INDIRECT(""'收支紀錄'!L""&amp;TO_TEXT(ROW()-$C$72))"),"停車")</f>
        <v>停車</v>
      </c>
      <c r="M979" s="61" t="str">
        <f>IFERROR(__xludf.DUMMYFUNCTION("INDIRECT(""'收支紀錄'!M""&amp;TO_TEXT(ROW()-$C$72))"),"")</f>
        <v/>
      </c>
      <c r="N979" s="61" t="str">
        <f>IFERROR(__xludf.DUMMYFUNCTION("INDIRECT(""'收支紀錄'!N""&amp;TO_TEXT(ROW()-$C$72))"),"")</f>
        <v/>
      </c>
      <c r="O979" s="61" t="str">
        <f>IFERROR(__xludf.DUMMYFUNCTION("INDIRECT(""'收支紀錄'!O""&amp;TO_TEXT(ROW()-$C$72))"),"")</f>
        <v/>
      </c>
      <c r="P979" s="61" t="str">
        <f>IFERROR(__xludf.DUMMYFUNCTION("INDIRECT(""'收支紀錄'!P""&amp;TO_TEXT(ROW()-$C$72))"),"")</f>
        <v/>
      </c>
      <c r="Q979" s="61" t="str">
        <f>IFERROR(__xludf.DUMMYFUNCTION("INDIRECT(""'收支紀錄'!Q""&amp;TO_TEXT(ROW()-$C$72))"),"")</f>
        <v/>
      </c>
      <c r="R979" s="61" t="str">
        <f>IFERROR(__xludf.DUMMYFUNCTION("INDIRECT(""'收支紀錄'!R""&amp;TO_TEXT(ROW()-$C$72))"),"")</f>
        <v/>
      </c>
      <c r="S979" s="61" t="str">
        <f>IFERROR(__xludf.DUMMYFUNCTION("INDIRECT(""'收支紀錄'!S""&amp;TO_TEXT(ROW()-$C$72))"),"")</f>
        <v/>
      </c>
      <c r="T979" s="61" t="str">
        <f>IFERROR(__xludf.DUMMYFUNCTION("INDIRECT(""'收支紀錄'!T""&amp;TO_TEXT(ROW()-$C$72))"),"")</f>
        <v/>
      </c>
      <c r="U979" s="62" t="str">
        <f>IFERROR(__xludf.DUMMYFUNCTION("IF(T979=""是"",TEXTJOIN("""", TRUE, ""$"", TO_TEXT(C979), S979),"""")"),"")</f>
        <v/>
      </c>
    </row>
    <row r="980">
      <c r="A980" s="58">
        <f>IFERROR(__xludf.DUMMYFUNCTION("INDIRECT(""'收支紀錄'!A""&amp;TO_TEXT(ROW()-$C$72))"),45843.60487836806)</f>
        <v>45843.60488</v>
      </c>
      <c r="B980" s="59">
        <f>IFERROR(__xludf.DUMMYFUNCTION("IF(ISBLANK(D980), """", IF(ISDATE(D980), D980, IF(D980=""今天"", A980, IF(D980=""昨天 (-1 day)"", A980-1, IF(D980=""前天 (-2 days)"", A980-2, IF(D980=""明天 (+1 day)"", A980+1, DATE(LEFT(D980,4), MID(D980,5,2), RIGHT(D980,2))))))))"),45843.60487836806)</f>
        <v>45843.60488</v>
      </c>
      <c r="C980" s="60">
        <f>IFERROR(__xludf.DUMMYFUNCTION("INDIRECT(""'收支紀錄'!C""&amp;TO_TEXT(ROW()-$C$72))"),1206.0)</f>
        <v>1206</v>
      </c>
      <c r="D980" s="63" t="str">
        <f>IFERROR(__xludf.DUMMYFUNCTION("INDIRECT(""'收支紀錄'!D""&amp;TO_TEXT(ROW()-$C$72))"),"今天")</f>
        <v>今天</v>
      </c>
      <c r="E980" s="61" t="str">
        <f>IFERROR(__xludf.DUMMYFUNCTION("INDIRECT(""'收支紀錄'!E""&amp;TO_TEXT(ROW()-$C$72))"),"")</f>
        <v/>
      </c>
      <c r="F980" s="61" t="str">
        <f>IFERROR(__xludf.DUMMYFUNCTION("INDIRECT(""'收支紀錄'!F""&amp;TO_TEXT(ROW()-$C$72))"),"")</f>
        <v/>
      </c>
      <c r="G980" s="61" t="str">
        <f>IFERROR(__xludf.DUMMYFUNCTION("INDIRECT(""'收支紀錄'!G""&amp;TO_TEXT(ROW()-$C$72))"),"")</f>
        <v/>
      </c>
      <c r="H980" s="61" t="str">
        <f>IFERROR(__xludf.DUMMYFUNCTION("INDIRECT(""'收支紀錄'!H""&amp;TO_TEXT(ROW()-$C$72))"),"食品酒水")</f>
        <v>食品酒水</v>
      </c>
      <c r="I980" s="61" t="str">
        <f>IFERROR(__xludf.DUMMYFUNCTION("INDIRECT(""'收支紀錄'!I""&amp;TO_TEXT(ROW()-$C$72))"),"食材")</f>
        <v>食材</v>
      </c>
      <c r="J980" s="61" t="str">
        <f>IFERROR(__xludf.DUMMYFUNCTION("INDIRECT(""'收支紀錄'!J""&amp;TO_TEXT(ROW()-$C$72))"),"")</f>
        <v/>
      </c>
      <c r="K980" s="61" t="str">
        <f>IFERROR(__xludf.DUMMYFUNCTION("INDIRECT(""'收支紀錄'!K""&amp;TO_TEXT(ROW()-$C$72))"),"")</f>
        <v/>
      </c>
      <c r="L980" s="61" t="str">
        <f>IFERROR(__xludf.DUMMYFUNCTION("INDIRECT(""'收支紀錄'!L""&amp;TO_TEXT(ROW()-$C$72))"),"")</f>
        <v/>
      </c>
      <c r="M980" s="61" t="str">
        <f>IFERROR(__xludf.DUMMYFUNCTION("INDIRECT(""'收支紀錄'!M""&amp;TO_TEXT(ROW()-$C$72))"),"")</f>
        <v/>
      </c>
      <c r="N980" s="61" t="str">
        <f>IFERROR(__xludf.DUMMYFUNCTION("INDIRECT(""'收支紀錄'!N""&amp;TO_TEXT(ROW()-$C$72))"),"")</f>
        <v/>
      </c>
      <c r="O980" s="61" t="str">
        <f>IFERROR(__xludf.DUMMYFUNCTION("INDIRECT(""'收支紀錄'!O""&amp;TO_TEXT(ROW()-$C$72))"),"")</f>
        <v/>
      </c>
      <c r="P980" s="61" t="str">
        <f>IFERROR(__xludf.DUMMYFUNCTION("INDIRECT(""'收支紀錄'!P""&amp;TO_TEXT(ROW()-$C$72))"),"")</f>
        <v/>
      </c>
      <c r="Q980" s="61" t="str">
        <f>IFERROR(__xludf.DUMMYFUNCTION("INDIRECT(""'收支紀錄'!Q""&amp;TO_TEXT(ROW()-$C$72))"),"")</f>
        <v/>
      </c>
      <c r="R980" s="61" t="str">
        <f>IFERROR(__xludf.DUMMYFUNCTION("INDIRECT(""'收支紀錄'!R""&amp;TO_TEXT(ROW()-$C$72))"),"")</f>
        <v/>
      </c>
      <c r="S980" s="61" t="str">
        <f>IFERROR(__xludf.DUMMYFUNCTION("INDIRECT(""'收支紀錄'!S""&amp;TO_TEXT(ROW()-$C$72))"),"")</f>
        <v/>
      </c>
      <c r="T980" s="61" t="str">
        <f>IFERROR(__xludf.DUMMYFUNCTION("INDIRECT(""'收支紀錄'!T""&amp;TO_TEXT(ROW()-$C$72))"),"")</f>
        <v/>
      </c>
      <c r="U980" s="62" t="str">
        <f>IFERROR(__xludf.DUMMYFUNCTION("IF(T980=""是"",TEXTJOIN("""", TRUE, ""$"", TO_TEXT(C980), S980),"""")"),"")</f>
        <v/>
      </c>
    </row>
    <row r="981">
      <c r="A981" s="58">
        <f>IFERROR(__xludf.DUMMYFUNCTION("INDIRECT(""'收支紀錄'!A""&amp;TO_TEXT(ROW()-$C$72))"),45843.60515289352)</f>
        <v>45843.60515</v>
      </c>
      <c r="B981" s="59">
        <f>IFERROR(__xludf.DUMMYFUNCTION("IF(ISBLANK(D981), """", IF(ISDATE(D981), D981, IF(D981=""今天"", A981, IF(D981=""昨天 (-1 day)"", A981-1, IF(D981=""前天 (-2 days)"", A981-2, IF(D981=""明天 (+1 day)"", A981+1, DATE(LEFT(D981,4), MID(D981,5,2), RIGHT(D981,2))))))))"),45843.60515289352)</f>
        <v>45843.60515</v>
      </c>
      <c r="C981" s="60">
        <f>IFERROR(__xludf.DUMMYFUNCTION("INDIRECT(""'收支紀錄'!C""&amp;TO_TEXT(ROW()-$C$72))"),2244.0)</f>
        <v>2244</v>
      </c>
      <c r="D981" s="63" t="str">
        <f>IFERROR(__xludf.DUMMYFUNCTION("INDIRECT(""'收支紀錄'!D""&amp;TO_TEXT(ROW()-$C$72))"),"今天")</f>
        <v>今天</v>
      </c>
      <c r="E981" s="61" t="str">
        <f>IFERROR(__xludf.DUMMYFUNCTION("INDIRECT(""'收支紀錄'!E""&amp;TO_TEXT(ROW()-$C$72))"),"")</f>
        <v/>
      </c>
      <c r="F981" s="61" t="str">
        <f>IFERROR(__xludf.DUMMYFUNCTION("INDIRECT(""'收支紀錄'!F""&amp;TO_TEXT(ROW()-$C$72))"),"")</f>
        <v/>
      </c>
      <c r="G981" s="61" t="str">
        <f>IFERROR(__xludf.DUMMYFUNCTION("INDIRECT(""'收支紀錄'!G""&amp;TO_TEXT(ROW()-$C$72))"),"")</f>
        <v/>
      </c>
      <c r="H981" s="61" t="str">
        <f>IFERROR(__xludf.DUMMYFUNCTION("INDIRECT(""'收支紀錄'!H""&amp;TO_TEXT(ROW()-$C$72))"),"食品酒水")</f>
        <v>食品酒水</v>
      </c>
      <c r="I981" s="61" t="str">
        <f>IFERROR(__xludf.DUMMYFUNCTION("INDIRECT(""'收支紀錄'!I""&amp;TO_TEXT(ROW()-$C$72))"),"食材")</f>
        <v>食材</v>
      </c>
      <c r="J981" s="61" t="str">
        <f>IFERROR(__xludf.DUMMYFUNCTION("INDIRECT(""'收支紀錄'!J""&amp;TO_TEXT(ROW()-$C$72))"),"")</f>
        <v/>
      </c>
      <c r="K981" s="61" t="str">
        <f>IFERROR(__xludf.DUMMYFUNCTION("INDIRECT(""'收支紀錄'!K""&amp;TO_TEXT(ROW()-$C$72))"),"")</f>
        <v/>
      </c>
      <c r="L981" s="61" t="str">
        <f>IFERROR(__xludf.DUMMYFUNCTION("INDIRECT(""'收支紀錄'!L""&amp;TO_TEXT(ROW()-$C$72))"),"")</f>
        <v/>
      </c>
      <c r="M981" s="61" t="str">
        <f>IFERROR(__xludf.DUMMYFUNCTION("INDIRECT(""'收支紀錄'!M""&amp;TO_TEXT(ROW()-$C$72))"),"")</f>
        <v/>
      </c>
      <c r="N981" s="61" t="str">
        <f>IFERROR(__xludf.DUMMYFUNCTION("INDIRECT(""'收支紀錄'!N""&amp;TO_TEXT(ROW()-$C$72))"),"")</f>
        <v/>
      </c>
      <c r="O981" s="61" t="str">
        <f>IFERROR(__xludf.DUMMYFUNCTION("INDIRECT(""'收支紀錄'!O""&amp;TO_TEXT(ROW()-$C$72))"),"")</f>
        <v/>
      </c>
      <c r="P981" s="61" t="str">
        <f>IFERROR(__xludf.DUMMYFUNCTION("INDIRECT(""'收支紀錄'!P""&amp;TO_TEXT(ROW()-$C$72))"),"")</f>
        <v/>
      </c>
      <c r="Q981" s="61" t="str">
        <f>IFERROR(__xludf.DUMMYFUNCTION("INDIRECT(""'收支紀錄'!Q""&amp;TO_TEXT(ROW()-$C$72))"),"")</f>
        <v/>
      </c>
      <c r="R981" s="61" t="str">
        <f>IFERROR(__xludf.DUMMYFUNCTION("INDIRECT(""'收支紀錄'!R""&amp;TO_TEXT(ROW()-$C$72))"),"")</f>
        <v/>
      </c>
      <c r="S981" s="61" t="str">
        <f>IFERROR(__xludf.DUMMYFUNCTION("INDIRECT(""'收支紀錄'!S""&amp;TO_TEXT(ROW()-$C$72))"),"好市多")</f>
        <v>好市多</v>
      </c>
      <c r="T981" s="61" t="str">
        <f>IFERROR(__xludf.DUMMYFUNCTION("INDIRECT(""'收支紀錄'!T""&amp;TO_TEXT(ROW()-$C$72))"),"否")</f>
        <v>否</v>
      </c>
      <c r="U981" s="62" t="str">
        <f>IFERROR(__xludf.DUMMYFUNCTION("IF(T981=""是"",TEXTJOIN("""", TRUE, ""$"", TO_TEXT(C981), S981),"""")"),"")</f>
        <v/>
      </c>
    </row>
    <row r="982">
      <c r="A982" s="58">
        <f>IFERROR(__xludf.DUMMYFUNCTION("INDIRECT(""'收支紀錄'!A""&amp;TO_TEXT(ROW()-$C$72))"),45845.498056365745)</f>
        <v>45845.49806</v>
      </c>
      <c r="B982" s="59">
        <f>IFERROR(__xludf.DUMMYFUNCTION("IF(ISBLANK(D982), """", IF(ISDATE(D982), D982, IF(D982=""今天"", A982, IF(D982=""昨天 (-1 day)"", A982-1, IF(D982=""前天 (-2 days)"", A982-2, IF(D982=""明天 (+1 day)"", A982+1, DATE(LEFT(D982,4), MID(D982,5,2), RIGHT(D982,2))))))))"),45845.498056365745)</f>
        <v>45845.49806</v>
      </c>
      <c r="C982" s="60">
        <f>IFERROR(__xludf.DUMMYFUNCTION("INDIRECT(""'收支紀錄'!C""&amp;TO_TEXT(ROW()-$C$72))"),328.0)</f>
        <v>328</v>
      </c>
      <c r="D982" s="63" t="str">
        <f>IFERROR(__xludf.DUMMYFUNCTION("INDIRECT(""'收支紀錄'!D""&amp;TO_TEXT(ROW()-$C$72))"),"今天")</f>
        <v>今天</v>
      </c>
      <c r="E982" s="61" t="str">
        <f>IFERROR(__xludf.DUMMYFUNCTION("INDIRECT(""'收支紀錄'!E""&amp;TO_TEXT(ROW()-$C$72))"),"")</f>
        <v/>
      </c>
      <c r="F982" s="61" t="str">
        <f>IFERROR(__xludf.DUMMYFUNCTION("INDIRECT(""'收支紀錄'!F""&amp;TO_TEXT(ROW()-$C$72))"),"")</f>
        <v/>
      </c>
      <c r="G982" s="61" t="str">
        <f>IFERROR(__xludf.DUMMYFUNCTION("INDIRECT(""'收支紀錄'!G""&amp;TO_TEXT(ROW()-$C$72))"),"")</f>
        <v/>
      </c>
      <c r="H982" s="61" t="str">
        <f>IFERROR(__xludf.DUMMYFUNCTION("INDIRECT(""'收支紀錄'!H""&amp;TO_TEXT(ROW()-$C$72))"),"食品酒水")</f>
        <v>食品酒水</v>
      </c>
      <c r="I982" s="61" t="str">
        <f>IFERROR(__xludf.DUMMYFUNCTION("INDIRECT(""'收支紀錄'!I""&amp;TO_TEXT(ROW()-$C$72))"),"午餐")</f>
        <v>午餐</v>
      </c>
      <c r="J982" s="61" t="str">
        <f>IFERROR(__xludf.DUMMYFUNCTION("INDIRECT(""'收支紀錄'!J""&amp;TO_TEXT(ROW()-$C$72))"),"")</f>
        <v/>
      </c>
      <c r="K982" s="61" t="str">
        <f>IFERROR(__xludf.DUMMYFUNCTION("INDIRECT(""'收支紀錄'!K""&amp;TO_TEXT(ROW()-$C$72))"),"")</f>
        <v/>
      </c>
      <c r="L982" s="61" t="str">
        <f>IFERROR(__xludf.DUMMYFUNCTION("INDIRECT(""'收支紀錄'!L""&amp;TO_TEXT(ROW()-$C$72))"),"")</f>
        <v/>
      </c>
      <c r="M982" s="61" t="str">
        <f>IFERROR(__xludf.DUMMYFUNCTION("INDIRECT(""'收支紀錄'!M""&amp;TO_TEXT(ROW()-$C$72))"),"")</f>
        <v/>
      </c>
      <c r="N982" s="61" t="str">
        <f>IFERROR(__xludf.DUMMYFUNCTION("INDIRECT(""'收支紀錄'!N""&amp;TO_TEXT(ROW()-$C$72))"),"")</f>
        <v/>
      </c>
      <c r="O982" s="61" t="str">
        <f>IFERROR(__xludf.DUMMYFUNCTION("INDIRECT(""'收支紀錄'!O""&amp;TO_TEXT(ROW()-$C$72))"),"")</f>
        <v/>
      </c>
      <c r="P982" s="61" t="str">
        <f>IFERROR(__xludf.DUMMYFUNCTION("INDIRECT(""'收支紀錄'!P""&amp;TO_TEXT(ROW()-$C$72))"),"")</f>
        <v/>
      </c>
      <c r="Q982" s="61" t="str">
        <f>IFERROR(__xludf.DUMMYFUNCTION("INDIRECT(""'收支紀錄'!Q""&amp;TO_TEXT(ROW()-$C$72))"),"")</f>
        <v/>
      </c>
      <c r="R982" s="61" t="str">
        <f>IFERROR(__xludf.DUMMYFUNCTION("INDIRECT(""'收支紀錄'!R""&amp;TO_TEXT(ROW()-$C$72))"),"")</f>
        <v/>
      </c>
      <c r="S982" s="61" t="str">
        <f>IFERROR(__xludf.DUMMYFUNCTION("INDIRECT(""'收支紀錄'!S""&amp;TO_TEXT(ROW()-$C$72))"),"")</f>
        <v/>
      </c>
      <c r="T982" s="61" t="str">
        <f>IFERROR(__xludf.DUMMYFUNCTION("INDIRECT(""'收支紀錄'!T""&amp;TO_TEXT(ROW()-$C$72))"),"")</f>
        <v/>
      </c>
      <c r="U982" s="62" t="str">
        <f>IFERROR(__xludf.DUMMYFUNCTION("IF(T982=""是"",TEXTJOIN("""", TRUE, ""$"", TO_TEXT(C982), S982),"""")"),"")</f>
        <v/>
      </c>
    </row>
    <row r="983">
      <c r="A983" s="58">
        <f>IFERROR(__xludf.DUMMYFUNCTION("INDIRECT(""'收支紀錄'!A""&amp;TO_TEXT(ROW()-$C$72))"),45845.49865069444)</f>
        <v>45845.49865</v>
      </c>
      <c r="B983" s="59">
        <f>IFERROR(__xludf.DUMMYFUNCTION("IF(ISBLANK(D983), """", IF(ISDATE(D983), D983, IF(D983=""今天"", A983, IF(D983=""昨天 (-1 day)"", A983-1, IF(D983=""前天 (-2 days)"", A983-2, IF(D983=""明天 (+1 day)"", A983+1, DATE(LEFT(D983,4), MID(D983,5,2), RIGHT(D983,2))))))))"),45844.49865069444)</f>
        <v>45844.49865</v>
      </c>
      <c r="C983" s="60">
        <f>IFERROR(__xludf.DUMMYFUNCTION("INDIRECT(""'收支紀錄'!C""&amp;TO_TEXT(ROW()-$C$72))"),515.0)</f>
        <v>515</v>
      </c>
      <c r="D983" s="63" t="str">
        <f>IFERROR(__xludf.DUMMYFUNCTION("INDIRECT(""'收支紀錄'!D""&amp;TO_TEXT(ROW()-$C$72))"),"昨天 (-1 day)")</f>
        <v>昨天 (-1 day)</v>
      </c>
      <c r="E983" s="61" t="str">
        <f>IFERROR(__xludf.DUMMYFUNCTION("INDIRECT(""'收支紀錄'!E""&amp;TO_TEXT(ROW()-$C$72))"),"")</f>
        <v/>
      </c>
      <c r="F983" s="61" t="str">
        <f>IFERROR(__xludf.DUMMYFUNCTION("INDIRECT(""'收支紀錄'!F""&amp;TO_TEXT(ROW()-$C$72))"),"")</f>
        <v/>
      </c>
      <c r="G983" s="61" t="str">
        <f>IFERROR(__xludf.DUMMYFUNCTION("INDIRECT(""'收支紀錄'!G""&amp;TO_TEXT(ROW()-$C$72))"),"")</f>
        <v/>
      </c>
      <c r="H983" s="61" t="str">
        <f>IFERROR(__xludf.DUMMYFUNCTION("INDIRECT(""'收支紀錄'!H""&amp;TO_TEXT(ROW()-$C$72))"),"食品酒水")</f>
        <v>食品酒水</v>
      </c>
      <c r="I983" s="61" t="str">
        <f>IFERROR(__xludf.DUMMYFUNCTION("INDIRECT(""'收支紀錄'!I""&amp;TO_TEXT(ROW()-$C$72))"),"食材")</f>
        <v>食材</v>
      </c>
      <c r="J983" s="61" t="str">
        <f>IFERROR(__xludf.DUMMYFUNCTION("INDIRECT(""'收支紀錄'!J""&amp;TO_TEXT(ROW()-$C$72))"),"")</f>
        <v/>
      </c>
      <c r="K983" s="61" t="str">
        <f>IFERROR(__xludf.DUMMYFUNCTION("INDIRECT(""'收支紀錄'!K""&amp;TO_TEXT(ROW()-$C$72))"),"")</f>
        <v/>
      </c>
      <c r="L983" s="61" t="str">
        <f>IFERROR(__xludf.DUMMYFUNCTION("INDIRECT(""'收支紀錄'!L""&amp;TO_TEXT(ROW()-$C$72))"),"")</f>
        <v/>
      </c>
      <c r="M983" s="61" t="str">
        <f>IFERROR(__xludf.DUMMYFUNCTION("INDIRECT(""'收支紀錄'!M""&amp;TO_TEXT(ROW()-$C$72))"),"")</f>
        <v/>
      </c>
      <c r="N983" s="61" t="str">
        <f>IFERROR(__xludf.DUMMYFUNCTION("INDIRECT(""'收支紀錄'!N""&amp;TO_TEXT(ROW()-$C$72))"),"")</f>
        <v/>
      </c>
      <c r="O983" s="61" t="str">
        <f>IFERROR(__xludf.DUMMYFUNCTION("INDIRECT(""'收支紀錄'!O""&amp;TO_TEXT(ROW()-$C$72))"),"")</f>
        <v/>
      </c>
      <c r="P983" s="61" t="str">
        <f>IFERROR(__xludf.DUMMYFUNCTION("INDIRECT(""'收支紀錄'!P""&amp;TO_TEXT(ROW()-$C$72))"),"")</f>
        <v/>
      </c>
      <c r="Q983" s="61" t="str">
        <f>IFERROR(__xludf.DUMMYFUNCTION("INDIRECT(""'收支紀錄'!Q""&amp;TO_TEXT(ROW()-$C$72))"),"")</f>
        <v/>
      </c>
      <c r="R983" s="61" t="str">
        <f>IFERROR(__xludf.DUMMYFUNCTION("INDIRECT(""'收支紀錄'!R""&amp;TO_TEXT(ROW()-$C$72))"),"")</f>
        <v/>
      </c>
      <c r="S983" s="61" t="str">
        <f>IFERROR(__xludf.DUMMYFUNCTION("INDIRECT(""'收支紀錄'!S""&amp;TO_TEXT(ROW()-$C$72))"),"市場")</f>
        <v>市場</v>
      </c>
      <c r="T983" s="61" t="str">
        <f>IFERROR(__xludf.DUMMYFUNCTION("INDIRECT(""'收支紀錄'!T""&amp;TO_TEXT(ROW()-$C$72))"),"")</f>
        <v/>
      </c>
      <c r="U983" s="62" t="str">
        <f>IFERROR(__xludf.DUMMYFUNCTION("IF(T983=""是"",TEXTJOIN("""", TRUE, ""$"", TO_TEXT(C983), S983),"""")"),"")</f>
        <v/>
      </c>
    </row>
    <row r="984">
      <c r="A984" s="58">
        <f>IFERROR(__xludf.DUMMYFUNCTION("INDIRECT(""'收支紀錄'!A""&amp;TO_TEXT(ROW()-$C$72))"),45845.8192130324)</f>
        <v>45845.81921</v>
      </c>
      <c r="B984" s="59">
        <f>IFERROR(__xludf.DUMMYFUNCTION("IF(ISBLANK(D984), """", IF(ISDATE(D984), D984, IF(D984=""今天"", A984, IF(D984=""昨天 (-1 day)"", A984-1, IF(D984=""前天 (-2 days)"", A984-2, IF(D984=""明天 (+1 day)"", A984+1, DATE(LEFT(D984,4), MID(D984,5,2), RIGHT(D984,2))))))))"),45845.8192130324)</f>
        <v>45845.81921</v>
      </c>
      <c r="C984" s="60">
        <f>IFERROR(__xludf.DUMMYFUNCTION("INDIRECT(""'收支紀錄'!C""&amp;TO_TEXT(ROW()-$C$72))"),449.0)</f>
        <v>449</v>
      </c>
      <c r="D984" s="63" t="str">
        <f>IFERROR(__xludf.DUMMYFUNCTION("INDIRECT(""'收支紀錄'!D""&amp;TO_TEXT(ROW()-$C$72))"),"今天")</f>
        <v>今天</v>
      </c>
      <c r="E984" s="61" t="str">
        <f>IFERROR(__xludf.DUMMYFUNCTION("INDIRECT(""'收支紀錄'!E""&amp;TO_TEXT(ROW()-$C$72))"),"")</f>
        <v/>
      </c>
      <c r="F984" s="61" t="str">
        <f>IFERROR(__xludf.DUMMYFUNCTION("INDIRECT(""'收支紀錄'!F""&amp;TO_TEXT(ROW()-$C$72))"),"")</f>
        <v/>
      </c>
      <c r="G984" s="61" t="str">
        <f>IFERROR(__xludf.DUMMYFUNCTION("INDIRECT(""'收支紀錄'!G""&amp;TO_TEXT(ROW()-$C$72))"),"")</f>
        <v/>
      </c>
      <c r="H984" s="61" t="str">
        <f>IFERROR(__xludf.DUMMYFUNCTION("INDIRECT(""'收支紀錄'!H""&amp;TO_TEXT(ROW()-$C$72))"),"休閒娛樂")</f>
        <v>休閒娛樂</v>
      </c>
      <c r="I984" s="61" t="str">
        <f>IFERROR(__xludf.DUMMYFUNCTION("INDIRECT(""'收支紀錄'!I""&amp;TO_TEXT(ROW()-$C$72))"),"")</f>
        <v/>
      </c>
      <c r="J984" s="61" t="str">
        <f>IFERROR(__xludf.DUMMYFUNCTION("INDIRECT(""'收支紀錄'!J""&amp;TO_TEXT(ROW()-$C$72))"),"")</f>
        <v/>
      </c>
      <c r="K984" s="61" t="str">
        <f>IFERROR(__xludf.DUMMYFUNCTION("INDIRECT(""'收支紀錄'!K""&amp;TO_TEXT(ROW()-$C$72))"),"")</f>
        <v/>
      </c>
      <c r="L984" s="61" t="str">
        <f>IFERROR(__xludf.DUMMYFUNCTION("INDIRECT(""'收支紀錄'!L""&amp;TO_TEXT(ROW()-$C$72))"),"")</f>
        <v/>
      </c>
      <c r="M984" s="61" t="str">
        <f>IFERROR(__xludf.DUMMYFUNCTION("INDIRECT(""'收支紀錄'!M""&amp;TO_TEXT(ROW()-$C$72))"),"衣物鞋帽")</f>
        <v>衣物鞋帽</v>
      </c>
      <c r="N984" s="61" t="str">
        <f>IFERROR(__xludf.DUMMYFUNCTION("INDIRECT(""'收支紀錄'!N""&amp;TO_TEXT(ROW()-$C$72))"),"")</f>
        <v/>
      </c>
      <c r="O984" s="61" t="str">
        <f>IFERROR(__xludf.DUMMYFUNCTION("INDIRECT(""'收支紀錄'!O""&amp;TO_TEXT(ROW()-$C$72))"),"")</f>
        <v/>
      </c>
      <c r="P984" s="61" t="str">
        <f>IFERROR(__xludf.DUMMYFUNCTION("INDIRECT(""'收支紀錄'!P""&amp;TO_TEXT(ROW()-$C$72))"),"")</f>
        <v/>
      </c>
      <c r="Q984" s="61" t="str">
        <f>IFERROR(__xludf.DUMMYFUNCTION("INDIRECT(""'收支紀錄'!Q""&amp;TO_TEXT(ROW()-$C$72))"),"")</f>
        <v/>
      </c>
      <c r="R984" s="61" t="str">
        <f>IFERROR(__xludf.DUMMYFUNCTION("INDIRECT(""'收支紀錄'!R""&amp;TO_TEXT(ROW()-$C$72))"),"")</f>
        <v/>
      </c>
      <c r="S984" s="61" t="str">
        <f>IFERROR(__xludf.DUMMYFUNCTION("INDIRECT(""'收支紀錄'!S""&amp;TO_TEXT(ROW()-$C$72))"),"")</f>
        <v/>
      </c>
      <c r="T984" s="61" t="str">
        <f>IFERROR(__xludf.DUMMYFUNCTION("INDIRECT(""'收支紀錄'!T""&amp;TO_TEXT(ROW()-$C$72))"),"")</f>
        <v/>
      </c>
      <c r="U984" s="62" t="str">
        <f>IFERROR(__xludf.DUMMYFUNCTION("IF(T984=""是"",TEXTJOIN("""", TRUE, ""$"", TO_TEXT(C984), S984),"""")"),"")</f>
        <v/>
      </c>
    </row>
    <row r="985">
      <c r="A985" s="58">
        <f>IFERROR(__xludf.DUMMYFUNCTION("INDIRECT(""'收支紀錄'!A""&amp;TO_TEXT(ROW()-$C$72))"),45845.81965935185)</f>
        <v>45845.81966</v>
      </c>
      <c r="B985" s="59">
        <f>IFERROR(__xludf.DUMMYFUNCTION("IF(ISBLANK(D985), """", IF(ISDATE(D985), D985, IF(D985=""今天"", A985, IF(D985=""昨天 (-1 day)"", A985-1, IF(D985=""前天 (-2 days)"", A985-2, IF(D985=""明天 (+1 day)"", A985+1, DATE(LEFT(D985,4), MID(D985,5,2), RIGHT(D985,2))))))))"),45845.81965935185)</f>
        <v>45845.81966</v>
      </c>
      <c r="C985" s="60">
        <f>IFERROR(__xludf.DUMMYFUNCTION("INDIRECT(""'收支紀錄'!C""&amp;TO_TEXT(ROW()-$C$72))"),308.0)</f>
        <v>308</v>
      </c>
      <c r="D985" s="63" t="str">
        <f>IFERROR(__xludf.DUMMYFUNCTION("INDIRECT(""'收支紀錄'!D""&amp;TO_TEXT(ROW()-$C$72))"),"今天")</f>
        <v>今天</v>
      </c>
      <c r="E985" s="61" t="str">
        <f>IFERROR(__xludf.DUMMYFUNCTION("INDIRECT(""'收支紀錄'!E""&amp;TO_TEXT(ROW()-$C$72))"),"")</f>
        <v/>
      </c>
      <c r="F985" s="61" t="str">
        <f>IFERROR(__xludf.DUMMYFUNCTION("INDIRECT(""'收支紀錄'!F""&amp;TO_TEXT(ROW()-$C$72))"),"")</f>
        <v/>
      </c>
      <c r="G985" s="61" t="str">
        <f>IFERROR(__xludf.DUMMYFUNCTION("INDIRECT(""'收支紀錄'!G""&amp;TO_TEXT(ROW()-$C$72))"),"")</f>
        <v/>
      </c>
      <c r="H985" s="61" t="str">
        <f>IFERROR(__xludf.DUMMYFUNCTION("INDIRECT(""'收支紀錄'!H""&amp;TO_TEXT(ROW()-$C$72))"),"日常生活")</f>
        <v>日常生活</v>
      </c>
      <c r="I985" s="61" t="str">
        <f>IFERROR(__xludf.DUMMYFUNCTION("INDIRECT(""'收支紀錄'!I""&amp;TO_TEXT(ROW()-$C$72))"),"")</f>
        <v/>
      </c>
      <c r="J985" s="61" t="str">
        <f>IFERROR(__xludf.DUMMYFUNCTION("INDIRECT(""'收支紀錄'!J""&amp;TO_TEXT(ROW()-$C$72))"),"日常用品")</f>
        <v>日常用品</v>
      </c>
      <c r="K985" s="61" t="str">
        <f>IFERROR(__xludf.DUMMYFUNCTION("INDIRECT(""'收支紀錄'!K""&amp;TO_TEXT(ROW()-$C$72))"),"")</f>
        <v/>
      </c>
      <c r="L985" s="61" t="str">
        <f>IFERROR(__xludf.DUMMYFUNCTION("INDIRECT(""'收支紀錄'!L""&amp;TO_TEXT(ROW()-$C$72))"),"")</f>
        <v/>
      </c>
      <c r="M985" s="61" t="str">
        <f>IFERROR(__xludf.DUMMYFUNCTION("INDIRECT(""'收支紀錄'!M""&amp;TO_TEXT(ROW()-$C$72))"),"")</f>
        <v/>
      </c>
      <c r="N985" s="61" t="str">
        <f>IFERROR(__xludf.DUMMYFUNCTION("INDIRECT(""'收支紀錄'!N""&amp;TO_TEXT(ROW()-$C$72))"),"")</f>
        <v/>
      </c>
      <c r="O985" s="61" t="str">
        <f>IFERROR(__xludf.DUMMYFUNCTION("INDIRECT(""'收支紀錄'!O""&amp;TO_TEXT(ROW()-$C$72))"),"")</f>
        <v/>
      </c>
      <c r="P985" s="61" t="str">
        <f>IFERROR(__xludf.DUMMYFUNCTION("INDIRECT(""'收支紀錄'!P""&amp;TO_TEXT(ROW()-$C$72))"),"")</f>
        <v/>
      </c>
      <c r="Q985" s="61" t="str">
        <f>IFERROR(__xludf.DUMMYFUNCTION("INDIRECT(""'收支紀錄'!Q""&amp;TO_TEXT(ROW()-$C$72))"),"")</f>
        <v/>
      </c>
      <c r="R985" s="61" t="str">
        <f>IFERROR(__xludf.DUMMYFUNCTION("INDIRECT(""'收支紀錄'!R""&amp;TO_TEXT(ROW()-$C$72))"),"")</f>
        <v/>
      </c>
      <c r="S985" s="61" t="str">
        <f>IFERROR(__xludf.DUMMYFUNCTION("INDIRECT(""'收支紀錄'!S""&amp;TO_TEXT(ROW()-$C$72))"),"")</f>
        <v/>
      </c>
      <c r="T985" s="61" t="str">
        <f>IFERROR(__xludf.DUMMYFUNCTION("INDIRECT(""'收支紀錄'!T""&amp;TO_TEXT(ROW()-$C$72))"),"")</f>
        <v/>
      </c>
      <c r="U985" s="62" t="str">
        <f>IFERROR(__xludf.DUMMYFUNCTION("IF(T985=""是"",TEXTJOIN("""", TRUE, ""$"", TO_TEXT(C985), S985),"""")"),"")</f>
        <v/>
      </c>
    </row>
    <row r="986">
      <c r="A986" s="58">
        <f>IFERROR(__xludf.DUMMYFUNCTION("INDIRECT(""'收支紀錄'!A""&amp;TO_TEXT(ROW()-$C$72))"),45845.90540561343)</f>
        <v>45845.90541</v>
      </c>
      <c r="B986" s="59">
        <f>IFERROR(__xludf.DUMMYFUNCTION("IF(ISBLANK(D986), """", IF(ISDATE(D986), D986, IF(D986=""今天"", A986, IF(D986=""昨天 (-1 day)"", A986-1, IF(D986=""前天 (-2 days)"", A986-2, IF(D986=""明天 (+1 day)"", A986+1, DATE(LEFT(D986,4), MID(D986,5,2), RIGHT(D986,2))))))))"),45844.90540561343)</f>
        <v>45844.90541</v>
      </c>
      <c r="C986" s="60">
        <f>IFERROR(__xludf.DUMMYFUNCTION("INDIRECT(""'收支紀錄'!C""&amp;TO_TEXT(ROW()-$C$72))"),39.0)</f>
        <v>39</v>
      </c>
      <c r="D986" s="63" t="str">
        <f>IFERROR(__xludf.DUMMYFUNCTION("INDIRECT(""'收支紀錄'!D""&amp;TO_TEXT(ROW()-$C$72))"),"昨天 (-1 day)")</f>
        <v>昨天 (-1 day)</v>
      </c>
      <c r="E986" s="61" t="str">
        <f>IFERROR(__xludf.DUMMYFUNCTION("INDIRECT(""'收支紀錄'!E""&amp;TO_TEXT(ROW()-$C$72))"),"")</f>
        <v/>
      </c>
      <c r="F986" s="61" t="str">
        <f>IFERROR(__xludf.DUMMYFUNCTION("INDIRECT(""'收支紀錄'!F""&amp;TO_TEXT(ROW()-$C$72))"),"")</f>
        <v/>
      </c>
      <c r="G986" s="61" t="str">
        <f>IFERROR(__xludf.DUMMYFUNCTION("INDIRECT(""'收支紀錄'!G""&amp;TO_TEXT(ROW()-$C$72))"),"")</f>
        <v/>
      </c>
      <c r="H986" s="61" t="str">
        <f>IFERROR(__xludf.DUMMYFUNCTION("INDIRECT(""'收支紀錄'!H""&amp;TO_TEXT(ROW()-$C$72))"),"日常生活")</f>
        <v>日常生活</v>
      </c>
      <c r="I986" s="61" t="str">
        <f>IFERROR(__xludf.DUMMYFUNCTION("INDIRECT(""'收支紀錄'!I""&amp;TO_TEXT(ROW()-$C$72))"),"")</f>
        <v/>
      </c>
      <c r="J986" s="61" t="str">
        <f>IFERROR(__xludf.DUMMYFUNCTION("INDIRECT(""'收支紀錄'!J""&amp;TO_TEXT(ROW()-$C$72))"),"日常用品")</f>
        <v>日常用品</v>
      </c>
      <c r="K986" s="61" t="str">
        <f>IFERROR(__xludf.DUMMYFUNCTION("INDIRECT(""'收支紀錄'!K""&amp;TO_TEXT(ROW()-$C$72))"),"")</f>
        <v/>
      </c>
      <c r="L986" s="61" t="str">
        <f>IFERROR(__xludf.DUMMYFUNCTION("INDIRECT(""'收支紀錄'!L""&amp;TO_TEXT(ROW()-$C$72))"),"")</f>
        <v/>
      </c>
      <c r="M986" s="61" t="str">
        <f>IFERROR(__xludf.DUMMYFUNCTION("INDIRECT(""'收支紀錄'!M""&amp;TO_TEXT(ROW()-$C$72))"),"")</f>
        <v/>
      </c>
      <c r="N986" s="61" t="str">
        <f>IFERROR(__xludf.DUMMYFUNCTION("INDIRECT(""'收支紀錄'!N""&amp;TO_TEXT(ROW()-$C$72))"),"")</f>
        <v/>
      </c>
      <c r="O986" s="61" t="str">
        <f>IFERROR(__xludf.DUMMYFUNCTION("INDIRECT(""'收支紀錄'!O""&amp;TO_TEXT(ROW()-$C$72))"),"")</f>
        <v/>
      </c>
      <c r="P986" s="61" t="str">
        <f>IFERROR(__xludf.DUMMYFUNCTION("INDIRECT(""'收支紀錄'!P""&amp;TO_TEXT(ROW()-$C$72))"),"")</f>
        <v/>
      </c>
      <c r="Q986" s="61" t="str">
        <f>IFERROR(__xludf.DUMMYFUNCTION("INDIRECT(""'收支紀錄'!Q""&amp;TO_TEXT(ROW()-$C$72))"),"")</f>
        <v/>
      </c>
      <c r="R986" s="61" t="str">
        <f>IFERROR(__xludf.DUMMYFUNCTION("INDIRECT(""'收支紀錄'!R""&amp;TO_TEXT(ROW()-$C$72))"),"")</f>
        <v/>
      </c>
      <c r="S986" s="61" t="str">
        <f>IFERROR(__xludf.DUMMYFUNCTION("INDIRECT(""'收支紀錄'!S""&amp;TO_TEXT(ROW()-$C$72))"),"")</f>
        <v/>
      </c>
      <c r="T986" s="61" t="str">
        <f>IFERROR(__xludf.DUMMYFUNCTION("INDIRECT(""'收支紀錄'!T""&amp;TO_TEXT(ROW()-$C$72))"),"")</f>
        <v/>
      </c>
      <c r="U986" s="62" t="str">
        <f>IFERROR(__xludf.DUMMYFUNCTION("IF(T986=""是"",TEXTJOIN("""", TRUE, ""$"", TO_TEXT(C986), S986),"""")"),"")</f>
        <v/>
      </c>
    </row>
    <row r="987">
      <c r="A987" s="58">
        <f>IFERROR(__xludf.DUMMYFUNCTION("INDIRECT(""'收支紀錄'!A""&amp;TO_TEXT(ROW()-$C$72))"),45845.90574277777)</f>
        <v>45845.90574</v>
      </c>
      <c r="B987" s="59">
        <f>IFERROR(__xludf.DUMMYFUNCTION("IF(ISBLANK(D987), """", IF(ISDATE(D987), D987, IF(D987=""今天"", A987, IF(D987=""昨天 (-1 day)"", A987-1, IF(D987=""前天 (-2 days)"", A987-2, IF(D987=""明天 (+1 day)"", A987+1, DATE(LEFT(D987,4), MID(D987,5,2), RIGHT(D987,2))))))))"),45844.90574277777)</f>
        <v>45844.90574</v>
      </c>
      <c r="C987" s="60">
        <f>IFERROR(__xludf.DUMMYFUNCTION("INDIRECT(""'收支紀錄'!C""&amp;TO_TEXT(ROW()-$C$72))"),348.0)</f>
        <v>348</v>
      </c>
      <c r="D987" s="63" t="str">
        <f>IFERROR(__xludf.DUMMYFUNCTION("INDIRECT(""'收支紀錄'!D""&amp;TO_TEXT(ROW()-$C$72))"),"昨天 (-1 day)")</f>
        <v>昨天 (-1 day)</v>
      </c>
      <c r="E987" s="61" t="str">
        <f>IFERROR(__xludf.DUMMYFUNCTION("INDIRECT(""'收支紀錄'!E""&amp;TO_TEXT(ROW()-$C$72))"),"")</f>
        <v/>
      </c>
      <c r="F987" s="61" t="str">
        <f>IFERROR(__xludf.DUMMYFUNCTION("INDIRECT(""'收支紀錄'!F""&amp;TO_TEXT(ROW()-$C$72))"),"")</f>
        <v/>
      </c>
      <c r="G987" s="61" t="str">
        <f>IFERROR(__xludf.DUMMYFUNCTION("INDIRECT(""'收支紀錄'!G""&amp;TO_TEXT(ROW()-$C$72))"),"")</f>
        <v/>
      </c>
      <c r="H987" s="61" t="str">
        <f>IFERROR(__xludf.DUMMYFUNCTION("INDIRECT(""'收支紀錄'!H""&amp;TO_TEXT(ROW()-$C$72))"),"日常生活")</f>
        <v>日常生活</v>
      </c>
      <c r="I987" s="61" t="str">
        <f>IFERROR(__xludf.DUMMYFUNCTION("INDIRECT(""'收支紀錄'!I""&amp;TO_TEXT(ROW()-$C$72))"),"")</f>
        <v/>
      </c>
      <c r="J987" s="61" t="str">
        <f>IFERROR(__xludf.DUMMYFUNCTION("INDIRECT(""'收支紀錄'!J""&amp;TO_TEXT(ROW()-$C$72))"),"日常用品")</f>
        <v>日常用品</v>
      </c>
      <c r="K987" s="61" t="str">
        <f>IFERROR(__xludf.DUMMYFUNCTION("INDIRECT(""'收支紀錄'!K""&amp;TO_TEXT(ROW()-$C$72))"),"")</f>
        <v/>
      </c>
      <c r="L987" s="61" t="str">
        <f>IFERROR(__xludf.DUMMYFUNCTION("INDIRECT(""'收支紀錄'!L""&amp;TO_TEXT(ROW()-$C$72))"),"")</f>
        <v/>
      </c>
      <c r="M987" s="61" t="str">
        <f>IFERROR(__xludf.DUMMYFUNCTION("INDIRECT(""'收支紀錄'!M""&amp;TO_TEXT(ROW()-$C$72))"),"")</f>
        <v/>
      </c>
      <c r="N987" s="61" t="str">
        <f>IFERROR(__xludf.DUMMYFUNCTION("INDIRECT(""'收支紀錄'!N""&amp;TO_TEXT(ROW()-$C$72))"),"")</f>
        <v/>
      </c>
      <c r="O987" s="61" t="str">
        <f>IFERROR(__xludf.DUMMYFUNCTION("INDIRECT(""'收支紀錄'!O""&amp;TO_TEXT(ROW()-$C$72))"),"")</f>
        <v/>
      </c>
      <c r="P987" s="61" t="str">
        <f>IFERROR(__xludf.DUMMYFUNCTION("INDIRECT(""'收支紀錄'!P""&amp;TO_TEXT(ROW()-$C$72))"),"")</f>
        <v/>
      </c>
      <c r="Q987" s="61" t="str">
        <f>IFERROR(__xludf.DUMMYFUNCTION("INDIRECT(""'收支紀錄'!Q""&amp;TO_TEXT(ROW()-$C$72))"),"")</f>
        <v/>
      </c>
      <c r="R987" s="61" t="str">
        <f>IFERROR(__xludf.DUMMYFUNCTION("INDIRECT(""'收支紀錄'!R""&amp;TO_TEXT(ROW()-$C$72))"),"")</f>
        <v/>
      </c>
      <c r="S987" s="61" t="str">
        <f>IFERROR(__xludf.DUMMYFUNCTION("INDIRECT(""'收支紀錄'!S""&amp;TO_TEXT(ROW()-$C$72))"),"")</f>
        <v/>
      </c>
      <c r="T987" s="61" t="str">
        <f>IFERROR(__xludf.DUMMYFUNCTION("INDIRECT(""'收支紀錄'!T""&amp;TO_TEXT(ROW()-$C$72))"),"")</f>
        <v/>
      </c>
      <c r="U987" s="62" t="str">
        <f>IFERROR(__xludf.DUMMYFUNCTION("IF(T987=""是"",TEXTJOIN("""", TRUE, ""$"", TO_TEXT(C987), S987),"""")"),"")</f>
        <v/>
      </c>
    </row>
    <row r="988">
      <c r="A988" s="58">
        <f>IFERROR(__xludf.DUMMYFUNCTION("INDIRECT(""'收支紀錄'!A""&amp;TO_TEXT(ROW()-$C$72))"),45845.90611413194)</f>
        <v>45845.90611</v>
      </c>
      <c r="B988" s="59">
        <f>IFERROR(__xludf.DUMMYFUNCTION("IF(ISBLANK(D988), """", IF(ISDATE(D988), D988, IF(D988=""今天"", A988, IF(D988=""昨天 (-1 day)"", A988-1, IF(D988=""前天 (-2 days)"", A988-2, IF(D988=""明天 (+1 day)"", A988+1, DATE(LEFT(D988,4), MID(D988,5,2), RIGHT(D988,2))))))))"),45844.90611413194)</f>
        <v>45844.90611</v>
      </c>
      <c r="C988" s="60">
        <f>IFERROR(__xludf.DUMMYFUNCTION("INDIRECT(""'收支紀錄'!C""&amp;TO_TEXT(ROW()-$C$72))"),95.0)</f>
        <v>95</v>
      </c>
      <c r="D988" s="63" t="str">
        <f>IFERROR(__xludf.DUMMYFUNCTION("INDIRECT(""'收支紀錄'!D""&amp;TO_TEXT(ROW()-$C$72))"),"昨天 (-1 day)")</f>
        <v>昨天 (-1 day)</v>
      </c>
      <c r="E988" s="61" t="str">
        <f>IFERROR(__xludf.DUMMYFUNCTION("INDIRECT(""'收支紀錄'!E""&amp;TO_TEXT(ROW()-$C$72))"),"")</f>
        <v/>
      </c>
      <c r="F988" s="61" t="str">
        <f>IFERROR(__xludf.DUMMYFUNCTION("INDIRECT(""'收支紀錄'!F""&amp;TO_TEXT(ROW()-$C$72))"),"")</f>
        <v/>
      </c>
      <c r="G988" s="61" t="str">
        <f>IFERROR(__xludf.DUMMYFUNCTION("INDIRECT(""'收支紀錄'!G""&amp;TO_TEXT(ROW()-$C$72))"),"")</f>
        <v/>
      </c>
      <c r="H988" s="61" t="str">
        <f>IFERROR(__xludf.DUMMYFUNCTION("INDIRECT(""'收支紀錄'!H""&amp;TO_TEXT(ROW()-$C$72))"),"食品酒水")</f>
        <v>食品酒水</v>
      </c>
      <c r="I988" s="61" t="str">
        <f>IFERROR(__xludf.DUMMYFUNCTION("INDIRECT(""'收支紀錄'!I""&amp;TO_TEXT(ROW()-$C$72))"),"下午茶")</f>
        <v>下午茶</v>
      </c>
      <c r="J988" s="61" t="str">
        <f>IFERROR(__xludf.DUMMYFUNCTION("INDIRECT(""'收支紀錄'!J""&amp;TO_TEXT(ROW()-$C$72))"),"")</f>
        <v/>
      </c>
      <c r="K988" s="61" t="str">
        <f>IFERROR(__xludf.DUMMYFUNCTION("INDIRECT(""'收支紀錄'!K""&amp;TO_TEXT(ROW()-$C$72))"),"")</f>
        <v/>
      </c>
      <c r="L988" s="61" t="str">
        <f>IFERROR(__xludf.DUMMYFUNCTION("INDIRECT(""'收支紀錄'!L""&amp;TO_TEXT(ROW()-$C$72))"),"")</f>
        <v/>
      </c>
      <c r="M988" s="61" t="str">
        <f>IFERROR(__xludf.DUMMYFUNCTION("INDIRECT(""'收支紀錄'!M""&amp;TO_TEXT(ROW()-$C$72))"),"")</f>
        <v/>
      </c>
      <c r="N988" s="61" t="str">
        <f>IFERROR(__xludf.DUMMYFUNCTION("INDIRECT(""'收支紀錄'!N""&amp;TO_TEXT(ROW()-$C$72))"),"")</f>
        <v/>
      </c>
      <c r="O988" s="61" t="str">
        <f>IFERROR(__xludf.DUMMYFUNCTION("INDIRECT(""'收支紀錄'!O""&amp;TO_TEXT(ROW()-$C$72))"),"")</f>
        <v/>
      </c>
      <c r="P988" s="61" t="str">
        <f>IFERROR(__xludf.DUMMYFUNCTION("INDIRECT(""'收支紀錄'!P""&amp;TO_TEXT(ROW()-$C$72))"),"")</f>
        <v/>
      </c>
      <c r="Q988" s="61" t="str">
        <f>IFERROR(__xludf.DUMMYFUNCTION("INDIRECT(""'收支紀錄'!Q""&amp;TO_TEXT(ROW()-$C$72))"),"")</f>
        <v/>
      </c>
      <c r="R988" s="61" t="str">
        <f>IFERROR(__xludf.DUMMYFUNCTION("INDIRECT(""'收支紀錄'!R""&amp;TO_TEXT(ROW()-$C$72))"),"")</f>
        <v/>
      </c>
      <c r="S988" s="61" t="str">
        <f>IFERROR(__xludf.DUMMYFUNCTION("INDIRECT(""'收支紀錄'!S""&amp;TO_TEXT(ROW()-$C$72))"),"")</f>
        <v/>
      </c>
      <c r="T988" s="61" t="str">
        <f>IFERROR(__xludf.DUMMYFUNCTION("INDIRECT(""'收支紀錄'!T""&amp;TO_TEXT(ROW()-$C$72))"),"")</f>
        <v/>
      </c>
      <c r="U988" s="62" t="str">
        <f>IFERROR(__xludf.DUMMYFUNCTION("IF(T988=""是"",TEXTJOIN("""", TRUE, ""$"", TO_TEXT(C988), S988),"""")"),"")</f>
        <v/>
      </c>
    </row>
    <row r="989">
      <c r="A989" s="58">
        <f>IFERROR(__xludf.DUMMYFUNCTION("INDIRECT(""'收支紀錄'!A""&amp;TO_TEXT(ROW()-$C$72))"),45846.90953619213)</f>
        <v>45846.90954</v>
      </c>
      <c r="B989" s="59">
        <f>IFERROR(__xludf.DUMMYFUNCTION("IF(ISBLANK(D989), """", IF(ISDATE(D989), D989, IF(D989=""今天"", A989, IF(D989=""昨天 (-1 day)"", A989-1, IF(D989=""前天 (-2 days)"", A989-2, IF(D989=""明天 (+1 day)"", A989+1, DATE(LEFT(D989,4), MID(D989,5,2), RIGHT(D989,2))))))))"),45846.90953619213)</f>
        <v>45846.90954</v>
      </c>
      <c r="C989" s="60">
        <f>IFERROR(__xludf.DUMMYFUNCTION("INDIRECT(""'收支紀錄'!C""&amp;TO_TEXT(ROW()-$C$72))"),25.0)</f>
        <v>25</v>
      </c>
      <c r="D989" s="63" t="str">
        <f>IFERROR(__xludf.DUMMYFUNCTION("INDIRECT(""'收支紀錄'!D""&amp;TO_TEXT(ROW()-$C$72))"),"今天")</f>
        <v>今天</v>
      </c>
      <c r="E989" s="61" t="str">
        <f>IFERROR(__xludf.DUMMYFUNCTION("INDIRECT(""'收支紀錄'!E""&amp;TO_TEXT(ROW()-$C$72))"),"")</f>
        <v/>
      </c>
      <c r="F989" s="61" t="str">
        <f>IFERROR(__xludf.DUMMYFUNCTION("INDIRECT(""'收支紀錄'!F""&amp;TO_TEXT(ROW()-$C$72))"),"")</f>
        <v/>
      </c>
      <c r="G989" s="61" t="str">
        <f>IFERROR(__xludf.DUMMYFUNCTION("INDIRECT(""'收支紀錄'!G""&amp;TO_TEXT(ROW()-$C$72))"),"")</f>
        <v/>
      </c>
      <c r="H989" s="61" t="str">
        <f>IFERROR(__xludf.DUMMYFUNCTION("INDIRECT(""'收支紀錄'!H""&amp;TO_TEXT(ROW()-$C$72))"),"食品酒水")</f>
        <v>食品酒水</v>
      </c>
      <c r="I989" s="61" t="str">
        <f>IFERROR(__xludf.DUMMYFUNCTION("INDIRECT(""'收支紀錄'!I""&amp;TO_TEXT(ROW()-$C$72))"),"飲料酒水")</f>
        <v>飲料酒水</v>
      </c>
      <c r="J989" s="61" t="str">
        <f>IFERROR(__xludf.DUMMYFUNCTION("INDIRECT(""'收支紀錄'!J""&amp;TO_TEXT(ROW()-$C$72))"),"")</f>
        <v/>
      </c>
      <c r="K989" s="61" t="str">
        <f>IFERROR(__xludf.DUMMYFUNCTION("INDIRECT(""'收支紀錄'!K""&amp;TO_TEXT(ROW()-$C$72))"),"")</f>
        <v/>
      </c>
      <c r="L989" s="61" t="str">
        <f>IFERROR(__xludf.DUMMYFUNCTION("INDIRECT(""'收支紀錄'!L""&amp;TO_TEXT(ROW()-$C$72))"),"")</f>
        <v/>
      </c>
      <c r="M989" s="61" t="str">
        <f>IFERROR(__xludf.DUMMYFUNCTION("INDIRECT(""'收支紀錄'!M""&amp;TO_TEXT(ROW()-$C$72))"),"")</f>
        <v/>
      </c>
      <c r="N989" s="61" t="str">
        <f>IFERROR(__xludf.DUMMYFUNCTION("INDIRECT(""'收支紀錄'!N""&amp;TO_TEXT(ROW()-$C$72))"),"")</f>
        <v/>
      </c>
      <c r="O989" s="61" t="str">
        <f>IFERROR(__xludf.DUMMYFUNCTION("INDIRECT(""'收支紀錄'!O""&amp;TO_TEXT(ROW()-$C$72))"),"")</f>
        <v/>
      </c>
      <c r="P989" s="61" t="str">
        <f>IFERROR(__xludf.DUMMYFUNCTION("INDIRECT(""'收支紀錄'!P""&amp;TO_TEXT(ROW()-$C$72))"),"")</f>
        <v/>
      </c>
      <c r="Q989" s="61" t="str">
        <f>IFERROR(__xludf.DUMMYFUNCTION("INDIRECT(""'收支紀錄'!Q""&amp;TO_TEXT(ROW()-$C$72))"),"")</f>
        <v/>
      </c>
      <c r="R989" s="61" t="str">
        <f>IFERROR(__xludf.DUMMYFUNCTION("INDIRECT(""'收支紀錄'!R""&amp;TO_TEXT(ROW()-$C$72))"),"")</f>
        <v/>
      </c>
      <c r="S989" s="61" t="str">
        <f>IFERROR(__xludf.DUMMYFUNCTION("INDIRECT(""'收支紀錄'!S""&amp;TO_TEXT(ROW()-$C$72))"),"")</f>
        <v/>
      </c>
      <c r="T989" s="61" t="str">
        <f>IFERROR(__xludf.DUMMYFUNCTION("INDIRECT(""'收支紀錄'!T""&amp;TO_TEXT(ROW()-$C$72))"),"")</f>
        <v/>
      </c>
      <c r="U989" s="62" t="str">
        <f>IFERROR(__xludf.DUMMYFUNCTION("IF(T989=""是"",TEXTJOIN("""", TRUE, ""$"", TO_TEXT(C989), S989),"""")"),"")</f>
        <v/>
      </c>
    </row>
    <row r="990">
      <c r="A990" s="58">
        <f>IFERROR(__xludf.DUMMYFUNCTION("INDIRECT(""'收支紀錄'!A""&amp;TO_TEXT(ROW()-$C$72))"),45847.98629039351)</f>
        <v>45847.98629</v>
      </c>
      <c r="B990" s="59">
        <f>IFERROR(__xludf.DUMMYFUNCTION("IF(ISBLANK(D990), """", IF(ISDATE(D990), D990, IF(D990=""今天"", A990, IF(D990=""昨天 (-1 day)"", A990-1, IF(D990=""前天 (-2 days)"", A990-2, IF(D990=""明天 (+1 day)"", A990+1, DATE(LEFT(D990,4), MID(D990,5,2), RIGHT(D990,2))))))))"),45843.0)</f>
        <v>45843</v>
      </c>
      <c r="C990" s="60">
        <f>IFERROR(__xludf.DUMMYFUNCTION("INDIRECT(""'收支紀錄'!C""&amp;TO_TEXT(ROW()-$C$72))"),107300.0)</f>
        <v>107300</v>
      </c>
      <c r="D990" s="63">
        <f>IFERROR(__xludf.DUMMYFUNCTION("INDIRECT(""'收支紀錄'!D""&amp;TO_TEXT(ROW()-$C$72))"),2.0250705E7)</f>
        <v>20250705</v>
      </c>
      <c r="E990" s="61" t="str">
        <f>IFERROR(__xludf.DUMMYFUNCTION("INDIRECT(""'收支紀錄'!E""&amp;TO_TEXT(ROW()-$C$72))"),"工作")</f>
        <v>工作</v>
      </c>
      <c r="F990" s="61" t="str">
        <f>IFERROR(__xludf.DUMMYFUNCTION("INDIRECT(""'收支紀錄'!F""&amp;TO_TEXT(ROW()-$C$72))"),"底薪")</f>
        <v>底薪</v>
      </c>
      <c r="G990" s="61" t="str">
        <f>IFERROR(__xludf.DUMMYFUNCTION("INDIRECT(""'收支紀錄'!G""&amp;TO_TEXT(ROW()-$C$72))"),"")</f>
        <v/>
      </c>
      <c r="H990" s="61" t="str">
        <f>IFERROR(__xludf.DUMMYFUNCTION("INDIRECT(""'收支紀錄'!H""&amp;TO_TEXT(ROW()-$C$72))"),"")</f>
        <v/>
      </c>
      <c r="I990" s="61" t="str">
        <f>IFERROR(__xludf.DUMMYFUNCTION("INDIRECT(""'收支紀錄'!I""&amp;TO_TEXT(ROW()-$C$72))"),"")</f>
        <v/>
      </c>
      <c r="J990" s="61" t="str">
        <f>IFERROR(__xludf.DUMMYFUNCTION("INDIRECT(""'收支紀錄'!J""&amp;TO_TEXT(ROW()-$C$72))"),"")</f>
        <v/>
      </c>
      <c r="K990" s="61" t="str">
        <f>IFERROR(__xludf.DUMMYFUNCTION("INDIRECT(""'收支紀錄'!K""&amp;TO_TEXT(ROW()-$C$72))"),"")</f>
        <v/>
      </c>
      <c r="L990" s="61" t="str">
        <f>IFERROR(__xludf.DUMMYFUNCTION("INDIRECT(""'收支紀錄'!L""&amp;TO_TEXT(ROW()-$C$72))"),"")</f>
        <v/>
      </c>
      <c r="M990" s="61" t="str">
        <f>IFERROR(__xludf.DUMMYFUNCTION("INDIRECT(""'收支紀錄'!M""&amp;TO_TEXT(ROW()-$C$72))"),"")</f>
        <v/>
      </c>
      <c r="N990" s="61" t="str">
        <f>IFERROR(__xludf.DUMMYFUNCTION("INDIRECT(""'收支紀錄'!N""&amp;TO_TEXT(ROW()-$C$72))"),"")</f>
        <v/>
      </c>
      <c r="O990" s="61" t="str">
        <f>IFERROR(__xludf.DUMMYFUNCTION("INDIRECT(""'收支紀錄'!O""&amp;TO_TEXT(ROW()-$C$72))"),"")</f>
        <v/>
      </c>
      <c r="P990" s="61" t="str">
        <f>IFERROR(__xludf.DUMMYFUNCTION("INDIRECT(""'收支紀錄'!P""&amp;TO_TEXT(ROW()-$C$72))"),"")</f>
        <v/>
      </c>
      <c r="Q990" s="61" t="str">
        <f>IFERROR(__xludf.DUMMYFUNCTION("INDIRECT(""'收支紀錄'!Q""&amp;TO_TEXT(ROW()-$C$72))"),"")</f>
        <v/>
      </c>
      <c r="R990" s="61" t="str">
        <f>IFERROR(__xludf.DUMMYFUNCTION("INDIRECT(""'收支紀錄'!R""&amp;TO_TEXT(ROW()-$C$72))"),"")</f>
        <v/>
      </c>
      <c r="S990" s="61" t="str">
        <f>IFERROR(__xludf.DUMMYFUNCTION("INDIRECT(""'收支紀錄'!S""&amp;TO_TEXT(ROW()-$C$72))"),"")</f>
        <v/>
      </c>
      <c r="T990" s="61" t="str">
        <f>IFERROR(__xludf.DUMMYFUNCTION("INDIRECT(""'收支紀錄'!T""&amp;TO_TEXT(ROW()-$C$72))"),"")</f>
        <v/>
      </c>
      <c r="U990" s="62" t="str">
        <f>IFERROR(__xludf.DUMMYFUNCTION("IF(T990=""是"",TEXTJOIN("""", TRUE, ""$"", TO_TEXT(C990), S990),"""")"),"")</f>
        <v/>
      </c>
    </row>
    <row r="991">
      <c r="A991" s="58">
        <f>IFERROR(__xludf.DUMMYFUNCTION("INDIRECT(""'收支紀錄'!A""&amp;TO_TEXT(ROW()-$C$72))"),45847.98728017361)</f>
        <v>45847.98728</v>
      </c>
      <c r="B991" s="59">
        <f>IFERROR(__xludf.DUMMYFUNCTION("IF(ISBLANK(D991), """", IF(ISDATE(D991), D991, IF(D991=""今天"", A991, IF(D991=""昨天 (-1 day)"", A991-1, IF(D991=""前天 (-2 days)"", A991-2, IF(D991=""明天 (+1 day)"", A991+1, DATE(LEFT(D991,4), MID(D991,5,2), RIGHT(D991,2))))))))"),45821.0)</f>
        <v>45821</v>
      </c>
      <c r="C991" s="60">
        <f>IFERROR(__xludf.DUMMYFUNCTION("INDIRECT(""'收支紀錄'!C""&amp;TO_TEXT(ROW()-$C$72))"),2736.0)</f>
        <v>2736</v>
      </c>
      <c r="D991" s="63">
        <f>IFERROR(__xludf.DUMMYFUNCTION("INDIRECT(""'收支紀錄'!D""&amp;TO_TEXT(ROW()-$C$72))"),2.0250613E7)</f>
        <v>20250613</v>
      </c>
      <c r="E991" s="61" t="str">
        <f>IFERROR(__xludf.DUMMYFUNCTION("INDIRECT(""'收支紀錄'!E""&amp;TO_TEXT(ROW()-$C$72))"),"其他業外")</f>
        <v>其他業外</v>
      </c>
      <c r="F991" s="61" t="str">
        <f>IFERROR(__xludf.DUMMYFUNCTION("INDIRECT(""'收支紀錄'!F""&amp;TO_TEXT(ROW()-$C$72))"),"")</f>
        <v/>
      </c>
      <c r="G991" s="61" t="str">
        <f>IFERROR(__xludf.DUMMYFUNCTION("INDIRECT(""'收支紀錄'!G""&amp;TO_TEXT(ROW()-$C$72))"),"股票配息")</f>
        <v>股票配息</v>
      </c>
      <c r="H991" s="61" t="str">
        <f>IFERROR(__xludf.DUMMYFUNCTION("INDIRECT(""'收支紀錄'!H""&amp;TO_TEXT(ROW()-$C$72))"),"")</f>
        <v/>
      </c>
      <c r="I991" s="61" t="str">
        <f>IFERROR(__xludf.DUMMYFUNCTION("INDIRECT(""'收支紀錄'!I""&amp;TO_TEXT(ROW()-$C$72))"),"")</f>
        <v/>
      </c>
      <c r="J991" s="61" t="str">
        <f>IFERROR(__xludf.DUMMYFUNCTION("INDIRECT(""'收支紀錄'!J""&amp;TO_TEXT(ROW()-$C$72))"),"")</f>
        <v/>
      </c>
      <c r="K991" s="61" t="str">
        <f>IFERROR(__xludf.DUMMYFUNCTION("INDIRECT(""'收支紀錄'!K""&amp;TO_TEXT(ROW()-$C$72))"),"")</f>
        <v/>
      </c>
      <c r="L991" s="61" t="str">
        <f>IFERROR(__xludf.DUMMYFUNCTION("INDIRECT(""'收支紀錄'!L""&amp;TO_TEXT(ROW()-$C$72))"),"")</f>
        <v/>
      </c>
      <c r="M991" s="61" t="str">
        <f>IFERROR(__xludf.DUMMYFUNCTION("INDIRECT(""'收支紀錄'!M""&amp;TO_TEXT(ROW()-$C$72))"),"")</f>
        <v/>
      </c>
      <c r="N991" s="61" t="str">
        <f>IFERROR(__xludf.DUMMYFUNCTION("INDIRECT(""'收支紀錄'!N""&amp;TO_TEXT(ROW()-$C$72))"),"")</f>
        <v/>
      </c>
      <c r="O991" s="61" t="str">
        <f>IFERROR(__xludf.DUMMYFUNCTION("INDIRECT(""'收支紀錄'!O""&amp;TO_TEXT(ROW()-$C$72))"),"")</f>
        <v/>
      </c>
      <c r="P991" s="61" t="str">
        <f>IFERROR(__xludf.DUMMYFUNCTION("INDIRECT(""'收支紀錄'!P""&amp;TO_TEXT(ROW()-$C$72))"),"")</f>
        <v/>
      </c>
      <c r="Q991" s="61" t="str">
        <f>IFERROR(__xludf.DUMMYFUNCTION("INDIRECT(""'收支紀錄'!Q""&amp;TO_TEXT(ROW()-$C$72))"),"")</f>
        <v/>
      </c>
      <c r="R991" s="61" t="str">
        <f>IFERROR(__xludf.DUMMYFUNCTION("INDIRECT(""'收支紀錄'!R""&amp;TO_TEXT(ROW()-$C$72))"),"")</f>
        <v/>
      </c>
      <c r="S991" s="61" t="str">
        <f>IFERROR(__xludf.DUMMYFUNCTION("INDIRECT(""'收支紀錄'!S""&amp;TO_TEXT(ROW()-$C$72))"),"中信優息")</f>
        <v>中信優息</v>
      </c>
      <c r="T991" s="61" t="str">
        <f>IFERROR(__xludf.DUMMYFUNCTION("INDIRECT(""'收支紀錄'!T""&amp;TO_TEXT(ROW()-$C$72))"),"是")</f>
        <v>是</v>
      </c>
      <c r="U991" s="62" t="str">
        <f>IFERROR(__xludf.DUMMYFUNCTION("IF(T991=""是"",TEXTJOIN("""", TRUE, ""$"", TO_TEXT(C991), S991),"""")"),"$2736中信優息")</f>
        <v>$2736中信優息</v>
      </c>
    </row>
    <row r="992">
      <c r="A992" s="58">
        <f>IFERROR(__xludf.DUMMYFUNCTION("INDIRECT(""'收支紀錄'!A""&amp;TO_TEXT(ROW()-$C$72))"),45847.987919583335)</f>
        <v>45847.98792</v>
      </c>
      <c r="B992" s="59">
        <f>IFERROR(__xludf.DUMMYFUNCTION("IF(ISBLANK(D992), """", IF(ISDATE(D992), D992, IF(D992=""今天"", A992, IF(D992=""昨天 (-1 day)"", A992-1, IF(D992=""前天 (-2 days)"", A992-2, IF(D992=""明天 (+1 day)"", A992+1, DATE(LEFT(D992,4), MID(D992,5,2), RIGHT(D992,2))))))))"),45820.0)</f>
        <v>45820</v>
      </c>
      <c r="C992" s="60">
        <f>IFERROR(__xludf.DUMMYFUNCTION("INDIRECT(""'收支紀錄'!C""&amp;TO_TEXT(ROW()-$C$72))"),5120.0)</f>
        <v>5120</v>
      </c>
      <c r="D992" s="63">
        <f>IFERROR(__xludf.DUMMYFUNCTION("INDIRECT(""'收支紀錄'!D""&amp;TO_TEXT(ROW()-$C$72))"),2.0250612E7)</f>
        <v>20250612</v>
      </c>
      <c r="E992" s="61" t="str">
        <f>IFERROR(__xludf.DUMMYFUNCTION("INDIRECT(""'收支紀錄'!E""&amp;TO_TEXT(ROW()-$C$72))"),"其他業外")</f>
        <v>其他業外</v>
      </c>
      <c r="F992" s="61" t="str">
        <f>IFERROR(__xludf.DUMMYFUNCTION("INDIRECT(""'收支紀錄'!F""&amp;TO_TEXT(ROW()-$C$72))"),"")</f>
        <v/>
      </c>
      <c r="G992" s="61" t="str">
        <f>IFERROR(__xludf.DUMMYFUNCTION("INDIRECT(""'收支紀錄'!G""&amp;TO_TEXT(ROW()-$C$72))"),"股票配息")</f>
        <v>股票配息</v>
      </c>
      <c r="H992" s="61" t="str">
        <f>IFERROR(__xludf.DUMMYFUNCTION("INDIRECT(""'收支紀錄'!H""&amp;TO_TEXT(ROW()-$C$72))"),"")</f>
        <v/>
      </c>
      <c r="I992" s="61" t="str">
        <f>IFERROR(__xludf.DUMMYFUNCTION("INDIRECT(""'收支紀錄'!I""&amp;TO_TEXT(ROW()-$C$72))"),"")</f>
        <v/>
      </c>
      <c r="J992" s="61" t="str">
        <f>IFERROR(__xludf.DUMMYFUNCTION("INDIRECT(""'收支紀錄'!J""&amp;TO_TEXT(ROW()-$C$72))"),"")</f>
        <v/>
      </c>
      <c r="K992" s="61" t="str">
        <f>IFERROR(__xludf.DUMMYFUNCTION("INDIRECT(""'收支紀錄'!K""&amp;TO_TEXT(ROW()-$C$72))"),"")</f>
        <v/>
      </c>
      <c r="L992" s="61" t="str">
        <f>IFERROR(__xludf.DUMMYFUNCTION("INDIRECT(""'收支紀錄'!L""&amp;TO_TEXT(ROW()-$C$72))"),"")</f>
        <v/>
      </c>
      <c r="M992" s="61" t="str">
        <f>IFERROR(__xludf.DUMMYFUNCTION("INDIRECT(""'收支紀錄'!M""&amp;TO_TEXT(ROW()-$C$72))"),"")</f>
        <v/>
      </c>
      <c r="N992" s="61" t="str">
        <f>IFERROR(__xludf.DUMMYFUNCTION("INDIRECT(""'收支紀錄'!N""&amp;TO_TEXT(ROW()-$C$72))"),"")</f>
        <v/>
      </c>
      <c r="O992" s="61" t="str">
        <f>IFERROR(__xludf.DUMMYFUNCTION("INDIRECT(""'收支紀錄'!O""&amp;TO_TEXT(ROW()-$C$72))"),"")</f>
        <v/>
      </c>
      <c r="P992" s="61" t="str">
        <f>IFERROR(__xludf.DUMMYFUNCTION("INDIRECT(""'收支紀錄'!P""&amp;TO_TEXT(ROW()-$C$72))"),"")</f>
        <v/>
      </c>
      <c r="Q992" s="61" t="str">
        <f>IFERROR(__xludf.DUMMYFUNCTION("INDIRECT(""'收支紀錄'!Q""&amp;TO_TEXT(ROW()-$C$72))"),"")</f>
        <v/>
      </c>
      <c r="R992" s="61" t="str">
        <f>IFERROR(__xludf.DUMMYFUNCTION("INDIRECT(""'收支紀錄'!R""&amp;TO_TEXT(ROW()-$C$72))"),"")</f>
        <v/>
      </c>
      <c r="S992" s="61" t="str">
        <f>IFERROR(__xludf.DUMMYFUNCTION("INDIRECT(""'收支紀錄'!S""&amp;TO_TEXT(ROW()-$C$72))"),"元大美債")</f>
        <v>元大美債</v>
      </c>
      <c r="T992" s="61" t="str">
        <f>IFERROR(__xludf.DUMMYFUNCTION("INDIRECT(""'收支紀錄'!T""&amp;TO_TEXT(ROW()-$C$72))"),"是")</f>
        <v>是</v>
      </c>
      <c r="U992" s="62" t="str">
        <f>IFERROR(__xludf.DUMMYFUNCTION("IF(T992=""是"",TEXTJOIN("""", TRUE, ""$"", TO_TEXT(C992), S992),"""")"),"$5120元大美債")</f>
        <v>$5120元大美債</v>
      </c>
    </row>
    <row r="993">
      <c r="A993" s="58">
        <f>IFERROR(__xludf.DUMMYFUNCTION("INDIRECT(""'收支紀錄'!A""&amp;TO_TEXT(ROW()-$C$72))"),45847.99006486111)</f>
        <v>45847.99006</v>
      </c>
      <c r="B993" s="59">
        <f>IFERROR(__xludf.DUMMYFUNCTION("IF(ISBLANK(D993), """", IF(ISDATE(D993), D993, IF(D993=""今天"", A993, IF(D993=""昨天 (-1 day)"", A993-1, IF(D993=""前天 (-2 days)"", A993-2, IF(D993=""明天 (+1 day)"", A993+1, DATE(LEFT(D993,4), MID(D993,5,2), RIGHT(D993,2))))))))"),45838.0)</f>
        <v>45838</v>
      </c>
      <c r="C993" s="60">
        <f>IFERROR(__xludf.DUMMYFUNCTION("INDIRECT(""'收支紀錄'!C""&amp;TO_TEXT(ROW()-$C$72))"),90.0)</f>
        <v>90</v>
      </c>
      <c r="D993" s="63">
        <f>IFERROR(__xludf.DUMMYFUNCTION("INDIRECT(""'收支紀錄'!D""&amp;TO_TEXT(ROW()-$C$72))"),2.025063E7)</f>
        <v>20250630</v>
      </c>
      <c r="E993" s="61" t="str">
        <f>IFERROR(__xludf.DUMMYFUNCTION("INDIRECT(""'收支紀錄'!E""&amp;TO_TEXT(ROW()-$C$72))"),"")</f>
        <v/>
      </c>
      <c r="F993" s="61" t="str">
        <f>IFERROR(__xludf.DUMMYFUNCTION("INDIRECT(""'收支紀錄'!F""&amp;TO_TEXT(ROW()-$C$72))"),"")</f>
        <v/>
      </c>
      <c r="G993" s="61" t="str">
        <f>IFERROR(__xludf.DUMMYFUNCTION("INDIRECT(""'收支紀錄'!G""&amp;TO_TEXT(ROW()-$C$72))"),"")</f>
        <v/>
      </c>
      <c r="H993" s="61" t="str">
        <f>IFERROR(__xludf.DUMMYFUNCTION("INDIRECT(""'收支紀錄'!H""&amp;TO_TEXT(ROW()-$C$72))"),"行車交通")</f>
        <v>行車交通</v>
      </c>
      <c r="I993" s="61" t="str">
        <f>IFERROR(__xludf.DUMMYFUNCTION("INDIRECT(""'收支紀錄'!I""&amp;TO_TEXT(ROW()-$C$72))"),"")</f>
        <v/>
      </c>
      <c r="J993" s="61" t="str">
        <f>IFERROR(__xludf.DUMMYFUNCTION("INDIRECT(""'收支紀錄'!J""&amp;TO_TEXT(ROW()-$C$72))"),"")</f>
        <v/>
      </c>
      <c r="K993" s="61" t="str">
        <f>IFERROR(__xludf.DUMMYFUNCTION("INDIRECT(""'收支紀錄'!K""&amp;TO_TEXT(ROW()-$C$72))"),"")</f>
        <v/>
      </c>
      <c r="L993" s="61" t="str">
        <f>IFERROR(__xludf.DUMMYFUNCTION("INDIRECT(""'收支紀錄'!L""&amp;TO_TEXT(ROW()-$C$72))"),"停車")</f>
        <v>停車</v>
      </c>
      <c r="M993" s="61" t="str">
        <f>IFERROR(__xludf.DUMMYFUNCTION("INDIRECT(""'收支紀錄'!M""&amp;TO_TEXT(ROW()-$C$72))"),"")</f>
        <v/>
      </c>
      <c r="N993" s="61" t="str">
        <f>IFERROR(__xludf.DUMMYFUNCTION("INDIRECT(""'收支紀錄'!N""&amp;TO_TEXT(ROW()-$C$72))"),"")</f>
        <v/>
      </c>
      <c r="O993" s="61" t="str">
        <f>IFERROR(__xludf.DUMMYFUNCTION("INDIRECT(""'收支紀錄'!O""&amp;TO_TEXT(ROW()-$C$72))"),"")</f>
        <v/>
      </c>
      <c r="P993" s="61" t="str">
        <f>IFERROR(__xludf.DUMMYFUNCTION("INDIRECT(""'收支紀錄'!P""&amp;TO_TEXT(ROW()-$C$72))"),"")</f>
        <v/>
      </c>
      <c r="Q993" s="61" t="str">
        <f>IFERROR(__xludf.DUMMYFUNCTION("INDIRECT(""'收支紀錄'!Q""&amp;TO_TEXT(ROW()-$C$72))"),"")</f>
        <v/>
      </c>
      <c r="R993" s="61" t="str">
        <f>IFERROR(__xludf.DUMMYFUNCTION("INDIRECT(""'收支紀錄'!R""&amp;TO_TEXT(ROW()-$C$72))"),"")</f>
        <v/>
      </c>
      <c r="S993" s="61" t="str">
        <f>IFERROR(__xludf.DUMMYFUNCTION("INDIRECT(""'收支紀錄'!S""&amp;TO_TEXT(ROW()-$C$72))"),"")</f>
        <v/>
      </c>
      <c r="T993" s="61" t="str">
        <f>IFERROR(__xludf.DUMMYFUNCTION("INDIRECT(""'收支紀錄'!T""&amp;TO_TEXT(ROW()-$C$72))"),"")</f>
        <v/>
      </c>
      <c r="U993" s="62" t="str">
        <f>IFERROR(__xludf.DUMMYFUNCTION("IF(T993=""是"",TEXTJOIN("""", TRUE, ""$"", TO_TEXT(C993), S993),"""")"),"")</f>
        <v/>
      </c>
    </row>
    <row r="994">
      <c r="A994" s="58">
        <f>IFERROR(__xludf.DUMMYFUNCTION("INDIRECT(""'收支紀錄'!A""&amp;TO_TEXT(ROW()-$C$72))"),45847.99091363426)</f>
        <v>45847.99091</v>
      </c>
      <c r="B994" s="59">
        <f>IFERROR(__xludf.DUMMYFUNCTION("IF(ISBLANK(D994), """", IF(ISDATE(D994), D994, IF(D994=""今天"", A994, IF(D994=""昨天 (-1 day)"", A994-1, IF(D994=""前天 (-2 days)"", A994-2, IF(D994=""明天 (+1 day)"", A994+1, DATE(LEFT(D994,4), MID(D994,5,2), RIGHT(D994,2))))))))"),45838.0)</f>
        <v>45838</v>
      </c>
      <c r="C994" s="60">
        <f>IFERROR(__xludf.DUMMYFUNCTION("INDIRECT(""'收支紀錄'!C""&amp;TO_TEXT(ROW()-$C$72))"),400.0)</f>
        <v>400</v>
      </c>
      <c r="D994" s="63">
        <f>IFERROR(__xludf.DUMMYFUNCTION("INDIRECT(""'收支紀錄'!D""&amp;TO_TEXT(ROW()-$C$72))"),2.025063E7)</f>
        <v>20250630</v>
      </c>
      <c r="E994" s="61" t="str">
        <f>IFERROR(__xludf.DUMMYFUNCTION("INDIRECT(""'收支紀錄'!E""&amp;TO_TEXT(ROW()-$C$72))"),"")</f>
        <v/>
      </c>
      <c r="F994" s="61" t="str">
        <f>IFERROR(__xludf.DUMMYFUNCTION("INDIRECT(""'收支紀錄'!F""&amp;TO_TEXT(ROW()-$C$72))"),"")</f>
        <v/>
      </c>
      <c r="G994" s="61" t="str">
        <f>IFERROR(__xludf.DUMMYFUNCTION("INDIRECT(""'收支紀錄'!G""&amp;TO_TEXT(ROW()-$C$72))"),"")</f>
        <v/>
      </c>
      <c r="H994" s="61" t="str">
        <f>IFERROR(__xludf.DUMMYFUNCTION("INDIRECT(""'收支紀錄'!H""&amp;TO_TEXT(ROW()-$C$72))"),"行車交通")</f>
        <v>行車交通</v>
      </c>
      <c r="I994" s="61" t="str">
        <f>IFERROR(__xludf.DUMMYFUNCTION("INDIRECT(""'收支紀錄'!I""&amp;TO_TEXT(ROW()-$C$72))"),"")</f>
        <v/>
      </c>
      <c r="J994" s="61" t="str">
        <f>IFERROR(__xludf.DUMMYFUNCTION("INDIRECT(""'收支紀錄'!J""&amp;TO_TEXT(ROW()-$C$72))"),"")</f>
        <v/>
      </c>
      <c r="K994" s="61" t="str">
        <f>IFERROR(__xludf.DUMMYFUNCTION("INDIRECT(""'收支紀錄'!K""&amp;TO_TEXT(ROW()-$C$72))"),"")</f>
        <v/>
      </c>
      <c r="L994" s="61" t="str">
        <f>IFERROR(__xludf.DUMMYFUNCTION("INDIRECT(""'收支紀錄'!L""&amp;TO_TEXT(ROW()-$C$72))"),"Etag")</f>
        <v>Etag</v>
      </c>
      <c r="M994" s="61" t="str">
        <f>IFERROR(__xludf.DUMMYFUNCTION("INDIRECT(""'收支紀錄'!M""&amp;TO_TEXT(ROW()-$C$72))"),"")</f>
        <v/>
      </c>
      <c r="N994" s="61" t="str">
        <f>IFERROR(__xludf.DUMMYFUNCTION("INDIRECT(""'收支紀錄'!N""&amp;TO_TEXT(ROW()-$C$72))"),"")</f>
        <v/>
      </c>
      <c r="O994" s="61" t="str">
        <f>IFERROR(__xludf.DUMMYFUNCTION("INDIRECT(""'收支紀錄'!O""&amp;TO_TEXT(ROW()-$C$72))"),"")</f>
        <v/>
      </c>
      <c r="P994" s="61" t="str">
        <f>IFERROR(__xludf.DUMMYFUNCTION("INDIRECT(""'收支紀錄'!P""&amp;TO_TEXT(ROW()-$C$72))"),"")</f>
        <v/>
      </c>
      <c r="Q994" s="61" t="str">
        <f>IFERROR(__xludf.DUMMYFUNCTION("INDIRECT(""'收支紀錄'!Q""&amp;TO_TEXT(ROW()-$C$72))"),"")</f>
        <v/>
      </c>
      <c r="R994" s="61" t="str">
        <f>IFERROR(__xludf.DUMMYFUNCTION("INDIRECT(""'收支紀錄'!R""&amp;TO_TEXT(ROW()-$C$72))"),"")</f>
        <v/>
      </c>
      <c r="S994" s="61" t="str">
        <f>IFERROR(__xludf.DUMMYFUNCTION("INDIRECT(""'收支紀錄'!S""&amp;TO_TEXT(ROW()-$C$72))"),"")</f>
        <v/>
      </c>
      <c r="T994" s="61" t="str">
        <f>IFERROR(__xludf.DUMMYFUNCTION("INDIRECT(""'收支紀錄'!T""&amp;TO_TEXT(ROW()-$C$72))"),"")</f>
        <v/>
      </c>
      <c r="U994" s="62" t="str">
        <f>IFERROR(__xludf.DUMMYFUNCTION("IF(T994=""是"",TEXTJOIN("""", TRUE, ""$"", TO_TEXT(C994), S994),"""")"),"")</f>
        <v/>
      </c>
    </row>
    <row r="995">
      <c r="A995" s="58">
        <f>IFERROR(__xludf.DUMMYFUNCTION("INDIRECT(""'收支紀錄'!A""&amp;TO_TEXT(ROW()-$C$72))"),45847.992421400464)</f>
        <v>45847.99242</v>
      </c>
      <c r="B995" s="59">
        <f>IFERROR(__xludf.DUMMYFUNCTION("IF(ISBLANK(D995), """", IF(ISDATE(D995), D995, IF(D995=""今天"", A995, IF(D995=""昨天 (-1 day)"", A995-1, IF(D995=""前天 (-2 days)"", A995-2, IF(D995=""明天 (+1 day)"", A995+1, DATE(LEFT(D995,4), MID(D995,5,2), RIGHT(D995,2))))))))"),45852.0)</f>
        <v>45852</v>
      </c>
      <c r="C995" s="60">
        <f>IFERROR(__xludf.DUMMYFUNCTION("INDIRECT(""'收支紀錄'!C""&amp;TO_TEXT(ROW()-$C$72))"),197.0)</f>
        <v>197</v>
      </c>
      <c r="D995" s="63">
        <f>IFERROR(__xludf.DUMMYFUNCTION("INDIRECT(""'收支紀錄'!D""&amp;TO_TEXT(ROW()-$C$72))"),2.0250714E7)</f>
        <v>20250714</v>
      </c>
      <c r="E995" s="61" t="str">
        <f>IFERROR(__xludf.DUMMYFUNCTION("INDIRECT(""'收支紀錄'!E""&amp;TO_TEXT(ROW()-$C$72))"),"")</f>
        <v/>
      </c>
      <c r="F995" s="61" t="str">
        <f>IFERROR(__xludf.DUMMYFUNCTION("INDIRECT(""'收支紀錄'!F""&amp;TO_TEXT(ROW()-$C$72))"),"")</f>
        <v/>
      </c>
      <c r="G995" s="61" t="str">
        <f>IFERROR(__xludf.DUMMYFUNCTION("INDIRECT(""'收支紀錄'!G""&amp;TO_TEXT(ROW()-$C$72))"),"")</f>
        <v/>
      </c>
      <c r="H995" s="61" t="str">
        <f>IFERROR(__xludf.DUMMYFUNCTION("INDIRECT(""'收支紀錄'!H""&amp;TO_TEXT(ROW()-$C$72))"),"房屋支出")</f>
        <v>房屋支出</v>
      </c>
      <c r="I995" s="61" t="str">
        <f>IFERROR(__xludf.DUMMYFUNCTION("INDIRECT(""'收支紀錄'!I""&amp;TO_TEXT(ROW()-$C$72))"),"")</f>
        <v/>
      </c>
      <c r="J995" s="61" t="str">
        <f>IFERROR(__xludf.DUMMYFUNCTION("INDIRECT(""'收支紀錄'!J""&amp;TO_TEXT(ROW()-$C$72))"),"")</f>
        <v/>
      </c>
      <c r="K995" s="61" t="str">
        <f>IFERROR(__xludf.DUMMYFUNCTION("INDIRECT(""'收支紀錄'!K""&amp;TO_TEXT(ROW()-$C$72))"),"水費")</f>
        <v>水費</v>
      </c>
      <c r="L995" s="61" t="str">
        <f>IFERROR(__xludf.DUMMYFUNCTION("INDIRECT(""'收支紀錄'!L""&amp;TO_TEXT(ROW()-$C$72))"),"")</f>
        <v/>
      </c>
      <c r="M995" s="61" t="str">
        <f>IFERROR(__xludf.DUMMYFUNCTION("INDIRECT(""'收支紀錄'!M""&amp;TO_TEXT(ROW()-$C$72))"),"")</f>
        <v/>
      </c>
      <c r="N995" s="61" t="str">
        <f>IFERROR(__xludf.DUMMYFUNCTION("INDIRECT(""'收支紀錄'!N""&amp;TO_TEXT(ROW()-$C$72))"),"")</f>
        <v/>
      </c>
      <c r="O995" s="61" t="str">
        <f>IFERROR(__xludf.DUMMYFUNCTION("INDIRECT(""'收支紀錄'!O""&amp;TO_TEXT(ROW()-$C$72))"),"")</f>
        <v/>
      </c>
      <c r="P995" s="61" t="str">
        <f>IFERROR(__xludf.DUMMYFUNCTION("INDIRECT(""'收支紀錄'!P""&amp;TO_TEXT(ROW()-$C$72))"),"")</f>
        <v/>
      </c>
      <c r="Q995" s="61" t="str">
        <f>IFERROR(__xludf.DUMMYFUNCTION("INDIRECT(""'收支紀錄'!Q""&amp;TO_TEXT(ROW()-$C$72))"),"")</f>
        <v/>
      </c>
      <c r="R995" s="61" t="str">
        <f>IFERROR(__xludf.DUMMYFUNCTION("INDIRECT(""'收支紀錄'!R""&amp;TO_TEXT(ROW()-$C$72))"),"")</f>
        <v/>
      </c>
      <c r="S995" s="61" t="str">
        <f>IFERROR(__xludf.DUMMYFUNCTION("INDIRECT(""'收支紀錄'!S""&amp;TO_TEXT(ROW()-$C$72))"),"")</f>
        <v/>
      </c>
      <c r="T995" s="61" t="str">
        <f>IFERROR(__xludf.DUMMYFUNCTION("INDIRECT(""'收支紀錄'!T""&amp;TO_TEXT(ROW()-$C$72))"),"")</f>
        <v/>
      </c>
      <c r="U995" s="62" t="str">
        <f>IFERROR(__xludf.DUMMYFUNCTION("IF(T995=""是"",TEXTJOIN("""", TRUE, ""$"", TO_TEXT(C995), S995),"""")"),"")</f>
        <v/>
      </c>
    </row>
    <row r="996">
      <c r="A996" s="58">
        <f>IFERROR(__xludf.DUMMYFUNCTION("INDIRECT(""'收支紀錄'!A""&amp;TO_TEXT(ROW()-$C$72))"),45847.993692986114)</f>
        <v>45847.99369</v>
      </c>
      <c r="B996" s="59">
        <f>IFERROR(__xludf.DUMMYFUNCTION("IF(ISBLANK(D996), """", IF(ISDATE(D996), D996, IF(D996=""今天"", A996, IF(D996=""昨天 (-1 day)"", A996-1, IF(D996=""前天 (-2 days)"", A996-2, IF(D996=""明天 (+1 day)"", A996+1, DATE(LEFT(D996,4), MID(D996,5,2), RIGHT(D996,2))))))))"),45838.0)</f>
        <v>45838</v>
      </c>
      <c r="C996" s="60">
        <f>IFERROR(__xludf.DUMMYFUNCTION("INDIRECT(""'收支紀錄'!C""&amp;TO_TEXT(ROW()-$C$72))"),1303.0)</f>
        <v>1303</v>
      </c>
      <c r="D996" s="63">
        <f>IFERROR(__xludf.DUMMYFUNCTION("INDIRECT(""'收支紀錄'!D""&amp;TO_TEXT(ROW()-$C$72))"),2.025063E7)</f>
        <v>20250630</v>
      </c>
      <c r="E996" s="61" t="str">
        <f>IFERROR(__xludf.DUMMYFUNCTION("INDIRECT(""'收支紀錄'!E""&amp;TO_TEXT(ROW()-$C$72))"),"")</f>
        <v/>
      </c>
      <c r="F996" s="61" t="str">
        <f>IFERROR(__xludf.DUMMYFUNCTION("INDIRECT(""'收支紀錄'!F""&amp;TO_TEXT(ROW()-$C$72))"),"")</f>
        <v/>
      </c>
      <c r="G996" s="61" t="str">
        <f>IFERROR(__xludf.DUMMYFUNCTION("INDIRECT(""'收支紀錄'!G""&amp;TO_TEXT(ROW()-$C$72))"),"")</f>
        <v/>
      </c>
      <c r="H996" s="61" t="str">
        <f>IFERROR(__xludf.DUMMYFUNCTION("INDIRECT(""'收支紀錄'!H""&amp;TO_TEXT(ROW()-$C$72))"),"房屋支出")</f>
        <v>房屋支出</v>
      </c>
      <c r="I996" s="61" t="str">
        <f>IFERROR(__xludf.DUMMYFUNCTION("INDIRECT(""'收支紀錄'!I""&amp;TO_TEXT(ROW()-$C$72))"),"")</f>
        <v/>
      </c>
      <c r="J996" s="61" t="str">
        <f>IFERROR(__xludf.DUMMYFUNCTION("INDIRECT(""'收支紀錄'!J""&amp;TO_TEXT(ROW()-$C$72))"),"")</f>
        <v/>
      </c>
      <c r="K996" s="61" t="str">
        <f>IFERROR(__xludf.DUMMYFUNCTION("INDIRECT(""'收支紀錄'!K""&amp;TO_TEXT(ROW()-$C$72))"),"電費")</f>
        <v>電費</v>
      </c>
      <c r="L996" s="61" t="str">
        <f>IFERROR(__xludf.DUMMYFUNCTION("INDIRECT(""'收支紀錄'!L""&amp;TO_TEXT(ROW()-$C$72))"),"")</f>
        <v/>
      </c>
      <c r="M996" s="61" t="str">
        <f>IFERROR(__xludf.DUMMYFUNCTION("INDIRECT(""'收支紀錄'!M""&amp;TO_TEXT(ROW()-$C$72))"),"")</f>
        <v/>
      </c>
      <c r="N996" s="61" t="str">
        <f>IFERROR(__xludf.DUMMYFUNCTION("INDIRECT(""'收支紀錄'!N""&amp;TO_TEXT(ROW()-$C$72))"),"")</f>
        <v/>
      </c>
      <c r="O996" s="61" t="str">
        <f>IFERROR(__xludf.DUMMYFUNCTION("INDIRECT(""'收支紀錄'!O""&amp;TO_TEXT(ROW()-$C$72))"),"")</f>
        <v/>
      </c>
      <c r="P996" s="61" t="str">
        <f>IFERROR(__xludf.DUMMYFUNCTION("INDIRECT(""'收支紀錄'!P""&amp;TO_TEXT(ROW()-$C$72))"),"")</f>
        <v/>
      </c>
      <c r="Q996" s="61" t="str">
        <f>IFERROR(__xludf.DUMMYFUNCTION("INDIRECT(""'收支紀錄'!Q""&amp;TO_TEXT(ROW()-$C$72))"),"")</f>
        <v/>
      </c>
      <c r="R996" s="61" t="str">
        <f>IFERROR(__xludf.DUMMYFUNCTION("INDIRECT(""'收支紀錄'!R""&amp;TO_TEXT(ROW()-$C$72))"),"")</f>
        <v/>
      </c>
      <c r="S996" s="61" t="str">
        <f>IFERROR(__xludf.DUMMYFUNCTION("INDIRECT(""'收支紀錄'!S""&amp;TO_TEXT(ROW()-$C$72))"),"")</f>
        <v/>
      </c>
      <c r="T996" s="61" t="str">
        <f>IFERROR(__xludf.DUMMYFUNCTION("INDIRECT(""'收支紀錄'!T""&amp;TO_TEXT(ROW()-$C$72))"),"")</f>
        <v/>
      </c>
      <c r="U996" s="62" t="str">
        <f>IFERROR(__xludf.DUMMYFUNCTION("IF(T996=""是"",TEXTJOIN("""", TRUE, ""$"", TO_TEXT(C996), S996),"""")"),"")</f>
        <v/>
      </c>
    </row>
    <row r="997">
      <c r="A997" s="58">
        <f>IFERROR(__xludf.DUMMYFUNCTION("INDIRECT(""'收支紀錄'!A""&amp;TO_TEXT(ROW()-$C$72))"),45847.995866412035)</f>
        <v>45847.99587</v>
      </c>
      <c r="B997" s="59">
        <f>IFERROR(__xludf.DUMMYFUNCTION("IF(ISBLANK(D997), """", IF(ISDATE(D997), D997, IF(D997=""今天"", A997, IF(D997=""昨天 (-1 day)"", A997-1, IF(D997=""前天 (-2 days)"", A997-2, IF(D997=""明天 (+1 day)"", A997+1, DATE(LEFT(D997,4), MID(D997,5,2), RIGHT(D997,2))))))))"),45843.0)</f>
        <v>45843</v>
      </c>
      <c r="C997" s="60">
        <f>IFERROR(__xludf.DUMMYFUNCTION("INDIRECT(""'收支紀錄'!C""&amp;TO_TEXT(ROW()-$C$72))"),1149.0)</f>
        <v>1149</v>
      </c>
      <c r="D997" s="63">
        <f>IFERROR(__xludf.DUMMYFUNCTION("INDIRECT(""'收支紀錄'!D""&amp;TO_TEXT(ROW()-$C$72))"),2.0250705E7)</f>
        <v>20250705</v>
      </c>
      <c r="E997" s="61" t="str">
        <f>IFERROR(__xludf.DUMMYFUNCTION("INDIRECT(""'收支紀錄'!E""&amp;TO_TEXT(ROW()-$C$72))"),"")</f>
        <v/>
      </c>
      <c r="F997" s="61" t="str">
        <f>IFERROR(__xludf.DUMMYFUNCTION("INDIRECT(""'收支紀錄'!F""&amp;TO_TEXT(ROW()-$C$72))"),"")</f>
        <v/>
      </c>
      <c r="G997" s="61" t="str">
        <f>IFERROR(__xludf.DUMMYFUNCTION("INDIRECT(""'收支紀錄'!G""&amp;TO_TEXT(ROW()-$C$72))"),"")</f>
        <v/>
      </c>
      <c r="H997" s="61" t="str">
        <f>IFERROR(__xludf.DUMMYFUNCTION("INDIRECT(""'收支紀錄'!H""&amp;TO_TEXT(ROW()-$C$72))"),"食品酒水")</f>
        <v>食品酒水</v>
      </c>
      <c r="I997" s="61" t="str">
        <f>IFERROR(__xludf.DUMMYFUNCTION("INDIRECT(""'收支紀錄'!I""&amp;TO_TEXT(ROW()-$C$72))"),"前月公司餐費扣款")</f>
        <v>前月公司餐費扣款</v>
      </c>
      <c r="J997" s="61" t="str">
        <f>IFERROR(__xludf.DUMMYFUNCTION("INDIRECT(""'收支紀錄'!J""&amp;TO_TEXT(ROW()-$C$72))"),"")</f>
        <v/>
      </c>
      <c r="K997" s="61" t="str">
        <f>IFERROR(__xludf.DUMMYFUNCTION("INDIRECT(""'收支紀錄'!K""&amp;TO_TEXT(ROW()-$C$72))"),"")</f>
        <v/>
      </c>
      <c r="L997" s="61" t="str">
        <f>IFERROR(__xludf.DUMMYFUNCTION("INDIRECT(""'收支紀錄'!L""&amp;TO_TEXT(ROW()-$C$72))"),"")</f>
        <v/>
      </c>
      <c r="M997" s="61" t="str">
        <f>IFERROR(__xludf.DUMMYFUNCTION("INDIRECT(""'收支紀錄'!M""&amp;TO_TEXT(ROW()-$C$72))"),"")</f>
        <v/>
      </c>
      <c r="N997" s="61" t="str">
        <f>IFERROR(__xludf.DUMMYFUNCTION("INDIRECT(""'收支紀錄'!N""&amp;TO_TEXT(ROW()-$C$72))"),"")</f>
        <v/>
      </c>
      <c r="O997" s="61" t="str">
        <f>IFERROR(__xludf.DUMMYFUNCTION("INDIRECT(""'收支紀錄'!O""&amp;TO_TEXT(ROW()-$C$72))"),"")</f>
        <v/>
      </c>
      <c r="P997" s="61" t="str">
        <f>IFERROR(__xludf.DUMMYFUNCTION("INDIRECT(""'收支紀錄'!P""&amp;TO_TEXT(ROW()-$C$72))"),"")</f>
        <v/>
      </c>
      <c r="Q997" s="61" t="str">
        <f>IFERROR(__xludf.DUMMYFUNCTION("INDIRECT(""'收支紀錄'!Q""&amp;TO_TEXT(ROW()-$C$72))"),"")</f>
        <v/>
      </c>
      <c r="R997" s="61" t="str">
        <f>IFERROR(__xludf.DUMMYFUNCTION("INDIRECT(""'收支紀錄'!R""&amp;TO_TEXT(ROW()-$C$72))"),"")</f>
        <v/>
      </c>
      <c r="S997" s="61" t="str">
        <f>IFERROR(__xludf.DUMMYFUNCTION("INDIRECT(""'收支紀錄'!S""&amp;TO_TEXT(ROW()-$C$72))"),"")</f>
        <v/>
      </c>
      <c r="T997" s="61" t="str">
        <f>IFERROR(__xludf.DUMMYFUNCTION("INDIRECT(""'收支紀錄'!T""&amp;TO_TEXT(ROW()-$C$72))"),"")</f>
        <v/>
      </c>
      <c r="U997" s="62" t="str">
        <f>IFERROR(__xludf.DUMMYFUNCTION("IF(T997=""是"",TEXTJOIN("""", TRUE, ""$"", TO_TEXT(C997), S997),"""")"),"")</f>
        <v/>
      </c>
    </row>
    <row r="998">
      <c r="A998" s="58">
        <f>IFERROR(__xludf.DUMMYFUNCTION("INDIRECT(""'收支紀錄'!A""&amp;TO_TEXT(ROW()-$C$72))"),45847.99632164351)</f>
        <v>45847.99632</v>
      </c>
      <c r="B998" s="59">
        <f>IFERROR(__xludf.DUMMYFUNCTION("IF(ISBLANK(D998), """", IF(ISDATE(D998), D998, IF(D998=""今天"", A998, IF(D998=""昨天 (-1 day)"", A998-1, IF(D998=""前天 (-2 days)"", A998-2, IF(D998=""明天 (+1 day)"", A998+1, DATE(LEFT(D998,4), MID(D998,5,2), RIGHT(D998,2))))))))"),45843.0)</f>
        <v>45843</v>
      </c>
      <c r="C998" s="60">
        <f>IFERROR(__xludf.DUMMYFUNCTION("INDIRECT(""'收支紀錄'!C""&amp;TO_TEXT(ROW()-$C$72))"),4292.0)</f>
        <v>4292</v>
      </c>
      <c r="D998" s="63">
        <f>IFERROR(__xludf.DUMMYFUNCTION("INDIRECT(""'收支紀錄'!D""&amp;TO_TEXT(ROW()-$C$72))"),2.0250705E7)</f>
        <v>20250705</v>
      </c>
      <c r="E998" s="61" t="str">
        <f>IFERROR(__xludf.DUMMYFUNCTION("INDIRECT(""'收支紀錄'!E""&amp;TO_TEXT(ROW()-$C$72))"),"")</f>
        <v/>
      </c>
      <c r="F998" s="61" t="str">
        <f>IFERROR(__xludf.DUMMYFUNCTION("INDIRECT(""'收支紀錄'!F""&amp;TO_TEXT(ROW()-$C$72))"),"")</f>
        <v/>
      </c>
      <c r="G998" s="61" t="str">
        <f>IFERROR(__xludf.DUMMYFUNCTION("INDIRECT(""'收支紀錄'!G""&amp;TO_TEXT(ROW()-$C$72))"),"")</f>
        <v/>
      </c>
      <c r="H998" s="61" t="str">
        <f>IFERROR(__xludf.DUMMYFUNCTION("INDIRECT(""'收支紀錄'!H""&amp;TO_TEXT(ROW()-$C$72))"),"投資及其他")</f>
        <v>投資及其他</v>
      </c>
      <c r="I998" s="61" t="str">
        <f>IFERROR(__xludf.DUMMYFUNCTION("INDIRECT(""'收支紀錄'!I""&amp;TO_TEXT(ROW()-$C$72))"),"")</f>
        <v/>
      </c>
      <c r="J998" s="61" t="str">
        <f>IFERROR(__xludf.DUMMYFUNCTION("INDIRECT(""'收支紀錄'!J""&amp;TO_TEXT(ROW()-$C$72))"),"")</f>
        <v/>
      </c>
      <c r="K998" s="61" t="str">
        <f>IFERROR(__xludf.DUMMYFUNCTION("INDIRECT(""'收支紀錄'!K""&amp;TO_TEXT(ROW()-$C$72))"),"")</f>
        <v/>
      </c>
      <c r="L998" s="61" t="str">
        <f>IFERROR(__xludf.DUMMYFUNCTION("INDIRECT(""'收支紀錄'!L""&amp;TO_TEXT(ROW()-$C$72))"),"")</f>
        <v/>
      </c>
      <c r="M998" s="61" t="str">
        <f>IFERROR(__xludf.DUMMYFUNCTION("INDIRECT(""'收支紀錄'!M""&amp;TO_TEXT(ROW()-$C$72))"),"")</f>
        <v/>
      </c>
      <c r="N998" s="61" t="str">
        <f>IFERROR(__xludf.DUMMYFUNCTION("INDIRECT(""'收支紀錄'!N""&amp;TO_TEXT(ROW()-$C$72))"),"")</f>
        <v/>
      </c>
      <c r="O998" s="61" t="str">
        <f>IFERROR(__xludf.DUMMYFUNCTION("INDIRECT(""'收支紀錄'!O""&amp;TO_TEXT(ROW()-$C$72))"),"")</f>
        <v/>
      </c>
      <c r="P998" s="61" t="str">
        <f>IFERROR(__xludf.DUMMYFUNCTION("INDIRECT(""'收支紀錄'!P""&amp;TO_TEXT(ROW()-$C$72))"),"")</f>
        <v/>
      </c>
      <c r="Q998" s="61" t="str">
        <f>IFERROR(__xludf.DUMMYFUNCTION("INDIRECT(""'收支紀錄'!Q""&amp;TO_TEXT(ROW()-$C$72))"),"")</f>
        <v/>
      </c>
      <c r="R998" s="61" t="str">
        <f>IFERROR(__xludf.DUMMYFUNCTION("INDIRECT(""'收支紀錄'!R""&amp;TO_TEXT(ROW()-$C$72))"),"公司認股")</f>
        <v>公司認股</v>
      </c>
      <c r="S998" s="61" t="str">
        <f>IFERROR(__xludf.DUMMYFUNCTION("INDIRECT(""'收支紀錄'!S""&amp;TO_TEXT(ROW()-$C$72))"),"")</f>
        <v/>
      </c>
      <c r="T998" s="61" t="str">
        <f>IFERROR(__xludf.DUMMYFUNCTION("INDIRECT(""'收支紀錄'!T""&amp;TO_TEXT(ROW()-$C$72))"),"")</f>
        <v/>
      </c>
      <c r="U998" s="62" t="str">
        <f>IFERROR(__xludf.DUMMYFUNCTION("IF(T998=""是"",TEXTJOIN("""", TRUE, ""$"", TO_TEXT(C998), S998),"""")"),"")</f>
        <v/>
      </c>
    </row>
    <row r="999">
      <c r="A999" s="58">
        <f>IFERROR(__xludf.DUMMYFUNCTION("INDIRECT(""'收支紀錄'!A""&amp;TO_TEXT(ROW()-$C$72))"),45847.99682583333)</f>
        <v>45847.99683</v>
      </c>
      <c r="B999" s="59">
        <f>IFERROR(__xludf.DUMMYFUNCTION("IF(ISBLANK(D999), """", IF(ISDATE(D999), D999, IF(D999=""今天"", A999, IF(D999=""昨天 (-1 day)"", A999-1, IF(D999=""前天 (-2 days)"", A999-2, IF(D999=""明天 (+1 day)"", A999+1, DATE(LEFT(D999,4), MID(D999,5,2), RIGHT(D999,2))))))))"),45843.0)</f>
        <v>45843</v>
      </c>
      <c r="C999" s="60">
        <f>IFERROR(__xludf.DUMMYFUNCTION("INDIRECT(""'收支紀錄'!C""&amp;TO_TEXT(ROW()-$C$72))"),2828.0)</f>
        <v>2828</v>
      </c>
      <c r="D999" s="63">
        <f>IFERROR(__xludf.DUMMYFUNCTION("INDIRECT(""'收支紀錄'!D""&amp;TO_TEXT(ROW()-$C$72))"),2.0250705E7)</f>
        <v>20250705</v>
      </c>
      <c r="E999" s="61" t="str">
        <f>IFERROR(__xludf.DUMMYFUNCTION("INDIRECT(""'收支紀錄'!E""&amp;TO_TEXT(ROW()-$C$72))"),"")</f>
        <v/>
      </c>
      <c r="F999" s="61" t="str">
        <f>IFERROR(__xludf.DUMMYFUNCTION("INDIRECT(""'收支紀錄'!F""&amp;TO_TEXT(ROW()-$C$72))"),"")</f>
        <v/>
      </c>
      <c r="G999" s="61" t="str">
        <f>IFERROR(__xludf.DUMMYFUNCTION("INDIRECT(""'收支紀錄'!G""&amp;TO_TEXT(ROW()-$C$72))"),"")</f>
        <v/>
      </c>
      <c r="H999" s="61" t="str">
        <f>IFERROR(__xludf.DUMMYFUNCTION("INDIRECT(""'收支紀錄'!H""&amp;TO_TEXT(ROW()-$C$72))"),"稅金保險")</f>
        <v>稅金保險</v>
      </c>
      <c r="I999" s="61" t="str">
        <f>IFERROR(__xludf.DUMMYFUNCTION("INDIRECT(""'收支紀錄'!I""&amp;TO_TEXT(ROW()-$C$72))"),"")</f>
        <v/>
      </c>
      <c r="J999" s="61" t="str">
        <f>IFERROR(__xludf.DUMMYFUNCTION("INDIRECT(""'收支紀錄'!J""&amp;TO_TEXT(ROW()-$C$72))"),"")</f>
        <v/>
      </c>
      <c r="K999" s="61" t="str">
        <f>IFERROR(__xludf.DUMMYFUNCTION("INDIRECT(""'收支紀錄'!K""&amp;TO_TEXT(ROW()-$C$72))"),"")</f>
        <v/>
      </c>
      <c r="L999" s="61" t="str">
        <f>IFERROR(__xludf.DUMMYFUNCTION("INDIRECT(""'收支紀錄'!L""&amp;TO_TEXT(ROW()-$C$72))"),"")</f>
        <v/>
      </c>
      <c r="M999" s="61" t="str">
        <f>IFERROR(__xludf.DUMMYFUNCTION("INDIRECT(""'收支紀錄'!M""&amp;TO_TEXT(ROW()-$C$72))"),"")</f>
        <v/>
      </c>
      <c r="N999" s="61" t="str">
        <f>IFERROR(__xludf.DUMMYFUNCTION("INDIRECT(""'收支紀錄'!N""&amp;TO_TEXT(ROW()-$C$72))"),"勞健保")</f>
        <v>勞健保</v>
      </c>
      <c r="O999" s="61" t="str">
        <f>IFERROR(__xludf.DUMMYFUNCTION("INDIRECT(""'收支紀錄'!O""&amp;TO_TEXT(ROW()-$C$72))"),"")</f>
        <v/>
      </c>
      <c r="P999" s="61" t="str">
        <f>IFERROR(__xludf.DUMMYFUNCTION("INDIRECT(""'收支紀錄'!P""&amp;TO_TEXT(ROW()-$C$72))"),"")</f>
        <v/>
      </c>
      <c r="Q999" s="61" t="str">
        <f>IFERROR(__xludf.DUMMYFUNCTION("INDIRECT(""'收支紀錄'!Q""&amp;TO_TEXT(ROW()-$C$72))"),"")</f>
        <v/>
      </c>
      <c r="R999" s="61" t="str">
        <f>IFERROR(__xludf.DUMMYFUNCTION("INDIRECT(""'收支紀錄'!R""&amp;TO_TEXT(ROW()-$C$72))"),"")</f>
        <v/>
      </c>
      <c r="S999" s="61" t="str">
        <f>IFERROR(__xludf.DUMMYFUNCTION("INDIRECT(""'收支紀錄'!S""&amp;TO_TEXT(ROW()-$C$72))"),"")</f>
        <v/>
      </c>
      <c r="T999" s="61" t="str">
        <f>IFERROR(__xludf.DUMMYFUNCTION("INDIRECT(""'收支紀錄'!T""&amp;TO_TEXT(ROW()-$C$72))"),"")</f>
        <v/>
      </c>
      <c r="U999" s="62" t="str">
        <f>IFERROR(__xludf.DUMMYFUNCTION("IF(T999=""是"",TEXTJOIN("""", TRUE, ""$"", TO_TEXT(C999), S999),"""")"),"")</f>
        <v/>
      </c>
    </row>
    <row r="1000">
      <c r="A1000" s="58">
        <f>IFERROR(__xludf.DUMMYFUNCTION("INDIRECT(""'收支紀錄'!A""&amp;TO_TEXT(ROW()-$C$72))"),45847.99712167824)</f>
        <v>45847.99712</v>
      </c>
      <c r="B1000" s="59">
        <f>IFERROR(__xludf.DUMMYFUNCTION("IF(ISBLANK(D1000), """", IF(ISDATE(D1000), D1000, IF(D1000=""今天"", A1000, IF(D1000=""昨天 (-1 day)"", A1000-1, IF(D1000=""前天 (-2 days)"", A1000-2, IF(D1000=""明天 (+1 day)"", A1000+1, DATE(LEFT(D1000,4), MID(D1000,5,2), RIGHT(D1000,2))))))))"),45843.0)</f>
        <v>45843</v>
      </c>
      <c r="C1000" s="60">
        <f>IFERROR(__xludf.DUMMYFUNCTION("INDIRECT(""'收支紀錄'!C""&amp;TO_TEXT(ROW()-$C$72))"),537.0)</f>
        <v>537</v>
      </c>
      <c r="D1000" s="63">
        <f>IFERROR(__xludf.DUMMYFUNCTION("INDIRECT(""'收支紀錄'!D""&amp;TO_TEXT(ROW()-$C$72))"),2.0250705E7)</f>
        <v>20250705</v>
      </c>
      <c r="E1000" s="61" t="str">
        <f>IFERROR(__xludf.DUMMYFUNCTION("INDIRECT(""'收支紀錄'!E""&amp;TO_TEXT(ROW()-$C$72))"),"")</f>
        <v/>
      </c>
      <c r="F1000" s="61" t="str">
        <f>IFERROR(__xludf.DUMMYFUNCTION("INDIRECT(""'收支紀錄'!F""&amp;TO_TEXT(ROW()-$C$72))"),"")</f>
        <v/>
      </c>
      <c r="G1000" s="61" t="str">
        <f>IFERROR(__xludf.DUMMYFUNCTION("INDIRECT(""'收支紀錄'!G""&amp;TO_TEXT(ROW()-$C$72))"),"")</f>
        <v/>
      </c>
      <c r="H1000" s="61" t="str">
        <f>IFERROR(__xludf.DUMMYFUNCTION("INDIRECT(""'收支紀錄'!H""&amp;TO_TEXT(ROW()-$C$72))"),"休閒娛樂")</f>
        <v>休閒娛樂</v>
      </c>
      <c r="I1000" s="61" t="str">
        <f>IFERROR(__xludf.DUMMYFUNCTION("INDIRECT(""'收支紀錄'!I""&amp;TO_TEXT(ROW()-$C$72))"),"")</f>
        <v/>
      </c>
      <c r="J1000" s="61" t="str">
        <f>IFERROR(__xludf.DUMMYFUNCTION("INDIRECT(""'收支紀錄'!J""&amp;TO_TEXT(ROW()-$C$72))"),"")</f>
        <v/>
      </c>
      <c r="K1000" s="61" t="str">
        <f>IFERROR(__xludf.DUMMYFUNCTION("INDIRECT(""'收支紀錄'!K""&amp;TO_TEXT(ROW()-$C$72))"),"")</f>
        <v/>
      </c>
      <c r="L1000" s="61" t="str">
        <f>IFERROR(__xludf.DUMMYFUNCTION("INDIRECT(""'收支紀錄'!L""&amp;TO_TEXT(ROW()-$C$72))"),"")</f>
        <v/>
      </c>
      <c r="M1000" s="61" t="str">
        <f>IFERROR(__xludf.DUMMYFUNCTION("INDIRECT(""'收支紀錄'!M""&amp;TO_TEXT(ROW()-$C$72))"),"公司福利金")</f>
        <v>公司福利金</v>
      </c>
      <c r="N1000" s="61" t="str">
        <f>IFERROR(__xludf.DUMMYFUNCTION("INDIRECT(""'收支紀錄'!N""&amp;TO_TEXT(ROW()-$C$72))"),"")</f>
        <v/>
      </c>
      <c r="O1000" s="61" t="str">
        <f>IFERROR(__xludf.DUMMYFUNCTION("INDIRECT(""'收支紀錄'!O""&amp;TO_TEXT(ROW()-$C$72))"),"")</f>
        <v/>
      </c>
      <c r="P1000" s="61" t="str">
        <f>IFERROR(__xludf.DUMMYFUNCTION("INDIRECT(""'收支紀錄'!P""&amp;TO_TEXT(ROW()-$C$72))"),"")</f>
        <v/>
      </c>
      <c r="Q1000" s="61" t="str">
        <f>IFERROR(__xludf.DUMMYFUNCTION("INDIRECT(""'收支紀錄'!Q""&amp;TO_TEXT(ROW()-$C$72))"),"")</f>
        <v/>
      </c>
      <c r="R1000" s="61" t="str">
        <f>IFERROR(__xludf.DUMMYFUNCTION("INDIRECT(""'收支紀錄'!R""&amp;TO_TEXT(ROW()-$C$72))"),"")</f>
        <v/>
      </c>
      <c r="S1000" s="61" t="str">
        <f>IFERROR(__xludf.DUMMYFUNCTION("INDIRECT(""'收支紀錄'!S""&amp;TO_TEXT(ROW()-$C$72))"),"")</f>
        <v/>
      </c>
      <c r="T1000" s="61" t="str">
        <f>IFERROR(__xludf.DUMMYFUNCTION("INDIRECT(""'收支紀錄'!T""&amp;TO_TEXT(ROW()-$C$72))"),"")</f>
        <v/>
      </c>
      <c r="U1000" s="62" t="str">
        <f>IFERROR(__xludf.DUMMYFUNCTION("IF(T1000=""是"",TEXTJOIN("""", TRUE, ""$"", TO_TEXT(C1000), S1000),"""")"),"")</f>
        <v/>
      </c>
    </row>
    <row r="1001">
      <c r="A1001" s="58">
        <f>IFERROR(__xludf.DUMMYFUNCTION("INDIRECT(""'收支紀錄'!A""&amp;TO_TEXT(ROW()-$C$72))"),45847.99741327546)</f>
        <v>45847.99741</v>
      </c>
      <c r="B1001" s="59">
        <f>IFERROR(__xludf.DUMMYFUNCTION("IF(ISBLANK(D1001), """", IF(ISDATE(D1001), D1001, IF(D1001=""今天"", A1001, IF(D1001=""昨天 (-1 day)"", A1001-1, IF(D1001=""前天 (-2 days)"", A1001-2, IF(D1001=""明天 (+1 day)"", A1001+1, DATE(LEFT(D1001,4), MID(D1001,5,2), RIGHT(D1001,2))))))))"),45843.0)</f>
        <v>45843</v>
      </c>
      <c r="C1001" s="60">
        <f>IFERROR(__xludf.DUMMYFUNCTION("INDIRECT(""'收支紀錄'!C""&amp;TO_TEXT(ROW()-$C$72))"),3860.0)</f>
        <v>3860</v>
      </c>
      <c r="D1001" s="63">
        <f>IFERROR(__xludf.DUMMYFUNCTION("INDIRECT(""'收支紀錄'!D""&amp;TO_TEXT(ROW()-$C$72))"),2.0250705E7)</f>
        <v>20250705</v>
      </c>
      <c r="E1001" s="61" t="str">
        <f>IFERROR(__xludf.DUMMYFUNCTION("INDIRECT(""'收支紀錄'!E""&amp;TO_TEXT(ROW()-$C$72))"),"")</f>
        <v/>
      </c>
      <c r="F1001" s="61" t="str">
        <f>IFERROR(__xludf.DUMMYFUNCTION("INDIRECT(""'收支紀錄'!F""&amp;TO_TEXT(ROW()-$C$72))"),"")</f>
        <v/>
      </c>
      <c r="G1001" s="61" t="str">
        <f>IFERROR(__xludf.DUMMYFUNCTION("INDIRECT(""'收支紀錄'!G""&amp;TO_TEXT(ROW()-$C$72))"),"")</f>
        <v/>
      </c>
      <c r="H1001" s="61" t="str">
        <f>IFERROR(__xludf.DUMMYFUNCTION("INDIRECT(""'收支紀錄'!H""&amp;TO_TEXT(ROW()-$C$72))"),"稅金保險")</f>
        <v>稅金保險</v>
      </c>
      <c r="I1001" s="61" t="str">
        <f>IFERROR(__xludf.DUMMYFUNCTION("INDIRECT(""'收支紀錄'!I""&amp;TO_TEXT(ROW()-$C$72))"),"")</f>
        <v/>
      </c>
      <c r="J1001" s="61" t="str">
        <f>IFERROR(__xludf.DUMMYFUNCTION("INDIRECT(""'收支紀錄'!J""&amp;TO_TEXT(ROW()-$C$72))"),"")</f>
        <v/>
      </c>
      <c r="K1001" s="61" t="str">
        <f>IFERROR(__xludf.DUMMYFUNCTION("INDIRECT(""'收支紀錄'!K""&amp;TO_TEXT(ROW()-$C$72))"),"")</f>
        <v/>
      </c>
      <c r="L1001" s="61" t="str">
        <f>IFERROR(__xludf.DUMMYFUNCTION("INDIRECT(""'收支紀錄'!L""&amp;TO_TEXT(ROW()-$C$72))"),"")</f>
        <v/>
      </c>
      <c r="M1001" s="61" t="str">
        <f>IFERROR(__xludf.DUMMYFUNCTION("INDIRECT(""'收支紀錄'!M""&amp;TO_TEXT(ROW()-$C$72))"),"")</f>
        <v/>
      </c>
      <c r="N1001" s="61" t="str">
        <f>IFERROR(__xludf.DUMMYFUNCTION("INDIRECT(""'收支紀錄'!N""&amp;TO_TEXT(ROW()-$C$72))"),"稅金")</f>
        <v>稅金</v>
      </c>
      <c r="O1001" s="61" t="str">
        <f>IFERROR(__xludf.DUMMYFUNCTION("INDIRECT(""'收支紀錄'!O""&amp;TO_TEXT(ROW()-$C$72))"),"")</f>
        <v/>
      </c>
      <c r="P1001" s="61" t="str">
        <f>IFERROR(__xludf.DUMMYFUNCTION("INDIRECT(""'收支紀錄'!P""&amp;TO_TEXT(ROW()-$C$72))"),"")</f>
        <v/>
      </c>
      <c r="Q1001" s="61" t="str">
        <f>IFERROR(__xludf.DUMMYFUNCTION("INDIRECT(""'收支紀錄'!Q""&amp;TO_TEXT(ROW()-$C$72))"),"")</f>
        <v/>
      </c>
      <c r="R1001" s="61" t="str">
        <f>IFERROR(__xludf.DUMMYFUNCTION("INDIRECT(""'收支紀錄'!R""&amp;TO_TEXT(ROW()-$C$72))"),"")</f>
        <v/>
      </c>
      <c r="S1001" s="61" t="str">
        <f>IFERROR(__xludf.DUMMYFUNCTION("INDIRECT(""'收支紀錄'!S""&amp;TO_TEXT(ROW()-$C$72))"),"")</f>
        <v/>
      </c>
      <c r="T1001" s="61" t="str">
        <f>IFERROR(__xludf.DUMMYFUNCTION("INDIRECT(""'收支紀錄'!T""&amp;TO_TEXT(ROW()-$C$72))"),"")</f>
        <v/>
      </c>
      <c r="U1001" s="62" t="str">
        <f>IFERROR(__xludf.DUMMYFUNCTION("IF(T1001=""是"",TEXTJOIN("""", TRUE, ""$"", TO_TEXT(C1001), S1001),"""")"),"")</f>
        <v/>
      </c>
    </row>
    <row r="1002">
      <c r="A1002" s="58">
        <f>IFERROR(__xludf.DUMMYFUNCTION("INDIRECT(""'收支紀錄'!A""&amp;TO_TEXT(ROW()-$C$72))"),45848.52801555555)</f>
        <v>45848.52802</v>
      </c>
      <c r="B1002" s="59">
        <f>IFERROR(__xludf.DUMMYFUNCTION("IF(ISBLANK(D1002), """", IF(ISDATE(D1002), D1002, IF(D1002=""今天"", A1002, IF(D1002=""昨天 (-1 day)"", A1002-1, IF(D1002=""前天 (-2 days)"", A1002-2, IF(D1002=""明天 (+1 day)"", A1002+1, DATE(LEFT(D1002,4), MID(D1002,5,2), RIGHT(D1002,2))))))))"),45849.52801555555)</f>
        <v>45849.52802</v>
      </c>
      <c r="C1002" s="60">
        <f>IFERROR(__xludf.DUMMYFUNCTION("INDIRECT(""'收支紀錄'!C""&amp;TO_TEXT(ROW()-$C$72))"),219.0)</f>
        <v>219</v>
      </c>
      <c r="D1002" s="63" t="str">
        <f>IFERROR(__xludf.DUMMYFUNCTION("INDIRECT(""'收支紀錄'!D""&amp;TO_TEXT(ROW()-$C$72))"),"明天 (+1 day)")</f>
        <v>明天 (+1 day)</v>
      </c>
      <c r="E1002" s="61" t="str">
        <f>IFERROR(__xludf.DUMMYFUNCTION("INDIRECT(""'收支紀錄'!E""&amp;TO_TEXT(ROW()-$C$72))"),"")</f>
        <v/>
      </c>
      <c r="F1002" s="61" t="str">
        <f>IFERROR(__xludf.DUMMYFUNCTION("INDIRECT(""'收支紀錄'!F""&amp;TO_TEXT(ROW()-$C$72))"),"")</f>
        <v/>
      </c>
      <c r="G1002" s="61" t="str">
        <f>IFERROR(__xludf.DUMMYFUNCTION("INDIRECT(""'收支紀錄'!G""&amp;TO_TEXT(ROW()-$C$72))"),"")</f>
        <v/>
      </c>
      <c r="H1002" s="61" t="str">
        <f>IFERROR(__xludf.DUMMYFUNCTION("INDIRECT(""'收支紀錄'!H""&amp;TO_TEXT(ROW()-$C$72))"),"行車交通")</f>
        <v>行車交通</v>
      </c>
      <c r="I1002" s="61" t="str">
        <f>IFERROR(__xludf.DUMMYFUNCTION("INDIRECT(""'收支紀錄'!I""&amp;TO_TEXT(ROW()-$C$72))"),"")</f>
        <v/>
      </c>
      <c r="J1002" s="61" t="str">
        <f>IFERROR(__xludf.DUMMYFUNCTION("INDIRECT(""'收支紀錄'!J""&amp;TO_TEXT(ROW()-$C$72))"),"")</f>
        <v/>
      </c>
      <c r="K1002" s="61" t="str">
        <f>IFERROR(__xludf.DUMMYFUNCTION("INDIRECT(""'收支紀錄'!K""&amp;TO_TEXT(ROW()-$C$72))"),"")</f>
        <v/>
      </c>
      <c r="L1002" s="61" t="str">
        <f>IFERROR(__xludf.DUMMYFUNCTION("INDIRECT(""'收支紀錄'!L""&amp;TO_TEXT(ROW()-$C$72))"),"火車費")</f>
        <v>火車費</v>
      </c>
      <c r="M1002" s="61" t="str">
        <f>IFERROR(__xludf.DUMMYFUNCTION("INDIRECT(""'收支紀錄'!M""&amp;TO_TEXT(ROW()-$C$72))"),"")</f>
        <v/>
      </c>
      <c r="N1002" s="61" t="str">
        <f>IFERROR(__xludf.DUMMYFUNCTION("INDIRECT(""'收支紀錄'!N""&amp;TO_TEXT(ROW()-$C$72))"),"")</f>
        <v/>
      </c>
      <c r="O1002" s="61" t="str">
        <f>IFERROR(__xludf.DUMMYFUNCTION("INDIRECT(""'收支紀錄'!O""&amp;TO_TEXT(ROW()-$C$72))"),"")</f>
        <v/>
      </c>
      <c r="P1002" s="61" t="str">
        <f>IFERROR(__xludf.DUMMYFUNCTION("INDIRECT(""'收支紀錄'!P""&amp;TO_TEXT(ROW()-$C$72))"),"")</f>
        <v/>
      </c>
      <c r="Q1002" s="61" t="str">
        <f>IFERROR(__xludf.DUMMYFUNCTION("INDIRECT(""'收支紀錄'!Q""&amp;TO_TEXT(ROW()-$C$72))"),"")</f>
        <v/>
      </c>
      <c r="R1002" s="61" t="str">
        <f>IFERROR(__xludf.DUMMYFUNCTION("INDIRECT(""'收支紀錄'!R""&amp;TO_TEXT(ROW()-$C$72))"),"")</f>
        <v/>
      </c>
      <c r="S1002" s="61" t="str">
        <f>IFERROR(__xludf.DUMMYFUNCTION("INDIRECT(""'收支紀錄'!S""&amp;TO_TEXT(ROW()-$C$72))"),"")</f>
        <v/>
      </c>
      <c r="T1002" s="61" t="str">
        <f>IFERROR(__xludf.DUMMYFUNCTION("INDIRECT(""'收支紀錄'!T""&amp;TO_TEXT(ROW()-$C$72))"),"")</f>
        <v/>
      </c>
      <c r="U1002" s="62" t="str">
        <f>IFERROR(__xludf.DUMMYFUNCTION("IF(T1002=""是"",TEXTJOIN("""", TRUE, ""$"", TO_TEXT(C1002), S1002),"""")"),"")</f>
        <v/>
      </c>
    </row>
    <row r="1003">
      <c r="A1003" s="58">
        <f>IFERROR(__xludf.DUMMYFUNCTION("INDIRECT(""'收支紀錄'!A""&amp;TO_TEXT(ROW()-$C$72))"),45849.828282291666)</f>
        <v>45849.82828</v>
      </c>
      <c r="B1003" s="59">
        <f>IFERROR(__xludf.DUMMYFUNCTION("IF(ISBLANK(D1003), """", IF(ISDATE(D1003), D1003, IF(D1003=""今天"", A1003, IF(D1003=""昨天 (-1 day)"", A1003-1, IF(D1003=""前天 (-2 days)"", A1003-2, IF(D1003=""明天 (+1 day)"", A1003+1, DATE(LEFT(D1003,4), MID(D1003,5,2), RIGHT(D1003,2))))))))"),45849.828282291666)</f>
        <v>45849.82828</v>
      </c>
      <c r="C1003" s="60">
        <f>IFERROR(__xludf.DUMMYFUNCTION("INDIRECT(""'收支紀錄'!C""&amp;TO_TEXT(ROW()-$C$72))"),150.0)</f>
        <v>150</v>
      </c>
      <c r="D1003" s="63" t="str">
        <f>IFERROR(__xludf.DUMMYFUNCTION("INDIRECT(""'收支紀錄'!D""&amp;TO_TEXT(ROW()-$C$72))"),"今天")</f>
        <v>今天</v>
      </c>
      <c r="E1003" s="61" t="str">
        <f>IFERROR(__xludf.DUMMYFUNCTION("INDIRECT(""'收支紀錄'!E""&amp;TO_TEXT(ROW()-$C$72))"),"")</f>
        <v/>
      </c>
      <c r="F1003" s="61" t="str">
        <f>IFERROR(__xludf.DUMMYFUNCTION("INDIRECT(""'收支紀錄'!F""&amp;TO_TEXT(ROW()-$C$72))"),"")</f>
        <v/>
      </c>
      <c r="G1003" s="61" t="str">
        <f>IFERROR(__xludf.DUMMYFUNCTION("INDIRECT(""'收支紀錄'!G""&amp;TO_TEXT(ROW()-$C$72))"),"")</f>
        <v/>
      </c>
      <c r="H1003" s="61" t="str">
        <f>IFERROR(__xludf.DUMMYFUNCTION("INDIRECT(""'收支紀錄'!H""&amp;TO_TEXT(ROW()-$C$72))"),"醫療費用")</f>
        <v>醫療費用</v>
      </c>
      <c r="I1003" s="61" t="str">
        <f>IFERROR(__xludf.DUMMYFUNCTION("INDIRECT(""'收支紀錄'!I""&amp;TO_TEXT(ROW()-$C$72))"),"")</f>
        <v/>
      </c>
      <c r="J1003" s="61" t="str">
        <f>IFERROR(__xludf.DUMMYFUNCTION("INDIRECT(""'收支紀錄'!J""&amp;TO_TEXT(ROW()-$C$72))"),"")</f>
        <v/>
      </c>
      <c r="K1003" s="61" t="str">
        <f>IFERROR(__xludf.DUMMYFUNCTION("INDIRECT(""'收支紀錄'!K""&amp;TO_TEXT(ROW()-$C$72))"),"")</f>
        <v/>
      </c>
      <c r="L1003" s="61" t="str">
        <f>IFERROR(__xludf.DUMMYFUNCTION("INDIRECT(""'收支紀錄'!L""&amp;TO_TEXT(ROW()-$C$72))"),"")</f>
        <v/>
      </c>
      <c r="M1003" s="61" t="str">
        <f>IFERROR(__xludf.DUMMYFUNCTION("INDIRECT(""'收支紀錄'!M""&amp;TO_TEXT(ROW()-$C$72))"),"")</f>
        <v/>
      </c>
      <c r="N1003" s="61" t="str">
        <f>IFERROR(__xludf.DUMMYFUNCTION("INDIRECT(""'收支紀錄'!N""&amp;TO_TEXT(ROW()-$C$72))"),"")</f>
        <v/>
      </c>
      <c r="O1003" s="61" t="str">
        <f>IFERROR(__xludf.DUMMYFUNCTION("INDIRECT(""'收支紀錄'!O""&amp;TO_TEXT(ROW()-$C$72))"),"生病醫療")</f>
        <v>生病醫療</v>
      </c>
      <c r="P1003" s="61" t="str">
        <f>IFERROR(__xludf.DUMMYFUNCTION("INDIRECT(""'收支紀錄'!P""&amp;TO_TEXT(ROW()-$C$72))"),"")</f>
        <v/>
      </c>
      <c r="Q1003" s="61" t="str">
        <f>IFERROR(__xludf.DUMMYFUNCTION("INDIRECT(""'收支紀錄'!Q""&amp;TO_TEXT(ROW()-$C$72))"),"")</f>
        <v/>
      </c>
      <c r="R1003" s="61" t="str">
        <f>IFERROR(__xludf.DUMMYFUNCTION("INDIRECT(""'收支紀錄'!R""&amp;TO_TEXT(ROW()-$C$72))"),"")</f>
        <v/>
      </c>
      <c r="S1003" s="61" t="str">
        <f>IFERROR(__xludf.DUMMYFUNCTION("INDIRECT(""'收支紀錄'!S""&amp;TO_TEXT(ROW()-$C$72))"),"")</f>
        <v/>
      </c>
      <c r="T1003" s="61" t="str">
        <f>IFERROR(__xludf.DUMMYFUNCTION("INDIRECT(""'收支紀錄'!T""&amp;TO_TEXT(ROW()-$C$72))"),"")</f>
        <v/>
      </c>
      <c r="U1003" s="62" t="str">
        <f>IFERROR(__xludf.DUMMYFUNCTION("IF(T1003=""是"",TEXTJOIN("""", TRUE, ""$"", TO_TEXT(C1003), S1003),"""")"),"")</f>
        <v/>
      </c>
    </row>
    <row r="1004">
      <c r="A1004" s="58">
        <f>IFERROR(__xludf.DUMMYFUNCTION("INDIRECT(""'收支紀錄'!A""&amp;TO_TEXT(ROW()-$C$72))"),45849.82852412037)</f>
        <v>45849.82852</v>
      </c>
      <c r="B1004" s="59">
        <f>IFERROR(__xludf.DUMMYFUNCTION("IF(ISBLANK(D1004), """", IF(ISDATE(D1004), D1004, IF(D1004=""今天"", A1004, IF(D1004=""昨天 (-1 day)"", A1004-1, IF(D1004=""前天 (-2 days)"", A1004-2, IF(D1004=""明天 (+1 day)"", A1004+1, DATE(LEFT(D1004,4), MID(D1004,5,2), RIGHT(D1004,2))))))))"),45849.82852412037)</f>
        <v>45849.82852</v>
      </c>
      <c r="C1004" s="60">
        <f>IFERROR(__xludf.DUMMYFUNCTION("INDIRECT(""'收支紀錄'!C""&amp;TO_TEXT(ROW()-$C$72))"),5000.0)</f>
        <v>5000</v>
      </c>
      <c r="D1004" s="63" t="str">
        <f>IFERROR(__xludf.DUMMYFUNCTION("INDIRECT(""'收支紀錄'!D""&amp;TO_TEXT(ROW()-$C$72))"),"今天")</f>
        <v>今天</v>
      </c>
      <c r="E1004" s="61" t="str">
        <f>IFERROR(__xludf.DUMMYFUNCTION("INDIRECT(""'收支紀錄'!E""&amp;TO_TEXT(ROW()-$C$72))"),"")</f>
        <v/>
      </c>
      <c r="F1004" s="61" t="str">
        <f>IFERROR(__xludf.DUMMYFUNCTION("INDIRECT(""'收支紀錄'!F""&amp;TO_TEXT(ROW()-$C$72))"),"")</f>
        <v/>
      </c>
      <c r="G1004" s="61" t="str">
        <f>IFERROR(__xludf.DUMMYFUNCTION("INDIRECT(""'收支紀錄'!G""&amp;TO_TEXT(ROW()-$C$72))"),"")</f>
        <v/>
      </c>
      <c r="H1004" s="61" t="str">
        <f>IFERROR(__xludf.DUMMYFUNCTION("INDIRECT(""'收支紀錄'!H""&amp;TO_TEXT(ROW()-$C$72))"),"醫療費用")</f>
        <v>醫療費用</v>
      </c>
      <c r="I1004" s="61" t="str">
        <f>IFERROR(__xludf.DUMMYFUNCTION("INDIRECT(""'收支紀錄'!I""&amp;TO_TEXT(ROW()-$C$72))"),"")</f>
        <v/>
      </c>
      <c r="J1004" s="61" t="str">
        <f>IFERROR(__xludf.DUMMYFUNCTION("INDIRECT(""'收支紀錄'!J""&amp;TO_TEXT(ROW()-$C$72))"),"")</f>
        <v/>
      </c>
      <c r="K1004" s="61" t="str">
        <f>IFERROR(__xludf.DUMMYFUNCTION("INDIRECT(""'收支紀錄'!K""&amp;TO_TEXT(ROW()-$C$72))"),"")</f>
        <v/>
      </c>
      <c r="L1004" s="61" t="str">
        <f>IFERROR(__xludf.DUMMYFUNCTION("INDIRECT(""'收支紀錄'!L""&amp;TO_TEXT(ROW()-$C$72))"),"")</f>
        <v/>
      </c>
      <c r="M1004" s="61" t="str">
        <f>IFERROR(__xludf.DUMMYFUNCTION("INDIRECT(""'收支紀錄'!M""&amp;TO_TEXT(ROW()-$C$72))"),"")</f>
        <v/>
      </c>
      <c r="N1004" s="61" t="str">
        <f>IFERROR(__xludf.DUMMYFUNCTION("INDIRECT(""'收支紀錄'!N""&amp;TO_TEXT(ROW()-$C$72))"),"")</f>
        <v/>
      </c>
      <c r="O1004" s="61" t="str">
        <f>IFERROR(__xludf.DUMMYFUNCTION("INDIRECT(""'收支紀錄'!O""&amp;TO_TEXT(ROW()-$C$72))"),"生病醫療")</f>
        <v>生病醫療</v>
      </c>
      <c r="P1004" s="61" t="str">
        <f>IFERROR(__xludf.DUMMYFUNCTION("INDIRECT(""'收支紀錄'!P""&amp;TO_TEXT(ROW()-$C$72))"),"")</f>
        <v/>
      </c>
      <c r="Q1004" s="61" t="str">
        <f>IFERROR(__xludf.DUMMYFUNCTION("INDIRECT(""'收支紀錄'!Q""&amp;TO_TEXT(ROW()-$C$72))"),"")</f>
        <v/>
      </c>
      <c r="R1004" s="61" t="str">
        <f>IFERROR(__xludf.DUMMYFUNCTION("INDIRECT(""'收支紀錄'!R""&amp;TO_TEXT(ROW()-$C$72))"),"")</f>
        <v/>
      </c>
      <c r="S1004" s="61" t="str">
        <f>IFERROR(__xludf.DUMMYFUNCTION("INDIRECT(""'收支紀錄'!S""&amp;TO_TEXT(ROW()-$C$72))"),"根管治療")</f>
        <v>根管治療</v>
      </c>
      <c r="T1004" s="61" t="str">
        <f>IFERROR(__xludf.DUMMYFUNCTION("INDIRECT(""'收支紀錄'!T""&amp;TO_TEXT(ROW()-$C$72))"),"是")</f>
        <v>是</v>
      </c>
      <c r="U1004" s="62" t="str">
        <f>IFERROR(__xludf.DUMMYFUNCTION("IF(T1004=""是"",TEXTJOIN("""", TRUE, ""$"", TO_TEXT(C1004), S1004),"""")"),"$5000根管治療")</f>
        <v>$5000根管治療</v>
      </c>
    </row>
    <row r="1005">
      <c r="A1005" s="58">
        <f>IFERROR(__xludf.DUMMYFUNCTION("INDIRECT(""'收支紀錄'!A""&amp;TO_TEXT(ROW()-$C$72))"),45851.533684548616)</f>
        <v>45851.53368</v>
      </c>
      <c r="B1005" s="59">
        <f>IFERROR(__xludf.DUMMYFUNCTION("IF(ISBLANK(D1005), """", IF(ISDATE(D1005), D1005, IF(D1005=""今天"", A1005, IF(D1005=""昨天 (-1 day)"", A1005-1, IF(D1005=""前天 (-2 days)"", A1005-2, IF(D1005=""明天 (+1 day)"", A1005+1, DATE(LEFT(D1005,4), MID(D1005,5,2), RIGHT(D1005,2))))))))"),45851.533684548616)</f>
        <v>45851.53368</v>
      </c>
      <c r="C1005" s="60">
        <f>IFERROR(__xludf.DUMMYFUNCTION("INDIRECT(""'收支紀錄'!C""&amp;TO_TEXT(ROW()-$C$72))"),100.0)</f>
        <v>100</v>
      </c>
      <c r="D1005" s="63" t="str">
        <f>IFERROR(__xludf.DUMMYFUNCTION("INDIRECT(""'收支紀錄'!D""&amp;TO_TEXT(ROW()-$C$72))"),"今天")</f>
        <v>今天</v>
      </c>
      <c r="E1005" s="61" t="str">
        <f>IFERROR(__xludf.DUMMYFUNCTION("INDIRECT(""'收支紀錄'!E""&amp;TO_TEXT(ROW()-$C$72))"),"")</f>
        <v/>
      </c>
      <c r="F1005" s="61" t="str">
        <f>IFERROR(__xludf.DUMMYFUNCTION("INDIRECT(""'收支紀錄'!F""&amp;TO_TEXT(ROW()-$C$72))"),"")</f>
        <v/>
      </c>
      <c r="G1005" s="61" t="str">
        <f>IFERROR(__xludf.DUMMYFUNCTION("INDIRECT(""'收支紀錄'!G""&amp;TO_TEXT(ROW()-$C$72))"),"")</f>
        <v/>
      </c>
      <c r="H1005" s="61" t="str">
        <f>IFERROR(__xludf.DUMMYFUNCTION("INDIRECT(""'收支紀錄'!H""&amp;TO_TEXT(ROW()-$C$72))"),"休閒娛樂")</f>
        <v>休閒娛樂</v>
      </c>
      <c r="I1005" s="61" t="str">
        <f>IFERROR(__xludf.DUMMYFUNCTION("INDIRECT(""'收支紀錄'!I""&amp;TO_TEXT(ROW()-$C$72))"),"")</f>
        <v/>
      </c>
      <c r="J1005" s="61" t="str">
        <f>IFERROR(__xludf.DUMMYFUNCTION("INDIRECT(""'收支紀錄'!J""&amp;TO_TEXT(ROW()-$C$72))"),"")</f>
        <v/>
      </c>
      <c r="K1005" s="61" t="str">
        <f>IFERROR(__xludf.DUMMYFUNCTION("INDIRECT(""'收支紀錄'!K""&amp;TO_TEXT(ROW()-$C$72))"),"")</f>
        <v/>
      </c>
      <c r="L1005" s="61" t="str">
        <f>IFERROR(__xludf.DUMMYFUNCTION("INDIRECT(""'收支紀錄'!L""&amp;TO_TEXT(ROW()-$C$72))"),"")</f>
        <v/>
      </c>
      <c r="M1005" s="61" t="str">
        <f>IFERROR(__xludf.DUMMYFUNCTION("INDIRECT(""'收支紀錄'!M""&amp;TO_TEXT(ROW()-$C$72))"),"運動健身")</f>
        <v>運動健身</v>
      </c>
      <c r="N1005" s="61" t="str">
        <f>IFERROR(__xludf.DUMMYFUNCTION("INDIRECT(""'收支紀錄'!N""&amp;TO_TEXT(ROW()-$C$72))"),"")</f>
        <v/>
      </c>
      <c r="O1005" s="61" t="str">
        <f>IFERROR(__xludf.DUMMYFUNCTION("INDIRECT(""'收支紀錄'!O""&amp;TO_TEXT(ROW()-$C$72))"),"")</f>
        <v/>
      </c>
      <c r="P1005" s="61" t="str">
        <f>IFERROR(__xludf.DUMMYFUNCTION("INDIRECT(""'收支紀錄'!P""&amp;TO_TEXT(ROW()-$C$72))"),"")</f>
        <v/>
      </c>
      <c r="Q1005" s="61" t="str">
        <f>IFERROR(__xludf.DUMMYFUNCTION("INDIRECT(""'收支紀錄'!Q""&amp;TO_TEXT(ROW()-$C$72))"),"")</f>
        <v/>
      </c>
      <c r="R1005" s="61" t="str">
        <f>IFERROR(__xludf.DUMMYFUNCTION("INDIRECT(""'收支紀錄'!R""&amp;TO_TEXT(ROW()-$C$72))"),"")</f>
        <v/>
      </c>
      <c r="S1005" s="61" t="str">
        <f>IFERROR(__xludf.DUMMYFUNCTION("INDIRECT(""'收支紀錄'!S""&amp;TO_TEXT(ROW()-$C$72))"),"")</f>
        <v/>
      </c>
      <c r="T1005" s="61" t="str">
        <f>IFERROR(__xludf.DUMMYFUNCTION("INDIRECT(""'收支紀錄'!T""&amp;TO_TEXT(ROW()-$C$72))"),"")</f>
        <v/>
      </c>
      <c r="U1005" s="62" t="str">
        <f>IFERROR(__xludf.DUMMYFUNCTION("IF(T1005=""是"",TEXTJOIN("""", TRUE, ""$"", TO_TEXT(C1005), S1005),"""")"),"")</f>
        <v/>
      </c>
    </row>
    <row r="1006">
      <c r="A1006" s="58">
        <f>IFERROR(__xludf.DUMMYFUNCTION("INDIRECT(""'收支紀錄'!A""&amp;TO_TEXT(ROW()-$C$72))"),45851.533864178244)</f>
        <v>45851.53386</v>
      </c>
      <c r="B1006" s="59">
        <f>IFERROR(__xludf.DUMMYFUNCTION("IF(ISBLANK(D1006), """", IF(ISDATE(D1006), D1006, IF(D1006=""今天"", A1006, IF(D1006=""昨天 (-1 day)"", A1006-1, IF(D1006=""前天 (-2 days)"", A1006-2, IF(D1006=""明天 (+1 day)"", A1006+1, DATE(LEFT(D1006,4), MID(D1006,5,2), RIGHT(D1006,2))))))))"),45851.533864178244)</f>
        <v>45851.53386</v>
      </c>
      <c r="C1006" s="60">
        <f>IFERROR(__xludf.DUMMYFUNCTION("INDIRECT(""'收支紀錄'!C""&amp;TO_TEXT(ROW()-$C$72))"),80.0)</f>
        <v>80</v>
      </c>
      <c r="D1006" s="63" t="str">
        <f>IFERROR(__xludf.DUMMYFUNCTION("INDIRECT(""'收支紀錄'!D""&amp;TO_TEXT(ROW()-$C$72))"),"今天")</f>
        <v>今天</v>
      </c>
      <c r="E1006" s="61" t="str">
        <f>IFERROR(__xludf.DUMMYFUNCTION("INDIRECT(""'收支紀錄'!E""&amp;TO_TEXT(ROW()-$C$72))"),"")</f>
        <v/>
      </c>
      <c r="F1006" s="61" t="str">
        <f>IFERROR(__xludf.DUMMYFUNCTION("INDIRECT(""'收支紀錄'!F""&amp;TO_TEXT(ROW()-$C$72))"),"")</f>
        <v/>
      </c>
      <c r="G1006" s="61" t="str">
        <f>IFERROR(__xludf.DUMMYFUNCTION("INDIRECT(""'收支紀錄'!G""&amp;TO_TEXT(ROW()-$C$72))"),"")</f>
        <v/>
      </c>
      <c r="H1006" s="61" t="str">
        <f>IFERROR(__xludf.DUMMYFUNCTION("INDIRECT(""'收支紀錄'!H""&amp;TO_TEXT(ROW()-$C$72))"),"行車交通")</f>
        <v>行車交通</v>
      </c>
      <c r="I1006" s="61" t="str">
        <f>IFERROR(__xludf.DUMMYFUNCTION("INDIRECT(""'收支紀錄'!I""&amp;TO_TEXT(ROW()-$C$72))"),"")</f>
        <v/>
      </c>
      <c r="J1006" s="61" t="str">
        <f>IFERROR(__xludf.DUMMYFUNCTION("INDIRECT(""'收支紀錄'!J""&amp;TO_TEXT(ROW()-$C$72))"),"")</f>
        <v/>
      </c>
      <c r="K1006" s="61" t="str">
        <f>IFERROR(__xludf.DUMMYFUNCTION("INDIRECT(""'收支紀錄'!K""&amp;TO_TEXT(ROW()-$C$72))"),"")</f>
        <v/>
      </c>
      <c r="L1006" s="61" t="str">
        <f>IFERROR(__xludf.DUMMYFUNCTION("INDIRECT(""'收支紀錄'!L""&amp;TO_TEXT(ROW()-$C$72))"),"停車")</f>
        <v>停車</v>
      </c>
      <c r="M1006" s="61" t="str">
        <f>IFERROR(__xludf.DUMMYFUNCTION("INDIRECT(""'收支紀錄'!M""&amp;TO_TEXT(ROW()-$C$72))"),"")</f>
        <v/>
      </c>
      <c r="N1006" s="61" t="str">
        <f>IFERROR(__xludf.DUMMYFUNCTION("INDIRECT(""'收支紀錄'!N""&amp;TO_TEXT(ROW()-$C$72))"),"")</f>
        <v/>
      </c>
      <c r="O1006" s="61" t="str">
        <f>IFERROR(__xludf.DUMMYFUNCTION("INDIRECT(""'收支紀錄'!O""&amp;TO_TEXT(ROW()-$C$72))"),"")</f>
        <v/>
      </c>
      <c r="P1006" s="61" t="str">
        <f>IFERROR(__xludf.DUMMYFUNCTION("INDIRECT(""'收支紀錄'!P""&amp;TO_TEXT(ROW()-$C$72))"),"")</f>
        <v/>
      </c>
      <c r="Q1006" s="61" t="str">
        <f>IFERROR(__xludf.DUMMYFUNCTION("INDIRECT(""'收支紀錄'!Q""&amp;TO_TEXT(ROW()-$C$72))"),"")</f>
        <v/>
      </c>
      <c r="R1006" s="61" t="str">
        <f>IFERROR(__xludf.DUMMYFUNCTION("INDIRECT(""'收支紀錄'!R""&amp;TO_TEXT(ROW()-$C$72))"),"")</f>
        <v/>
      </c>
      <c r="S1006" s="61" t="str">
        <f>IFERROR(__xludf.DUMMYFUNCTION("INDIRECT(""'收支紀錄'!S""&amp;TO_TEXT(ROW()-$C$72))"),"")</f>
        <v/>
      </c>
      <c r="T1006" s="61" t="str">
        <f>IFERROR(__xludf.DUMMYFUNCTION("INDIRECT(""'收支紀錄'!T""&amp;TO_TEXT(ROW()-$C$72))"),"")</f>
        <v/>
      </c>
      <c r="U1006" s="62" t="str">
        <f>IFERROR(__xludf.DUMMYFUNCTION("IF(T1006=""是"",TEXTJOIN("""", TRUE, ""$"", TO_TEXT(C1006), S1006),"""")"),"")</f>
        <v/>
      </c>
    </row>
    <row r="1007">
      <c r="A1007" s="58">
        <f>IFERROR(__xludf.DUMMYFUNCTION("INDIRECT(""'收支紀錄'!A""&amp;TO_TEXT(ROW()-$C$72))"),45851.72673248843)</f>
        <v>45851.72673</v>
      </c>
      <c r="B1007" s="59">
        <f>IFERROR(__xludf.DUMMYFUNCTION("IF(ISBLANK(D1007), """", IF(ISDATE(D1007), D1007, IF(D1007=""今天"", A1007, IF(D1007=""昨天 (-1 day)"", A1007-1, IF(D1007=""前天 (-2 days)"", A1007-2, IF(D1007=""明天 (+1 day)"", A1007+1, DATE(LEFT(D1007,4), MID(D1007,5,2), RIGHT(D1007,2))))))))"),45850.72673248843)</f>
        <v>45850.72673</v>
      </c>
      <c r="C1007" s="60">
        <f>IFERROR(__xludf.DUMMYFUNCTION("INDIRECT(""'收支紀錄'!C""&amp;TO_TEXT(ROW()-$C$72))"),2519.0)</f>
        <v>2519</v>
      </c>
      <c r="D1007" s="63" t="str">
        <f>IFERROR(__xludf.DUMMYFUNCTION("INDIRECT(""'收支紀錄'!D""&amp;TO_TEXT(ROW()-$C$72))"),"昨天 (-1 day)")</f>
        <v>昨天 (-1 day)</v>
      </c>
      <c r="E1007" s="61" t="str">
        <f>IFERROR(__xludf.DUMMYFUNCTION("INDIRECT(""'收支紀錄'!E""&amp;TO_TEXT(ROW()-$C$72))"),"")</f>
        <v/>
      </c>
      <c r="F1007" s="61" t="str">
        <f>IFERROR(__xludf.DUMMYFUNCTION("INDIRECT(""'收支紀錄'!F""&amp;TO_TEXT(ROW()-$C$72))"),"")</f>
        <v/>
      </c>
      <c r="G1007" s="61" t="str">
        <f>IFERROR(__xludf.DUMMYFUNCTION("INDIRECT(""'收支紀錄'!G""&amp;TO_TEXT(ROW()-$C$72))"),"")</f>
        <v/>
      </c>
      <c r="H1007" s="61" t="str">
        <f>IFERROR(__xludf.DUMMYFUNCTION("INDIRECT(""'收支紀錄'!H""&amp;TO_TEXT(ROW()-$C$72))"),"食品酒水")</f>
        <v>食品酒水</v>
      </c>
      <c r="I1007" s="61" t="str">
        <f>IFERROR(__xludf.DUMMYFUNCTION("INDIRECT(""'收支紀錄'!I""&amp;TO_TEXT(ROW()-$C$72))"),"食材")</f>
        <v>食材</v>
      </c>
      <c r="J1007" s="61" t="str">
        <f>IFERROR(__xludf.DUMMYFUNCTION("INDIRECT(""'收支紀錄'!J""&amp;TO_TEXT(ROW()-$C$72))"),"")</f>
        <v/>
      </c>
      <c r="K1007" s="61" t="str">
        <f>IFERROR(__xludf.DUMMYFUNCTION("INDIRECT(""'收支紀錄'!K""&amp;TO_TEXT(ROW()-$C$72))"),"")</f>
        <v/>
      </c>
      <c r="L1007" s="61" t="str">
        <f>IFERROR(__xludf.DUMMYFUNCTION("INDIRECT(""'收支紀錄'!L""&amp;TO_TEXT(ROW()-$C$72))"),"")</f>
        <v/>
      </c>
      <c r="M1007" s="61" t="str">
        <f>IFERROR(__xludf.DUMMYFUNCTION("INDIRECT(""'收支紀錄'!M""&amp;TO_TEXT(ROW()-$C$72))"),"")</f>
        <v/>
      </c>
      <c r="N1007" s="61" t="str">
        <f>IFERROR(__xludf.DUMMYFUNCTION("INDIRECT(""'收支紀錄'!N""&amp;TO_TEXT(ROW()-$C$72))"),"")</f>
        <v/>
      </c>
      <c r="O1007" s="61" t="str">
        <f>IFERROR(__xludf.DUMMYFUNCTION("INDIRECT(""'收支紀錄'!O""&amp;TO_TEXT(ROW()-$C$72))"),"")</f>
        <v/>
      </c>
      <c r="P1007" s="61" t="str">
        <f>IFERROR(__xludf.DUMMYFUNCTION("INDIRECT(""'收支紀錄'!P""&amp;TO_TEXT(ROW()-$C$72))"),"")</f>
        <v/>
      </c>
      <c r="Q1007" s="61" t="str">
        <f>IFERROR(__xludf.DUMMYFUNCTION("INDIRECT(""'收支紀錄'!Q""&amp;TO_TEXT(ROW()-$C$72))"),"")</f>
        <v/>
      </c>
      <c r="R1007" s="61" t="str">
        <f>IFERROR(__xludf.DUMMYFUNCTION("INDIRECT(""'收支紀錄'!R""&amp;TO_TEXT(ROW()-$C$72))"),"")</f>
        <v/>
      </c>
      <c r="S1007" s="61" t="str">
        <f>IFERROR(__xludf.DUMMYFUNCTION("INDIRECT(""'收支紀錄'!S""&amp;TO_TEXT(ROW()-$C$72))"),"")</f>
        <v/>
      </c>
      <c r="T1007" s="61" t="str">
        <f>IFERROR(__xludf.DUMMYFUNCTION("INDIRECT(""'收支紀錄'!T""&amp;TO_TEXT(ROW()-$C$72))"),"")</f>
        <v/>
      </c>
      <c r="U1007" s="62" t="str">
        <f>IFERROR(__xludf.DUMMYFUNCTION("IF(T1007=""是"",TEXTJOIN("""", TRUE, ""$"", TO_TEXT(C1007), S1007),"""")"),"")</f>
        <v/>
      </c>
    </row>
    <row r="1008">
      <c r="A1008" s="58">
        <f>IFERROR(__xludf.DUMMYFUNCTION("INDIRECT(""'收支紀錄'!A""&amp;TO_TEXT(ROW()-$C$72))"),45851.73064405093)</f>
        <v>45851.73064</v>
      </c>
      <c r="B1008" s="59">
        <f>IFERROR(__xludf.DUMMYFUNCTION("IF(ISBLANK(D1008), """", IF(ISDATE(D1008), D1008, IF(D1008=""今天"", A1008, IF(D1008=""昨天 (-1 day)"", A1008-1, IF(D1008=""前天 (-2 days)"", A1008-2, IF(D1008=""明天 (+1 day)"", A1008+1, DATE(LEFT(D1008,4), MID(D1008,5,2), RIGHT(D1008,2))))))))"),45850.73064405093)</f>
        <v>45850.73064</v>
      </c>
      <c r="C1008" s="60">
        <f>IFERROR(__xludf.DUMMYFUNCTION("INDIRECT(""'收支紀錄'!C""&amp;TO_TEXT(ROW()-$C$72))"),300.0)</f>
        <v>300</v>
      </c>
      <c r="D1008" s="63" t="str">
        <f>IFERROR(__xludf.DUMMYFUNCTION("INDIRECT(""'收支紀錄'!D""&amp;TO_TEXT(ROW()-$C$72))"),"昨天 (-1 day)")</f>
        <v>昨天 (-1 day)</v>
      </c>
      <c r="E1008" s="61" t="str">
        <f>IFERROR(__xludf.DUMMYFUNCTION("INDIRECT(""'收支紀錄'!E""&amp;TO_TEXT(ROW()-$C$72))"),"")</f>
        <v/>
      </c>
      <c r="F1008" s="61" t="str">
        <f>IFERROR(__xludf.DUMMYFUNCTION("INDIRECT(""'收支紀錄'!F""&amp;TO_TEXT(ROW()-$C$72))"),"")</f>
        <v/>
      </c>
      <c r="G1008" s="61" t="str">
        <f>IFERROR(__xludf.DUMMYFUNCTION("INDIRECT(""'收支紀錄'!G""&amp;TO_TEXT(ROW()-$C$72))"),"")</f>
        <v/>
      </c>
      <c r="H1008" s="61" t="str">
        <f>IFERROR(__xludf.DUMMYFUNCTION("INDIRECT(""'收支紀錄'!H""&amp;TO_TEXT(ROW()-$C$72))"),"食品酒水")</f>
        <v>食品酒水</v>
      </c>
      <c r="I1008" s="61" t="str">
        <f>IFERROR(__xludf.DUMMYFUNCTION("INDIRECT(""'收支紀錄'!I""&amp;TO_TEXT(ROW()-$C$72))"),"晚餐")</f>
        <v>晚餐</v>
      </c>
      <c r="J1008" s="61" t="str">
        <f>IFERROR(__xludf.DUMMYFUNCTION("INDIRECT(""'收支紀錄'!J""&amp;TO_TEXT(ROW()-$C$72))"),"")</f>
        <v/>
      </c>
      <c r="K1008" s="61" t="str">
        <f>IFERROR(__xludf.DUMMYFUNCTION("INDIRECT(""'收支紀錄'!K""&amp;TO_TEXT(ROW()-$C$72))"),"")</f>
        <v/>
      </c>
      <c r="L1008" s="61" t="str">
        <f>IFERROR(__xludf.DUMMYFUNCTION("INDIRECT(""'收支紀錄'!L""&amp;TO_TEXT(ROW()-$C$72))"),"")</f>
        <v/>
      </c>
      <c r="M1008" s="61" t="str">
        <f>IFERROR(__xludf.DUMMYFUNCTION("INDIRECT(""'收支紀錄'!M""&amp;TO_TEXT(ROW()-$C$72))"),"")</f>
        <v/>
      </c>
      <c r="N1008" s="61" t="str">
        <f>IFERROR(__xludf.DUMMYFUNCTION("INDIRECT(""'收支紀錄'!N""&amp;TO_TEXT(ROW()-$C$72))"),"")</f>
        <v/>
      </c>
      <c r="O1008" s="61" t="str">
        <f>IFERROR(__xludf.DUMMYFUNCTION("INDIRECT(""'收支紀錄'!O""&amp;TO_TEXT(ROW()-$C$72))"),"")</f>
        <v/>
      </c>
      <c r="P1008" s="61" t="str">
        <f>IFERROR(__xludf.DUMMYFUNCTION("INDIRECT(""'收支紀錄'!P""&amp;TO_TEXT(ROW()-$C$72))"),"")</f>
        <v/>
      </c>
      <c r="Q1008" s="61" t="str">
        <f>IFERROR(__xludf.DUMMYFUNCTION("INDIRECT(""'收支紀錄'!Q""&amp;TO_TEXT(ROW()-$C$72))"),"")</f>
        <v/>
      </c>
      <c r="R1008" s="61" t="str">
        <f>IFERROR(__xludf.DUMMYFUNCTION("INDIRECT(""'收支紀錄'!R""&amp;TO_TEXT(ROW()-$C$72))"),"")</f>
        <v/>
      </c>
      <c r="S1008" s="61" t="str">
        <f>IFERROR(__xludf.DUMMYFUNCTION("INDIRECT(""'收支紀錄'!S""&amp;TO_TEXT(ROW()-$C$72))"),"")</f>
        <v/>
      </c>
      <c r="T1008" s="61" t="str">
        <f>IFERROR(__xludf.DUMMYFUNCTION("INDIRECT(""'收支紀錄'!T""&amp;TO_TEXT(ROW()-$C$72))"),"")</f>
        <v/>
      </c>
      <c r="U1008" s="62" t="str">
        <f>IFERROR(__xludf.DUMMYFUNCTION("IF(T1008=""是"",TEXTJOIN("""", TRUE, ""$"", TO_TEXT(C1008), S1008),"""")"),"")</f>
        <v/>
      </c>
    </row>
    <row r="1009">
      <c r="A1009" s="58">
        <f>IFERROR(__xludf.DUMMYFUNCTION("INDIRECT(""'收支紀錄'!A""&amp;TO_TEXT(ROW()-$C$72))"),45851.917789189814)</f>
        <v>45851.91779</v>
      </c>
      <c r="B1009" s="59">
        <f>IFERROR(__xludf.DUMMYFUNCTION("IF(ISBLANK(D1009), """", IF(ISDATE(D1009), D1009, IF(D1009=""今天"", A1009, IF(D1009=""昨天 (-1 day)"", A1009-1, IF(D1009=""前天 (-2 days)"", A1009-2, IF(D1009=""明天 (+1 day)"", A1009+1, DATE(LEFT(D1009,4), MID(D1009,5,2), RIGHT(D1009,2))))))))"),45851.917789189814)</f>
        <v>45851.91779</v>
      </c>
      <c r="C1009" s="60">
        <f>IFERROR(__xludf.DUMMYFUNCTION("INDIRECT(""'收支紀錄'!C""&amp;TO_TEXT(ROW()-$C$72))"),164.0)</f>
        <v>164</v>
      </c>
      <c r="D1009" s="63" t="str">
        <f>IFERROR(__xludf.DUMMYFUNCTION("INDIRECT(""'收支紀錄'!D""&amp;TO_TEXT(ROW()-$C$72))"),"今天")</f>
        <v>今天</v>
      </c>
      <c r="E1009" s="61" t="str">
        <f>IFERROR(__xludf.DUMMYFUNCTION("INDIRECT(""'收支紀錄'!E""&amp;TO_TEXT(ROW()-$C$72))"),"")</f>
        <v/>
      </c>
      <c r="F1009" s="61" t="str">
        <f>IFERROR(__xludf.DUMMYFUNCTION("INDIRECT(""'收支紀錄'!F""&amp;TO_TEXT(ROW()-$C$72))"),"")</f>
        <v/>
      </c>
      <c r="G1009" s="61" t="str">
        <f>IFERROR(__xludf.DUMMYFUNCTION("INDIRECT(""'收支紀錄'!G""&amp;TO_TEXT(ROW()-$C$72))"),"")</f>
        <v/>
      </c>
      <c r="H1009" s="61" t="str">
        <f>IFERROR(__xludf.DUMMYFUNCTION("INDIRECT(""'收支紀錄'!H""&amp;TO_TEXT(ROW()-$C$72))"),"食品酒水")</f>
        <v>食品酒水</v>
      </c>
      <c r="I1009" s="61" t="str">
        <f>IFERROR(__xludf.DUMMYFUNCTION("INDIRECT(""'收支紀錄'!I""&amp;TO_TEXT(ROW()-$C$72))"),"食材")</f>
        <v>食材</v>
      </c>
      <c r="J1009" s="61" t="str">
        <f>IFERROR(__xludf.DUMMYFUNCTION("INDIRECT(""'收支紀錄'!J""&amp;TO_TEXT(ROW()-$C$72))"),"")</f>
        <v/>
      </c>
      <c r="K1009" s="61" t="str">
        <f>IFERROR(__xludf.DUMMYFUNCTION("INDIRECT(""'收支紀錄'!K""&amp;TO_TEXT(ROW()-$C$72))"),"")</f>
        <v/>
      </c>
      <c r="L1009" s="61" t="str">
        <f>IFERROR(__xludf.DUMMYFUNCTION("INDIRECT(""'收支紀錄'!L""&amp;TO_TEXT(ROW()-$C$72))"),"")</f>
        <v/>
      </c>
      <c r="M1009" s="61" t="str">
        <f>IFERROR(__xludf.DUMMYFUNCTION("INDIRECT(""'收支紀錄'!M""&amp;TO_TEXT(ROW()-$C$72))"),"")</f>
        <v/>
      </c>
      <c r="N1009" s="61" t="str">
        <f>IFERROR(__xludf.DUMMYFUNCTION("INDIRECT(""'收支紀錄'!N""&amp;TO_TEXT(ROW()-$C$72))"),"")</f>
        <v/>
      </c>
      <c r="O1009" s="61" t="str">
        <f>IFERROR(__xludf.DUMMYFUNCTION("INDIRECT(""'收支紀錄'!O""&amp;TO_TEXT(ROW()-$C$72))"),"")</f>
        <v/>
      </c>
      <c r="P1009" s="61" t="str">
        <f>IFERROR(__xludf.DUMMYFUNCTION("INDIRECT(""'收支紀錄'!P""&amp;TO_TEXT(ROW()-$C$72))"),"")</f>
        <v/>
      </c>
      <c r="Q1009" s="61" t="str">
        <f>IFERROR(__xludf.DUMMYFUNCTION("INDIRECT(""'收支紀錄'!Q""&amp;TO_TEXT(ROW()-$C$72))"),"")</f>
        <v/>
      </c>
      <c r="R1009" s="61" t="str">
        <f>IFERROR(__xludf.DUMMYFUNCTION("INDIRECT(""'收支紀錄'!R""&amp;TO_TEXT(ROW()-$C$72))"),"")</f>
        <v/>
      </c>
      <c r="S1009" s="61" t="str">
        <f>IFERROR(__xludf.DUMMYFUNCTION("INDIRECT(""'收支紀錄'!S""&amp;TO_TEXT(ROW()-$C$72))"),"")</f>
        <v/>
      </c>
      <c r="T1009" s="61" t="str">
        <f>IFERROR(__xludf.DUMMYFUNCTION("INDIRECT(""'收支紀錄'!T""&amp;TO_TEXT(ROW()-$C$72))"),"")</f>
        <v/>
      </c>
      <c r="U1009" s="62" t="str">
        <f>IFERROR(__xludf.DUMMYFUNCTION("IF(T1009=""是"",TEXTJOIN("""", TRUE, ""$"", TO_TEXT(C1009), S1009),"""")"),"")</f>
        <v/>
      </c>
    </row>
    <row r="1010">
      <c r="A1010" s="58">
        <f>IFERROR(__xludf.DUMMYFUNCTION("INDIRECT(""'收支紀錄'!A""&amp;TO_TEXT(ROW()-$C$72))"),45852.330360231485)</f>
        <v>45852.33036</v>
      </c>
      <c r="B1010" s="59">
        <f>IFERROR(__xludf.DUMMYFUNCTION("IF(ISBLANK(D1010), """", IF(ISDATE(D1010), D1010, IF(D1010=""今天"", A1010, IF(D1010=""昨天 (-1 day)"", A1010-1, IF(D1010=""前天 (-2 days)"", A1010-2, IF(D1010=""明天 (+1 day)"", A1010+1, DATE(LEFT(D1010,4), MID(D1010,5,2), RIGHT(D1010,2))))))))"),45852.330360231485)</f>
        <v>45852.33036</v>
      </c>
      <c r="C1010" s="60">
        <f>IFERROR(__xludf.DUMMYFUNCTION("INDIRECT(""'收支紀錄'!C""&amp;TO_TEXT(ROW()-$C$72))"),630.0)</f>
        <v>630</v>
      </c>
      <c r="D1010" s="63" t="str">
        <f>IFERROR(__xludf.DUMMYFUNCTION("INDIRECT(""'收支紀錄'!D""&amp;TO_TEXT(ROW()-$C$72))"),"今天")</f>
        <v>今天</v>
      </c>
      <c r="E1010" s="61" t="str">
        <f>IFERROR(__xludf.DUMMYFUNCTION("INDIRECT(""'收支紀錄'!E""&amp;TO_TEXT(ROW()-$C$72))"),"")</f>
        <v/>
      </c>
      <c r="F1010" s="61" t="str">
        <f>IFERROR(__xludf.DUMMYFUNCTION("INDIRECT(""'收支紀錄'!F""&amp;TO_TEXT(ROW()-$C$72))"),"")</f>
        <v/>
      </c>
      <c r="G1010" s="61" t="str">
        <f>IFERROR(__xludf.DUMMYFUNCTION("INDIRECT(""'收支紀錄'!G""&amp;TO_TEXT(ROW()-$C$72))"),"")</f>
        <v/>
      </c>
      <c r="H1010" s="61" t="str">
        <f>IFERROR(__xludf.DUMMYFUNCTION("INDIRECT(""'收支紀錄'!H""&amp;TO_TEXT(ROW()-$C$72))"),"進修學習")</f>
        <v>進修學習</v>
      </c>
      <c r="I1010" s="61" t="str">
        <f>IFERROR(__xludf.DUMMYFUNCTION("INDIRECT(""'收支紀錄'!I""&amp;TO_TEXT(ROW()-$C$72))"),"")</f>
        <v/>
      </c>
      <c r="J1010" s="61" t="str">
        <f>IFERROR(__xludf.DUMMYFUNCTION("INDIRECT(""'收支紀錄'!J""&amp;TO_TEXT(ROW()-$C$72))"),"")</f>
        <v/>
      </c>
      <c r="K1010" s="61" t="str">
        <f>IFERROR(__xludf.DUMMYFUNCTION("INDIRECT(""'收支紀錄'!K""&amp;TO_TEXT(ROW()-$C$72))"),"")</f>
        <v/>
      </c>
      <c r="L1010" s="61" t="str">
        <f>IFERROR(__xludf.DUMMYFUNCTION("INDIRECT(""'收支紀錄'!L""&amp;TO_TEXT(ROW()-$C$72))"),"")</f>
        <v/>
      </c>
      <c r="M1010" s="61" t="str">
        <f>IFERROR(__xludf.DUMMYFUNCTION("INDIRECT(""'收支紀錄'!M""&amp;TO_TEXT(ROW()-$C$72))"),"")</f>
        <v/>
      </c>
      <c r="N1010" s="61" t="str">
        <f>IFERROR(__xludf.DUMMYFUNCTION("INDIRECT(""'收支紀錄'!N""&amp;TO_TEXT(ROW()-$C$72))"),"")</f>
        <v/>
      </c>
      <c r="O1010" s="61" t="str">
        <f>IFERROR(__xludf.DUMMYFUNCTION("INDIRECT(""'收支紀錄'!O""&amp;TO_TEXT(ROW()-$C$72))"),"")</f>
        <v/>
      </c>
      <c r="P1010" s="61" t="str">
        <f>IFERROR(__xludf.DUMMYFUNCTION("INDIRECT(""'收支紀錄'!P""&amp;TO_TEXT(ROW()-$C$72))"),"書報雜誌")</f>
        <v>書報雜誌</v>
      </c>
      <c r="Q1010" s="61" t="str">
        <f>IFERROR(__xludf.DUMMYFUNCTION("INDIRECT(""'收支紀錄'!Q""&amp;TO_TEXT(ROW()-$C$72))"),"")</f>
        <v/>
      </c>
      <c r="R1010" s="61" t="str">
        <f>IFERROR(__xludf.DUMMYFUNCTION("INDIRECT(""'收支紀錄'!R""&amp;TO_TEXT(ROW()-$C$72))"),"")</f>
        <v/>
      </c>
      <c r="S1010" s="61" t="str">
        <f>IFERROR(__xludf.DUMMYFUNCTION("INDIRECT(""'收支紀錄'!S""&amp;TO_TEXT(ROW()-$C$72))"),"")</f>
        <v/>
      </c>
      <c r="T1010" s="61" t="str">
        <f>IFERROR(__xludf.DUMMYFUNCTION("INDIRECT(""'收支紀錄'!T""&amp;TO_TEXT(ROW()-$C$72))"),"")</f>
        <v/>
      </c>
      <c r="U1010" s="62" t="str">
        <f>IFERROR(__xludf.DUMMYFUNCTION("IF(T1010=""是"",TEXTJOIN("""", TRUE, ""$"", TO_TEXT(C1010), S1010),"""")"),"")</f>
        <v/>
      </c>
    </row>
    <row r="1011">
      <c r="A1011" s="58">
        <f>IFERROR(__xludf.DUMMYFUNCTION("INDIRECT(""'收支紀錄'!A""&amp;TO_TEXT(ROW()-$C$72))"),45853.768407361116)</f>
        <v>45853.76841</v>
      </c>
      <c r="B1011" s="59">
        <f>IFERROR(__xludf.DUMMYFUNCTION("IF(ISBLANK(D1011), """", IF(ISDATE(D1011), D1011, IF(D1011=""今天"", A1011, IF(D1011=""昨天 (-1 day)"", A1011-1, IF(D1011=""前天 (-2 days)"", A1011-2, IF(D1011=""明天 (+1 day)"", A1011+1, DATE(LEFT(D1011,4), MID(D1011,5,2), RIGHT(D1011,2))))))))"),45853.768407361116)</f>
        <v>45853.76841</v>
      </c>
      <c r="C1011" s="60">
        <f>IFERROR(__xludf.DUMMYFUNCTION("INDIRECT(""'收支紀錄'!C""&amp;TO_TEXT(ROW()-$C$72))"),699.0)</f>
        <v>699</v>
      </c>
      <c r="D1011" s="63" t="str">
        <f>IFERROR(__xludf.DUMMYFUNCTION("INDIRECT(""'收支紀錄'!D""&amp;TO_TEXT(ROW()-$C$72))"),"今天")</f>
        <v>今天</v>
      </c>
      <c r="E1011" s="61" t="str">
        <f>IFERROR(__xludf.DUMMYFUNCTION("INDIRECT(""'收支紀錄'!E""&amp;TO_TEXT(ROW()-$C$72))"),"")</f>
        <v/>
      </c>
      <c r="F1011" s="61" t="str">
        <f>IFERROR(__xludf.DUMMYFUNCTION("INDIRECT(""'收支紀錄'!F""&amp;TO_TEXT(ROW()-$C$72))"),"")</f>
        <v/>
      </c>
      <c r="G1011" s="61" t="str">
        <f>IFERROR(__xludf.DUMMYFUNCTION("INDIRECT(""'收支紀錄'!G""&amp;TO_TEXT(ROW()-$C$72))"),"")</f>
        <v/>
      </c>
      <c r="H1011" s="61" t="str">
        <f>IFERROR(__xludf.DUMMYFUNCTION("INDIRECT(""'收支紀錄'!H""&amp;TO_TEXT(ROW()-$C$72))"),"行車交通")</f>
        <v>行車交通</v>
      </c>
      <c r="I1011" s="61" t="str">
        <f>IFERROR(__xludf.DUMMYFUNCTION("INDIRECT(""'收支紀錄'!I""&amp;TO_TEXT(ROW()-$C$72))"),"")</f>
        <v/>
      </c>
      <c r="J1011" s="61" t="str">
        <f>IFERROR(__xludf.DUMMYFUNCTION("INDIRECT(""'收支紀錄'!J""&amp;TO_TEXT(ROW()-$C$72))"),"")</f>
        <v/>
      </c>
      <c r="K1011" s="61" t="str">
        <f>IFERROR(__xludf.DUMMYFUNCTION("INDIRECT(""'收支紀錄'!K""&amp;TO_TEXT(ROW()-$C$72))"),"")</f>
        <v/>
      </c>
      <c r="L1011" s="61" t="str">
        <f>IFERROR(__xludf.DUMMYFUNCTION("INDIRECT(""'收支紀錄'!L""&amp;TO_TEXT(ROW()-$C$72))"),"捷運費")</f>
        <v>捷運費</v>
      </c>
      <c r="M1011" s="61" t="str">
        <f>IFERROR(__xludf.DUMMYFUNCTION("INDIRECT(""'收支紀錄'!M""&amp;TO_TEXT(ROW()-$C$72))"),"")</f>
        <v/>
      </c>
      <c r="N1011" s="61" t="str">
        <f>IFERROR(__xludf.DUMMYFUNCTION("INDIRECT(""'收支紀錄'!N""&amp;TO_TEXT(ROW()-$C$72))"),"")</f>
        <v/>
      </c>
      <c r="O1011" s="61" t="str">
        <f>IFERROR(__xludf.DUMMYFUNCTION("INDIRECT(""'收支紀錄'!O""&amp;TO_TEXT(ROW()-$C$72))"),"")</f>
        <v/>
      </c>
      <c r="P1011" s="61" t="str">
        <f>IFERROR(__xludf.DUMMYFUNCTION("INDIRECT(""'收支紀錄'!P""&amp;TO_TEXT(ROW()-$C$72))"),"")</f>
        <v/>
      </c>
      <c r="Q1011" s="61" t="str">
        <f>IFERROR(__xludf.DUMMYFUNCTION("INDIRECT(""'收支紀錄'!Q""&amp;TO_TEXT(ROW()-$C$72))"),"")</f>
        <v/>
      </c>
      <c r="R1011" s="61" t="str">
        <f>IFERROR(__xludf.DUMMYFUNCTION("INDIRECT(""'收支紀錄'!R""&amp;TO_TEXT(ROW()-$C$72))"),"")</f>
        <v/>
      </c>
      <c r="S1011" s="61" t="str">
        <f>IFERROR(__xludf.DUMMYFUNCTION("INDIRECT(""'收支紀錄'!S""&amp;TO_TEXT(ROW()-$C$72))"),"")</f>
        <v/>
      </c>
      <c r="T1011" s="61" t="str">
        <f>IFERROR(__xludf.DUMMYFUNCTION("INDIRECT(""'收支紀錄'!T""&amp;TO_TEXT(ROW()-$C$72))"),"")</f>
        <v/>
      </c>
      <c r="U1011" s="62" t="str">
        <f>IFERROR(__xludf.DUMMYFUNCTION("IF(T1011=""是"",TEXTJOIN("""", TRUE, ""$"", TO_TEXT(C1011), S1011),"""")"),"")</f>
        <v/>
      </c>
    </row>
    <row r="1012">
      <c r="A1012" s="58">
        <f>IFERROR(__xludf.DUMMYFUNCTION("INDIRECT(""'收支紀錄'!A""&amp;TO_TEXT(ROW()-$C$72))"),45853.86027392361)</f>
        <v>45853.86027</v>
      </c>
      <c r="B1012" s="59">
        <f>IFERROR(__xludf.DUMMYFUNCTION("IF(ISBLANK(D1012), """", IF(ISDATE(D1012), D1012, IF(D1012=""今天"", A1012, IF(D1012=""昨天 (-1 day)"", A1012-1, IF(D1012=""前天 (-2 days)"", A1012-2, IF(D1012=""明天 (+1 day)"", A1012+1, DATE(LEFT(D1012,4), MID(D1012,5,2), RIGHT(D1012,2))))))))"),45853.86027392361)</f>
        <v>45853.86027</v>
      </c>
      <c r="C1012" s="60">
        <f>IFERROR(__xludf.DUMMYFUNCTION("INDIRECT(""'收支紀錄'!C""&amp;TO_TEXT(ROW()-$C$72))"),508.0)</f>
        <v>508</v>
      </c>
      <c r="D1012" s="63" t="str">
        <f>IFERROR(__xludf.DUMMYFUNCTION("INDIRECT(""'收支紀錄'!D""&amp;TO_TEXT(ROW()-$C$72))"),"今天")</f>
        <v>今天</v>
      </c>
      <c r="E1012" s="61" t="str">
        <f>IFERROR(__xludf.DUMMYFUNCTION("INDIRECT(""'收支紀錄'!E""&amp;TO_TEXT(ROW()-$C$72))"),"")</f>
        <v/>
      </c>
      <c r="F1012" s="61" t="str">
        <f>IFERROR(__xludf.DUMMYFUNCTION("INDIRECT(""'收支紀錄'!F""&amp;TO_TEXT(ROW()-$C$72))"),"")</f>
        <v/>
      </c>
      <c r="G1012" s="61" t="str">
        <f>IFERROR(__xludf.DUMMYFUNCTION("INDIRECT(""'收支紀錄'!G""&amp;TO_TEXT(ROW()-$C$72))"),"")</f>
        <v/>
      </c>
      <c r="H1012" s="61" t="str">
        <f>IFERROR(__xludf.DUMMYFUNCTION("INDIRECT(""'收支紀錄'!H""&amp;TO_TEXT(ROW()-$C$72))"),"醫療費用")</f>
        <v>醫療費用</v>
      </c>
      <c r="I1012" s="61" t="str">
        <f>IFERROR(__xludf.DUMMYFUNCTION("INDIRECT(""'收支紀錄'!I""&amp;TO_TEXT(ROW()-$C$72))"),"")</f>
        <v/>
      </c>
      <c r="J1012" s="61" t="str">
        <f>IFERROR(__xludf.DUMMYFUNCTION("INDIRECT(""'收支紀錄'!J""&amp;TO_TEXT(ROW()-$C$72))"),"")</f>
        <v/>
      </c>
      <c r="K1012" s="61" t="str">
        <f>IFERROR(__xludf.DUMMYFUNCTION("INDIRECT(""'收支紀錄'!K""&amp;TO_TEXT(ROW()-$C$72))"),"")</f>
        <v/>
      </c>
      <c r="L1012" s="61" t="str">
        <f>IFERROR(__xludf.DUMMYFUNCTION("INDIRECT(""'收支紀錄'!L""&amp;TO_TEXT(ROW()-$C$72))"),"")</f>
        <v/>
      </c>
      <c r="M1012" s="61" t="str">
        <f>IFERROR(__xludf.DUMMYFUNCTION("INDIRECT(""'收支紀錄'!M""&amp;TO_TEXT(ROW()-$C$72))"),"")</f>
        <v/>
      </c>
      <c r="N1012" s="61" t="str">
        <f>IFERROR(__xludf.DUMMYFUNCTION("INDIRECT(""'收支紀錄'!N""&amp;TO_TEXT(ROW()-$C$72))"),"")</f>
        <v/>
      </c>
      <c r="O1012" s="61" t="str">
        <f>IFERROR(__xludf.DUMMYFUNCTION("INDIRECT(""'收支紀錄'!O""&amp;TO_TEXT(ROW()-$C$72))"),"生病醫療")</f>
        <v>生病醫療</v>
      </c>
      <c r="P1012" s="61" t="str">
        <f>IFERROR(__xludf.DUMMYFUNCTION("INDIRECT(""'收支紀錄'!P""&amp;TO_TEXT(ROW()-$C$72))"),"")</f>
        <v/>
      </c>
      <c r="Q1012" s="61" t="str">
        <f>IFERROR(__xludf.DUMMYFUNCTION("INDIRECT(""'收支紀錄'!Q""&amp;TO_TEXT(ROW()-$C$72))"),"")</f>
        <v/>
      </c>
      <c r="R1012" s="61" t="str">
        <f>IFERROR(__xludf.DUMMYFUNCTION("INDIRECT(""'收支紀錄'!R""&amp;TO_TEXT(ROW()-$C$72))"),"")</f>
        <v/>
      </c>
      <c r="S1012" s="61" t="str">
        <f>IFERROR(__xludf.DUMMYFUNCTION("INDIRECT(""'收支紀錄'!S""&amp;TO_TEXT(ROW()-$C$72))"),"")</f>
        <v/>
      </c>
      <c r="T1012" s="61" t="str">
        <f>IFERROR(__xludf.DUMMYFUNCTION("INDIRECT(""'收支紀錄'!T""&amp;TO_TEXT(ROW()-$C$72))"),"")</f>
        <v/>
      </c>
      <c r="U1012" s="62" t="str">
        <f>IFERROR(__xludf.DUMMYFUNCTION("IF(T1012=""是"",TEXTJOIN("""", TRUE, ""$"", TO_TEXT(C1012), S1012),"""")"),"")</f>
        <v/>
      </c>
    </row>
    <row r="1013">
      <c r="A1013" s="58">
        <f>IFERROR(__xludf.DUMMYFUNCTION("INDIRECT(""'收支紀錄'!A""&amp;TO_TEXT(ROW()-$C$72))"),45853.86062090278)</f>
        <v>45853.86062</v>
      </c>
      <c r="B1013" s="59">
        <f>IFERROR(__xludf.DUMMYFUNCTION("IF(ISBLANK(D1013), """", IF(ISDATE(D1013), D1013, IF(D1013=""今天"", A1013, IF(D1013=""昨天 (-1 day)"", A1013-1, IF(D1013=""前天 (-2 days)"", A1013-2, IF(D1013=""明天 (+1 day)"", A1013+1, DATE(LEFT(D1013,4), MID(D1013,5,2), RIGHT(D1013,2))))))))"),45853.86062090278)</f>
        <v>45853.86062</v>
      </c>
      <c r="C1013" s="60">
        <f>IFERROR(__xludf.DUMMYFUNCTION("INDIRECT(""'收支紀錄'!C""&amp;TO_TEXT(ROW()-$C$72))"),429.0)</f>
        <v>429</v>
      </c>
      <c r="D1013" s="63" t="str">
        <f>IFERROR(__xludf.DUMMYFUNCTION("INDIRECT(""'收支紀錄'!D""&amp;TO_TEXT(ROW()-$C$72))"),"今天")</f>
        <v>今天</v>
      </c>
      <c r="E1013" s="61" t="str">
        <f>IFERROR(__xludf.DUMMYFUNCTION("INDIRECT(""'收支紀錄'!E""&amp;TO_TEXT(ROW()-$C$72))"),"")</f>
        <v/>
      </c>
      <c r="F1013" s="61" t="str">
        <f>IFERROR(__xludf.DUMMYFUNCTION("INDIRECT(""'收支紀錄'!F""&amp;TO_TEXT(ROW()-$C$72))"),"")</f>
        <v/>
      </c>
      <c r="G1013" s="61" t="str">
        <f>IFERROR(__xludf.DUMMYFUNCTION("INDIRECT(""'收支紀錄'!G""&amp;TO_TEXT(ROW()-$C$72))"),"")</f>
        <v/>
      </c>
      <c r="H1013" s="61" t="str">
        <f>IFERROR(__xludf.DUMMYFUNCTION("INDIRECT(""'收支紀錄'!H""&amp;TO_TEXT(ROW()-$C$72))"),"食品酒水")</f>
        <v>食品酒水</v>
      </c>
      <c r="I1013" s="61" t="str">
        <f>IFERROR(__xludf.DUMMYFUNCTION("INDIRECT(""'收支紀錄'!I""&amp;TO_TEXT(ROW()-$C$72))"),"晚餐")</f>
        <v>晚餐</v>
      </c>
      <c r="J1013" s="61" t="str">
        <f>IFERROR(__xludf.DUMMYFUNCTION("INDIRECT(""'收支紀錄'!J""&amp;TO_TEXT(ROW()-$C$72))"),"")</f>
        <v/>
      </c>
      <c r="K1013" s="61" t="str">
        <f>IFERROR(__xludf.DUMMYFUNCTION("INDIRECT(""'收支紀錄'!K""&amp;TO_TEXT(ROW()-$C$72))"),"")</f>
        <v/>
      </c>
      <c r="L1013" s="61" t="str">
        <f>IFERROR(__xludf.DUMMYFUNCTION("INDIRECT(""'收支紀錄'!L""&amp;TO_TEXT(ROW()-$C$72))"),"")</f>
        <v/>
      </c>
      <c r="M1013" s="61" t="str">
        <f>IFERROR(__xludf.DUMMYFUNCTION("INDIRECT(""'收支紀錄'!M""&amp;TO_TEXT(ROW()-$C$72))"),"")</f>
        <v/>
      </c>
      <c r="N1013" s="61" t="str">
        <f>IFERROR(__xludf.DUMMYFUNCTION("INDIRECT(""'收支紀錄'!N""&amp;TO_TEXT(ROW()-$C$72))"),"")</f>
        <v/>
      </c>
      <c r="O1013" s="61" t="str">
        <f>IFERROR(__xludf.DUMMYFUNCTION("INDIRECT(""'收支紀錄'!O""&amp;TO_TEXT(ROW()-$C$72))"),"")</f>
        <v/>
      </c>
      <c r="P1013" s="61" t="str">
        <f>IFERROR(__xludf.DUMMYFUNCTION("INDIRECT(""'收支紀錄'!P""&amp;TO_TEXT(ROW()-$C$72))"),"")</f>
        <v/>
      </c>
      <c r="Q1013" s="61" t="str">
        <f>IFERROR(__xludf.DUMMYFUNCTION("INDIRECT(""'收支紀錄'!Q""&amp;TO_TEXT(ROW()-$C$72))"),"")</f>
        <v/>
      </c>
      <c r="R1013" s="61" t="str">
        <f>IFERROR(__xludf.DUMMYFUNCTION("INDIRECT(""'收支紀錄'!R""&amp;TO_TEXT(ROW()-$C$72))"),"")</f>
        <v/>
      </c>
      <c r="S1013" s="61" t="str">
        <f>IFERROR(__xludf.DUMMYFUNCTION("INDIRECT(""'收支紀錄'!S""&amp;TO_TEXT(ROW()-$C$72))"),"")</f>
        <v/>
      </c>
      <c r="T1013" s="61" t="str">
        <f>IFERROR(__xludf.DUMMYFUNCTION("INDIRECT(""'收支紀錄'!T""&amp;TO_TEXT(ROW()-$C$72))"),"")</f>
        <v/>
      </c>
      <c r="U1013" s="62" t="str">
        <f>IFERROR(__xludf.DUMMYFUNCTION("IF(T1013=""是"",TEXTJOIN("""", TRUE, ""$"", TO_TEXT(C1013), S1013),"""")"),"")</f>
        <v/>
      </c>
    </row>
    <row r="1014">
      <c r="A1014" s="58">
        <f>IFERROR(__xludf.DUMMYFUNCTION("INDIRECT(""'收支紀錄'!A""&amp;TO_TEXT(ROW()-$C$72))"),45855.309247488425)</f>
        <v>45855.30925</v>
      </c>
      <c r="B1014" s="59">
        <f>IFERROR(__xludf.DUMMYFUNCTION("IF(ISBLANK(D1014), """", IF(ISDATE(D1014), D1014, IF(D1014=""今天"", A1014, IF(D1014=""昨天 (-1 day)"", A1014-1, IF(D1014=""前天 (-2 days)"", A1014-2, IF(D1014=""明天 (+1 day)"", A1014+1, DATE(LEFT(D1014,4), MID(D1014,5,2), RIGHT(D1014,2))))))))"),45855.309247488425)</f>
        <v>45855.30925</v>
      </c>
      <c r="C1014" s="60">
        <f>IFERROR(__xludf.DUMMYFUNCTION("INDIRECT(""'收支紀錄'!C""&amp;TO_TEXT(ROW()-$C$72))"),414.0)</f>
        <v>414</v>
      </c>
      <c r="D1014" s="63" t="str">
        <f>IFERROR(__xludf.DUMMYFUNCTION("INDIRECT(""'收支紀錄'!D""&amp;TO_TEXT(ROW()-$C$72))"),"今天")</f>
        <v>今天</v>
      </c>
      <c r="E1014" s="61" t="str">
        <f>IFERROR(__xludf.DUMMYFUNCTION("INDIRECT(""'收支紀錄'!E""&amp;TO_TEXT(ROW()-$C$72))"),"")</f>
        <v/>
      </c>
      <c r="F1014" s="61" t="str">
        <f>IFERROR(__xludf.DUMMYFUNCTION("INDIRECT(""'收支紀錄'!F""&amp;TO_TEXT(ROW()-$C$72))"),"")</f>
        <v/>
      </c>
      <c r="G1014" s="61" t="str">
        <f>IFERROR(__xludf.DUMMYFUNCTION("INDIRECT(""'收支紀錄'!G""&amp;TO_TEXT(ROW()-$C$72))"),"")</f>
        <v/>
      </c>
      <c r="H1014" s="61" t="str">
        <f>IFERROR(__xludf.DUMMYFUNCTION("INDIRECT(""'收支紀錄'!H""&amp;TO_TEXT(ROW()-$C$72))"),"日常生活")</f>
        <v>日常生活</v>
      </c>
      <c r="I1014" s="61" t="str">
        <f>IFERROR(__xludf.DUMMYFUNCTION("INDIRECT(""'收支紀錄'!I""&amp;TO_TEXT(ROW()-$C$72))"),"")</f>
        <v/>
      </c>
      <c r="J1014" s="61" t="str">
        <f>IFERROR(__xludf.DUMMYFUNCTION("INDIRECT(""'收支紀錄'!J""&amp;TO_TEXT(ROW()-$C$72))"),"日常用品")</f>
        <v>日常用品</v>
      </c>
      <c r="K1014" s="61" t="str">
        <f>IFERROR(__xludf.DUMMYFUNCTION("INDIRECT(""'收支紀錄'!K""&amp;TO_TEXT(ROW()-$C$72))"),"")</f>
        <v/>
      </c>
      <c r="L1014" s="61" t="str">
        <f>IFERROR(__xludf.DUMMYFUNCTION("INDIRECT(""'收支紀錄'!L""&amp;TO_TEXT(ROW()-$C$72))"),"")</f>
        <v/>
      </c>
      <c r="M1014" s="61" t="str">
        <f>IFERROR(__xludf.DUMMYFUNCTION("INDIRECT(""'收支紀錄'!M""&amp;TO_TEXT(ROW()-$C$72))"),"")</f>
        <v/>
      </c>
      <c r="N1014" s="61" t="str">
        <f>IFERROR(__xludf.DUMMYFUNCTION("INDIRECT(""'收支紀錄'!N""&amp;TO_TEXT(ROW()-$C$72))"),"")</f>
        <v/>
      </c>
      <c r="O1014" s="61" t="str">
        <f>IFERROR(__xludf.DUMMYFUNCTION("INDIRECT(""'收支紀錄'!O""&amp;TO_TEXT(ROW()-$C$72))"),"")</f>
        <v/>
      </c>
      <c r="P1014" s="61" t="str">
        <f>IFERROR(__xludf.DUMMYFUNCTION("INDIRECT(""'收支紀錄'!P""&amp;TO_TEXT(ROW()-$C$72))"),"")</f>
        <v/>
      </c>
      <c r="Q1014" s="61" t="str">
        <f>IFERROR(__xludf.DUMMYFUNCTION("INDIRECT(""'收支紀錄'!Q""&amp;TO_TEXT(ROW()-$C$72))"),"")</f>
        <v/>
      </c>
      <c r="R1014" s="61" t="str">
        <f>IFERROR(__xludf.DUMMYFUNCTION("INDIRECT(""'收支紀錄'!R""&amp;TO_TEXT(ROW()-$C$72))"),"")</f>
        <v/>
      </c>
      <c r="S1014" s="61" t="str">
        <f>IFERROR(__xludf.DUMMYFUNCTION("INDIRECT(""'收支紀錄'!S""&amp;TO_TEXT(ROW()-$C$72))"),"")</f>
        <v/>
      </c>
      <c r="T1014" s="61" t="str">
        <f>IFERROR(__xludf.DUMMYFUNCTION("INDIRECT(""'收支紀錄'!T""&amp;TO_TEXT(ROW()-$C$72))"),"")</f>
        <v/>
      </c>
      <c r="U1014" s="62" t="str">
        <f>IFERROR(__xludf.DUMMYFUNCTION("IF(T1014=""是"",TEXTJOIN("""", TRUE, ""$"", TO_TEXT(C1014), S1014),"""")"),"")</f>
        <v/>
      </c>
    </row>
    <row r="1015">
      <c r="A1015" s="58">
        <f>IFERROR(__xludf.DUMMYFUNCTION("INDIRECT(""'收支紀錄'!A""&amp;TO_TEXT(ROW()-$C$72))"),45856.793912395835)</f>
        <v>45856.79391</v>
      </c>
      <c r="B1015" s="59">
        <f>IFERROR(__xludf.DUMMYFUNCTION("IF(ISBLANK(D1015), """", IF(ISDATE(D1015), D1015, IF(D1015=""今天"", A1015, IF(D1015=""昨天 (-1 day)"", A1015-1, IF(D1015=""前天 (-2 days)"", A1015-2, IF(D1015=""明天 (+1 day)"", A1015+1, DATE(LEFT(D1015,4), MID(D1015,5,2), RIGHT(D1015,2))))))))"),45856.793912395835)</f>
        <v>45856.79391</v>
      </c>
      <c r="C1015" s="60">
        <f>IFERROR(__xludf.DUMMYFUNCTION("INDIRECT(""'收支紀錄'!C""&amp;TO_TEXT(ROW()-$C$72))"),950.0)</f>
        <v>950</v>
      </c>
      <c r="D1015" s="63" t="str">
        <f>IFERROR(__xludf.DUMMYFUNCTION("INDIRECT(""'收支紀錄'!D""&amp;TO_TEXT(ROW()-$C$72))"),"今天")</f>
        <v>今天</v>
      </c>
      <c r="E1015" s="61" t="str">
        <f>IFERROR(__xludf.DUMMYFUNCTION("INDIRECT(""'收支紀錄'!E""&amp;TO_TEXT(ROW()-$C$72))"),"")</f>
        <v/>
      </c>
      <c r="F1015" s="61" t="str">
        <f>IFERROR(__xludf.DUMMYFUNCTION("INDIRECT(""'收支紀錄'!F""&amp;TO_TEXT(ROW()-$C$72))"),"")</f>
        <v/>
      </c>
      <c r="G1015" s="61" t="str">
        <f>IFERROR(__xludf.DUMMYFUNCTION("INDIRECT(""'收支紀錄'!G""&amp;TO_TEXT(ROW()-$C$72))"),"")</f>
        <v/>
      </c>
      <c r="H1015" s="61" t="str">
        <f>IFERROR(__xludf.DUMMYFUNCTION("INDIRECT(""'收支紀錄'!H""&amp;TO_TEXT(ROW()-$C$72))"),"行車交通")</f>
        <v>行車交通</v>
      </c>
      <c r="I1015" s="61" t="str">
        <f>IFERROR(__xludf.DUMMYFUNCTION("INDIRECT(""'收支紀錄'!I""&amp;TO_TEXT(ROW()-$C$72))"),"")</f>
        <v/>
      </c>
      <c r="J1015" s="61" t="str">
        <f>IFERROR(__xludf.DUMMYFUNCTION("INDIRECT(""'收支紀錄'!J""&amp;TO_TEXT(ROW()-$C$72))"),"")</f>
        <v/>
      </c>
      <c r="K1015" s="61" t="str">
        <f>IFERROR(__xludf.DUMMYFUNCTION("INDIRECT(""'收支紀錄'!K""&amp;TO_TEXT(ROW()-$C$72))"),"")</f>
        <v/>
      </c>
      <c r="L1015" s="61" t="str">
        <f>IFERROR(__xludf.DUMMYFUNCTION("INDIRECT(""'收支紀錄'!L""&amp;TO_TEXT(ROW()-$C$72))"),"高鐵")</f>
        <v>高鐵</v>
      </c>
      <c r="M1015" s="61" t="str">
        <f>IFERROR(__xludf.DUMMYFUNCTION("INDIRECT(""'收支紀錄'!M""&amp;TO_TEXT(ROW()-$C$72))"),"")</f>
        <v/>
      </c>
      <c r="N1015" s="61" t="str">
        <f>IFERROR(__xludf.DUMMYFUNCTION("INDIRECT(""'收支紀錄'!N""&amp;TO_TEXT(ROW()-$C$72))"),"")</f>
        <v/>
      </c>
      <c r="O1015" s="61" t="str">
        <f>IFERROR(__xludf.DUMMYFUNCTION("INDIRECT(""'收支紀錄'!O""&amp;TO_TEXT(ROW()-$C$72))"),"")</f>
        <v/>
      </c>
      <c r="P1015" s="61" t="str">
        <f>IFERROR(__xludf.DUMMYFUNCTION("INDIRECT(""'收支紀錄'!P""&amp;TO_TEXT(ROW()-$C$72))"),"")</f>
        <v/>
      </c>
      <c r="Q1015" s="61" t="str">
        <f>IFERROR(__xludf.DUMMYFUNCTION("INDIRECT(""'收支紀錄'!Q""&amp;TO_TEXT(ROW()-$C$72))"),"")</f>
        <v/>
      </c>
      <c r="R1015" s="61" t="str">
        <f>IFERROR(__xludf.DUMMYFUNCTION("INDIRECT(""'收支紀錄'!R""&amp;TO_TEXT(ROW()-$C$72))"),"")</f>
        <v/>
      </c>
      <c r="S1015" s="61" t="str">
        <f>IFERROR(__xludf.DUMMYFUNCTION("INDIRECT(""'收支紀錄'!S""&amp;TO_TEXT(ROW()-$C$72))"),"")</f>
        <v/>
      </c>
      <c r="T1015" s="61" t="str">
        <f>IFERROR(__xludf.DUMMYFUNCTION("INDIRECT(""'收支紀錄'!T""&amp;TO_TEXT(ROW()-$C$72))"),"")</f>
        <v/>
      </c>
      <c r="U1015" s="62" t="str">
        <f>IFERROR(__xludf.DUMMYFUNCTION("IF(T1015=""是"",TEXTJOIN("""", TRUE, ""$"", TO_TEXT(C1015), S1015),"""")"),"")</f>
        <v/>
      </c>
    </row>
    <row r="1016">
      <c r="A1016" s="58">
        <f>IFERROR(__xludf.DUMMYFUNCTION("INDIRECT(""'收支紀錄'!A""&amp;TO_TEXT(ROW()-$C$72))"),45857.404967916664)</f>
        <v>45857.40497</v>
      </c>
      <c r="B1016" s="59">
        <f>IFERROR(__xludf.DUMMYFUNCTION("IF(ISBLANK(D1016), """", IF(ISDATE(D1016), D1016, IF(D1016=""今天"", A1016, IF(D1016=""昨天 (-1 day)"", A1016-1, IF(D1016=""前天 (-2 days)"", A1016-2, IF(D1016=""明天 (+1 day)"", A1016+1, DATE(LEFT(D1016,4), MID(D1016,5,2), RIGHT(D1016,2))))))))"),45856.404967916664)</f>
        <v>45856.40497</v>
      </c>
      <c r="C1016" s="60">
        <f>IFERROR(__xludf.DUMMYFUNCTION("INDIRECT(""'收支紀錄'!C""&amp;TO_TEXT(ROW()-$C$72))"),35.0)</f>
        <v>35</v>
      </c>
      <c r="D1016" s="63" t="str">
        <f>IFERROR(__xludf.DUMMYFUNCTION("INDIRECT(""'收支紀錄'!D""&amp;TO_TEXT(ROW()-$C$72))"),"昨天 (-1 day)")</f>
        <v>昨天 (-1 day)</v>
      </c>
      <c r="E1016" s="61" t="str">
        <f>IFERROR(__xludf.DUMMYFUNCTION("INDIRECT(""'收支紀錄'!E""&amp;TO_TEXT(ROW()-$C$72))"),"")</f>
        <v/>
      </c>
      <c r="F1016" s="61" t="str">
        <f>IFERROR(__xludf.DUMMYFUNCTION("INDIRECT(""'收支紀錄'!F""&amp;TO_TEXT(ROW()-$C$72))"),"")</f>
        <v/>
      </c>
      <c r="G1016" s="61" t="str">
        <f>IFERROR(__xludf.DUMMYFUNCTION("INDIRECT(""'收支紀錄'!G""&amp;TO_TEXT(ROW()-$C$72))"),"")</f>
        <v/>
      </c>
      <c r="H1016" s="61" t="str">
        <f>IFERROR(__xludf.DUMMYFUNCTION("INDIRECT(""'收支紀錄'!H""&amp;TO_TEXT(ROW()-$C$72))"),"行車交通")</f>
        <v>行車交通</v>
      </c>
      <c r="I1016" s="61" t="str">
        <f>IFERROR(__xludf.DUMMYFUNCTION("INDIRECT(""'收支紀錄'!I""&amp;TO_TEXT(ROW()-$C$72))"),"")</f>
        <v/>
      </c>
      <c r="J1016" s="61" t="str">
        <f>IFERROR(__xludf.DUMMYFUNCTION("INDIRECT(""'收支紀錄'!J""&amp;TO_TEXT(ROW()-$C$72))"),"")</f>
        <v/>
      </c>
      <c r="K1016" s="61" t="str">
        <f>IFERROR(__xludf.DUMMYFUNCTION("INDIRECT(""'收支紀錄'!K""&amp;TO_TEXT(ROW()-$C$72))"),"")</f>
        <v/>
      </c>
      <c r="L1016" s="61" t="str">
        <f>IFERROR(__xludf.DUMMYFUNCTION("INDIRECT(""'收支紀錄'!L""&amp;TO_TEXT(ROW()-$C$72))"),"捷運費")</f>
        <v>捷運費</v>
      </c>
      <c r="M1016" s="61" t="str">
        <f>IFERROR(__xludf.DUMMYFUNCTION("INDIRECT(""'收支紀錄'!M""&amp;TO_TEXT(ROW()-$C$72))"),"")</f>
        <v/>
      </c>
      <c r="N1016" s="61" t="str">
        <f>IFERROR(__xludf.DUMMYFUNCTION("INDIRECT(""'收支紀錄'!N""&amp;TO_TEXT(ROW()-$C$72))"),"")</f>
        <v/>
      </c>
      <c r="O1016" s="61" t="str">
        <f>IFERROR(__xludf.DUMMYFUNCTION("INDIRECT(""'收支紀錄'!O""&amp;TO_TEXT(ROW()-$C$72))"),"")</f>
        <v/>
      </c>
      <c r="P1016" s="61" t="str">
        <f>IFERROR(__xludf.DUMMYFUNCTION("INDIRECT(""'收支紀錄'!P""&amp;TO_TEXT(ROW()-$C$72))"),"")</f>
        <v/>
      </c>
      <c r="Q1016" s="61" t="str">
        <f>IFERROR(__xludf.DUMMYFUNCTION("INDIRECT(""'收支紀錄'!Q""&amp;TO_TEXT(ROW()-$C$72))"),"")</f>
        <v/>
      </c>
      <c r="R1016" s="61" t="str">
        <f>IFERROR(__xludf.DUMMYFUNCTION("INDIRECT(""'收支紀錄'!R""&amp;TO_TEXT(ROW()-$C$72))"),"")</f>
        <v/>
      </c>
      <c r="S1016" s="61" t="str">
        <f>IFERROR(__xludf.DUMMYFUNCTION("INDIRECT(""'收支紀錄'!S""&amp;TO_TEXT(ROW()-$C$72))"),"")</f>
        <v/>
      </c>
      <c r="T1016" s="61" t="str">
        <f>IFERROR(__xludf.DUMMYFUNCTION("INDIRECT(""'收支紀錄'!T""&amp;TO_TEXT(ROW()-$C$72))"),"")</f>
        <v/>
      </c>
      <c r="U1016" s="62" t="str">
        <f>IFERROR(__xludf.DUMMYFUNCTION("IF(T1016=""是"",TEXTJOIN("""", TRUE, ""$"", TO_TEXT(C1016), S1016),"""")"),"")</f>
        <v/>
      </c>
    </row>
    <row r="1017">
      <c r="A1017" s="58">
        <f>IFERROR(__xludf.DUMMYFUNCTION("INDIRECT(""'收支紀錄'!A""&amp;TO_TEXT(ROW()-$C$72))"),45857.74181010417)</f>
        <v>45857.74181</v>
      </c>
      <c r="B1017" s="59">
        <f>IFERROR(__xludf.DUMMYFUNCTION("IF(ISBLANK(D1017), """", IF(ISDATE(D1017), D1017, IF(D1017=""今天"", A1017, IF(D1017=""昨天 (-1 day)"", A1017-1, IF(D1017=""前天 (-2 days)"", A1017-2, IF(D1017=""明天 (+1 day)"", A1017+1, DATE(LEFT(D1017,4), MID(D1017,5,2), RIGHT(D1017,2))))))))"),45857.74181010417)</f>
        <v>45857.74181</v>
      </c>
      <c r="C1017" s="60">
        <f>IFERROR(__xludf.DUMMYFUNCTION("INDIRECT(""'收支紀錄'!C""&amp;TO_TEXT(ROW()-$C$72))"),421.0)</f>
        <v>421</v>
      </c>
      <c r="D1017" s="63" t="str">
        <f>IFERROR(__xludf.DUMMYFUNCTION("INDIRECT(""'收支紀錄'!D""&amp;TO_TEXT(ROW()-$C$72))"),"今天")</f>
        <v>今天</v>
      </c>
      <c r="E1017" s="61" t="str">
        <f>IFERROR(__xludf.DUMMYFUNCTION("INDIRECT(""'收支紀錄'!E""&amp;TO_TEXT(ROW()-$C$72))"),"")</f>
        <v/>
      </c>
      <c r="F1017" s="61" t="str">
        <f>IFERROR(__xludf.DUMMYFUNCTION("INDIRECT(""'收支紀錄'!F""&amp;TO_TEXT(ROW()-$C$72))"),"")</f>
        <v/>
      </c>
      <c r="G1017" s="61" t="str">
        <f>IFERROR(__xludf.DUMMYFUNCTION("INDIRECT(""'收支紀錄'!G""&amp;TO_TEXT(ROW()-$C$72))"),"")</f>
        <v/>
      </c>
      <c r="H1017" s="61" t="str">
        <f>IFERROR(__xludf.DUMMYFUNCTION("INDIRECT(""'收支紀錄'!H""&amp;TO_TEXT(ROW()-$C$72))"),"食品酒水")</f>
        <v>食品酒水</v>
      </c>
      <c r="I1017" s="61" t="str">
        <f>IFERROR(__xludf.DUMMYFUNCTION("INDIRECT(""'收支紀錄'!I""&amp;TO_TEXT(ROW()-$C$72))"),"食材")</f>
        <v>食材</v>
      </c>
      <c r="J1017" s="61" t="str">
        <f>IFERROR(__xludf.DUMMYFUNCTION("INDIRECT(""'收支紀錄'!J""&amp;TO_TEXT(ROW()-$C$72))"),"")</f>
        <v/>
      </c>
      <c r="K1017" s="61" t="str">
        <f>IFERROR(__xludf.DUMMYFUNCTION("INDIRECT(""'收支紀錄'!K""&amp;TO_TEXT(ROW()-$C$72))"),"")</f>
        <v/>
      </c>
      <c r="L1017" s="61" t="str">
        <f>IFERROR(__xludf.DUMMYFUNCTION("INDIRECT(""'收支紀錄'!L""&amp;TO_TEXT(ROW()-$C$72))"),"")</f>
        <v/>
      </c>
      <c r="M1017" s="61" t="str">
        <f>IFERROR(__xludf.DUMMYFUNCTION("INDIRECT(""'收支紀錄'!M""&amp;TO_TEXT(ROW()-$C$72))"),"")</f>
        <v/>
      </c>
      <c r="N1017" s="61" t="str">
        <f>IFERROR(__xludf.DUMMYFUNCTION("INDIRECT(""'收支紀錄'!N""&amp;TO_TEXT(ROW()-$C$72))"),"")</f>
        <v/>
      </c>
      <c r="O1017" s="61" t="str">
        <f>IFERROR(__xludf.DUMMYFUNCTION("INDIRECT(""'收支紀錄'!O""&amp;TO_TEXT(ROW()-$C$72))"),"")</f>
        <v/>
      </c>
      <c r="P1017" s="61" t="str">
        <f>IFERROR(__xludf.DUMMYFUNCTION("INDIRECT(""'收支紀錄'!P""&amp;TO_TEXT(ROW()-$C$72))"),"")</f>
        <v/>
      </c>
      <c r="Q1017" s="61" t="str">
        <f>IFERROR(__xludf.DUMMYFUNCTION("INDIRECT(""'收支紀錄'!Q""&amp;TO_TEXT(ROW()-$C$72))"),"")</f>
        <v/>
      </c>
      <c r="R1017" s="61" t="str">
        <f>IFERROR(__xludf.DUMMYFUNCTION("INDIRECT(""'收支紀錄'!R""&amp;TO_TEXT(ROW()-$C$72))"),"")</f>
        <v/>
      </c>
      <c r="S1017" s="61" t="str">
        <f>IFERROR(__xludf.DUMMYFUNCTION("INDIRECT(""'收支紀錄'!S""&amp;TO_TEXT(ROW()-$C$72))"),"")</f>
        <v/>
      </c>
      <c r="T1017" s="61" t="str">
        <f>IFERROR(__xludf.DUMMYFUNCTION("INDIRECT(""'收支紀錄'!T""&amp;TO_TEXT(ROW()-$C$72))"),"否")</f>
        <v>否</v>
      </c>
      <c r="U1017" s="62" t="str">
        <f>IFERROR(__xludf.DUMMYFUNCTION("IF(T1017=""是"",TEXTJOIN("""", TRUE, ""$"", TO_TEXT(C1017), S1017),"""")"),"")</f>
        <v/>
      </c>
    </row>
    <row r="1018">
      <c r="A1018" s="58">
        <f>IFERROR(__xludf.DUMMYFUNCTION("INDIRECT(""'收支紀錄'!A""&amp;TO_TEXT(ROW()-$C$72))"),45857.837978634256)</f>
        <v>45857.83798</v>
      </c>
      <c r="B1018" s="59">
        <f>IFERROR(__xludf.DUMMYFUNCTION("IF(ISBLANK(D1018), """", IF(ISDATE(D1018), D1018, IF(D1018=""今天"", A1018, IF(D1018=""昨天 (-1 day)"", A1018-1, IF(D1018=""前天 (-2 days)"", A1018-2, IF(D1018=""明天 (+1 day)"", A1018+1, DATE(LEFT(D1018,4), MID(D1018,5,2), RIGHT(D1018,2))))))))"),45857.837978634256)</f>
        <v>45857.83798</v>
      </c>
      <c r="C1018" s="60">
        <f>IFERROR(__xludf.DUMMYFUNCTION("INDIRECT(""'收支紀錄'!C""&amp;TO_TEXT(ROW()-$C$72))"),430.0)</f>
        <v>430</v>
      </c>
      <c r="D1018" s="63" t="str">
        <f>IFERROR(__xludf.DUMMYFUNCTION("INDIRECT(""'收支紀錄'!D""&amp;TO_TEXT(ROW()-$C$72))"),"今天")</f>
        <v>今天</v>
      </c>
      <c r="E1018" s="61" t="str">
        <f>IFERROR(__xludf.DUMMYFUNCTION("INDIRECT(""'收支紀錄'!E""&amp;TO_TEXT(ROW()-$C$72))"),"")</f>
        <v/>
      </c>
      <c r="F1018" s="61" t="str">
        <f>IFERROR(__xludf.DUMMYFUNCTION("INDIRECT(""'收支紀錄'!F""&amp;TO_TEXT(ROW()-$C$72))"),"")</f>
        <v/>
      </c>
      <c r="G1018" s="61" t="str">
        <f>IFERROR(__xludf.DUMMYFUNCTION("INDIRECT(""'收支紀錄'!G""&amp;TO_TEXT(ROW()-$C$72))"),"")</f>
        <v/>
      </c>
      <c r="H1018" s="61" t="str">
        <f>IFERROR(__xludf.DUMMYFUNCTION("INDIRECT(""'收支紀錄'!H""&amp;TO_TEXT(ROW()-$C$72))"),"食品酒水")</f>
        <v>食品酒水</v>
      </c>
      <c r="I1018" s="61" t="str">
        <f>IFERROR(__xludf.DUMMYFUNCTION("INDIRECT(""'收支紀錄'!I""&amp;TO_TEXT(ROW()-$C$72))"),"晚餐")</f>
        <v>晚餐</v>
      </c>
      <c r="J1018" s="61" t="str">
        <f>IFERROR(__xludf.DUMMYFUNCTION("INDIRECT(""'收支紀錄'!J""&amp;TO_TEXT(ROW()-$C$72))"),"")</f>
        <v/>
      </c>
      <c r="K1018" s="61" t="str">
        <f>IFERROR(__xludf.DUMMYFUNCTION("INDIRECT(""'收支紀錄'!K""&amp;TO_TEXT(ROW()-$C$72))"),"")</f>
        <v/>
      </c>
      <c r="L1018" s="61" t="str">
        <f>IFERROR(__xludf.DUMMYFUNCTION("INDIRECT(""'收支紀錄'!L""&amp;TO_TEXT(ROW()-$C$72))"),"")</f>
        <v/>
      </c>
      <c r="M1018" s="61" t="str">
        <f>IFERROR(__xludf.DUMMYFUNCTION("INDIRECT(""'收支紀錄'!M""&amp;TO_TEXT(ROW()-$C$72))"),"")</f>
        <v/>
      </c>
      <c r="N1018" s="61" t="str">
        <f>IFERROR(__xludf.DUMMYFUNCTION("INDIRECT(""'收支紀錄'!N""&amp;TO_TEXT(ROW()-$C$72))"),"")</f>
        <v/>
      </c>
      <c r="O1018" s="61" t="str">
        <f>IFERROR(__xludf.DUMMYFUNCTION("INDIRECT(""'收支紀錄'!O""&amp;TO_TEXT(ROW()-$C$72))"),"")</f>
        <v/>
      </c>
      <c r="P1018" s="61" t="str">
        <f>IFERROR(__xludf.DUMMYFUNCTION("INDIRECT(""'收支紀錄'!P""&amp;TO_TEXT(ROW()-$C$72))"),"")</f>
        <v/>
      </c>
      <c r="Q1018" s="61" t="str">
        <f>IFERROR(__xludf.DUMMYFUNCTION("INDIRECT(""'收支紀錄'!Q""&amp;TO_TEXT(ROW()-$C$72))"),"")</f>
        <v/>
      </c>
      <c r="R1018" s="61" t="str">
        <f>IFERROR(__xludf.DUMMYFUNCTION("INDIRECT(""'收支紀錄'!R""&amp;TO_TEXT(ROW()-$C$72))"),"")</f>
        <v/>
      </c>
      <c r="S1018" s="61" t="str">
        <f>IFERROR(__xludf.DUMMYFUNCTION("INDIRECT(""'收支紀錄'!S""&amp;TO_TEXT(ROW()-$C$72))"),"")</f>
        <v/>
      </c>
      <c r="T1018" s="61" t="str">
        <f>IFERROR(__xludf.DUMMYFUNCTION("INDIRECT(""'收支紀錄'!T""&amp;TO_TEXT(ROW()-$C$72))"),"")</f>
        <v/>
      </c>
      <c r="U1018" s="62" t="str">
        <f>IFERROR(__xludf.DUMMYFUNCTION("IF(T1018=""是"",TEXTJOIN("""", TRUE, ""$"", TO_TEXT(C1018), S1018),"""")"),"")</f>
        <v/>
      </c>
    </row>
    <row r="1019">
      <c r="A1019" s="58">
        <f>IFERROR(__xludf.DUMMYFUNCTION("INDIRECT(""'收支紀錄'!A""&amp;TO_TEXT(ROW()-$C$72))"),45857.83859047454)</f>
        <v>45857.83859</v>
      </c>
      <c r="B1019" s="59">
        <f>IFERROR(__xludf.DUMMYFUNCTION("IF(ISBLANK(D1019), """", IF(ISDATE(D1019), D1019, IF(D1019=""今天"", A1019, IF(D1019=""昨天 (-1 day)"", A1019-1, IF(D1019=""前天 (-2 days)"", A1019-2, IF(D1019=""明天 (+1 day)"", A1019+1, DATE(LEFT(D1019,4), MID(D1019,5,2), RIGHT(D1019,2))))))))"),45857.83859047454)</f>
        <v>45857.83859</v>
      </c>
      <c r="C1019" s="60">
        <f>IFERROR(__xludf.DUMMYFUNCTION("INDIRECT(""'收支紀錄'!C""&amp;TO_TEXT(ROW()-$C$72))"),4800.0)</f>
        <v>4800</v>
      </c>
      <c r="D1019" s="63" t="str">
        <f>IFERROR(__xludf.DUMMYFUNCTION("INDIRECT(""'收支紀錄'!D""&amp;TO_TEXT(ROW()-$C$72))"),"今天")</f>
        <v>今天</v>
      </c>
      <c r="E1019" s="61" t="str">
        <f>IFERROR(__xludf.DUMMYFUNCTION("INDIRECT(""'收支紀錄'!E""&amp;TO_TEXT(ROW()-$C$72))"),"")</f>
        <v/>
      </c>
      <c r="F1019" s="61" t="str">
        <f>IFERROR(__xludf.DUMMYFUNCTION("INDIRECT(""'收支紀錄'!F""&amp;TO_TEXT(ROW()-$C$72))"),"")</f>
        <v/>
      </c>
      <c r="G1019" s="61" t="str">
        <f>IFERROR(__xludf.DUMMYFUNCTION("INDIRECT(""'收支紀錄'!G""&amp;TO_TEXT(ROW()-$C$72))"),"")</f>
        <v/>
      </c>
      <c r="H1019" s="61" t="str">
        <f>IFERROR(__xludf.DUMMYFUNCTION("INDIRECT(""'收支紀錄'!H""&amp;TO_TEXT(ROW()-$C$72))"),"行車交通")</f>
        <v>行車交通</v>
      </c>
      <c r="I1019" s="61" t="str">
        <f>IFERROR(__xludf.DUMMYFUNCTION("INDIRECT(""'收支紀錄'!I""&amp;TO_TEXT(ROW()-$C$72))"),"")</f>
        <v/>
      </c>
      <c r="J1019" s="61" t="str">
        <f>IFERROR(__xludf.DUMMYFUNCTION("INDIRECT(""'收支紀錄'!J""&amp;TO_TEXT(ROW()-$C$72))"),"")</f>
        <v/>
      </c>
      <c r="K1019" s="61" t="str">
        <f>IFERROR(__xludf.DUMMYFUNCTION("INDIRECT(""'收支紀錄'!K""&amp;TO_TEXT(ROW()-$C$72))"),"")</f>
        <v/>
      </c>
      <c r="L1019" s="61" t="str">
        <f>IFERROR(__xludf.DUMMYFUNCTION("INDIRECT(""'收支紀錄'!L""&amp;TO_TEXT(ROW()-$C$72))"),"車-保險稅金")</f>
        <v>車-保險稅金</v>
      </c>
      <c r="M1019" s="61" t="str">
        <f>IFERROR(__xludf.DUMMYFUNCTION("INDIRECT(""'收支紀錄'!M""&amp;TO_TEXT(ROW()-$C$72))"),"")</f>
        <v/>
      </c>
      <c r="N1019" s="61" t="str">
        <f>IFERROR(__xludf.DUMMYFUNCTION("INDIRECT(""'收支紀錄'!N""&amp;TO_TEXT(ROW()-$C$72))"),"")</f>
        <v/>
      </c>
      <c r="O1019" s="61" t="str">
        <f>IFERROR(__xludf.DUMMYFUNCTION("INDIRECT(""'收支紀錄'!O""&amp;TO_TEXT(ROW()-$C$72))"),"")</f>
        <v/>
      </c>
      <c r="P1019" s="61" t="str">
        <f>IFERROR(__xludf.DUMMYFUNCTION("INDIRECT(""'收支紀錄'!P""&amp;TO_TEXT(ROW()-$C$72))"),"")</f>
        <v/>
      </c>
      <c r="Q1019" s="61" t="str">
        <f>IFERROR(__xludf.DUMMYFUNCTION("INDIRECT(""'收支紀錄'!Q""&amp;TO_TEXT(ROW()-$C$72))"),"")</f>
        <v/>
      </c>
      <c r="R1019" s="61" t="str">
        <f>IFERROR(__xludf.DUMMYFUNCTION("INDIRECT(""'收支紀錄'!R""&amp;TO_TEXT(ROW()-$C$72))"),"")</f>
        <v/>
      </c>
      <c r="S1019" s="61" t="str">
        <f>IFERROR(__xludf.DUMMYFUNCTION("INDIRECT(""'收支紀錄'!S""&amp;TO_TEXT(ROW()-$C$72))"),"汽車燃料費")</f>
        <v>汽車燃料費</v>
      </c>
      <c r="T1019" s="61" t="str">
        <f>IFERROR(__xludf.DUMMYFUNCTION("INDIRECT(""'收支紀錄'!T""&amp;TO_TEXT(ROW()-$C$72))"),"是")</f>
        <v>是</v>
      </c>
      <c r="U1019" s="62" t="str">
        <f>IFERROR(__xludf.DUMMYFUNCTION("IF(T1019=""是"",TEXTJOIN("""", TRUE, ""$"", TO_TEXT(C1019), S1019),"""")"),"$4800汽車燃料費")</f>
        <v>$4800汽車燃料費</v>
      </c>
    </row>
    <row r="1020">
      <c r="A1020" s="58">
        <f>IFERROR(__xludf.DUMMYFUNCTION("INDIRECT(""'收支紀錄'!A""&amp;TO_TEXT(ROW()-$C$72))"),45857.83906989583)</f>
        <v>45857.83907</v>
      </c>
      <c r="B1020" s="59">
        <f>IFERROR(__xludf.DUMMYFUNCTION("IF(ISBLANK(D1020), """", IF(ISDATE(D1020), D1020, IF(D1020=""今天"", A1020, IF(D1020=""昨天 (-1 day)"", A1020-1, IF(D1020=""前天 (-2 days)"", A1020-2, IF(D1020=""明天 (+1 day)"", A1020+1, DATE(LEFT(D1020,4), MID(D1020,5,2), RIGHT(D1020,2))))))))"),45857.83906989583)</f>
        <v>45857.83907</v>
      </c>
      <c r="C1020" s="60">
        <f>IFERROR(__xludf.DUMMYFUNCTION("INDIRECT(""'收支紀錄'!C""&amp;TO_TEXT(ROW()-$C$72))"),450.0)</f>
        <v>450</v>
      </c>
      <c r="D1020" s="63" t="str">
        <f>IFERROR(__xludf.DUMMYFUNCTION("INDIRECT(""'收支紀錄'!D""&amp;TO_TEXT(ROW()-$C$72))"),"今天")</f>
        <v>今天</v>
      </c>
      <c r="E1020" s="61" t="str">
        <f>IFERROR(__xludf.DUMMYFUNCTION("INDIRECT(""'收支紀錄'!E""&amp;TO_TEXT(ROW()-$C$72))"),"")</f>
        <v/>
      </c>
      <c r="F1020" s="61" t="str">
        <f>IFERROR(__xludf.DUMMYFUNCTION("INDIRECT(""'收支紀錄'!F""&amp;TO_TEXT(ROW()-$C$72))"),"")</f>
        <v/>
      </c>
      <c r="G1020" s="61" t="str">
        <f>IFERROR(__xludf.DUMMYFUNCTION("INDIRECT(""'收支紀錄'!G""&amp;TO_TEXT(ROW()-$C$72))"),"")</f>
        <v/>
      </c>
      <c r="H1020" s="61" t="str">
        <f>IFERROR(__xludf.DUMMYFUNCTION("INDIRECT(""'收支紀錄'!H""&amp;TO_TEXT(ROW()-$C$72))"),"行車交通")</f>
        <v>行車交通</v>
      </c>
      <c r="I1020" s="61" t="str">
        <f>IFERROR(__xludf.DUMMYFUNCTION("INDIRECT(""'收支紀錄'!I""&amp;TO_TEXT(ROW()-$C$72))"),"")</f>
        <v/>
      </c>
      <c r="J1020" s="61" t="str">
        <f>IFERROR(__xludf.DUMMYFUNCTION("INDIRECT(""'收支紀錄'!J""&amp;TO_TEXT(ROW()-$C$72))"),"")</f>
        <v/>
      </c>
      <c r="K1020" s="61" t="str">
        <f>IFERROR(__xludf.DUMMYFUNCTION("INDIRECT(""'收支紀錄'!K""&amp;TO_TEXT(ROW()-$C$72))"),"")</f>
        <v/>
      </c>
      <c r="L1020" s="61" t="str">
        <f>IFERROR(__xludf.DUMMYFUNCTION("INDIRECT(""'收支紀錄'!L""&amp;TO_TEXT(ROW()-$C$72))"),"車-保險稅金")</f>
        <v>車-保險稅金</v>
      </c>
      <c r="M1020" s="61" t="str">
        <f>IFERROR(__xludf.DUMMYFUNCTION("INDIRECT(""'收支紀錄'!M""&amp;TO_TEXT(ROW()-$C$72))"),"")</f>
        <v/>
      </c>
      <c r="N1020" s="61" t="str">
        <f>IFERROR(__xludf.DUMMYFUNCTION("INDIRECT(""'收支紀錄'!N""&amp;TO_TEXT(ROW()-$C$72))"),"")</f>
        <v/>
      </c>
      <c r="O1020" s="61" t="str">
        <f>IFERROR(__xludf.DUMMYFUNCTION("INDIRECT(""'收支紀錄'!O""&amp;TO_TEXT(ROW()-$C$72))"),"")</f>
        <v/>
      </c>
      <c r="P1020" s="61" t="str">
        <f>IFERROR(__xludf.DUMMYFUNCTION("INDIRECT(""'收支紀錄'!P""&amp;TO_TEXT(ROW()-$C$72))"),"")</f>
        <v/>
      </c>
      <c r="Q1020" s="61" t="str">
        <f>IFERROR(__xludf.DUMMYFUNCTION("INDIRECT(""'收支紀錄'!Q""&amp;TO_TEXT(ROW()-$C$72))"),"")</f>
        <v/>
      </c>
      <c r="R1020" s="61" t="str">
        <f>IFERROR(__xludf.DUMMYFUNCTION("INDIRECT(""'收支紀錄'!R""&amp;TO_TEXT(ROW()-$C$72))"),"")</f>
        <v/>
      </c>
      <c r="S1020" s="61" t="str">
        <f>IFERROR(__xludf.DUMMYFUNCTION("INDIRECT(""'收支紀錄'!S""&amp;TO_TEXT(ROW()-$C$72))"),"機車燃料費")</f>
        <v>機車燃料費</v>
      </c>
      <c r="T1020" s="61" t="str">
        <f>IFERROR(__xludf.DUMMYFUNCTION("INDIRECT(""'收支紀錄'!T""&amp;TO_TEXT(ROW()-$C$72))"),"")</f>
        <v/>
      </c>
      <c r="U1020" s="62" t="str">
        <f>IFERROR(__xludf.DUMMYFUNCTION("IF(T1020=""是"",TEXTJOIN("""", TRUE, ""$"", TO_TEXT(C1020), S1020),"""")"),"")</f>
        <v/>
      </c>
    </row>
    <row r="1021">
      <c r="A1021" s="58">
        <f>IFERROR(__xludf.DUMMYFUNCTION("INDIRECT(""'收支紀錄'!A""&amp;TO_TEXT(ROW()-$C$72))"),45858.65124037037)</f>
        <v>45858.65124</v>
      </c>
      <c r="B1021" s="59">
        <f>IFERROR(__xludf.DUMMYFUNCTION("IF(ISBLANK(D1021), """", IF(ISDATE(D1021), D1021, IF(D1021=""今天"", A1021, IF(D1021=""昨天 (-1 day)"", A1021-1, IF(D1021=""前天 (-2 days)"", A1021-2, IF(D1021=""明天 (+1 day)"", A1021+1, DATE(LEFT(D1021,4), MID(D1021,5,2), RIGHT(D1021,2))))))))"),45858.65124037037)</f>
        <v>45858.65124</v>
      </c>
      <c r="C1021" s="60">
        <f>IFERROR(__xludf.DUMMYFUNCTION("INDIRECT(""'收支紀錄'!C""&amp;TO_TEXT(ROW()-$C$72))"),35.0)</f>
        <v>35</v>
      </c>
      <c r="D1021" s="63" t="str">
        <f>IFERROR(__xludf.DUMMYFUNCTION("INDIRECT(""'收支紀錄'!D""&amp;TO_TEXT(ROW()-$C$72))"),"今天")</f>
        <v>今天</v>
      </c>
      <c r="E1021" s="61" t="str">
        <f>IFERROR(__xludf.DUMMYFUNCTION("INDIRECT(""'收支紀錄'!E""&amp;TO_TEXT(ROW()-$C$72))"),"")</f>
        <v/>
      </c>
      <c r="F1021" s="61" t="str">
        <f>IFERROR(__xludf.DUMMYFUNCTION("INDIRECT(""'收支紀錄'!F""&amp;TO_TEXT(ROW()-$C$72))"),"")</f>
        <v/>
      </c>
      <c r="G1021" s="61" t="str">
        <f>IFERROR(__xludf.DUMMYFUNCTION("INDIRECT(""'收支紀錄'!G""&amp;TO_TEXT(ROW()-$C$72))"),"")</f>
        <v/>
      </c>
      <c r="H1021" s="61" t="str">
        <f>IFERROR(__xludf.DUMMYFUNCTION("INDIRECT(""'收支紀錄'!H""&amp;TO_TEXT(ROW()-$C$72))"),"行車交通")</f>
        <v>行車交通</v>
      </c>
      <c r="I1021" s="61" t="str">
        <f>IFERROR(__xludf.DUMMYFUNCTION("INDIRECT(""'收支紀錄'!I""&amp;TO_TEXT(ROW()-$C$72))"),"")</f>
        <v/>
      </c>
      <c r="J1021" s="61" t="str">
        <f>IFERROR(__xludf.DUMMYFUNCTION("INDIRECT(""'收支紀錄'!J""&amp;TO_TEXT(ROW()-$C$72))"),"")</f>
        <v/>
      </c>
      <c r="K1021" s="61" t="str">
        <f>IFERROR(__xludf.DUMMYFUNCTION("INDIRECT(""'收支紀錄'!K""&amp;TO_TEXT(ROW()-$C$72))"),"")</f>
        <v/>
      </c>
      <c r="L1021" s="61" t="str">
        <f>IFERROR(__xludf.DUMMYFUNCTION("INDIRECT(""'收支紀錄'!L""&amp;TO_TEXT(ROW()-$C$72))"),"捷運費")</f>
        <v>捷運費</v>
      </c>
      <c r="M1021" s="61" t="str">
        <f>IFERROR(__xludf.DUMMYFUNCTION("INDIRECT(""'收支紀錄'!M""&amp;TO_TEXT(ROW()-$C$72))"),"")</f>
        <v/>
      </c>
      <c r="N1021" s="61" t="str">
        <f>IFERROR(__xludf.DUMMYFUNCTION("INDIRECT(""'收支紀錄'!N""&amp;TO_TEXT(ROW()-$C$72))"),"")</f>
        <v/>
      </c>
      <c r="O1021" s="61" t="str">
        <f>IFERROR(__xludf.DUMMYFUNCTION("INDIRECT(""'收支紀錄'!O""&amp;TO_TEXT(ROW()-$C$72))"),"")</f>
        <v/>
      </c>
      <c r="P1021" s="61" t="str">
        <f>IFERROR(__xludf.DUMMYFUNCTION("INDIRECT(""'收支紀錄'!P""&amp;TO_TEXT(ROW()-$C$72))"),"")</f>
        <v/>
      </c>
      <c r="Q1021" s="61" t="str">
        <f>IFERROR(__xludf.DUMMYFUNCTION("INDIRECT(""'收支紀錄'!Q""&amp;TO_TEXT(ROW()-$C$72))"),"")</f>
        <v/>
      </c>
      <c r="R1021" s="61" t="str">
        <f>IFERROR(__xludf.DUMMYFUNCTION("INDIRECT(""'收支紀錄'!R""&amp;TO_TEXT(ROW()-$C$72))"),"")</f>
        <v/>
      </c>
      <c r="S1021" s="61" t="str">
        <f>IFERROR(__xludf.DUMMYFUNCTION("INDIRECT(""'收支紀錄'!S""&amp;TO_TEXT(ROW()-$C$72))"),"")</f>
        <v/>
      </c>
      <c r="T1021" s="61" t="str">
        <f>IFERROR(__xludf.DUMMYFUNCTION("INDIRECT(""'收支紀錄'!T""&amp;TO_TEXT(ROW()-$C$72))"),"")</f>
        <v/>
      </c>
      <c r="U1021" s="62" t="str">
        <f>IFERROR(__xludf.DUMMYFUNCTION("IF(T1021=""是"",TEXTJOIN("""", TRUE, ""$"", TO_TEXT(C1021), S1021),"""")"),"")</f>
        <v/>
      </c>
    </row>
    <row r="1022">
      <c r="A1022" s="58">
        <f>IFERROR(__xludf.DUMMYFUNCTION("INDIRECT(""'收支紀錄'!A""&amp;TO_TEXT(ROW()-$C$72))"),45858.65141615741)</f>
        <v>45858.65142</v>
      </c>
      <c r="B1022" s="59">
        <f>IFERROR(__xludf.DUMMYFUNCTION("IF(ISBLANK(D1022), """", IF(ISDATE(D1022), D1022, IF(D1022=""今天"", A1022, IF(D1022=""昨天 (-1 day)"", A1022-1, IF(D1022=""前天 (-2 days)"", A1022-2, IF(D1022=""明天 (+1 day)"", A1022+1, DATE(LEFT(D1022,4), MID(D1022,5,2), RIGHT(D1022,2))))))))"),45858.65141615741)</f>
        <v>45858.65142</v>
      </c>
      <c r="C1022" s="60">
        <f>IFERROR(__xludf.DUMMYFUNCTION("INDIRECT(""'收支紀錄'!C""&amp;TO_TEXT(ROW()-$C$72))"),765.0)</f>
        <v>765</v>
      </c>
      <c r="D1022" s="63" t="str">
        <f>IFERROR(__xludf.DUMMYFUNCTION("INDIRECT(""'收支紀錄'!D""&amp;TO_TEXT(ROW()-$C$72))"),"今天")</f>
        <v>今天</v>
      </c>
      <c r="E1022" s="61" t="str">
        <f>IFERROR(__xludf.DUMMYFUNCTION("INDIRECT(""'收支紀錄'!E""&amp;TO_TEXT(ROW()-$C$72))"),"")</f>
        <v/>
      </c>
      <c r="F1022" s="61" t="str">
        <f>IFERROR(__xludf.DUMMYFUNCTION("INDIRECT(""'收支紀錄'!F""&amp;TO_TEXT(ROW()-$C$72))"),"")</f>
        <v/>
      </c>
      <c r="G1022" s="61" t="str">
        <f>IFERROR(__xludf.DUMMYFUNCTION("INDIRECT(""'收支紀錄'!G""&amp;TO_TEXT(ROW()-$C$72))"),"")</f>
        <v/>
      </c>
      <c r="H1022" s="61" t="str">
        <f>IFERROR(__xludf.DUMMYFUNCTION("INDIRECT(""'收支紀錄'!H""&amp;TO_TEXT(ROW()-$C$72))"),"行車交通")</f>
        <v>行車交通</v>
      </c>
      <c r="I1022" s="61" t="str">
        <f>IFERROR(__xludf.DUMMYFUNCTION("INDIRECT(""'收支紀錄'!I""&amp;TO_TEXT(ROW()-$C$72))"),"")</f>
        <v/>
      </c>
      <c r="J1022" s="61" t="str">
        <f>IFERROR(__xludf.DUMMYFUNCTION("INDIRECT(""'收支紀錄'!J""&amp;TO_TEXT(ROW()-$C$72))"),"")</f>
        <v/>
      </c>
      <c r="K1022" s="61" t="str">
        <f>IFERROR(__xludf.DUMMYFUNCTION("INDIRECT(""'收支紀錄'!K""&amp;TO_TEXT(ROW()-$C$72))"),"")</f>
        <v/>
      </c>
      <c r="L1022" s="61" t="str">
        <f>IFERROR(__xludf.DUMMYFUNCTION("INDIRECT(""'收支紀錄'!L""&amp;TO_TEXT(ROW()-$C$72))"),"高鐵")</f>
        <v>高鐵</v>
      </c>
      <c r="M1022" s="61" t="str">
        <f>IFERROR(__xludf.DUMMYFUNCTION("INDIRECT(""'收支紀錄'!M""&amp;TO_TEXT(ROW()-$C$72))"),"")</f>
        <v/>
      </c>
      <c r="N1022" s="61" t="str">
        <f>IFERROR(__xludf.DUMMYFUNCTION("INDIRECT(""'收支紀錄'!N""&amp;TO_TEXT(ROW()-$C$72))"),"")</f>
        <v/>
      </c>
      <c r="O1022" s="61" t="str">
        <f>IFERROR(__xludf.DUMMYFUNCTION("INDIRECT(""'收支紀錄'!O""&amp;TO_TEXT(ROW()-$C$72))"),"")</f>
        <v/>
      </c>
      <c r="P1022" s="61" t="str">
        <f>IFERROR(__xludf.DUMMYFUNCTION("INDIRECT(""'收支紀錄'!P""&amp;TO_TEXT(ROW()-$C$72))"),"")</f>
        <v/>
      </c>
      <c r="Q1022" s="61" t="str">
        <f>IFERROR(__xludf.DUMMYFUNCTION("INDIRECT(""'收支紀錄'!Q""&amp;TO_TEXT(ROW()-$C$72))"),"")</f>
        <v/>
      </c>
      <c r="R1022" s="61" t="str">
        <f>IFERROR(__xludf.DUMMYFUNCTION("INDIRECT(""'收支紀錄'!R""&amp;TO_TEXT(ROW()-$C$72))"),"")</f>
        <v/>
      </c>
      <c r="S1022" s="61" t="str">
        <f>IFERROR(__xludf.DUMMYFUNCTION("INDIRECT(""'收支紀錄'!S""&amp;TO_TEXT(ROW()-$C$72))"),"")</f>
        <v/>
      </c>
      <c r="T1022" s="61" t="str">
        <f>IFERROR(__xludf.DUMMYFUNCTION("INDIRECT(""'收支紀錄'!T""&amp;TO_TEXT(ROW()-$C$72))"),"")</f>
        <v/>
      </c>
      <c r="U1022" s="62" t="str">
        <f>IFERROR(__xludf.DUMMYFUNCTION("IF(T1022=""是"",TEXTJOIN("""", TRUE, ""$"", TO_TEXT(C1022), S1022),"""")"),"")</f>
        <v/>
      </c>
    </row>
    <row r="1023">
      <c r="A1023" s="58">
        <f>IFERROR(__xludf.DUMMYFUNCTION("INDIRECT(""'收支紀錄'!A""&amp;TO_TEXT(ROW()-$C$72))"),45859.286549537035)</f>
        <v>45859.28655</v>
      </c>
      <c r="B1023" s="59">
        <f>IFERROR(__xludf.DUMMYFUNCTION("IF(ISBLANK(D1023), """", IF(ISDATE(D1023), D1023, IF(D1023=""今天"", A1023, IF(D1023=""昨天 (-1 day)"", A1023-1, IF(D1023=""前天 (-2 days)"", A1023-2, IF(D1023=""明天 (+1 day)"", A1023+1, DATE(LEFT(D1023,4), MID(D1023,5,2), RIGHT(D1023,2))))))))"),45858.286549537035)</f>
        <v>45858.28655</v>
      </c>
      <c r="C1023" s="60">
        <f>IFERROR(__xludf.DUMMYFUNCTION("INDIRECT(""'收支紀錄'!C""&amp;TO_TEXT(ROW()-$C$72))"),660.0)</f>
        <v>660</v>
      </c>
      <c r="D1023" s="63" t="str">
        <f>IFERROR(__xludf.DUMMYFUNCTION("INDIRECT(""'收支紀錄'!D""&amp;TO_TEXT(ROW()-$C$72))"),"昨天 (-1 day)")</f>
        <v>昨天 (-1 day)</v>
      </c>
      <c r="E1023" s="61" t="str">
        <f>IFERROR(__xludf.DUMMYFUNCTION("INDIRECT(""'收支紀錄'!E""&amp;TO_TEXT(ROW()-$C$72))"),"")</f>
        <v/>
      </c>
      <c r="F1023" s="61" t="str">
        <f>IFERROR(__xludf.DUMMYFUNCTION("INDIRECT(""'收支紀錄'!F""&amp;TO_TEXT(ROW()-$C$72))"),"")</f>
        <v/>
      </c>
      <c r="G1023" s="61" t="str">
        <f>IFERROR(__xludf.DUMMYFUNCTION("INDIRECT(""'收支紀錄'!G""&amp;TO_TEXT(ROW()-$C$72))"),"")</f>
        <v/>
      </c>
      <c r="H1023" s="61" t="str">
        <f>IFERROR(__xludf.DUMMYFUNCTION("INDIRECT(""'收支紀錄'!H""&amp;TO_TEXT(ROW()-$C$72))"),"食品酒水")</f>
        <v>食品酒水</v>
      </c>
      <c r="I1023" s="61" t="str">
        <f>IFERROR(__xludf.DUMMYFUNCTION("INDIRECT(""'收支紀錄'!I""&amp;TO_TEXT(ROW()-$C$72))"),"晚餐")</f>
        <v>晚餐</v>
      </c>
      <c r="J1023" s="61" t="str">
        <f>IFERROR(__xludf.DUMMYFUNCTION("INDIRECT(""'收支紀錄'!J""&amp;TO_TEXT(ROW()-$C$72))"),"")</f>
        <v/>
      </c>
      <c r="K1023" s="61" t="str">
        <f>IFERROR(__xludf.DUMMYFUNCTION("INDIRECT(""'收支紀錄'!K""&amp;TO_TEXT(ROW()-$C$72))"),"")</f>
        <v/>
      </c>
      <c r="L1023" s="61" t="str">
        <f>IFERROR(__xludf.DUMMYFUNCTION("INDIRECT(""'收支紀錄'!L""&amp;TO_TEXT(ROW()-$C$72))"),"")</f>
        <v/>
      </c>
      <c r="M1023" s="61" t="str">
        <f>IFERROR(__xludf.DUMMYFUNCTION("INDIRECT(""'收支紀錄'!M""&amp;TO_TEXT(ROW()-$C$72))"),"")</f>
        <v/>
      </c>
      <c r="N1023" s="61" t="str">
        <f>IFERROR(__xludf.DUMMYFUNCTION("INDIRECT(""'收支紀錄'!N""&amp;TO_TEXT(ROW()-$C$72))"),"")</f>
        <v/>
      </c>
      <c r="O1023" s="61" t="str">
        <f>IFERROR(__xludf.DUMMYFUNCTION("INDIRECT(""'收支紀錄'!O""&amp;TO_TEXT(ROW()-$C$72))"),"")</f>
        <v/>
      </c>
      <c r="P1023" s="61" t="str">
        <f>IFERROR(__xludf.DUMMYFUNCTION("INDIRECT(""'收支紀錄'!P""&amp;TO_TEXT(ROW()-$C$72))"),"")</f>
        <v/>
      </c>
      <c r="Q1023" s="61" t="str">
        <f>IFERROR(__xludf.DUMMYFUNCTION("INDIRECT(""'收支紀錄'!Q""&amp;TO_TEXT(ROW()-$C$72))"),"")</f>
        <v/>
      </c>
      <c r="R1023" s="61" t="str">
        <f>IFERROR(__xludf.DUMMYFUNCTION("INDIRECT(""'收支紀錄'!R""&amp;TO_TEXT(ROW()-$C$72))"),"")</f>
        <v/>
      </c>
      <c r="S1023" s="61" t="str">
        <f>IFERROR(__xludf.DUMMYFUNCTION("INDIRECT(""'收支紀錄'!S""&amp;TO_TEXT(ROW()-$C$72))"),"")</f>
        <v/>
      </c>
      <c r="T1023" s="61" t="str">
        <f>IFERROR(__xludf.DUMMYFUNCTION("INDIRECT(""'收支紀錄'!T""&amp;TO_TEXT(ROW()-$C$72))"),"")</f>
        <v/>
      </c>
      <c r="U1023" s="62" t="str">
        <f>IFERROR(__xludf.DUMMYFUNCTION("IF(T1023=""是"",TEXTJOIN("""", TRUE, ""$"", TO_TEXT(C1023), S1023),"""")"),"")</f>
        <v/>
      </c>
    </row>
    <row r="1024">
      <c r="A1024" s="58">
        <f>IFERROR(__xludf.DUMMYFUNCTION("INDIRECT(""'收支紀錄'!A""&amp;TO_TEXT(ROW()-$C$72))"),45859.28681466435)</f>
        <v>45859.28681</v>
      </c>
      <c r="B1024" s="59">
        <f>IFERROR(__xludf.DUMMYFUNCTION("IF(ISBLANK(D1024), """", IF(ISDATE(D1024), D1024, IF(D1024=""今天"", A1024, IF(D1024=""昨天 (-1 day)"", A1024-1, IF(D1024=""前天 (-2 days)"", A1024-2, IF(D1024=""明天 (+1 day)"", A1024+1, DATE(LEFT(D1024,4), MID(D1024,5,2), RIGHT(D1024,2))))))))"),45858.28681466435)</f>
        <v>45858.28681</v>
      </c>
      <c r="C1024" s="60">
        <f>IFERROR(__xludf.DUMMYFUNCTION("INDIRECT(""'收支紀錄'!C""&amp;TO_TEXT(ROW()-$C$72))"),183.0)</f>
        <v>183</v>
      </c>
      <c r="D1024" s="63" t="str">
        <f>IFERROR(__xludf.DUMMYFUNCTION("INDIRECT(""'收支紀錄'!D""&amp;TO_TEXT(ROW()-$C$72))"),"昨天 (-1 day)")</f>
        <v>昨天 (-1 day)</v>
      </c>
      <c r="E1024" s="61" t="str">
        <f>IFERROR(__xludf.DUMMYFUNCTION("INDIRECT(""'收支紀錄'!E""&amp;TO_TEXT(ROW()-$C$72))"),"")</f>
        <v/>
      </c>
      <c r="F1024" s="61" t="str">
        <f>IFERROR(__xludf.DUMMYFUNCTION("INDIRECT(""'收支紀錄'!F""&amp;TO_TEXT(ROW()-$C$72))"),"")</f>
        <v/>
      </c>
      <c r="G1024" s="61" t="str">
        <f>IFERROR(__xludf.DUMMYFUNCTION("INDIRECT(""'收支紀錄'!G""&amp;TO_TEXT(ROW()-$C$72))"),"")</f>
        <v/>
      </c>
      <c r="H1024" s="61" t="str">
        <f>IFERROR(__xludf.DUMMYFUNCTION("INDIRECT(""'收支紀錄'!H""&amp;TO_TEXT(ROW()-$C$72))"),"食品酒水")</f>
        <v>食品酒水</v>
      </c>
      <c r="I1024" s="61" t="str">
        <f>IFERROR(__xludf.DUMMYFUNCTION("INDIRECT(""'收支紀錄'!I""&amp;TO_TEXT(ROW()-$C$72))"),"食材")</f>
        <v>食材</v>
      </c>
      <c r="J1024" s="61" t="str">
        <f>IFERROR(__xludf.DUMMYFUNCTION("INDIRECT(""'收支紀錄'!J""&amp;TO_TEXT(ROW()-$C$72))"),"")</f>
        <v/>
      </c>
      <c r="K1024" s="61" t="str">
        <f>IFERROR(__xludf.DUMMYFUNCTION("INDIRECT(""'收支紀錄'!K""&amp;TO_TEXT(ROW()-$C$72))"),"")</f>
        <v/>
      </c>
      <c r="L1024" s="61" t="str">
        <f>IFERROR(__xludf.DUMMYFUNCTION("INDIRECT(""'收支紀錄'!L""&amp;TO_TEXT(ROW()-$C$72))"),"")</f>
        <v/>
      </c>
      <c r="M1024" s="61" t="str">
        <f>IFERROR(__xludf.DUMMYFUNCTION("INDIRECT(""'收支紀錄'!M""&amp;TO_TEXT(ROW()-$C$72))"),"")</f>
        <v/>
      </c>
      <c r="N1024" s="61" t="str">
        <f>IFERROR(__xludf.DUMMYFUNCTION("INDIRECT(""'收支紀錄'!N""&amp;TO_TEXT(ROW()-$C$72))"),"")</f>
        <v/>
      </c>
      <c r="O1024" s="61" t="str">
        <f>IFERROR(__xludf.DUMMYFUNCTION("INDIRECT(""'收支紀錄'!O""&amp;TO_TEXT(ROW()-$C$72))"),"")</f>
        <v/>
      </c>
      <c r="P1024" s="61" t="str">
        <f>IFERROR(__xludf.DUMMYFUNCTION("INDIRECT(""'收支紀錄'!P""&amp;TO_TEXT(ROW()-$C$72))"),"")</f>
        <v/>
      </c>
      <c r="Q1024" s="61" t="str">
        <f>IFERROR(__xludf.DUMMYFUNCTION("INDIRECT(""'收支紀錄'!Q""&amp;TO_TEXT(ROW()-$C$72))"),"")</f>
        <v/>
      </c>
      <c r="R1024" s="61" t="str">
        <f>IFERROR(__xludf.DUMMYFUNCTION("INDIRECT(""'收支紀錄'!R""&amp;TO_TEXT(ROW()-$C$72))"),"")</f>
        <v/>
      </c>
      <c r="S1024" s="61" t="str">
        <f>IFERROR(__xludf.DUMMYFUNCTION("INDIRECT(""'收支紀錄'!S""&amp;TO_TEXT(ROW()-$C$72))"),"")</f>
        <v/>
      </c>
      <c r="T1024" s="61" t="str">
        <f>IFERROR(__xludf.DUMMYFUNCTION("INDIRECT(""'收支紀錄'!T""&amp;TO_TEXT(ROW()-$C$72))"),"")</f>
        <v/>
      </c>
      <c r="U1024" s="62" t="str">
        <f>IFERROR(__xludf.DUMMYFUNCTION("IF(T1024=""是"",TEXTJOIN("""", TRUE, ""$"", TO_TEXT(C1024), S1024),"""")"),"")</f>
        <v/>
      </c>
    </row>
    <row r="1025">
      <c r="A1025" s="58">
        <f>IFERROR(__xludf.DUMMYFUNCTION("INDIRECT(""'收支紀錄'!A""&amp;TO_TEXT(ROW()-$C$72))"),45859.28752734954)</f>
        <v>45859.28753</v>
      </c>
      <c r="B1025" s="59">
        <f>IFERROR(__xludf.DUMMYFUNCTION("IF(ISBLANK(D1025), """", IF(ISDATE(D1025), D1025, IF(D1025=""今天"", A1025, IF(D1025=""昨天 (-1 day)"", A1025-1, IF(D1025=""前天 (-2 days)"", A1025-2, IF(D1025=""明天 (+1 day)"", A1025+1, DATE(LEFT(D1025,4), MID(D1025,5,2), RIGHT(D1025,2))))))))"),45858.28752734954)</f>
        <v>45858.28753</v>
      </c>
      <c r="C1025" s="60">
        <f>IFERROR(__xludf.DUMMYFUNCTION("INDIRECT(""'收支紀錄'!C""&amp;TO_TEXT(ROW()-$C$72))"),803.0)</f>
        <v>803</v>
      </c>
      <c r="D1025" s="63" t="str">
        <f>IFERROR(__xludf.DUMMYFUNCTION("INDIRECT(""'收支紀錄'!D""&amp;TO_TEXT(ROW()-$C$72))"),"昨天 (-1 day)")</f>
        <v>昨天 (-1 day)</v>
      </c>
      <c r="E1025" s="61" t="str">
        <f>IFERROR(__xludf.DUMMYFUNCTION("INDIRECT(""'收支紀錄'!E""&amp;TO_TEXT(ROW()-$C$72))"),"")</f>
        <v/>
      </c>
      <c r="F1025" s="61" t="str">
        <f>IFERROR(__xludf.DUMMYFUNCTION("INDIRECT(""'收支紀錄'!F""&amp;TO_TEXT(ROW()-$C$72))"),"")</f>
        <v/>
      </c>
      <c r="G1025" s="61" t="str">
        <f>IFERROR(__xludf.DUMMYFUNCTION("INDIRECT(""'收支紀錄'!G""&amp;TO_TEXT(ROW()-$C$72))"),"")</f>
        <v/>
      </c>
      <c r="H1025" s="61" t="str">
        <f>IFERROR(__xludf.DUMMYFUNCTION("INDIRECT(""'收支紀錄'!H""&amp;TO_TEXT(ROW()-$C$72))"),"行車交通")</f>
        <v>行車交通</v>
      </c>
      <c r="I1025" s="61" t="str">
        <f>IFERROR(__xludf.DUMMYFUNCTION("INDIRECT(""'收支紀錄'!I""&amp;TO_TEXT(ROW()-$C$72))"),"")</f>
        <v/>
      </c>
      <c r="J1025" s="61" t="str">
        <f>IFERROR(__xludf.DUMMYFUNCTION("INDIRECT(""'收支紀錄'!J""&amp;TO_TEXT(ROW()-$C$72))"),"")</f>
        <v/>
      </c>
      <c r="K1025" s="61" t="str">
        <f>IFERROR(__xludf.DUMMYFUNCTION("INDIRECT(""'收支紀錄'!K""&amp;TO_TEXT(ROW()-$C$72))"),"")</f>
        <v/>
      </c>
      <c r="L1025" s="61" t="str">
        <f>IFERROR(__xludf.DUMMYFUNCTION("INDIRECT(""'收支紀錄'!L""&amp;TO_TEXT(ROW()-$C$72))"),"加油")</f>
        <v>加油</v>
      </c>
      <c r="M1025" s="61" t="str">
        <f>IFERROR(__xludf.DUMMYFUNCTION("INDIRECT(""'收支紀錄'!M""&amp;TO_TEXT(ROW()-$C$72))"),"")</f>
        <v/>
      </c>
      <c r="N1025" s="61" t="str">
        <f>IFERROR(__xludf.DUMMYFUNCTION("INDIRECT(""'收支紀錄'!N""&amp;TO_TEXT(ROW()-$C$72))"),"")</f>
        <v/>
      </c>
      <c r="O1025" s="61" t="str">
        <f>IFERROR(__xludf.DUMMYFUNCTION("INDIRECT(""'收支紀錄'!O""&amp;TO_TEXT(ROW()-$C$72))"),"")</f>
        <v/>
      </c>
      <c r="P1025" s="61" t="str">
        <f>IFERROR(__xludf.DUMMYFUNCTION("INDIRECT(""'收支紀錄'!P""&amp;TO_TEXT(ROW()-$C$72))"),"")</f>
        <v/>
      </c>
      <c r="Q1025" s="61" t="str">
        <f>IFERROR(__xludf.DUMMYFUNCTION("INDIRECT(""'收支紀錄'!Q""&amp;TO_TEXT(ROW()-$C$72))"),"")</f>
        <v/>
      </c>
      <c r="R1025" s="61" t="str">
        <f>IFERROR(__xludf.DUMMYFUNCTION("INDIRECT(""'收支紀錄'!R""&amp;TO_TEXT(ROW()-$C$72))"),"")</f>
        <v/>
      </c>
      <c r="S1025" s="61" t="str">
        <f>IFERROR(__xludf.DUMMYFUNCTION("INDIRECT(""'收支紀錄'!S""&amp;TO_TEXT(ROW()-$C$72))"),"")</f>
        <v/>
      </c>
      <c r="T1025" s="61" t="str">
        <f>IFERROR(__xludf.DUMMYFUNCTION("INDIRECT(""'收支紀錄'!T""&amp;TO_TEXT(ROW()-$C$72))"),"")</f>
        <v/>
      </c>
      <c r="U1025" s="62" t="str">
        <f>IFERROR(__xludf.DUMMYFUNCTION("IF(T1025=""是"",TEXTJOIN("""", TRUE, ""$"", TO_TEXT(C1025), S1025),"""")"),"")</f>
        <v/>
      </c>
    </row>
    <row r="1026">
      <c r="A1026" s="58">
        <f>IFERROR(__xludf.DUMMYFUNCTION("INDIRECT(""'收支紀錄'!A""&amp;TO_TEXT(ROW()-$C$72))"),45859.35014709491)</f>
        <v>45859.35015</v>
      </c>
      <c r="B1026" s="59">
        <f>IFERROR(__xludf.DUMMYFUNCTION("IF(ISBLANK(D1026), """", IF(ISDATE(D1026), D1026, IF(D1026=""今天"", A1026, IF(D1026=""昨天 (-1 day)"", A1026-1, IF(D1026=""前天 (-2 days)"", A1026-2, IF(D1026=""明天 (+1 day)"", A1026+1, DATE(LEFT(D1026,4), MID(D1026,5,2), RIGHT(D1026,2))))))))"),45859.35014709491)</f>
        <v>45859.35015</v>
      </c>
      <c r="C1026" s="60">
        <f>IFERROR(__xludf.DUMMYFUNCTION("INDIRECT(""'收支紀錄'!C""&amp;TO_TEXT(ROW()-$C$72))"),535.0)</f>
        <v>535</v>
      </c>
      <c r="D1026" s="63" t="str">
        <f>IFERROR(__xludf.DUMMYFUNCTION("INDIRECT(""'收支紀錄'!D""&amp;TO_TEXT(ROW()-$C$72))"),"今天")</f>
        <v>今天</v>
      </c>
      <c r="E1026" s="61" t="str">
        <f>IFERROR(__xludf.DUMMYFUNCTION("INDIRECT(""'收支紀錄'!E""&amp;TO_TEXT(ROW()-$C$72))"),"")</f>
        <v/>
      </c>
      <c r="F1026" s="61" t="str">
        <f>IFERROR(__xludf.DUMMYFUNCTION("INDIRECT(""'收支紀錄'!F""&amp;TO_TEXT(ROW()-$C$72))"),"")</f>
        <v/>
      </c>
      <c r="G1026" s="61" t="str">
        <f>IFERROR(__xludf.DUMMYFUNCTION("INDIRECT(""'收支紀錄'!G""&amp;TO_TEXT(ROW()-$C$72))"),"")</f>
        <v/>
      </c>
      <c r="H1026" s="61" t="str">
        <f>IFERROR(__xludf.DUMMYFUNCTION("INDIRECT(""'收支紀錄'!H""&amp;TO_TEXT(ROW()-$C$72))"),"日常生活")</f>
        <v>日常生活</v>
      </c>
      <c r="I1026" s="61" t="str">
        <f>IFERROR(__xludf.DUMMYFUNCTION("INDIRECT(""'收支紀錄'!I""&amp;TO_TEXT(ROW()-$C$72))"),"")</f>
        <v/>
      </c>
      <c r="J1026" s="61" t="str">
        <f>IFERROR(__xludf.DUMMYFUNCTION("INDIRECT(""'收支紀錄'!J""&amp;TO_TEXT(ROW()-$C$72))"),"日常用品")</f>
        <v>日常用品</v>
      </c>
      <c r="K1026" s="61" t="str">
        <f>IFERROR(__xludf.DUMMYFUNCTION("INDIRECT(""'收支紀錄'!K""&amp;TO_TEXT(ROW()-$C$72))"),"")</f>
        <v/>
      </c>
      <c r="L1026" s="61" t="str">
        <f>IFERROR(__xludf.DUMMYFUNCTION("INDIRECT(""'收支紀錄'!L""&amp;TO_TEXT(ROW()-$C$72))"),"")</f>
        <v/>
      </c>
      <c r="M1026" s="61" t="str">
        <f>IFERROR(__xludf.DUMMYFUNCTION("INDIRECT(""'收支紀錄'!M""&amp;TO_TEXT(ROW()-$C$72))"),"")</f>
        <v/>
      </c>
      <c r="N1026" s="61" t="str">
        <f>IFERROR(__xludf.DUMMYFUNCTION("INDIRECT(""'收支紀錄'!N""&amp;TO_TEXT(ROW()-$C$72))"),"")</f>
        <v/>
      </c>
      <c r="O1026" s="61" t="str">
        <f>IFERROR(__xludf.DUMMYFUNCTION("INDIRECT(""'收支紀錄'!O""&amp;TO_TEXT(ROW()-$C$72))"),"")</f>
        <v/>
      </c>
      <c r="P1026" s="61" t="str">
        <f>IFERROR(__xludf.DUMMYFUNCTION("INDIRECT(""'收支紀錄'!P""&amp;TO_TEXT(ROW()-$C$72))"),"")</f>
        <v/>
      </c>
      <c r="Q1026" s="61" t="str">
        <f>IFERROR(__xludf.DUMMYFUNCTION("INDIRECT(""'收支紀錄'!Q""&amp;TO_TEXT(ROW()-$C$72))"),"")</f>
        <v/>
      </c>
      <c r="R1026" s="61" t="str">
        <f>IFERROR(__xludf.DUMMYFUNCTION("INDIRECT(""'收支紀錄'!R""&amp;TO_TEXT(ROW()-$C$72))"),"")</f>
        <v/>
      </c>
      <c r="S1026" s="61" t="str">
        <f>IFERROR(__xludf.DUMMYFUNCTION("INDIRECT(""'收支紀錄'!S""&amp;TO_TEXT(ROW()-$C$72))"),"拼多多")</f>
        <v>拼多多</v>
      </c>
      <c r="T1026" s="61" t="str">
        <f>IFERROR(__xludf.DUMMYFUNCTION("INDIRECT(""'收支紀錄'!T""&amp;TO_TEXT(ROW()-$C$72))"),"")</f>
        <v/>
      </c>
      <c r="U1026" s="62" t="str">
        <f>IFERROR(__xludf.DUMMYFUNCTION("IF(T1026=""是"",TEXTJOIN("""", TRUE, ""$"", TO_TEXT(C1026), S1026),"""")"),"")</f>
        <v/>
      </c>
    </row>
    <row r="1027">
      <c r="A1027" s="58">
        <f>IFERROR(__xludf.DUMMYFUNCTION("INDIRECT(""'收支紀錄'!A""&amp;TO_TEXT(ROW()-$C$72))"),45860.5581108912)</f>
        <v>45860.55811</v>
      </c>
      <c r="B1027" s="59">
        <f>IFERROR(__xludf.DUMMYFUNCTION("IF(ISBLANK(D1027), """", IF(ISDATE(D1027), D1027, IF(D1027=""今天"", A1027, IF(D1027=""昨天 (-1 day)"", A1027-1, IF(D1027=""前天 (-2 days)"", A1027-2, IF(D1027=""明天 (+1 day)"", A1027+1, DATE(LEFT(D1027,4), MID(D1027,5,2), RIGHT(D1027,2))))))))"),45860.5581108912)</f>
        <v>45860.55811</v>
      </c>
      <c r="C1027" s="60">
        <f>IFERROR(__xludf.DUMMYFUNCTION("INDIRECT(""'收支紀錄'!C""&amp;TO_TEXT(ROW()-$C$72))"),520.0)</f>
        <v>520</v>
      </c>
      <c r="D1027" s="63" t="str">
        <f>IFERROR(__xludf.DUMMYFUNCTION("INDIRECT(""'收支紀錄'!D""&amp;TO_TEXT(ROW()-$C$72))"),"今天")</f>
        <v>今天</v>
      </c>
      <c r="E1027" s="61" t="str">
        <f>IFERROR(__xludf.DUMMYFUNCTION("INDIRECT(""'收支紀錄'!E""&amp;TO_TEXT(ROW()-$C$72))"),"")</f>
        <v/>
      </c>
      <c r="F1027" s="61" t="str">
        <f>IFERROR(__xludf.DUMMYFUNCTION("INDIRECT(""'收支紀錄'!F""&amp;TO_TEXT(ROW()-$C$72))"),"")</f>
        <v/>
      </c>
      <c r="G1027" s="61" t="str">
        <f>IFERROR(__xludf.DUMMYFUNCTION("INDIRECT(""'收支紀錄'!G""&amp;TO_TEXT(ROW()-$C$72))"),"")</f>
        <v/>
      </c>
      <c r="H1027" s="61" t="str">
        <f>IFERROR(__xludf.DUMMYFUNCTION("INDIRECT(""'收支紀錄'!H""&amp;TO_TEXT(ROW()-$C$72))"),"日常生活")</f>
        <v>日常生活</v>
      </c>
      <c r="I1027" s="61" t="str">
        <f>IFERROR(__xludf.DUMMYFUNCTION("INDIRECT(""'收支紀錄'!I""&amp;TO_TEXT(ROW()-$C$72))"),"")</f>
        <v/>
      </c>
      <c r="J1027" s="61" t="str">
        <f>IFERROR(__xludf.DUMMYFUNCTION("INDIRECT(""'收支紀錄'!J""&amp;TO_TEXT(ROW()-$C$72))"),"日常用品")</f>
        <v>日常用品</v>
      </c>
      <c r="K1027" s="61" t="str">
        <f>IFERROR(__xludf.DUMMYFUNCTION("INDIRECT(""'收支紀錄'!K""&amp;TO_TEXT(ROW()-$C$72))"),"")</f>
        <v/>
      </c>
      <c r="L1027" s="61" t="str">
        <f>IFERROR(__xludf.DUMMYFUNCTION("INDIRECT(""'收支紀錄'!L""&amp;TO_TEXT(ROW()-$C$72))"),"")</f>
        <v/>
      </c>
      <c r="M1027" s="61" t="str">
        <f>IFERROR(__xludf.DUMMYFUNCTION("INDIRECT(""'收支紀錄'!M""&amp;TO_TEXT(ROW()-$C$72))"),"")</f>
        <v/>
      </c>
      <c r="N1027" s="61" t="str">
        <f>IFERROR(__xludf.DUMMYFUNCTION("INDIRECT(""'收支紀錄'!N""&amp;TO_TEXT(ROW()-$C$72))"),"")</f>
        <v/>
      </c>
      <c r="O1027" s="61" t="str">
        <f>IFERROR(__xludf.DUMMYFUNCTION("INDIRECT(""'收支紀錄'!O""&amp;TO_TEXT(ROW()-$C$72))"),"")</f>
        <v/>
      </c>
      <c r="P1027" s="61" t="str">
        <f>IFERROR(__xludf.DUMMYFUNCTION("INDIRECT(""'收支紀錄'!P""&amp;TO_TEXT(ROW()-$C$72))"),"")</f>
        <v/>
      </c>
      <c r="Q1027" s="61" t="str">
        <f>IFERROR(__xludf.DUMMYFUNCTION("INDIRECT(""'收支紀錄'!Q""&amp;TO_TEXT(ROW()-$C$72))"),"")</f>
        <v/>
      </c>
      <c r="R1027" s="61" t="str">
        <f>IFERROR(__xludf.DUMMYFUNCTION("INDIRECT(""'收支紀錄'!R""&amp;TO_TEXT(ROW()-$C$72))"),"")</f>
        <v/>
      </c>
      <c r="S1027" s="61" t="str">
        <f>IFERROR(__xludf.DUMMYFUNCTION("INDIRECT(""'收支紀錄'!S""&amp;TO_TEXT(ROW()-$C$72))"),"")</f>
        <v/>
      </c>
      <c r="T1027" s="61" t="str">
        <f>IFERROR(__xludf.DUMMYFUNCTION("INDIRECT(""'收支紀錄'!T""&amp;TO_TEXT(ROW()-$C$72))"),"")</f>
        <v/>
      </c>
      <c r="U1027" s="62" t="str">
        <f>IFERROR(__xludf.DUMMYFUNCTION("IF(T1027=""是"",TEXTJOIN("""", TRUE, ""$"", TO_TEXT(C1027), S1027),"""")"),"")</f>
        <v/>
      </c>
    </row>
    <row r="1028">
      <c r="A1028" s="58">
        <f>IFERROR(__xludf.DUMMYFUNCTION("INDIRECT(""'收支紀錄'!A""&amp;TO_TEXT(ROW()-$C$72))"),45861.510534166664)</f>
        <v>45861.51053</v>
      </c>
      <c r="B1028" s="59">
        <f>IFERROR(__xludf.DUMMYFUNCTION("IF(ISBLANK(D1028), """", IF(ISDATE(D1028), D1028, IF(D1028=""今天"", A1028, IF(D1028=""昨天 (-1 day)"", A1028-1, IF(D1028=""前天 (-2 days)"", A1028-2, IF(D1028=""明天 (+1 day)"", A1028+1, DATE(LEFT(D1028,4), MID(D1028,5,2), RIGHT(D1028,2))))))))"),45877.0)</f>
        <v>45877</v>
      </c>
      <c r="C1028" s="60">
        <f>IFERROR(__xludf.DUMMYFUNCTION("INDIRECT(""'收支紀錄'!C""&amp;TO_TEXT(ROW()-$C$72))"),1060.0)</f>
        <v>1060</v>
      </c>
      <c r="D1028" s="63">
        <f>IFERROR(__xludf.DUMMYFUNCTION("INDIRECT(""'收支紀錄'!D""&amp;TO_TEXT(ROW()-$C$72))"),2.0250808E7)</f>
        <v>20250808</v>
      </c>
      <c r="E1028" s="61" t="str">
        <f>IFERROR(__xludf.DUMMYFUNCTION("INDIRECT(""'收支紀錄'!E""&amp;TO_TEXT(ROW()-$C$72))"),"")</f>
        <v/>
      </c>
      <c r="F1028" s="61" t="str">
        <f>IFERROR(__xludf.DUMMYFUNCTION("INDIRECT(""'收支紀錄'!F""&amp;TO_TEXT(ROW()-$C$72))"),"")</f>
        <v/>
      </c>
      <c r="G1028" s="61" t="str">
        <f>IFERROR(__xludf.DUMMYFUNCTION("INDIRECT(""'收支紀錄'!G""&amp;TO_TEXT(ROW()-$C$72))"),"")</f>
        <v/>
      </c>
      <c r="H1028" s="61" t="str">
        <f>IFERROR(__xludf.DUMMYFUNCTION("INDIRECT(""'收支紀錄'!H""&amp;TO_TEXT(ROW()-$C$72))"),"行車交通")</f>
        <v>行車交通</v>
      </c>
      <c r="I1028" s="61" t="str">
        <f>IFERROR(__xludf.DUMMYFUNCTION("INDIRECT(""'收支紀錄'!I""&amp;TO_TEXT(ROW()-$C$72))"),"")</f>
        <v/>
      </c>
      <c r="J1028" s="61" t="str">
        <f>IFERROR(__xludf.DUMMYFUNCTION("INDIRECT(""'收支紀錄'!J""&amp;TO_TEXT(ROW()-$C$72))"),"")</f>
        <v/>
      </c>
      <c r="K1028" s="61" t="str">
        <f>IFERROR(__xludf.DUMMYFUNCTION("INDIRECT(""'收支紀錄'!K""&amp;TO_TEXT(ROW()-$C$72))"),"")</f>
        <v/>
      </c>
      <c r="L1028" s="61" t="str">
        <f>IFERROR(__xludf.DUMMYFUNCTION("INDIRECT(""'收支紀錄'!L""&amp;TO_TEXT(ROW()-$C$72))"),"高鐵")</f>
        <v>高鐵</v>
      </c>
      <c r="M1028" s="61" t="str">
        <f>IFERROR(__xludf.DUMMYFUNCTION("INDIRECT(""'收支紀錄'!M""&amp;TO_TEXT(ROW()-$C$72))"),"")</f>
        <v/>
      </c>
      <c r="N1028" s="61" t="str">
        <f>IFERROR(__xludf.DUMMYFUNCTION("INDIRECT(""'收支紀錄'!N""&amp;TO_TEXT(ROW()-$C$72))"),"")</f>
        <v/>
      </c>
      <c r="O1028" s="61" t="str">
        <f>IFERROR(__xludf.DUMMYFUNCTION("INDIRECT(""'收支紀錄'!O""&amp;TO_TEXT(ROW()-$C$72))"),"")</f>
        <v/>
      </c>
      <c r="P1028" s="61" t="str">
        <f>IFERROR(__xludf.DUMMYFUNCTION("INDIRECT(""'收支紀錄'!P""&amp;TO_TEXT(ROW()-$C$72))"),"")</f>
        <v/>
      </c>
      <c r="Q1028" s="61" t="str">
        <f>IFERROR(__xludf.DUMMYFUNCTION("INDIRECT(""'收支紀錄'!Q""&amp;TO_TEXT(ROW()-$C$72))"),"")</f>
        <v/>
      </c>
      <c r="R1028" s="61" t="str">
        <f>IFERROR(__xludf.DUMMYFUNCTION("INDIRECT(""'收支紀錄'!R""&amp;TO_TEXT(ROW()-$C$72))"),"")</f>
        <v/>
      </c>
      <c r="S1028" s="61" t="str">
        <f>IFERROR(__xludf.DUMMYFUNCTION("INDIRECT(""'收支紀錄'!S""&amp;TO_TEXT(ROW()-$C$72))"),"")</f>
        <v/>
      </c>
      <c r="T1028" s="61" t="str">
        <f>IFERROR(__xludf.DUMMYFUNCTION("INDIRECT(""'收支紀錄'!T""&amp;TO_TEXT(ROW()-$C$72))"),"")</f>
        <v/>
      </c>
      <c r="U1028" s="62" t="str">
        <f>IFERROR(__xludf.DUMMYFUNCTION("IF(T1028=""是"",TEXTJOIN("""", TRUE, ""$"", TO_TEXT(C1028), S1028),"""")"),"")</f>
        <v/>
      </c>
    </row>
    <row r="1029">
      <c r="A1029" s="58">
        <f>IFERROR(__xludf.DUMMYFUNCTION("INDIRECT(""'收支紀錄'!A""&amp;TO_TEXT(ROW()-$C$72))"),45862.512316215274)</f>
        <v>45862.51232</v>
      </c>
      <c r="B1029" s="59">
        <f>IFERROR(__xludf.DUMMYFUNCTION("IF(ISBLANK(D1029), """", IF(ISDATE(D1029), D1029, IF(D1029=""今天"", A1029, IF(D1029=""昨天 (-1 day)"", A1029-1, IF(D1029=""前天 (-2 days)"", A1029-2, IF(D1029=""明天 (+1 day)"", A1029+1, DATE(LEFT(D1029,4), MID(D1029,5,2), RIGHT(D1029,2))))))))"),45862.512316215274)</f>
        <v>45862.51232</v>
      </c>
      <c r="C1029" s="60">
        <f>IFERROR(__xludf.DUMMYFUNCTION("INDIRECT(""'收支紀錄'!C""&amp;TO_TEXT(ROW()-$C$72))"),2163.0)</f>
        <v>2163</v>
      </c>
      <c r="D1029" s="63" t="str">
        <f>IFERROR(__xludf.DUMMYFUNCTION("INDIRECT(""'收支紀錄'!D""&amp;TO_TEXT(ROW()-$C$72))"),"今天")</f>
        <v>今天</v>
      </c>
      <c r="E1029" s="61" t="str">
        <f>IFERROR(__xludf.DUMMYFUNCTION("INDIRECT(""'收支紀錄'!E""&amp;TO_TEXT(ROW()-$C$72))"),"")</f>
        <v/>
      </c>
      <c r="F1029" s="61" t="str">
        <f>IFERROR(__xludf.DUMMYFUNCTION("INDIRECT(""'收支紀錄'!F""&amp;TO_TEXT(ROW()-$C$72))"),"")</f>
        <v/>
      </c>
      <c r="G1029" s="61" t="str">
        <f>IFERROR(__xludf.DUMMYFUNCTION("INDIRECT(""'收支紀錄'!G""&amp;TO_TEXT(ROW()-$C$72))"),"")</f>
        <v/>
      </c>
      <c r="H1029" s="61" t="str">
        <f>IFERROR(__xludf.DUMMYFUNCTION("INDIRECT(""'收支紀錄'!H""&amp;TO_TEXT(ROW()-$C$72))"),"日常生活")</f>
        <v>日常生活</v>
      </c>
      <c r="I1029" s="61" t="str">
        <f>IFERROR(__xludf.DUMMYFUNCTION("INDIRECT(""'收支紀錄'!I""&amp;TO_TEXT(ROW()-$C$72))"),"")</f>
        <v/>
      </c>
      <c r="J1029" s="61" t="str">
        <f>IFERROR(__xludf.DUMMYFUNCTION("INDIRECT(""'收支紀錄'!J""&amp;TO_TEXT(ROW()-$C$72))"),"日常用品")</f>
        <v>日常用品</v>
      </c>
      <c r="K1029" s="61" t="str">
        <f>IFERROR(__xludf.DUMMYFUNCTION("INDIRECT(""'收支紀錄'!K""&amp;TO_TEXT(ROW()-$C$72))"),"")</f>
        <v/>
      </c>
      <c r="L1029" s="61" t="str">
        <f>IFERROR(__xludf.DUMMYFUNCTION("INDIRECT(""'收支紀錄'!L""&amp;TO_TEXT(ROW()-$C$72))"),"")</f>
        <v/>
      </c>
      <c r="M1029" s="61" t="str">
        <f>IFERROR(__xludf.DUMMYFUNCTION("INDIRECT(""'收支紀錄'!M""&amp;TO_TEXT(ROW()-$C$72))"),"")</f>
        <v/>
      </c>
      <c r="N1029" s="61" t="str">
        <f>IFERROR(__xludf.DUMMYFUNCTION("INDIRECT(""'收支紀錄'!N""&amp;TO_TEXT(ROW()-$C$72))"),"")</f>
        <v/>
      </c>
      <c r="O1029" s="61" t="str">
        <f>IFERROR(__xludf.DUMMYFUNCTION("INDIRECT(""'收支紀錄'!O""&amp;TO_TEXT(ROW()-$C$72))"),"")</f>
        <v/>
      </c>
      <c r="P1029" s="61" t="str">
        <f>IFERROR(__xludf.DUMMYFUNCTION("INDIRECT(""'收支紀錄'!P""&amp;TO_TEXT(ROW()-$C$72))"),"")</f>
        <v/>
      </c>
      <c r="Q1029" s="61" t="str">
        <f>IFERROR(__xludf.DUMMYFUNCTION("INDIRECT(""'收支紀錄'!Q""&amp;TO_TEXT(ROW()-$C$72))"),"")</f>
        <v/>
      </c>
      <c r="R1029" s="61" t="str">
        <f>IFERROR(__xludf.DUMMYFUNCTION("INDIRECT(""'收支紀錄'!R""&amp;TO_TEXT(ROW()-$C$72))"),"")</f>
        <v/>
      </c>
      <c r="S1029" s="61" t="str">
        <f>IFERROR(__xludf.DUMMYFUNCTION("INDIRECT(""'收支紀錄'!S""&amp;TO_TEXT(ROW()-$C$72))"),"拼多多廚房櫃")</f>
        <v>拼多多廚房櫃</v>
      </c>
      <c r="T1029" s="61" t="str">
        <f>IFERROR(__xludf.DUMMYFUNCTION("INDIRECT(""'收支紀錄'!T""&amp;TO_TEXT(ROW()-$C$72))"),"是")</f>
        <v>是</v>
      </c>
      <c r="U1029" s="62" t="str">
        <f>IFERROR(__xludf.DUMMYFUNCTION("IF(T1029=""是"",TEXTJOIN("""", TRUE, ""$"", TO_TEXT(C1029), S1029),"""")"),"$2163拼多多廚房櫃")</f>
        <v>$2163拼多多廚房櫃</v>
      </c>
    </row>
    <row r="1030">
      <c r="A1030" s="58">
        <f>IFERROR(__xludf.DUMMYFUNCTION("INDIRECT(""'收支紀錄'!A""&amp;TO_TEXT(ROW()-$C$72))"),45862.94925637732)</f>
        <v>45862.94926</v>
      </c>
      <c r="B1030" s="59">
        <f>IFERROR(__xludf.DUMMYFUNCTION("IF(ISBLANK(D1030), """", IF(ISDATE(D1030), D1030, IF(D1030=""今天"", A1030, IF(D1030=""昨天 (-1 day)"", A1030-1, IF(D1030=""前天 (-2 days)"", A1030-2, IF(D1030=""明天 (+1 day)"", A1030+1, DATE(LEFT(D1030,4), MID(D1030,5,2), RIGHT(D1030,2))))))))"),45862.94925637732)</f>
        <v>45862.94926</v>
      </c>
      <c r="C1030" s="60">
        <f>IFERROR(__xludf.DUMMYFUNCTION("INDIRECT(""'收支紀錄'!C""&amp;TO_TEXT(ROW()-$C$72))"),123.0)</f>
        <v>123</v>
      </c>
      <c r="D1030" s="63" t="str">
        <f>IFERROR(__xludf.DUMMYFUNCTION("INDIRECT(""'收支紀錄'!D""&amp;TO_TEXT(ROW()-$C$72))"),"今天")</f>
        <v>今天</v>
      </c>
      <c r="E1030" s="61" t="str">
        <f>IFERROR(__xludf.DUMMYFUNCTION("INDIRECT(""'收支紀錄'!E""&amp;TO_TEXT(ROW()-$C$72))"),"")</f>
        <v/>
      </c>
      <c r="F1030" s="61" t="str">
        <f>IFERROR(__xludf.DUMMYFUNCTION("INDIRECT(""'收支紀錄'!F""&amp;TO_TEXT(ROW()-$C$72))"),"")</f>
        <v/>
      </c>
      <c r="G1030" s="61" t="str">
        <f>IFERROR(__xludf.DUMMYFUNCTION("INDIRECT(""'收支紀錄'!G""&amp;TO_TEXT(ROW()-$C$72))"),"")</f>
        <v/>
      </c>
      <c r="H1030" s="61" t="str">
        <f>IFERROR(__xludf.DUMMYFUNCTION("INDIRECT(""'收支紀錄'!H""&amp;TO_TEXT(ROW()-$C$72))"),"行車交通")</f>
        <v>行車交通</v>
      </c>
      <c r="I1030" s="61" t="str">
        <f>IFERROR(__xludf.DUMMYFUNCTION("INDIRECT(""'收支紀錄'!I""&amp;TO_TEXT(ROW()-$C$72))"),"")</f>
        <v/>
      </c>
      <c r="J1030" s="61" t="str">
        <f>IFERROR(__xludf.DUMMYFUNCTION("INDIRECT(""'收支紀錄'!J""&amp;TO_TEXT(ROW()-$C$72))"),"")</f>
        <v/>
      </c>
      <c r="K1030" s="61" t="str">
        <f>IFERROR(__xludf.DUMMYFUNCTION("INDIRECT(""'收支紀錄'!K""&amp;TO_TEXT(ROW()-$C$72))"),"")</f>
        <v/>
      </c>
      <c r="L1030" s="61" t="str">
        <f>IFERROR(__xludf.DUMMYFUNCTION("INDIRECT(""'收支紀錄'!L""&amp;TO_TEXT(ROW()-$C$72))"),"加油")</f>
        <v>加油</v>
      </c>
      <c r="M1030" s="61" t="str">
        <f>IFERROR(__xludf.DUMMYFUNCTION("INDIRECT(""'收支紀錄'!M""&amp;TO_TEXT(ROW()-$C$72))"),"")</f>
        <v/>
      </c>
      <c r="N1030" s="61" t="str">
        <f>IFERROR(__xludf.DUMMYFUNCTION("INDIRECT(""'收支紀錄'!N""&amp;TO_TEXT(ROW()-$C$72))"),"")</f>
        <v/>
      </c>
      <c r="O1030" s="61" t="str">
        <f>IFERROR(__xludf.DUMMYFUNCTION("INDIRECT(""'收支紀錄'!O""&amp;TO_TEXT(ROW()-$C$72))"),"")</f>
        <v/>
      </c>
      <c r="P1030" s="61" t="str">
        <f>IFERROR(__xludf.DUMMYFUNCTION("INDIRECT(""'收支紀錄'!P""&amp;TO_TEXT(ROW()-$C$72))"),"")</f>
        <v/>
      </c>
      <c r="Q1030" s="61" t="str">
        <f>IFERROR(__xludf.DUMMYFUNCTION("INDIRECT(""'收支紀錄'!Q""&amp;TO_TEXT(ROW()-$C$72))"),"")</f>
        <v/>
      </c>
      <c r="R1030" s="61" t="str">
        <f>IFERROR(__xludf.DUMMYFUNCTION("INDIRECT(""'收支紀錄'!R""&amp;TO_TEXT(ROW()-$C$72))"),"")</f>
        <v/>
      </c>
      <c r="S1030" s="61" t="str">
        <f>IFERROR(__xludf.DUMMYFUNCTION("INDIRECT(""'收支紀錄'!S""&amp;TO_TEXT(ROW()-$C$72))"),"")</f>
        <v/>
      </c>
      <c r="T1030" s="61" t="str">
        <f>IFERROR(__xludf.DUMMYFUNCTION("INDIRECT(""'收支紀錄'!T""&amp;TO_TEXT(ROW()-$C$72))"),"")</f>
        <v/>
      </c>
      <c r="U1030" s="62" t="str">
        <f>IFERROR(__xludf.DUMMYFUNCTION("IF(T1030=""是"",TEXTJOIN("""", TRUE, ""$"", TO_TEXT(C1030), S1030),"""")"),"")</f>
        <v/>
      </c>
    </row>
    <row r="1031">
      <c r="A1031" s="58">
        <f>IFERROR(__xludf.DUMMYFUNCTION("INDIRECT(""'收支紀錄'!A""&amp;TO_TEXT(ROW()-$C$72))"),45862.976859201386)</f>
        <v>45862.97686</v>
      </c>
      <c r="B1031" s="59">
        <f>IFERROR(__xludf.DUMMYFUNCTION("IF(ISBLANK(D1031), """", IF(ISDATE(D1031), D1031, IF(D1031=""今天"", A1031, IF(D1031=""昨天 (-1 day)"", A1031-1, IF(D1031=""前天 (-2 days)"", A1031-2, IF(D1031=""明天 (+1 day)"", A1031+1, DATE(LEFT(D1031,4), MID(D1031,5,2), RIGHT(D1031,2))))))))"),45862.976859201386)</f>
        <v>45862.97686</v>
      </c>
      <c r="C1031" s="60">
        <f>IFERROR(__xludf.DUMMYFUNCTION("INDIRECT(""'收支紀錄'!C""&amp;TO_TEXT(ROW()-$C$72))"),167.0)</f>
        <v>167</v>
      </c>
      <c r="D1031" s="63" t="str">
        <f>IFERROR(__xludf.DUMMYFUNCTION("INDIRECT(""'收支紀錄'!D""&amp;TO_TEXT(ROW()-$C$72))"),"今天")</f>
        <v>今天</v>
      </c>
      <c r="E1031" s="61" t="str">
        <f>IFERROR(__xludf.DUMMYFUNCTION("INDIRECT(""'收支紀錄'!E""&amp;TO_TEXT(ROW()-$C$72))"),"")</f>
        <v/>
      </c>
      <c r="F1031" s="61" t="str">
        <f>IFERROR(__xludf.DUMMYFUNCTION("INDIRECT(""'收支紀錄'!F""&amp;TO_TEXT(ROW()-$C$72))"),"")</f>
        <v/>
      </c>
      <c r="G1031" s="61" t="str">
        <f>IFERROR(__xludf.DUMMYFUNCTION("INDIRECT(""'收支紀錄'!G""&amp;TO_TEXT(ROW()-$C$72))"),"")</f>
        <v/>
      </c>
      <c r="H1031" s="61" t="str">
        <f>IFERROR(__xludf.DUMMYFUNCTION("INDIRECT(""'收支紀錄'!H""&amp;TO_TEXT(ROW()-$C$72))"),"日常生活")</f>
        <v>日常生活</v>
      </c>
      <c r="I1031" s="61" t="str">
        <f>IFERROR(__xludf.DUMMYFUNCTION("INDIRECT(""'收支紀錄'!I""&amp;TO_TEXT(ROW()-$C$72))"),"")</f>
        <v/>
      </c>
      <c r="J1031" s="61" t="str">
        <f>IFERROR(__xludf.DUMMYFUNCTION("INDIRECT(""'收支紀錄'!J""&amp;TO_TEXT(ROW()-$C$72))"),"日常用品")</f>
        <v>日常用品</v>
      </c>
      <c r="K1031" s="61" t="str">
        <f>IFERROR(__xludf.DUMMYFUNCTION("INDIRECT(""'收支紀錄'!K""&amp;TO_TEXT(ROW()-$C$72))"),"")</f>
        <v/>
      </c>
      <c r="L1031" s="61" t="str">
        <f>IFERROR(__xludf.DUMMYFUNCTION("INDIRECT(""'收支紀錄'!L""&amp;TO_TEXT(ROW()-$C$72))"),"")</f>
        <v/>
      </c>
      <c r="M1031" s="61" t="str">
        <f>IFERROR(__xludf.DUMMYFUNCTION("INDIRECT(""'收支紀錄'!M""&amp;TO_TEXT(ROW()-$C$72))"),"")</f>
        <v/>
      </c>
      <c r="N1031" s="61" t="str">
        <f>IFERROR(__xludf.DUMMYFUNCTION("INDIRECT(""'收支紀錄'!N""&amp;TO_TEXT(ROW()-$C$72))"),"")</f>
        <v/>
      </c>
      <c r="O1031" s="61" t="str">
        <f>IFERROR(__xludf.DUMMYFUNCTION("INDIRECT(""'收支紀錄'!O""&amp;TO_TEXT(ROW()-$C$72))"),"")</f>
        <v/>
      </c>
      <c r="P1031" s="61" t="str">
        <f>IFERROR(__xludf.DUMMYFUNCTION("INDIRECT(""'收支紀錄'!P""&amp;TO_TEXT(ROW()-$C$72))"),"")</f>
        <v/>
      </c>
      <c r="Q1031" s="61" t="str">
        <f>IFERROR(__xludf.DUMMYFUNCTION("INDIRECT(""'收支紀錄'!Q""&amp;TO_TEXT(ROW()-$C$72))"),"")</f>
        <v/>
      </c>
      <c r="R1031" s="61" t="str">
        <f>IFERROR(__xludf.DUMMYFUNCTION("INDIRECT(""'收支紀錄'!R""&amp;TO_TEXT(ROW()-$C$72))"),"")</f>
        <v/>
      </c>
      <c r="S1031" s="61" t="str">
        <f>IFERROR(__xludf.DUMMYFUNCTION("INDIRECT(""'收支紀錄'!S""&amp;TO_TEXT(ROW()-$C$72))"),"拼多多運費")</f>
        <v>拼多多運費</v>
      </c>
      <c r="T1031" s="61" t="str">
        <f>IFERROR(__xludf.DUMMYFUNCTION("INDIRECT(""'收支紀錄'!T""&amp;TO_TEXT(ROW()-$C$72))"),"")</f>
        <v/>
      </c>
      <c r="U1031" s="62" t="str">
        <f>IFERROR(__xludf.DUMMYFUNCTION("IF(T1031=""是"",TEXTJOIN("""", TRUE, ""$"", TO_TEXT(C1031), S1031),"""")"),"")</f>
        <v/>
      </c>
    </row>
    <row r="1032">
      <c r="A1032" s="58">
        <f>IFERROR(__xludf.DUMMYFUNCTION("INDIRECT(""'收支紀錄'!A""&amp;TO_TEXT(ROW()-$C$72))"),45864.45342020833)</f>
        <v>45864.45342</v>
      </c>
      <c r="B1032" s="59">
        <f>IFERROR(__xludf.DUMMYFUNCTION("IF(ISBLANK(D1032), """", IF(ISDATE(D1032), D1032, IF(D1032=""今天"", A1032, IF(D1032=""昨天 (-1 day)"", A1032-1, IF(D1032=""前天 (-2 days)"", A1032-2, IF(D1032=""明天 (+1 day)"", A1032+1, DATE(LEFT(D1032,4), MID(D1032,5,2), RIGHT(D1032,2))))))))"),45864.45342020833)</f>
        <v>45864.45342</v>
      </c>
      <c r="C1032" s="60">
        <f>IFERROR(__xludf.DUMMYFUNCTION("INDIRECT(""'收支紀錄'!C""&amp;TO_TEXT(ROW()-$C$72))"),225.0)</f>
        <v>225</v>
      </c>
      <c r="D1032" s="63" t="str">
        <f>IFERROR(__xludf.DUMMYFUNCTION("INDIRECT(""'收支紀錄'!D""&amp;TO_TEXT(ROW()-$C$72))"),"今天")</f>
        <v>今天</v>
      </c>
      <c r="E1032" s="61" t="str">
        <f>IFERROR(__xludf.DUMMYFUNCTION("INDIRECT(""'收支紀錄'!E""&amp;TO_TEXT(ROW()-$C$72))"),"")</f>
        <v/>
      </c>
      <c r="F1032" s="61" t="str">
        <f>IFERROR(__xludf.DUMMYFUNCTION("INDIRECT(""'收支紀錄'!F""&amp;TO_TEXT(ROW()-$C$72))"),"")</f>
        <v/>
      </c>
      <c r="G1032" s="61" t="str">
        <f>IFERROR(__xludf.DUMMYFUNCTION("INDIRECT(""'收支紀錄'!G""&amp;TO_TEXT(ROW()-$C$72))"),"")</f>
        <v/>
      </c>
      <c r="H1032" s="61" t="str">
        <f>IFERROR(__xludf.DUMMYFUNCTION("INDIRECT(""'收支紀錄'!H""&amp;TO_TEXT(ROW()-$C$72))"),"食品酒水")</f>
        <v>食品酒水</v>
      </c>
      <c r="I1032" s="61" t="str">
        <f>IFERROR(__xludf.DUMMYFUNCTION("INDIRECT(""'收支紀錄'!I""&amp;TO_TEXT(ROW()-$C$72))"),"早餐")</f>
        <v>早餐</v>
      </c>
      <c r="J1032" s="61" t="str">
        <f>IFERROR(__xludf.DUMMYFUNCTION("INDIRECT(""'收支紀錄'!J""&amp;TO_TEXT(ROW()-$C$72))"),"")</f>
        <v/>
      </c>
      <c r="K1032" s="61" t="str">
        <f>IFERROR(__xludf.DUMMYFUNCTION("INDIRECT(""'收支紀錄'!K""&amp;TO_TEXT(ROW()-$C$72))"),"")</f>
        <v/>
      </c>
      <c r="L1032" s="61" t="str">
        <f>IFERROR(__xludf.DUMMYFUNCTION("INDIRECT(""'收支紀錄'!L""&amp;TO_TEXT(ROW()-$C$72))"),"")</f>
        <v/>
      </c>
      <c r="M1032" s="61" t="str">
        <f>IFERROR(__xludf.DUMMYFUNCTION("INDIRECT(""'收支紀錄'!M""&amp;TO_TEXT(ROW()-$C$72))"),"")</f>
        <v/>
      </c>
      <c r="N1032" s="61" t="str">
        <f>IFERROR(__xludf.DUMMYFUNCTION("INDIRECT(""'收支紀錄'!N""&amp;TO_TEXT(ROW()-$C$72))"),"")</f>
        <v/>
      </c>
      <c r="O1032" s="61" t="str">
        <f>IFERROR(__xludf.DUMMYFUNCTION("INDIRECT(""'收支紀錄'!O""&amp;TO_TEXT(ROW()-$C$72))"),"")</f>
        <v/>
      </c>
      <c r="P1032" s="61" t="str">
        <f>IFERROR(__xludf.DUMMYFUNCTION("INDIRECT(""'收支紀錄'!P""&amp;TO_TEXT(ROW()-$C$72))"),"")</f>
        <v/>
      </c>
      <c r="Q1032" s="61" t="str">
        <f>IFERROR(__xludf.DUMMYFUNCTION("INDIRECT(""'收支紀錄'!Q""&amp;TO_TEXT(ROW()-$C$72))"),"")</f>
        <v/>
      </c>
      <c r="R1032" s="61" t="str">
        <f>IFERROR(__xludf.DUMMYFUNCTION("INDIRECT(""'收支紀錄'!R""&amp;TO_TEXT(ROW()-$C$72))"),"")</f>
        <v/>
      </c>
      <c r="S1032" s="61" t="str">
        <f>IFERROR(__xludf.DUMMYFUNCTION("INDIRECT(""'收支紀錄'!S""&amp;TO_TEXT(ROW()-$C$72))"),"")</f>
        <v/>
      </c>
      <c r="T1032" s="61" t="str">
        <f>IFERROR(__xludf.DUMMYFUNCTION("INDIRECT(""'收支紀錄'!T""&amp;TO_TEXT(ROW()-$C$72))"),"")</f>
        <v/>
      </c>
      <c r="U1032" s="62" t="str">
        <f>IFERROR(__xludf.DUMMYFUNCTION("IF(T1032=""是"",TEXTJOIN("""", TRUE, ""$"", TO_TEXT(C1032), S1032),"""")"),"")</f>
        <v/>
      </c>
    </row>
    <row r="1033">
      <c r="A1033" s="58">
        <f>IFERROR(__xludf.DUMMYFUNCTION("INDIRECT(""'收支紀錄'!A""&amp;TO_TEXT(ROW()-$C$72))"),45864.55987909722)</f>
        <v>45864.55988</v>
      </c>
      <c r="B1033" s="59">
        <f>IFERROR(__xludf.DUMMYFUNCTION("IF(ISBLANK(D1033), """", IF(ISDATE(D1033), D1033, IF(D1033=""今天"", A1033, IF(D1033=""昨天 (-1 day)"", A1033-1, IF(D1033=""前天 (-2 days)"", A1033-2, IF(D1033=""明天 (+1 day)"", A1033+1, DATE(LEFT(D1033,4), MID(D1033,5,2), RIGHT(D1033,2))))))))"),45864.55987909722)</f>
        <v>45864.55988</v>
      </c>
      <c r="C1033" s="60">
        <f>IFERROR(__xludf.DUMMYFUNCTION("INDIRECT(""'收支紀錄'!C""&amp;TO_TEXT(ROW()-$C$72))"),60.0)</f>
        <v>60</v>
      </c>
      <c r="D1033" s="63" t="str">
        <f>IFERROR(__xludf.DUMMYFUNCTION("INDIRECT(""'收支紀錄'!D""&amp;TO_TEXT(ROW()-$C$72))"),"今天")</f>
        <v>今天</v>
      </c>
      <c r="E1033" s="61" t="str">
        <f>IFERROR(__xludf.DUMMYFUNCTION("INDIRECT(""'收支紀錄'!E""&amp;TO_TEXT(ROW()-$C$72))"),"")</f>
        <v/>
      </c>
      <c r="F1033" s="61" t="str">
        <f>IFERROR(__xludf.DUMMYFUNCTION("INDIRECT(""'收支紀錄'!F""&amp;TO_TEXT(ROW()-$C$72))"),"")</f>
        <v/>
      </c>
      <c r="G1033" s="61" t="str">
        <f>IFERROR(__xludf.DUMMYFUNCTION("INDIRECT(""'收支紀錄'!G""&amp;TO_TEXT(ROW()-$C$72))"),"")</f>
        <v/>
      </c>
      <c r="H1033" s="61" t="str">
        <f>IFERROR(__xludf.DUMMYFUNCTION("INDIRECT(""'收支紀錄'!H""&amp;TO_TEXT(ROW()-$C$72))"),"行車交通")</f>
        <v>行車交通</v>
      </c>
      <c r="I1033" s="61" t="str">
        <f>IFERROR(__xludf.DUMMYFUNCTION("INDIRECT(""'收支紀錄'!I""&amp;TO_TEXT(ROW()-$C$72))"),"")</f>
        <v/>
      </c>
      <c r="J1033" s="61" t="str">
        <f>IFERROR(__xludf.DUMMYFUNCTION("INDIRECT(""'收支紀錄'!J""&amp;TO_TEXT(ROW()-$C$72))"),"")</f>
        <v/>
      </c>
      <c r="K1033" s="61" t="str">
        <f>IFERROR(__xludf.DUMMYFUNCTION("INDIRECT(""'收支紀錄'!K""&amp;TO_TEXT(ROW()-$C$72))"),"")</f>
        <v/>
      </c>
      <c r="L1033" s="61" t="str">
        <f>IFERROR(__xludf.DUMMYFUNCTION("INDIRECT(""'收支紀錄'!L""&amp;TO_TEXT(ROW()-$C$72))"),"停車")</f>
        <v>停車</v>
      </c>
      <c r="M1033" s="61" t="str">
        <f>IFERROR(__xludf.DUMMYFUNCTION("INDIRECT(""'收支紀錄'!M""&amp;TO_TEXT(ROW()-$C$72))"),"")</f>
        <v/>
      </c>
      <c r="N1033" s="61" t="str">
        <f>IFERROR(__xludf.DUMMYFUNCTION("INDIRECT(""'收支紀錄'!N""&amp;TO_TEXT(ROW()-$C$72))"),"")</f>
        <v/>
      </c>
      <c r="O1033" s="61" t="str">
        <f>IFERROR(__xludf.DUMMYFUNCTION("INDIRECT(""'收支紀錄'!O""&amp;TO_TEXT(ROW()-$C$72))"),"")</f>
        <v/>
      </c>
      <c r="P1033" s="61" t="str">
        <f>IFERROR(__xludf.DUMMYFUNCTION("INDIRECT(""'收支紀錄'!P""&amp;TO_TEXT(ROW()-$C$72))"),"")</f>
        <v/>
      </c>
      <c r="Q1033" s="61" t="str">
        <f>IFERROR(__xludf.DUMMYFUNCTION("INDIRECT(""'收支紀錄'!Q""&amp;TO_TEXT(ROW()-$C$72))"),"")</f>
        <v/>
      </c>
      <c r="R1033" s="61" t="str">
        <f>IFERROR(__xludf.DUMMYFUNCTION("INDIRECT(""'收支紀錄'!R""&amp;TO_TEXT(ROW()-$C$72))"),"")</f>
        <v/>
      </c>
      <c r="S1033" s="61" t="str">
        <f>IFERROR(__xludf.DUMMYFUNCTION("INDIRECT(""'收支紀錄'!S""&amp;TO_TEXT(ROW()-$C$72))"),"")</f>
        <v/>
      </c>
      <c r="T1033" s="61" t="str">
        <f>IFERROR(__xludf.DUMMYFUNCTION("INDIRECT(""'收支紀錄'!T""&amp;TO_TEXT(ROW()-$C$72))"),"")</f>
        <v/>
      </c>
      <c r="U1033" s="62" t="str">
        <f>IFERROR(__xludf.DUMMYFUNCTION("IF(T1033=""是"",TEXTJOIN("""", TRUE, ""$"", TO_TEXT(C1033), S1033),"""")"),"")</f>
        <v/>
      </c>
    </row>
    <row r="1034">
      <c r="A1034" s="58">
        <f>IFERROR(__xludf.DUMMYFUNCTION("INDIRECT(""'收支紀錄'!A""&amp;TO_TEXT(ROW()-$C$72))"),45864.93218754629)</f>
        <v>45864.93219</v>
      </c>
      <c r="B1034" s="59">
        <f>IFERROR(__xludf.DUMMYFUNCTION("IF(ISBLANK(D1034), """", IF(ISDATE(D1034), D1034, IF(D1034=""今天"", A1034, IF(D1034=""昨天 (-1 day)"", A1034-1, IF(D1034=""前天 (-2 days)"", A1034-2, IF(D1034=""明天 (+1 day)"", A1034+1, DATE(LEFT(D1034,4), MID(D1034,5,2), RIGHT(D1034,2))))))))"),45864.93218754629)</f>
        <v>45864.93219</v>
      </c>
      <c r="C1034" s="60">
        <f>IFERROR(__xludf.DUMMYFUNCTION("INDIRECT(""'收支紀錄'!C""&amp;TO_TEXT(ROW()-$C$72))"),40.0)</f>
        <v>40</v>
      </c>
      <c r="D1034" s="63" t="str">
        <f>IFERROR(__xludf.DUMMYFUNCTION("INDIRECT(""'收支紀錄'!D""&amp;TO_TEXT(ROW()-$C$72))"),"今天")</f>
        <v>今天</v>
      </c>
      <c r="E1034" s="61" t="str">
        <f>IFERROR(__xludf.DUMMYFUNCTION("INDIRECT(""'收支紀錄'!E""&amp;TO_TEXT(ROW()-$C$72))"),"")</f>
        <v/>
      </c>
      <c r="F1034" s="61" t="str">
        <f>IFERROR(__xludf.DUMMYFUNCTION("INDIRECT(""'收支紀錄'!F""&amp;TO_TEXT(ROW()-$C$72))"),"")</f>
        <v/>
      </c>
      <c r="G1034" s="61" t="str">
        <f>IFERROR(__xludf.DUMMYFUNCTION("INDIRECT(""'收支紀錄'!G""&amp;TO_TEXT(ROW()-$C$72))"),"")</f>
        <v/>
      </c>
      <c r="H1034" s="61" t="str">
        <f>IFERROR(__xludf.DUMMYFUNCTION("INDIRECT(""'收支紀錄'!H""&amp;TO_TEXT(ROW()-$C$72))"),"食品酒水")</f>
        <v>食品酒水</v>
      </c>
      <c r="I1034" s="61" t="str">
        <f>IFERROR(__xludf.DUMMYFUNCTION("INDIRECT(""'收支紀錄'!I""&amp;TO_TEXT(ROW()-$C$72))"),"飲料酒水")</f>
        <v>飲料酒水</v>
      </c>
      <c r="J1034" s="61" t="str">
        <f>IFERROR(__xludf.DUMMYFUNCTION("INDIRECT(""'收支紀錄'!J""&amp;TO_TEXT(ROW()-$C$72))"),"")</f>
        <v/>
      </c>
      <c r="K1034" s="61" t="str">
        <f>IFERROR(__xludf.DUMMYFUNCTION("INDIRECT(""'收支紀錄'!K""&amp;TO_TEXT(ROW()-$C$72))"),"")</f>
        <v/>
      </c>
      <c r="L1034" s="61" t="str">
        <f>IFERROR(__xludf.DUMMYFUNCTION("INDIRECT(""'收支紀錄'!L""&amp;TO_TEXT(ROW()-$C$72))"),"")</f>
        <v/>
      </c>
      <c r="M1034" s="61" t="str">
        <f>IFERROR(__xludf.DUMMYFUNCTION("INDIRECT(""'收支紀錄'!M""&amp;TO_TEXT(ROW()-$C$72))"),"")</f>
        <v/>
      </c>
      <c r="N1034" s="61" t="str">
        <f>IFERROR(__xludf.DUMMYFUNCTION("INDIRECT(""'收支紀錄'!N""&amp;TO_TEXT(ROW()-$C$72))"),"")</f>
        <v/>
      </c>
      <c r="O1034" s="61" t="str">
        <f>IFERROR(__xludf.DUMMYFUNCTION("INDIRECT(""'收支紀錄'!O""&amp;TO_TEXT(ROW()-$C$72))"),"")</f>
        <v/>
      </c>
      <c r="P1034" s="61" t="str">
        <f>IFERROR(__xludf.DUMMYFUNCTION("INDIRECT(""'收支紀錄'!P""&amp;TO_TEXT(ROW()-$C$72))"),"")</f>
        <v/>
      </c>
      <c r="Q1034" s="61" t="str">
        <f>IFERROR(__xludf.DUMMYFUNCTION("INDIRECT(""'收支紀錄'!Q""&amp;TO_TEXT(ROW()-$C$72))"),"")</f>
        <v/>
      </c>
      <c r="R1034" s="61" t="str">
        <f>IFERROR(__xludf.DUMMYFUNCTION("INDIRECT(""'收支紀錄'!R""&amp;TO_TEXT(ROW()-$C$72))"),"")</f>
        <v/>
      </c>
      <c r="S1034" s="61" t="str">
        <f>IFERROR(__xludf.DUMMYFUNCTION("INDIRECT(""'收支紀錄'!S""&amp;TO_TEXT(ROW()-$C$72))"),"")</f>
        <v/>
      </c>
      <c r="T1034" s="61" t="str">
        <f>IFERROR(__xludf.DUMMYFUNCTION("INDIRECT(""'收支紀錄'!T""&amp;TO_TEXT(ROW()-$C$72))"),"")</f>
        <v/>
      </c>
      <c r="U1034" s="62" t="str">
        <f>IFERROR(__xludf.DUMMYFUNCTION("IF(T1034=""是"",TEXTJOIN("""", TRUE, ""$"", TO_TEXT(C1034), S1034),"""")"),"")</f>
        <v/>
      </c>
    </row>
    <row r="1035">
      <c r="A1035" s="58">
        <f>IFERROR(__xludf.DUMMYFUNCTION("INDIRECT(""'收支紀錄'!A""&amp;TO_TEXT(ROW()-$C$72))"),45865.844240509265)</f>
        <v>45865.84424</v>
      </c>
      <c r="B1035" s="59">
        <f>IFERROR(__xludf.DUMMYFUNCTION("IF(ISBLANK(D1035), """", IF(ISDATE(D1035), D1035, IF(D1035=""今天"", A1035, IF(D1035=""昨天 (-1 day)"", A1035-1, IF(D1035=""前天 (-2 days)"", A1035-2, IF(D1035=""明天 (+1 day)"", A1035+1, DATE(LEFT(D1035,4), MID(D1035,5,2), RIGHT(D1035,2))))))))"),45865.844240509265)</f>
        <v>45865.84424</v>
      </c>
      <c r="C1035" s="60">
        <f>IFERROR(__xludf.DUMMYFUNCTION("INDIRECT(""'收支紀錄'!C""&amp;TO_TEXT(ROW()-$C$72))"),720.0)</f>
        <v>720</v>
      </c>
      <c r="D1035" s="63" t="str">
        <f>IFERROR(__xludf.DUMMYFUNCTION("INDIRECT(""'收支紀錄'!D""&amp;TO_TEXT(ROW()-$C$72))"),"今天")</f>
        <v>今天</v>
      </c>
      <c r="E1035" s="61" t="str">
        <f>IFERROR(__xludf.DUMMYFUNCTION("INDIRECT(""'收支紀錄'!E""&amp;TO_TEXT(ROW()-$C$72))"),"")</f>
        <v/>
      </c>
      <c r="F1035" s="61" t="str">
        <f>IFERROR(__xludf.DUMMYFUNCTION("INDIRECT(""'收支紀錄'!F""&amp;TO_TEXT(ROW()-$C$72))"),"")</f>
        <v/>
      </c>
      <c r="G1035" s="61" t="str">
        <f>IFERROR(__xludf.DUMMYFUNCTION("INDIRECT(""'收支紀錄'!G""&amp;TO_TEXT(ROW()-$C$72))"),"")</f>
        <v/>
      </c>
      <c r="H1035" s="61" t="str">
        <f>IFERROR(__xludf.DUMMYFUNCTION("INDIRECT(""'收支紀錄'!H""&amp;TO_TEXT(ROW()-$C$72))"),"休閒娛樂")</f>
        <v>休閒娛樂</v>
      </c>
      <c r="I1035" s="61" t="str">
        <f>IFERROR(__xludf.DUMMYFUNCTION("INDIRECT(""'收支紀錄'!I""&amp;TO_TEXT(ROW()-$C$72))"),"")</f>
        <v/>
      </c>
      <c r="J1035" s="61" t="str">
        <f>IFERROR(__xludf.DUMMYFUNCTION("INDIRECT(""'收支紀錄'!J""&amp;TO_TEXT(ROW()-$C$72))"),"")</f>
        <v/>
      </c>
      <c r="K1035" s="61" t="str">
        <f>IFERROR(__xludf.DUMMYFUNCTION("INDIRECT(""'收支紀錄'!K""&amp;TO_TEXT(ROW()-$C$72))"),"")</f>
        <v/>
      </c>
      <c r="L1035" s="61" t="str">
        <f>IFERROR(__xludf.DUMMYFUNCTION("INDIRECT(""'收支紀錄'!L""&amp;TO_TEXT(ROW()-$C$72))"),"")</f>
        <v/>
      </c>
      <c r="M1035" s="61" t="str">
        <f>IFERROR(__xludf.DUMMYFUNCTION("INDIRECT(""'收支紀錄'!M""&amp;TO_TEXT(ROW()-$C$72))"),"休閒玩樂")</f>
        <v>休閒玩樂</v>
      </c>
      <c r="N1035" s="61" t="str">
        <f>IFERROR(__xludf.DUMMYFUNCTION("INDIRECT(""'收支紀錄'!N""&amp;TO_TEXT(ROW()-$C$72))"),"")</f>
        <v/>
      </c>
      <c r="O1035" s="61" t="str">
        <f>IFERROR(__xludf.DUMMYFUNCTION("INDIRECT(""'收支紀錄'!O""&amp;TO_TEXT(ROW()-$C$72))"),"")</f>
        <v/>
      </c>
      <c r="P1035" s="61" t="str">
        <f>IFERROR(__xludf.DUMMYFUNCTION("INDIRECT(""'收支紀錄'!P""&amp;TO_TEXT(ROW()-$C$72))"),"")</f>
        <v/>
      </c>
      <c r="Q1035" s="61" t="str">
        <f>IFERROR(__xludf.DUMMYFUNCTION("INDIRECT(""'收支紀錄'!Q""&amp;TO_TEXT(ROW()-$C$72))"),"")</f>
        <v/>
      </c>
      <c r="R1035" s="61" t="str">
        <f>IFERROR(__xludf.DUMMYFUNCTION("INDIRECT(""'收支紀錄'!R""&amp;TO_TEXT(ROW()-$C$72))"),"")</f>
        <v/>
      </c>
      <c r="S1035" s="61" t="str">
        <f>IFERROR(__xludf.DUMMYFUNCTION("INDIRECT(""'收支紀錄'!S""&amp;TO_TEXT(ROW()-$C$72))"),"")</f>
        <v/>
      </c>
      <c r="T1035" s="61" t="str">
        <f>IFERROR(__xludf.DUMMYFUNCTION("INDIRECT(""'收支紀錄'!T""&amp;TO_TEXT(ROW()-$C$72))"),"")</f>
        <v/>
      </c>
      <c r="U1035" s="62" t="str">
        <f>IFERROR(__xludf.DUMMYFUNCTION("IF(T1035=""是"",TEXTJOIN("""", TRUE, ""$"", TO_TEXT(C1035), S1035),"""")"),"")</f>
        <v/>
      </c>
    </row>
    <row r="1036">
      <c r="A1036" s="58">
        <f>IFERROR(__xludf.DUMMYFUNCTION("INDIRECT(""'收支紀錄'!A""&amp;TO_TEXT(ROW()-$C$72))"),45865.90392868056)</f>
        <v>45865.90393</v>
      </c>
      <c r="B1036" s="59">
        <f>IFERROR(__xludf.DUMMYFUNCTION("IF(ISBLANK(D1036), """", IF(ISDATE(D1036), D1036, IF(D1036=""今天"", A1036, IF(D1036=""昨天 (-1 day)"", A1036-1, IF(D1036=""前天 (-2 days)"", A1036-2, IF(D1036=""明天 (+1 day)"", A1036+1, DATE(LEFT(D1036,4), MID(D1036,5,2), RIGHT(D1036,2))))))))"),45865.90392868056)</f>
        <v>45865.90393</v>
      </c>
      <c r="C1036" s="60">
        <f>IFERROR(__xludf.DUMMYFUNCTION("INDIRECT(""'收支紀錄'!C""&amp;TO_TEXT(ROW()-$C$72))"),100.0)</f>
        <v>100</v>
      </c>
      <c r="D1036" s="63" t="str">
        <f>IFERROR(__xludf.DUMMYFUNCTION("INDIRECT(""'收支紀錄'!D""&amp;TO_TEXT(ROW()-$C$72))"),"今天")</f>
        <v>今天</v>
      </c>
      <c r="E1036" s="61" t="str">
        <f>IFERROR(__xludf.DUMMYFUNCTION("INDIRECT(""'收支紀錄'!E""&amp;TO_TEXT(ROW()-$C$72))"),"")</f>
        <v/>
      </c>
      <c r="F1036" s="61" t="str">
        <f>IFERROR(__xludf.DUMMYFUNCTION("INDIRECT(""'收支紀錄'!F""&amp;TO_TEXT(ROW()-$C$72))"),"")</f>
        <v/>
      </c>
      <c r="G1036" s="61" t="str">
        <f>IFERROR(__xludf.DUMMYFUNCTION("INDIRECT(""'收支紀錄'!G""&amp;TO_TEXT(ROW()-$C$72))"),"")</f>
        <v/>
      </c>
      <c r="H1036" s="61" t="str">
        <f>IFERROR(__xludf.DUMMYFUNCTION("INDIRECT(""'收支紀錄'!H""&amp;TO_TEXT(ROW()-$C$72))"),"行車交通")</f>
        <v>行車交通</v>
      </c>
      <c r="I1036" s="61" t="str">
        <f>IFERROR(__xludf.DUMMYFUNCTION("INDIRECT(""'收支紀錄'!I""&amp;TO_TEXT(ROW()-$C$72))"),"")</f>
        <v/>
      </c>
      <c r="J1036" s="61" t="str">
        <f>IFERROR(__xludf.DUMMYFUNCTION("INDIRECT(""'收支紀錄'!J""&amp;TO_TEXT(ROW()-$C$72))"),"")</f>
        <v/>
      </c>
      <c r="K1036" s="61" t="str">
        <f>IFERROR(__xludf.DUMMYFUNCTION("INDIRECT(""'收支紀錄'!K""&amp;TO_TEXT(ROW()-$C$72))"),"")</f>
        <v/>
      </c>
      <c r="L1036" s="61" t="str">
        <f>IFERROR(__xludf.DUMMYFUNCTION("INDIRECT(""'收支紀錄'!L""&amp;TO_TEXT(ROW()-$C$72))"),"停車")</f>
        <v>停車</v>
      </c>
      <c r="M1036" s="61" t="str">
        <f>IFERROR(__xludf.DUMMYFUNCTION("INDIRECT(""'收支紀錄'!M""&amp;TO_TEXT(ROW()-$C$72))"),"")</f>
        <v/>
      </c>
      <c r="N1036" s="61" t="str">
        <f>IFERROR(__xludf.DUMMYFUNCTION("INDIRECT(""'收支紀錄'!N""&amp;TO_TEXT(ROW()-$C$72))"),"")</f>
        <v/>
      </c>
      <c r="O1036" s="61" t="str">
        <f>IFERROR(__xludf.DUMMYFUNCTION("INDIRECT(""'收支紀錄'!O""&amp;TO_TEXT(ROW()-$C$72))"),"")</f>
        <v/>
      </c>
      <c r="P1036" s="61" t="str">
        <f>IFERROR(__xludf.DUMMYFUNCTION("INDIRECT(""'收支紀錄'!P""&amp;TO_TEXT(ROW()-$C$72))"),"")</f>
        <v/>
      </c>
      <c r="Q1036" s="61" t="str">
        <f>IFERROR(__xludf.DUMMYFUNCTION("INDIRECT(""'收支紀錄'!Q""&amp;TO_TEXT(ROW()-$C$72))"),"")</f>
        <v/>
      </c>
      <c r="R1036" s="61" t="str">
        <f>IFERROR(__xludf.DUMMYFUNCTION("INDIRECT(""'收支紀錄'!R""&amp;TO_TEXT(ROW()-$C$72))"),"")</f>
        <v/>
      </c>
      <c r="S1036" s="61" t="str">
        <f>IFERROR(__xludf.DUMMYFUNCTION("INDIRECT(""'收支紀錄'!S""&amp;TO_TEXT(ROW()-$C$72))"),"")</f>
        <v/>
      </c>
      <c r="T1036" s="61" t="str">
        <f>IFERROR(__xludf.DUMMYFUNCTION("INDIRECT(""'收支紀錄'!T""&amp;TO_TEXT(ROW()-$C$72))"),"")</f>
        <v/>
      </c>
      <c r="U1036" s="62" t="str">
        <f>IFERROR(__xludf.DUMMYFUNCTION("IF(T1036=""是"",TEXTJOIN("""", TRUE, ""$"", TO_TEXT(C1036), S1036),"""")"),"")</f>
        <v/>
      </c>
    </row>
    <row r="1037">
      <c r="A1037" s="58">
        <f>IFERROR(__xludf.DUMMYFUNCTION("INDIRECT(""'收支紀錄'!A""&amp;TO_TEXT(ROW()-$C$72))"),45866.62958260417)</f>
        <v>45866.62958</v>
      </c>
      <c r="B1037" s="59">
        <f>IFERROR(__xludf.DUMMYFUNCTION("IF(ISBLANK(D1037), """", IF(ISDATE(D1037), D1037, IF(D1037=""今天"", A1037, IF(D1037=""昨天 (-1 day)"", A1037-1, IF(D1037=""前天 (-2 days)"", A1037-2, IF(D1037=""明天 (+1 day)"", A1037+1, DATE(LEFT(D1037,4), MID(D1037,5,2), RIGHT(D1037,2))))))))"),45866.62958260417)</f>
        <v>45866.62958</v>
      </c>
      <c r="C1037" s="60">
        <f>IFERROR(__xludf.DUMMYFUNCTION("INDIRECT(""'收支紀錄'!C""&amp;TO_TEXT(ROW()-$C$72))"),728.0)</f>
        <v>728</v>
      </c>
      <c r="D1037" s="63" t="str">
        <f>IFERROR(__xludf.DUMMYFUNCTION("INDIRECT(""'收支紀錄'!D""&amp;TO_TEXT(ROW()-$C$72))"),"今天")</f>
        <v>今天</v>
      </c>
      <c r="E1037" s="61" t="str">
        <f>IFERROR(__xludf.DUMMYFUNCTION("INDIRECT(""'收支紀錄'!E""&amp;TO_TEXT(ROW()-$C$72))"),"")</f>
        <v/>
      </c>
      <c r="F1037" s="61" t="str">
        <f>IFERROR(__xludf.DUMMYFUNCTION("INDIRECT(""'收支紀錄'!F""&amp;TO_TEXT(ROW()-$C$72))"),"")</f>
        <v/>
      </c>
      <c r="G1037" s="61" t="str">
        <f>IFERROR(__xludf.DUMMYFUNCTION("INDIRECT(""'收支紀錄'!G""&amp;TO_TEXT(ROW()-$C$72))"),"")</f>
        <v/>
      </c>
      <c r="H1037" s="61" t="str">
        <f>IFERROR(__xludf.DUMMYFUNCTION("INDIRECT(""'收支紀錄'!H""&amp;TO_TEXT(ROW()-$C$72))"),"日常生活")</f>
        <v>日常生活</v>
      </c>
      <c r="I1037" s="61" t="str">
        <f>IFERROR(__xludf.DUMMYFUNCTION("INDIRECT(""'收支紀錄'!I""&amp;TO_TEXT(ROW()-$C$72))"),"")</f>
        <v/>
      </c>
      <c r="J1037" s="61" t="str">
        <f>IFERROR(__xludf.DUMMYFUNCTION("INDIRECT(""'收支紀錄'!J""&amp;TO_TEXT(ROW()-$C$72))"),"電話費")</f>
        <v>電話費</v>
      </c>
      <c r="K1037" s="61" t="str">
        <f>IFERROR(__xludf.DUMMYFUNCTION("INDIRECT(""'收支紀錄'!K""&amp;TO_TEXT(ROW()-$C$72))"),"")</f>
        <v/>
      </c>
      <c r="L1037" s="61" t="str">
        <f>IFERROR(__xludf.DUMMYFUNCTION("INDIRECT(""'收支紀錄'!L""&amp;TO_TEXT(ROW()-$C$72))"),"")</f>
        <v/>
      </c>
      <c r="M1037" s="61" t="str">
        <f>IFERROR(__xludf.DUMMYFUNCTION("INDIRECT(""'收支紀錄'!M""&amp;TO_TEXT(ROW()-$C$72))"),"")</f>
        <v/>
      </c>
      <c r="N1037" s="61" t="str">
        <f>IFERROR(__xludf.DUMMYFUNCTION("INDIRECT(""'收支紀錄'!N""&amp;TO_TEXT(ROW()-$C$72))"),"")</f>
        <v/>
      </c>
      <c r="O1037" s="61" t="str">
        <f>IFERROR(__xludf.DUMMYFUNCTION("INDIRECT(""'收支紀錄'!O""&amp;TO_TEXT(ROW()-$C$72))"),"")</f>
        <v/>
      </c>
      <c r="P1037" s="61" t="str">
        <f>IFERROR(__xludf.DUMMYFUNCTION("INDIRECT(""'收支紀錄'!P""&amp;TO_TEXT(ROW()-$C$72))"),"")</f>
        <v/>
      </c>
      <c r="Q1037" s="61" t="str">
        <f>IFERROR(__xludf.DUMMYFUNCTION("INDIRECT(""'收支紀錄'!Q""&amp;TO_TEXT(ROW()-$C$72))"),"")</f>
        <v/>
      </c>
      <c r="R1037" s="61" t="str">
        <f>IFERROR(__xludf.DUMMYFUNCTION("INDIRECT(""'收支紀錄'!R""&amp;TO_TEXT(ROW()-$C$72))"),"")</f>
        <v/>
      </c>
      <c r="S1037" s="61" t="str">
        <f>IFERROR(__xludf.DUMMYFUNCTION("INDIRECT(""'收支紀錄'!S""&amp;TO_TEXT(ROW()-$C$72))"),"")</f>
        <v/>
      </c>
      <c r="T1037" s="61" t="str">
        <f>IFERROR(__xludf.DUMMYFUNCTION("INDIRECT(""'收支紀錄'!T""&amp;TO_TEXT(ROW()-$C$72))"),"")</f>
        <v/>
      </c>
      <c r="U1037" s="62" t="str">
        <f>IFERROR(__xludf.DUMMYFUNCTION("IF(T1037=""是"",TEXTJOIN("""", TRUE, ""$"", TO_TEXT(C1037), S1037),"""")"),"")</f>
        <v/>
      </c>
    </row>
    <row r="1038">
      <c r="A1038" s="58">
        <f>IFERROR(__xludf.DUMMYFUNCTION("INDIRECT(""'收支紀錄'!A""&amp;TO_TEXT(ROW()-$C$72))"),45867.51611106482)</f>
        <v>45867.51611</v>
      </c>
      <c r="B1038" s="59">
        <f>IFERROR(__xludf.DUMMYFUNCTION("IF(ISBLANK(D1038), """", IF(ISDATE(D1038), D1038, IF(D1038=""今天"", A1038, IF(D1038=""昨天 (-1 day)"", A1038-1, IF(D1038=""前天 (-2 days)"", A1038-2, IF(D1038=""明天 (+1 day)"", A1038+1, DATE(LEFT(D1038,4), MID(D1038,5,2), RIGHT(D1038,2))))))))"),45867.51611106482)</f>
        <v>45867.51611</v>
      </c>
      <c r="C1038" s="60">
        <f>IFERROR(__xludf.DUMMYFUNCTION("INDIRECT(""'收支紀錄'!C""&amp;TO_TEXT(ROW()-$C$72))"),263.0)</f>
        <v>263</v>
      </c>
      <c r="D1038" s="63" t="str">
        <f>IFERROR(__xludf.DUMMYFUNCTION("INDIRECT(""'收支紀錄'!D""&amp;TO_TEXT(ROW()-$C$72))"),"今天")</f>
        <v>今天</v>
      </c>
      <c r="E1038" s="61" t="str">
        <f>IFERROR(__xludf.DUMMYFUNCTION("INDIRECT(""'收支紀錄'!E""&amp;TO_TEXT(ROW()-$C$72))"),"")</f>
        <v/>
      </c>
      <c r="F1038" s="61" t="str">
        <f>IFERROR(__xludf.DUMMYFUNCTION("INDIRECT(""'收支紀錄'!F""&amp;TO_TEXT(ROW()-$C$72))"),"")</f>
        <v/>
      </c>
      <c r="G1038" s="61" t="str">
        <f>IFERROR(__xludf.DUMMYFUNCTION("INDIRECT(""'收支紀錄'!G""&amp;TO_TEXT(ROW()-$C$72))"),"")</f>
        <v/>
      </c>
      <c r="H1038" s="61" t="str">
        <f>IFERROR(__xludf.DUMMYFUNCTION("INDIRECT(""'收支紀錄'!H""&amp;TO_TEXT(ROW()-$C$72))"),"日常生活")</f>
        <v>日常生活</v>
      </c>
      <c r="I1038" s="61" t="str">
        <f>IFERROR(__xludf.DUMMYFUNCTION("INDIRECT(""'收支紀錄'!I""&amp;TO_TEXT(ROW()-$C$72))"),"")</f>
        <v/>
      </c>
      <c r="J1038" s="61" t="str">
        <f>IFERROR(__xludf.DUMMYFUNCTION("INDIRECT(""'收支紀錄'!J""&amp;TO_TEXT(ROW()-$C$72))"),"日常用品")</f>
        <v>日常用品</v>
      </c>
      <c r="K1038" s="61" t="str">
        <f>IFERROR(__xludf.DUMMYFUNCTION("INDIRECT(""'收支紀錄'!K""&amp;TO_TEXT(ROW()-$C$72))"),"")</f>
        <v/>
      </c>
      <c r="L1038" s="61" t="str">
        <f>IFERROR(__xludf.DUMMYFUNCTION("INDIRECT(""'收支紀錄'!L""&amp;TO_TEXT(ROW()-$C$72))"),"")</f>
        <v/>
      </c>
      <c r="M1038" s="61" t="str">
        <f>IFERROR(__xludf.DUMMYFUNCTION("INDIRECT(""'收支紀錄'!M""&amp;TO_TEXT(ROW()-$C$72))"),"")</f>
        <v/>
      </c>
      <c r="N1038" s="61" t="str">
        <f>IFERROR(__xludf.DUMMYFUNCTION("INDIRECT(""'收支紀錄'!N""&amp;TO_TEXT(ROW()-$C$72))"),"")</f>
        <v/>
      </c>
      <c r="O1038" s="61" t="str">
        <f>IFERROR(__xludf.DUMMYFUNCTION("INDIRECT(""'收支紀錄'!O""&amp;TO_TEXT(ROW()-$C$72))"),"")</f>
        <v/>
      </c>
      <c r="P1038" s="61" t="str">
        <f>IFERROR(__xludf.DUMMYFUNCTION("INDIRECT(""'收支紀錄'!P""&amp;TO_TEXT(ROW()-$C$72))"),"")</f>
        <v/>
      </c>
      <c r="Q1038" s="61" t="str">
        <f>IFERROR(__xludf.DUMMYFUNCTION("INDIRECT(""'收支紀錄'!Q""&amp;TO_TEXT(ROW()-$C$72))"),"")</f>
        <v/>
      </c>
      <c r="R1038" s="61" t="str">
        <f>IFERROR(__xludf.DUMMYFUNCTION("INDIRECT(""'收支紀錄'!R""&amp;TO_TEXT(ROW()-$C$72))"),"")</f>
        <v/>
      </c>
      <c r="S1038" s="61" t="str">
        <f>IFERROR(__xludf.DUMMYFUNCTION("INDIRECT(""'收支紀錄'!S""&amp;TO_TEXT(ROW()-$C$72))"),"隨身碟")</f>
        <v>隨身碟</v>
      </c>
      <c r="T1038" s="61" t="str">
        <f>IFERROR(__xludf.DUMMYFUNCTION("INDIRECT(""'收支紀錄'!T""&amp;TO_TEXT(ROW()-$C$72))"),"")</f>
        <v/>
      </c>
      <c r="U1038" s="62" t="str">
        <f>IFERROR(__xludf.DUMMYFUNCTION("IF(T1038=""是"",TEXTJOIN("""", TRUE, ""$"", TO_TEXT(C1038), S1038),"""")"),"")</f>
        <v/>
      </c>
    </row>
    <row r="1039">
      <c r="A1039" s="58">
        <f>IFERROR(__xludf.DUMMYFUNCTION("INDIRECT(""'收支紀錄'!A""&amp;TO_TEXT(ROW()-$C$72))"),45867.89735072917)</f>
        <v>45867.89735</v>
      </c>
      <c r="B1039" s="59">
        <f>IFERROR(__xludf.DUMMYFUNCTION("IF(ISBLANK(D1039), """", IF(ISDATE(D1039), D1039, IF(D1039=""今天"", A1039, IF(D1039=""昨天 (-1 day)"", A1039-1, IF(D1039=""前天 (-2 days)"", A1039-2, IF(D1039=""明天 (+1 day)"", A1039+1, DATE(LEFT(D1039,4), MID(D1039,5,2), RIGHT(D1039,2))))))))"),45867.89735072917)</f>
        <v>45867.89735</v>
      </c>
      <c r="C1039" s="60">
        <f>IFERROR(__xludf.DUMMYFUNCTION("INDIRECT(""'收支紀錄'!C""&amp;TO_TEXT(ROW()-$C$72))"),997.0)</f>
        <v>997</v>
      </c>
      <c r="D1039" s="63" t="str">
        <f>IFERROR(__xludf.DUMMYFUNCTION("INDIRECT(""'收支紀錄'!D""&amp;TO_TEXT(ROW()-$C$72))"),"今天")</f>
        <v>今天</v>
      </c>
      <c r="E1039" s="61" t="str">
        <f>IFERROR(__xludf.DUMMYFUNCTION("INDIRECT(""'收支紀錄'!E""&amp;TO_TEXT(ROW()-$C$72))"),"")</f>
        <v/>
      </c>
      <c r="F1039" s="61" t="str">
        <f>IFERROR(__xludf.DUMMYFUNCTION("INDIRECT(""'收支紀錄'!F""&amp;TO_TEXT(ROW()-$C$72))"),"")</f>
        <v/>
      </c>
      <c r="G1039" s="61" t="str">
        <f>IFERROR(__xludf.DUMMYFUNCTION("INDIRECT(""'收支紀錄'!G""&amp;TO_TEXT(ROW()-$C$72))"),"")</f>
        <v/>
      </c>
      <c r="H1039" s="61" t="str">
        <f>IFERROR(__xludf.DUMMYFUNCTION("INDIRECT(""'收支紀錄'!H""&amp;TO_TEXT(ROW()-$C$72))"),"日常生活")</f>
        <v>日常生活</v>
      </c>
      <c r="I1039" s="61" t="str">
        <f>IFERROR(__xludf.DUMMYFUNCTION("INDIRECT(""'收支紀錄'!I""&amp;TO_TEXT(ROW()-$C$72))"),"")</f>
        <v/>
      </c>
      <c r="J1039" s="61" t="str">
        <f>IFERROR(__xludf.DUMMYFUNCTION("INDIRECT(""'收支紀錄'!J""&amp;TO_TEXT(ROW()-$C$72))"),"日常用品")</f>
        <v>日常用品</v>
      </c>
      <c r="K1039" s="61" t="str">
        <f>IFERROR(__xludf.DUMMYFUNCTION("INDIRECT(""'收支紀錄'!K""&amp;TO_TEXT(ROW()-$C$72))"),"")</f>
        <v/>
      </c>
      <c r="L1039" s="61" t="str">
        <f>IFERROR(__xludf.DUMMYFUNCTION("INDIRECT(""'收支紀錄'!L""&amp;TO_TEXT(ROW()-$C$72))"),"")</f>
        <v/>
      </c>
      <c r="M1039" s="61" t="str">
        <f>IFERROR(__xludf.DUMMYFUNCTION("INDIRECT(""'收支紀錄'!M""&amp;TO_TEXT(ROW()-$C$72))"),"")</f>
        <v/>
      </c>
      <c r="N1039" s="61" t="str">
        <f>IFERROR(__xludf.DUMMYFUNCTION("INDIRECT(""'收支紀錄'!N""&amp;TO_TEXT(ROW()-$C$72))"),"")</f>
        <v/>
      </c>
      <c r="O1039" s="61" t="str">
        <f>IFERROR(__xludf.DUMMYFUNCTION("INDIRECT(""'收支紀錄'!O""&amp;TO_TEXT(ROW()-$C$72))"),"")</f>
        <v/>
      </c>
      <c r="P1039" s="61" t="str">
        <f>IFERROR(__xludf.DUMMYFUNCTION("INDIRECT(""'收支紀錄'!P""&amp;TO_TEXT(ROW()-$C$72))"),"")</f>
        <v/>
      </c>
      <c r="Q1039" s="61" t="str">
        <f>IFERROR(__xludf.DUMMYFUNCTION("INDIRECT(""'收支紀錄'!Q""&amp;TO_TEXT(ROW()-$C$72))"),"")</f>
        <v/>
      </c>
      <c r="R1039" s="61" t="str">
        <f>IFERROR(__xludf.DUMMYFUNCTION("INDIRECT(""'收支紀錄'!R""&amp;TO_TEXT(ROW()-$C$72))"),"")</f>
        <v/>
      </c>
      <c r="S1039" s="61" t="str">
        <f>IFERROR(__xludf.DUMMYFUNCTION("INDIRECT(""'收支紀錄'!S""&amp;TO_TEXT(ROW()-$C$72))"),"拼多多運費")</f>
        <v>拼多多運費</v>
      </c>
      <c r="T1039" s="61" t="str">
        <f>IFERROR(__xludf.DUMMYFUNCTION("INDIRECT(""'收支紀錄'!T""&amp;TO_TEXT(ROW()-$C$72))"),"")</f>
        <v/>
      </c>
      <c r="U1039" s="62" t="str">
        <f>IFERROR(__xludf.DUMMYFUNCTION("IF(T1039=""是"",TEXTJOIN("""", TRUE, ""$"", TO_TEXT(C1039), S1039),"""")"),"")</f>
        <v/>
      </c>
    </row>
    <row r="1040">
      <c r="A1040" s="58">
        <f>IFERROR(__xludf.DUMMYFUNCTION("INDIRECT(""'收支紀錄'!A""&amp;TO_TEXT(ROW()-$C$72))"),45868.93821230324)</f>
        <v>45868.93821</v>
      </c>
      <c r="B1040" s="59">
        <f>IFERROR(__xludf.DUMMYFUNCTION("IF(ISBLANK(D1040), """", IF(ISDATE(D1040), D1040, IF(D1040=""今天"", A1040, IF(D1040=""昨天 (-1 day)"", A1040-1, IF(D1040=""前天 (-2 days)"", A1040-2, IF(D1040=""明天 (+1 day)"", A1040+1, DATE(LEFT(D1040,4), MID(D1040,5,2), RIGHT(D1040,2))))))))"),45868.93821230324)</f>
        <v>45868.93821</v>
      </c>
      <c r="C1040" s="60">
        <f>IFERROR(__xludf.DUMMYFUNCTION("INDIRECT(""'收支紀錄'!C""&amp;TO_TEXT(ROW()-$C$72))"),838.0)</f>
        <v>838</v>
      </c>
      <c r="D1040" s="63" t="str">
        <f>IFERROR(__xludf.DUMMYFUNCTION("INDIRECT(""'收支紀錄'!D""&amp;TO_TEXT(ROW()-$C$72))"),"今天")</f>
        <v>今天</v>
      </c>
      <c r="E1040" s="61" t="str">
        <f>IFERROR(__xludf.DUMMYFUNCTION("INDIRECT(""'收支紀錄'!E""&amp;TO_TEXT(ROW()-$C$72))"),"")</f>
        <v/>
      </c>
      <c r="F1040" s="61" t="str">
        <f>IFERROR(__xludf.DUMMYFUNCTION("INDIRECT(""'收支紀錄'!F""&amp;TO_TEXT(ROW()-$C$72))"),"")</f>
        <v/>
      </c>
      <c r="G1040" s="61" t="str">
        <f>IFERROR(__xludf.DUMMYFUNCTION("INDIRECT(""'收支紀錄'!G""&amp;TO_TEXT(ROW()-$C$72))"),"")</f>
        <v/>
      </c>
      <c r="H1040" s="61" t="str">
        <f>IFERROR(__xludf.DUMMYFUNCTION("INDIRECT(""'收支紀錄'!H""&amp;TO_TEXT(ROW()-$C$72))"),"日常生活")</f>
        <v>日常生活</v>
      </c>
      <c r="I1040" s="61" t="str">
        <f>IFERROR(__xludf.DUMMYFUNCTION("INDIRECT(""'收支紀錄'!I""&amp;TO_TEXT(ROW()-$C$72))"),"")</f>
        <v/>
      </c>
      <c r="J1040" s="61" t="str">
        <f>IFERROR(__xludf.DUMMYFUNCTION("INDIRECT(""'收支紀錄'!J""&amp;TO_TEXT(ROW()-$C$72))"),"日常用品")</f>
        <v>日常用品</v>
      </c>
      <c r="K1040" s="61" t="str">
        <f>IFERROR(__xludf.DUMMYFUNCTION("INDIRECT(""'收支紀錄'!K""&amp;TO_TEXT(ROW()-$C$72))"),"")</f>
        <v/>
      </c>
      <c r="L1040" s="61" t="str">
        <f>IFERROR(__xludf.DUMMYFUNCTION("INDIRECT(""'收支紀錄'!L""&amp;TO_TEXT(ROW()-$C$72))"),"")</f>
        <v/>
      </c>
      <c r="M1040" s="61" t="str">
        <f>IFERROR(__xludf.DUMMYFUNCTION("INDIRECT(""'收支紀錄'!M""&amp;TO_TEXT(ROW()-$C$72))"),"")</f>
        <v/>
      </c>
      <c r="N1040" s="61" t="str">
        <f>IFERROR(__xludf.DUMMYFUNCTION("INDIRECT(""'收支紀錄'!N""&amp;TO_TEXT(ROW()-$C$72))"),"")</f>
        <v/>
      </c>
      <c r="O1040" s="61" t="str">
        <f>IFERROR(__xludf.DUMMYFUNCTION("INDIRECT(""'收支紀錄'!O""&amp;TO_TEXT(ROW()-$C$72))"),"")</f>
        <v/>
      </c>
      <c r="P1040" s="61" t="str">
        <f>IFERROR(__xludf.DUMMYFUNCTION("INDIRECT(""'收支紀錄'!P""&amp;TO_TEXT(ROW()-$C$72))"),"")</f>
        <v/>
      </c>
      <c r="Q1040" s="61" t="str">
        <f>IFERROR(__xludf.DUMMYFUNCTION("INDIRECT(""'收支紀錄'!Q""&amp;TO_TEXT(ROW()-$C$72))"),"")</f>
        <v/>
      </c>
      <c r="R1040" s="61" t="str">
        <f>IFERROR(__xludf.DUMMYFUNCTION("INDIRECT(""'收支紀錄'!R""&amp;TO_TEXT(ROW()-$C$72))"),"")</f>
        <v/>
      </c>
      <c r="S1040" s="61" t="str">
        <f>IFERROR(__xludf.DUMMYFUNCTION("INDIRECT(""'收支紀錄'!S""&amp;TO_TEXT(ROW()-$C$72))"),"蝦皮 牙刷刷頭")</f>
        <v>蝦皮 牙刷刷頭</v>
      </c>
      <c r="T1040" s="61" t="str">
        <f>IFERROR(__xludf.DUMMYFUNCTION("INDIRECT(""'收支紀錄'!T""&amp;TO_TEXT(ROW()-$C$72))"),"")</f>
        <v/>
      </c>
      <c r="U1040" s="62" t="str">
        <f>IFERROR(__xludf.DUMMYFUNCTION("IF(T1040=""是"",TEXTJOIN("""", TRUE, ""$"", TO_TEXT(C1040), S1040),"""")"),"")</f>
        <v/>
      </c>
    </row>
    <row r="1041">
      <c r="A1041" s="58">
        <f>IFERROR(__xludf.DUMMYFUNCTION("INDIRECT(""'收支紀錄'!A""&amp;TO_TEXT(ROW()-$C$72))"),45870.982072743056)</f>
        <v>45870.98207</v>
      </c>
      <c r="B1041" s="59">
        <f>IFERROR(__xludf.DUMMYFUNCTION("IF(ISBLANK(D1041), """", IF(ISDATE(D1041), D1041, IF(D1041=""今天"", A1041, IF(D1041=""昨天 (-1 day)"", A1041-1, IF(D1041=""前天 (-2 days)"", A1041-2, IF(D1041=""明天 (+1 day)"", A1041+1, DATE(LEFT(D1041,4), MID(D1041,5,2), RIGHT(D1041,2))))))))"),45871.982072743056)</f>
        <v>45871.98207</v>
      </c>
      <c r="C1041" s="60">
        <f>IFERROR(__xludf.DUMMYFUNCTION("INDIRECT(""'收支紀錄'!C""&amp;TO_TEXT(ROW()-$C$72))"),58.0)</f>
        <v>58</v>
      </c>
      <c r="D1041" s="63" t="str">
        <f>IFERROR(__xludf.DUMMYFUNCTION("INDIRECT(""'收支紀錄'!D""&amp;TO_TEXT(ROW()-$C$72))"),"明天 (+1 day)")</f>
        <v>明天 (+1 day)</v>
      </c>
      <c r="E1041" s="61" t="str">
        <f>IFERROR(__xludf.DUMMYFUNCTION("INDIRECT(""'收支紀錄'!E""&amp;TO_TEXT(ROW()-$C$72))"),"")</f>
        <v/>
      </c>
      <c r="F1041" s="61" t="str">
        <f>IFERROR(__xludf.DUMMYFUNCTION("INDIRECT(""'收支紀錄'!F""&amp;TO_TEXT(ROW()-$C$72))"),"")</f>
        <v/>
      </c>
      <c r="G1041" s="61" t="str">
        <f>IFERROR(__xludf.DUMMYFUNCTION("INDIRECT(""'收支紀錄'!G""&amp;TO_TEXT(ROW()-$C$72))"),"")</f>
        <v/>
      </c>
      <c r="H1041" s="61" t="str">
        <f>IFERROR(__xludf.DUMMYFUNCTION("INDIRECT(""'收支紀錄'!H""&amp;TO_TEXT(ROW()-$C$72))"),"食品酒水")</f>
        <v>食品酒水</v>
      </c>
      <c r="I1041" s="61" t="str">
        <f>IFERROR(__xludf.DUMMYFUNCTION("INDIRECT(""'收支紀錄'!I""&amp;TO_TEXT(ROW()-$C$72))"),"早餐")</f>
        <v>早餐</v>
      </c>
      <c r="J1041" s="61" t="str">
        <f>IFERROR(__xludf.DUMMYFUNCTION("INDIRECT(""'收支紀錄'!J""&amp;TO_TEXT(ROW()-$C$72))"),"")</f>
        <v/>
      </c>
      <c r="K1041" s="61" t="str">
        <f>IFERROR(__xludf.DUMMYFUNCTION("INDIRECT(""'收支紀錄'!K""&amp;TO_TEXT(ROW()-$C$72))"),"")</f>
        <v/>
      </c>
      <c r="L1041" s="61" t="str">
        <f>IFERROR(__xludf.DUMMYFUNCTION("INDIRECT(""'收支紀錄'!L""&amp;TO_TEXT(ROW()-$C$72))"),"")</f>
        <v/>
      </c>
      <c r="M1041" s="61" t="str">
        <f>IFERROR(__xludf.DUMMYFUNCTION("INDIRECT(""'收支紀錄'!M""&amp;TO_TEXT(ROW()-$C$72))"),"")</f>
        <v/>
      </c>
      <c r="N1041" s="61" t="str">
        <f>IFERROR(__xludf.DUMMYFUNCTION("INDIRECT(""'收支紀錄'!N""&amp;TO_TEXT(ROW()-$C$72))"),"")</f>
        <v/>
      </c>
      <c r="O1041" s="61" t="str">
        <f>IFERROR(__xludf.DUMMYFUNCTION("INDIRECT(""'收支紀錄'!O""&amp;TO_TEXT(ROW()-$C$72))"),"")</f>
        <v/>
      </c>
      <c r="P1041" s="61" t="str">
        <f>IFERROR(__xludf.DUMMYFUNCTION("INDIRECT(""'收支紀錄'!P""&amp;TO_TEXT(ROW()-$C$72))"),"")</f>
        <v/>
      </c>
      <c r="Q1041" s="61" t="str">
        <f>IFERROR(__xludf.DUMMYFUNCTION("INDIRECT(""'收支紀錄'!Q""&amp;TO_TEXT(ROW()-$C$72))"),"")</f>
        <v/>
      </c>
      <c r="R1041" s="61" t="str">
        <f>IFERROR(__xludf.DUMMYFUNCTION("INDIRECT(""'收支紀錄'!R""&amp;TO_TEXT(ROW()-$C$72))"),"")</f>
        <v/>
      </c>
      <c r="S1041" s="61" t="str">
        <f>IFERROR(__xludf.DUMMYFUNCTION("INDIRECT(""'收支紀錄'!S""&amp;TO_TEXT(ROW()-$C$72))"),"")</f>
        <v/>
      </c>
      <c r="T1041" s="61" t="str">
        <f>IFERROR(__xludf.DUMMYFUNCTION("INDIRECT(""'收支紀錄'!T""&amp;TO_TEXT(ROW()-$C$72))"),"")</f>
        <v/>
      </c>
      <c r="U1041" s="62" t="str">
        <f>IFERROR(__xludf.DUMMYFUNCTION("IF(T1041=""是"",TEXTJOIN("""", TRUE, ""$"", TO_TEXT(C1041), S1041),"""")"),"")</f>
        <v/>
      </c>
    </row>
    <row r="1042">
      <c r="A1042" s="58">
        <f>IFERROR(__xludf.DUMMYFUNCTION("INDIRECT(""'收支紀錄'!A""&amp;TO_TEXT(ROW()-$C$72))"),45871.48844581019)</f>
        <v>45871.48845</v>
      </c>
      <c r="B1042" s="59">
        <f>IFERROR(__xludf.DUMMYFUNCTION("IF(ISBLANK(D1042), """", IF(ISDATE(D1042), D1042, IF(D1042=""今天"", A1042, IF(D1042=""昨天 (-1 day)"", A1042-1, IF(D1042=""前天 (-2 days)"", A1042-2, IF(D1042=""明天 (+1 day)"", A1042+1, DATE(LEFT(D1042,4), MID(D1042,5,2), RIGHT(D1042,2))))))))"),45871.48844581019)</f>
        <v>45871.48845</v>
      </c>
      <c r="C1042" s="60">
        <f>IFERROR(__xludf.DUMMYFUNCTION("INDIRECT(""'收支紀錄'!C""&amp;TO_TEXT(ROW()-$C$72))"),417.0)</f>
        <v>417</v>
      </c>
      <c r="D1042" s="63" t="str">
        <f>IFERROR(__xludf.DUMMYFUNCTION("INDIRECT(""'收支紀錄'!D""&amp;TO_TEXT(ROW()-$C$72))"),"今天")</f>
        <v>今天</v>
      </c>
      <c r="E1042" s="61" t="str">
        <f>IFERROR(__xludf.DUMMYFUNCTION("INDIRECT(""'收支紀錄'!E""&amp;TO_TEXT(ROW()-$C$72))"),"")</f>
        <v/>
      </c>
      <c r="F1042" s="61" t="str">
        <f>IFERROR(__xludf.DUMMYFUNCTION("INDIRECT(""'收支紀錄'!F""&amp;TO_TEXT(ROW()-$C$72))"),"")</f>
        <v/>
      </c>
      <c r="G1042" s="61" t="str">
        <f>IFERROR(__xludf.DUMMYFUNCTION("INDIRECT(""'收支紀錄'!G""&amp;TO_TEXT(ROW()-$C$72))"),"")</f>
        <v/>
      </c>
      <c r="H1042" s="61" t="str">
        <f>IFERROR(__xludf.DUMMYFUNCTION("INDIRECT(""'收支紀錄'!H""&amp;TO_TEXT(ROW()-$C$72))"),"行車交通")</f>
        <v>行車交通</v>
      </c>
      <c r="I1042" s="61" t="str">
        <f>IFERROR(__xludf.DUMMYFUNCTION("INDIRECT(""'收支紀錄'!I""&amp;TO_TEXT(ROW()-$C$72))"),"")</f>
        <v/>
      </c>
      <c r="J1042" s="61" t="str">
        <f>IFERROR(__xludf.DUMMYFUNCTION("INDIRECT(""'收支紀錄'!J""&amp;TO_TEXT(ROW()-$C$72))"),"")</f>
        <v/>
      </c>
      <c r="K1042" s="61" t="str">
        <f>IFERROR(__xludf.DUMMYFUNCTION("INDIRECT(""'收支紀錄'!K""&amp;TO_TEXT(ROW()-$C$72))"),"")</f>
        <v/>
      </c>
      <c r="L1042" s="61" t="str">
        <f>IFERROR(__xludf.DUMMYFUNCTION("INDIRECT(""'收支紀錄'!L""&amp;TO_TEXT(ROW()-$C$72))"),"加油")</f>
        <v>加油</v>
      </c>
      <c r="M1042" s="61" t="str">
        <f>IFERROR(__xludf.DUMMYFUNCTION("INDIRECT(""'收支紀錄'!M""&amp;TO_TEXT(ROW()-$C$72))"),"")</f>
        <v/>
      </c>
      <c r="N1042" s="61" t="str">
        <f>IFERROR(__xludf.DUMMYFUNCTION("INDIRECT(""'收支紀錄'!N""&amp;TO_TEXT(ROW()-$C$72))"),"")</f>
        <v/>
      </c>
      <c r="O1042" s="61" t="str">
        <f>IFERROR(__xludf.DUMMYFUNCTION("INDIRECT(""'收支紀錄'!O""&amp;TO_TEXT(ROW()-$C$72))"),"")</f>
        <v/>
      </c>
      <c r="P1042" s="61" t="str">
        <f>IFERROR(__xludf.DUMMYFUNCTION("INDIRECT(""'收支紀錄'!P""&amp;TO_TEXT(ROW()-$C$72))"),"")</f>
        <v/>
      </c>
      <c r="Q1042" s="61" t="str">
        <f>IFERROR(__xludf.DUMMYFUNCTION("INDIRECT(""'收支紀錄'!Q""&amp;TO_TEXT(ROW()-$C$72))"),"")</f>
        <v/>
      </c>
      <c r="R1042" s="61" t="str">
        <f>IFERROR(__xludf.DUMMYFUNCTION("INDIRECT(""'收支紀錄'!R""&amp;TO_TEXT(ROW()-$C$72))"),"")</f>
        <v/>
      </c>
      <c r="S1042" s="61" t="str">
        <f>IFERROR(__xludf.DUMMYFUNCTION("INDIRECT(""'收支紀錄'!S""&amp;TO_TEXT(ROW()-$C$72))"),"")</f>
        <v/>
      </c>
      <c r="T1042" s="61" t="str">
        <f>IFERROR(__xludf.DUMMYFUNCTION("INDIRECT(""'收支紀錄'!T""&amp;TO_TEXT(ROW()-$C$72))"),"")</f>
        <v/>
      </c>
      <c r="U1042" s="62" t="str">
        <f>IFERROR(__xludf.DUMMYFUNCTION("IF(T1042=""是"",TEXTJOIN("""", TRUE, ""$"", TO_TEXT(C1042), S1042),"""")"),"")</f>
        <v/>
      </c>
    </row>
    <row r="1043">
      <c r="A1043" s="58">
        <f>IFERROR(__xludf.DUMMYFUNCTION("INDIRECT(""'收支紀錄'!A""&amp;TO_TEXT(ROW()-$C$72))"),45871.48861185185)</f>
        <v>45871.48861</v>
      </c>
      <c r="B1043" s="59">
        <f>IFERROR(__xludf.DUMMYFUNCTION("IF(ISBLANK(D1043), """", IF(ISDATE(D1043), D1043, IF(D1043=""今天"", A1043, IF(D1043=""昨天 (-1 day)"", A1043-1, IF(D1043=""前天 (-2 days)"", A1043-2, IF(D1043=""明天 (+1 day)"", A1043+1, DATE(LEFT(D1043,4), MID(D1043,5,2), RIGHT(D1043,2))))))))"),45870.48861185185)</f>
        <v>45870.48861</v>
      </c>
      <c r="C1043" s="60">
        <f>IFERROR(__xludf.DUMMYFUNCTION("INDIRECT(""'收支紀錄'!C""&amp;TO_TEXT(ROW()-$C$72))"),20000.0)</f>
        <v>20000</v>
      </c>
      <c r="D1043" s="63" t="str">
        <f>IFERROR(__xludf.DUMMYFUNCTION("INDIRECT(""'收支紀錄'!D""&amp;TO_TEXT(ROW()-$C$72))"),"昨天 (-1 day)")</f>
        <v>昨天 (-1 day)</v>
      </c>
      <c r="E1043" s="61" t="str">
        <f>IFERROR(__xludf.DUMMYFUNCTION("INDIRECT(""'收支紀錄'!E""&amp;TO_TEXT(ROW()-$C$72))"),"")</f>
        <v/>
      </c>
      <c r="F1043" s="61" t="str">
        <f>IFERROR(__xludf.DUMMYFUNCTION("INDIRECT(""'收支紀錄'!F""&amp;TO_TEXT(ROW()-$C$72))"),"")</f>
        <v/>
      </c>
      <c r="G1043" s="61" t="str">
        <f>IFERROR(__xludf.DUMMYFUNCTION("INDIRECT(""'收支紀錄'!G""&amp;TO_TEXT(ROW()-$C$72))"),"")</f>
        <v/>
      </c>
      <c r="H1043" s="61" t="str">
        <f>IFERROR(__xludf.DUMMYFUNCTION("INDIRECT(""'收支紀錄'!H""&amp;TO_TEXT(ROW()-$C$72))"),"房屋支出")</f>
        <v>房屋支出</v>
      </c>
      <c r="I1043" s="61" t="str">
        <f>IFERROR(__xludf.DUMMYFUNCTION("INDIRECT(""'收支紀錄'!I""&amp;TO_TEXT(ROW()-$C$72))"),"")</f>
        <v/>
      </c>
      <c r="J1043" s="61" t="str">
        <f>IFERROR(__xludf.DUMMYFUNCTION("INDIRECT(""'收支紀錄'!J""&amp;TO_TEXT(ROW()-$C$72))"),"")</f>
        <v/>
      </c>
      <c r="K1043" s="61" t="str">
        <f>IFERROR(__xludf.DUMMYFUNCTION("INDIRECT(""'收支紀錄'!K""&amp;TO_TEXT(ROW()-$C$72))"),"文心1房貸代繳")</f>
        <v>文心1房貸代繳</v>
      </c>
      <c r="L1043" s="61" t="str">
        <f>IFERROR(__xludf.DUMMYFUNCTION("INDIRECT(""'收支紀錄'!L""&amp;TO_TEXT(ROW()-$C$72))"),"")</f>
        <v/>
      </c>
      <c r="M1043" s="61" t="str">
        <f>IFERROR(__xludf.DUMMYFUNCTION("INDIRECT(""'收支紀錄'!M""&amp;TO_TEXT(ROW()-$C$72))"),"")</f>
        <v/>
      </c>
      <c r="N1043" s="61" t="str">
        <f>IFERROR(__xludf.DUMMYFUNCTION("INDIRECT(""'收支紀錄'!N""&amp;TO_TEXT(ROW()-$C$72))"),"")</f>
        <v/>
      </c>
      <c r="O1043" s="61" t="str">
        <f>IFERROR(__xludf.DUMMYFUNCTION("INDIRECT(""'收支紀錄'!O""&amp;TO_TEXT(ROW()-$C$72))"),"")</f>
        <v/>
      </c>
      <c r="P1043" s="61" t="str">
        <f>IFERROR(__xludf.DUMMYFUNCTION("INDIRECT(""'收支紀錄'!P""&amp;TO_TEXT(ROW()-$C$72))"),"")</f>
        <v/>
      </c>
      <c r="Q1043" s="61" t="str">
        <f>IFERROR(__xludf.DUMMYFUNCTION("INDIRECT(""'收支紀錄'!Q""&amp;TO_TEXT(ROW()-$C$72))"),"")</f>
        <v/>
      </c>
      <c r="R1043" s="61" t="str">
        <f>IFERROR(__xludf.DUMMYFUNCTION("INDIRECT(""'收支紀錄'!R""&amp;TO_TEXT(ROW()-$C$72))"),"")</f>
        <v/>
      </c>
      <c r="S1043" s="61" t="str">
        <f>IFERROR(__xludf.DUMMYFUNCTION("INDIRECT(""'收支紀錄'!S""&amp;TO_TEXT(ROW()-$C$72))"),"")</f>
        <v/>
      </c>
      <c r="T1043" s="61" t="str">
        <f>IFERROR(__xludf.DUMMYFUNCTION("INDIRECT(""'收支紀錄'!T""&amp;TO_TEXT(ROW()-$C$72))"),"")</f>
        <v/>
      </c>
      <c r="U1043" s="62" t="str">
        <f>IFERROR(__xludf.DUMMYFUNCTION("IF(T1043=""是"",TEXTJOIN("""", TRUE, ""$"", TO_TEXT(C1043), S1043),"""")"),"")</f>
        <v/>
      </c>
    </row>
    <row r="1044">
      <c r="A1044" s="58">
        <f>IFERROR(__xludf.DUMMYFUNCTION("INDIRECT(""'收支紀錄'!A""&amp;TO_TEXT(ROW()-$C$72))"),45871.48877116898)</f>
        <v>45871.48877</v>
      </c>
      <c r="B1044" s="59">
        <f>IFERROR(__xludf.DUMMYFUNCTION("IF(ISBLANK(D1044), """", IF(ISDATE(D1044), D1044, IF(D1044=""今天"", A1044, IF(D1044=""昨天 (-1 day)"", A1044-1, IF(D1044=""前天 (-2 days)"", A1044-2, IF(D1044=""明天 (+1 day)"", A1044+1, DATE(LEFT(D1044,4), MID(D1044,5,2), RIGHT(D1044,2))))))))"),45870.48877116898)</f>
        <v>45870.48877</v>
      </c>
      <c r="C1044" s="60">
        <f>IFERROR(__xludf.DUMMYFUNCTION("INDIRECT(""'收支紀錄'!C""&amp;TO_TEXT(ROW()-$C$72))"),6000.0)</f>
        <v>6000</v>
      </c>
      <c r="D1044" s="63" t="str">
        <f>IFERROR(__xludf.DUMMYFUNCTION("INDIRECT(""'收支紀錄'!D""&amp;TO_TEXT(ROW()-$C$72))"),"昨天 (-1 day)")</f>
        <v>昨天 (-1 day)</v>
      </c>
      <c r="E1044" s="61" t="str">
        <f>IFERROR(__xludf.DUMMYFUNCTION("INDIRECT(""'收支紀錄'!E""&amp;TO_TEXT(ROW()-$C$72))"),"")</f>
        <v/>
      </c>
      <c r="F1044" s="61" t="str">
        <f>IFERROR(__xludf.DUMMYFUNCTION("INDIRECT(""'收支紀錄'!F""&amp;TO_TEXT(ROW()-$C$72))"),"")</f>
        <v/>
      </c>
      <c r="G1044" s="61" t="str">
        <f>IFERROR(__xludf.DUMMYFUNCTION("INDIRECT(""'收支紀錄'!G""&amp;TO_TEXT(ROW()-$C$72))"),"")</f>
        <v/>
      </c>
      <c r="H1044" s="61" t="str">
        <f>IFERROR(__xludf.DUMMYFUNCTION("INDIRECT(""'收支紀錄'!H""&amp;TO_TEXT(ROW()-$C$72))"),"房屋支出")</f>
        <v>房屋支出</v>
      </c>
      <c r="I1044" s="61" t="str">
        <f>IFERROR(__xludf.DUMMYFUNCTION("INDIRECT(""'收支紀錄'!I""&amp;TO_TEXT(ROW()-$C$72))"),"")</f>
        <v/>
      </c>
      <c r="J1044" s="61" t="str">
        <f>IFERROR(__xludf.DUMMYFUNCTION("INDIRECT(""'收支紀錄'!J""&amp;TO_TEXT(ROW()-$C$72))"),"")</f>
        <v/>
      </c>
      <c r="K1044" s="61" t="str">
        <f>IFERROR(__xludf.DUMMYFUNCTION("INDIRECT(""'收支紀錄'!K""&amp;TO_TEXT(ROW()-$C$72))"),"租屋")</f>
        <v>租屋</v>
      </c>
      <c r="L1044" s="61" t="str">
        <f>IFERROR(__xludf.DUMMYFUNCTION("INDIRECT(""'收支紀錄'!L""&amp;TO_TEXT(ROW()-$C$72))"),"")</f>
        <v/>
      </c>
      <c r="M1044" s="61" t="str">
        <f>IFERROR(__xludf.DUMMYFUNCTION("INDIRECT(""'收支紀錄'!M""&amp;TO_TEXT(ROW()-$C$72))"),"")</f>
        <v/>
      </c>
      <c r="N1044" s="61" t="str">
        <f>IFERROR(__xludf.DUMMYFUNCTION("INDIRECT(""'收支紀錄'!N""&amp;TO_TEXT(ROW()-$C$72))"),"")</f>
        <v/>
      </c>
      <c r="O1044" s="61" t="str">
        <f>IFERROR(__xludf.DUMMYFUNCTION("INDIRECT(""'收支紀錄'!O""&amp;TO_TEXT(ROW()-$C$72))"),"")</f>
        <v/>
      </c>
      <c r="P1044" s="61" t="str">
        <f>IFERROR(__xludf.DUMMYFUNCTION("INDIRECT(""'收支紀錄'!P""&amp;TO_TEXT(ROW()-$C$72))"),"")</f>
        <v/>
      </c>
      <c r="Q1044" s="61" t="str">
        <f>IFERROR(__xludf.DUMMYFUNCTION("INDIRECT(""'收支紀錄'!Q""&amp;TO_TEXT(ROW()-$C$72))"),"")</f>
        <v/>
      </c>
      <c r="R1044" s="61" t="str">
        <f>IFERROR(__xludf.DUMMYFUNCTION("INDIRECT(""'收支紀錄'!R""&amp;TO_TEXT(ROW()-$C$72))"),"")</f>
        <v/>
      </c>
      <c r="S1044" s="61" t="str">
        <f>IFERROR(__xludf.DUMMYFUNCTION("INDIRECT(""'收支紀錄'!S""&amp;TO_TEXT(ROW()-$C$72))"),"")</f>
        <v/>
      </c>
      <c r="T1044" s="61" t="str">
        <f>IFERROR(__xludf.DUMMYFUNCTION("INDIRECT(""'收支紀錄'!T""&amp;TO_TEXT(ROW()-$C$72))"),"")</f>
        <v/>
      </c>
      <c r="U1044" s="62" t="str">
        <f>IFERROR(__xludf.DUMMYFUNCTION("IF(T1044=""是"",TEXTJOIN("""", TRUE, ""$"", TO_TEXT(C1044), S1044),"""")"),"")</f>
        <v/>
      </c>
    </row>
    <row r="1045">
      <c r="A1045" s="58">
        <f>IFERROR(__xludf.DUMMYFUNCTION("INDIRECT(""'收支紀錄'!A""&amp;TO_TEXT(ROW()-$C$72))"),45871.488919317126)</f>
        <v>45871.48892</v>
      </c>
      <c r="B1045" s="59">
        <f>IFERROR(__xludf.DUMMYFUNCTION("IF(ISBLANK(D1045), """", IF(ISDATE(D1045), D1045, IF(D1045=""今天"", A1045, IF(D1045=""昨天 (-1 day)"", A1045-1, IF(D1045=""前天 (-2 days)"", A1045-2, IF(D1045=""明天 (+1 day)"", A1045+1, DATE(LEFT(D1045,4), MID(D1045,5,2), RIGHT(D1045,2))))))))"),45870.488919317126)</f>
        <v>45870.48892</v>
      </c>
      <c r="C1045" s="60">
        <f>IFERROR(__xludf.DUMMYFUNCTION("INDIRECT(""'收支紀錄'!C""&amp;TO_TEXT(ROW()-$C$72))"),6000.0)</f>
        <v>6000</v>
      </c>
      <c r="D1045" s="63" t="str">
        <f>IFERROR(__xludf.DUMMYFUNCTION("INDIRECT(""'收支紀錄'!D""&amp;TO_TEXT(ROW()-$C$72))"),"昨天 (-1 day)")</f>
        <v>昨天 (-1 day)</v>
      </c>
      <c r="E1045" s="61" t="str">
        <f>IFERROR(__xludf.DUMMYFUNCTION("INDIRECT(""'收支紀錄'!E""&amp;TO_TEXT(ROW()-$C$72))"),"其他業外")</f>
        <v>其他業外</v>
      </c>
      <c r="F1045" s="61" t="str">
        <f>IFERROR(__xludf.DUMMYFUNCTION("INDIRECT(""'收支紀錄'!F""&amp;TO_TEXT(ROW()-$C$72))"),"")</f>
        <v/>
      </c>
      <c r="G1045" s="61" t="str">
        <f>IFERROR(__xludf.DUMMYFUNCTION("INDIRECT(""'收支紀錄'!G""&amp;TO_TEXT(ROW()-$C$72))"),"房屋補貼")</f>
        <v>房屋補貼</v>
      </c>
      <c r="H1045" s="61" t="str">
        <f>IFERROR(__xludf.DUMMYFUNCTION("INDIRECT(""'收支紀錄'!H""&amp;TO_TEXT(ROW()-$C$72))"),"")</f>
        <v/>
      </c>
      <c r="I1045" s="61" t="str">
        <f>IFERROR(__xludf.DUMMYFUNCTION("INDIRECT(""'收支紀錄'!I""&amp;TO_TEXT(ROW()-$C$72))"),"")</f>
        <v/>
      </c>
      <c r="J1045" s="61" t="str">
        <f>IFERROR(__xludf.DUMMYFUNCTION("INDIRECT(""'收支紀錄'!J""&amp;TO_TEXT(ROW()-$C$72))"),"")</f>
        <v/>
      </c>
      <c r="K1045" s="61" t="str">
        <f>IFERROR(__xludf.DUMMYFUNCTION("INDIRECT(""'收支紀錄'!K""&amp;TO_TEXT(ROW()-$C$72))"),"")</f>
        <v/>
      </c>
      <c r="L1045" s="61" t="str">
        <f>IFERROR(__xludf.DUMMYFUNCTION("INDIRECT(""'收支紀錄'!L""&amp;TO_TEXT(ROW()-$C$72))"),"")</f>
        <v/>
      </c>
      <c r="M1045" s="61" t="str">
        <f>IFERROR(__xludf.DUMMYFUNCTION("INDIRECT(""'收支紀錄'!M""&amp;TO_TEXT(ROW()-$C$72))"),"")</f>
        <v/>
      </c>
      <c r="N1045" s="61" t="str">
        <f>IFERROR(__xludf.DUMMYFUNCTION("INDIRECT(""'收支紀錄'!N""&amp;TO_TEXT(ROW()-$C$72))"),"")</f>
        <v/>
      </c>
      <c r="O1045" s="61" t="str">
        <f>IFERROR(__xludf.DUMMYFUNCTION("INDIRECT(""'收支紀錄'!O""&amp;TO_TEXT(ROW()-$C$72))"),"")</f>
        <v/>
      </c>
      <c r="P1045" s="61" t="str">
        <f>IFERROR(__xludf.DUMMYFUNCTION("INDIRECT(""'收支紀錄'!P""&amp;TO_TEXT(ROW()-$C$72))"),"")</f>
        <v/>
      </c>
      <c r="Q1045" s="61" t="str">
        <f>IFERROR(__xludf.DUMMYFUNCTION("INDIRECT(""'收支紀錄'!Q""&amp;TO_TEXT(ROW()-$C$72))"),"")</f>
        <v/>
      </c>
      <c r="R1045" s="61" t="str">
        <f>IFERROR(__xludf.DUMMYFUNCTION("INDIRECT(""'收支紀錄'!R""&amp;TO_TEXT(ROW()-$C$72))"),"")</f>
        <v/>
      </c>
      <c r="S1045" s="61" t="str">
        <f>IFERROR(__xludf.DUMMYFUNCTION("INDIRECT(""'收支紀錄'!S""&amp;TO_TEXT(ROW()-$C$72))"),"")</f>
        <v/>
      </c>
      <c r="T1045" s="61" t="str">
        <f>IFERROR(__xludf.DUMMYFUNCTION("INDIRECT(""'收支紀錄'!T""&amp;TO_TEXT(ROW()-$C$72))"),"")</f>
        <v/>
      </c>
      <c r="U1045" s="62" t="str">
        <f>IFERROR(__xludf.DUMMYFUNCTION("IF(T1045=""是"",TEXTJOIN("""", TRUE, ""$"", TO_TEXT(C1045), S1045),"""")"),"")</f>
        <v/>
      </c>
    </row>
    <row r="1046">
      <c r="A1046" s="58">
        <f>IFERROR(__xludf.DUMMYFUNCTION("INDIRECT(""'收支紀錄'!A""&amp;TO_TEXT(ROW()-$C$72))"),45871.49464168982)</f>
        <v>45871.49464</v>
      </c>
      <c r="B1046" s="59">
        <f>IFERROR(__xludf.DUMMYFUNCTION("IF(ISBLANK(D1046), """", IF(ISDATE(D1046), D1046, IF(D1046=""今天"", A1046, IF(D1046=""昨天 (-1 day)"", A1046-1, IF(D1046=""前天 (-2 days)"", A1046-2, IF(D1046=""明天 (+1 day)"", A1046+1, DATE(LEFT(D1046,4), MID(D1046,5,2), RIGHT(D1046,2))))))))"),45869.49464168982)</f>
        <v>45869.49464</v>
      </c>
      <c r="C1046" s="60">
        <f>IFERROR(__xludf.DUMMYFUNCTION("INDIRECT(""'收支紀錄'!C""&amp;TO_TEXT(ROW()-$C$72))"),101000.0)</f>
        <v>101000</v>
      </c>
      <c r="D1046" s="63" t="str">
        <f>IFERROR(__xludf.DUMMYFUNCTION("INDIRECT(""'收支紀錄'!D""&amp;TO_TEXT(ROW()-$C$72))"),"前天 (-2 days)")</f>
        <v>前天 (-2 days)</v>
      </c>
      <c r="E1046" s="61" t="str">
        <f>IFERROR(__xludf.DUMMYFUNCTION("INDIRECT(""'收支紀錄'!E""&amp;TO_TEXT(ROW()-$C$72))"),"工作")</f>
        <v>工作</v>
      </c>
      <c r="F1046" s="61" t="str">
        <f>IFERROR(__xludf.DUMMYFUNCTION("INDIRECT(""'收支紀錄'!F""&amp;TO_TEXT(ROW()-$C$72))"),"年終/績效")</f>
        <v>年終/績效</v>
      </c>
      <c r="G1046" s="61" t="str">
        <f>IFERROR(__xludf.DUMMYFUNCTION("INDIRECT(""'收支紀錄'!G""&amp;TO_TEXT(ROW()-$C$72))"),"")</f>
        <v/>
      </c>
      <c r="H1046" s="61" t="str">
        <f>IFERROR(__xludf.DUMMYFUNCTION("INDIRECT(""'收支紀錄'!H""&amp;TO_TEXT(ROW()-$C$72))"),"")</f>
        <v/>
      </c>
      <c r="I1046" s="61" t="str">
        <f>IFERROR(__xludf.DUMMYFUNCTION("INDIRECT(""'收支紀錄'!I""&amp;TO_TEXT(ROW()-$C$72))"),"")</f>
        <v/>
      </c>
      <c r="J1046" s="61" t="str">
        <f>IFERROR(__xludf.DUMMYFUNCTION("INDIRECT(""'收支紀錄'!J""&amp;TO_TEXT(ROW()-$C$72))"),"")</f>
        <v/>
      </c>
      <c r="K1046" s="61" t="str">
        <f>IFERROR(__xludf.DUMMYFUNCTION("INDIRECT(""'收支紀錄'!K""&amp;TO_TEXT(ROW()-$C$72))"),"")</f>
        <v/>
      </c>
      <c r="L1046" s="61" t="str">
        <f>IFERROR(__xludf.DUMMYFUNCTION("INDIRECT(""'收支紀錄'!L""&amp;TO_TEXT(ROW()-$C$72))"),"")</f>
        <v/>
      </c>
      <c r="M1046" s="61" t="str">
        <f>IFERROR(__xludf.DUMMYFUNCTION("INDIRECT(""'收支紀錄'!M""&amp;TO_TEXT(ROW()-$C$72))"),"")</f>
        <v/>
      </c>
      <c r="N1046" s="61" t="str">
        <f>IFERROR(__xludf.DUMMYFUNCTION("INDIRECT(""'收支紀錄'!N""&amp;TO_TEXT(ROW()-$C$72))"),"")</f>
        <v/>
      </c>
      <c r="O1046" s="61" t="str">
        <f>IFERROR(__xludf.DUMMYFUNCTION("INDIRECT(""'收支紀錄'!O""&amp;TO_TEXT(ROW()-$C$72))"),"")</f>
        <v/>
      </c>
      <c r="P1046" s="61" t="str">
        <f>IFERROR(__xludf.DUMMYFUNCTION("INDIRECT(""'收支紀錄'!P""&amp;TO_TEXT(ROW()-$C$72))"),"")</f>
        <v/>
      </c>
      <c r="Q1046" s="61" t="str">
        <f>IFERROR(__xludf.DUMMYFUNCTION("INDIRECT(""'收支紀錄'!Q""&amp;TO_TEXT(ROW()-$C$72))"),"")</f>
        <v/>
      </c>
      <c r="R1046" s="61" t="str">
        <f>IFERROR(__xludf.DUMMYFUNCTION("INDIRECT(""'收支紀錄'!R""&amp;TO_TEXT(ROW()-$C$72))"),"")</f>
        <v/>
      </c>
      <c r="S1046" s="61" t="str">
        <f>IFERROR(__xludf.DUMMYFUNCTION("INDIRECT(""'收支紀錄'!S""&amp;TO_TEXT(ROW()-$C$72))"),"")</f>
        <v/>
      </c>
      <c r="T1046" s="61" t="str">
        <f>IFERROR(__xludf.DUMMYFUNCTION("INDIRECT(""'收支紀錄'!T""&amp;TO_TEXT(ROW()-$C$72))"),"")</f>
        <v/>
      </c>
      <c r="U1046" s="62" t="str">
        <f>IFERROR(__xludf.DUMMYFUNCTION("IF(T1046=""是"",TEXTJOIN("""", TRUE, ""$"", TO_TEXT(C1046), S1046),"""")"),"")</f>
        <v/>
      </c>
    </row>
    <row r="1047">
      <c r="A1047" s="58">
        <f>IFERROR(__xludf.DUMMYFUNCTION("INDIRECT(""'收支紀錄'!A""&amp;TO_TEXT(ROW()-$C$72))"),45871.494936331015)</f>
        <v>45871.49494</v>
      </c>
      <c r="B1047" s="59">
        <f>IFERROR(__xludf.DUMMYFUNCTION("IF(ISBLANK(D1047), """", IF(ISDATE(D1047), D1047, IF(D1047=""今天"", A1047, IF(D1047=""昨天 (-1 day)"", A1047-1, IF(D1047=""前天 (-2 days)"", A1047-2, IF(D1047=""明天 (+1 day)"", A1047+1, DATE(LEFT(D1047,4), MID(D1047,5,2), RIGHT(D1047,2))))))))"),45869.494936331015)</f>
        <v>45869.49494</v>
      </c>
      <c r="C1047" s="60">
        <f>IFERROR(__xludf.DUMMYFUNCTION("INDIRECT(""'收支紀錄'!C""&amp;TO_TEXT(ROW()-$C$72))"),7181.0)</f>
        <v>7181</v>
      </c>
      <c r="D1047" s="63" t="str">
        <f>IFERROR(__xludf.DUMMYFUNCTION("INDIRECT(""'收支紀錄'!D""&amp;TO_TEXT(ROW()-$C$72))"),"前天 (-2 days)")</f>
        <v>前天 (-2 days)</v>
      </c>
      <c r="E1047" s="61" t="str">
        <f>IFERROR(__xludf.DUMMYFUNCTION("INDIRECT(""'收支紀錄'!E""&amp;TO_TEXT(ROW()-$C$72))"),"")</f>
        <v/>
      </c>
      <c r="F1047" s="61" t="str">
        <f>IFERROR(__xludf.DUMMYFUNCTION("INDIRECT(""'收支紀錄'!F""&amp;TO_TEXT(ROW()-$C$72))"),"")</f>
        <v/>
      </c>
      <c r="G1047" s="61" t="str">
        <f>IFERROR(__xludf.DUMMYFUNCTION("INDIRECT(""'收支紀錄'!G""&amp;TO_TEXT(ROW()-$C$72))"),"")</f>
        <v/>
      </c>
      <c r="H1047" s="61" t="str">
        <f>IFERROR(__xludf.DUMMYFUNCTION("INDIRECT(""'收支紀錄'!H""&amp;TO_TEXT(ROW()-$C$72))"),"稅金保險")</f>
        <v>稅金保險</v>
      </c>
      <c r="I1047" s="61" t="str">
        <f>IFERROR(__xludf.DUMMYFUNCTION("INDIRECT(""'收支紀錄'!I""&amp;TO_TEXT(ROW()-$C$72))"),"")</f>
        <v/>
      </c>
      <c r="J1047" s="61" t="str">
        <f>IFERROR(__xludf.DUMMYFUNCTION("INDIRECT(""'收支紀錄'!J""&amp;TO_TEXT(ROW()-$C$72))"),"")</f>
        <v/>
      </c>
      <c r="K1047" s="61" t="str">
        <f>IFERROR(__xludf.DUMMYFUNCTION("INDIRECT(""'收支紀錄'!K""&amp;TO_TEXT(ROW()-$C$72))"),"")</f>
        <v/>
      </c>
      <c r="L1047" s="61" t="str">
        <f>IFERROR(__xludf.DUMMYFUNCTION("INDIRECT(""'收支紀錄'!L""&amp;TO_TEXT(ROW()-$C$72))"),"")</f>
        <v/>
      </c>
      <c r="M1047" s="61" t="str">
        <f>IFERROR(__xludf.DUMMYFUNCTION("INDIRECT(""'收支紀錄'!M""&amp;TO_TEXT(ROW()-$C$72))"),"")</f>
        <v/>
      </c>
      <c r="N1047" s="61" t="str">
        <f>IFERROR(__xludf.DUMMYFUNCTION("INDIRECT(""'收支紀錄'!N""&amp;TO_TEXT(ROW()-$C$72))"),"稅金")</f>
        <v>稅金</v>
      </c>
      <c r="O1047" s="61" t="str">
        <f>IFERROR(__xludf.DUMMYFUNCTION("INDIRECT(""'收支紀錄'!O""&amp;TO_TEXT(ROW()-$C$72))"),"")</f>
        <v/>
      </c>
      <c r="P1047" s="61" t="str">
        <f>IFERROR(__xludf.DUMMYFUNCTION("INDIRECT(""'收支紀錄'!P""&amp;TO_TEXT(ROW()-$C$72))"),"")</f>
        <v/>
      </c>
      <c r="Q1047" s="61" t="str">
        <f>IFERROR(__xludf.DUMMYFUNCTION("INDIRECT(""'收支紀錄'!Q""&amp;TO_TEXT(ROW()-$C$72))"),"")</f>
        <v/>
      </c>
      <c r="R1047" s="61" t="str">
        <f>IFERROR(__xludf.DUMMYFUNCTION("INDIRECT(""'收支紀錄'!R""&amp;TO_TEXT(ROW()-$C$72))"),"")</f>
        <v/>
      </c>
      <c r="S1047" s="61" t="str">
        <f>IFERROR(__xludf.DUMMYFUNCTION("INDIRECT(""'收支紀錄'!S""&amp;TO_TEXT(ROW()-$C$72))"),"")</f>
        <v/>
      </c>
      <c r="T1047" s="61" t="str">
        <f>IFERROR(__xludf.DUMMYFUNCTION("INDIRECT(""'收支紀錄'!T""&amp;TO_TEXT(ROW()-$C$72))"),"")</f>
        <v/>
      </c>
      <c r="U1047" s="62" t="str">
        <f>IFERROR(__xludf.DUMMYFUNCTION("IF(T1047=""是"",TEXTJOIN("""", TRUE, ""$"", TO_TEXT(C1047), S1047),"""")"),"")</f>
        <v/>
      </c>
    </row>
    <row r="1048">
      <c r="A1048" s="58">
        <f>IFERROR(__xludf.DUMMYFUNCTION("INDIRECT(""'收支紀錄'!A""&amp;TO_TEXT(ROW()-$C$72))"),45871.609354305554)</f>
        <v>45871.60935</v>
      </c>
      <c r="B1048" s="59">
        <f>IFERROR(__xludf.DUMMYFUNCTION("IF(ISBLANK(D1048), """", IF(ISDATE(D1048), D1048, IF(D1048=""今天"", A1048, IF(D1048=""昨天 (-1 day)"", A1048-1, IF(D1048=""前天 (-2 days)"", A1048-2, IF(D1048=""明天 (+1 day)"", A1048+1, DATE(LEFT(D1048,4), MID(D1048,5,2), RIGHT(D1048,2))))))))"),45871.609354305554)</f>
        <v>45871.60935</v>
      </c>
      <c r="C1048" s="60">
        <f>IFERROR(__xludf.DUMMYFUNCTION("INDIRECT(""'收支紀錄'!C""&amp;TO_TEXT(ROW()-$C$72))"),940.0)</f>
        <v>940</v>
      </c>
      <c r="D1048" s="63" t="str">
        <f>IFERROR(__xludf.DUMMYFUNCTION("INDIRECT(""'收支紀錄'!D""&amp;TO_TEXT(ROW()-$C$72))"),"今天")</f>
        <v>今天</v>
      </c>
      <c r="E1048" s="61" t="str">
        <f>IFERROR(__xludf.DUMMYFUNCTION("INDIRECT(""'收支紀錄'!E""&amp;TO_TEXT(ROW()-$C$72))"),"")</f>
        <v/>
      </c>
      <c r="F1048" s="61" t="str">
        <f>IFERROR(__xludf.DUMMYFUNCTION("INDIRECT(""'收支紀錄'!F""&amp;TO_TEXT(ROW()-$C$72))"),"")</f>
        <v/>
      </c>
      <c r="G1048" s="61" t="str">
        <f>IFERROR(__xludf.DUMMYFUNCTION("INDIRECT(""'收支紀錄'!G""&amp;TO_TEXT(ROW()-$C$72))"),"")</f>
        <v/>
      </c>
      <c r="H1048" s="61" t="str">
        <f>IFERROR(__xludf.DUMMYFUNCTION("INDIRECT(""'收支紀錄'!H""&amp;TO_TEXT(ROW()-$C$72))"),"食品酒水")</f>
        <v>食品酒水</v>
      </c>
      <c r="I1048" s="61" t="str">
        <f>IFERROR(__xludf.DUMMYFUNCTION("INDIRECT(""'收支紀錄'!I""&amp;TO_TEXT(ROW()-$C$72))"),"午餐")</f>
        <v>午餐</v>
      </c>
      <c r="J1048" s="61" t="str">
        <f>IFERROR(__xludf.DUMMYFUNCTION("INDIRECT(""'收支紀錄'!J""&amp;TO_TEXT(ROW()-$C$72))"),"")</f>
        <v/>
      </c>
      <c r="K1048" s="61" t="str">
        <f>IFERROR(__xludf.DUMMYFUNCTION("INDIRECT(""'收支紀錄'!K""&amp;TO_TEXT(ROW()-$C$72))"),"")</f>
        <v/>
      </c>
      <c r="L1048" s="61" t="str">
        <f>IFERROR(__xludf.DUMMYFUNCTION("INDIRECT(""'收支紀錄'!L""&amp;TO_TEXT(ROW()-$C$72))"),"")</f>
        <v/>
      </c>
      <c r="M1048" s="61" t="str">
        <f>IFERROR(__xludf.DUMMYFUNCTION("INDIRECT(""'收支紀錄'!M""&amp;TO_TEXT(ROW()-$C$72))"),"")</f>
        <v/>
      </c>
      <c r="N1048" s="61" t="str">
        <f>IFERROR(__xludf.DUMMYFUNCTION("INDIRECT(""'收支紀錄'!N""&amp;TO_TEXT(ROW()-$C$72))"),"")</f>
        <v/>
      </c>
      <c r="O1048" s="61" t="str">
        <f>IFERROR(__xludf.DUMMYFUNCTION("INDIRECT(""'收支紀錄'!O""&amp;TO_TEXT(ROW()-$C$72))"),"")</f>
        <v/>
      </c>
      <c r="P1048" s="61" t="str">
        <f>IFERROR(__xludf.DUMMYFUNCTION("INDIRECT(""'收支紀錄'!P""&amp;TO_TEXT(ROW()-$C$72))"),"")</f>
        <v/>
      </c>
      <c r="Q1048" s="61" t="str">
        <f>IFERROR(__xludf.DUMMYFUNCTION("INDIRECT(""'收支紀錄'!Q""&amp;TO_TEXT(ROW()-$C$72))"),"")</f>
        <v/>
      </c>
      <c r="R1048" s="61" t="str">
        <f>IFERROR(__xludf.DUMMYFUNCTION("INDIRECT(""'收支紀錄'!R""&amp;TO_TEXT(ROW()-$C$72))"),"")</f>
        <v/>
      </c>
      <c r="S1048" s="61" t="str">
        <f>IFERROR(__xludf.DUMMYFUNCTION("INDIRECT(""'收支紀錄'!S""&amp;TO_TEXT(ROW()-$C$72))"),"")</f>
        <v/>
      </c>
      <c r="T1048" s="61" t="str">
        <f>IFERROR(__xludf.DUMMYFUNCTION("INDIRECT(""'收支紀錄'!T""&amp;TO_TEXT(ROW()-$C$72))"),"")</f>
        <v/>
      </c>
      <c r="U1048" s="62" t="str">
        <f>IFERROR(__xludf.DUMMYFUNCTION("IF(T1048=""是"",TEXTJOIN("""", TRUE, ""$"", TO_TEXT(C1048), S1048),"""")"),"")</f>
        <v/>
      </c>
    </row>
    <row r="1049">
      <c r="A1049" s="58">
        <f>IFERROR(__xludf.DUMMYFUNCTION("INDIRECT(""'收支紀錄'!A""&amp;TO_TEXT(ROW()-$C$72))"),45871.8770578588)</f>
        <v>45871.87706</v>
      </c>
      <c r="B1049" s="59">
        <f>IFERROR(__xludf.DUMMYFUNCTION("IF(ISBLANK(D1049), """", IF(ISDATE(D1049), D1049, IF(D1049=""今天"", A1049, IF(D1049=""昨天 (-1 day)"", A1049-1, IF(D1049=""前天 (-2 days)"", A1049-2, IF(D1049=""明天 (+1 day)"", A1049+1, DATE(LEFT(D1049,4), MID(D1049,5,2), RIGHT(D1049,2))))))))"),45871.8770578588)</f>
        <v>45871.87706</v>
      </c>
      <c r="C1049" s="60">
        <f>IFERROR(__xludf.DUMMYFUNCTION("INDIRECT(""'收支紀錄'!C""&amp;TO_TEXT(ROW()-$C$72))"),300.0)</f>
        <v>300</v>
      </c>
      <c r="D1049" s="63" t="str">
        <f>IFERROR(__xludf.DUMMYFUNCTION("INDIRECT(""'收支紀錄'!D""&amp;TO_TEXT(ROW()-$C$72))"),"今天")</f>
        <v>今天</v>
      </c>
      <c r="E1049" s="61" t="str">
        <f>IFERROR(__xludf.DUMMYFUNCTION("INDIRECT(""'收支紀錄'!E""&amp;TO_TEXT(ROW()-$C$72))"),"")</f>
        <v/>
      </c>
      <c r="F1049" s="61" t="str">
        <f>IFERROR(__xludf.DUMMYFUNCTION("INDIRECT(""'收支紀錄'!F""&amp;TO_TEXT(ROW()-$C$72))"),"")</f>
        <v/>
      </c>
      <c r="G1049" s="61" t="str">
        <f>IFERROR(__xludf.DUMMYFUNCTION("INDIRECT(""'收支紀錄'!G""&amp;TO_TEXT(ROW()-$C$72))"),"")</f>
        <v/>
      </c>
      <c r="H1049" s="61" t="str">
        <f>IFERROR(__xludf.DUMMYFUNCTION("INDIRECT(""'收支紀錄'!H""&amp;TO_TEXT(ROW()-$C$72))"),"食品酒水")</f>
        <v>食品酒水</v>
      </c>
      <c r="I1049" s="61" t="str">
        <f>IFERROR(__xludf.DUMMYFUNCTION("INDIRECT(""'收支紀錄'!I""&amp;TO_TEXT(ROW()-$C$72))"),"晚餐")</f>
        <v>晚餐</v>
      </c>
      <c r="J1049" s="61" t="str">
        <f>IFERROR(__xludf.DUMMYFUNCTION("INDIRECT(""'收支紀錄'!J""&amp;TO_TEXT(ROW()-$C$72))"),"")</f>
        <v/>
      </c>
      <c r="K1049" s="61" t="str">
        <f>IFERROR(__xludf.DUMMYFUNCTION("INDIRECT(""'收支紀錄'!K""&amp;TO_TEXT(ROW()-$C$72))"),"")</f>
        <v/>
      </c>
      <c r="L1049" s="61" t="str">
        <f>IFERROR(__xludf.DUMMYFUNCTION("INDIRECT(""'收支紀錄'!L""&amp;TO_TEXT(ROW()-$C$72))"),"")</f>
        <v/>
      </c>
      <c r="M1049" s="61" t="str">
        <f>IFERROR(__xludf.DUMMYFUNCTION("INDIRECT(""'收支紀錄'!M""&amp;TO_TEXT(ROW()-$C$72))"),"")</f>
        <v/>
      </c>
      <c r="N1049" s="61" t="str">
        <f>IFERROR(__xludf.DUMMYFUNCTION("INDIRECT(""'收支紀錄'!N""&amp;TO_TEXT(ROW()-$C$72))"),"")</f>
        <v/>
      </c>
      <c r="O1049" s="61" t="str">
        <f>IFERROR(__xludf.DUMMYFUNCTION("INDIRECT(""'收支紀錄'!O""&amp;TO_TEXT(ROW()-$C$72))"),"")</f>
        <v/>
      </c>
      <c r="P1049" s="61" t="str">
        <f>IFERROR(__xludf.DUMMYFUNCTION("INDIRECT(""'收支紀錄'!P""&amp;TO_TEXT(ROW()-$C$72))"),"")</f>
        <v/>
      </c>
      <c r="Q1049" s="61" t="str">
        <f>IFERROR(__xludf.DUMMYFUNCTION("INDIRECT(""'收支紀錄'!Q""&amp;TO_TEXT(ROW()-$C$72))"),"")</f>
        <v/>
      </c>
      <c r="R1049" s="61" t="str">
        <f>IFERROR(__xludf.DUMMYFUNCTION("INDIRECT(""'收支紀錄'!R""&amp;TO_TEXT(ROW()-$C$72))"),"")</f>
        <v/>
      </c>
      <c r="S1049" s="61" t="str">
        <f>IFERROR(__xludf.DUMMYFUNCTION("INDIRECT(""'收支紀錄'!S""&amp;TO_TEXT(ROW()-$C$72))"),"")</f>
        <v/>
      </c>
      <c r="T1049" s="61" t="str">
        <f>IFERROR(__xludf.DUMMYFUNCTION("INDIRECT(""'收支紀錄'!T""&amp;TO_TEXT(ROW()-$C$72))"),"")</f>
        <v/>
      </c>
      <c r="U1049" s="62" t="str">
        <f>IFERROR(__xludf.DUMMYFUNCTION("IF(T1049=""是"",TEXTJOIN("""", TRUE, ""$"", TO_TEXT(C1049), S1049),"""")"),"")</f>
        <v/>
      </c>
    </row>
    <row r="1050">
      <c r="A1050" s="58">
        <f>IFERROR(__xludf.DUMMYFUNCTION("INDIRECT(""'收支紀錄'!A""&amp;TO_TEXT(ROW()-$C$72))"),45871.877280925924)</f>
        <v>45871.87728</v>
      </c>
      <c r="B1050" s="59">
        <f>IFERROR(__xludf.DUMMYFUNCTION("IF(ISBLANK(D1050), """", IF(ISDATE(D1050), D1050, IF(D1050=""今天"", A1050, IF(D1050=""昨天 (-1 day)"", A1050-1, IF(D1050=""前天 (-2 days)"", A1050-2, IF(D1050=""明天 (+1 day)"", A1050+1, DATE(LEFT(D1050,4), MID(D1050,5,2), RIGHT(D1050,2))))))))"),45871.877280925924)</f>
        <v>45871.87728</v>
      </c>
      <c r="C1050" s="60">
        <f>IFERROR(__xludf.DUMMYFUNCTION("INDIRECT(""'收支紀錄'!C""&amp;TO_TEXT(ROW()-$C$72))"),140.0)</f>
        <v>140</v>
      </c>
      <c r="D1050" s="63" t="str">
        <f>IFERROR(__xludf.DUMMYFUNCTION("INDIRECT(""'收支紀錄'!D""&amp;TO_TEXT(ROW()-$C$72))"),"今天")</f>
        <v>今天</v>
      </c>
      <c r="E1050" s="61" t="str">
        <f>IFERROR(__xludf.DUMMYFUNCTION("INDIRECT(""'收支紀錄'!E""&amp;TO_TEXT(ROW()-$C$72))"),"")</f>
        <v/>
      </c>
      <c r="F1050" s="61" t="str">
        <f>IFERROR(__xludf.DUMMYFUNCTION("INDIRECT(""'收支紀錄'!F""&amp;TO_TEXT(ROW()-$C$72))"),"")</f>
        <v/>
      </c>
      <c r="G1050" s="61" t="str">
        <f>IFERROR(__xludf.DUMMYFUNCTION("INDIRECT(""'收支紀錄'!G""&amp;TO_TEXT(ROW()-$C$72))"),"")</f>
        <v/>
      </c>
      <c r="H1050" s="61" t="str">
        <f>IFERROR(__xludf.DUMMYFUNCTION("INDIRECT(""'收支紀錄'!H""&amp;TO_TEXT(ROW()-$C$72))"),"行車交通")</f>
        <v>行車交通</v>
      </c>
      <c r="I1050" s="61" t="str">
        <f>IFERROR(__xludf.DUMMYFUNCTION("INDIRECT(""'收支紀錄'!I""&amp;TO_TEXT(ROW()-$C$72))"),"")</f>
        <v/>
      </c>
      <c r="J1050" s="61" t="str">
        <f>IFERROR(__xludf.DUMMYFUNCTION("INDIRECT(""'收支紀錄'!J""&amp;TO_TEXT(ROW()-$C$72))"),"")</f>
        <v/>
      </c>
      <c r="K1050" s="61" t="str">
        <f>IFERROR(__xludf.DUMMYFUNCTION("INDIRECT(""'收支紀錄'!K""&amp;TO_TEXT(ROW()-$C$72))"),"")</f>
        <v/>
      </c>
      <c r="L1050" s="61" t="str">
        <f>IFERROR(__xludf.DUMMYFUNCTION("INDIRECT(""'收支紀錄'!L""&amp;TO_TEXT(ROW()-$C$72))"),"停車")</f>
        <v>停車</v>
      </c>
      <c r="M1050" s="61" t="str">
        <f>IFERROR(__xludf.DUMMYFUNCTION("INDIRECT(""'收支紀錄'!M""&amp;TO_TEXT(ROW()-$C$72))"),"")</f>
        <v/>
      </c>
      <c r="N1050" s="61" t="str">
        <f>IFERROR(__xludf.DUMMYFUNCTION("INDIRECT(""'收支紀錄'!N""&amp;TO_TEXT(ROW()-$C$72))"),"")</f>
        <v/>
      </c>
      <c r="O1050" s="61" t="str">
        <f>IFERROR(__xludf.DUMMYFUNCTION("INDIRECT(""'收支紀錄'!O""&amp;TO_TEXT(ROW()-$C$72))"),"")</f>
        <v/>
      </c>
      <c r="P1050" s="61" t="str">
        <f>IFERROR(__xludf.DUMMYFUNCTION("INDIRECT(""'收支紀錄'!P""&amp;TO_TEXT(ROW()-$C$72))"),"")</f>
        <v/>
      </c>
      <c r="Q1050" s="61" t="str">
        <f>IFERROR(__xludf.DUMMYFUNCTION("INDIRECT(""'收支紀錄'!Q""&amp;TO_TEXT(ROW()-$C$72))"),"")</f>
        <v/>
      </c>
      <c r="R1050" s="61" t="str">
        <f>IFERROR(__xludf.DUMMYFUNCTION("INDIRECT(""'收支紀錄'!R""&amp;TO_TEXT(ROW()-$C$72))"),"")</f>
        <v/>
      </c>
      <c r="S1050" s="61" t="str">
        <f>IFERROR(__xludf.DUMMYFUNCTION("INDIRECT(""'收支紀錄'!S""&amp;TO_TEXT(ROW()-$C$72))"),"")</f>
        <v/>
      </c>
      <c r="T1050" s="61" t="str">
        <f>IFERROR(__xludf.DUMMYFUNCTION("INDIRECT(""'收支紀錄'!T""&amp;TO_TEXT(ROW()-$C$72))"),"")</f>
        <v/>
      </c>
      <c r="U1050" s="62" t="str">
        <f>IFERROR(__xludf.DUMMYFUNCTION("IF(T1050=""是"",TEXTJOIN("""", TRUE, ""$"", TO_TEXT(C1050), S1050),"""")"),"")</f>
        <v/>
      </c>
    </row>
    <row r="1051">
      <c r="A1051" s="58">
        <f>IFERROR(__xludf.DUMMYFUNCTION("INDIRECT(""'收支紀錄'!A""&amp;TO_TEXT(ROW()-$C$72))"),45872.842547754626)</f>
        <v>45872.84255</v>
      </c>
      <c r="B1051" s="59">
        <f>IFERROR(__xludf.DUMMYFUNCTION("IF(ISBLANK(D1051), """", IF(ISDATE(D1051), D1051, IF(D1051=""今天"", A1051, IF(D1051=""昨天 (-1 day)"", A1051-1, IF(D1051=""前天 (-2 days)"", A1051-2, IF(D1051=""明天 (+1 day)"", A1051+1, DATE(LEFT(D1051,4), MID(D1051,5,2), RIGHT(D1051,2))))))))"),45872.842547754626)</f>
        <v>45872.84255</v>
      </c>
      <c r="C1051" s="60">
        <f>IFERROR(__xludf.DUMMYFUNCTION("INDIRECT(""'收支紀錄'!C""&amp;TO_TEXT(ROW()-$C$72))"),860.0)</f>
        <v>860</v>
      </c>
      <c r="D1051" s="63" t="str">
        <f>IFERROR(__xludf.DUMMYFUNCTION("INDIRECT(""'收支紀錄'!D""&amp;TO_TEXT(ROW()-$C$72))"),"今天")</f>
        <v>今天</v>
      </c>
      <c r="E1051" s="61" t="str">
        <f>IFERROR(__xludf.DUMMYFUNCTION("INDIRECT(""'收支紀錄'!E""&amp;TO_TEXT(ROW()-$C$72))"),"")</f>
        <v/>
      </c>
      <c r="F1051" s="61" t="str">
        <f>IFERROR(__xludf.DUMMYFUNCTION("INDIRECT(""'收支紀錄'!F""&amp;TO_TEXT(ROW()-$C$72))"),"")</f>
        <v/>
      </c>
      <c r="G1051" s="61" t="str">
        <f>IFERROR(__xludf.DUMMYFUNCTION("INDIRECT(""'收支紀錄'!G""&amp;TO_TEXT(ROW()-$C$72))"),"")</f>
        <v/>
      </c>
      <c r="H1051" s="61" t="str">
        <f>IFERROR(__xludf.DUMMYFUNCTION("INDIRECT(""'收支紀錄'!H""&amp;TO_TEXT(ROW()-$C$72))"),"食品酒水")</f>
        <v>食品酒水</v>
      </c>
      <c r="I1051" s="61" t="str">
        <f>IFERROR(__xludf.DUMMYFUNCTION("INDIRECT(""'收支紀錄'!I""&amp;TO_TEXT(ROW()-$C$72))"),"晚餐")</f>
        <v>晚餐</v>
      </c>
      <c r="J1051" s="61" t="str">
        <f>IFERROR(__xludf.DUMMYFUNCTION("INDIRECT(""'收支紀錄'!J""&amp;TO_TEXT(ROW()-$C$72))"),"")</f>
        <v/>
      </c>
      <c r="K1051" s="61" t="str">
        <f>IFERROR(__xludf.DUMMYFUNCTION("INDIRECT(""'收支紀錄'!K""&amp;TO_TEXT(ROW()-$C$72))"),"")</f>
        <v/>
      </c>
      <c r="L1051" s="61" t="str">
        <f>IFERROR(__xludf.DUMMYFUNCTION("INDIRECT(""'收支紀錄'!L""&amp;TO_TEXT(ROW()-$C$72))"),"")</f>
        <v/>
      </c>
      <c r="M1051" s="61" t="str">
        <f>IFERROR(__xludf.DUMMYFUNCTION("INDIRECT(""'收支紀錄'!M""&amp;TO_TEXT(ROW()-$C$72))"),"")</f>
        <v/>
      </c>
      <c r="N1051" s="61" t="str">
        <f>IFERROR(__xludf.DUMMYFUNCTION("INDIRECT(""'收支紀錄'!N""&amp;TO_TEXT(ROW()-$C$72))"),"")</f>
        <v/>
      </c>
      <c r="O1051" s="61" t="str">
        <f>IFERROR(__xludf.DUMMYFUNCTION("INDIRECT(""'收支紀錄'!O""&amp;TO_TEXT(ROW()-$C$72))"),"")</f>
        <v/>
      </c>
      <c r="P1051" s="61" t="str">
        <f>IFERROR(__xludf.DUMMYFUNCTION("INDIRECT(""'收支紀錄'!P""&amp;TO_TEXT(ROW()-$C$72))"),"")</f>
        <v/>
      </c>
      <c r="Q1051" s="61" t="str">
        <f>IFERROR(__xludf.DUMMYFUNCTION("INDIRECT(""'收支紀錄'!Q""&amp;TO_TEXT(ROW()-$C$72))"),"")</f>
        <v/>
      </c>
      <c r="R1051" s="61" t="str">
        <f>IFERROR(__xludf.DUMMYFUNCTION("INDIRECT(""'收支紀錄'!R""&amp;TO_TEXT(ROW()-$C$72))"),"")</f>
        <v/>
      </c>
      <c r="S1051" s="61" t="str">
        <f>IFERROR(__xludf.DUMMYFUNCTION("INDIRECT(""'收支紀錄'!S""&amp;TO_TEXT(ROW()-$C$72))"),"")</f>
        <v/>
      </c>
      <c r="T1051" s="61" t="str">
        <f>IFERROR(__xludf.DUMMYFUNCTION("INDIRECT(""'收支紀錄'!T""&amp;TO_TEXT(ROW()-$C$72))"),"")</f>
        <v/>
      </c>
      <c r="U1051" s="62" t="str">
        <f>IFERROR(__xludf.DUMMYFUNCTION("IF(T1051=""是"",TEXTJOIN("""", TRUE, ""$"", TO_TEXT(C1051), S1051),"""")"),"")</f>
        <v/>
      </c>
    </row>
    <row r="1052">
      <c r="A1052" s="58">
        <f>IFERROR(__xludf.DUMMYFUNCTION("INDIRECT(""'收支紀錄'!A""&amp;TO_TEXT(ROW()-$C$72))"),45872.84324545139)</f>
        <v>45872.84325</v>
      </c>
      <c r="B1052" s="59">
        <f>IFERROR(__xludf.DUMMYFUNCTION("IF(ISBLANK(D1052), """", IF(ISDATE(D1052), D1052, IF(D1052=""今天"", A1052, IF(D1052=""昨天 (-1 day)"", A1052-1, IF(D1052=""前天 (-2 days)"", A1052-2, IF(D1052=""明天 (+1 day)"", A1052+1, DATE(LEFT(D1052,4), MID(D1052,5,2), RIGHT(D1052,2))))))))"),45872.84324545139)</f>
        <v>45872.84325</v>
      </c>
      <c r="C1052" s="60">
        <f>IFERROR(__xludf.DUMMYFUNCTION("INDIRECT(""'收支紀錄'!C""&amp;TO_TEXT(ROW()-$C$72))"),662.0)</f>
        <v>662</v>
      </c>
      <c r="D1052" s="63" t="str">
        <f>IFERROR(__xludf.DUMMYFUNCTION("INDIRECT(""'收支紀錄'!D""&amp;TO_TEXT(ROW()-$C$72))"),"今天")</f>
        <v>今天</v>
      </c>
      <c r="E1052" s="61" t="str">
        <f>IFERROR(__xludf.DUMMYFUNCTION("INDIRECT(""'收支紀錄'!E""&amp;TO_TEXT(ROW()-$C$72))"),"")</f>
        <v/>
      </c>
      <c r="F1052" s="61" t="str">
        <f>IFERROR(__xludf.DUMMYFUNCTION("INDIRECT(""'收支紀錄'!F""&amp;TO_TEXT(ROW()-$C$72))"),"")</f>
        <v/>
      </c>
      <c r="G1052" s="61" t="str">
        <f>IFERROR(__xludf.DUMMYFUNCTION("INDIRECT(""'收支紀錄'!G""&amp;TO_TEXT(ROW()-$C$72))"),"")</f>
        <v/>
      </c>
      <c r="H1052" s="61" t="str">
        <f>IFERROR(__xludf.DUMMYFUNCTION("INDIRECT(""'收支紀錄'!H""&amp;TO_TEXT(ROW()-$C$72))"),"行車交通")</f>
        <v>行車交通</v>
      </c>
      <c r="I1052" s="61" t="str">
        <f>IFERROR(__xludf.DUMMYFUNCTION("INDIRECT(""'收支紀錄'!I""&amp;TO_TEXT(ROW()-$C$72))"),"")</f>
        <v/>
      </c>
      <c r="J1052" s="61" t="str">
        <f>IFERROR(__xludf.DUMMYFUNCTION("INDIRECT(""'收支紀錄'!J""&amp;TO_TEXT(ROW()-$C$72))"),"")</f>
        <v/>
      </c>
      <c r="K1052" s="61" t="str">
        <f>IFERROR(__xludf.DUMMYFUNCTION("INDIRECT(""'收支紀錄'!K""&amp;TO_TEXT(ROW()-$C$72))"),"")</f>
        <v/>
      </c>
      <c r="L1052" s="61" t="str">
        <f>IFERROR(__xludf.DUMMYFUNCTION("INDIRECT(""'收支紀錄'!L""&amp;TO_TEXT(ROW()-$C$72))"),"加油")</f>
        <v>加油</v>
      </c>
      <c r="M1052" s="61" t="str">
        <f>IFERROR(__xludf.DUMMYFUNCTION("INDIRECT(""'收支紀錄'!M""&amp;TO_TEXT(ROW()-$C$72))"),"")</f>
        <v/>
      </c>
      <c r="N1052" s="61" t="str">
        <f>IFERROR(__xludf.DUMMYFUNCTION("INDIRECT(""'收支紀錄'!N""&amp;TO_TEXT(ROW()-$C$72))"),"")</f>
        <v/>
      </c>
      <c r="O1052" s="61" t="str">
        <f>IFERROR(__xludf.DUMMYFUNCTION("INDIRECT(""'收支紀錄'!O""&amp;TO_TEXT(ROW()-$C$72))"),"")</f>
        <v/>
      </c>
      <c r="P1052" s="61" t="str">
        <f>IFERROR(__xludf.DUMMYFUNCTION("INDIRECT(""'收支紀錄'!P""&amp;TO_TEXT(ROW()-$C$72))"),"")</f>
        <v/>
      </c>
      <c r="Q1052" s="61" t="str">
        <f>IFERROR(__xludf.DUMMYFUNCTION("INDIRECT(""'收支紀錄'!Q""&amp;TO_TEXT(ROW()-$C$72))"),"")</f>
        <v/>
      </c>
      <c r="R1052" s="61" t="str">
        <f>IFERROR(__xludf.DUMMYFUNCTION("INDIRECT(""'收支紀錄'!R""&amp;TO_TEXT(ROW()-$C$72))"),"")</f>
        <v/>
      </c>
      <c r="S1052" s="61" t="str">
        <f>IFERROR(__xludf.DUMMYFUNCTION("INDIRECT(""'收支紀錄'!S""&amp;TO_TEXT(ROW()-$C$72))"),"")</f>
        <v/>
      </c>
      <c r="T1052" s="61" t="str">
        <f>IFERROR(__xludf.DUMMYFUNCTION("INDIRECT(""'收支紀錄'!T""&amp;TO_TEXT(ROW()-$C$72))"),"")</f>
        <v/>
      </c>
      <c r="U1052" s="62" t="str">
        <f>IFERROR(__xludf.DUMMYFUNCTION("IF(T1052=""是"",TEXTJOIN("""", TRUE, ""$"", TO_TEXT(C1052), S1052),"""")"),"")</f>
        <v/>
      </c>
    </row>
    <row r="1053">
      <c r="A1053" s="58">
        <f>IFERROR(__xludf.DUMMYFUNCTION("INDIRECT(""'收支紀錄'!A""&amp;TO_TEXT(ROW()-$C$72))"),45872.90443270833)</f>
        <v>45872.90443</v>
      </c>
      <c r="B1053" s="59">
        <f>IFERROR(__xludf.DUMMYFUNCTION("IF(ISBLANK(D1053), """", IF(ISDATE(D1053), D1053, IF(D1053=""今天"", A1053, IF(D1053=""昨天 (-1 day)"", A1053-1, IF(D1053=""前天 (-2 days)"", A1053-2, IF(D1053=""明天 (+1 day)"", A1053+1, DATE(LEFT(D1053,4), MID(D1053,5,2), RIGHT(D1053,2))))))))"),45872.90443270833)</f>
        <v>45872.90443</v>
      </c>
      <c r="C1053" s="60">
        <f>IFERROR(__xludf.DUMMYFUNCTION("INDIRECT(""'收支紀錄'!C""&amp;TO_TEXT(ROW()-$C$72))"),300.0)</f>
        <v>300</v>
      </c>
      <c r="D1053" s="63" t="str">
        <f>IFERROR(__xludf.DUMMYFUNCTION("INDIRECT(""'收支紀錄'!D""&amp;TO_TEXT(ROW()-$C$72))"),"今天")</f>
        <v>今天</v>
      </c>
      <c r="E1053" s="61" t="str">
        <f>IFERROR(__xludf.DUMMYFUNCTION("INDIRECT(""'收支紀錄'!E""&amp;TO_TEXT(ROW()-$C$72))"),"")</f>
        <v/>
      </c>
      <c r="F1053" s="61" t="str">
        <f>IFERROR(__xludf.DUMMYFUNCTION("INDIRECT(""'收支紀錄'!F""&amp;TO_TEXT(ROW()-$C$72))"),"")</f>
        <v/>
      </c>
      <c r="G1053" s="61" t="str">
        <f>IFERROR(__xludf.DUMMYFUNCTION("INDIRECT(""'收支紀錄'!G""&amp;TO_TEXT(ROW()-$C$72))"),"")</f>
        <v/>
      </c>
      <c r="H1053" s="61" t="str">
        <f>IFERROR(__xludf.DUMMYFUNCTION("INDIRECT(""'收支紀錄'!H""&amp;TO_TEXT(ROW()-$C$72))"),"食品酒水")</f>
        <v>食品酒水</v>
      </c>
      <c r="I1053" s="61" t="str">
        <f>IFERROR(__xludf.DUMMYFUNCTION("INDIRECT(""'收支紀錄'!I""&amp;TO_TEXT(ROW()-$C$72))"),"午餐")</f>
        <v>午餐</v>
      </c>
      <c r="J1053" s="61" t="str">
        <f>IFERROR(__xludf.DUMMYFUNCTION("INDIRECT(""'收支紀錄'!J""&amp;TO_TEXT(ROW()-$C$72))"),"")</f>
        <v/>
      </c>
      <c r="K1053" s="61" t="str">
        <f>IFERROR(__xludf.DUMMYFUNCTION("INDIRECT(""'收支紀錄'!K""&amp;TO_TEXT(ROW()-$C$72))"),"")</f>
        <v/>
      </c>
      <c r="L1053" s="61" t="str">
        <f>IFERROR(__xludf.DUMMYFUNCTION("INDIRECT(""'收支紀錄'!L""&amp;TO_TEXT(ROW()-$C$72))"),"")</f>
        <v/>
      </c>
      <c r="M1053" s="61" t="str">
        <f>IFERROR(__xludf.DUMMYFUNCTION("INDIRECT(""'收支紀錄'!M""&amp;TO_TEXT(ROW()-$C$72))"),"")</f>
        <v/>
      </c>
      <c r="N1053" s="61" t="str">
        <f>IFERROR(__xludf.DUMMYFUNCTION("INDIRECT(""'收支紀錄'!N""&amp;TO_TEXT(ROW()-$C$72))"),"")</f>
        <v/>
      </c>
      <c r="O1053" s="61" t="str">
        <f>IFERROR(__xludf.DUMMYFUNCTION("INDIRECT(""'收支紀錄'!O""&amp;TO_TEXT(ROW()-$C$72))"),"")</f>
        <v/>
      </c>
      <c r="P1053" s="61" t="str">
        <f>IFERROR(__xludf.DUMMYFUNCTION("INDIRECT(""'收支紀錄'!P""&amp;TO_TEXT(ROW()-$C$72))"),"")</f>
        <v/>
      </c>
      <c r="Q1053" s="61" t="str">
        <f>IFERROR(__xludf.DUMMYFUNCTION("INDIRECT(""'收支紀錄'!Q""&amp;TO_TEXT(ROW()-$C$72))"),"")</f>
        <v/>
      </c>
      <c r="R1053" s="61" t="str">
        <f>IFERROR(__xludf.DUMMYFUNCTION("INDIRECT(""'收支紀錄'!R""&amp;TO_TEXT(ROW()-$C$72))"),"")</f>
        <v/>
      </c>
      <c r="S1053" s="61" t="str">
        <f>IFERROR(__xludf.DUMMYFUNCTION("INDIRECT(""'收支紀錄'!S""&amp;TO_TEXT(ROW()-$C$72))"),"九份老街")</f>
        <v>九份老街</v>
      </c>
      <c r="T1053" s="61" t="str">
        <f>IFERROR(__xludf.DUMMYFUNCTION("INDIRECT(""'收支紀錄'!T""&amp;TO_TEXT(ROW()-$C$72))"),"")</f>
        <v/>
      </c>
      <c r="U1053" s="62" t="str">
        <f>IFERROR(__xludf.DUMMYFUNCTION("IF(T1053=""是"",TEXTJOIN("""", TRUE, ""$"", TO_TEXT(C1053), S1053),"""")"),"")</f>
        <v/>
      </c>
    </row>
    <row r="1054">
      <c r="A1054" s="58">
        <f>IFERROR(__xludf.DUMMYFUNCTION("INDIRECT(""'收支紀錄'!A""&amp;TO_TEXT(ROW()-$C$72))"),45872.90475402778)</f>
        <v>45872.90475</v>
      </c>
      <c r="B1054" s="59">
        <f>IFERROR(__xludf.DUMMYFUNCTION("IF(ISBLANK(D1054), """", IF(ISDATE(D1054), D1054, IF(D1054=""今天"", A1054, IF(D1054=""昨天 (-1 day)"", A1054-1, IF(D1054=""前天 (-2 days)"", A1054-2, IF(D1054=""明天 (+1 day)"", A1054+1, DATE(LEFT(D1054,4), MID(D1054,5,2), RIGHT(D1054,2))))))))"),45872.90475402778)</f>
        <v>45872.90475</v>
      </c>
      <c r="C1054" s="60">
        <f>IFERROR(__xludf.DUMMYFUNCTION("INDIRECT(""'收支紀錄'!C""&amp;TO_TEXT(ROW()-$C$72))"),148.0)</f>
        <v>148</v>
      </c>
      <c r="D1054" s="63" t="str">
        <f>IFERROR(__xludf.DUMMYFUNCTION("INDIRECT(""'收支紀錄'!D""&amp;TO_TEXT(ROW()-$C$72))"),"今天")</f>
        <v>今天</v>
      </c>
      <c r="E1054" s="61" t="str">
        <f>IFERROR(__xludf.DUMMYFUNCTION("INDIRECT(""'收支紀錄'!E""&amp;TO_TEXT(ROW()-$C$72))"),"")</f>
        <v/>
      </c>
      <c r="F1054" s="61" t="str">
        <f>IFERROR(__xludf.DUMMYFUNCTION("INDIRECT(""'收支紀錄'!F""&amp;TO_TEXT(ROW()-$C$72))"),"")</f>
        <v/>
      </c>
      <c r="G1054" s="61" t="str">
        <f>IFERROR(__xludf.DUMMYFUNCTION("INDIRECT(""'收支紀錄'!G""&amp;TO_TEXT(ROW()-$C$72))"),"")</f>
        <v/>
      </c>
      <c r="H1054" s="61" t="str">
        <f>IFERROR(__xludf.DUMMYFUNCTION("INDIRECT(""'收支紀錄'!H""&amp;TO_TEXT(ROW()-$C$72))"),"休閒娛樂")</f>
        <v>休閒娛樂</v>
      </c>
      <c r="I1054" s="61" t="str">
        <f>IFERROR(__xludf.DUMMYFUNCTION("INDIRECT(""'收支紀錄'!I""&amp;TO_TEXT(ROW()-$C$72))"),"")</f>
        <v/>
      </c>
      <c r="J1054" s="61" t="str">
        <f>IFERROR(__xludf.DUMMYFUNCTION("INDIRECT(""'收支紀錄'!J""&amp;TO_TEXT(ROW()-$C$72))"),"")</f>
        <v/>
      </c>
      <c r="K1054" s="61" t="str">
        <f>IFERROR(__xludf.DUMMYFUNCTION("INDIRECT(""'收支紀錄'!K""&amp;TO_TEXT(ROW()-$C$72))"),"")</f>
        <v/>
      </c>
      <c r="L1054" s="61" t="str">
        <f>IFERROR(__xludf.DUMMYFUNCTION("INDIRECT(""'收支紀錄'!L""&amp;TO_TEXT(ROW()-$C$72))"),"")</f>
        <v/>
      </c>
      <c r="M1054" s="61" t="str">
        <f>IFERROR(__xludf.DUMMYFUNCTION("INDIRECT(""'收支紀錄'!M""&amp;TO_TEXT(ROW()-$C$72))"),"旅遊度假")</f>
        <v>旅遊度假</v>
      </c>
      <c r="N1054" s="61" t="str">
        <f>IFERROR(__xludf.DUMMYFUNCTION("INDIRECT(""'收支紀錄'!N""&amp;TO_TEXT(ROW()-$C$72))"),"")</f>
        <v/>
      </c>
      <c r="O1054" s="61" t="str">
        <f>IFERROR(__xludf.DUMMYFUNCTION("INDIRECT(""'收支紀錄'!O""&amp;TO_TEXT(ROW()-$C$72))"),"")</f>
        <v/>
      </c>
      <c r="P1054" s="61" t="str">
        <f>IFERROR(__xludf.DUMMYFUNCTION("INDIRECT(""'收支紀錄'!P""&amp;TO_TEXT(ROW()-$C$72))"),"")</f>
        <v/>
      </c>
      <c r="Q1054" s="61" t="str">
        <f>IFERROR(__xludf.DUMMYFUNCTION("INDIRECT(""'收支紀錄'!Q""&amp;TO_TEXT(ROW()-$C$72))"),"")</f>
        <v/>
      </c>
      <c r="R1054" s="61" t="str">
        <f>IFERROR(__xludf.DUMMYFUNCTION("INDIRECT(""'收支紀錄'!R""&amp;TO_TEXT(ROW()-$C$72))"),"")</f>
        <v/>
      </c>
      <c r="S1054" s="61" t="str">
        <f>IFERROR(__xludf.DUMMYFUNCTION("INDIRECT(""'收支紀錄'!S""&amp;TO_TEXT(ROW()-$C$72))"),"黃金博物館門票*2")</f>
        <v>黃金博物館門票*2</v>
      </c>
      <c r="T1054" s="61" t="str">
        <f>IFERROR(__xludf.DUMMYFUNCTION("INDIRECT(""'收支紀錄'!T""&amp;TO_TEXT(ROW()-$C$72))"),"")</f>
        <v/>
      </c>
      <c r="U1054" s="62" t="str">
        <f>IFERROR(__xludf.DUMMYFUNCTION("IF(T1054=""是"",TEXTJOIN("""", TRUE, ""$"", TO_TEXT(C1054), S1054),"""")"),"")</f>
        <v/>
      </c>
    </row>
    <row r="1055">
      <c r="A1055" s="58">
        <f>IFERROR(__xludf.DUMMYFUNCTION("INDIRECT(""'收支紀錄'!A""&amp;TO_TEXT(ROW()-$C$72))"),45872.905330740745)</f>
        <v>45872.90533</v>
      </c>
      <c r="B1055" s="59">
        <f>IFERROR(__xludf.DUMMYFUNCTION("IF(ISBLANK(D1055), """", IF(ISDATE(D1055), D1055, IF(D1055=""今天"", A1055, IF(D1055=""昨天 (-1 day)"", A1055-1, IF(D1055=""前天 (-2 days)"", A1055-2, IF(D1055=""明天 (+1 day)"", A1055+1, DATE(LEFT(D1055,4), MID(D1055,5,2), RIGHT(D1055,2))))))))"),45873.905330740745)</f>
        <v>45873.90533</v>
      </c>
      <c r="C1055" s="60">
        <f>IFERROR(__xludf.DUMMYFUNCTION("INDIRECT(""'收支紀錄'!C""&amp;TO_TEXT(ROW()-$C$72))"),90.0)</f>
        <v>90</v>
      </c>
      <c r="D1055" s="63" t="str">
        <f>IFERROR(__xludf.DUMMYFUNCTION("INDIRECT(""'收支紀錄'!D""&amp;TO_TEXT(ROW()-$C$72))"),"明天 (+1 day)")</f>
        <v>明天 (+1 day)</v>
      </c>
      <c r="E1055" s="61" t="str">
        <f>IFERROR(__xludf.DUMMYFUNCTION("INDIRECT(""'收支紀錄'!E""&amp;TO_TEXT(ROW()-$C$72))"),"")</f>
        <v/>
      </c>
      <c r="F1055" s="61" t="str">
        <f>IFERROR(__xludf.DUMMYFUNCTION("INDIRECT(""'收支紀錄'!F""&amp;TO_TEXT(ROW()-$C$72))"),"")</f>
        <v/>
      </c>
      <c r="G1055" s="61" t="str">
        <f>IFERROR(__xludf.DUMMYFUNCTION("INDIRECT(""'收支紀錄'!G""&amp;TO_TEXT(ROW()-$C$72))"),"")</f>
        <v/>
      </c>
      <c r="H1055" s="61" t="str">
        <f>IFERROR(__xludf.DUMMYFUNCTION("INDIRECT(""'收支紀錄'!H""&amp;TO_TEXT(ROW()-$C$72))"),"食品酒水")</f>
        <v>食品酒水</v>
      </c>
      <c r="I1055" s="61" t="str">
        <f>IFERROR(__xludf.DUMMYFUNCTION("INDIRECT(""'收支紀錄'!I""&amp;TO_TEXT(ROW()-$C$72))"),"早餐")</f>
        <v>早餐</v>
      </c>
      <c r="J1055" s="61" t="str">
        <f>IFERROR(__xludf.DUMMYFUNCTION("INDIRECT(""'收支紀錄'!J""&amp;TO_TEXT(ROW()-$C$72))"),"")</f>
        <v/>
      </c>
      <c r="K1055" s="61" t="str">
        <f>IFERROR(__xludf.DUMMYFUNCTION("INDIRECT(""'收支紀錄'!K""&amp;TO_TEXT(ROW()-$C$72))"),"")</f>
        <v/>
      </c>
      <c r="L1055" s="61" t="str">
        <f>IFERROR(__xludf.DUMMYFUNCTION("INDIRECT(""'收支紀錄'!L""&amp;TO_TEXT(ROW()-$C$72))"),"")</f>
        <v/>
      </c>
      <c r="M1055" s="61" t="str">
        <f>IFERROR(__xludf.DUMMYFUNCTION("INDIRECT(""'收支紀錄'!M""&amp;TO_TEXT(ROW()-$C$72))"),"")</f>
        <v/>
      </c>
      <c r="N1055" s="61" t="str">
        <f>IFERROR(__xludf.DUMMYFUNCTION("INDIRECT(""'收支紀錄'!N""&amp;TO_TEXT(ROW()-$C$72))"),"")</f>
        <v/>
      </c>
      <c r="O1055" s="61" t="str">
        <f>IFERROR(__xludf.DUMMYFUNCTION("INDIRECT(""'收支紀錄'!O""&amp;TO_TEXT(ROW()-$C$72))"),"")</f>
        <v/>
      </c>
      <c r="P1055" s="61" t="str">
        <f>IFERROR(__xludf.DUMMYFUNCTION("INDIRECT(""'收支紀錄'!P""&amp;TO_TEXT(ROW()-$C$72))"),"")</f>
        <v/>
      </c>
      <c r="Q1055" s="61" t="str">
        <f>IFERROR(__xludf.DUMMYFUNCTION("INDIRECT(""'收支紀錄'!Q""&amp;TO_TEXT(ROW()-$C$72))"),"")</f>
        <v/>
      </c>
      <c r="R1055" s="61" t="str">
        <f>IFERROR(__xludf.DUMMYFUNCTION("INDIRECT(""'收支紀錄'!R""&amp;TO_TEXT(ROW()-$C$72))"),"")</f>
        <v/>
      </c>
      <c r="S1055" s="61" t="str">
        <f>IFERROR(__xludf.DUMMYFUNCTION("INDIRECT(""'收支紀錄'!S""&amp;TO_TEXT(ROW()-$C$72))"),"")</f>
        <v/>
      </c>
      <c r="T1055" s="61" t="str">
        <f>IFERROR(__xludf.DUMMYFUNCTION("INDIRECT(""'收支紀錄'!T""&amp;TO_TEXT(ROW()-$C$72))"),"")</f>
        <v/>
      </c>
      <c r="U1055" s="62" t="str">
        <f>IFERROR(__xludf.DUMMYFUNCTION("IF(T1055=""是"",TEXTJOIN("""", TRUE, ""$"", TO_TEXT(C1055), S1055),"""")"),"")</f>
        <v/>
      </c>
    </row>
    <row r="1056">
      <c r="A1056" s="58">
        <f>IFERROR(__xludf.DUMMYFUNCTION("INDIRECT(""'收支紀錄'!A""&amp;TO_TEXT(ROW()-$C$72))"),45874.87626611111)</f>
        <v>45874.87627</v>
      </c>
      <c r="B1056" s="59">
        <f>IFERROR(__xludf.DUMMYFUNCTION("IF(ISBLANK(D1056), """", IF(ISDATE(D1056), D1056, IF(D1056=""今天"", A1056, IF(D1056=""昨天 (-1 day)"", A1056-1, IF(D1056=""前天 (-2 days)"", A1056-2, IF(D1056=""明天 (+1 day)"", A1056+1, DATE(LEFT(D1056,4), MID(D1056,5,2), RIGHT(D1056,2))))))))"),45874.87626611111)</f>
        <v>45874.87627</v>
      </c>
      <c r="C1056" s="60">
        <f>IFERROR(__xludf.DUMMYFUNCTION("INDIRECT(""'收支紀錄'!C""&amp;TO_TEXT(ROW()-$C$72))"),106741.0)</f>
        <v>106741</v>
      </c>
      <c r="D1056" s="63" t="str">
        <f>IFERROR(__xludf.DUMMYFUNCTION("INDIRECT(""'收支紀錄'!D""&amp;TO_TEXT(ROW()-$C$72))"),"今天")</f>
        <v>今天</v>
      </c>
      <c r="E1056" s="61" t="str">
        <f>IFERROR(__xludf.DUMMYFUNCTION("INDIRECT(""'收支紀錄'!E""&amp;TO_TEXT(ROW()-$C$72))"),"工作")</f>
        <v>工作</v>
      </c>
      <c r="F1056" s="61" t="str">
        <f>IFERROR(__xludf.DUMMYFUNCTION("INDIRECT(""'收支紀錄'!F""&amp;TO_TEXT(ROW()-$C$72))"),"底薪")</f>
        <v>底薪</v>
      </c>
      <c r="G1056" s="61" t="str">
        <f>IFERROR(__xludf.DUMMYFUNCTION("INDIRECT(""'收支紀錄'!G""&amp;TO_TEXT(ROW()-$C$72))"),"")</f>
        <v/>
      </c>
      <c r="H1056" s="61" t="str">
        <f>IFERROR(__xludf.DUMMYFUNCTION("INDIRECT(""'收支紀錄'!H""&amp;TO_TEXT(ROW()-$C$72))"),"")</f>
        <v/>
      </c>
      <c r="I1056" s="61" t="str">
        <f>IFERROR(__xludf.DUMMYFUNCTION("INDIRECT(""'收支紀錄'!I""&amp;TO_TEXT(ROW()-$C$72))"),"")</f>
        <v/>
      </c>
      <c r="J1056" s="61" t="str">
        <f>IFERROR(__xludf.DUMMYFUNCTION("INDIRECT(""'收支紀錄'!J""&amp;TO_TEXT(ROW()-$C$72))"),"")</f>
        <v/>
      </c>
      <c r="K1056" s="61" t="str">
        <f>IFERROR(__xludf.DUMMYFUNCTION("INDIRECT(""'收支紀錄'!K""&amp;TO_TEXT(ROW()-$C$72))"),"")</f>
        <v/>
      </c>
      <c r="L1056" s="61" t="str">
        <f>IFERROR(__xludf.DUMMYFUNCTION("INDIRECT(""'收支紀錄'!L""&amp;TO_TEXT(ROW()-$C$72))"),"")</f>
        <v/>
      </c>
      <c r="M1056" s="61" t="str">
        <f>IFERROR(__xludf.DUMMYFUNCTION("INDIRECT(""'收支紀錄'!M""&amp;TO_TEXT(ROW()-$C$72))"),"")</f>
        <v/>
      </c>
      <c r="N1056" s="61" t="str">
        <f>IFERROR(__xludf.DUMMYFUNCTION("INDIRECT(""'收支紀錄'!N""&amp;TO_TEXT(ROW()-$C$72))"),"")</f>
        <v/>
      </c>
      <c r="O1056" s="61" t="str">
        <f>IFERROR(__xludf.DUMMYFUNCTION("INDIRECT(""'收支紀錄'!O""&amp;TO_TEXT(ROW()-$C$72))"),"")</f>
        <v/>
      </c>
      <c r="P1056" s="61" t="str">
        <f>IFERROR(__xludf.DUMMYFUNCTION("INDIRECT(""'收支紀錄'!P""&amp;TO_TEXT(ROW()-$C$72))"),"")</f>
        <v/>
      </c>
      <c r="Q1056" s="61" t="str">
        <f>IFERROR(__xludf.DUMMYFUNCTION("INDIRECT(""'收支紀錄'!Q""&amp;TO_TEXT(ROW()-$C$72))"),"")</f>
        <v/>
      </c>
      <c r="R1056" s="61" t="str">
        <f>IFERROR(__xludf.DUMMYFUNCTION("INDIRECT(""'收支紀錄'!R""&amp;TO_TEXT(ROW()-$C$72))"),"")</f>
        <v/>
      </c>
      <c r="S1056" s="61" t="str">
        <f>IFERROR(__xludf.DUMMYFUNCTION("INDIRECT(""'收支紀錄'!S""&amp;TO_TEXT(ROW()-$C$72))")," 559病假")</f>
        <v> 559病假</v>
      </c>
      <c r="T1056" s="61" t="str">
        <f>IFERROR(__xludf.DUMMYFUNCTION("INDIRECT(""'收支紀錄'!T""&amp;TO_TEXT(ROW()-$C$72))"),"是")</f>
        <v>是</v>
      </c>
      <c r="U1056" s="62" t="str">
        <f>IFERROR(__xludf.DUMMYFUNCTION("IF(T1056=""是"",TEXTJOIN("""", TRUE, ""$"", TO_TEXT(C1056), S1056),"""")"),"$106741 559病假")</f>
        <v>$106741 559病假</v>
      </c>
    </row>
    <row r="1057">
      <c r="A1057" s="58">
        <f>IFERROR(__xludf.DUMMYFUNCTION("INDIRECT(""'收支紀錄'!A""&amp;TO_TEXT(ROW()-$C$72))"),45874.87657446759)</f>
        <v>45874.87657</v>
      </c>
      <c r="B1057" s="59">
        <f>IFERROR(__xludf.DUMMYFUNCTION("IF(ISBLANK(D1057), """", IF(ISDATE(D1057), D1057, IF(D1057=""今天"", A1057, IF(D1057=""昨天 (-1 day)"", A1057-1, IF(D1057=""前天 (-2 days)"", A1057-2, IF(D1057=""明天 (+1 day)"", A1057+1, DATE(LEFT(D1057,4), MID(D1057,5,2), RIGHT(D1057,2))))))))"),45874.87657446759)</f>
        <v>45874.87657</v>
      </c>
      <c r="C1057" s="60">
        <f>IFERROR(__xludf.DUMMYFUNCTION("INDIRECT(""'收支紀錄'!C""&amp;TO_TEXT(ROW()-$C$72))"),2459.0)</f>
        <v>2459</v>
      </c>
      <c r="D1057" s="63" t="str">
        <f>IFERROR(__xludf.DUMMYFUNCTION("INDIRECT(""'收支紀錄'!D""&amp;TO_TEXT(ROW()-$C$72))"),"今天")</f>
        <v>今天</v>
      </c>
      <c r="E1057" s="61" t="str">
        <f>IFERROR(__xludf.DUMMYFUNCTION("INDIRECT(""'收支紀錄'!E""&amp;TO_TEXT(ROW()-$C$72))"),"工作")</f>
        <v>工作</v>
      </c>
      <c r="F1057" s="61" t="str">
        <f>IFERROR(__xludf.DUMMYFUNCTION("INDIRECT(""'收支紀錄'!F""&amp;TO_TEXT(ROW()-$C$72))"),"加班/津貼")</f>
        <v>加班/津貼</v>
      </c>
      <c r="G1057" s="61" t="str">
        <f>IFERROR(__xludf.DUMMYFUNCTION("INDIRECT(""'收支紀錄'!G""&amp;TO_TEXT(ROW()-$C$72))"),"")</f>
        <v/>
      </c>
      <c r="H1057" s="61" t="str">
        <f>IFERROR(__xludf.DUMMYFUNCTION("INDIRECT(""'收支紀錄'!H""&amp;TO_TEXT(ROW()-$C$72))"),"")</f>
        <v/>
      </c>
      <c r="I1057" s="61" t="str">
        <f>IFERROR(__xludf.DUMMYFUNCTION("INDIRECT(""'收支紀錄'!I""&amp;TO_TEXT(ROW()-$C$72))"),"")</f>
        <v/>
      </c>
      <c r="J1057" s="61" t="str">
        <f>IFERROR(__xludf.DUMMYFUNCTION("INDIRECT(""'收支紀錄'!J""&amp;TO_TEXT(ROW()-$C$72))"),"")</f>
        <v/>
      </c>
      <c r="K1057" s="61" t="str">
        <f>IFERROR(__xludf.DUMMYFUNCTION("INDIRECT(""'收支紀錄'!K""&amp;TO_TEXT(ROW()-$C$72))"),"")</f>
        <v/>
      </c>
      <c r="L1057" s="61" t="str">
        <f>IFERROR(__xludf.DUMMYFUNCTION("INDIRECT(""'收支紀錄'!L""&amp;TO_TEXT(ROW()-$C$72))"),"")</f>
        <v/>
      </c>
      <c r="M1057" s="61" t="str">
        <f>IFERROR(__xludf.DUMMYFUNCTION("INDIRECT(""'收支紀錄'!M""&amp;TO_TEXT(ROW()-$C$72))"),"")</f>
        <v/>
      </c>
      <c r="N1057" s="61" t="str">
        <f>IFERROR(__xludf.DUMMYFUNCTION("INDIRECT(""'收支紀錄'!N""&amp;TO_TEXT(ROW()-$C$72))"),"")</f>
        <v/>
      </c>
      <c r="O1057" s="61" t="str">
        <f>IFERROR(__xludf.DUMMYFUNCTION("INDIRECT(""'收支紀錄'!O""&amp;TO_TEXT(ROW()-$C$72))"),"")</f>
        <v/>
      </c>
      <c r="P1057" s="61" t="str">
        <f>IFERROR(__xludf.DUMMYFUNCTION("INDIRECT(""'收支紀錄'!P""&amp;TO_TEXT(ROW()-$C$72))"),"")</f>
        <v/>
      </c>
      <c r="Q1057" s="61" t="str">
        <f>IFERROR(__xludf.DUMMYFUNCTION("INDIRECT(""'收支紀錄'!Q""&amp;TO_TEXT(ROW()-$C$72))"),"")</f>
        <v/>
      </c>
      <c r="R1057" s="61" t="str">
        <f>IFERROR(__xludf.DUMMYFUNCTION("INDIRECT(""'收支紀錄'!R""&amp;TO_TEXT(ROW()-$C$72))"),"")</f>
        <v/>
      </c>
      <c r="S1057" s="61" t="str">
        <f>IFERROR(__xludf.DUMMYFUNCTION("INDIRECT(""'收支紀錄'!S""&amp;TO_TEXT(ROW()-$C$72))"),"特休")</f>
        <v>特休</v>
      </c>
      <c r="T1057" s="61" t="str">
        <f>IFERROR(__xludf.DUMMYFUNCTION("INDIRECT(""'收支紀錄'!T""&amp;TO_TEXT(ROW()-$C$72))"),"是")</f>
        <v>是</v>
      </c>
      <c r="U1057" s="62" t="str">
        <f>IFERROR(__xludf.DUMMYFUNCTION("IF(T1057=""是"",TEXTJOIN("""", TRUE, ""$"", TO_TEXT(C1057), S1057),"""")"),"$2459特休")</f>
        <v>$2459特休</v>
      </c>
    </row>
    <row r="1058">
      <c r="A1058" s="58">
        <f>IFERROR(__xludf.DUMMYFUNCTION("INDIRECT(""'收支紀錄'!A""&amp;TO_TEXT(ROW()-$C$72))"),45874.87679821759)</f>
        <v>45874.8768</v>
      </c>
      <c r="B1058" s="59">
        <f>IFERROR(__xludf.DUMMYFUNCTION("IF(ISBLANK(D1058), """", IF(ISDATE(D1058), D1058, IF(D1058=""今天"", A1058, IF(D1058=""昨天 (-1 day)"", A1058-1, IF(D1058=""前天 (-2 days)"", A1058-2, IF(D1058=""明天 (+1 day)"", A1058+1, DATE(LEFT(D1058,4), MID(D1058,5,2), RIGHT(D1058,2))))))))"),45874.87679821759)</f>
        <v>45874.8768</v>
      </c>
      <c r="C1058" s="60">
        <f>IFERROR(__xludf.DUMMYFUNCTION("INDIRECT(""'收支紀錄'!C""&amp;TO_TEXT(ROW()-$C$72))"),5000.0)</f>
        <v>5000</v>
      </c>
      <c r="D1058" s="63" t="str">
        <f>IFERROR(__xludf.DUMMYFUNCTION("INDIRECT(""'收支紀錄'!D""&amp;TO_TEXT(ROW()-$C$72))"),"今天")</f>
        <v>今天</v>
      </c>
      <c r="E1058" s="61" t="str">
        <f>IFERROR(__xludf.DUMMYFUNCTION("INDIRECT(""'收支紀錄'!E""&amp;TO_TEXT(ROW()-$C$72))"),"工作")</f>
        <v>工作</v>
      </c>
      <c r="F1058" s="61" t="str">
        <f>IFERROR(__xludf.DUMMYFUNCTION("INDIRECT(""'收支紀錄'!F""&amp;TO_TEXT(ROW()-$C$72))"),"加班/津貼")</f>
        <v>加班/津貼</v>
      </c>
      <c r="G1058" s="61" t="str">
        <f>IFERROR(__xludf.DUMMYFUNCTION("INDIRECT(""'收支紀錄'!G""&amp;TO_TEXT(ROW()-$C$72))"),"")</f>
        <v/>
      </c>
      <c r="H1058" s="61" t="str">
        <f>IFERROR(__xludf.DUMMYFUNCTION("INDIRECT(""'收支紀錄'!H""&amp;TO_TEXT(ROW()-$C$72))"),"")</f>
        <v/>
      </c>
      <c r="I1058" s="61" t="str">
        <f>IFERROR(__xludf.DUMMYFUNCTION("INDIRECT(""'收支紀錄'!I""&amp;TO_TEXT(ROW()-$C$72))"),"")</f>
        <v/>
      </c>
      <c r="J1058" s="61" t="str">
        <f>IFERROR(__xludf.DUMMYFUNCTION("INDIRECT(""'收支紀錄'!J""&amp;TO_TEXT(ROW()-$C$72))"),"")</f>
        <v/>
      </c>
      <c r="K1058" s="61" t="str">
        <f>IFERROR(__xludf.DUMMYFUNCTION("INDIRECT(""'收支紀錄'!K""&amp;TO_TEXT(ROW()-$C$72))"),"")</f>
        <v/>
      </c>
      <c r="L1058" s="61" t="str">
        <f>IFERROR(__xludf.DUMMYFUNCTION("INDIRECT(""'收支紀錄'!L""&amp;TO_TEXT(ROW()-$C$72))"),"")</f>
        <v/>
      </c>
      <c r="M1058" s="61" t="str">
        <f>IFERROR(__xludf.DUMMYFUNCTION("INDIRECT(""'收支紀錄'!M""&amp;TO_TEXT(ROW()-$C$72))"),"")</f>
        <v/>
      </c>
      <c r="N1058" s="61" t="str">
        <f>IFERROR(__xludf.DUMMYFUNCTION("INDIRECT(""'收支紀錄'!N""&amp;TO_TEXT(ROW()-$C$72))"),"")</f>
        <v/>
      </c>
      <c r="O1058" s="61" t="str">
        <f>IFERROR(__xludf.DUMMYFUNCTION("INDIRECT(""'收支紀錄'!O""&amp;TO_TEXT(ROW()-$C$72))"),"")</f>
        <v/>
      </c>
      <c r="P1058" s="61" t="str">
        <f>IFERROR(__xludf.DUMMYFUNCTION("INDIRECT(""'收支紀錄'!P""&amp;TO_TEXT(ROW()-$C$72))"),"")</f>
        <v/>
      </c>
      <c r="Q1058" s="61" t="str">
        <f>IFERROR(__xludf.DUMMYFUNCTION("INDIRECT(""'收支紀錄'!Q""&amp;TO_TEXT(ROW()-$C$72))"),"")</f>
        <v/>
      </c>
      <c r="R1058" s="61" t="str">
        <f>IFERROR(__xludf.DUMMYFUNCTION("INDIRECT(""'收支紀錄'!R""&amp;TO_TEXT(ROW()-$C$72))"),"")</f>
        <v/>
      </c>
      <c r="S1058" s="61" t="str">
        <f>IFERROR(__xludf.DUMMYFUNCTION("INDIRECT(""'收支紀錄'!S""&amp;TO_TEXT(ROW()-$C$72))"),"體檢費")</f>
        <v>體檢費</v>
      </c>
      <c r="T1058" s="61" t="str">
        <f>IFERROR(__xludf.DUMMYFUNCTION("INDIRECT(""'收支紀錄'!T""&amp;TO_TEXT(ROW()-$C$72))"),"是")</f>
        <v>是</v>
      </c>
      <c r="U1058" s="62" t="str">
        <f>IFERROR(__xludf.DUMMYFUNCTION("IF(T1058=""是"",TEXTJOIN("""", TRUE, ""$"", TO_TEXT(C1058), S1058),"""")"),"$5000體檢費")</f>
        <v>$5000體檢費</v>
      </c>
    </row>
    <row r="1059">
      <c r="A1059" s="58">
        <f>IFERROR(__xludf.DUMMYFUNCTION("INDIRECT(""'收支紀錄'!A""&amp;TO_TEXT(ROW()-$C$72))"),45874.8771918287)</f>
        <v>45874.87719</v>
      </c>
      <c r="B1059" s="59">
        <f>IFERROR(__xludf.DUMMYFUNCTION("IF(ISBLANK(D1059), """", IF(ISDATE(D1059), D1059, IF(D1059=""今天"", A1059, IF(D1059=""昨天 (-1 day)"", A1059-1, IF(D1059=""前天 (-2 days)"", A1059-2, IF(D1059=""明天 (+1 day)"", A1059+1, DATE(LEFT(D1059,4), MID(D1059,5,2), RIGHT(D1059,2))))))))"),45874.8771918287)</f>
        <v>45874.87719</v>
      </c>
      <c r="C1059" s="60">
        <f>IFERROR(__xludf.DUMMYFUNCTION("INDIRECT(""'收支紀錄'!C""&amp;TO_TEXT(ROW()-$C$72))"),4292.0)</f>
        <v>4292</v>
      </c>
      <c r="D1059" s="63" t="str">
        <f>IFERROR(__xludf.DUMMYFUNCTION("INDIRECT(""'收支紀錄'!D""&amp;TO_TEXT(ROW()-$C$72))"),"今天")</f>
        <v>今天</v>
      </c>
      <c r="E1059" s="61" t="str">
        <f>IFERROR(__xludf.DUMMYFUNCTION("INDIRECT(""'收支紀錄'!E""&amp;TO_TEXT(ROW()-$C$72))"),"")</f>
        <v/>
      </c>
      <c r="F1059" s="61" t="str">
        <f>IFERROR(__xludf.DUMMYFUNCTION("INDIRECT(""'收支紀錄'!F""&amp;TO_TEXT(ROW()-$C$72))"),"")</f>
        <v/>
      </c>
      <c r="G1059" s="61" t="str">
        <f>IFERROR(__xludf.DUMMYFUNCTION("INDIRECT(""'收支紀錄'!G""&amp;TO_TEXT(ROW()-$C$72))"),"")</f>
        <v/>
      </c>
      <c r="H1059" s="61" t="str">
        <f>IFERROR(__xludf.DUMMYFUNCTION("INDIRECT(""'收支紀錄'!H""&amp;TO_TEXT(ROW()-$C$72))"),"投資及其他")</f>
        <v>投資及其他</v>
      </c>
      <c r="I1059" s="61" t="str">
        <f>IFERROR(__xludf.DUMMYFUNCTION("INDIRECT(""'收支紀錄'!I""&amp;TO_TEXT(ROW()-$C$72))"),"")</f>
        <v/>
      </c>
      <c r="J1059" s="61" t="str">
        <f>IFERROR(__xludf.DUMMYFUNCTION("INDIRECT(""'收支紀錄'!J""&amp;TO_TEXT(ROW()-$C$72))"),"")</f>
        <v/>
      </c>
      <c r="K1059" s="61" t="str">
        <f>IFERROR(__xludf.DUMMYFUNCTION("INDIRECT(""'收支紀錄'!K""&amp;TO_TEXT(ROW()-$C$72))"),"")</f>
        <v/>
      </c>
      <c r="L1059" s="61" t="str">
        <f>IFERROR(__xludf.DUMMYFUNCTION("INDIRECT(""'收支紀錄'!L""&amp;TO_TEXT(ROW()-$C$72))"),"")</f>
        <v/>
      </c>
      <c r="M1059" s="61" t="str">
        <f>IFERROR(__xludf.DUMMYFUNCTION("INDIRECT(""'收支紀錄'!M""&amp;TO_TEXT(ROW()-$C$72))"),"")</f>
        <v/>
      </c>
      <c r="N1059" s="61" t="str">
        <f>IFERROR(__xludf.DUMMYFUNCTION("INDIRECT(""'收支紀錄'!N""&amp;TO_TEXT(ROW()-$C$72))"),"")</f>
        <v/>
      </c>
      <c r="O1059" s="61" t="str">
        <f>IFERROR(__xludf.DUMMYFUNCTION("INDIRECT(""'收支紀錄'!O""&amp;TO_TEXT(ROW()-$C$72))"),"")</f>
        <v/>
      </c>
      <c r="P1059" s="61" t="str">
        <f>IFERROR(__xludf.DUMMYFUNCTION("INDIRECT(""'收支紀錄'!P""&amp;TO_TEXT(ROW()-$C$72))"),"")</f>
        <v/>
      </c>
      <c r="Q1059" s="61" t="str">
        <f>IFERROR(__xludf.DUMMYFUNCTION("INDIRECT(""'收支紀錄'!Q""&amp;TO_TEXT(ROW()-$C$72))"),"")</f>
        <v/>
      </c>
      <c r="R1059" s="61" t="str">
        <f>IFERROR(__xludf.DUMMYFUNCTION("INDIRECT(""'收支紀錄'!R""&amp;TO_TEXT(ROW()-$C$72))"),"公司認股")</f>
        <v>公司認股</v>
      </c>
      <c r="S1059" s="61" t="str">
        <f>IFERROR(__xludf.DUMMYFUNCTION("INDIRECT(""'收支紀錄'!S""&amp;TO_TEXT(ROW()-$C$72))"),"")</f>
        <v/>
      </c>
      <c r="T1059" s="61" t="str">
        <f>IFERROR(__xludf.DUMMYFUNCTION("INDIRECT(""'收支紀錄'!T""&amp;TO_TEXT(ROW()-$C$72))"),"")</f>
        <v/>
      </c>
      <c r="U1059" s="62" t="str">
        <f>IFERROR(__xludf.DUMMYFUNCTION("IF(T1059=""是"",TEXTJOIN("""", TRUE, ""$"", TO_TEXT(C1059), S1059),"""")"),"")</f>
        <v/>
      </c>
    </row>
    <row r="1060">
      <c r="A1060" s="58">
        <f>IFERROR(__xludf.DUMMYFUNCTION("INDIRECT(""'收支紀錄'!A""&amp;TO_TEXT(ROW()-$C$72))"),45874.87742737269)</f>
        <v>45874.87743</v>
      </c>
      <c r="B1060" s="59">
        <f>IFERROR(__xludf.DUMMYFUNCTION("IF(ISBLANK(D1060), """", IF(ISDATE(D1060), D1060, IF(D1060=""今天"", A1060, IF(D1060=""昨天 (-1 day)"", A1060-1, IF(D1060=""前天 (-2 days)"", A1060-2, IF(D1060=""明天 (+1 day)"", A1060+1, DATE(LEFT(D1060,4), MID(D1060,5,2), RIGHT(D1060,2))))))))"),45873.87742737269)</f>
        <v>45873.87743</v>
      </c>
      <c r="C1060" s="60">
        <f>IFERROR(__xludf.DUMMYFUNCTION("INDIRECT(""'收支紀錄'!C""&amp;TO_TEXT(ROW()-$C$72))"),250.0)</f>
        <v>250</v>
      </c>
      <c r="D1060" s="63" t="str">
        <f>IFERROR(__xludf.DUMMYFUNCTION("INDIRECT(""'收支紀錄'!D""&amp;TO_TEXT(ROW()-$C$72))"),"昨天 (-1 day)")</f>
        <v>昨天 (-1 day)</v>
      </c>
      <c r="E1060" s="61" t="str">
        <f>IFERROR(__xludf.DUMMYFUNCTION("INDIRECT(""'收支紀錄'!E""&amp;TO_TEXT(ROW()-$C$72))"),"")</f>
        <v/>
      </c>
      <c r="F1060" s="61" t="str">
        <f>IFERROR(__xludf.DUMMYFUNCTION("INDIRECT(""'收支紀錄'!F""&amp;TO_TEXT(ROW()-$C$72))"),"")</f>
        <v/>
      </c>
      <c r="G1060" s="61" t="str">
        <f>IFERROR(__xludf.DUMMYFUNCTION("INDIRECT(""'收支紀錄'!G""&amp;TO_TEXT(ROW()-$C$72))"),"")</f>
        <v/>
      </c>
      <c r="H1060" s="61" t="str">
        <f>IFERROR(__xludf.DUMMYFUNCTION("INDIRECT(""'收支紀錄'!H""&amp;TO_TEXT(ROW()-$C$72))"),"醫療費用")</f>
        <v>醫療費用</v>
      </c>
      <c r="I1060" s="61" t="str">
        <f>IFERROR(__xludf.DUMMYFUNCTION("INDIRECT(""'收支紀錄'!I""&amp;TO_TEXT(ROW()-$C$72))"),"")</f>
        <v/>
      </c>
      <c r="J1060" s="61" t="str">
        <f>IFERROR(__xludf.DUMMYFUNCTION("INDIRECT(""'收支紀錄'!J""&amp;TO_TEXT(ROW()-$C$72))"),"")</f>
        <v/>
      </c>
      <c r="K1060" s="61" t="str">
        <f>IFERROR(__xludf.DUMMYFUNCTION("INDIRECT(""'收支紀錄'!K""&amp;TO_TEXT(ROW()-$C$72))"),"")</f>
        <v/>
      </c>
      <c r="L1060" s="61" t="str">
        <f>IFERROR(__xludf.DUMMYFUNCTION("INDIRECT(""'收支紀錄'!L""&amp;TO_TEXT(ROW()-$C$72))"),"")</f>
        <v/>
      </c>
      <c r="M1060" s="61" t="str">
        <f>IFERROR(__xludf.DUMMYFUNCTION("INDIRECT(""'收支紀錄'!M""&amp;TO_TEXT(ROW()-$C$72))"),"")</f>
        <v/>
      </c>
      <c r="N1060" s="61" t="str">
        <f>IFERROR(__xludf.DUMMYFUNCTION("INDIRECT(""'收支紀錄'!N""&amp;TO_TEXT(ROW()-$C$72))"),"")</f>
        <v/>
      </c>
      <c r="O1060" s="61" t="str">
        <f>IFERROR(__xludf.DUMMYFUNCTION("INDIRECT(""'收支紀錄'!O""&amp;TO_TEXT(ROW()-$C$72))"),"生病醫療")</f>
        <v>生病醫療</v>
      </c>
      <c r="P1060" s="61" t="str">
        <f>IFERROR(__xludf.DUMMYFUNCTION("INDIRECT(""'收支紀錄'!P""&amp;TO_TEXT(ROW()-$C$72))"),"")</f>
        <v/>
      </c>
      <c r="Q1060" s="61" t="str">
        <f>IFERROR(__xludf.DUMMYFUNCTION("INDIRECT(""'收支紀錄'!Q""&amp;TO_TEXT(ROW()-$C$72))"),"")</f>
        <v/>
      </c>
      <c r="R1060" s="61" t="str">
        <f>IFERROR(__xludf.DUMMYFUNCTION("INDIRECT(""'收支紀錄'!R""&amp;TO_TEXT(ROW()-$C$72))"),"")</f>
        <v/>
      </c>
      <c r="S1060" s="61" t="str">
        <f>IFERROR(__xludf.DUMMYFUNCTION("INDIRECT(""'收支紀錄'!S""&amp;TO_TEXT(ROW()-$C$72))"),"")</f>
        <v/>
      </c>
      <c r="T1060" s="61" t="str">
        <f>IFERROR(__xludf.DUMMYFUNCTION("INDIRECT(""'收支紀錄'!T""&amp;TO_TEXT(ROW()-$C$72))"),"")</f>
        <v/>
      </c>
      <c r="U1060" s="62" t="str">
        <f>IFERROR(__xludf.DUMMYFUNCTION("IF(T1060=""是"",TEXTJOIN("""", TRUE, ""$"", TO_TEXT(C1060), S1060),"""")"),"")</f>
        <v/>
      </c>
    </row>
    <row r="1061">
      <c r="A1061" s="58">
        <f>IFERROR(__xludf.DUMMYFUNCTION("INDIRECT(""'收支紀錄'!A""&amp;TO_TEXT(ROW()-$C$72))"),45874.88243614583)</f>
        <v>45874.88244</v>
      </c>
      <c r="B1061" s="59">
        <f>IFERROR(__xludf.DUMMYFUNCTION("IF(ISBLANK(D1061), """", IF(ISDATE(D1061), D1061, IF(D1061=""今天"", A1061, IF(D1061=""昨天 (-1 day)"", A1061-1, IF(D1061=""前天 (-2 days)"", A1061-2, IF(D1061=""明天 (+1 day)"", A1061+1, DATE(LEFT(D1061,4), MID(D1061,5,2), RIGHT(D1061,2))))))))"),45874.88243614583)</f>
        <v>45874.88244</v>
      </c>
      <c r="C1061" s="60">
        <f>IFERROR(__xludf.DUMMYFUNCTION("INDIRECT(""'收支紀錄'!C""&amp;TO_TEXT(ROW()-$C$72))"),1395.0)</f>
        <v>1395</v>
      </c>
      <c r="D1061" s="63" t="str">
        <f>IFERROR(__xludf.DUMMYFUNCTION("INDIRECT(""'收支紀錄'!D""&amp;TO_TEXT(ROW()-$C$72))"),"今天")</f>
        <v>今天</v>
      </c>
      <c r="E1061" s="61" t="str">
        <f>IFERROR(__xludf.DUMMYFUNCTION("INDIRECT(""'收支紀錄'!E""&amp;TO_TEXT(ROW()-$C$72))"),"")</f>
        <v/>
      </c>
      <c r="F1061" s="61" t="str">
        <f>IFERROR(__xludf.DUMMYFUNCTION("INDIRECT(""'收支紀錄'!F""&amp;TO_TEXT(ROW()-$C$72))"),"")</f>
        <v/>
      </c>
      <c r="G1061" s="61" t="str">
        <f>IFERROR(__xludf.DUMMYFUNCTION("INDIRECT(""'收支紀錄'!G""&amp;TO_TEXT(ROW()-$C$72))"),"")</f>
        <v/>
      </c>
      <c r="H1061" s="61" t="str">
        <f>IFERROR(__xludf.DUMMYFUNCTION("INDIRECT(""'收支紀錄'!H""&amp;TO_TEXT(ROW()-$C$72))"),"食品酒水")</f>
        <v>食品酒水</v>
      </c>
      <c r="I1061" s="61" t="str">
        <f>IFERROR(__xludf.DUMMYFUNCTION("INDIRECT(""'收支紀錄'!I""&amp;TO_TEXT(ROW()-$C$72))"),"前月公司餐費扣款")</f>
        <v>前月公司餐費扣款</v>
      </c>
      <c r="J1061" s="61" t="str">
        <f>IFERROR(__xludf.DUMMYFUNCTION("INDIRECT(""'收支紀錄'!J""&amp;TO_TEXT(ROW()-$C$72))"),"")</f>
        <v/>
      </c>
      <c r="K1061" s="61" t="str">
        <f>IFERROR(__xludf.DUMMYFUNCTION("INDIRECT(""'收支紀錄'!K""&amp;TO_TEXT(ROW()-$C$72))"),"")</f>
        <v/>
      </c>
      <c r="L1061" s="61" t="str">
        <f>IFERROR(__xludf.DUMMYFUNCTION("INDIRECT(""'收支紀錄'!L""&amp;TO_TEXT(ROW()-$C$72))"),"")</f>
        <v/>
      </c>
      <c r="M1061" s="61" t="str">
        <f>IFERROR(__xludf.DUMMYFUNCTION("INDIRECT(""'收支紀錄'!M""&amp;TO_TEXT(ROW()-$C$72))"),"")</f>
        <v/>
      </c>
      <c r="N1061" s="61" t="str">
        <f>IFERROR(__xludf.DUMMYFUNCTION("INDIRECT(""'收支紀錄'!N""&amp;TO_TEXT(ROW()-$C$72))"),"")</f>
        <v/>
      </c>
      <c r="O1061" s="61" t="str">
        <f>IFERROR(__xludf.DUMMYFUNCTION("INDIRECT(""'收支紀錄'!O""&amp;TO_TEXT(ROW()-$C$72))"),"")</f>
        <v/>
      </c>
      <c r="P1061" s="61" t="str">
        <f>IFERROR(__xludf.DUMMYFUNCTION("INDIRECT(""'收支紀錄'!P""&amp;TO_TEXT(ROW()-$C$72))"),"")</f>
        <v/>
      </c>
      <c r="Q1061" s="61" t="str">
        <f>IFERROR(__xludf.DUMMYFUNCTION("INDIRECT(""'收支紀錄'!Q""&amp;TO_TEXT(ROW()-$C$72))"),"")</f>
        <v/>
      </c>
      <c r="R1061" s="61" t="str">
        <f>IFERROR(__xludf.DUMMYFUNCTION("INDIRECT(""'收支紀錄'!R""&amp;TO_TEXT(ROW()-$C$72))"),"")</f>
        <v/>
      </c>
      <c r="S1061" s="61" t="str">
        <f>IFERROR(__xludf.DUMMYFUNCTION("INDIRECT(""'收支紀錄'!S""&amp;TO_TEXT(ROW()-$C$72))"),"")</f>
        <v/>
      </c>
      <c r="T1061" s="61" t="str">
        <f>IFERROR(__xludf.DUMMYFUNCTION("INDIRECT(""'收支紀錄'!T""&amp;TO_TEXT(ROW()-$C$72))"),"")</f>
        <v/>
      </c>
      <c r="U1061" s="62" t="str">
        <f>IFERROR(__xludf.DUMMYFUNCTION("IF(T1061=""是"",TEXTJOIN("""", TRUE, ""$"", TO_TEXT(C1061), S1061),"""")"),"")</f>
        <v/>
      </c>
    </row>
    <row r="1062">
      <c r="A1062" s="58">
        <f>IFERROR(__xludf.DUMMYFUNCTION("INDIRECT(""'收支紀錄'!A""&amp;TO_TEXT(ROW()-$C$72))"),45874.88306104166)</f>
        <v>45874.88306</v>
      </c>
      <c r="B1062" s="59">
        <f>IFERROR(__xludf.DUMMYFUNCTION("IF(ISBLANK(D1062), """", IF(ISDATE(D1062), D1062, IF(D1062=""今天"", A1062, IF(D1062=""昨天 (-1 day)"", A1062-1, IF(D1062=""前天 (-2 days)"", A1062-2, IF(D1062=""明天 (+1 day)"", A1062+1, DATE(LEFT(D1062,4), MID(D1062,5,2), RIGHT(D1062,2))))))))"),45874.88306104166)</f>
        <v>45874.88306</v>
      </c>
      <c r="C1062" s="60">
        <f>IFERROR(__xludf.DUMMYFUNCTION("INDIRECT(""'收支紀錄'!C""&amp;TO_TEXT(ROW()-$C$72))"),2828.0)</f>
        <v>2828</v>
      </c>
      <c r="D1062" s="63" t="str">
        <f>IFERROR(__xludf.DUMMYFUNCTION("INDIRECT(""'收支紀錄'!D""&amp;TO_TEXT(ROW()-$C$72))"),"今天")</f>
        <v>今天</v>
      </c>
      <c r="E1062" s="61" t="str">
        <f>IFERROR(__xludf.DUMMYFUNCTION("INDIRECT(""'收支紀錄'!E""&amp;TO_TEXT(ROW()-$C$72))"),"")</f>
        <v/>
      </c>
      <c r="F1062" s="61" t="str">
        <f>IFERROR(__xludf.DUMMYFUNCTION("INDIRECT(""'收支紀錄'!F""&amp;TO_TEXT(ROW()-$C$72))"),"")</f>
        <v/>
      </c>
      <c r="G1062" s="61" t="str">
        <f>IFERROR(__xludf.DUMMYFUNCTION("INDIRECT(""'收支紀錄'!G""&amp;TO_TEXT(ROW()-$C$72))"),"")</f>
        <v/>
      </c>
      <c r="H1062" s="61" t="str">
        <f>IFERROR(__xludf.DUMMYFUNCTION("INDIRECT(""'收支紀錄'!H""&amp;TO_TEXT(ROW()-$C$72))"),"稅金保險")</f>
        <v>稅金保險</v>
      </c>
      <c r="I1062" s="61" t="str">
        <f>IFERROR(__xludf.DUMMYFUNCTION("INDIRECT(""'收支紀錄'!I""&amp;TO_TEXT(ROW()-$C$72))"),"")</f>
        <v/>
      </c>
      <c r="J1062" s="61" t="str">
        <f>IFERROR(__xludf.DUMMYFUNCTION("INDIRECT(""'收支紀錄'!J""&amp;TO_TEXT(ROW()-$C$72))"),"")</f>
        <v/>
      </c>
      <c r="K1062" s="61" t="str">
        <f>IFERROR(__xludf.DUMMYFUNCTION("INDIRECT(""'收支紀錄'!K""&amp;TO_TEXT(ROW()-$C$72))"),"")</f>
        <v/>
      </c>
      <c r="L1062" s="61" t="str">
        <f>IFERROR(__xludf.DUMMYFUNCTION("INDIRECT(""'收支紀錄'!L""&amp;TO_TEXT(ROW()-$C$72))"),"")</f>
        <v/>
      </c>
      <c r="M1062" s="61" t="str">
        <f>IFERROR(__xludf.DUMMYFUNCTION("INDIRECT(""'收支紀錄'!M""&amp;TO_TEXT(ROW()-$C$72))"),"")</f>
        <v/>
      </c>
      <c r="N1062" s="61" t="str">
        <f>IFERROR(__xludf.DUMMYFUNCTION("INDIRECT(""'收支紀錄'!N""&amp;TO_TEXT(ROW()-$C$72))"),"勞健保")</f>
        <v>勞健保</v>
      </c>
      <c r="O1062" s="61" t="str">
        <f>IFERROR(__xludf.DUMMYFUNCTION("INDIRECT(""'收支紀錄'!O""&amp;TO_TEXT(ROW()-$C$72))"),"")</f>
        <v/>
      </c>
      <c r="P1062" s="61" t="str">
        <f>IFERROR(__xludf.DUMMYFUNCTION("INDIRECT(""'收支紀錄'!P""&amp;TO_TEXT(ROW()-$C$72))"),"")</f>
        <v/>
      </c>
      <c r="Q1062" s="61" t="str">
        <f>IFERROR(__xludf.DUMMYFUNCTION("INDIRECT(""'收支紀錄'!Q""&amp;TO_TEXT(ROW()-$C$72))"),"")</f>
        <v/>
      </c>
      <c r="R1062" s="61" t="str">
        <f>IFERROR(__xludf.DUMMYFUNCTION("INDIRECT(""'收支紀錄'!R""&amp;TO_TEXT(ROW()-$C$72))"),"")</f>
        <v/>
      </c>
      <c r="S1062" s="61" t="str">
        <f>IFERROR(__xludf.DUMMYFUNCTION("INDIRECT(""'收支紀錄'!S""&amp;TO_TEXT(ROW()-$C$72))"),"")</f>
        <v/>
      </c>
      <c r="T1062" s="61" t="str">
        <f>IFERROR(__xludf.DUMMYFUNCTION("INDIRECT(""'收支紀錄'!T""&amp;TO_TEXT(ROW()-$C$72))"),"")</f>
        <v/>
      </c>
      <c r="U1062" s="62" t="str">
        <f>IFERROR(__xludf.DUMMYFUNCTION("IF(T1062=""是"",TEXTJOIN("""", TRUE, ""$"", TO_TEXT(C1062), S1062),"""")"),"")</f>
        <v/>
      </c>
    </row>
    <row r="1063">
      <c r="A1063" s="58">
        <f>IFERROR(__xludf.DUMMYFUNCTION("INDIRECT(""'收支紀錄'!A""&amp;TO_TEXT(ROW()-$C$72))"),45874.88340104166)</f>
        <v>45874.8834</v>
      </c>
      <c r="B1063" s="59">
        <f>IFERROR(__xludf.DUMMYFUNCTION("IF(ISBLANK(D1063), """", IF(ISDATE(D1063), D1063, IF(D1063=""今天"", A1063, IF(D1063=""昨天 (-1 day)"", A1063-1, IF(D1063=""前天 (-2 days)"", A1063-2, IF(D1063=""明天 (+1 day)"", A1063+1, DATE(LEFT(D1063,4), MID(D1063,5,2), RIGHT(D1063,2))))))))"),45874.88340104166)</f>
        <v>45874.8834</v>
      </c>
      <c r="C1063" s="60">
        <f>IFERROR(__xludf.DUMMYFUNCTION("INDIRECT(""'收支紀錄'!C""&amp;TO_TEXT(ROW()-$C$72))"),537.0)</f>
        <v>537</v>
      </c>
      <c r="D1063" s="63" t="str">
        <f>IFERROR(__xludf.DUMMYFUNCTION("INDIRECT(""'收支紀錄'!D""&amp;TO_TEXT(ROW()-$C$72))"),"今天")</f>
        <v>今天</v>
      </c>
      <c r="E1063" s="61" t="str">
        <f>IFERROR(__xludf.DUMMYFUNCTION("INDIRECT(""'收支紀錄'!E""&amp;TO_TEXT(ROW()-$C$72))"),"")</f>
        <v/>
      </c>
      <c r="F1063" s="61" t="str">
        <f>IFERROR(__xludf.DUMMYFUNCTION("INDIRECT(""'收支紀錄'!F""&amp;TO_TEXT(ROW()-$C$72))"),"")</f>
        <v/>
      </c>
      <c r="G1063" s="61" t="str">
        <f>IFERROR(__xludf.DUMMYFUNCTION("INDIRECT(""'收支紀錄'!G""&amp;TO_TEXT(ROW()-$C$72))"),"")</f>
        <v/>
      </c>
      <c r="H1063" s="61" t="str">
        <f>IFERROR(__xludf.DUMMYFUNCTION("INDIRECT(""'收支紀錄'!H""&amp;TO_TEXT(ROW()-$C$72))"),"休閒娛樂")</f>
        <v>休閒娛樂</v>
      </c>
      <c r="I1063" s="61" t="str">
        <f>IFERROR(__xludf.DUMMYFUNCTION("INDIRECT(""'收支紀錄'!I""&amp;TO_TEXT(ROW()-$C$72))"),"")</f>
        <v/>
      </c>
      <c r="J1063" s="61" t="str">
        <f>IFERROR(__xludf.DUMMYFUNCTION("INDIRECT(""'收支紀錄'!J""&amp;TO_TEXT(ROW()-$C$72))"),"")</f>
        <v/>
      </c>
      <c r="K1063" s="61" t="str">
        <f>IFERROR(__xludf.DUMMYFUNCTION("INDIRECT(""'收支紀錄'!K""&amp;TO_TEXT(ROW()-$C$72))"),"")</f>
        <v/>
      </c>
      <c r="L1063" s="61" t="str">
        <f>IFERROR(__xludf.DUMMYFUNCTION("INDIRECT(""'收支紀錄'!L""&amp;TO_TEXT(ROW()-$C$72))"),"")</f>
        <v/>
      </c>
      <c r="M1063" s="61" t="str">
        <f>IFERROR(__xludf.DUMMYFUNCTION("INDIRECT(""'收支紀錄'!M""&amp;TO_TEXT(ROW()-$C$72))"),"公司福利金")</f>
        <v>公司福利金</v>
      </c>
      <c r="N1063" s="61" t="str">
        <f>IFERROR(__xludf.DUMMYFUNCTION("INDIRECT(""'收支紀錄'!N""&amp;TO_TEXT(ROW()-$C$72))"),"")</f>
        <v/>
      </c>
      <c r="O1063" s="61" t="str">
        <f>IFERROR(__xludf.DUMMYFUNCTION("INDIRECT(""'收支紀錄'!O""&amp;TO_TEXT(ROW()-$C$72))"),"")</f>
        <v/>
      </c>
      <c r="P1063" s="61" t="str">
        <f>IFERROR(__xludf.DUMMYFUNCTION("INDIRECT(""'收支紀錄'!P""&amp;TO_TEXT(ROW()-$C$72))"),"")</f>
        <v/>
      </c>
      <c r="Q1063" s="61" t="str">
        <f>IFERROR(__xludf.DUMMYFUNCTION("INDIRECT(""'收支紀錄'!Q""&amp;TO_TEXT(ROW()-$C$72))"),"")</f>
        <v/>
      </c>
      <c r="R1063" s="61" t="str">
        <f>IFERROR(__xludf.DUMMYFUNCTION("INDIRECT(""'收支紀錄'!R""&amp;TO_TEXT(ROW()-$C$72))"),"")</f>
        <v/>
      </c>
      <c r="S1063" s="61" t="str">
        <f>IFERROR(__xludf.DUMMYFUNCTION("INDIRECT(""'收支紀錄'!S""&amp;TO_TEXT(ROW()-$C$72))"),"")</f>
        <v/>
      </c>
      <c r="T1063" s="61" t="str">
        <f>IFERROR(__xludf.DUMMYFUNCTION("INDIRECT(""'收支紀錄'!T""&amp;TO_TEXT(ROW()-$C$72))"),"")</f>
        <v/>
      </c>
      <c r="U1063" s="62" t="str">
        <f>IFERROR(__xludf.DUMMYFUNCTION("IF(T1063=""是"",TEXTJOIN("""", TRUE, ""$"", TO_TEXT(C1063), S1063),"""")"),"")</f>
        <v/>
      </c>
    </row>
    <row r="1064">
      <c r="A1064" s="58">
        <f>IFERROR(__xludf.DUMMYFUNCTION("INDIRECT(""'收支紀錄'!A""&amp;TO_TEXT(ROW()-$C$72))"),45874.88359982639)</f>
        <v>45874.8836</v>
      </c>
      <c r="B1064" s="59">
        <f>IFERROR(__xludf.DUMMYFUNCTION("IF(ISBLANK(D1064), """", IF(ISDATE(D1064), D1064, IF(D1064=""今天"", A1064, IF(D1064=""昨天 (-1 day)"", A1064-1, IF(D1064=""前天 (-2 days)"", A1064-2, IF(D1064=""明天 (+1 day)"", A1064+1, DATE(LEFT(D1064,4), MID(D1064,5,2), RIGHT(D1064,2))))))))"),45874.88359982639)</f>
        <v>45874.8836</v>
      </c>
      <c r="C1064" s="60">
        <f>IFERROR(__xludf.DUMMYFUNCTION("INDIRECT(""'收支紀錄'!C""&amp;TO_TEXT(ROW()-$C$72))"),4400.0)</f>
        <v>4400</v>
      </c>
      <c r="D1064" s="63" t="str">
        <f>IFERROR(__xludf.DUMMYFUNCTION("INDIRECT(""'收支紀錄'!D""&amp;TO_TEXT(ROW()-$C$72))"),"今天")</f>
        <v>今天</v>
      </c>
      <c r="E1064" s="61" t="str">
        <f>IFERROR(__xludf.DUMMYFUNCTION("INDIRECT(""'收支紀錄'!E""&amp;TO_TEXT(ROW()-$C$72))"),"")</f>
        <v/>
      </c>
      <c r="F1064" s="61" t="str">
        <f>IFERROR(__xludf.DUMMYFUNCTION("INDIRECT(""'收支紀錄'!F""&amp;TO_TEXT(ROW()-$C$72))"),"")</f>
        <v/>
      </c>
      <c r="G1064" s="61" t="str">
        <f>IFERROR(__xludf.DUMMYFUNCTION("INDIRECT(""'收支紀錄'!G""&amp;TO_TEXT(ROW()-$C$72))"),"")</f>
        <v/>
      </c>
      <c r="H1064" s="61" t="str">
        <f>IFERROR(__xludf.DUMMYFUNCTION("INDIRECT(""'收支紀錄'!H""&amp;TO_TEXT(ROW()-$C$72))"),"稅金保險")</f>
        <v>稅金保險</v>
      </c>
      <c r="I1064" s="61" t="str">
        <f>IFERROR(__xludf.DUMMYFUNCTION("INDIRECT(""'收支紀錄'!I""&amp;TO_TEXT(ROW()-$C$72))"),"")</f>
        <v/>
      </c>
      <c r="J1064" s="61" t="str">
        <f>IFERROR(__xludf.DUMMYFUNCTION("INDIRECT(""'收支紀錄'!J""&amp;TO_TEXT(ROW()-$C$72))"),"")</f>
        <v/>
      </c>
      <c r="K1064" s="61" t="str">
        <f>IFERROR(__xludf.DUMMYFUNCTION("INDIRECT(""'收支紀錄'!K""&amp;TO_TEXT(ROW()-$C$72))"),"")</f>
        <v/>
      </c>
      <c r="L1064" s="61" t="str">
        <f>IFERROR(__xludf.DUMMYFUNCTION("INDIRECT(""'收支紀錄'!L""&amp;TO_TEXT(ROW()-$C$72))"),"")</f>
        <v/>
      </c>
      <c r="M1064" s="61" t="str">
        <f>IFERROR(__xludf.DUMMYFUNCTION("INDIRECT(""'收支紀錄'!M""&amp;TO_TEXT(ROW()-$C$72))"),"")</f>
        <v/>
      </c>
      <c r="N1064" s="61" t="str">
        <f>IFERROR(__xludf.DUMMYFUNCTION("INDIRECT(""'收支紀錄'!N""&amp;TO_TEXT(ROW()-$C$72))"),"稅金")</f>
        <v>稅金</v>
      </c>
      <c r="O1064" s="61" t="str">
        <f>IFERROR(__xludf.DUMMYFUNCTION("INDIRECT(""'收支紀錄'!O""&amp;TO_TEXT(ROW()-$C$72))"),"")</f>
        <v/>
      </c>
      <c r="P1064" s="61" t="str">
        <f>IFERROR(__xludf.DUMMYFUNCTION("INDIRECT(""'收支紀錄'!P""&amp;TO_TEXT(ROW()-$C$72))"),"")</f>
        <v/>
      </c>
      <c r="Q1064" s="61" t="str">
        <f>IFERROR(__xludf.DUMMYFUNCTION("INDIRECT(""'收支紀錄'!Q""&amp;TO_TEXT(ROW()-$C$72))"),"")</f>
        <v/>
      </c>
      <c r="R1064" s="61" t="str">
        <f>IFERROR(__xludf.DUMMYFUNCTION("INDIRECT(""'收支紀錄'!R""&amp;TO_TEXT(ROW()-$C$72))"),"")</f>
        <v/>
      </c>
      <c r="S1064" s="61" t="str">
        <f>IFERROR(__xludf.DUMMYFUNCTION("INDIRECT(""'收支紀錄'!S""&amp;TO_TEXT(ROW()-$C$72))"),"")</f>
        <v/>
      </c>
      <c r="T1064" s="61" t="str">
        <f>IFERROR(__xludf.DUMMYFUNCTION("INDIRECT(""'收支紀錄'!T""&amp;TO_TEXT(ROW()-$C$72))"),"")</f>
        <v/>
      </c>
      <c r="U1064" s="62" t="str">
        <f>IFERROR(__xludf.DUMMYFUNCTION("IF(T1064=""是"",TEXTJOIN("""", TRUE, ""$"", TO_TEXT(C1064), S1064),"""")"),"")</f>
        <v/>
      </c>
    </row>
    <row r="1065">
      <c r="A1065" s="58">
        <f>IFERROR(__xludf.DUMMYFUNCTION("INDIRECT(""'收支紀錄'!A""&amp;TO_TEXT(ROW()-$C$72))"),45876.29359318287)</f>
        <v>45876.29359</v>
      </c>
      <c r="B1065" s="59">
        <f>IFERROR(__xludf.DUMMYFUNCTION("IF(ISBLANK(D1065), """", IF(ISDATE(D1065), D1065, IF(D1065=""今天"", A1065, IF(D1065=""昨天 (-1 day)"", A1065-1, IF(D1065=""前天 (-2 days)"", A1065-2, IF(D1065=""明天 (+1 day)"", A1065+1, DATE(LEFT(D1065,4), MID(D1065,5,2), RIGHT(D1065,2))))))))"),45875.29359318287)</f>
        <v>45875.29359</v>
      </c>
      <c r="C1065" s="60">
        <f>IFERROR(__xludf.DUMMYFUNCTION("INDIRECT(""'收支紀錄'!C""&amp;TO_TEXT(ROW()-$C$72))"),250.0)</f>
        <v>250</v>
      </c>
      <c r="D1065" s="63" t="str">
        <f>IFERROR(__xludf.DUMMYFUNCTION("INDIRECT(""'收支紀錄'!D""&amp;TO_TEXT(ROW()-$C$72))"),"昨天 (-1 day)")</f>
        <v>昨天 (-1 day)</v>
      </c>
      <c r="E1065" s="61" t="str">
        <f>IFERROR(__xludf.DUMMYFUNCTION("INDIRECT(""'收支紀錄'!E""&amp;TO_TEXT(ROW()-$C$72))"),"")</f>
        <v/>
      </c>
      <c r="F1065" s="61" t="str">
        <f>IFERROR(__xludf.DUMMYFUNCTION("INDIRECT(""'收支紀錄'!F""&amp;TO_TEXT(ROW()-$C$72))"),"")</f>
        <v/>
      </c>
      <c r="G1065" s="61" t="str">
        <f>IFERROR(__xludf.DUMMYFUNCTION("INDIRECT(""'收支紀錄'!G""&amp;TO_TEXT(ROW()-$C$72))"),"")</f>
        <v/>
      </c>
      <c r="H1065" s="61" t="str">
        <f>IFERROR(__xludf.DUMMYFUNCTION("INDIRECT(""'收支紀錄'!H""&amp;TO_TEXT(ROW()-$C$72))"),"日常生活")</f>
        <v>日常生活</v>
      </c>
      <c r="I1065" s="61" t="str">
        <f>IFERROR(__xludf.DUMMYFUNCTION("INDIRECT(""'收支紀錄'!I""&amp;TO_TEXT(ROW()-$C$72))"),"")</f>
        <v/>
      </c>
      <c r="J1065" s="61" t="str">
        <f>IFERROR(__xludf.DUMMYFUNCTION("INDIRECT(""'收支紀錄'!J""&amp;TO_TEXT(ROW()-$C$72))"),"日常用品")</f>
        <v>日常用品</v>
      </c>
      <c r="K1065" s="61" t="str">
        <f>IFERROR(__xludf.DUMMYFUNCTION("INDIRECT(""'收支紀錄'!K""&amp;TO_TEXT(ROW()-$C$72))"),"")</f>
        <v/>
      </c>
      <c r="L1065" s="61" t="str">
        <f>IFERROR(__xludf.DUMMYFUNCTION("INDIRECT(""'收支紀錄'!L""&amp;TO_TEXT(ROW()-$C$72))"),"")</f>
        <v/>
      </c>
      <c r="M1065" s="61" t="str">
        <f>IFERROR(__xludf.DUMMYFUNCTION("INDIRECT(""'收支紀錄'!M""&amp;TO_TEXT(ROW()-$C$72))"),"")</f>
        <v/>
      </c>
      <c r="N1065" s="61" t="str">
        <f>IFERROR(__xludf.DUMMYFUNCTION("INDIRECT(""'收支紀錄'!N""&amp;TO_TEXT(ROW()-$C$72))"),"")</f>
        <v/>
      </c>
      <c r="O1065" s="61" t="str">
        <f>IFERROR(__xludf.DUMMYFUNCTION("INDIRECT(""'收支紀錄'!O""&amp;TO_TEXT(ROW()-$C$72))"),"")</f>
        <v/>
      </c>
      <c r="P1065" s="61" t="str">
        <f>IFERROR(__xludf.DUMMYFUNCTION("INDIRECT(""'收支紀錄'!P""&amp;TO_TEXT(ROW()-$C$72))"),"")</f>
        <v/>
      </c>
      <c r="Q1065" s="61" t="str">
        <f>IFERROR(__xludf.DUMMYFUNCTION("INDIRECT(""'收支紀錄'!Q""&amp;TO_TEXT(ROW()-$C$72))"),"")</f>
        <v/>
      </c>
      <c r="R1065" s="61" t="str">
        <f>IFERROR(__xludf.DUMMYFUNCTION("INDIRECT(""'收支紀錄'!R""&amp;TO_TEXT(ROW()-$C$72))"),"")</f>
        <v/>
      </c>
      <c r="S1065" s="61" t="str">
        <f>IFERROR(__xludf.DUMMYFUNCTION("INDIRECT(""'收支紀錄'!S""&amp;TO_TEXT(ROW()-$C$72))"),"拼多多廚房櫃關稅")</f>
        <v>拼多多廚房櫃關稅</v>
      </c>
      <c r="T1065" s="61" t="str">
        <f>IFERROR(__xludf.DUMMYFUNCTION("INDIRECT(""'收支紀錄'!T""&amp;TO_TEXT(ROW()-$C$72))"),"")</f>
        <v/>
      </c>
      <c r="U1065" s="62" t="str">
        <f>IFERROR(__xludf.DUMMYFUNCTION("IF(T1065=""是"",TEXTJOIN("""", TRUE, ""$"", TO_TEXT(C1065), S1065),"""")"),"")</f>
        <v/>
      </c>
    </row>
    <row r="1066">
      <c r="A1066" s="58">
        <f>IFERROR(__xludf.DUMMYFUNCTION("INDIRECT(""'收支紀錄'!A""&amp;TO_TEXT(ROW()-$C$72))"),45876.558814108794)</f>
        <v>45876.55881</v>
      </c>
      <c r="B1066" s="59">
        <f>IFERROR(__xludf.DUMMYFUNCTION("IF(ISBLANK(D1066), """", IF(ISDATE(D1066), D1066, IF(D1066=""今天"", A1066, IF(D1066=""昨天 (-1 day)"", A1066-1, IF(D1066=""前天 (-2 days)"", A1066-2, IF(D1066=""明天 (+1 day)"", A1066+1, DATE(LEFT(D1066,4), MID(D1066,5,2), RIGHT(D1066,2))))))))"),45876.558814108794)</f>
        <v>45876.55881</v>
      </c>
      <c r="C1066" s="60">
        <f>IFERROR(__xludf.DUMMYFUNCTION("INDIRECT(""'收支紀錄'!C""&amp;TO_TEXT(ROW()-$C$72))"),360.0)</f>
        <v>360</v>
      </c>
      <c r="D1066" s="63" t="str">
        <f>IFERROR(__xludf.DUMMYFUNCTION("INDIRECT(""'收支紀錄'!D""&amp;TO_TEXT(ROW()-$C$72))"),"今天")</f>
        <v>今天</v>
      </c>
      <c r="E1066" s="61" t="str">
        <f>IFERROR(__xludf.DUMMYFUNCTION("INDIRECT(""'收支紀錄'!E""&amp;TO_TEXT(ROW()-$C$72))"),"")</f>
        <v/>
      </c>
      <c r="F1066" s="61" t="str">
        <f>IFERROR(__xludf.DUMMYFUNCTION("INDIRECT(""'收支紀錄'!F""&amp;TO_TEXT(ROW()-$C$72))"),"")</f>
        <v/>
      </c>
      <c r="G1066" s="61" t="str">
        <f>IFERROR(__xludf.DUMMYFUNCTION("INDIRECT(""'收支紀錄'!G""&amp;TO_TEXT(ROW()-$C$72))"),"")</f>
        <v/>
      </c>
      <c r="H1066" s="61" t="str">
        <f>IFERROR(__xludf.DUMMYFUNCTION("INDIRECT(""'收支紀錄'!H""&amp;TO_TEXT(ROW()-$C$72))"),"進修學習")</f>
        <v>進修學習</v>
      </c>
      <c r="I1066" s="61" t="str">
        <f>IFERROR(__xludf.DUMMYFUNCTION("INDIRECT(""'收支紀錄'!I""&amp;TO_TEXT(ROW()-$C$72))"),"")</f>
        <v/>
      </c>
      <c r="J1066" s="61" t="str">
        <f>IFERROR(__xludf.DUMMYFUNCTION("INDIRECT(""'收支紀錄'!J""&amp;TO_TEXT(ROW()-$C$72))"),"")</f>
        <v/>
      </c>
      <c r="K1066" s="61" t="str">
        <f>IFERROR(__xludf.DUMMYFUNCTION("INDIRECT(""'收支紀錄'!K""&amp;TO_TEXT(ROW()-$C$72))"),"")</f>
        <v/>
      </c>
      <c r="L1066" s="61" t="str">
        <f>IFERROR(__xludf.DUMMYFUNCTION("INDIRECT(""'收支紀錄'!L""&amp;TO_TEXT(ROW()-$C$72))"),"")</f>
        <v/>
      </c>
      <c r="M1066" s="61" t="str">
        <f>IFERROR(__xludf.DUMMYFUNCTION("INDIRECT(""'收支紀錄'!M""&amp;TO_TEXT(ROW()-$C$72))"),"")</f>
        <v/>
      </c>
      <c r="N1066" s="61" t="str">
        <f>IFERROR(__xludf.DUMMYFUNCTION("INDIRECT(""'收支紀錄'!N""&amp;TO_TEXT(ROW()-$C$72))"),"")</f>
        <v/>
      </c>
      <c r="O1066" s="61" t="str">
        <f>IFERROR(__xludf.DUMMYFUNCTION("INDIRECT(""'收支紀錄'!O""&amp;TO_TEXT(ROW()-$C$72))"),"")</f>
        <v/>
      </c>
      <c r="P1066" s="61" t="str">
        <f>IFERROR(__xludf.DUMMYFUNCTION("INDIRECT(""'收支紀錄'!P""&amp;TO_TEXT(ROW()-$C$72))"),"書報雜誌")</f>
        <v>書報雜誌</v>
      </c>
      <c r="Q1066" s="61" t="str">
        <f>IFERROR(__xludf.DUMMYFUNCTION("INDIRECT(""'收支紀錄'!Q""&amp;TO_TEXT(ROW()-$C$72))"),"")</f>
        <v/>
      </c>
      <c r="R1066" s="61" t="str">
        <f>IFERROR(__xludf.DUMMYFUNCTION("INDIRECT(""'收支紀錄'!R""&amp;TO_TEXT(ROW()-$C$72))"),"")</f>
        <v/>
      </c>
      <c r="S1066" s="61" t="str">
        <f>IFERROR(__xludf.DUMMYFUNCTION("INDIRECT(""'收支紀錄'!S""&amp;TO_TEXT(ROW()-$C$72))"),"")</f>
        <v/>
      </c>
      <c r="T1066" s="61" t="str">
        <f>IFERROR(__xludf.DUMMYFUNCTION("INDIRECT(""'收支紀錄'!T""&amp;TO_TEXT(ROW()-$C$72))"),"")</f>
        <v/>
      </c>
      <c r="U1066" s="62" t="str">
        <f>IFERROR(__xludf.DUMMYFUNCTION("IF(T1066=""是"",TEXTJOIN("""", TRUE, ""$"", TO_TEXT(C1066), S1066),"""")"),"")</f>
        <v/>
      </c>
    </row>
    <row r="1067">
      <c r="A1067" s="58">
        <f>IFERROR(__xludf.DUMMYFUNCTION("INDIRECT(""'收支紀錄'!A""&amp;TO_TEXT(ROW()-$C$72))"),45876.92451216435)</f>
        <v>45876.92451</v>
      </c>
      <c r="B1067" s="59">
        <f>IFERROR(__xludf.DUMMYFUNCTION("IF(ISBLANK(D1067), """", IF(ISDATE(D1067), D1067, IF(D1067=""今天"", A1067, IF(D1067=""昨天 (-1 day)"", A1067-1, IF(D1067=""前天 (-2 days)"", A1067-2, IF(D1067=""明天 (+1 day)"", A1067+1, DATE(LEFT(D1067,4), MID(D1067,5,2), RIGHT(D1067,2))))))))"),45849.0)</f>
        <v>45849</v>
      </c>
      <c r="C1067" s="60">
        <f>IFERROR(__xludf.DUMMYFUNCTION("INDIRECT(""'收支紀錄'!C""&amp;TO_TEXT(ROW()-$C$72))"),6960.0)</f>
        <v>6960</v>
      </c>
      <c r="D1067" s="63">
        <f>IFERROR(__xludf.DUMMYFUNCTION("INDIRECT(""'收支紀錄'!D""&amp;TO_TEXT(ROW()-$C$72))"),2.0250711E7)</f>
        <v>20250711</v>
      </c>
      <c r="E1067" s="61" t="str">
        <f>IFERROR(__xludf.DUMMYFUNCTION("INDIRECT(""'收支紀錄'!E""&amp;TO_TEXT(ROW()-$C$72))"),"其他業外")</f>
        <v>其他業外</v>
      </c>
      <c r="F1067" s="61" t="str">
        <f>IFERROR(__xludf.DUMMYFUNCTION("INDIRECT(""'收支紀錄'!F""&amp;TO_TEXT(ROW()-$C$72))"),"")</f>
        <v/>
      </c>
      <c r="G1067" s="61" t="str">
        <f>IFERROR(__xludf.DUMMYFUNCTION("INDIRECT(""'收支紀錄'!G""&amp;TO_TEXT(ROW()-$C$72))"),"股票配息")</f>
        <v>股票配息</v>
      </c>
      <c r="H1067" s="61" t="str">
        <f>IFERROR(__xludf.DUMMYFUNCTION("INDIRECT(""'收支紀錄'!H""&amp;TO_TEXT(ROW()-$C$72))"),"")</f>
        <v/>
      </c>
      <c r="I1067" s="61" t="str">
        <f>IFERROR(__xludf.DUMMYFUNCTION("INDIRECT(""'收支紀錄'!I""&amp;TO_TEXT(ROW()-$C$72))"),"")</f>
        <v/>
      </c>
      <c r="J1067" s="61" t="str">
        <f>IFERROR(__xludf.DUMMYFUNCTION("INDIRECT(""'收支紀錄'!J""&amp;TO_TEXT(ROW()-$C$72))"),"")</f>
        <v/>
      </c>
      <c r="K1067" s="61" t="str">
        <f>IFERROR(__xludf.DUMMYFUNCTION("INDIRECT(""'收支紀錄'!K""&amp;TO_TEXT(ROW()-$C$72))"),"")</f>
        <v/>
      </c>
      <c r="L1067" s="61" t="str">
        <f>IFERROR(__xludf.DUMMYFUNCTION("INDIRECT(""'收支紀錄'!L""&amp;TO_TEXT(ROW()-$C$72))"),"")</f>
        <v/>
      </c>
      <c r="M1067" s="61" t="str">
        <f>IFERROR(__xludf.DUMMYFUNCTION("INDIRECT(""'收支紀錄'!M""&amp;TO_TEXT(ROW()-$C$72))"),"")</f>
        <v/>
      </c>
      <c r="N1067" s="61" t="str">
        <f>IFERROR(__xludf.DUMMYFUNCTION("INDIRECT(""'收支紀錄'!N""&amp;TO_TEXT(ROW()-$C$72))"),"")</f>
        <v/>
      </c>
      <c r="O1067" s="61" t="str">
        <f>IFERROR(__xludf.DUMMYFUNCTION("INDIRECT(""'收支紀錄'!O""&amp;TO_TEXT(ROW()-$C$72))"),"")</f>
        <v/>
      </c>
      <c r="P1067" s="61" t="str">
        <f>IFERROR(__xludf.DUMMYFUNCTION("INDIRECT(""'收支紀錄'!P""&amp;TO_TEXT(ROW()-$C$72))"),"")</f>
        <v/>
      </c>
      <c r="Q1067" s="61" t="str">
        <f>IFERROR(__xludf.DUMMYFUNCTION("INDIRECT(""'收支紀錄'!Q""&amp;TO_TEXT(ROW()-$C$72))"),"")</f>
        <v/>
      </c>
      <c r="R1067" s="61" t="str">
        <f>IFERROR(__xludf.DUMMYFUNCTION("INDIRECT(""'收支紀錄'!R""&amp;TO_TEXT(ROW()-$C$72))"),"")</f>
        <v/>
      </c>
      <c r="S1067" s="61" t="str">
        <f>IFERROR(__xludf.DUMMYFUNCTION("INDIRECT(""'收支紀錄'!S""&amp;TO_TEXT(ROW()-$C$72))"),"元大A級")</f>
        <v>元大A級</v>
      </c>
      <c r="T1067" s="61" t="str">
        <f>IFERROR(__xludf.DUMMYFUNCTION("INDIRECT(""'收支紀錄'!T""&amp;TO_TEXT(ROW()-$C$72))"),"是")</f>
        <v>是</v>
      </c>
      <c r="U1067" s="62" t="str">
        <f>IFERROR(__xludf.DUMMYFUNCTION("IF(T1067=""是"",TEXTJOIN("""", TRUE, ""$"", TO_TEXT(C1067), S1067),"""")"),"$6960元大A級")</f>
        <v>$6960元大A級</v>
      </c>
    </row>
    <row r="1068">
      <c r="A1068" s="58">
        <f>IFERROR(__xludf.DUMMYFUNCTION("INDIRECT(""'收支紀錄'!A""&amp;TO_TEXT(ROW()-$C$72))"),45876.92521747685)</f>
        <v>45876.92522</v>
      </c>
      <c r="B1068" s="59">
        <f>IFERROR(__xludf.DUMMYFUNCTION("IF(ISBLANK(D1068), """", IF(ISDATE(D1068), D1068, IF(D1068=""今天"", A1068, IF(D1068=""昨天 (-1 day)"", A1068-1, IF(D1068=""前天 (-2 days)"", A1068-2, IF(D1068=""明天 (+1 day)"", A1068+1, DATE(LEFT(D1068,4), MID(D1068,5,2), RIGHT(D1068,2))))))))"),45849.0)</f>
        <v>45849</v>
      </c>
      <c r="C1068" s="60">
        <f>IFERROR(__xludf.DUMMYFUNCTION("INDIRECT(""'收支紀錄'!C""&amp;TO_TEXT(ROW()-$C$72))"),2622.0)</f>
        <v>2622</v>
      </c>
      <c r="D1068" s="63">
        <f>IFERROR(__xludf.DUMMYFUNCTION("INDIRECT(""'收支紀錄'!D""&amp;TO_TEXT(ROW()-$C$72))"),2.0250711E7)</f>
        <v>20250711</v>
      </c>
      <c r="E1068" s="61" t="str">
        <f>IFERROR(__xludf.DUMMYFUNCTION("INDIRECT(""'收支紀錄'!E""&amp;TO_TEXT(ROW()-$C$72))"),"其他業外")</f>
        <v>其他業外</v>
      </c>
      <c r="F1068" s="61" t="str">
        <f>IFERROR(__xludf.DUMMYFUNCTION("INDIRECT(""'收支紀錄'!F""&amp;TO_TEXT(ROW()-$C$72))"),"")</f>
        <v/>
      </c>
      <c r="G1068" s="61" t="str">
        <f>IFERROR(__xludf.DUMMYFUNCTION("INDIRECT(""'收支紀錄'!G""&amp;TO_TEXT(ROW()-$C$72))"),"股票配息")</f>
        <v>股票配息</v>
      </c>
      <c r="H1068" s="61" t="str">
        <f>IFERROR(__xludf.DUMMYFUNCTION("INDIRECT(""'收支紀錄'!H""&amp;TO_TEXT(ROW()-$C$72))"),"")</f>
        <v/>
      </c>
      <c r="I1068" s="61" t="str">
        <f>IFERROR(__xludf.DUMMYFUNCTION("INDIRECT(""'收支紀錄'!I""&amp;TO_TEXT(ROW()-$C$72))"),"")</f>
        <v/>
      </c>
      <c r="J1068" s="61" t="str">
        <f>IFERROR(__xludf.DUMMYFUNCTION("INDIRECT(""'收支紀錄'!J""&amp;TO_TEXT(ROW()-$C$72))"),"")</f>
        <v/>
      </c>
      <c r="K1068" s="61" t="str">
        <f>IFERROR(__xludf.DUMMYFUNCTION("INDIRECT(""'收支紀錄'!K""&amp;TO_TEXT(ROW()-$C$72))"),"")</f>
        <v/>
      </c>
      <c r="L1068" s="61" t="str">
        <f>IFERROR(__xludf.DUMMYFUNCTION("INDIRECT(""'收支紀錄'!L""&amp;TO_TEXT(ROW()-$C$72))"),"")</f>
        <v/>
      </c>
      <c r="M1068" s="61" t="str">
        <f>IFERROR(__xludf.DUMMYFUNCTION("INDIRECT(""'收支紀錄'!M""&amp;TO_TEXT(ROW()-$C$72))"),"")</f>
        <v/>
      </c>
      <c r="N1068" s="61" t="str">
        <f>IFERROR(__xludf.DUMMYFUNCTION("INDIRECT(""'收支紀錄'!N""&amp;TO_TEXT(ROW()-$C$72))"),"")</f>
        <v/>
      </c>
      <c r="O1068" s="61" t="str">
        <f>IFERROR(__xludf.DUMMYFUNCTION("INDIRECT(""'收支紀錄'!O""&amp;TO_TEXT(ROW()-$C$72))"),"")</f>
        <v/>
      </c>
      <c r="P1068" s="61" t="str">
        <f>IFERROR(__xludf.DUMMYFUNCTION("INDIRECT(""'收支紀錄'!P""&amp;TO_TEXT(ROW()-$C$72))"),"")</f>
        <v/>
      </c>
      <c r="Q1068" s="61" t="str">
        <f>IFERROR(__xludf.DUMMYFUNCTION("INDIRECT(""'收支紀錄'!Q""&amp;TO_TEXT(ROW()-$C$72))"),"")</f>
        <v/>
      </c>
      <c r="R1068" s="61" t="str">
        <f>IFERROR(__xludf.DUMMYFUNCTION("INDIRECT(""'收支紀錄'!R""&amp;TO_TEXT(ROW()-$C$72))"),"")</f>
        <v/>
      </c>
      <c r="S1068" s="61" t="str">
        <f>IFERROR(__xludf.DUMMYFUNCTION("INDIRECT(""'收支紀錄'!S""&amp;TO_TEXT(ROW()-$C$72))"),"中信優息")</f>
        <v>中信優息</v>
      </c>
      <c r="T1068" s="61" t="str">
        <f>IFERROR(__xludf.DUMMYFUNCTION("INDIRECT(""'收支紀錄'!T""&amp;TO_TEXT(ROW()-$C$72))"),"是")</f>
        <v>是</v>
      </c>
      <c r="U1068" s="62" t="str">
        <f>IFERROR(__xludf.DUMMYFUNCTION("IF(T1068=""是"",TEXTJOIN("""", TRUE, ""$"", TO_TEXT(C1068), S1068),"""")"),"$2622中信優息")</f>
        <v>$2622中信優息</v>
      </c>
    </row>
    <row r="1069">
      <c r="A1069" s="58">
        <f>IFERROR(__xludf.DUMMYFUNCTION("INDIRECT(""'收支紀錄'!A""&amp;TO_TEXT(ROW()-$C$72))"),45876.925711585645)</f>
        <v>45876.92571</v>
      </c>
      <c r="B1069" s="59">
        <f>IFERROR(__xludf.DUMMYFUNCTION("IF(ISBLANK(D1069), """", IF(ISDATE(D1069), D1069, IF(D1069=""今天"", A1069, IF(D1069=""昨天 (-1 day)"", A1069-1, IF(D1069=""前天 (-2 days)"", A1069-2, IF(D1069=""明天 (+1 day)"", A1069+1, DATE(LEFT(D1069,4), MID(D1069,5,2), RIGHT(D1069,2))))))))"),45856.0)</f>
        <v>45856</v>
      </c>
      <c r="C1069" s="60">
        <f>IFERROR(__xludf.DUMMYFUNCTION("INDIRECT(""'收支紀錄'!C""&amp;TO_TEXT(ROW()-$C$72))"),3790.0)</f>
        <v>3790</v>
      </c>
      <c r="D1069" s="63">
        <f>IFERROR(__xludf.DUMMYFUNCTION("INDIRECT(""'收支紀錄'!D""&amp;TO_TEXT(ROW()-$C$72))"),2.0250718E7)</f>
        <v>20250718</v>
      </c>
      <c r="E1069" s="61" t="str">
        <f>IFERROR(__xludf.DUMMYFUNCTION("INDIRECT(""'收支紀錄'!E""&amp;TO_TEXT(ROW()-$C$72))"),"其他業外")</f>
        <v>其他業外</v>
      </c>
      <c r="F1069" s="61" t="str">
        <f>IFERROR(__xludf.DUMMYFUNCTION("INDIRECT(""'收支紀錄'!F""&amp;TO_TEXT(ROW()-$C$72))"),"")</f>
        <v/>
      </c>
      <c r="G1069" s="61" t="str">
        <f>IFERROR(__xludf.DUMMYFUNCTION("INDIRECT(""'收支紀錄'!G""&amp;TO_TEXT(ROW()-$C$72))"),"股票配息")</f>
        <v>股票配息</v>
      </c>
      <c r="H1069" s="61" t="str">
        <f>IFERROR(__xludf.DUMMYFUNCTION("INDIRECT(""'收支紀錄'!H""&amp;TO_TEXT(ROW()-$C$72))"),"")</f>
        <v/>
      </c>
      <c r="I1069" s="61" t="str">
        <f>IFERROR(__xludf.DUMMYFUNCTION("INDIRECT(""'收支紀錄'!I""&amp;TO_TEXT(ROW()-$C$72))"),"")</f>
        <v/>
      </c>
      <c r="J1069" s="61" t="str">
        <f>IFERROR(__xludf.DUMMYFUNCTION("INDIRECT(""'收支紀錄'!J""&amp;TO_TEXT(ROW()-$C$72))"),"")</f>
        <v/>
      </c>
      <c r="K1069" s="61" t="str">
        <f>IFERROR(__xludf.DUMMYFUNCTION("INDIRECT(""'收支紀錄'!K""&amp;TO_TEXT(ROW()-$C$72))"),"")</f>
        <v/>
      </c>
      <c r="L1069" s="61" t="str">
        <f>IFERROR(__xludf.DUMMYFUNCTION("INDIRECT(""'收支紀錄'!L""&amp;TO_TEXT(ROW()-$C$72))"),"")</f>
        <v/>
      </c>
      <c r="M1069" s="61" t="str">
        <f>IFERROR(__xludf.DUMMYFUNCTION("INDIRECT(""'收支紀錄'!M""&amp;TO_TEXT(ROW()-$C$72))"),"")</f>
        <v/>
      </c>
      <c r="N1069" s="61" t="str">
        <f>IFERROR(__xludf.DUMMYFUNCTION("INDIRECT(""'收支紀錄'!N""&amp;TO_TEXT(ROW()-$C$72))"),"")</f>
        <v/>
      </c>
      <c r="O1069" s="61" t="str">
        <f>IFERROR(__xludf.DUMMYFUNCTION("INDIRECT(""'收支紀錄'!O""&amp;TO_TEXT(ROW()-$C$72))"),"")</f>
        <v/>
      </c>
      <c r="P1069" s="61" t="str">
        <f>IFERROR(__xludf.DUMMYFUNCTION("INDIRECT(""'收支紀錄'!P""&amp;TO_TEXT(ROW()-$C$72))"),"")</f>
        <v/>
      </c>
      <c r="Q1069" s="61" t="str">
        <f>IFERROR(__xludf.DUMMYFUNCTION("INDIRECT(""'收支紀錄'!Q""&amp;TO_TEXT(ROW()-$C$72))"),"")</f>
        <v/>
      </c>
      <c r="R1069" s="61" t="str">
        <f>IFERROR(__xludf.DUMMYFUNCTION("INDIRECT(""'收支紀錄'!R""&amp;TO_TEXT(ROW()-$C$72))"),"")</f>
        <v/>
      </c>
      <c r="S1069" s="61" t="str">
        <f>IFERROR(__xludf.DUMMYFUNCTION("INDIRECT(""'收支紀錄'!S""&amp;TO_TEXT(ROW()-$C$72))"),"中再保")</f>
        <v>中再保</v>
      </c>
      <c r="T1069" s="61" t="str">
        <f>IFERROR(__xludf.DUMMYFUNCTION("INDIRECT(""'收支紀錄'!T""&amp;TO_TEXT(ROW()-$C$72))"),"是")</f>
        <v>是</v>
      </c>
      <c r="U1069" s="62" t="str">
        <f>IFERROR(__xludf.DUMMYFUNCTION("IF(T1069=""是"",TEXTJOIN("""", TRUE, ""$"", TO_TEXT(C1069), S1069),"""")"),"$3790中再保")</f>
        <v>$3790中再保</v>
      </c>
    </row>
    <row r="1070">
      <c r="A1070" s="58">
        <f>IFERROR(__xludf.DUMMYFUNCTION("INDIRECT(""'收支紀錄'!A""&amp;TO_TEXT(ROW()-$C$72))"),45876.92624458333)</f>
        <v>45876.92624</v>
      </c>
      <c r="B1070" s="59">
        <f>IFERROR(__xludf.DUMMYFUNCTION("IF(ISBLANK(D1070), """", IF(ISDATE(D1070), D1070, IF(D1070=""今天"", A1070, IF(D1070=""昨天 (-1 day)"", A1070-1, IF(D1070=""前天 (-2 days)"", A1070-2, IF(D1070=""明天 (+1 day)"", A1070+1, DATE(LEFT(D1070,4), MID(D1070,5,2), RIGHT(D1070,2))))))))"),45861.0)</f>
        <v>45861</v>
      </c>
      <c r="C1070" s="60">
        <f>IFERROR(__xludf.DUMMYFUNCTION("INDIRECT(""'收支紀錄'!C""&amp;TO_TEXT(ROW()-$C$72))"),1540.0)</f>
        <v>1540</v>
      </c>
      <c r="D1070" s="63">
        <f>IFERROR(__xludf.DUMMYFUNCTION("INDIRECT(""'收支紀錄'!D""&amp;TO_TEXT(ROW()-$C$72))"),2.0250723E7)</f>
        <v>20250723</v>
      </c>
      <c r="E1070" s="61" t="str">
        <f>IFERROR(__xludf.DUMMYFUNCTION("INDIRECT(""'收支紀錄'!E""&amp;TO_TEXT(ROW()-$C$72))"),"其他業外")</f>
        <v>其他業外</v>
      </c>
      <c r="F1070" s="61" t="str">
        <f>IFERROR(__xludf.DUMMYFUNCTION("INDIRECT(""'收支紀錄'!F""&amp;TO_TEXT(ROW()-$C$72))"),"")</f>
        <v/>
      </c>
      <c r="G1070" s="61" t="str">
        <f>IFERROR(__xludf.DUMMYFUNCTION("INDIRECT(""'收支紀錄'!G""&amp;TO_TEXT(ROW()-$C$72))"),"股票配息")</f>
        <v>股票配息</v>
      </c>
      <c r="H1070" s="61" t="str">
        <f>IFERROR(__xludf.DUMMYFUNCTION("INDIRECT(""'收支紀錄'!H""&amp;TO_TEXT(ROW()-$C$72))"),"")</f>
        <v/>
      </c>
      <c r="I1070" s="61" t="str">
        <f>IFERROR(__xludf.DUMMYFUNCTION("INDIRECT(""'收支紀錄'!I""&amp;TO_TEXT(ROW()-$C$72))"),"")</f>
        <v/>
      </c>
      <c r="J1070" s="61" t="str">
        <f>IFERROR(__xludf.DUMMYFUNCTION("INDIRECT(""'收支紀錄'!J""&amp;TO_TEXT(ROW()-$C$72))"),"")</f>
        <v/>
      </c>
      <c r="K1070" s="61" t="str">
        <f>IFERROR(__xludf.DUMMYFUNCTION("INDIRECT(""'收支紀錄'!K""&amp;TO_TEXT(ROW()-$C$72))"),"")</f>
        <v/>
      </c>
      <c r="L1070" s="61" t="str">
        <f>IFERROR(__xludf.DUMMYFUNCTION("INDIRECT(""'收支紀錄'!L""&amp;TO_TEXT(ROW()-$C$72))"),"")</f>
        <v/>
      </c>
      <c r="M1070" s="61" t="str">
        <f>IFERROR(__xludf.DUMMYFUNCTION("INDIRECT(""'收支紀錄'!M""&amp;TO_TEXT(ROW()-$C$72))"),"")</f>
        <v/>
      </c>
      <c r="N1070" s="61" t="str">
        <f>IFERROR(__xludf.DUMMYFUNCTION("INDIRECT(""'收支紀錄'!N""&amp;TO_TEXT(ROW()-$C$72))"),"")</f>
        <v/>
      </c>
      <c r="O1070" s="61" t="str">
        <f>IFERROR(__xludf.DUMMYFUNCTION("INDIRECT(""'收支紀錄'!O""&amp;TO_TEXT(ROW()-$C$72))"),"")</f>
        <v/>
      </c>
      <c r="P1070" s="61" t="str">
        <f>IFERROR(__xludf.DUMMYFUNCTION("INDIRECT(""'收支紀錄'!P""&amp;TO_TEXT(ROW()-$C$72))"),"")</f>
        <v/>
      </c>
      <c r="Q1070" s="61" t="str">
        <f>IFERROR(__xludf.DUMMYFUNCTION("INDIRECT(""'收支紀錄'!Q""&amp;TO_TEXT(ROW()-$C$72))"),"")</f>
        <v/>
      </c>
      <c r="R1070" s="61" t="str">
        <f>IFERROR(__xludf.DUMMYFUNCTION("INDIRECT(""'收支紀錄'!R""&amp;TO_TEXT(ROW()-$C$72))"),"")</f>
        <v/>
      </c>
      <c r="S1070" s="61" t="str">
        <f>IFERROR(__xludf.DUMMYFUNCTION("INDIRECT(""'收支紀錄'!S""&amp;TO_TEXT(ROW()-$C$72))"),"元大金")</f>
        <v>元大金</v>
      </c>
      <c r="T1070" s="61" t="str">
        <f>IFERROR(__xludf.DUMMYFUNCTION("INDIRECT(""'收支紀錄'!T""&amp;TO_TEXT(ROW()-$C$72))"),"是")</f>
        <v>是</v>
      </c>
      <c r="U1070" s="62" t="str">
        <f>IFERROR(__xludf.DUMMYFUNCTION("IF(T1070=""是"",TEXTJOIN("""", TRUE, ""$"", TO_TEXT(C1070), S1070),"""")"),"$1540元大金")</f>
        <v>$1540元大金</v>
      </c>
    </row>
    <row r="1071">
      <c r="A1071" s="58">
        <f>IFERROR(__xludf.DUMMYFUNCTION("INDIRECT(""'收支紀錄'!A""&amp;TO_TEXT(ROW()-$C$72))"),45876.92666064815)</f>
        <v>45876.92666</v>
      </c>
      <c r="B1071" s="59">
        <f>IFERROR(__xludf.DUMMYFUNCTION("IF(ISBLANK(D1071), """", IF(ISDATE(D1071), D1071, IF(D1071=""今天"", A1071, IF(D1071=""昨天 (-1 day)"", A1071-1, IF(D1071=""前天 (-2 days)"", A1071-2, IF(D1071=""明天 (+1 day)"", A1071+1, DATE(LEFT(D1071,4), MID(D1071,5,2), RIGHT(D1071,2))))))))"),45860.0)</f>
        <v>45860</v>
      </c>
      <c r="C1071" s="60">
        <f>IFERROR(__xludf.DUMMYFUNCTION("INDIRECT(""'收支紀錄'!C""&amp;TO_TEXT(ROW()-$C$72))"),4040.0)</f>
        <v>4040</v>
      </c>
      <c r="D1071" s="63">
        <f>IFERROR(__xludf.DUMMYFUNCTION("INDIRECT(""'收支紀錄'!D""&amp;TO_TEXT(ROW()-$C$72))"),2.0250722E7)</f>
        <v>20250722</v>
      </c>
      <c r="E1071" s="61" t="str">
        <f>IFERROR(__xludf.DUMMYFUNCTION("INDIRECT(""'收支紀錄'!E""&amp;TO_TEXT(ROW()-$C$72))"),"其他業外")</f>
        <v>其他業外</v>
      </c>
      <c r="F1071" s="61" t="str">
        <f>IFERROR(__xludf.DUMMYFUNCTION("INDIRECT(""'收支紀錄'!F""&amp;TO_TEXT(ROW()-$C$72))"),"")</f>
        <v/>
      </c>
      <c r="G1071" s="61" t="str">
        <f>IFERROR(__xludf.DUMMYFUNCTION("INDIRECT(""'收支紀錄'!G""&amp;TO_TEXT(ROW()-$C$72))"),"股票配息")</f>
        <v>股票配息</v>
      </c>
      <c r="H1071" s="61" t="str">
        <f>IFERROR(__xludf.DUMMYFUNCTION("INDIRECT(""'收支紀錄'!H""&amp;TO_TEXT(ROW()-$C$72))"),"")</f>
        <v/>
      </c>
      <c r="I1071" s="61" t="str">
        <f>IFERROR(__xludf.DUMMYFUNCTION("INDIRECT(""'收支紀錄'!I""&amp;TO_TEXT(ROW()-$C$72))"),"")</f>
        <v/>
      </c>
      <c r="J1071" s="61" t="str">
        <f>IFERROR(__xludf.DUMMYFUNCTION("INDIRECT(""'收支紀錄'!J""&amp;TO_TEXT(ROW()-$C$72))"),"")</f>
        <v/>
      </c>
      <c r="K1071" s="61" t="str">
        <f>IFERROR(__xludf.DUMMYFUNCTION("INDIRECT(""'收支紀錄'!K""&amp;TO_TEXT(ROW()-$C$72))"),"")</f>
        <v/>
      </c>
      <c r="L1071" s="61" t="str">
        <f>IFERROR(__xludf.DUMMYFUNCTION("INDIRECT(""'收支紀錄'!L""&amp;TO_TEXT(ROW()-$C$72))"),"")</f>
        <v/>
      </c>
      <c r="M1071" s="61" t="str">
        <f>IFERROR(__xludf.DUMMYFUNCTION("INDIRECT(""'收支紀錄'!M""&amp;TO_TEXT(ROW()-$C$72))"),"")</f>
        <v/>
      </c>
      <c r="N1071" s="61" t="str">
        <f>IFERROR(__xludf.DUMMYFUNCTION("INDIRECT(""'收支紀錄'!N""&amp;TO_TEXT(ROW()-$C$72))"),"")</f>
        <v/>
      </c>
      <c r="O1071" s="61" t="str">
        <f>IFERROR(__xludf.DUMMYFUNCTION("INDIRECT(""'收支紀錄'!O""&amp;TO_TEXT(ROW()-$C$72))"),"")</f>
        <v/>
      </c>
      <c r="P1071" s="61" t="str">
        <f>IFERROR(__xludf.DUMMYFUNCTION("INDIRECT(""'收支紀錄'!P""&amp;TO_TEXT(ROW()-$C$72))"),"")</f>
        <v/>
      </c>
      <c r="Q1071" s="61" t="str">
        <f>IFERROR(__xludf.DUMMYFUNCTION("INDIRECT(""'收支紀錄'!Q""&amp;TO_TEXT(ROW()-$C$72))"),"")</f>
        <v/>
      </c>
      <c r="R1071" s="61" t="str">
        <f>IFERROR(__xludf.DUMMYFUNCTION("INDIRECT(""'收支紀錄'!R""&amp;TO_TEXT(ROW()-$C$72))"),"")</f>
        <v/>
      </c>
      <c r="S1071" s="61" t="str">
        <f>IFERROR(__xludf.DUMMYFUNCTION("INDIRECT(""'收支紀錄'!S""&amp;TO_TEXT(ROW()-$C$72))"),"遠百")</f>
        <v>遠百</v>
      </c>
      <c r="T1071" s="61" t="str">
        <f>IFERROR(__xludf.DUMMYFUNCTION("INDIRECT(""'收支紀錄'!T""&amp;TO_TEXT(ROW()-$C$72))"),"是")</f>
        <v>是</v>
      </c>
      <c r="U1071" s="62" t="str">
        <f>IFERROR(__xludf.DUMMYFUNCTION("IF(T1071=""是"",TEXTJOIN("""", TRUE, ""$"", TO_TEXT(C1071), S1071),"""")"),"$4040遠百")</f>
        <v>$4040遠百</v>
      </c>
    </row>
    <row r="1072">
      <c r="A1072" s="58">
        <f>IFERROR(__xludf.DUMMYFUNCTION("INDIRECT(""'收支紀錄'!A""&amp;TO_TEXT(ROW()-$C$72))"),45876.927136122686)</f>
        <v>45876.92714</v>
      </c>
      <c r="B1072" s="59">
        <f>IFERROR(__xludf.DUMMYFUNCTION("IF(ISBLANK(D1072), """", IF(ISDATE(D1072), D1072, IF(D1072=""今天"", A1072, IF(D1072=""昨天 (-1 day)"", A1072-1, IF(D1072=""前天 (-2 days)"", A1072-2, IF(D1072=""明天 (+1 day)"", A1072+1, DATE(LEFT(D1072,4), MID(D1072,5,2), RIGHT(D1072,2))))))))"),45863.0)</f>
        <v>45863</v>
      </c>
      <c r="C1072" s="60">
        <f>IFERROR(__xludf.DUMMYFUNCTION("INDIRECT(""'收支紀錄'!C""&amp;TO_TEXT(ROW()-$C$72))"),890.0)</f>
        <v>890</v>
      </c>
      <c r="D1072" s="63">
        <f>IFERROR(__xludf.DUMMYFUNCTION("INDIRECT(""'收支紀錄'!D""&amp;TO_TEXT(ROW()-$C$72))"),2.0250725E7)</f>
        <v>20250725</v>
      </c>
      <c r="E1072" s="61" t="str">
        <f>IFERROR(__xludf.DUMMYFUNCTION("INDIRECT(""'收支紀錄'!E""&amp;TO_TEXT(ROW()-$C$72))"),"其他業外")</f>
        <v>其他業外</v>
      </c>
      <c r="F1072" s="61" t="str">
        <f>IFERROR(__xludf.DUMMYFUNCTION("INDIRECT(""'收支紀錄'!F""&amp;TO_TEXT(ROW()-$C$72))"),"")</f>
        <v/>
      </c>
      <c r="G1072" s="61" t="str">
        <f>IFERROR(__xludf.DUMMYFUNCTION("INDIRECT(""'收支紀錄'!G""&amp;TO_TEXT(ROW()-$C$72))"),"股票配息")</f>
        <v>股票配息</v>
      </c>
      <c r="H1072" s="61" t="str">
        <f>IFERROR(__xludf.DUMMYFUNCTION("INDIRECT(""'收支紀錄'!H""&amp;TO_TEXT(ROW()-$C$72))"),"")</f>
        <v/>
      </c>
      <c r="I1072" s="61" t="str">
        <f>IFERROR(__xludf.DUMMYFUNCTION("INDIRECT(""'收支紀錄'!I""&amp;TO_TEXT(ROW()-$C$72))"),"")</f>
        <v/>
      </c>
      <c r="J1072" s="61" t="str">
        <f>IFERROR(__xludf.DUMMYFUNCTION("INDIRECT(""'收支紀錄'!J""&amp;TO_TEXT(ROW()-$C$72))"),"")</f>
        <v/>
      </c>
      <c r="K1072" s="61" t="str">
        <f>IFERROR(__xludf.DUMMYFUNCTION("INDIRECT(""'收支紀錄'!K""&amp;TO_TEXT(ROW()-$C$72))"),"")</f>
        <v/>
      </c>
      <c r="L1072" s="61" t="str">
        <f>IFERROR(__xludf.DUMMYFUNCTION("INDIRECT(""'收支紀錄'!L""&amp;TO_TEXT(ROW()-$C$72))"),"")</f>
        <v/>
      </c>
      <c r="M1072" s="61" t="str">
        <f>IFERROR(__xludf.DUMMYFUNCTION("INDIRECT(""'收支紀錄'!M""&amp;TO_TEXT(ROW()-$C$72))"),"")</f>
        <v/>
      </c>
      <c r="N1072" s="61" t="str">
        <f>IFERROR(__xludf.DUMMYFUNCTION("INDIRECT(""'收支紀錄'!N""&amp;TO_TEXT(ROW()-$C$72))"),"")</f>
        <v/>
      </c>
      <c r="O1072" s="61" t="str">
        <f>IFERROR(__xludf.DUMMYFUNCTION("INDIRECT(""'收支紀錄'!O""&amp;TO_TEXT(ROW()-$C$72))"),"")</f>
        <v/>
      </c>
      <c r="P1072" s="61" t="str">
        <f>IFERROR(__xludf.DUMMYFUNCTION("INDIRECT(""'收支紀錄'!P""&amp;TO_TEXT(ROW()-$C$72))"),"")</f>
        <v/>
      </c>
      <c r="Q1072" s="61" t="str">
        <f>IFERROR(__xludf.DUMMYFUNCTION("INDIRECT(""'收支紀錄'!Q""&amp;TO_TEXT(ROW()-$C$72))"),"")</f>
        <v/>
      </c>
      <c r="R1072" s="61" t="str">
        <f>IFERROR(__xludf.DUMMYFUNCTION("INDIRECT(""'收支紀錄'!R""&amp;TO_TEXT(ROW()-$C$72))"),"")</f>
        <v/>
      </c>
      <c r="S1072" s="61" t="str">
        <f>IFERROR(__xludf.DUMMYFUNCTION("INDIRECT(""'收支紀錄'!S""&amp;TO_TEXT(ROW()-$C$72))"),"正隆")</f>
        <v>正隆</v>
      </c>
      <c r="T1072" s="61" t="str">
        <f>IFERROR(__xludf.DUMMYFUNCTION("INDIRECT(""'收支紀錄'!T""&amp;TO_TEXT(ROW()-$C$72))"),"是")</f>
        <v>是</v>
      </c>
      <c r="U1072" s="62" t="str">
        <f>IFERROR(__xludf.DUMMYFUNCTION("IF(T1072=""是"",TEXTJOIN("""", TRUE, ""$"", TO_TEXT(C1072), S1072),"""")"),"$890正隆")</f>
        <v>$890正隆</v>
      </c>
    </row>
    <row r="1073">
      <c r="A1073" s="58">
        <f>IFERROR(__xludf.DUMMYFUNCTION("INDIRECT(""'收支紀錄'!A""&amp;TO_TEXT(ROW()-$C$72))"),45876.92753652778)</f>
        <v>45876.92754</v>
      </c>
      <c r="B1073" s="59">
        <f>IFERROR(__xludf.DUMMYFUNCTION("IF(ISBLANK(D1073), """", IF(ISDATE(D1073), D1073, IF(D1073=""今天"", A1073, IF(D1073=""昨天 (-1 day)"", A1073-1, IF(D1073=""前天 (-2 days)"", A1073-2, IF(D1073=""明天 (+1 day)"", A1073+1, DATE(LEFT(D1073,4), MID(D1073,5,2), RIGHT(D1073,2))))))))"),45868.0)</f>
        <v>45868</v>
      </c>
      <c r="C1073" s="60">
        <f>IFERROR(__xludf.DUMMYFUNCTION("INDIRECT(""'收支紀錄'!C""&amp;TO_TEXT(ROW()-$C$72))"),1690.0)</f>
        <v>1690</v>
      </c>
      <c r="D1073" s="63">
        <f>IFERROR(__xludf.DUMMYFUNCTION("INDIRECT(""'收支紀錄'!D""&amp;TO_TEXT(ROW()-$C$72))"),2.025073E7)</f>
        <v>20250730</v>
      </c>
      <c r="E1073" s="61" t="str">
        <f>IFERROR(__xludf.DUMMYFUNCTION("INDIRECT(""'收支紀錄'!E""&amp;TO_TEXT(ROW()-$C$72))"),"其他業外")</f>
        <v>其他業外</v>
      </c>
      <c r="F1073" s="61" t="str">
        <f>IFERROR(__xludf.DUMMYFUNCTION("INDIRECT(""'收支紀錄'!F""&amp;TO_TEXT(ROW()-$C$72))"),"")</f>
        <v/>
      </c>
      <c r="G1073" s="61" t="str">
        <f>IFERROR(__xludf.DUMMYFUNCTION("INDIRECT(""'收支紀錄'!G""&amp;TO_TEXT(ROW()-$C$72))"),"股票配息")</f>
        <v>股票配息</v>
      </c>
      <c r="H1073" s="61" t="str">
        <f>IFERROR(__xludf.DUMMYFUNCTION("INDIRECT(""'收支紀錄'!H""&amp;TO_TEXT(ROW()-$C$72))"),"")</f>
        <v/>
      </c>
      <c r="I1073" s="61" t="str">
        <f>IFERROR(__xludf.DUMMYFUNCTION("INDIRECT(""'收支紀錄'!I""&amp;TO_TEXT(ROW()-$C$72))"),"")</f>
        <v/>
      </c>
      <c r="J1073" s="61" t="str">
        <f>IFERROR(__xludf.DUMMYFUNCTION("INDIRECT(""'收支紀錄'!J""&amp;TO_TEXT(ROW()-$C$72))"),"")</f>
        <v/>
      </c>
      <c r="K1073" s="61" t="str">
        <f>IFERROR(__xludf.DUMMYFUNCTION("INDIRECT(""'收支紀錄'!K""&amp;TO_TEXT(ROW()-$C$72))"),"")</f>
        <v/>
      </c>
      <c r="L1073" s="61" t="str">
        <f>IFERROR(__xludf.DUMMYFUNCTION("INDIRECT(""'收支紀錄'!L""&amp;TO_TEXT(ROW()-$C$72))"),"")</f>
        <v/>
      </c>
      <c r="M1073" s="61" t="str">
        <f>IFERROR(__xludf.DUMMYFUNCTION("INDIRECT(""'收支紀錄'!M""&amp;TO_TEXT(ROW()-$C$72))"),"")</f>
        <v/>
      </c>
      <c r="N1073" s="61" t="str">
        <f>IFERROR(__xludf.DUMMYFUNCTION("INDIRECT(""'收支紀錄'!N""&amp;TO_TEXT(ROW()-$C$72))"),"")</f>
        <v/>
      </c>
      <c r="O1073" s="61" t="str">
        <f>IFERROR(__xludf.DUMMYFUNCTION("INDIRECT(""'收支紀錄'!O""&amp;TO_TEXT(ROW()-$C$72))"),"")</f>
        <v/>
      </c>
      <c r="P1073" s="61" t="str">
        <f>IFERROR(__xludf.DUMMYFUNCTION("INDIRECT(""'收支紀錄'!P""&amp;TO_TEXT(ROW()-$C$72))"),"")</f>
        <v/>
      </c>
      <c r="Q1073" s="61" t="str">
        <f>IFERROR(__xludf.DUMMYFUNCTION("INDIRECT(""'收支紀錄'!Q""&amp;TO_TEXT(ROW()-$C$72))"),"")</f>
        <v/>
      </c>
      <c r="R1073" s="61" t="str">
        <f>IFERROR(__xludf.DUMMYFUNCTION("INDIRECT(""'收支紀錄'!R""&amp;TO_TEXT(ROW()-$C$72))"),"")</f>
        <v/>
      </c>
      <c r="S1073" s="61" t="str">
        <f>IFERROR(__xludf.DUMMYFUNCTION("INDIRECT(""'收支紀錄'!S""&amp;TO_TEXT(ROW()-$C$72))"),"凱基金")</f>
        <v>凱基金</v>
      </c>
      <c r="T1073" s="61" t="str">
        <f>IFERROR(__xludf.DUMMYFUNCTION("INDIRECT(""'收支紀錄'!T""&amp;TO_TEXT(ROW()-$C$72))"),"是")</f>
        <v>是</v>
      </c>
      <c r="U1073" s="62" t="str">
        <f>IFERROR(__xludf.DUMMYFUNCTION("IF(T1073=""是"",TEXTJOIN("""", TRUE, ""$"", TO_TEXT(C1073), S1073),"""")"),"$1690凱基金")</f>
        <v>$1690凱基金</v>
      </c>
    </row>
    <row r="1074">
      <c r="A1074" s="58">
        <f>IFERROR(__xludf.DUMMYFUNCTION("INDIRECT(""'收支紀錄'!A""&amp;TO_TEXT(ROW()-$C$72))"),45876.928805081014)</f>
        <v>45876.92881</v>
      </c>
      <c r="B1074" s="59">
        <f>IFERROR(__xludf.DUMMYFUNCTION("IF(ISBLANK(D1074), """", IF(ISDATE(D1074), D1074, IF(D1074=""今天"", A1074, IF(D1074=""昨天 (-1 day)"", A1074-1, IF(D1074=""前天 (-2 days)"", A1074-2, IF(D1074=""明天 (+1 day)"", A1074+1, DATE(LEFT(D1074,4), MID(D1074,5,2), RIGHT(D1074,2))))))))"),45869.0)</f>
        <v>45869</v>
      </c>
      <c r="C1074" s="60">
        <f>IFERROR(__xludf.DUMMYFUNCTION("INDIRECT(""'收支紀錄'!C""&amp;TO_TEXT(ROW()-$C$72))"),324.0)</f>
        <v>324</v>
      </c>
      <c r="D1074" s="63">
        <f>IFERROR(__xludf.DUMMYFUNCTION("INDIRECT(""'收支紀錄'!D""&amp;TO_TEXT(ROW()-$C$72))"),2.0250731E7)</f>
        <v>20250731</v>
      </c>
      <c r="E1074" s="61" t="str">
        <f>IFERROR(__xludf.DUMMYFUNCTION("INDIRECT(""'收支紀錄'!E""&amp;TO_TEXT(ROW()-$C$72))"),"")</f>
        <v/>
      </c>
      <c r="F1074" s="61" t="str">
        <f>IFERROR(__xludf.DUMMYFUNCTION("INDIRECT(""'收支紀錄'!F""&amp;TO_TEXT(ROW()-$C$72))"),"")</f>
        <v/>
      </c>
      <c r="G1074" s="61" t="str">
        <f>IFERROR(__xludf.DUMMYFUNCTION("INDIRECT(""'收支紀錄'!G""&amp;TO_TEXT(ROW()-$C$72))"),"")</f>
        <v/>
      </c>
      <c r="H1074" s="61" t="str">
        <f>IFERROR(__xludf.DUMMYFUNCTION("INDIRECT(""'收支紀錄'!H""&amp;TO_TEXT(ROW()-$C$72))"),"行車交通")</f>
        <v>行車交通</v>
      </c>
      <c r="I1074" s="61" t="str">
        <f>IFERROR(__xludf.DUMMYFUNCTION("INDIRECT(""'收支紀錄'!I""&amp;TO_TEXT(ROW()-$C$72))"),"")</f>
        <v/>
      </c>
      <c r="J1074" s="61" t="str">
        <f>IFERROR(__xludf.DUMMYFUNCTION("INDIRECT(""'收支紀錄'!J""&amp;TO_TEXT(ROW()-$C$72))"),"")</f>
        <v/>
      </c>
      <c r="K1074" s="61" t="str">
        <f>IFERROR(__xludf.DUMMYFUNCTION("INDIRECT(""'收支紀錄'!K""&amp;TO_TEXT(ROW()-$C$72))"),"")</f>
        <v/>
      </c>
      <c r="L1074" s="61" t="str">
        <f>IFERROR(__xludf.DUMMYFUNCTION("INDIRECT(""'收支紀錄'!L""&amp;TO_TEXT(ROW()-$C$72))"),"停車")</f>
        <v>停車</v>
      </c>
      <c r="M1074" s="61" t="str">
        <f>IFERROR(__xludf.DUMMYFUNCTION("INDIRECT(""'收支紀錄'!M""&amp;TO_TEXT(ROW()-$C$72))"),"")</f>
        <v/>
      </c>
      <c r="N1074" s="61" t="str">
        <f>IFERROR(__xludf.DUMMYFUNCTION("INDIRECT(""'收支紀錄'!N""&amp;TO_TEXT(ROW()-$C$72))"),"")</f>
        <v/>
      </c>
      <c r="O1074" s="61" t="str">
        <f>IFERROR(__xludf.DUMMYFUNCTION("INDIRECT(""'收支紀錄'!O""&amp;TO_TEXT(ROW()-$C$72))"),"")</f>
        <v/>
      </c>
      <c r="P1074" s="61" t="str">
        <f>IFERROR(__xludf.DUMMYFUNCTION("INDIRECT(""'收支紀錄'!P""&amp;TO_TEXT(ROW()-$C$72))"),"")</f>
        <v/>
      </c>
      <c r="Q1074" s="61" t="str">
        <f>IFERROR(__xludf.DUMMYFUNCTION("INDIRECT(""'收支紀錄'!Q""&amp;TO_TEXT(ROW()-$C$72))"),"")</f>
        <v/>
      </c>
      <c r="R1074" s="61" t="str">
        <f>IFERROR(__xludf.DUMMYFUNCTION("INDIRECT(""'收支紀錄'!R""&amp;TO_TEXT(ROW()-$C$72))"),"")</f>
        <v/>
      </c>
      <c r="S1074" s="61" t="str">
        <f>IFERROR(__xludf.DUMMYFUNCTION("INDIRECT(""'收支紀錄'!S""&amp;TO_TEXT(ROW()-$C$72))"),"")</f>
        <v/>
      </c>
      <c r="T1074" s="61" t="str">
        <f>IFERROR(__xludf.DUMMYFUNCTION("INDIRECT(""'收支紀錄'!T""&amp;TO_TEXT(ROW()-$C$72))"),"")</f>
        <v/>
      </c>
      <c r="U1074" s="62" t="str">
        <f>IFERROR(__xludf.DUMMYFUNCTION("IF(T1074=""是"",TEXTJOIN("""", TRUE, ""$"", TO_TEXT(C1074), S1074),"""")"),"")</f>
        <v/>
      </c>
    </row>
    <row r="1075">
      <c r="A1075" s="58">
        <f>IFERROR(__xludf.DUMMYFUNCTION("INDIRECT(""'收支紀錄'!A""&amp;TO_TEXT(ROW()-$C$72))"),45876.93082835648)</f>
        <v>45876.93083</v>
      </c>
      <c r="B1075" s="59">
        <f>IFERROR(__xludf.DUMMYFUNCTION("IF(ISBLANK(D1075), """", IF(ISDATE(D1075), D1075, IF(D1075=""今天"", A1075, IF(D1075=""昨天 (-1 day)"", A1075-1, IF(D1075=""前天 (-2 days)"", A1075-2, IF(D1075=""明天 (+1 day)"", A1075+1, DATE(LEFT(D1075,4), MID(D1075,5,2), RIGHT(D1075,2))))))))"),45859.0)</f>
        <v>45859</v>
      </c>
      <c r="C1075" s="60">
        <f>IFERROR(__xludf.DUMMYFUNCTION("INDIRECT(""'收支紀錄'!C""&amp;TO_TEXT(ROW()-$C$72))"),422.0)</f>
        <v>422</v>
      </c>
      <c r="D1075" s="63">
        <f>IFERROR(__xludf.DUMMYFUNCTION("INDIRECT(""'收支紀錄'!D""&amp;TO_TEXT(ROW()-$C$72))"),2.0250721E7)</f>
        <v>20250721</v>
      </c>
      <c r="E1075" s="61" t="str">
        <f>IFERROR(__xludf.DUMMYFUNCTION("INDIRECT(""'收支紀錄'!E""&amp;TO_TEXT(ROW()-$C$72))"),"")</f>
        <v/>
      </c>
      <c r="F1075" s="61" t="str">
        <f>IFERROR(__xludf.DUMMYFUNCTION("INDIRECT(""'收支紀錄'!F""&amp;TO_TEXT(ROW()-$C$72))"),"")</f>
        <v/>
      </c>
      <c r="G1075" s="61" t="str">
        <f>IFERROR(__xludf.DUMMYFUNCTION("INDIRECT(""'收支紀錄'!G""&amp;TO_TEXT(ROW()-$C$72))"),"")</f>
        <v/>
      </c>
      <c r="H1075" s="61" t="str">
        <f>IFERROR(__xludf.DUMMYFUNCTION("INDIRECT(""'收支紀錄'!H""&amp;TO_TEXT(ROW()-$C$72))"),"房屋支出")</f>
        <v>房屋支出</v>
      </c>
      <c r="I1075" s="61" t="str">
        <f>IFERROR(__xludf.DUMMYFUNCTION("INDIRECT(""'收支紀錄'!I""&amp;TO_TEXT(ROW()-$C$72))"),"")</f>
        <v/>
      </c>
      <c r="J1075" s="61" t="str">
        <f>IFERROR(__xludf.DUMMYFUNCTION("INDIRECT(""'收支紀錄'!J""&amp;TO_TEXT(ROW()-$C$72))"),"")</f>
        <v/>
      </c>
      <c r="K1075" s="61" t="str">
        <f>IFERROR(__xludf.DUMMYFUNCTION("INDIRECT(""'收支紀錄'!K""&amp;TO_TEXT(ROW()-$C$72))"),"瓦斯費")</f>
        <v>瓦斯費</v>
      </c>
      <c r="L1075" s="61" t="str">
        <f>IFERROR(__xludf.DUMMYFUNCTION("INDIRECT(""'收支紀錄'!L""&amp;TO_TEXT(ROW()-$C$72))"),"")</f>
        <v/>
      </c>
      <c r="M1075" s="61" t="str">
        <f>IFERROR(__xludf.DUMMYFUNCTION("INDIRECT(""'收支紀錄'!M""&amp;TO_TEXT(ROW()-$C$72))"),"")</f>
        <v/>
      </c>
      <c r="N1075" s="61" t="str">
        <f>IFERROR(__xludf.DUMMYFUNCTION("INDIRECT(""'收支紀錄'!N""&amp;TO_TEXT(ROW()-$C$72))"),"")</f>
        <v/>
      </c>
      <c r="O1075" s="61" t="str">
        <f>IFERROR(__xludf.DUMMYFUNCTION("INDIRECT(""'收支紀錄'!O""&amp;TO_TEXT(ROW()-$C$72))"),"")</f>
        <v/>
      </c>
      <c r="P1075" s="61" t="str">
        <f>IFERROR(__xludf.DUMMYFUNCTION("INDIRECT(""'收支紀錄'!P""&amp;TO_TEXT(ROW()-$C$72))"),"")</f>
        <v/>
      </c>
      <c r="Q1075" s="61" t="str">
        <f>IFERROR(__xludf.DUMMYFUNCTION("INDIRECT(""'收支紀錄'!Q""&amp;TO_TEXT(ROW()-$C$72))"),"")</f>
        <v/>
      </c>
      <c r="R1075" s="61" t="str">
        <f>IFERROR(__xludf.DUMMYFUNCTION("INDIRECT(""'收支紀錄'!R""&amp;TO_TEXT(ROW()-$C$72))"),"")</f>
        <v/>
      </c>
      <c r="S1075" s="61" t="str">
        <f>IFERROR(__xludf.DUMMYFUNCTION("INDIRECT(""'收支紀錄'!S""&amp;TO_TEXT(ROW()-$C$72))"),"")</f>
        <v/>
      </c>
      <c r="T1075" s="61" t="str">
        <f>IFERROR(__xludf.DUMMYFUNCTION("INDIRECT(""'收支紀錄'!T""&amp;TO_TEXT(ROW()-$C$72))"),"")</f>
        <v/>
      </c>
      <c r="U1075" s="62" t="str">
        <f>IFERROR(__xludf.DUMMYFUNCTION("IF(T1075=""是"",TEXTJOIN("""", TRUE, ""$"", TO_TEXT(C1075), S1075),"""")"),"")</f>
        <v/>
      </c>
    </row>
    <row r="1076">
      <c r="A1076" s="58">
        <f>IFERROR(__xludf.DUMMYFUNCTION("INDIRECT(""'收支紀錄'!A""&amp;TO_TEXT(ROW()-$C$72))"),45876.931705173614)</f>
        <v>45876.93171</v>
      </c>
      <c r="B1076" s="59">
        <f>IFERROR(__xludf.DUMMYFUNCTION("IF(ISBLANK(D1076), """", IF(ISDATE(D1076), D1076, IF(D1076=""今天"", A1076, IF(D1076=""昨天 (-1 day)"", A1076-1, IF(D1076=""前天 (-2 days)"", A1076-2, IF(D1076=""明天 (+1 day)"", A1076+1, DATE(LEFT(D1076,4), MID(D1076,5,2), RIGHT(D1076,2))))))))"),45868.0)</f>
        <v>45868</v>
      </c>
      <c r="C1076" s="60">
        <f>IFERROR(__xludf.DUMMYFUNCTION("INDIRECT(""'收支紀錄'!C""&amp;TO_TEXT(ROW()-$C$72))"),400.0)</f>
        <v>400</v>
      </c>
      <c r="D1076" s="63">
        <f>IFERROR(__xludf.DUMMYFUNCTION("INDIRECT(""'收支紀錄'!D""&amp;TO_TEXT(ROW()-$C$72))"),2.025073E7)</f>
        <v>20250730</v>
      </c>
      <c r="E1076" s="61" t="str">
        <f>IFERROR(__xludf.DUMMYFUNCTION("INDIRECT(""'收支紀錄'!E""&amp;TO_TEXT(ROW()-$C$72))"),"")</f>
        <v/>
      </c>
      <c r="F1076" s="61" t="str">
        <f>IFERROR(__xludf.DUMMYFUNCTION("INDIRECT(""'收支紀錄'!F""&amp;TO_TEXT(ROW()-$C$72))"),"")</f>
        <v/>
      </c>
      <c r="G1076" s="61" t="str">
        <f>IFERROR(__xludf.DUMMYFUNCTION("INDIRECT(""'收支紀錄'!G""&amp;TO_TEXT(ROW()-$C$72))"),"")</f>
        <v/>
      </c>
      <c r="H1076" s="61" t="str">
        <f>IFERROR(__xludf.DUMMYFUNCTION("INDIRECT(""'收支紀錄'!H""&amp;TO_TEXT(ROW()-$C$72))"),"日常生活")</f>
        <v>日常生活</v>
      </c>
      <c r="I1076" s="61" t="str">
        <f>IFERROR(__xludf.DUMMYFUNCTION("INDIRECT(""'收支紀錄'!I""&amp;TO_TEXT(ROW()-$C$72))"),"")</f>
        <v/>
      </c>
      <c r="J1076" s="61" t="str">
        <f>IFERROR(__xludf.DUMMYFUNCTION("INDIRECT(""'收支紀錄'!J""&amp;TO_TEXT(ROW()-$C$72))"),"日常用品")</f>
        <v>日常用品</v>
      </c>
      <c r="K1076" s="61" t="str">
        <f>IFERROR(__xludf.DUMMYFUNCTION("INDIRECT(""'收支紀錄'!K""&amp;TO_TEXT(ROW()-$C$72))"),"")</f>
        <v/>
      </c>
      <c r="L1076" s="61" t="str">
        <f>IFERROR(__xludf.DUMMYFUNCTION("INDIRECT(""'收支紀錄'!L""&amp;TO_TEXT(ROW()-$C$72))"),"")</f>
        <v/>
      </c>
      <c r="M1076" s="61" t="str">
        <f>IFERROR(__xludf.DUMMYFUNCTION("INDIRECT(""'收支紀錄'!M""&amp;TO_TEXT(ROW()-$C$72))"),"")</f>
        <v/>
      </c>
      <c r="N1076" s="61" t="str">
        <f>IFERROR(__xludf.DUMMYFUNCTION("INDIRECT(""'收支紀錄'!N""&amp;TO_TEXT(ROW()-$C$72))"),"")</f>
        <v/>
      </c>
      <c r="O1076" s="61" t="str">
        <f>IFERROR(__xludf.DUMMYFUNCTION("INDIRECT(""'收支紀錄'!O""&amp;TO_TEXT(ROW()-$C$72))"),"")</f>
        <v/>
      </c>
      <c r="P1076" s="61" t="str">
        <f>IFERROR(__xludf.DUMMYFUNCTION("INDIRECT(""'收支紀錄'!P""&amp;TO_TEXT(ROW()-$C$72))"),"")</f>
        <v/>
      </c>
      <c r="Q1076" s="61" t="str">
        <f>IFERROR(__xludf.DUMMYFUNCTION("INDIRECT(""'收支紀錄'!Q""&amp;TO_TEXT(ROW()-$C$72))"),"")</f>
        <v/>
      </c>
      <c r="R1076" s="61" t="str">
        <f>IFERROR(__xludf.DUMMYFUNCTION("INDIRECT(""'收支紀錄'!R""&amp;TO_TEXT(ROW()-$C$72))"),"")</f>
        <v/>
      </c>
      <c r="S1076" s="61" t="str">
        <f>IFERROR(__xludf.DUMMYFUNCTION("INDIRECT(""'收支紀錄'!S""&amp;TO_TEXT(ROW()-$C$72))"),"租屋電費")</f>
        <v>租屋電費</v>
      </c>
      <c r="T1076" s="61" t="str">
        <f>IFERROR(__xludf.DUMMYFUNCTION("INDIRECT(""'收支紀錄'!T""&amp;TO_TEXT(ROW()-$C$72))"),"")</f>
        <v/>
      </c>
      <c r="U1076" s="62" t="str">
        <f>IFERROR(__xludf.DUMMYFUNCTION("IF(T1076=""是"",TEXTJOIN("""", TRUE, ""$"", TO_TEXT(C1076), S1076),"""")"),"")</f>
        <v/>
      </c>
    </row>
    <row r="1077">
      <c r="A1077" s="58">
        <f>IFERROR(__xludf.DUMMYFUNCTION("INDIRECT(""'收支紀錄'!A""&amp;TO_TEXT(ROW()-$C$72))"),45876.9344915625)</f>
        <v>45876.93449</v>
      </c>
      <c r="B1077" s="59">
        <f>IFERROR(__xludf.DUMMYFUNCTION("IF(ISBLANK(D1077), """", IF(ISDATE(D1077), D1077, IF(D1077=""今天"", A1077, IF(D1077=""昨天 (-1 day)"", A1077-1, IF(D1077=""前天 (-2 days)"", A1077-2, IF(D1077=""明天 (+1 day)"", A1077+1, DATE(LEFT(D1077,4), MID(D1077,5,2), RIGHT(D1077,2))))))))"),45864.0)</f>
        <v>45864</v>
      </c>
      <c r="C1077" s="60">
        <f>IFERROR(__xludf.DUMMYFUNCTION("INDIRECT(""'收支紀錄'!C""&amp;TO_TEXT(ROW()-$C$72))"),103622.0)</f>
        <v>103622</v>
      </c>
      <c r="D1077" s="63">
        <f>IFERROR(__xludf.DUMMYFUNCTION("INDIRECT(""'收支紀錄'!D""&amp;TO_TEXT(ROW()-$C$72))"),2.0250726E7)</f>
        <v>20250726</v>
      </c>
      <c r="E1077" s="61" t="str">
        <f>IFERROR(__xludf.DUMMYFUNCTION("INDIRECT(""'收支紀錄'!E""&amp;TO_TEXT(ROW()-$C$72))"),"")</f>
        <v/>
      </c>
      <c r="F1077" s="61" t="str">
        <f>IFERROR(__xludf.DUMMYFUNCTION("INDIRECT(""'收支紀錄'!F""&amp;TO_TEXT(ROW()-$C$72))"),"")</f>
        <v/>
      </c>
      <c r="G1077" s="61" t="str">
        <f>IFERROR(__xludf.DUMMYFUNCTION("INDIRECT(""'收支紀錄'!G""&amp;TO_TEXT(ROW()-$C$72))"),"")</f>
        <v/>
      </c>
      <c r="H1077" s="61" t="str">
        <f>IFERROR(__xludf.DUMMYFUNCTION("INDIRECT(""'收支紀錄'!H""&amp;TO_TEXT(ROW()-$C$72))"),"日常生活")</f>
        <v>日常生活</v>
      </c>
      <c r="I1077" s="61" t="str">
        <f>IFERROR(__xludf.DUMMYFUNCTION("INDIRECT(""'收支紀錄'!I""&amp;TO_TEXT(ROW()-$C$72))"),"")</f>
        <v/>
      </c>
      <c r="J1077" s="61" t="str">
        <f>IFERROR(__xludf.DUMMYFUNCTION("INDIRECT(""'收支紀錄'!J""&amp;TO_TEXT(ROW()-$C$72))"),"日常用品")</f>
        <v>日常用品</v>
      </c>
      <c r="K1077" s="61" t="str">
        <f>IFERROR(__xludf.DUMMYFUNCTION("INDIRECT(""'收支紀錄'!K""&amp;TO_TEXT(ROW()-$C$72))"),"")</f>
        <v/>
      </c>
      <c r="L1077" s="61" t="str">
        <f>IFERROR(__xludf.DUMMYFUNCTION("INDIRECT(""'收支紀錄'!L""&amp;TO_TEXT(ROW()-$C$72))"),"")</f>
        <v/>
      </c>
      <c r="M1077" s="61" t="str">
        <f>IFERROR(__xludf.DUMMYFUNCTION("INDIRECT(""'收支紀錄'!M""&amp;TO_TEXT(ROW()-$C$72))"),"")</f>
        <v/>
      </c>
      <c r="N1077" s="61" t="str">
        <f>IFERROR(__xludf.DUMMYFUNCTION("INDIRECT(""'收支紀錄'!N""&amp;TO_TEXT(ROW()-$C$72))"),"")</f>
        <v/>
      </c>
      <c r="O1077" s="61" t="str">
        <f>IFERROR(__xludf.DUMMYFUNCTION("INDIRECT(""'收支紀錄'!O""&amp;TO_TEXT(ROW()-$C$72))"),"")</f>
        <v/>
      </c>
      <c r="P1077" s="61" t="str">
        <f>IFERROR(__xludf.DUMMYFUNCTION("INDIRECT(""'收支紀錄'!P""&amp;TO_TEXT(ROW()-$C$72))"),"")</f>
        <v/>
      </c>
      <c r="Q1077" s="61" t="str">
        <f>IFERROR(__xludf.DUMMYFUNCTION("INDIRECT(""'收支紀錄'!Q""&amp;TO_TEXT(ROW()-$C$72))"),"")</f>
        <v/>
      </c>
      <c r="R1077" s="61" t="str">
        <f>IFERROR(__xludf.DUMMYFUNCTION("INDIRECT(""'收支紀錄'!R""&amp;TO_TEXT(ROW()-$C$72))"),"")</f>
        <v/>
      </c>
      <c r="S1077" s="61" t="str">
        <f>IFERROR(__xludf.DUMMYFUNCTION("INDIRECT(""'收支紀錄'!S""&amp;TO_TEXT(ROW()-$C$72))"),"婚戒")</f>
        <v>婚戒</v>
      </c>
      <c r="T1077" s="61" t="str">
        <f>IFERROR(__xludf.DUMMYFUNCTION("INDIRECT(""'收支紀錄'!T""&amp;TO_TEXT(ROW()-$C$72))"),"是")</f>
        <v>是</v>
      </c>
      <c r="U1077" s="62" t="str">
        <f>IFERROR(__xludf.DUMMYFUNCTION("IF(T1077=""是"",TEXTJOIN("""", TRUE, ""$"", TO_TEXT(C1077), S1077),"""")"),"$103622婚戒")</f>
        <v>$103622婚戒</v>
      </c>
    </row>
    <row r="1078">
      <c r="A1078" s="58">
        <f>IFERROR(__xludf.DUMMYFUNCTION("INDIRECT(""'收支紀錄'!A""&amp;TO_TEXT(ROW()-$C$72))"),45878.717077256944)</f>
        <v>45878.71708</v>
      </c>
      <c r="B1078" s="59">
        <f>IFERROR(__xludf.DUMMYFUNCTION("IF(ISBLANK(D1078), """", IF(ISDATE(D1078), D1078, IF(D1078=""今天"", A1078, IF(D1078=""昨天 (-1 day)"", A1078-1, IF(D1078=""前天 (-2 days)"", A1078-2, IF(D1078=""明天 (+1 day)"", A1078+1, DATE(LEFT(D1078,4), MID(D1078,5,2), RIGHT(D1078,2))))))))"),45877.717077256944)</f>
        <v>45877.71708</v>
      </c>
      <c r="C1078" s="60">
        <f>IFERROR(__xludf.DUMMYFUNCTION("INDIRECT(""'收支紀錄'!C""&amp;TO_TEXT(ROW()-$C$72))"),35.0)</f>
        <v>35</v>
      </c>
      <c r="D1078" s="63" t="str">
        <f>IFERROR(__xludf.DUMMYFUNCTION("INDIRECT(""'收支紀錄'!D""&amp;TO_TEXT(ROW()-$C$72))"),"昨天 (-1 day)")</f>
        <v>昨天 (-1 day)</v>
      </c>
      <c r="E1078" s="61" t="str">
        <f>IFERROR(__xludf.DUMMYFUNCTION("INDIRECT(""'收支紀錄'!E""&amp;TO_TEXT(ROW()-$C$72))"),"")</f>
        <v/>
      </c>
      <c r="F1078" s="61" t="str">
        <f>IFERROR(__xludf.DUMMYFUNCTION("INDIRECT(""'收支紀錄'!F""&amp;TO_TEXT(ROW()-$C$72))"),"")</f>
        <v/>
      </c>
      <c r="G1078" s="61" t="str">
        <f>IFERROR(__xludf.DUMMYFUNCTION("INDIRECT(""'收支紀錄'!G""&amp;TO_TEXT(ROW()-$C$72))"),"")</f>
        <v/>
      </c>
      <c r="H1078" s="61" t="str">
        <f>IFERROR(__xludf.DUMMYFUNCTION("INDIRECT(""'收支紀錄'!H""&amp;TO_TEXT(ROW()-$C$72))"),"行車交通")</f>
        <v>行車交通</v>
      </c>
      <c r="I1078" s="61" t="str">
        <f>IFERROR(__xludf.DUMMYFUNCTION("INDIRECT(""'收支紀錄'!I""&amp;TO_TEXT(ROW()-$C$72))"),"")</f>
        <v/>
      </c>
      <c r="J1078" s="61" t="str">
        <f>IFERROR(__xludf.DUMMYFUNCTION("INDIRECT(""'收支紀錄'!J""&amp;TO_TEXT(ROW()-$C$72))"),"")</f>
        <v/>
      </c>
      <c r="K1078" s="61" t="str">
        <f>IFERROR(__xludf.DUMMYFUNCTION("INDIRECT(""'收支紀錄'!K""&amp;TO_TEXT(ROW()-$C$72))"),"")</f>
        <v/>
      </c>
      <c r="L1078" s="61" t="str">
        <f>IFERROR(__xludf.DUMMYFUNCTION("INDIRECT(""'收支紀錄'!L""&amp;TO_TEXT(ROW()-$C$72))"),"捷運費")</f>
        <v>捷運費</v>
      </c>
      <c r="M1078" s="61" t="str">
        <f>IFERROR(__xludf.DUMMYFUNCTION("INDIRECT(""'收支紀錄'!M""&amp;TO_TEXT(ROW()-$C$72))"),"")</f>
        <v/>
      </c>
      <c r="N1078" s="61" t="str">
        <f>IFERROR(__xludf.DUMMYFUNCTION("INDIRECT(""'收支紀錄'!N""&amp;TO_TEXT(ROW()-$C$72))"),"")</f>
        <v/>
      </c>
      <c r="O1078" s="61" t="str">
        <f>IFERROR(__xludf.DUMMYFUNCTION("INDIRECT(""'收支紀錄'!O""&amp;TO_TEXT(ROW()-$C$72))"),"")</f>
        <v/>
      </c>
      <c r="P1078" s="61" t="str">
        <f>IFERROR(__xludf.DUMMYFUNCTION("INDIRECT(""'收支紀錄'!P""&amp;TO_TEXT(ROW()-$C$72))"),"")</f>
        <v/>
      </c>
      <c r="Q1078" s="61" t="str">
        <f>IFERROR(__xludf.DUMMYFUNCTION("INDIRECT(""'收支紀錄'!Q""&amp;TO_TEXT(ROW()-$C$72))"),"")</f>
        <v/>
      </c>
      <c r="R1078" s="61" t="str">
        <f>IFERROR(__xludf.DUMMYFUNCTION("INDIRECT(""'收支紀錄'!R""&amp;TO_TEXT(ROW()-$C$72))"),"")</f>
        <v/>
      </c>
      <c r="S1078" s="61" t="str">
        <f>IFERROR(__xludf.DUMMYFUNCTION("INDIRECT(""'收支紀錄'!S""&amp;TO_TEXT(ROW()-$C$72))"),"")</f>
        <v/>
      </c>
      <c r="T1078" s="61" t="str">
        <f>IFERROR(__xludf.DUMMYFUNCTION("INDIRECT(""'收支紀錄'!T""&amp;TO_TEXT(ROW()-$C$72))"),"")</f>
        <v/>
      </c>
      <c r="U1078" s="62" t="str">
        <f>IFERROR(__xludf.DUMMYFUNCTION("IF(T1078=""是"",TEXTJOIN("""", TRUE, ""$"", TO_TEXT(C1078), S1078),"""")"),"")</f>
        <v/>
      </c>
    </row>
    <row r="1079">
      <c r="A1079" s="58">
        <f>IFERROR(__xludf.DUMMYFUNCTION("INDIRECT(""'收支紀錄'!A""&amp;TO_TEXT(ROW()-$C$72))"),45879.61962244213)</f>
        <v>45879.61962</v>
      </c>
      <c r="B1079" s="59">
        <f>IFERROR(__xludf.DUMMYFUNCTION("IF(ISBLANK(D1079), """", IF(ISDATE(D1079), D1079, IF(D1079=""今天"", A1079, IF(D1079=""昨天 (-1 day)"", A1079-1, IF(D1079=""前天 (-2 days)"", A1079-2, IF(D1079=""明天 (+1 day)"", A1079+1, DATE(LEFT(D1079,4), MID(D1079,5,2), RIGHT(D1079,2))))))))"),45879.61962244213)</f>
        <v>45879.61962</v>
      </c>
      <c r="C1079" s="60">
        <f>IFERROR(__xludf.DUMMYFUNCTION("INDIRECT(""'收支紀錄'!C""&amp;TO_TEXT(ROW()-$C$72))"),765.0)</f>
        <v>765</v>
      </c>
      <c r="D1079" s="63" t="str">
        <f>IFERROR(__xludf.DUMMYFUNCTION("INDIRECT(""'收支紀錄'!D""&amp;TO_TEXT(ROW()-$C$72))"),"今天")</f>
        <v>今天</v>
      </c>
      <c r="E1079" s="61" t="str">
        <f>IFERROR(__xludf.DUMMYFUNCTION("INDIRECT(""'收支紀錄'!E""&amp;TO_TEXT(ROW()-$C$72))"),"")</f>
        <v/>
      </c>
      <c r="F1079" s="61" t="str">
        <f>IFERROR(__xludf.DUMMYFUNCTION("INDIRECT(""'收支紀錄'!F""&amp;TO_TEXT(ROW()-$C$72))"),"")</f>
        <v/>
      </c>
      <c r="G1079" s="61" t="str">
        <f>IFERROR(__xludf.DUMMYFUNCTION("INDIRECT(""'收支紀錄'!G""&amp;TO_TEXT(ROW()-$C$72))"),"")</f>
        <v/>
      </c>
      <c r="H1079" s="61" t="str">
        <f>IFERROR(__xludf.DUMMYFUNCTION("INDIRECT(""'收支紀錄'!H""&amp;TO_TEXT(ROW()-$C$72))"),"行車交通")</f>
        <v>行車交通</v>
      </c>
      <c r="I1079" s="61" t="str">
        <f>IFERROR(__xludf.DUMMYFUNCTION("INDIRECT(""'收支紀錄'!I""&amp;TO_TEXT(ROW()-$C$72))"),"")</f>
        <v/>
      </c>
      <c r="J1079" s="61" t="str">
        <f>IFERROR(__xludf.DUMMYFUNCTION("INDIRECT(""'收支紀錄'!J""&amp;TO_TEXT(ROW()-$C$72))"),"")</f>
        <v/>
      </c>
      <c r="K1079" s="61" t="str">
        <f>IFERROR(__xludf.DUMMYFUNCTION("INDIRECT(""'收支紀錄'!K""&amp;TO_TEXT(ROW()-$C$72))"),"")</f>
        <v/>
      </c>
      <c r="L1079" s="61" t="str">
        <f>IFERROR(__xludf.DUMMYFUNCTION("INDIRECT(""'收支紀錄'!L""&amp;TO_TEXT(ROW()-$C$72))"),"高鐵")</f>
        <v>高鐵</v>
      </c>
      <c r="M1079" s="61" t="str">
        <f>IFERROR(__xludf.DUMMYFUNCTION("INDIRECT(""'收支紀錄'!M""&amp;TO_TEXT(ROW()-$C$72))"),"")</f>
        <v/>
      </c>
      <c r="N1079" s="61" t="str">
        <f>IFERROR(__xludf.DUMMYFUNCTION("INDIRECT(""'收支紀錄'!N""&amp;TO_TEXT(ROW()-$C$72))"),"")</f>
        <v/>
      </c>
      <c r="O1079" s="61" t="str">
        <f>IFERROR(__xludf.DUMMYFUNCTION("INDIRECT(""'收支紀錄'!O""&amp;TO_TEXT(ROW()-$C$72))"),"")</f>
        <v/>
      </c>
      <c r="P1079" s="61" t="str">
        <f>IFERROR(__xludf.DUMMYFUNCTION("INDIRECT(""'收支紀錄'!P""&amp;TO_TEXT(ROW()-$C$72))"),"")</f>
        <v/>
      </c>
      <c r="Q1079" s="61" t="str">
        <f>IFERROR(__xludf.DUMMYFUNCTION("INDIRECT(""'收支紀錄'!Q""&amp;TO_TEXT(ROW()-$C$72))"),"")</f>
        <v/>
      </c>
      <c r="R1079" s="61" t="str">
        <f>IFERROR(__xludf.DUMMYFUNCTION("INDIRECT(""'收支紀錄'!R""&amp;TO_TEXT(ROW()-$C$72))"),"")</f>
        <v/>
      </c>
      <c r="S1079" s="61" t="str">
        <f>IFERROR(__xludf.DUMMYFUNCTION("INDIRECT(""'收支紀錄'!S""&amp;TO_TEXT(ROW()-$C$72))"),"")</f>
        <v/>
      </c>
      <c r="T1079" s="61" t="str">
        <f>IFERROR(__xludf.DUMMYFUNCTION("INDIRECT(""'收支紀錄'!T""&amp;TO_TEXT(ROW()-$C$72))"),"")</f>
        <v/>
      </c>
      <c r="U1079" s="62" t="str">
        <f>IFERROR(__xludf.DUMMYFUNCTION("IF(T1079=""是"",TEXTJOIN("""", TRUE, ""$"", TO_TEXT(C1079), S1079),"""")"),"")</f>
        <v/>
      </c>
    </row>
    <row r="1080">
      <c r="A1080" s="58">
        <f>IFERROR(__xludf.DUMMYFUNCTION("INDIRECT(""'收支紀錄'!A""&amp;TO_TEXT(ROW()-$C$72))"),45879.64928287037)</f>
        <v>45879.64928</v>
      </c>
      <c r="B1080" s="59">
        <f>IFERROR(__xludf.DUMMYFUNCTION("IF(ISBLANK(D1080), """", IF(ISDATE(D1080), D1080, IF(D1080=""今天"", A1080, IF(D1080=""昨天 (-1 day)"", A1080-1, IF(D1080=""前天 (-2 days)"", A1080-2, IF(D1080=""明天 (+1 day)"", A1080+1, DATE(LEFT(D1080,4), MID(D1080,5,2), RIGHT(D1080,2))))))))"),45879.64928287037)</f>
        <v>45879.64928</v>
      </c>
      <c r="C1080" s="60">
        <f>IFERROR(__xludf.DUMMYFUNCTION("INDIRECT(""'收支紀錄'!C""&amp;TO_TEXT(ROW()-$C$72))"),118.0)</f>
        <v>118</v>
      </c>
      <c r="D1080" s="63" t="str">
        <f>IFERROR(__xludf.DUMMYFUNCTION("INDIRECT(""'收支紀錄'!D""&amp;TO_TEXT(ROW()-$C$72))"),"今天")</f>
        <v>今天</v>
      </c>
      <c r="E1080" s="61" t="str">
        <f>IFERROR(__xludf.DUMMYFUNCTION("INDIRECT(""'收支紀錄'!E""&amp;TO_TEXT(ROW()-$C$72))"),"")</f>
        <v/>
      </c>
      <c r="F1080" s="61" t="str">
        <f>IFERROR(__xludf.DUMMYFUNCTION("INDIRECT(""'收支紀錄'!F""&amp;TO_TEXT(ROW()-$C$72))"),"")</f>
        <v/>
      </c>
      <c r="G1080" s="61" t="str">
        <f>IFERROR(__xludf.DUMMYFUNCTION("INDIRECT(""'收支紀錄'!G""&amp;TO_TEXT(ROW()-$C$72))"),"")</f>
        <v/>
      </c>
      <c r="H1080" s="61" t="str">
        <f>IFERROR(__xludf.DUMMYFUNCTION("INDIRECT(""'收支紀錄'!H""&amp;TO_TEXT(ROW()-$C$72))"),"行車交通")</f>
        <v>行車交通</v>
      </c>
      <c r="I1080" s="61" t="str">
        <f>IFERROR(__xludf.DUMMYFUNCTION("INDIRECT(""'收支紀錄'!I""&amp;TO_TEXT(ROW()-$C$72))"),"")</f>
        <v/>
      </c>
      <c r="J1080" s="61" t="str">
        <f>IFERROR(__xludf.DUMMYFUNCTION("INDIRECT(""'收支紀錄'!J""&amp;TO_TEXT(ROW()-$C$72))"),"")</f>
        <v/>
      </c>
      <c r="K1080" s="61" t="str">
        <f>IFERROR(__xludf.DUMMYFUNCTION("INDIRECT(""'收支紀錄'!K""&amp;TO_TEXT(ROW()-$C$72))"),"")</f>
        <v/>
      </c>
      <c r="L1080" s="61" t="str">
        <f>IFERROR(__xludf.DUMMYFUNCTION("INDIRECT(""'收支紀錄'!L""&amp;TO_TEXT(ROW()-$C$72))"),"加油")</f>
        <v>加油</v>
      </c>
      <c r="M1080" s="61" t="str">
        <f>IFERROR(__xludf.DUMMYFUNCTION("INDIRECT(""'收支紀錄'!M""&amp;TO_TEXT(ROW()-$C$72))"),"")</f>
        <v/>
      </c>
      <c r="N1080" s="61" t="str">
        <f>IFERROR(__xludf.DUMMYFUNCTION("INDIRECT(""'收支紀錄'!N""&amp;TO_TEXT(ROW()-$C$72))"),"")</f>
        <v/>
      </c>
      <c r="O1080" s="61" t="str">
        <f>IFERROR(__xludf.DUMMYFUNCTION("INDIRECT(""'收支紀錄'!O""&amp;TO_TEXT(ROW()-$C$72))"),"")</f>
        <v/>
      </c>
      <c r="P1080" s="61" t="str">
        <f>IFERROR(__xludf.DUMMYFUNCTION("INDIRECT(""'收支紀錄'!P""&amp;TO_TEXT(ROW()-$C$72))"),"")</f>
        <v/>
      </c>
      <c r="Q1080" s="61" t="str">
        <f>IFERROR(__xludf.DUMMYFUNCTION("INDIRECT(""'收支紀錄'!Q""&amp;TO_TEXT(ROW()-$C$72))"),"")</f>
        <v/>
      </c>
      <c r="R1080" s="61" t="str">
        <f>IFERROR(__xludf.DUMMYFUNCTION("INDIRECT(""'收支紀錄'!R""&amp;TO_TEXT(ROW()-$C$72))"),"")</f>
        <v/>
      </c>
      <c r="S1080" s="61" t="str">
        <f>IFERROR(__xludf.DUMMYFUNCTION("INDIRECT(""'收支紀錄'!S""&amp;TO_TEXT(ROW()-$C$72))"),"")</f>
        <v/>
      </c>
      <c r="T1080" s="61" t="str">
        <f>IFERROR(__xludf.DUMMYFUNCTION("INDIRECT(""'收支紀錄'!T""&amp;TO_TEXT(ROW()-$C$72))"),"")</f>
        <v/>
      </c>
      <c r="U1080" s="62" t="str">
        <f>IFERROR(__xludf.DUMMYFUNCTION("IF(T1080=""是"",TEXTJOIN("""", TRUE, ""$"", TO_TEXT(C1080), S1080),"""")"),"")</f>
        <v/>
      </c>
    </row>
    <row r="1081">
      <c r="A1081" s="58">
        <f>IFERROR(__xludf.DUMMYFUNCTION("INDIRECT(""'收支紀錄'!A""&amp;TO_TEXT(ROW()-$C$72))"),45879.64957650463)</f>
        <v>45879.64958</v>
      </c>
      <c r="B1081" s="59">
        <f>IFERROR(__xludf.DUMMYFUNCTION("IF(ISBLANK(D1081), """", IF(ISDATE(D1081), D1081, IF(D1081=""今天"", A1081, IF(D1081=""昨天 (-1 day)"", A1081-1, IF(D1081=""前天 (-2 days)"", A1081-2, IF(D1081=""明天 (+1 day)"", A1081+1, DATE(LEFT(D1081,4), MID(D1081,5,2), RIGHT(D1081,2))))))))"),45879.64957650463)</f>
        <v>45879.64958</v>
      </c>
      <c r="C1081" s="60">
        <f>IFERROR(__xludf.DUMMYFUNCTION("INDIRECT(""'收支紀錄'!C""&amp;TO_TEXT(ROW()-$C$72))"),162.0)</f>
        <v>162</v>
      </c>
      <c r="D1081" s="63" t="str">
        <f>IFERROR(__xludf.DUMMYFUNCTION("INDIRECT(""'收支紀錄'!D""&amp;TO_TEXT(ROW()-$C$72))"),"今天")</f>
        <v>今天</v>
      </c>
      <c r="E1081" s="61" t="str">
        <f>IFERROR(__xludf.DUMMYFUNCTION("INDIRECT(""'收支紀錄'!E""&amp;TO_TEXT(ROW()-$C$72))"),"")</f>
        <v/>
      </c>
      <c r="F1081" s="61" t="str">
        <f>IFERROR(__xludf.DUMMYFUNCTION("INDIRECT(""'收支紀錄'!F""&amp;TO_TEXT(ROW()-$C$72))"),"")</f>
        <v/>
      </c>
      <c r="G1081" s="61" t="str">
        <f>IFERROR(__xludf.DUMMYFUNCTION("INDIRECT(""'收支紀錄'!G""&amp;TO_TEXT(ROW()-$C$72))"),"")</f>
        <v/>
      </c>
      <c r="H1081" s="61" t="str">
        <f>IFERROR(__xludf.DUMMYFUNCTION("INDIRECT(""'收支紀錄'!H""&amp;TO_TEXT(ROW()-$C$72))"),"日常生活")</f>
        <v>日常生活</v>
      </c>
      <c r="I1081" s="61" t="str">
        <f>IFERROR(__xludf.DUMMYFUNCTION("INDIRECT(""'收支紀錄'!I""&amp;TO_TEXT(ROW()-$C$72))"),"")</f>
        <v/>
      </c>
      <c r="J1081" s="61" t="str">
        <f>IFERROR(__xludf.DUMMYFUNCTION("INDIRECT(""'收支紀錄'!J""&amp;TO_TEXT(ROW()-$C$72))"),"日常用品")</f>
        <v>日常用品</v>
      </c>
      <c r="K1081" s="61" t="str">
        <f>IFERROR(__xludf.DUMMYFUNCTION("INDIRECT(""'收支紀錄'!K""&amp;TO_TEXT(ROW()-$C$72))"),"")</f>
        <v/>
      </c>
      <c r="L1081" s="61" t="str">
        <f>IFERROR(__xludf.DUMMYFUNCTION("INDIRECT(""'收支紀錄'!L""&amp;TO_TEXT(ROW()-$C$72))"),"")</f>
        <v/>
      </c>
      <c r="M1081" s="61" t="str">
        <f>IFERROR(__xludf.DUMMYFUNCTION("INDIRECT(""'收支紀錄'!M""&amp;TO_TEXT(ROW()-$C$72))"),"")</f>
        <v/>
      </c>
      <c r="N1081" s="61" t="str">
        <f>IFERROR(__xludf.DUMMYFUNCTION("INDIRECT(""'收支紀錄'!N""&amp;TO_TEXT(ROW()-$C$72))"),"")</f>
        <v/>
      </c>
      <c r="O1081" s="61" t="str">
        <f>IFERROR(__xludf.DUMMYFUNCTION("INDIRECT(""'收支紀錄'!O""&amp;TO_TEXT(ROW()-$C$72))"),"")</f>
        <v/>
      </c>
      <c r="P1081" s="61" t="str">
        <f>IFERROR(__xludf.DUMMYFUNCTION("INDIRECT(""'收支紀錄'!P""&amp;TO_TEXT(ROW()-$C$72))"),"")</f>
        <v/>
      </c>
      <c r="Q1081" s="61" t="str">
        <f>IFERROR(__xludf.DUMMYFUNCTION("INDIRECT(""'收支紀錄'!Q""&amp;TO_TEXT(ROW()-$C$72))"),"")</f>
        <v/>
      </c>
      <c r="R1081" s="61" t="str">
        <f>IFERROR(__xludf.DUMMYFUNCTION("INDIRECT(""'收支紀錄'!R""&amp;TO_TEXT(ROW()-$C$72))"),"")</f>
        <v/>
      </c>
      <c r="S1081" s="61" t="str">
        <f>IFERROR(__xludf.DUMMYFUNCTION("INDIRECT(""'收支紀錄'!S""&amp;TO_TEXT(ROW()-$C$72))"),"")</f>
        <v/>
      </c>
      <c r="T1081" s="61" t="str">
        <f>IFERROR(__xludf.DUMMYFUNCTION("INDIRECT(""'收支紀錄'!T""&amp;TO_TEXT(ROW()-$C$72))"),"")</f>
        <v/>
      </c>
      <c r="U1081" s="62" t="str">
        <f>IFERROR(__xludf.DUMMYFUNCTION("IF(T1081=""是"",TEXTJOIN("""", TRUE, ""$"", TO_TEXT(C1081), S1081),"""")"),"")</f>
        <v/>
      </c>
    </row>
    <row r="1082">
      <c r="A1082" s="58">
        <f>IFERROR(__xludf.DUMMYFUNCTION("INDIRECT(""'收支紀錄'!A""&amp;TO_TEXT(ROW()-$C$72))"),45880.911402314814)</f>
        <v>45880.9114</v>
      </c>
      <c r="B1082" s="59">
        <f>IFERROR(__xludf.DUMMYFUNCTION("IF(ISBLANK(D1082), """", IF(ISDATE(D1082), D1082, IF(D1082=""今天"", A1082, IF(D1082=""昨天 (-1 day)"", A1082-1, IF(D1082=""前天 (-2 days)"", A1082-2, IF(D1082=""明天 (+1 day)"", A1082+1, DATE(LEFT(D1082,4), MID(D1082,5,2), RIGHT(D1082,2))))))))"),45879.911402314814)</f>
        <v>45879.9114</v>
      </c>
      <c r="C1082" s="60">
        <f>IFERROR(__xludf.DUMMYFUNCTION("INDIRECT(""'收支紀錄'!C""&amp;TO_TEXT(ROW()-$C$72))"),281.0)</f>
        <v>281</v>
      </c>
      <c r="D1082" s="63" t="str">
        <f>IFERROR(__xludf.DUMMYFUNCTION("INDIRECT(""'收支紀錄'!D""&amp;TO_TEXT(ROW()-$C$72))"),"昨天 (-1 day)")</f>
        <v>昨天 (-1 day)</v>
      </c>
      <c r="E1082" s="61" t="str">
        <f>IFERROR(__xludf.DUMMYFUNCTION("INDIRECT(""'收支紀錄'!E""&amp;TO_TEXT(ROW()-$C$72))"),"")</f>
        <v/>
      </c>
      <c r="F1082" s="61" t="str">
        <f>IFERROR(__xludf.DUMMYFUNCTION("INDIRECT(""'收支紀錄'!F""&amp;TO_TEXT(ROW()-$C$72))"),"")</f>
        <v/>
      </c>
      <c r="G1082" s="61" t="str">
        <f>IFERROR(__xludf.DUMMYFUNCTION("INDIRECT(""'收支紀錄'!G""&amp;TO_TEXT(ROW()-$C$72))"),"")</f>
        <v/>
      </c>
      <c r="H1082" s="61" t="str">
        <f>IFERROR(__xludf.DUMMYFUNCTION("INDIRECT(""'收支紀錄'!H""&amp;TO_TEXT(ROW()-$C$72))"),"日常生活")</f>
        <v>日常生活</v>
      </c>
      <c r="I1082" s="61" t="str">
        <f>IFERROR(__xludf.DUMMYFUNCTION("INDIRECT(""'收支紀錄'!I""&amp;TO_TEXT(ROW()-$C$72))"),"")</f>
        <v/>
      </c>
      <c r="J1082" s="61" t="str">
        <f>IFERROR(__xludf.DUMMYFUNCTION("INDIRECT(""'收支紀錄'!J""&amp;TO_TEXT(ROW()-$C$72))"),"日常用品")</f>
        <v>日常用品</v>
      </c>
      <c r="K1082" s="61" t="str">
        <f>IFERROR(__xludf.DUMMYFUNCTION("INDIRECT(""'收支紀錄'!K""&amp;TO_TEXT(ROW()-$C$72))"),"")</f>
        <v/>
      </c>
      <c r="L1082" s="61" t="str">
        <f>IFERROR(__xludf.DUMMYFUNCTION("INDIRECT(""'收支紀錄'!L""&amp;TO_TEXT(ROW()-$C$72))"),"")</f>
        <v/>
      </c>
      <c r="M1082" s="61" t="str">
        <f>IFERROR(__xludf.DUMMYFUNCTION("INDIRECT(""'收支紀錄'!M""&amp;TO_TEXT(ROW()-$C$72))"),"")</f>
        <v/>
      </c>
      <c r="N1082" s="61" t="str">
        <f>IFERROR(__xludf.DUMMYFUNCTION("INDIRECT(""'收支紀錄'!N""&amp;TO_TEXT(ROW()-$C$72))"),"")</f>
        <v/>
      </c>
      <c r="O1082" s="61" t="str">
        <f>IFERROR(__xludf.DUMMYFUNCTION("INDIRECT(""'收支紀錄'!O""&amp;TO_TEXT(ROW()-$C$72))"),"")</f>
        <v/>
      </c>
      <c r="P1082" s="61" t="str">
        <f>IFERROR(__xludf.DUMMYFUNCTION("INDIRECT(""'收支紀錄'!P""&amp;TO_TEXT(ROW()-$C$72))"),"")</f>
        <v/>
      </c>
      <c r="Q1082" s="61" t="str">
        <f>IFERROR(__xludf.DUMMYFUNCTION("INDIRECT(""'收支紀錄'!Q""&amp;TO_TEXT(ROW()-$C$72))"),"")</f>
        <v/>
      </c>
      <c r="R1082" s="61" t="str">
        <f>IFERROR(__xludf.DUMMYFUNCTION("INDIRECT(""'收支紀錄'!R""&amp;TO_TEXT(ROW()-$C$72))"),"")</f>
        <v/>
      </c>
      <c r="S1082" s="61" t="str">
        <f>IFERROR(__xludf.DUMMYFUNCTION("INDIRECT(""'收支紀錄'!S""&amp;TO_TEXT(ROW()-$C$72))"),"")</f>
        <v/>
      </c>
      <c r="T1082" s="61" t="str">
        <f>IFERROR(__xludf.DUMMYFUNCTION("INDIRECT(""'收支紀錄'!T""&amp;TO_TEXT(ROW()-$C$72))"),"")</f>
        <v/>
      </c>
      <c r="U1082" s="62" t="str">
        <f>IFERROR(__xludf.DUMMYFUNCTION("IF(T1082=""是"",TEXTJOIN("""", TRUE, ""$"", TO_TEXT(C1082), S1082),"""")"),"")</f>
        <v/>
      </c>
    </row>
    <row r="1083">
      <c r="A1083" s="58">
        <f>IFERROR(__xludf.DUMMYFUNCTION("INDIRECT(""'收支紀錄'!A""&amp;TO_TEXT(ROW()-$C$72))"),45881.94331453704)</f>
        <v>45881.94331</v>
      </c>
      <c r="B1083" s="59">
        <f>IFERROR(__xludf.DUMMYFUNCTION("IF(ISBLANK(D1083), """", IF(ISDATE(D1083), D1083, IF(D1083=""今天"", A1083, IF(D1083=""昨天 (-1 day)"", A1083-1, IF(D1083=""前天 (-2 days)"", A1083-2, IF(D1083=""明天 (+1 day)"", A1083+1, DATE(LEFT(D1083,4), MID(D1083,5,2), RIGHT(D1083,2))))))))"),45881.94331453704)</f>
        <v>45881.94331</v>
      </c>
      <c r="C1083" s="60">
        <f>IFERROR(__xludf.DUMMYFUNCTION("INDIRECT(""'收支紀錄'!C""&amp;TO_TEXT(ROW()-$C$72))"),894.0)</f>
        <v>894</v>
      </c>
      <c r="D1083" s="63" t="str">
        <f>IFERROR(__xludf.DUMMYFUNCTION("INDIRECT(""'收支紀錄'!D""&amp;TO_TEXT(ROW()-$C$72))"),"今天")</f>
        <v>今天</v>
      </c>
      <c r="E1083" s="61" t="str">
        <f>IFERROR(__xludf.DUMMYFUNCTION("INDIRECT(""'收支紀錄'!E""&amp;TO_TEXT(ROW()-$C$72))"),"")</f>
        <v/>
      </c>
      <c r="F1083" s="61" t="str">
        <f>IFERROR(__xludf.DUMMYFUNCTION("INDIRECT(""'收支紀錄'!F""&amp;TO_TEXT(ROW()-$C$72))"),"")</f>
        <v/>
      </c>
      <c r="G1083" s="61" t="str">
        <f>IFERROR(__xludf.DUMMYFUNCTION("INDIRECT(""'收支紀錄'!G""&amp;TO_TEXT(ROW()-$C$72))"),"")</f>
        <v/>
      </c>
      <c r="H1083" s="61" t="str">
        <f>IFERROR(__xludf.DUMMYFUNCTION("INDIRECT(""'收支紀錄'!H""&amp;TO_TEXT(ROW()-$C$72))"),"休閒娛樂")</f>
        <v>休閒娛樂</v>
      </c>
      <c r="I1083" s="61" t="str">
        <f>IFERROR(__xludf.DUMMYFUNCTION("INDIRECT(""'收支紀錄'!I""&amp;TO_TEXT(ROW()-$C$72))"),"")</f>
        <v/>
      </c>
      <c r="J1083" s="61" t="str">
        <f>IFERROR(__xludf.DUMMYFUNCTION("INDIRECT(""'收支紀錄'!J""&amp;TO_TEXT(ROW()-$C$72))"),"")</f>
        <v/>
      </c>
      <c r="K1083" s="61" t="str">
        <f>IFERROR(__xludf.DUMMYFUNCTION("INDIRECT(""'收支紀錄'!K""&amp;TO_TEXT(ROW()-$C$72))"),"")</f>
        <v/>
      </c>
      <c r="L1083" s="61" t="str">
        <f>IFERROR(__xludf.DUMMYFUNCTION("INDIRECT(""'收支紀錄'!L""&amp;TO_TEXT(ROW()-$C$72))"),"")</f>
        <v/>
      </c>
      <c r="M1083" s="61" t="str">
        <f>IFERROR(__xludf.DUMMYFUNCTION("INDIRECT(""'收支紀錄'!M""&amp;TO_TEXT(ROW()-$C$72))"),"youtube Premium")</f>
        <v>youtube Premium</v>
      </c>
      <c r="N1083" s="61" t="str">
        <f>IFERROR(__xludf.DUMMYFUNCTION("INDIRECT(""'收支紀錄'!N""&amp;TO_TEXT(ROW()-$C$72))"),"")</f>
        <v/>
      </c>
      <c r="O1083" s="61" t="str">
        <f>IFERROR(__xludf.DUMMYFUNCTION("INDIRECT(""'收支紀錄'!O""&amp;TO_TEXT(ROW()-$C$72))"),"")</f>
        <v/>
      </c>
      <c r="P1083" s="61" t="str">
        <f>IFERROR(__xludf.DUMMYFUNCTION("INDIRECT(""'收支紀錄'!P""&amp;TO_TEXT(ROW()-$C$72))"),"")</f>
        <v/>
      </c>
      <c r="Q1083" s="61" t="str">
        <f>IFERROR(__xludf.DUMMYFUNCTION("INDIRECT(""'收支紀錄'!Q""&amp;TO_TEXT(ROW()-$C$72))"),"")</f>
        <v/>
      </c>
      <c r="R1083" s="61" t="str">
        <f>IFERROR(__xludf.DUMMYFUNCTION("INDIRECT(""'收支紀錄'!R""&amp;TO_TEXT(ROW()-$C$72))"),"")</f>
        <v/>
      </c>
      <c r="S1083" s="61" t="str">
        <f>IFERROR(__xludf.DUMMYFUNCTION("INDIRECT(""'收支紀錄'!S""&amp;TO_TEXT(ROW()-$C$72))"),"")</f>
        <v/>
      </c>
      <c r="T1083" s="61" t="str">
        <f>IFERROR(__xludf.DUMMYFUNCTION("INDIRECT(""'收支紀錄'!T""&amp;TO_TEXT(ROW()-$C$72))"),"")</f>
        <v/>
      </c>
      <c r="U1083" s="62" t="str">
        <f>IFERROR(__xludf.DUMMYFUNCTION("IF(T1083=""是"",TEXTJOIN("""", TRUE, ""$"", TO_TEXT(C1083), S1083),"""")"),"")</f>
        <v/>
      </c>
    </row>
    <row r="1084">
      <c r="A1084" s="58">
        <f>IFERROR(__xludf.DUMMYFUNCTION("INDIRECT(""'收支紀錄'!A""&amp;TO_TEXT(ROW()-$C$72))"),45882.95145331019)</f>
        <v>45882.95145</v>
      </c>
      <c r="B1084" s="59">
        <f>IFERROR(__xludf.DUMMYFUNCTION("IF(ISBLANK(D1084), """", IF(ISDATE(D1084), D1084, IF(D1084=""今天"", A1084, IF(D1084=""昨天 (-1 day)"", A1084-1, IF(D1084=""前天 (-2 days)"", A1084-2, IF(D1084=""明天 (+1 day)"", A1084+1, DATE(LEFT(D1084,4), MID(D1084,5,2), RIGHT(D1084,2))))))))"),45882.95145331019)</f>
        <v>45882.95145</v>
      </c>
      <c r="C1084" s="60">
        <f>IFERROR(__xludf.DUMMYFUNCTION("INDIRECT(""'收支紀錄'!C""&amp;TO_TEXT(ROW()-$C$72))"),100.0)</f>
        <v>100</v>
      </c>
      <c r="D1084" s="63" t="str">
        <f>IFERROR(__xludf.DUMMYFUNCTION("INDIRECT(""'收支紀錄'!D""&amp;TO_TEXT(ROW()-$C$72))"),"今天")</f>
        <v>今天</v>
      </c>
      <c r="E1084" s="61" t="str">
        <f>IFERROR(__xludf.DUMMYFUNCTION("INDIRECT(""'收支紀錄'!E""&amp;TO_TEXT(ROW()-$C$72))"),"")</f>
        <v/>
      </c>
      <c r="F1084" s="61" t="str">
        <f>IFERROR(__xludf.DUMMYFUNCTION("INDIRECT(""'收支紀錄'!F""&amp;TO_TEXT(ROW()-$C$72))"),"")</f>
        <v/>
      </c>
      <c r="G1084" s="61" t="str">
        <f>IFERROR(__xludf.DUMMYFUNCTION("INDIRECT(""'收支紀錄'!G""&amp;TO_TEXT(ROW()-$C$72))"),"")</f>
        <v/>
      </c>
      <c r="H1084" s="61" t="str">
        <f>IFERROR(__xludf.DUMMYFUNCTION("INDIRECT(""'收支紀錄'!H""&amp;TO_TEXT(ROW()-$C$72))"),"行車交通")</f>
        <v>行車交通</v>
      </c>
      <c r="I1084" s="61" t="str">
        <f>IFERROR(__xludf.DUMMYFUNCTION("INDIRECT(""'收支紀錄'!I""&amp;TO_TEXT(ROW()-$C$72))"),"")</f>
        <v/>
      </c>
      <c r="J1084" s="61" t="str">
        <f>IFERROR(__xludf.DUMMYFUNCTION("INDIRECT(""'收支紀錄'!J""&amp;TO_TEXT(ROW()-$C$72))"),"")</f>
        <v/>
      </c>
      <c r="K1084" s="61" t="str">
        <f>IFERROR(__xludf.DUMMYFUNCTION("INDIRECT(""'收支紀錄'!K""&amp;TO_TEXT(ROW()-$C$72))"),"")</f>
        <v/>
      </c>
      <c r="L1084" s="61" t="str">
        <f>IFERROR(__xludf.DUMMYFUNCTION("INDIRECT(""'收支紀錄'!L""&amp;TO_TEXT(ROW()-$C$72))"),"加油")</f>
        <v>加油</v>
      </c>
      <c r="M1084" s="61" t="str">
        <f>IFERROR(__xludf.DUMMYFUNCTION("INDIRECT(""'收支紀錄'!M""&amp;TO_TEXT(ROW()-$C$72))"),"")</f>
        <v/>
      </c>
      <c r="N1084" s="61" t="str">
        <f>IFERROR(__xludf.DUMMYFUNCTION("INDIRECT(""'收支紀錄'!N""&amp;TO_TEXT(ROW()-$C$72))"),"")</f>
        <v/>
      </c>
      <c r="O1084" s="61" t="str">
        <f>IFERROR(__xludf.DUMMYFUNCTION("INDIRECT(""'收支紀錄'!O""&amp;TO_TEXT(ROW()-$C$72))"),"")</f>
        <v/>
      </c>
      <c r="P1084" s="61" t="str">
        <f>IFERROR(__xludf.DUMMYFUNCTION("INDIRECT(""'收支紀錄'!P""&amp;TO_TEXT(ROW()-$C$72))"),"")</f>
        <v/>
      </c>
      <c r="Q1084" s="61" t="str">
        <f>IFERROR(__xludf.DUMMYFUNCTION("INDIRECT(""'收支紀錄'!Q""&amp;TO_TEXT(ROW()-$C$72))"),"")</f>
        <v/>
      </c>
      <c r="R1084" s="61" t="str">
        <f>IFERROR(__xludf.DUMMYFUNCTION("INDIRECT(""'收支紀錄'!R""&amp;TO_TEXT(ROW()-$C$72))"),"")</f>
        <v/>
      </c>
      <c r="S1084" s="61" t="str">
        <f>IFERROR(__xludf.DUMMYFUNCTION("INDIRECT(""'收支紀錄'!S""&amp;TO_TEXT(ROW()-$C$72))"),"")</f>
        <v/>
      </c>
      <c r="T1084" s="61" t="str">
        <f>IFERROR(__xludf.DUMMYFUNCTION("INDIRECT(""'收支紀錄'!T""&amp;TO_TEXT(ROW()-$C$72))"),"")</f>
        <v/>
      </c>
      <c r="U1084" s="62" t="str">
        <f>IFERROR(__xludf.DUMMYFUNCTION("IF(T1084=""是"",TEXTJOIN("""", TRUE, ""$"", TO_TEXT(C1084), S1084),"""")"),"")</f>
        <v/>
      </c>
    </row>
    <row r="1085">
      <c r="A1085" s="58">
        <f>IFERROR(__xludf.DUMMYFUNCTION("INDIRECT(""'收支紀錄'!A""&amp;TO_TEXT(ROW()-$C$72))"),45883.9351566088)</f>
        <v>45883.93516</v>
      </c>
      <c r="B1085" s="59">
        <f>IFERROR(__xludf.DUMMYFUNCTION("IF(ISBLANK(D1085), """", IF(ISDATE(D1085), D1085, IF(D1085=""今天"", A1085, IF(D1085=""昨天 (-1 day)"", A1085-1, IF(D1085=""前天 (-2 days)"", A1085-2, IF(D1085=""明天 (+1 day)"", A1085+1, DATE(LEFT(D1085,4), MID(D1085,5,2), RIGHT(D1085,2))))))))"),45883.9351566088)</f>
        <v>45883.93516</v>
      </c>
      <c r="C1085" s="60">
        <f>IFERROR(__xludf.DUMMYFUNCTION("INDIRECT(""'收支紀錄'!C""&amp;TO_TEXT(ROW()-$C$72))"),200.0)</f>
        <v>200</v>
      </c>
      <c r="D1085" s="63" t="str">
        <f>IFERROR(__xludf.DUMMYFUNCTION("INDIRECT(""'收支紀錄'!D""&amp;TO_TEXT(ROW()-$C$72))"),"今天")</f>
        <v>今天</v>
      </c>
      <c r="E1085" s="61" t="str">
        <f>IFERROR(__xludf.DUMMYFUNCTION("INDIRECT(""'收支紀錄'!E""&amp;TO_TEXT(ROW()-$C$72))"),"")</f>
        <v/>
      </c>
      <c r="F1085" s="61" t="str">
        <f>IFERROR(__xludf.DUMMYFUNCTION("INDIRECT(""'收支紀錄'!F""&amp;TO_TEXT(ROW()-$C$72))"),"")</f>
        <v/>
      </c>
      <c r="G1085" s="61" t="str">
        <f>IFERROR(__xludf.DUMMYFUNCTION("INDIRECT(""'收支紀錄'!G""&amp;TO_TEXT(ROW()-$C$72))"),"")</f>
        <v/>
      </c>
      <c r="H1085" s="61" t="str">
        <f>IFERROR(__xludf.DUMMYFUNCTION("INDIRECT(""'收支紀錄'!H""&amp;TO_TEXT(ROW()-$C$72))"),"醫療費用")</f>
        <v>醫療費用</v>
      </c>
      <c r="I1085" s="61" t="str">
        <f>IFERROR(__xludf.DUMMYFUNCTION("INDIRECT(""'收支紀錄'!I""&amp;TO_TEXT(ROW()-$C$72))"),"")</f>
        <v/>
      </c>
      <c r="J1085" s="61" t="str">
        <f>IFERROR(__xludf.DUMMYFUNCTION("INDIRECT(""'收支紀錄'!J""&amp;TO_TEXT(ROW()-$C$72))"),"")</f>
        <v/>
      </c>
      <c r="K1085" s="61" t="str">
        <f>IFERROR(__xludf.DUMMYFUNCTION("INDIRECT(""'收支紀錄'!K""&amp;TO_TEXT(ROW()-$C$72))"),"")</f>
        <v/>
      </c>
      <c r="L1085" s="61" t="str">
        <f>IFERROR(__xludf.DUMMYFUNCTION("INDIRECT(""'收支紀錄'!L""&amp;TO_TEXT(ROW()-$C$72))"),"")</f>
        <v/>
      </c>
      <c r="M1085" s="61" t="str">
        <f>IFERROR(__xludf.DUMMYFUNCTION("INDIRECT(""'收支紀錄'!M""&amp;TO_TEXT(ROW()-$C$72))"),"")</f>
        <v/>
      </c>
      <c r="N1085" s="61" t="str">
        <f>IFERROR(__xludf.DUMMYFUNCTION("INDIRECT(""'收支紀錄'!N""&amp;TO_TEXT(ROW()-$C$72))"),"")</f>
        <v/>
      </c>
      <c r="O1085" s="61" t="str">
        <f>IFERROR(__xludf.DUMMYFUNCTION("INDIRECT(""'收支紀錄'!O""&amp;TO_TEXT(ROW()-$C$72))"),"生病醫療")</f>
        <v>生病醫療</v>
      </c>
      <c r="P1085" s="61" t="str">
        <f>IFERROR(__xludf.DUMMYFUNCTION("INDIRECT(""'收支紀錄'!P""&amp;TO_TEXT(ROW()-$C$72))"),"")</f>
        <v/>
      </c>
      <c r="Q1085" s="61" t="str">
        <f>IFERROR(__xludf.DUMMYFUNCTION("INDIRECT(""'收支紀錄'!Q""&amp;TO_TEXT(ROW()-$C$72))"),"")</f>
        <v/>
      </c>
      <c r="R1085" s="61" t="str">
        <f>IFERROR(__xludf.DUMMYFUNCTION("INDIRECT(""'收支紀錄'!R""&amp;TO_TEXT(ROW()-$C$72))"),"")</f>
        <v/>
      </c>
      <c r="S1085" s="61" t="str">
        <f>IFERROR(__xludf.DUMMYFUNCTION("INDIRECT(""'收支紀錄'!S""&amp;TO_TEXT(ROW()-$C$72))"),"")</f>
        <v/>
      </c>
      <c r="T1085" s="61" t="str">
        <f>IFERROR(__xludf.DUMMYFUNCTION("INDIRECT(""'收支紀錄'!T""&amp;TO_TEXT(ROW()-$C$72))"),"")</f>
        <v/>
      </c>
      <c r="U1085" s="62" t="str">
        <f>IFERROR(__xludf.DUMMYFUNCTION("IF(T1085=""是"",TEXTJOIN("""", TRUE, ""$"", TO_TEXT(C1085), S1085),"""")"),"")</f>
        <v/>
      </c>
    </row>
    <row r="1086">
      <c r="A1086" s="58">
        <f>IFERROR(__xludf.DUMMYFUNCTION("INDIRECT(""'收支紀錄'!A""&amp;TO_TEXT(ROW()-$C$72))"),45883.93537402777)</f>
        <v>45883.93537</v>
      </c>
      <c r="B1086" s="59">
        <f>IFERROR(__xludf.DUMMYFUNCTION("IF(ISBLANK(D1086), """", IF(ISDATE(D1086), D1086, IF(D1086=""今天"", A1086, IF(D1086=""昨天 (-1 day)"", A1086-1, IF(D1086=""前天 (-2 days)"", A1086-2, IF(D1086=""明天 (+1 day)"", A1086+1, DATE(LEFT(D1086,4), MID(D1086,5,2), RIGHT(D1086,2))))))))"),45883.93537402777)</f>
        <v>45883.93537</v>
      </c>
      <c r="C1086" s="60">
        <f>IFERROR(__xludf.DUMMYFUNCTION("INDIRECT(""'收支紀錄'!C""&amp;TO_TEXT(ROW()-$C$72))"),5000.0)</f>
        <v>5000</v>
      </c>
      <c r="D1086" s="63" t="str">
        <f>IFERROR(__xludf.DUMMYFUNCTION("INDIRECT(""'收支紀錄'!D""&amp;TO_TEXT(ROW()-$C$72))"),"今天")</f>
        <v>今天</v>
      </c>
      <c r="E1086" s="61" t="str">
        <f>IFERROR(__xludf.DUMMYFUNCTION("INDIRECT(""'收支紀錄'!E""&amp;TO_TEXT(ROW()-$C$72))"),"")</f>
        <v/>
      </c>
      <c r="F1086" s="61" t="str">
        <f>IFERROR(__xludf.DUMMYFUNCTION("INDIRECT(""'收支紀錄'!F""&amp;TO_TEXT(ROW()-$C$72))"),"")</f>
        <v/>
      </c>
      <c r="G1086" s="61" t="str">
        <f>IFERROR(__xludf.DUMMYFUNCTION("INDIRECT(""'收支紀錄'!G""&amp;TO_TEXT(ROW()-$C$72))"),"")</f>
        <v/>
      </c>
      <c r="H1086" s="61" t="str">
        <f>IFERROR(__xludf.DUMMYFUNCTION("INDIRECT(""'收支紀錄'!H""&amp;TO_TEXT(ROW()-$C$72))"),"醫療費用")</f>
        <v>醫療費用</v>
      </c>
      <c r="I1086" s="61" t="str">
        <f>IFERROR(__xludf.DUMMYFUNCTION("INDIRECT(""'收支紀錄'!I""&amp;TO_TEXT(ROW()-$C$72))"),"")</f>
        <v/>
      </c>
      <c r="J1086" s="61" t="str">
        <f>IFERROR(__xludf.DUMMYFUNCTION("INDIRECT(""'收支紀錄'!J""&amp;TO_TEXT(ROW()-$C$72))"),"")</f>
        <v/>
      </c>
      <c r="K1086" s="61" t="str">
        <f>IFERROR(__xludf.DUMMYFUNCTION("INDIRECT(""'收支紀錄'!K""&amp;TO_TEXT(ROW()-$C$72))"),"")</f>
        <v/>
      </c>
      <c r="L1086" s="61" t="str">
        <f>IFERROR(__xludf.DUMMYFUNCTION("INDIRECT(""'收支紀錄'!L""&amp;TO_TEXT(ROW()-$C$72))"),"")</f>
        <v/>
      </c>
      <c r="M1086" s="61" t="str">
        <f>IFERROR(__xludf.DUMMYFUNCTION("INDIRECT(""'收支紀錄'!M""&amp;TO_TEXT(ROW()-$C$72))"),"")</f>
        <v/>
      </c>
      <c r="N1086" s="61" t="str">
        <f>IFERROR(__xludf.DUMMYFUNCTION("INDIRECT(""'收支紀錄'!N""&amp;TO_TEXT(ROW()-$C$72))"),"")</f>
        <v/>
      </c>
      <c r="O1086" s="61" t="str">
        <f>IFERROR(__xludf.DUMMYFUNCTION("INDIRECT(""'收支紀錄'!O""&amp;TO_TEXT(ROW()-$C$72))"),"生病醫療")</f>
        <v>生病醫療</v>
      </c>
      <c r="P1086" s="61" t="str">
        <f>IFERROR(__xludf.DUMMYFUNCTION("INDIRECT(""'收支紀錄'!P""&amp;TO_TEXT(ROW()-$C$72))"),"")</f>
        <v/>
      </c>
      <c r="Q1086" s="61" t="str">
        <f>IFERROR(__xludf.DUMMYFUNCTION("INDIRECT(""'收支紀錄'!Q""&amp;TO_TEXT(ROW()-$C$72))"),"")</f>
        <v/>
      </c>
      <c r="R1086" s="61" t="str">
        <f>IFERROR(__xludf.DUMMYFUNCTION("INDIRECT(""'收支紀錄'!R""&amp;TO_TEXT(ROW()-$C$72))"),"")</f>
        <v/>
      </c>
      <c r="S1086" s="61" t="str">
        <f>IFERROR(__xludf.DUMMYFUNCTION("INDIRECT(""'收支紀錄'!S""&amp;TO_TEXT(ROW()-$C$72))"),"根管治療")</f>
        <v>根管治療</v>
      </c>
      <c r="T1086" s="61" t="str">
        <f>IFERROR(__xludf.DUMMYFUNCTION("INDIRECT(""'收支紀錄'!T""&amp;TO_TEXT(ROW()-$C$72))"),"是")</f>
        <v>是</v>
      </c>
      <c r="U1086" s="62" t="str">
        <f>IFERROR(__xludf.DUMMYFUNCTION("IF(T1086=""是"",TEXTJOIN("""", TRUE, ""$"", TO_TEXT(C1086), S1086),"""")"),"$5000根管治療")</f>
        <v>$5000根管治療</v>
      </c>
    </row>
    <row r="1087">
      <c r="A1087" s="58">
        <f>IFERROR(__xludf.DUMMYFUNCTION("INDIRECT(""'收支紀錄'!A""&amp;TO_TEXT(ROW()-$C$72))"),45884.33917681713)</f>
        <v>45884.33918</v>
      </c>
      <c r="B1087" s="59">
        <f>IFERROR(__xludf.DUMMYFUNCTION("IF(ISBLANK(D1087), """", IF(ISDATE(D1087), D1087, IF(D1087=""今天"", A1087, IF(D1087=""昨天 (-1 day)"", A1087-1, IF(D1087=""前天 (-2 days)"", A1087-2, IF(D1087=""明天 (+1 day)"", A1087+1, DATE(LEFT(D1087,4), MID(D1087,5,2), RIGHT(D1087,2))))))))"),45883.33917681713)</f>
        <v>45883.33918</v>
      </c>
      <c r="C1087" s="60">
        <f>IFERROR(__xludf.DUMMYFUNCTION("INDIRECT(""'收支紀錄'!C""&amp;TO_TEXT(ROW()-$C$72))"),150.0)</f>
        <v>150</v>
      </c>
      <c r="D1087" s="63" t="str">
        <f>IFERROR(__xludf.DUMMYFUNCTION("INDIRECT(""'收支紀錄'!D""&amp;TO_TEXT(ROW()-$C$72))"),"昨天 (-1 day)")</f>
        <v>昨天 (-1 day)</v>
      </c>
      <c r="E1087" s="61" t="str">
        <f>IFERROR(__xludf.DUMMYFUNCTION("INDIRECT(""'收支紀錄'!E""&amp;TO_TEXT(ROW()-$C$72))"),"")</f>
        <v/>
      </c>
      <c r="F1087" s="61" t="str">
        <f>IFERROR(__xludf.DUMMYFUNCTION("INDIRECT(""'收支紀錄'!F""&amp;TO_TEXT(ROW()-$C$72))"),"")</f>
        <v/>
      </c>
      <c r="G1087" s="61" t="str">
        <f>IFERROR(__xludf.DUMMYFUNCTION("INDIRECT(""'收支紀錄'!G""&amp;TO_TEXT(ROW()-$C$72))"),"")</f>
        <v/>
      </c>
      <c r="H1087" s="61" t="str">
        <f>IFERROR(__xludf.DUMMYFUNCTION("INDIRECT(""'收支紀錄'!H""&amp;TO_TEXT(ROW()-$C$72))"),"食品酒水")</f>
        <v>食品酒水</v>
      </c>
      <c r="I1087" s="61" t="str">
        <f>IFERROR(__xludf.DUMMYFUNCTION("INDIRECT(""'收支紀錄'!I""&amp;TO_TEXT(ROW()-$C$72))"),"午餐")</f>
        <v>午餐</v>
      </c>
      <c r="J1087" s="61" t="str">
        <f>IFERROR(__xludf.DUMMYFUNCTION("INDIRECT(""'收支紀錄'!J""&amp;TO_TEXT(ROW()-$C$72))"),"")</f>
        <v/>
      </c>
      <c r="K1087" s="61" t="str">
        <f>IFERROR(__xludf.DUMMYFUNCTION("INDIRECT(""'收支紀錄'!K""&amp;TO_TEXT(ROW()-$C$72))"),"")</f>
        <v/>
      </c>
      <c r="L1087" s="61" t="str">
        <f>IFERROR(__xludf.DUMMYFUNCTION("INDIRECT(""'收支紀錄'!L""&amp;TO_TEXT(ROW()-$C$72))"),"")</f>
        <v/>
      </c>
      <c r="M1087" s="61" t="str">
        <f>IFERROR(__xludf.DUMMYFUNCTION("INDIRECT(""'收支紀錄'!M""&amp;TO_TEXT(ROW()-$C$72))"),"")</f>
        <v/>
      </c>
      <c r="N1087" s="61" t="str">
        <f>IFERROR(__xludf.DUMMYFUNCTION("INDIRECT(""'收支紀錄'!N""&amp;TO_TEXT(ROW()-$C$72))"),"")</f>
        <v/>
      </c>
      <c r="O1087" s="61" t="str">
        <f>IFERROR(__xludf.DUMMYFUNCTION("INDIRECT(""'收支紀錄'!O""&amp;TO_TEXT(ROW()-$C$72))"),"")</f>
        <v/>
      </c>
      <c r="P1087" s="61" t="str">
        <f>IFERROR(__xludf.DUMMYFUNCTION("INDIRECT(""'收支紀錄'!P""&amp;TO_TEXT(ROW()-$C$72))"),"")</f>
        <v/>
      </c>
      <c r="Q1087" s="61" t="str">
        <f>IFERROR(__xludf.DUMMYFUNCTION("INDIRECT(""'收支紀錄'!Q""&amp;TO_TEXT(ROW()-$C$72))"),"")</f>
        <v/>
      </c>
      <c r="R1087" s="61" t="str">
        <f>IFERROR(__xludf.DUMMYFUNCTION("INDIRECT(""'收支紀錄'!R""&amp;TO_TEXT(ROW()-$C$72))"),"")</f>
        <v/>
      </c>
      <c r="S1087" s="61" t="str">
        <f>IFERROR(__xludf.DUMMYFUNCTION("INDIRECT(""'收支紀錄'!S""&amp;TO_TEXT(ROW()-$C$72))"),"")</f>
        <v/>
      </c>
      <c r="T1087" s="61" t="str">
        <f>IFERROR(__xludf.DUMMYFUNCTION("INDIRECT(""'收支紀錄'!T""&amp;TO_TEXT(ROW()-$C$72))"),"")</f>
        <v/>
      </c>
      <c r="U1087" s="62" t="str">
        <f>IFERROR(__xludf.DUMMYFUNCTION("IF(T1087=""是"",TEXTJOIN("""", TRUE, ""$"", TO_TEXT(C1087), S1087),"""")"),"")</f>
        <v/>
      </c>
    </row>
    <row r="1088">
      <c r="A1088" s="58">
        <f>IFERROR(__xludf.DUMMYFUNCTION("INDIRECT(""'收支紀錄'!A""&amp;TO_TEXT(ROW()-$C$72))"),45884.79372306713)</f>
        <v>45884.79372</v>
      </c>
      <c r="B1088" s="59">
        <f>IFERROR(__xludf.DUMMYFUNCTION("IF(ISBLANK(D1088), """", IF(ISDATE(D1088), D1088, IF(D1088=""今天"", A1088, IF(D1088=""昨天 (-1 day)"", A1088-1, IF(D1088=""前天 (-2 days)"", A1088-2, IF(D1088=""明天 (+1 day)"", A1088+1, DATE(LEFT(D1088,4), MID(D1088,5,2), RIGHT(D1088,2))))))))"),45884.79372306713)</f>
        <v>45884.79372</v>
      </c>
      <c r="C1088" s="60">
        <f>IFERROR(__xludf.DUMMYFUNCTION("INDIRECT(""'收支紀錄'!C""&amp;TO_TEXT(ROW()-$C$72))"),699.0)</f>
        <v>699</v>
      </c>
      <c r="D1088" s="63" t="str">
        <f>IFERROR(__xludf.DUMMYFUNCTION("INDIRECT(""'收支紀錄'!D""&amp;TO_TEXT(ROW()-$C$72))"),"今天")</f>
        <v>今天</v>
      </c>
      <c r="E1088" s="61" t="str">
        <f>IFERROR(__xludf.DUMMYFUNCTION("INDIRECT(""'收支紀錄'!E""&amp;TO_TEXT(ROW()-$C$72))"),"")</f>
        <v/>
      </c>
      <c r="F1088" s="61" t="str">
        <f>IFERROR(__xludf.DUMMYFUNCTION("INDIRECT(""'收支紀錄'!F""&amp;TO_TEXT(ROW()-$C$72))"),"")</f>
        <v/>
      </c>
      <c r="G1088" s="61" t="str">
        <f>IFERROR(__xludf.DUMMYFUNCTION("INDIRECT(""'收支紀錄'!G""&amp;TO_TEXT(ROW()-$C$72))"),"")</f>
        <v/>
      </c>
      <c r="H1088" s="61" t="str">
        <f>IFERROR(__xludf.DUMMYFUNCTION("INDIRECT(""'收支紀錄'!H""&amp;TO_TEXT(ROW()-$C$72))"),"行車交通")</f>
        <v>行車交通</v>
      </c>
      <c r="I1088" s="61" t="str">
        <f>IFERROR(__xludf.DUMMYFUNCTION("INDIRECT(""'收支紀錄'!I""&amp;TO_TEXT(ROW()-$C$72))"),"")</f>
        <v/>
      </c>
      <c r="J1088" s="61" t="str">
        <f>IFERROR(__xludf.DUMMYFUNCTION("INDIRECT(""'收支紀錄'!J""&amp;TO_TEXT(ROW()-$C$72))"),"")</f>
        <v/>
      </c>
      <c r="K1088" s="61" t="str">
        <f>IFERROR(__xludf.DUMMYFUNCTION("INDIRECT(""'收支紀錄'!K""&amp;TO_TEXT(ROW()-$C$72))"),"")</f>
        <v/>
      </c>
      <c r="L1088" s="61" t="str">
        <f>IFERROR(__xludf.DUMMYFUNCTION("INDIRECT(""'收支紀錄'!L""&amp;TO_TEXT(ROW()-$C$72))"),"捷運費")</f>
        <v>捷運費</v>
      </c>
      <c r="M1088" s="61" t="str">
        <f>IFERROR(__xludf.DUMMYFUNCTION("INDIRECT(""'收支紀錄'!M""&amp;TO_TEXT(ROW()-$C$72))"),"")</f>
        <v/>
      </c>
      <c r="N1088" s="61" t="str">
        <f>IFERROR(__xludf.DUMMYFUNCTION("INDIRECT(""'收支紀錄'!N""&amp;TO_TEXT(ROW()-$C$72))"),"")</f>
        <v/>
      </c>
      <c r="O1088" s="61" t="str">
        <f>IFERROR(__xludf.DUMMYFUNCTION("INDIRECT(""'收支紀錄'!O""&amp;TO_TEXT(ROW()-$C$72))"),"")</f>
        <v/>
      </c>
      <c r="P1088" s="61" t="str">
        <f>IFERROR(__xludf.DUMMYFUNCTION("INDIRECT(""'收支紀錄'!P""&amp;TO_TEXT(ROW()-$C$72))"),"")</f>
        <v/>
      </c>
      <c r="Q1088" s="61" t="str">
        <f>IFERROR(__xludf.DUMMYFUNCTION("INDIRECT(""'收支紀錄'!Q""&amp;TO_TEXT(ROW()-$C$72))"),"")</f>
        <v/>
      </c>
      <c r="R1088" s="61" t="str">
        <f>IFERROR(__xludf.DUMMYFUNCTION("INDIRECT(""'收支紀錄'!R""&amp;TO_TEXT(ROW()-$C$72))"),"")</f>
        <v/>
      </c>
      <c r="S1088" s="61" t="str">
        <f>IFERROR(__xludf.DUMMYFUNCTION("INDIRECT(""'收支紀錄'!S""&amp;TO_TEXT(ROW()-$C$72))"),"")</f>
        <v/>
      </c>
      <c r="T1088" s="61" t="str">
        <f>IFERROR(__xludf.DUMMYFUNCTION("INDIRECT(""'收支紀錄'!T""&amp;TO_TEXT(ROW()-$C$72))"),"")</f>
        <v/>
      </c>
      <c r="U1088" s="62" t="str">
        <f>IFERROR(__xludf.DUMMYFUNCTION("IF(T1088=""是"",TEXTJOIN("""", TRUE, ""$"", TO_TEXT(C1088), S1088),"""")"),"")</f>
        <v/>
      </c>
    </row>
    <row r="1089">
      <c r="A1089" s="58">
        <f>IFERROR(__xludf.DUMMYFUNCTION("INDIRECT(""'收支紀錄'!A""&amp;TO_TEXT(ROW()-$C$72))"),45884.803297997685)</f>
        <v>45884.8033</v>
      </c>
      <c r="B1089" s="59">
        <f>IFERROR(__xludf.DUMMYFUNCTION("IF(ISBLANK(D1089), """", IF(ISDATE(D1089), D1089, IF(D1089=""今天"", A1089, IF(D1089=""昨天 (-1 day)"", A1089-1, IF(D1089=""前天 (-2 days)"", A1089-2, IF(D1089=""明天 (+1 day)"", A1089+1, DATE(LEFT(D1089,4), MID(D1089,5,2), RIGHT(D1089,2))))))))"),45884.803297997685)</f>
        <v>45884.8033</v>
      </c>
      <c r="C1089" s="60">
        <f>IFERROR(__xludf.DUMMYFUNCTION("INDIRECT(""'收支紀錄'!C""&amp;TO_TEXT(ROW()-$C$72))"),302.0)</f>
        <v>302</v>
      </c>
      <c r="D1089" s="63" t="str">
        <f>IFERROR(__xludf.DUMMYFUNCTION("INDIRECT(""'收支紀錄'!D""&amp;TO_TEXT(ROW()-$C$72))"),"今天")</f>
        <v>今天</v>
      </c>
      <c r="E1089" s="61" t="str">
        <f>IFERROR(__xludf.DUMMYFUNCTION("INDIRECT(""'收支紀錄'!E""&amp;TO_TEXT(ROW()-$C$72))"),"")</f>
        <v/>
      </c>
      <c r="F1089" s="61" t="str">
        <f>IFERROR(__xludf.DUMMYFUNCTION("INDIRECT(""'收支紀錄'!F""&amp;TO_TEXT(ROW()-$C$72))"),"")</f>
        <v/>
      </c>
      <c r="G1089" s="61" t="str">
        <f>IFERROR(__xludf.DUMMYFUNCTION("INDIRECT(""'收支紀錄'!G""&amp;TO_TEXT(ROW()-$C$72))"),"")</f>
        <v/>
      </c>
      <c r="H1089" s="61" t="str">
        <f>IFERROR(__xludf.DUMMYFUNCTION("INDIRECT(""'收支紀錄'!H""&amp;TO_TEXT(ROW()-$C$72))"),"進修學習")</f>
        <v>進修學習</v>
      </c>
      <c r="I1089" s="61" t="str">
        <f>IFERROR(__xludf.DUMMYFUNCTION("INDIRECT(""'收支紀錄'!I""&amp;TO_TEXT(ROW()-$C$72))"),"")</f>
        <v/>
      </c>
      <c r="J1089" s="61" t="str">
        <f>IFERROR(__xludf.DUMMYFUNCTION("INDIRECT(""'收支紀錄'!J""&amp;TO_TEXT(ROW()-$C$72))"),"")</f>
        <v/>
      </c>
      <c r="K1089" s="61" t="str">
        <f>IFERROR(__xludf.DUMMYFUNCTION("INDIRECT(""'收支紀錄'!K""&amp;TO_TEXT(ROW()-$C$72))"),"")</f>
        <v/>
      </c>
      <c r="L1089" s="61" t="str">
        <f>IFERROR(__xludf.DUMMYFUNCTION("INDIRECT(""'收支紀錄'!L""&amp;TO_TEXT(ROW()-$C$72))"),"")</f>
        <v/>
      </c>
      <c r="M1089" s="61" t="str">
        <f>IFERROR(__xludf.DUMMYFUNCTION("INDIRECT(""'收支紀錄'!M""&amp;TO_TEXT(ROW()-$C$72))"),"")</f>
        <v/>
      </c>
      <c r="N1089" s="61" t="str">
        <f>IFERROR(__xludf.DUMMYFUNCTION("INDIRECT(""'收支紀錄'!N""&amp;TO_TEXT(ROW()-$C$72))"),"")</f>
        <v/>
      </c>
      <c r="O1089" s="61" t="str">
        <f>IFERROR(__xludf.DUMMYFUNCTION("INDIRECT(""'收支紀錄'!O""&amp;TO_TEXT(ROW()-$C$72))"),"")</f>
        <v/>
      </c>
      <c r="P1089" s="61" t="str">
        <f>IFERROR(__xludf.DUMMYFUNCTION("INDIRECT(""'收支紀錄'!P""&amp;TO_TEXT(ROW()-$C$72))"),"書報雜誌")</f>
        <v>書報雜誌</v>
      </c>
      <c r="Q1089" s="61" t="str">
        <f>IFERROR(__xludf.DUMMYFUNCTION("INDIRECT(""'收支紀錄'!Q""&amp;TO_TEXT(ROW()-$C$72))"),"")</f>
        <v/>
      </c>
      <c r="R1089" s="61" t="str">
        <f>IFERROR(__xludf.DUMMYFUNCTION("INDIRECT(""'收支紀錄'!R""&amp;TO_TEXT(ROW()-$C$72))"),"")</f>
        <v/>
      </c>
      <c r="S1089" s="61" t="str">
        <f>IFERROR(__xludf.DUMMYFUNCTION("INDIRECT(""'收支紀錄'!S""&amp;TO_TEXT(ROW()-$C$72))"),"")</f>
        <v/>
      </c>
      <c r="T1089" s="61" t="str">
        <f>IFERROR(__xludf.DUMMYFUNCTION("INDIRECT(""'收支紀錄'!T""&amp;TO_TEXT(ROW()-$C$72))"),"")</f>
        <v/>
      </c>
      <c r="U1089" s="62" t="str">
        <f>IFERROR(__xludf.DUMMYFUNCTION("IF(T1089=""是"",TEXTJOIN("""", TRUE, ""$"", TO_TEXT(C1089), S1089),"""")"),"")</f>
        <v/>
      </c>
    </row>
    <row r="1090">
      <c r="A1090" s="58">
        <f>IFERROR(__xludf.DUMMYFUNCTION("INDIRECT(""'收支紀錄'!A""&amp;TO_TEXT(ROW()-$C$72))"),45885.82248702546)</f>
        <v>45885.82249</v>
      </c>
      <c r="B1090" s="59">
        <f>IFERROR(__xludf.DUMMYFUNCTION("IF(ISBLANK(D1090), """", IF(ISDATE(D1090), D1090, IF(D1090=""今天"", A1090, IF(D1090=""昨天 (-1 day)"", A1090-1, IF(D1090=""前天 (-2 days)"", A1090-2, IF(D1090=""明天 (+1 day)"", A1090+1, DATE(LEFT(D1090,4), MID(D1090,5,2), RIGHT(D1090,2))))))))"),45885.82248702546)</f>
        <v>45885.82249</v>
      </c>
      <c r="C1090" s="60">
        <f>IFERROR(__xludf.DUMMYFUNCTION("INDIRECT(""'收支紀錄'!C""&amp;TO_TEXT(ROW()-$C$72))"),1097.0)</f>
        <v>1097</v>
      </c>
      <c r="D1090" s="63" t="str">
        <f>IFERROR(__xludf.DUMMYFUNCTION("INDIRECT(""'收支紀錄'!D""&amp;TO_TEXT(ROW()-$C$72))"),"今天")</f>
        <v>今天</v>
      </c>
      <c r="E1090" s="61" t="str">
        <f>IFERROR(__xludf.DUMMYFUNCTION("INDIRECT(""'收支紀錄'!E""&amp;TO_TEXT(ROW()-$C$72))"),"")</f>
        <v/>
      </c>
      <c r="F1090" s="61" t="str">
        <f>IFERROR(__xludf.DUMMYFUNCTION("INDIRECT(""'收支紀錄'!F""&amp;TO_TEXT(ROW()-$C$72))"),"")</f>
        <v/>
      </c>
      <c r="G1090" s="61" t="str">
        <f>IFERROR(__xludf.DUMMYFUNCTION("INDIRECT(""'收支紀錄'!G""&amp;TO_TEXT(ROW()-$C$72))"),"")</f>
        <v/>
      </c>
      <c r="H1090" s="61" t="str">
        <f>IFERROR(__xludf.DUMMYFUNCTION("INDIRECT(""'收支紀錄'!H""&amp;TO_TEXT(ROW()-$C$72))"),"食品酒水")</f>
        <v>食品酒水</v>
      </c>
      <c r="I1090" s="61" t="str">
        <f>IFERROR(__xludf.DUMMYFUNCTION("INDIRECT(""'收支紀錄'!I""&amp;TO_TEXT(ROW()-$C$72))"),"午餐")</f>
        <v>午餐</v>
      </c>
      <c r="J1090" s="61" t="str">
        <f>IFERROR(__xludf.DUMMYFUNCTION("INDIRECT(""'收支紀錄'!J""&amp;TO_TEXT(ROW()-$C$72))"),"")</f>
        <v/>
      </c>
      <c r="K1090" s="61" t="str">
        <f>IFERROR(__xludf.DUMMYFUNCTION("INDIRECT(""'收支紀錄'!K""&amp;TO_TEXT(ROW()-$C$72))"),"")</f>
        <v/>
      </c>
      <c r="L1090" s="61" t="str">
        <f>IFERROR(__xludf.DUMMYFUNCTION("INDIRECT(""'收支紀錄'!L""&amp;TO_TEXT(ROW()-$C$72))"),"")</f>
        <v/>
      </c>
      <c r="M1090" s="61" t="str">
        <f>IFERROR(__xludf.DUMMYFUNCTION("INDIRECT(""'收支紀錄'!M""&amp;TO_TEXT(ROW()-$C$72))"),"")</f>
        <v/>
      </c>
      <c r="N1090" s="61" t="str">
        <f>IFERROR(__xludf.DUMMYFUNCTION("INDIRECT(""'收支紀錄'!N""&amp;TO_TEXT(ROW()-$C$72))"),"")</f>
        <v/>
      </c>
      <c r="O1090" s="61" t="str">
        <f>IFERROR(__xludf.DUMMYFUNCTION("INDIRECT(""'收支紀錄'!O""&amp;TO_TEXT(ROW()-$C$72))"),"")</f>
        <v/>
      </c>
      <c r="P1090" s="61" t="str">
        <f>IFERROR(__xludf.DUMMYFUNCTION("INDIRECT(""'收支紀錄'!P""&amp;TO_TEXT(ROW()-$C$72))"),"")</f>
        <v/>
      </c>
      <c r="Q1090" s="61" t="str">
        <f>IFERROR(__xludf.DUMMYFUNCTION("INDIRECT(""'收支紀錄'!Q""&amp;TO_TEXT(ROW()-$C$72))"),"")</f>
        <v/>
      </c>
      <c r="R1090" s="61" t="str">
        <f>IFERROR(__xludf.DUMMYFUNCTION("INDIRECT(""'收支紀錄'!R""&amp;TO_TEXT(ROW()-$C$72))"),"")</f>
        <v/>
      </c>
      <c r="S1090" s="61" t="str">
        <f>IFERROR(__xludf.DUMMYFUNCTION("INDIRECT(""'收支紀錄'!S""&amp;TO_TEXT(ROW()-$C$72))"),"")</f>
        <v/>
      </c>
      <c r="T1090" s="61" t="str">
        <f>IFERROR(__xludf.DUMMYFUNCTION("INDIRECT(""'收支紀錄'!T""&amp;TO_TEXT(ROW()-$C$72))"),"")</f>
        <v/>
      </c>
      <c r="U1090" s="62" t="str">
        <f>IFERROR(__xludf.DUMMYFUNCTION("IF(T1090=""是"",TEXTJOIN("""", TRUE, ""$"", TO_TEXT(C1090), S1090),"""")"),"")</f>
        <v/>
      </c>
    </row>
    <row r="1091">
      <c r="A1091" s="58">
        <f>IFERROR(__xludf.DUMMYFUNCTION("INDIRECT(""'收支紀錄'!A""&amp;TO_TEXT(ROW()-$C$72))"),45885.82267061343)</f>
        <v>45885.82267</v>
      </c>
      <c r="B1091" s="59">
        <f>IFERROR(__xludf.DUMMYFUNCTION("IF(ISBLANK(D1091), """", IF(ISDATE(D1091), D1091, IF(D1091=""今天"", A1091, IF(D1091=""昨天 (-1 day)"", A1091-1, IF(D1091=""前天 (-2 days)"", A1091-2, IF(D1091=""明天 (+1 day)"", A1091+1, DATE(LEFT(D1091,4), MID(D1091,5,2), RIGHT(D1091,2))))))))"),45885.82267061343)</f>
        <v>45885.82267</v>
      </c>
      <c r="C1091" s="60">
        <f>IFERROR(__xludf.DUMMYFUNCTION("INDIRECT(""'收支紀錄'!C""&amp;TO_TEXT(ROW()-$C$72))"),868.0)</f>
        <v>868</v>
      </c>
      <c r="D1091" s="63" t="str">
        <f>IFERROR(__xludf.DUMMYFUNCTION("INDIRECT(""'收支紀錄'!D""&amp;TO_TEXT(ROW()-$C$72))"),"今天")</f>
        <v>今天</v>
      </c>
      <c r="E1091" s="61" t="str">
        <f>IFERROR(__xludf.DUMMYFUNCTION("INDIRECT(""'收支紀錄'!E""&amp;TO_TEXT(ROW()-$C$72))"),"")</f>
        <v/>
      </c>
      <c r="F1091" s="61" t="str">
        <f>IFERROR(__xludf.DUMMYFUNCTION("INDIRECT(""'收支紀錄'!F""&amp;TO_TEXT(ROW()-$C$72))"),"")</f>
        <v/>
      </c>
      <c r="G1091" s="61" t="str">
        <f>IFERROR(__xludf.DUMMYFUNCTION("INDIRECT(""'收支紀錄'!G""&amp;TO_TEXT(ROW()-$C$72))"),"")</f>
        <v/>
      </c>
      <c r="H1091" s="61" t="str">
        <f>IFERROR(__xludf.DUMMYFUNCTION("INDIRECT(""'收支紀錄'!H""&amp;TO_TEXT(ROW()-$C$72))"),"食品酒水")</f>
        <v>食品酒水</v>
      </c>
      <c r="I1091" s="61" t="str">
        <f>IFERROR(__xludf.DUMMYFUNCTION("INDIRECT(""'收支紀錄'!I""&amp;TO_TEXT(ROW()-$C$72))"),"食材")</f>
        <v>食材</v>
      </c>
      <c r="J1091" s="61" t="str">
        <f>IFERROR(__xludf.DUMMYFUNCTION("INDIRECT(""'收支紀錄'!J""&amp;TO_TEXT(ROW()-$C$72))"),"")</f>
        <v/>
      </c>
      <c r="K1091" s="61" t="str">
        <f>IFERROR(__xludf.DUMMYFUNCTION("INDIRECT(""'收支紀錄'!K""&amp;TO_TEXT(ROW()-$C$72))"),"")</f>
        <v/>
      </c>
      <c r="L1091" s="61" t="str">
        <f>IFERROR(__xludf.DUMMYFUNCTION("INDIRECT(""'收支紀錄'!L""&amp;TO_TEXT(ROW()-$C$72))"),"")</f>
        <v/>
      </c>
      <c r="M1091" s="61" t="str">
        <f>IFERROR(__xludf.DUMMYFUNCTION("INDIRECT(""'收支紀錄'!M""&amp;TO_TEXT(ROW()-$C$72))"),"")</f>
        <v/>
      </c>
      <c r="N1091" s="61" t="str">
        <f>IFERROR(__xludf.DUMMYFUNCTION("INDIRECT(""'收支紀錄'!N""&amp;TO_TEXT(ROW()-$C$72))"),"")</f>
        <v/>
      </c>
      <c r="O1091" s="61" t="str">
        <f>IFERROR(__xludf.DUMMYFUNCTION("INDIRECT(""'收支紀錄'!O""&amp;TO_TEXT(ROW()-$C$72))"),"")</f>
        <v/>
      </c>
      <c r="P1091" s="61" t="str">
        <f>IFERROR(__xludf.DUMMYFUNCTION("INDIRECT(""'收支紀錄'!P""&amp;TO_TEXT(ROW()-$C$72))"),"")</f>
        <v/>
      </c>
      <c r="Q1091" s="61" t="str">
        <f>IFERROR(__xludf.DUMMYFUNCTION("INDIRECT(""'收支紀錄'!Q""&amp;TO_TEXT(ROW()-$C$72))"),"")</f>
        <v/>
      </c>
      <c r="R1091" s="61" t="str">
        <f>IFERROR(__xludf.DUMMYFUNCTION("INDIRECT(""'收支紀錄'!R""&amp;TO_TEXT(ROW()-$C$72))"),"")</f>
        <v/>
      </c>
      <c r="S1091" s="61" t="str">
        <f>IFERROR(__xludf.DUMMYFUNCTION("INDIRECT(""'收支紀錄'!S""&amp;TO_TEXT(ROW()-$C$72))"),"")</f>
        <v/>
      </c>
      <c r="T1091" s="61" t="str">
        <f>IFERROR(__xludf.DUMMYFUNCTION("INDIRECT(""'收支紀錄'!T""&amp;TO_TEXT(ROW()-$C$72))"),"")</f>
        <v/>
      </c>
      <c r="U1091" s="62" t="str">
        <f>IFERROR(__xludf.DUMMYFUNCTION("IF(T1091=""是"",TEXTJOIN("""", TRUE, ""$"", TO_TEXT(C1091), S1091),"""")"),"")</f>
        <v/>
      </c>
    </row>
    <row r="1092">
      <c r="A1092" s="58">
        <f>IFERROR(__xludf.DUMMYFUNCTION("INDIRECT(""'收支紀錄'!A""&amp;TO_TEXT(ROW()-$C$72))"),45886.32187753472)</f>
        <v>45886.32188</v>
      </c>
      <c r="B1092" s="59">
        <f>IFERROR(__xludf.DUMMYFUNCTION("IF(ISBLANK(D1092), """", IF(ISDATE(D1092), D1092, IF(D1092=""今天"", A1092, IF(D1092=""昨天 (-1 day)"", A1092-1, IF(D1092=""前天 (-2 days)"", A1092-2, IF(D1092=""明天 (+1 day)"", A1092+1, DATE(LEFT(D1092,4), MID(D1092,5,2), RIGHT(D1092,2))))))))"),45886.32187753472)</f>
        <v>45886.32188</v>
      </c>
      <c r="C1092" s="60">
        <f>IFERROR(__xludf.DUMMYFUNCTION("INDIRECT(""'收支紀錄'!C""&amp;TO_TEXT(ROW()-$C$72))"),110.0)</f>
        <v>110</v>
      </c>
      <c r="D1092" s="63" t="str">
        <f>IFERROR(__xludf.DUMMYFUNCTION("INDIRECT(""'收支紀錄'!D""&amp;TO_TEXT(ROW()-$C$72))"),"今天")</f>
        <v>今天</v>
      </c>
      <c r="E1092" s="61" t="str">
        <f>IFERROR(__xludf.DUMMYFUNCTION("INDIRECT(""'收支紀錄'!E""&amp;TO_TEXT(ROW()-$C$72))"),"")</f>
        <v/>
      </c>
      <c r="F1092" s="61" t="str">
        <f>IFERROR(__xludf.DUMMYFUNCTION("INDIRECT(""'收支紀錄'!F""&amp;TO_TEXT(ROW()-$C$72))"),"")</f>
        <v/>
      </c>
      <c r="G1092" s="61" t="str">
        <f>IFERROR(__xludf.DUMMYFUNCTION("INDIRECT(""'收支紀錄'!G""&amp;TO_TEXT(ROW()-$C$72))"),"")</f>
        <v/>
      </c>
      <c r="H1092" s="61" t="str">
        <f>IFERROR(__xludf.DUMMYFUNCTION("INDIRECT(""'收支紀錄'!H""&amp;TO_TEXT(ROW()-$C$72))"),"休閒娛樂")</f>
        <v>休閒娛樂</v>
      </c>
      <c r="I1092" s="61" t="str">
        <f>IFERROR(__xludf.DUMMYFUNCTION("INDIRECT(""'收支紀錄'!I""&amp;TO_TEXT(ROW()-$C$72))"),"")</f>
        <v/>
      </c>
      <c r="J1092" s="61" t="str">
        <f>IFERROR(__xludf.DUMMYFUNCTION("INDIRECT(""'收支紀錄'!J""&amp;TO_TEXT(ROW()-$C$72))"),"")</f>
        <v/>
      </c>
      <c r="K1092" s="61" t="str">
        <f>IFERROR(__xludf.DUMMYFUNCTION("INDIRECT(""'收支紀錄'!K""&amp;TO_TEXT(ROW()-$C$72))"),"")</f>
        <v/>
      </c>
      <c r="L1092" s="61" t="str">
        <f>IFERROR(__xludf.DUMMYFUNCTION("INDIRECT(""'收支紀錄'!L""&amp;TO_TEXT(ROW()-$C$72))"),"")</f>
        <v/>
      </c>
      <c r="M1092" s="61" t="str">
        <f>IFERROR(__xludf.DUMMYFUNCTION("INDIRECT(""'收支紀錄'!M""&amp;TO_TEXT(ROW()-$C$72))"),"運動健身")</f>
        <v>運動健身</v>
      </c>
      <c r="N1092" s="61" t="str">
        <f>IFERROR(__xludf.DUMMYFUNCTION("INDIRECT(""'收支紀錄'!N""&amp;TO_TEXT(ROW()-$C$72))"),"")</f>
        <v/>
      </c>
      <c r="O1092" s="61" t="str">
        <f>IFERROR(__xludf.DUMMYFUNCTION("INDIRECT(""'收支紀錄'!O""&amp;TO_TEXT(ROW()-$C$72))"),"")</f>
        <v/>
      </c>
      <c r="P1092" s="61" t="str">
        <f>IFERROR(__xludf.DUMMYFUNCTION("INDIRECT(""'收支紀錄'!P""&amp;TO_TEXT(ROW()-$C$72))"),"")</f>
        <v/>
      </c>
      <c r="Q1092" s="61" t="str">
        <f>IFERROR(__xludf.DUMMYFUNCTION("INDIRECT(""'收支紀錄'!Q""&amp;TO_TEXT(ROW()-$C$72))"),"")</f>
        <v/>
      </c>
      <c r="R1092" s="61" t="str">
        <f>IFERROR(__xludf.DUMMYFUNCTION("INDIRECT(""'收支紀錄'!R""&amp;TO_TEXT(ROW()-$C$72))"),"")</f>
        <v/>
      </c>
      <c r="S1092" s="61" t="str">
        <f>IFERROR(__xludf.DUMMYFUNCTION("INDIRECT(""'收支紀錄'!S""&amp;TO_TEXT(ROW()-$C$72))"),"")</f>
        <v/>
      </c>
      <c r="T1092" s="61" t="str">
        <f>IFERROR(__xludf.DUMMYFUNCTION("INDIRECT(""'收支紀錄'!T""&amp;TO_TEXT(ROW()-$C$72))"),"")</f>
        <v/>
      </c>
      <c r="U1092" s="62" t="str">
        <f>IFERROR(__xludf.DUMMYFUNCTION("IF(T1092=""是"",TEXTJOIN("""", TRUE, ""$"", TO_TEXT(C1092), S1092),"""")"),"")</f>
        <v/>
      </c>
    </row>
    <row r="1093">
      <c r="A1093" s="58">
        <f>IFERROR(__xludf.DUMMYFUNCTION("INDIRECT(""'收支紀錄'!A""&amp;TO_TEXT(ROW()-$C$72))"),45886.47676600695)</f>
        <v>45886.47677</v>
      </c>
      <c r="B1093" s="59">
        <f>IFERROR(__xludf.DUMMYFUNCTION("IF(ISBLANK(D1093), """", IF(ISDATE(D1093), D1093, IF(D1093=""今天"", A1093, IF(D1093=""昨天 (-1 day)"", A1093-1, IF(D1093=""前天 (-2 days)"", A1093-2, IF(D1093=""明天 (+1 day)"", A1093+1, DATE(LEFT(D1093,4), MID(D1093,5,2), RIGHT(D1093,2))))))))"),45886.47676600695)</f>
        <v>45886.47677</v>
      </c>
      <c r="C1093" s="60">
        <f>IFERROR(__xludf.DUMMYFUNCTION("INDIRECT(""'收支紀錄'!C""&amp;TO_TEXT(ROW()-$C$72))"),337.0)</f>
        <v>337</v>
      </c>
      <c r="D1093" s="63" t="str">
        <f>IFERROR(__xludf.DUMMYFUNCTION("INDIRECT(""'收支紀錄'!D""&amp;TO_TEXT(ROW()-$C$72))"),"今天")</f>
        <v>今天</v>
      </c>
      <c r="E1093" s="61" t="str">
        <f>IFERROR(__xludf.DUMMYFUNCTION("INDIRECT(""'收支紀錄'!E""&amp;TO_TEXT(ROW()-$C$72))"),"")</f>
        <v/>
      </c>
      <c r="F1093" s="61" t="str">
        <f>IFERROR(__xludf.DUMMYFUNCTION("INDIRECT(""'收支紀錄'!F""&amp;TO_TEXT(ROW()-$C$72))"),"")</f>
        <v/>
      </c>
      <c r="G1093" s="61" t="str">
        <f>IFERROR(__xludf.DUMMYFUNCTION("INDIRECT(""'收支紀錄'!G""&amp;TO_TEXT(ROW()-$C$72))"),"")</f>
        <v/>
      </c>
      <c r="H1093" s="61" t="str">
        <f>IFERROR(__xludf.DUMMYFUNCTION("INDIRECT(""'收支紀錄'!H""&amp;TO_TEXT(ROW()-$C$72))"),"行車交通")</f>
        <v>行車交通</v>
      </c>
      <c r="I1093" s="61" t="str">
        <f>IFERROR(__xludf.DUMMYFUNCTION("INDIRECT(""'收支紀錄'!I""&amp;TO_TEXT(ROW()-$C$72))"),"")</f>
        <v/>
      </c>
      <c r="J1093" s="61" t="str">
        <f>IFERROR(__xludf.DUMMYFUNCTION("INDIRECT(""'收支紀錄'!J""&amp;TO_TEXT(ROW()-$C$72))"),"")</f>
        <v/>
      </c>
      <c r="K1093" s="61" t="str">
        <f>IFERROR(__xludf.DUMMYFUNCTION("INDIRECT(""'收支紀錄'!K""&amp;TO_TEXT(ROW()-$C$72))"),"")</f>
        <v/>
      </c>
      <c r="L1093" s="61" t="str">
        <f>IFERROR(__xludf.DUMMYFUNCTION("INDIRECT(""'收支紀錄'!L""&amp;TO_TEXT(ROW()-$C$72))"),"客運費")</f>
        <v>客運費</v>
      </c>
      <c r="M1093" s="61" t="str">
        <f>IFERROR(__xludf.DUMMYFUNCTION("INDIRECT(""'收支紀錄'!M""&amp;TO_TEXT(ROW()-$C$72))"),"")</f>
        <v/>
      </c>
      <c r="N1093" s="61" t="str">
        <f>IFERROR(__xludf.DUMMYFUNCTION("INDIRECT(""'收支紀錄'!N""&amp;TO_TEXT(ROW()-$C$72))"),"")</f>
        <v/>
      </c>
      <c r="O1093" s="61" t="str">
        <f>IFERROR(__xludf.DUMMYFUNCTION("INDIRECT(""'收支紀錄'!O""&amp;TO_TEXT(ROW()-$C$72))"),"")</f>
        <v/>
      </c>
      <c r="P1093" s="61" t="str">
        <f>IFERROR(__xludf.DUMMYFUNCTION("INDIRECT(""'收支紀錄'!P""&amp;TO_TEXT(ROW()-$C$72))"),"")</f>
        <v/>
      </c>
      <c r="Q1093" s="61" t="str">
        <f>IFERROR(__xludf.DUMMYFUNCTION("INDIRECT(""'收支紀錄'!Q""&amp;TO_TEXT(ROW()-$C$72))"),"")</f>
        <v/>
      </c>
      <c r="R1093" s="61" t="str">
        <f>IFERROR(__xludf.DUMMYFUNCTION("INDIRECT(""'收支紀錄'!R""&amp;TO_TEXT(ROW()-$C$72))"),"")</f>
        <v/>
      </c>
      <c r="S1093" s="61" t="str">
        <f>IFERROR(__xludf.DUMMYFUNCTION("INDIRECT(""'收支紀錄'!S""&amp;TO_TEXT(ROW()-$C$72))"),"")</f>
        <v/>
      </c>
      <c r="T1093" s="61" t="str">
        <f>IFERROR(__xludf.DUMMYFUNCTION("INDIRECT(""'收支紀錄'!T""&amp;TO_TEXT(ROW()-$C$72))"),"")</f>
        <v/>
      </c>
      <c r="U1093" s="62" t="str">
        <f>IFERROR(__xludf.DUMMYFUNCTION("IF(T1093=""是"",TEXTJOIN("""", TRUE, ""$"", TO_TEXT(C1093), S1093),"""")"),"")</f>
        <v/>
      </c>
    </row>
    <row r="1094">
      <c r="A1094" s="58">
        <f>IFERROR(__xludf.DUMMYFUNCTION("INDIRECT(""'收支紀錄'!A""&amp;TO_TEXT(ROW()-$C$72))"),45886.921842407406)</f>
        <v>45886.92184</v>
      </c>
      <c r="B1094" s="59">
        <f>IFERROR(__xludf.DUMMYFUNCTION("IF(ISBLANK(D1094), """", IF(ISDATE(D1094), D1094, IF(D1094=""今天"", A1094, IF(D1094=""昨天 (-1 day)"", A1094-1, IF(D1094=""前天 (-2 days)"", A1094-2, IF(D1094=""明天 (+1 day)"", A1094+1, DATE(LEFT(D1094,4), MID(D1094,5,2), RIGHT(D1094,2))))))))"),45886.921842407406)</f>
        <v>45886.92184</v>
      </c>
      <c r="C1094" s="60">
        <f>IFERROR(__xludf.DUMMYFUNCTION("INDIRECT(""'收支紀錄'!C""&amp;TO_TEXT(ROW()-$C$72))"),1000.0)</f>
        <v>1000</v>
      </c>
      <c r="D1094" s="63" t="str">
        <f>IFERROR(__xludf.DUMMYFUNCTION("INDIRECT(""'收支紀錄'!D""&amp;TO_TEXT(ROW()-$C$72))"),"今天")</f>
        <v>今天</v>
      </c>
      <c r="E1094" s="61" t="str">
        <f>IFERROR(__xludf.DUMMYFUNCTION("INDIRECT(""'收支紀錄'!E""&amp;TO_TEXT(ROW()-$C$72))"),"")</f>
        <v/>
      </c>
      <c r="F1094" s="61" t="str">
        <f>IFERROR(__xludf.DUMMYFUNCTION("INDIRECT(""'收支紀錄'!F""&amp;TO_TEXT(ROW()-$C$72))"),"")</f>
        <v/>
      </c>
      <c r="G1094" s="61" t="str">
        <f>IFERROR(__xludf.DUMMYFUNCTION("INDIRECT(""'收支紀錄'!G""&amp;TO_TEXT(ROW()-$C$72))"),"")</f>
        <v/>
      </c>
      <c r="H1094" s="61" t="str">
        <f>IFERROR(__xludf.DUMMYFUNCTION("INDIRECT(""'收支紀錄'!H""&amp;TO_TEXT(ROW()-$C$72))"),"食品酒水")</f>
        <v>食品酒水</v>
      </c>
      <c r="I1094" s="61" t="str">
        <f>IFERROR(__xludf.DUMMYFUNCTION("INDIRECT(""'收支紀錄'!I""&amp;TO_TEXT(ROW()-$C$72))"),"晚餐")</f>
        <v>晚餐</v>
      </c>
      <c r="J1094" s="61" t="str">
        <f>IFERROR(__xludf.DUMMYFUNCTION("INDIRECT(""'收支紀錄'!J""&amp;TO_TEXT(ROW()-$C$72))"),"")</f>
        <v/>
      </c>
      <c r="K1094" s="61" t="str">
        <f>IFERROR(__xludf.DUMMYFUNCTION("INDIRECT(""'收支紀錄'!K""&amp;TO_TEXT(ROW()-$C$72))"),"")</f>
        <v/>
      </c>
      <c r="L1094" s="61" t="str">
        <f>IFERROR(__xludf.DUMMYFUNCTION("INDIRECT(""'收支紀錄'!L""&amp;TO_TEXT(ROW()-$C$72))"),"")</f>
        <v/>
      </c>
      <c r="M1094" s="61" t="str">
        <f>IFERROR(__xludf.DUMMYFUNCTION("INDIRECT(""'收支紀錄'!M""&amp;TO_TEXT(ROW()-$C$72))"),"")</f>
        <v/>
      </c>
      <c r="N1094" s="61" t="str">
        <f>IFERROR(__xludf.DUMMYFUNCTION("INDIRECT(""'收支紀錄'!N""&amp;TO_TEXT(ROW()-$C$72))"),"")</f>
        <v/>
      </c>
      <c r="O1094" s="61" t="str">
        <f>IFERROR(__xludf.DUMMYFUNCTION("INDIRECT(""'收支紀錄'!O""&amp;TO_TEXT(ROW()-$C$72))"),"")</f>
        <v/>
      </c>
      <c r="P1094" s="61" t="str">
        <f>IFERROR(__xludf.DUMMYFUNCTION("INDIRECT(""'收支紀錄'!P""&amp;TO_TEXT(ROW()-$C$72))"),"")</f>
        <v/>
      </c>
      <c r="Q1094" s="61" t="str">
        <f>IFERROR(__xludf.DUMMYFUNCTION("INDIRECT(""'收支紀錄'!Q""&amp;TO_TEXT(ROW()-$C$72))"),"")</f>
        <v/>
      </c>
      <c r="R1094" s="61" t="str">
        <f>IFERROR(__xludf.DUMMYFUNCTION("INDIRECT(""'收支紀錄'!R""&amp;TO_TEXT(ROW()-$C$72))"),"")</f>
        <v/>
      </c>
      <c r="S1094" s="61" t="str">
        <f>IFERROR(__xludf.DUMMYFUNCTION("INDIRECT(""'收支紀錄'!S""&amp;TO_TEXT(ROW()-$C$72))"),"")</f>
        <v/>
      </c>
      <c r="T1094" s="61" t="str">
        <f>IFERROR(__xludf.DUMMYFUNCTION("INDIRECT(""'收支紀錄'!T""&amp;TO_TEXT(ROW()-$C$72))"),"")</f>
        <v/>
      </c>
      <c r="U1094" s="62" t="str">
        <f>IFERROR(__xludf.DUMMYFUNCTION("IF(T1094=""是"",TEXTJOIN("""", TRUE, ""$"", TO_TEXT(C1094), S1094),"""")"),"")</f>
        <v/>
      </c>
    </row>
    <row r="1095">
      <c r="A1095" s="58">
        <f>IFERROR(__xludf.DUMMYFUNCTION("INDIRECT(""'收支紀錄'!A""&amp;TO_TEXT(ROW()-$C$72))"),45886.922025798616)</f>
        <v>45886.92203</v>
      </c>
      <c r="B1095" s="59">
        <f>IFERROR(__xludf.DUMMYFUNCTION("IF(ISBLANK(D1095), """", IF(ISDATE(D1095), D1095, IF(D1095=""今天"", A1095, IF(D1095=""昨天 (-1 day)"", A1095-1, IF(D1095=""前天 (-2 days)"", A1095-2, IF(D1095=""明天 (+1 day)"", A1095+1, DATE(LEFT(D1095,4), MID(D1095,5,2), RIGHT(D1095,2))))))))"),45886.922025798616)</f>
        <v>45886.92203</v>
      </c>
      <c r="C1095" s="60">
        <f>IFERROR(__xludf.DUMMYFUNCTION("INDIRECT(""'收支紀錄'!C""&amp;TO_TEXT(ROW()-$C$72))"),302.0)</f>
        <v>302</v>
      </c>
      <c r="D1095" s="63" t="str">
        <f>IFERROR(__xludf.DUMMYFUNCTION("INDIRECT(""'收支紀錄'!D""&amp;TO_TEXT(ROW()-$C$72))"),"今天")</f>
        <v>今天</v>
      </c>
      <c r="E1095" s="61" t="str">
        <f>IFERROR(__xludf.DUMMYFUNCTION("INDIRECT(""'收支紀錄'!E""&amp;TO_TEXT(ROW()-$C$72))"),"")</f>
        <v/>
      </c>
      <c r="F1095" s="61" t="str">
        <f>IFERROR(__xludf.DUMMYFUNCTION("INDIRECT(""'收支紀錄'!F""&amp;TO_TEXT(ROW()-$C$72))"),"")</f>
        <v/>
      </c>
      <c r="G1095" s="61" t="str">
        <f>IFERROR(__xludf.DUMMYFUNCTION("INDIRECT(""'收支紀錄'!G""&amp;TO_TEXT(ROW()-$C$72))"),"")</f>
        <v/>
      </c>
      <c r="H1095" s="61" t="str">
        <f>IFERROR(__xludf.DUMMYFUNCTION("INDIRECT(""'收支紀錄'!H""&amp;TO_TEXT(ROW()-$C$72))"),"行車交通")</f>
        <v>行車交通</v>
      </c>
      <c r="I1095" s="61" t="str">
        <f>IFERROR(__xludf.DUMMYFUNCTION("INDIRECT(""'收支紀錄'!I""&amp;TO_TEXT(ROW()-$C$72))"),"")</f>
        <v/>
      </c>
      <c r="J1095" s="61" t="str">
        <f>IFERROR(__xludf.DUMMYFUNCTION("INDIRECT(""'收支紀錄'!J""&amp;TO_TEXT(ROW()-$C$72))"),"")</f>
        <v/>
      </c>
      <c r="K1095" s="61" t="str">
        <f>IFERROR(__xludf.DUMMYFUNCTION("INDIRECT(""'收支紀錄'!K""&amp;TO_TEXT(ROW()-$C$72))"),"")</f>
        <v/>
      </c>
      <c r="L1095" s="61" t="str">
        <f>IFERROR(__xludf.DUMMYFUNCTION("INDIRECT(""'收支紀錄'!L""&amp;TO_TEXT(ROW()-$C$72))"),"火車費")</f>
        <v>火車費</v>
      </c>
      <c r="M1095" s="61" t="str">
        <f>IFERROR(__xludf.DUMMYFUNCTION("INDIRECT(""'收支紀錄'!M""&amp;TO_TEXT(ROW()-$C$72))"),"")</f>
        <v/>
      </c>
      <c r="N1095" s="61" t="str">
        <f>IFERROR(__xludf.DUMMYFUNCTION("INDIRECT(""'收支紀錄'!N""&amp;TO_TEXT(ROW()-$C$72))"),"")</f>
        <v/>
      </c>
      <c r="O1095" s="61" t="str">
        <f>IFERROR(__xludf.DUMMYFUNCTION("INDIRECT(""'收支紀錄'!O""&amp;TO_TEXT(ROW()-$C$72))"),"")</f>
        <v/>
      </c>
      <c r="P1095" s="61" t="str">
        <f>IFERROR(__xludf.DUMMYFUNCTION("INDIRECT(""'收支紀錄'!P""&amp;TO_TEXT(ROW()-$C$72))"),"")</f>
        <v/>
      </c>
      <c r="Q1095" s="61" t="str">
        <f>IFERROR(__xludf.DUMMYFUNCTION("INDIRECT(""'收支紀錄'!Q""&amp;TO_TEXT(ROW()-$C$72))"),"")</f>
        <v/>
      </c>
      <c r="R1095" s="61" t="str">
        <f>IFERROR(__xludf.DUMMYFUNCTION("INDIRECT(""'收支紀錄'!R""&amp;TO_TEXT(ROW()-$C$72))"),"")</f>
        <v/>
      </c>
      <c r="S1095" s="61" t="str">
        <f>IFERROR(__xludf.DUMMYFUNCTION("INDIRECT(""'收支紀錄'!S""&amp;TO_TEXT(ROW()-$C$72))"),"")</f>
        <v/>
      </c>
      <c r="T1095" s="61" t="str">
        <f>IFERROR(__xludf.DUMMYFUNCTION("INDIRECT(""'收支紀錄'!T""&amp;TO_TEXT(ROW()-$C$72))"),"")</f>
        <v/>
      </c>
      <c r="U1095" s="62" t="str">
        <f>IFERROR(__xludf.DUMMYFUNCTION("IF(T1095=""是"",TEXTJOIN("""", TRUE, ""$"", TO_TEXT(C1095), S1095),"""")"),"")</f>
        <v/>
      </c>
    </row>
    <row r="1096">
      <c r="A1096" s="58">
        <f>IFERROR(__xludf.DUMMYFUNCTION("INDIRECT(""'收支紀錄'!A""&amp;TO_TEXT(ROW()-$C$72))"),45889.98047126157)</f>
        <v>45889.98047</v>
      </c>
      <c r="B1096" s="59">
        <f>IFERROR(__xludf.DUMMYFUNCTION("IF(ISBLANK(D1096), """", IF(ISDATE(D1096), D1096, IF(D1096=""今天"", A1096, IF(D1096=""昨天 (-1 day)"", A1096-1, IF(D1096=""前天 (-2 days)"", A1096-2, IF(D1096=""明天 (+1 day)"", A1096+1, DATE(LEFT(D1096,4), MID(D1096,5,2), RIGHT(D1096,2))))))))"),45889.98047126157)</f>
        <v>45889.98047</v>
      </c>
      <c r="C1096" s="60">
        <f>IFERROR(__xludf.DUMMYFUNCTION("INDIRECT(""'收支紀錄'!C""&amp;TO_TEXT(ROW()-$C$72))"),600.0)</f>
        <v>600</v>
      </c>
      <c r="D1096" s="63" t="str">
        <f>IFERROR(__xludf.DUMMYFUNCTION("INDIRECT(""'收支紀錄'!D""&amp;TO_TEXT(ROW()-$C$72))"),"今天")</f>
        <v>今天</v>
      </c>
      <c r="E1096" s="61" t="str">
        <f>IFERROR(__xludf.DUMMYFUNCTION("INDIRECT(""'收支紀錄'!E""&amp;TO_TEXT(ROW()-$C$72))"),"")</f>
        <v/>
      </c>
      <c r="F1096" s="61" t="str">
        <f>IFERROR(__xludf.DUMMYFUNCTION("INDIRECT(""'收支紀錄'!F""&amp;TO_TEXT(ROW()-$C$72))"),"")</f>
        <v/>
      </c>
      <c r="G1096" s="61" t="str">
        <f>IFERROR(__xludf.DUMMYFUNCTION("INDIRECT(""'收支紀錄'!G""&amp;TO_TEXT(ROW()-$C$72))"),"")</f>
        <v/>
      </c>
      <c r="H1096" s="61" t="str">
        <f>IFERROR(__xludf.DUMMYFUNCTION("INDIRECT(""'收支紀錄'!H""&amp;TO_TEXT(ROW()-$C$72))"),"行車交通")</f>
        <v>行車交通</v>
      </c>
      <c r="I1096" s="61" t="str">
        <f>IFERROR(__xludf.DUMMYFUNCTION("INDIRECT(""'收支紀錄'!I""&amp;TO_TEXT(ROW()-$C$72))"),"")</f>
        <v/>
      </c>
      <c r="J1096" s="61" t="str">
        <f>IFERROR(__xludf.DUMMYFUNCTION("INDIRECT(""'收支紀錄'!J""&amp;TO_TEXT(ROW()-$C$72))"),"")</f>
        <v/>
      </c>
      <c r="K1096" s="61" t="str">
        <f>IFERROR(__xludf.DUMMYFUNCTION("INDIRECT(""'收支紀錄'!K""&amp;TO_TEXT(ROW()-$C$72))"),"")</f>
        <v/>
      </c>
      <c r="L1096" s="61" t="str">
        <f>IFERROR(__xludf.DUMMYFUNCTION("INDIRECT(""'收支紀錄'!L""&amp;TO_TEXT(ROW()-$C$72))"),"其他(洗車,罰單,配件)")</f>
        <v>其他(洗車,罰單,配件)</v>
      </c>
      <c r="M1096" s="61" t="str">
        <f>IFERROR(__xludf.DUMMYFUNCTION("INDIRECT(""'收支紀錄'!M""&amp;TO_TEXT(ROW()-$C$72))"),"")</f>
        <v/>
      </c>
      <c r="N1096" s="61" t="str">
        <f>IFERROR(__xludf.DUMMYFUNCTION("INDIRECT(""'收支紀錄'!N""&amp;TO_TEXT(ROW()-$C$72))"),"")</f>
        <v/>
      </c>
      <c r="O1096" s="61" t="str">
        <f>IFERROR(__xludf.DUMMYFUNCTION("INDIRECT(""'收支紀錄'!O""&amp;TO_TEXT(ROW()-$C$72))"),"")</f>
        <v/>
      </c>
      <c r="P1096" s="61" t="str">
        <f>IFERROR(__xludf.DUMMYFUNCTION("INDIRECT(""'收支紀錄'!P""&amp;TO_TEXT(ROW()-$C$72))"),"")</f>
        <v/>
      </c>
      <c r="Q1096" s="61" t="str">
        <f>IFERROR(__xludf.DUMMYFUNCTION("INDIRECT(""'收支紀錄'!Q""&amp;TO_TEXT(ROW()-$C$72))"),"")</f>
        <v/>
      </c>
      <c r="R1096" s="61" t="str">
        <f>IFERROR(__xludf.DUMMYFUNCTION("INDIRECT(""'收支紀錄'!R""&amp;TO_TEXT(ROW()-$C$72))"),"")</f>
        <v/>
      </c>
      <c r="S1096" s="61" t="str">
        <f>IFERROR(__xludf.DUMMYFUNCTION("INDIRECT(""'收支紀錄'!S""&amp;TO_TEXT(ROW()-$C$72))"),"")</f>
        <v/>
      </c>
      <c r="T1096" s="61" t="str">
        <f>IFERROR(__xludf.DUMMYFUNCTION("INDIRECT(""'收支紀錄'!T""&amp;TO_TEXT(ROW()-$C$72))"),"")</f>
        <v/>
      </c>
      <c r="U1096" s="62" t="str">
        <f>IFERROR(__xludf.DUMMYFUNCTION("IF(T1096=""是"",TEXTJOIN("""", TRUE, ""$"", TO_TEXT(C1096), S1096),"""")"),"")</f>
        <v/>
      </c>
    </row>
    <row r="1097">
      <c r="A1097" s="58">
        <f>IFERROR(__xludf.DUMMYFUNCTION("INDIRECT(""'收支紀錄'!A""&amp;TO_TEXT(ROW()-$C$72))"),45891.993427511574)</f>
        <v>45891.99343</v>
      </c>
      <c r="B1097" s="59">
        <f>IFERROR(__xludf.DUMMYFUNCTION("IF(ISBLANK(D1097), """", IF(ISDATE(D1097), D1097, IF(D1097=""今天"", A1097, IF(D1097=""昨天 (-1 day)"", A1097-1, IF(D1097=""前天 (-2 days)"", A1097-2, IF(D1097=""明天 (+1 day)"", A1097+1, DATE(LEFT(D1097,4), MID(D1097,5,2), RIGHT(D1097,2))))))))"),45891.993427511574)</f>
        <v>45891.99343</v>
      </c>
      <c r="C1097" s="60">
        <f>IFERROR(__xludf.DUMMYFUNCTION("INDIRECT(""'收支紀錄'!C""&amp;TO_TEXT(ROW()-$C$72))"),120.0)</f>
        <v>120</v>
      </c>
      <c r="D1097" s="63" t="str">
        <f>IFERROR(__xludf.DUMMYFUNCTION("INDIRECT(""'收支紀錄'!D""&amp;TO_TEXT(ROW()-$C$72))"),"今天")</f>
        <v>今天</v>
      </c>
      <c r="E1097" s="61" t="str">
        <f>IFERROR(__xludf.DUMMYFUNCTION("INDIRECT(""'收支紀錄'!E""&amp;TO_TEXT(ROW()-$C$72))"),"")</f>
        <v/>
      </c>
      <c r="F1097" s="61" t="str">
        <f>IFERROR(__xludf.DUMMYFUNCTION("INDIRECT(""'收支紀錄'!F""&amp;TO_TEXT(ROW()-$C$72))"),"")</f>
        <v/>
      </c>
      <c r="G1097" s="61" t="str">
        <f>IFERROR(__xludf.DUMMYFUNCTION("INDIRECT(""'收支紀錄'!G""&amp;TO_TEXT(ROW()-$C$72))"),"")</f>
        <v/>
      </c>
      <c r="H1097" s="61" t="str">
        <f>IFERROR(__xludf.DUMMYFUNCTION("INDIRECT(""'收支紀錄'!H""&amp;TO_TEXT(ROW()-$C$72))"),"食品酒水")</f>
        <v>食品酒水</v>
      </c>
      <c r="I1097" s="61" t="str">
        <f>IFERROR(__xludf.DUMMYFUNCTION("INDIRECT(""'收支紀錄'!I""&amp;TO_TEXT(ROW()-$C$72))"),"晚餐")</f>
        <v>晚餐</v>
      </c>
      <c r="J1097" s="61" t="str">
        <f>IFERROR(__xludf.DUMMYFUNCTION("INDIRECT(""'收支紀錄'!J""&amp;TO_TEXT(ROW()-$C$72))"),"")</f>
        <v/>
      </c>
      <c r="K1097" s="61" t="str">
        <f>IFERROR(__xludf.DUMMYFUNCTION("INDIRECT(""'收支紀錄'!K""&amp;TO_TEXT(ROW()-$C$72))"),"")</f>
        <v/>
      </c>
      <c r="L1097" s="61" t="str">
        <f>IFERROR(__xludf.DUMMYFUNCTION("INDIRECT(""'收支紀錄'!L""&amp;TO_TEXT(ROW()-$C$72))"),"")</f>
        <v/>
      </c>
      <c r="M1097" s="61" t="str">
        <f>IFERROR(__xludf.DUMMYFUNCTION("INDIRECT(""'收支紀錄'!M""&amp;TO_TEXT(ROW()-$C$72))"),"")</f>
        <v/>
      </c>
      <c r="N1097" s="61" t="str">
        <f>IFERROR(__xludf.DUMMYFUNCTION("INDIRECT(""'收支紀錄'!N""&amp;TO_TEXT(ROW()-$C$72))"),"")</f>
        <v/>
      </c>
      <c r="O1097" s="61" t="str">
        <f>IFERROR(__xludf.DUMMYFUNCTION("INDIRECT(""'收支紀錄'!O""&amp;TO_TEXT(ROW()-$C$72))"),"")</f>
        <v/>
      </c>
      <c r="P1097" s="61" t="str">
        <f>IFERROR(__xludf.DUMMYFUNCTION("INDIRECT(""'收支紀錄'!P""&amp;TO_TEXT(ROW()-$C$72))"),"")</f>
        <v/>
      </c>
      <c r="Q1097" s="61" t="str">
        <f>IFERROR(__xludf.DUMMYFUNCTION("INDIRECT(""'收支紀錄'!Q""&amp;TO_TEXT(ROW()-$C$72))"),"")</f>
        <v/>
      </c>
      <c r="R1097" s="61" t="str">
        <f>IFERROR(__xludf.DUMMYFUNCTION("INDIRECT(""'收支紀錄'!R""&amp;TO_TEXT(ROW()-$C$72))"),"")</f>
        <v/>
      </c>
      <c r="S1097" s="61" t="str">
        <f>IFERROR(__xludf.DUMMYFUNCTION("INDIRECT(""'收支紀錄'!S""&amp;TO_TEXT(ROW()-$C$72))"),"")</f>
        <v/>
      </c>
      <c r="T1097" s="61" t="str">
        <f>IFERROR(__xludf.DUMMYFUNCTION("INDIRECT(""'收支紀錄'!T""&amp;TO_TEXT(ROW()-$C$72))"),"")</f>
        <v/>
      </c>
      <c r="U1097" s="62" t="str">
        <f>IFERROR(__xludf.DUMMYFUNCTION("IF(T1097=""是"",TEXTJOIN("""", TRUE, ""$"", TO_TEXT(C1097), S1097),"""")"),"")</f>
        <v/>
      </c>
    </row>
    <row r="1098">
      <c r="A1098" s="58">
        <f>IFERROR(__xludf.DUMMYFUNCTION("INDIRECT(""'收支紀錄'!A""&amp;TO_TEXT(ROW()-$C$72))"),45892.59358056713)</f>
        <v>45892.59358</v>
      </c>
      <c r="B1098" s="59">
        <f>IFERROR(__xludf.DUMMYFUNCTION("IF(ISBLANK(D1098), """", IF(ISDATE(D1098), D1098, IF(D1098=""今天"", A1098, IF(D1098=""昨天 (-1 day)"", A1098-1, IF(D1098=""前天 (-2 days)"", A1098-2, IF(D1098=""明天 (+1 day)"", A1098+1, DATE(LEFT(D1098,4), MID(D1098,5,2), RIGHT(D1098,2))))))))"),45892.59358056713)</f>
        <v>45892.59358</v>
      </c>
      <c r="C1098" s="60">
        <f>IFERROR(__xludf.DUMMYFUNCTION("INDIRECT(""'收支紀錄'!C""&amp;TO_TEXT(ROW()-$C$72))"),669.0)</f>
        <v>669</v>
      </c>
      <c r="D1098" s="63" t="str">
        <f>IFERROR(__xludf.DUMMYFUNCTION("INDIRECT(""'收支紀錄'!D""&amp;TO_TEXT(ROW()-$C$72))"),"今天")</f>
        <v>今天</v>
      </c>
      <c r="E1098" s="61" t="str">
        <f>IFERROR(__xludf.DUMMYFUNCTION("INDIRECT(""'收支紀錄'!E""&amp;TO_TEXT(ROW()-$C$72))"),"")</f>
        <v/>
      </c>
      <c r="F1098" s="61" t="str">
        <f>IFERROR(__xludf.DUMMYFUNCTION("INDIRECT(""'收支紀錄'!F""&amp;TO_TEXT(ROW()-$C$72))"),"")</f>
        <v/>
      </c>
      <c r="G1098" s="61" t="str">
        <f>IFERROR(__xludf.DUMMYFUNCTION("INDIRECT(""'收支紀錄'!G""&amp;TO_TEXT(ROW()-$C$72))"),"")</f>
        <v/>
      </c>
      <c r="H1098" s="61" t="str">
        <f>IFERROR(__xludf.DUMMYFUNCTION("INDIRECT(""'收支紀錄'!H""&amp;TO_TEXT(ROW()-$C$72))"),"行車交通")</f>
        <v>行車交通</v>
      </c>
      <c r="I1098" s="61" t="str">
        <f>IFERROR(__xludf.DUMMYFUNCTION("INDIRECT(""'收支紀錄'!I""&amp;TO_TEXT(ROW()-$C$72))"),"")</f>
        <v/>
      </c>
      <c r="J1098" s="61" t="str">
        <f>IFERROR(__xludf.DUMMYFUNCTION("INDIRECT(""'收支紀錄'!J""&amp;TO_TEXT(ROW()-$C$72))"),"")</f>
        <v/>
      </c>
      <c r="K1098" s="61" t="str">
        <f>IFERROR(__xludf.DUMMYFUNCTION("INDIRECT(""'收支紀錄'!K""&amp;TO_TEXT(ROW()-$C$72))"),"")</f>
        <v/>
      </c>
      <c r="L1098" s="61" t="str">
        <f>IFERROR(__xludf.DUMMYFUNCTION("INDIRECT(""'收支紀錄'!L""&amp;TO_TEXT(ROW()-$C$72))"),"加油")</f>
        <v>加油</v>
      </c>
      <c r="M1098" s="61" t="str">
        <f>IFERROR(__xludf.DUMMYFUNCTION("INDIRECT(""'收支紀錄'!M""&amp;TO_TEXT(ROW()-$C$72))"),"")</f>
        <v/>
      </c>
      <c r="N1098" s="61" t="str">
        <f>IFERROR(__xludf.DUMMYFUNCTION("INDIRECT(""'收支紀錄'!N""&amp;TO_TEXT(ROW()-$C$72))"),"")</f>
        <v/>
      </c>
      <c r="O1098" s="61" t="str">
        <f>IFERROR(__xludf.DUMMYFUNCTION("INDIRECT(""'收支紀錄'!O""&amp;TO_TEXT(ROW()-$C$72))"),"")</f>
        <v/>
      </c>
      <c r="P1098" s="61" t="str">
        <f>IFERROR(__xludf.DUMMYFUNCTION("INDIRECT(""'收支紀錄'!P""&amp;TO_TEXT(ROW()-$C$72))"),"")</f>
        <v/>
      </c>
      <c r="Q1098" s="61" t="str">
        <f>IFERROR(__xludf.DUMMYFUNCTION("INDIRECT(""'收支紀錄'!Q""&amp;TO_TEXT(ROW()-$C$72))"),"")</f>
        <v/>
      </c>
      <c r="R1098" s="61" t="str">
        <f>IFERROR(__xludf.DUMMYFUNCTION("INDIRECT(""'收支紀錄'!R""&amp;TO_TEXT(ROW()-$C$72))"),"")</f>
        <v/>
      </c>
      <c r="S1098" s="61" t="str">
        <f>IFERROR(__xludf.DUMMYFUNCTION("INDIRECT(""'收支紀錄'!S""&amp;TO_TEXT(ROW()-$C$72))"),"")</f>
        <v/>
      </c>
      <c r="T1098" s="61" t="str">
        <f>IFERROR(__xludf.DUMMYFUNCTION("INDIRECT(""'收支紀錄'!T""&amp;TO_TEXT(ROW()-$C$72))"),"")</f>
        <v/>
      </c>
      <c r="U1098" s="62" t="str">
        <f>IFERROR(__xludf.DUMMYFUNCTION("IF(T1098=""是"",TEXTJOIN("""", TRUE, ""$"", TO_TEXT(C1098), S1098),"""")"),"")</f>
        <v/>
      </c>
    </row>
    <row r="1099">
      <c r="A1099" s="58">
        <f>IFERROR(__xludf.DUMMYFUNCTION("INDIRECT(""'收支紀錄'!A""&amp;TO_TEXT(ROW()-$C$72))"),45892.59471943287)</f>
        <v>45892.59472</v>
      </c>
      <c r="B1099" s="59">
        <f>IFERROR(__xludf.DUMMYFUNCTION("IF(ISBLANK(D1099), """", IF(ISDATE(D1099), D1099, IF(D1099=""今天"", A1099, IF(D1099=""昨天 (-1 day)"", A1099-1, IF(D1099=""前天 (-2 days)"", A1099-2, IF(D1099=""明天 (+1 day)"", A1099+1, DATE(LEFT(D1099,4), MID(D1099,5,2), RIGHT(D1099,2))))))))"),45892.59471943287)</f>
        <v>45892.59472</v>
      </c>
      <c r="C1099" s="60">
        <f>IFERROR(__xludf.DUMMYFUNCTION("INDIRECT(""'收支紀錄'!C""&amp;TO_TEXT(ROW()-$C$72))"),832.0)</f>
        <v>832</v>
      </c>
      <c r="D1099" s="63" t="str">
        <f>IFERROR(__xludf.DUMMYFUNCTION("INDIRECT(""'收支紀錄'!D""&amp;TO_TEXT(ROW()-$C$72))"),"今天")</f>
        <v>今天</v>
      </c>
      <c r="E1099" s="61" t="str">
        <f>IFERROR(__xludf.DUMMYFUNCTION("INDIRECT(""'收支紀錄'!E""&amp;TO_TEXT(ROW()-$C$72))"),"")</f>
        <v/>
      </c>
      <c r="F1099" s="61" t="str">
        <f>IFERROR(__xludf.DUMMYFUNCTION("INDIRECT(""'收支紀錄'!F""&amp;TO_TEXT(ROW()-$C$72))"),"")</f>
        <v/>
      </c>
      <c r="G1099" s="61" t="str">
        <f>IFERROR(__xludf.DUMMYFUNCTION("INDIRECT(""'收支紀錄'!G""&amp;TO_TEXT(ROW()-$C$72))"),"")</f>
        <v/>
      </c>
      <c r="H1099" s="61" t="str">
        <f>IFERROR(__xludf.DUMMYFUNCTION("INDIRECT(""'收支紀錄'!H""&amp;TO_TEXT(ROW()-$C$72))"),"食品酒水")</f>
        <v>食品酒水</v>
      </c>
      <c r="I1099" s="61" t="str">
        <f>IFERROR(__xludf.DUMMYFUNCTION("INDIRECT(""'收支紀錄'!I""&amp;TO_TEXT(ROW()-$C$72))"),"午餐")</f>
        <v>午餐</v>
      </c>
      <c r="J1099" s="61" t="str">
        <f>IFERROR(__xludf.DUMMYFUNCTION("INDIRECT(""'收支紀錄'!J""&amp;TO_TEXT(ROW()-$C$72))"),"")</f>
        <v/>
      </c>
      <c r="K1099" s="61" t="str">
        <f>IFERROR(__xludf.DUMMYFUNCTION("INDIRECT(""'收支紀錄'!K""&amp;TO_TEXT(ROW()-$C$72))"),"")</f>
        <v/>
      </c>
      <c r="L1099" s="61" t="str">
        <f>IFERROR(__xludf.DUMMYFUNCTION("INDIRECT(""'收支紀錄'!L""&amp;TO_TEXT(ROW()-$C$72))"),"")</f>
        <v/>
      </c>
      <c r="M1099" s="61" t="str">
        <f>IFERROR(__xludf.DUMMYFUNCTION("INDIRECT(""'收支紀錄'!M""&amp;TO_TEXT(ROW()-$C$72))"),"")</f>
        <v/>
      </c>
      <c r="N1099" s="61" t="str">
        <f>IFERROR(__xludf.DUMMYFUNCTION("INDIRECT(""'收支紀錄'!N""&amp;TO_TEXT(ROW()-$C$72))"),"")</f>
        <v/>
      </c>
      <c r="O1099" s="61" t="str">
        <f>IFERROR(__xludf.DUMMYFUNCTION("INDIRECT(""'收支紀錄'!O""&amp;TO_TEXT(ROW()-$C$72))"),"")</f>
        <v/>
      </c>
      <c r="P1099" s="61" t="str">
        <f>IFERROR(__xludf.DUMMYFUNCTION("INDIRECT(""'收支紀錄'!P""&amp;TO_TEXT(ROW()-$C$72))"),"")</f>
        <v/>
      </c>
      <c r="Q1099" s="61" t="str">
        <f>IFERROR(__xludf.DUMMYFUNCTION("INDIRECT(""'收支紀錄'!Q""&amp;TO_TEXT(ROW()-$C$72))"),"")</f>
        <v/>
      </c>
      <c r="R1099" s="61" t="str">
        <f>IFERROR(__xludf.DUMMYFUNCTION("INDIRECT(""'收支紀錄'!R""&amp;TO_TEXT(ROW()-$C$72))"),"")</f>
        <v/>
      </c>
      <c r="S1099" s="61" t="str">
        <f>IFERROR(__xludf.DUMMYFUNCTION("INDIRECT(""'收支紀錄'!S""&amp;TO_TEXT(ROW()-$C$72))"),"")</f>
        <v/>
      </c>
      <c r="T1099" s="61" t="str">
        <f>IFERROR(__xludf.DUMMYFUNCTION("INDIRECT(""'收支紀錄'!T""&amp;TO_TEXT(ROW()-$C$72))"),"")</f>
        <v/>
      </c>
      <c r="U1099" s="62" t="str">
        <f>IFERROR(__xludf.DUMMYFUNCTION("IF(T1099=""是"",TEXTJOIN("""", TRUE, ""$"", TO_TEXT(C1099), S1099),"""")"),"")</f>
        <v/>
      </c>
    </row>
    <row r="1100">
      <c r="A1100" s="58">
        <f>IFERROR(__xludf.DUMMYFUNCTION("INDIRECT(""'收支紀錄'!A""&amp;TO_TEXT(ROW()-$C$72))"),45892.59529439815)</f>
        <v>45892.59529</v>
      </c>
      <c r="B1100" s="59">
        <f>IFERROR(__xludf.DUMMYFUNCTION("IF(ISBLANK(D1100), """", IF(ISDATE(D1100), D1100, IF(D1100=""今天"", A1100, IF(D1100=""昨天 (-1 day)"", A1100-1, IF(D1100=""前天 (-2 days)"", A1100-2, IF(D1100=""明天 (+1 day)"", A1100+1, DATE(LEFT(D1100,4), MID(D1100,5,2), RIGHT(D1100,2))))))))"),45892.59529439815)</f>
        <v>45892.59529</v>
      </c>
      <c r="C1100" s="60">
        <f>IFERROR(__xludf.DUMMYFUNCTION("INDIRECT(""'收支紀錄'!C""&amp;TO_TEXT(ROW()-$C$72))"),40.0)</f>
        <v>40</v>
      </c>
      <c r="D1100" s="63" t="str">
        <f>IFERROR(__xludf.DUMMYFUNCTION("INDIRECT(""'收支紀錄'!D""&amp;TO_TEXT(ROW()-$C$72))"),"今天")</f>
        <v>今天</v>
      </c>
      <c r="E1100" s="61" t="str">
        <f>IFERROR(__xludf.DUMMYFUNCTION("INDIRECT(""'收支紀錄'!E""&amp;TO_TEXT(ROW()-$C$72))"),"")</f>
        <v/>
      </c>
      <c r="F1100" s="61" t="str">
        <f>IFERROR(__xludf.DUMMYFUNCTION("INDIRECT(""'收支紀錄'!F""&amp;TO_TEXT(ROW()-$C$72))"),"")</f>
        <v/>
      </c>
      <c r="G1100" s="61" t="str">
        <f>IFERROR(__xludf.DUMMYFUNCTION("INDIRECT(""'收支紀錄'!G""&amp;TO_TEXT(ROW()-$C$72))"),"")</f>
        <v/>
      </c>
      <c r="H1100" s="61" t="str">
        <f>IFERROR(__xludf.DUMMYFUNCTION("INDIRECT(""'收支紀錄'!H""&amp;TO_TEXT(ROW()-$C$72))"),"行車交通")</f>
        <v>行車交通</v>
      </c>
      <c r="I1100" s="61" t="str">
        <f>IFERROR(__xludf.DUMMYFUNCTION("INDIRECT(""'收支紀錄'!I""&amp;TO_TEXT(ROW()-$C$72))"),"")</f>
        <v/>
      </c>
      <c r="J1100" s="61" t="str">
        <f>IFERROR(__xludf.DUMMYFUNCTION("INDIRECT(""'收支紀錄'!J""&amp;TO_TEXT(ROW()-$C$72))"),"")</f>
        <v/>
      </c>
      <c r="K1100" s="61" t="str">
        <f>IFERROR(__xludf.DUMMYFUNCTION("INDIRECT(""'收支紀錄'!K""&amp;TO_TEXT(ROW()-$C$72))"),"")</f>
        <v/>
      </c>
      <c r="L1100" s="61" t="str">
        <f>IFERROR(__xludf.DUMMYFUNCTION("INDIRECT(""'收支紀錄'!L""&amp;TO_TEXT(ROW()-$C$72))"),"停車")</f>
        <v>停車</v>
      </c>
      <c r="M1100" s="61" t="str">
        <f>IFERROR(__xludf.DUMMYFUNCTION("INDIRECT(""'收支紀錄'!M""&amp;TO_TEXT(ROW()-$C$72))"),"")</f>
        <v/>
      </c>
      <c r="N1100" s="61" t="str">
        <f>IFERROR(__xludf.DUMMYFUNCTION("INDIRECT(""'收支紀錄'!N""&amp;TO_TEXT(ROW()-$C$72))"),"")</f>
        <v/>
      </c>
      <c r="O1100" s="61" t="str">
        <f>IFERROR(__xludf.DUMMYFUNCTION("INDIRECT(""'收支紀錄'!O""&amp;TO_TEXT(ROW()-$C$72))"),"")</f>
        <v/>
      </c>
      <c r="P1100" s="61" t="str">
        <f>IFERROR(__xludf.DUMMYFUNCTION("INDIRECT(""'收支紀錄'!P""&amp;TO_TEXT(ROW()-$C$72))"),"")</f>
        <v/>
      </c>
      <c r="Q1100" s="61" t="str">
        <f>IFERROR(__xludf.DUMMYFUNCTION("INDIRECT(""'收支紀錄'!Q""&amp;TO_TEXT(ROW()-$C$72))"),"")</f>
        <v/>
      </c>
      <c r="R1100" s="61" t="str">
        <f>IFERROR(__xludf.DUMMYFUNCTION("INDIRECT(""'收支紀錄'!R""&amp;TO_TEXT(ROW()-$C$72))"),"")</f>
        <v/>
      </c>
      <c r="S1100" s="61" t="str">
        <f>IFERROR(__xludf.DUMMYFUNCTION("INDIRECT(""'收支紀錄'!S""&amp;TO_TEXT(ROW()-$C$72))"),"")</f>
        <v/>
      </c>
      <c r="T1100" s="61" t="str">
        <f>IFERROR(__xludf.DUMMYFUNCTION("INDIRECT(""'收支紀錄'!T""&amp;TO_TEXT(ROW()-$C$72))"),"")</f>
        <v/>
      </c>
      <c r="U1100" s="62" t="str">
        <f>IFERROR(__xludf.DUMMYFUNCTION("IF(T1100=""是"",TEXTJOIN("""", TRUE, ""$"", TO_TEXT(C1100), S1100),"""")"),"")</f>
        <v/>
      </c>
    </row>
    <row r="1101">
      <c r="A1101" s="58">
        <f>IFERROR(__xludf.DUMMYFUNCTION("INDIRECT(""'收支紀錄'!A""&amp;TO_TEXT(ROW()-$C$72))"),45893.34159981481)</f>
        <v>45893.3416</v>
      </c>
      <c r="B1101" s="59">
        <f>IFERROR(__xludf.DUMMYFUNCTION("IF(ISBLANK(D1101), """", IF(ISDATE(D1101), D1101, IF(D1101=""今天"", A1101, IF(D1101=""昨天 (-1 day)"", A1101-1, IF(D1101=""前天 (-2 days)"", A1101-2, IF(D1101=""明天 (+1 day)"", A1101+1, DATE(LEFT(D1101,4), MID(D1101,5,2), RIGHT(D1101,2))))))))"),45892.34159981481)</f>
        <v>45892.3416</v>
      </c>
      <c r="C1101" s="60">
        <f>IFERROR(__xludf.DUMMYFUNCTION("INDIRECT(""'收支紀錄'!C""&amp;TO_TEXT(ROW()-$C$72))"),115.0)</f>
        <v>115</v>
      </c>
      <c r="D1101" s="63" t="str">
        <f>IFERROR(__xludf.DUMMYFUNCTION("INDIRECT(""'收支紀錄'!D""&amp;TO_TEXT(ROW()-$C$72))"),"昨天 (-1 day)")</f>
        <v>昨天 (-1 day)</v>
      </c>
      <c r="E1101" s="61" t="str">
        <f>IFERROR(__xludf.DUMMYFUNCTION("INDIRECT(""'收支紀錄'!E""&amp;TO_TEXT(ROW()-$C$72))"),"")</f>
        <v/>
      </c>
      <c r="F1101" s="61" t="str">
        <f>IFERROR(__xludf.DUMMYFUNCTION("INDIRECT(""'收支紀錄'!F""&amp;TO_TEXT(ROW()-$C$72))"),"")</f>
        <v/>
      </c>
      <c r="G1101" s="61" t="str">
        <f>IFERROR(__xludf.DUMMYFUNCTION("INDIRECT(""'收支紀錄'!G""&amp;TO_TEXT(ROW()-$C$72))"),"")</f>
        <v/>
      </c>
      <c r="H1101" s="61" t="str">
        <f>IFERROR(__xludf.DUMMYFUNCTION("INDIRECT(""'收支紀錄'!H""&amp;TO_TEXT(ROW()-$C$72))"),"日常生活")</f>
        <v>日常生活</v>
      </c>
      <c r="I1101" s="61" t="str">
        <f>IFERROR(__xludf.DUMMYFUNCTION("INDIRECT(""'收支紀錄'!I""&amp;TO_TEXT(ROW()-$C$72))"),"")</f>
        <v/>
      </c>
      <c r="J1101" s="61" t="str">
        <f>IFERROR(__xludf.DUMMYFUNCTION("INDIRECT(""'收支紀錄'!J""&amp;TO_TEXT(ROW()-$C$72))"),"日常用品")</f>
        <v>日常用品</v>
      </c>
      <c r="K1101" s="61" t="str">
        <f>IFERROR(__xludf.DUMMYFUNCTION("INDIRECT(""'收支紀錄'!K""&amp;TO_TEXT(ROW()-$C$72))"),"")</f>
        <v/>
      </c>
      <c r="L1101" s="61" t="str">
        <f>IFERROR(__xludf.DUMMYFUNCTION("INDIRECT(""'收支紀錄'!L""&amp;TO_TEXT(ROW()-$C$72))"),"")</f>
        <v/>
      </c>
      <c r="M1101" s="61" t="str">
        <f>IFERROR(__xludf.DUMMYFUNCTION("INDIRECT(""'收支紀錄'!M""&amp;TO_TEXT(ROW()-$C$72))"),"")</f>
        <v/>
      </c>
      <c r="N1101" s="61" t="str">
        <f>IFERROR(__xludf.DUMMYFUNCTION("INDIRECT(""'收支紀錄'!N""&amp;TO_TEXT(ROW()-$C$72))"),"")</f>
        <v/>
      </c>
      <c r="O1101" s="61" t="str">
        <f>IFERROR(__xludf.DUMMYFUNCTION("INDIRECT(""'收支紀錄'!O""&amp;TO_TEXT(ROW()-$C$72))"),"")</f>
        <v/>
      </c>
      <c r="P1101" s="61" t="str">
        <f>IFERROR(__xludf.DUMMYFUNCTION("INDIRECT(""'收支紀錄'!P""&amp;TO_TEXT(ROW()-$C$72))"),"")</f>
        <v/>
      </c>
      <c r="Q1101" s="61" t="str">
        <f>IFERROR(__xludf.DUMMYFUNCTION("INDIRECT(""'收支紀錄'!Q""&amp;TO_TEXT(ROW()-$C$72))"),"")</f>
        <v/>
      </c>
      <c r="R1101" s="61" t="str">
        <f>IFERROR(__xludf.DUMMYFUNCTION("INDIRECT(""'收支紀錄'!R""&amp;TO_TEXT(ROW()-$C$72))"),"")</f>
        <v/>
      </c>
      <c r="S1101" s="61" t="str">
        <f>IFERROR(__xludf.DUMMYFUNCTION("INDIRECT(""'收支紀錄'!S""&amp;TO_TEXT(ROW()-$C$72))"),"")</f>
        <v/>
      </c>
      <c r="T1101" s="61" t="str">
        <f>IFERROR(__xludf.DUMMYFUNCTION("INDIRECT(""'收支紀錄'!T""&amp;TO_TEXT(ROW()-$C$72))"),"")</f>
        <v/>
      </c>
      <c r="U1101" s="62" t="str">
        <f>IFERROR(__xludf.DUMMYFUNCTION("IF(T1101=""是"",TEXTJOIN("""", TRUE, ""$"", TO_TEXT(C1101), S1101),"""")"),"")</f>
        <v/>
      </c>
    </row>
    <row r="1102">
      <c r="A1102" s="58">
        <f>IFERROR(__xludf.DUMMYFUNCTION("INDIRECT(""'收支紀錄'!A""&amp;TO_TEXT(ROW()-$C$72))"),45893.34175626157)</f>
        <v>45893.34176</v>
      </c>
      <c r="B1102" s="59">
        <f>IFERROR(__xludf.DUMMYFUNCTION("IF(ISBLANK(D1102), """", IF(ISDATE(D1102), D1102, IF(D1102=""今天"", A1102, IF(D1102=""昨天 (-1 day)"", A1102-1, IF(D1102=""前天 (-2 days)"", A1102-2, IF(D1102=""明天 (+1 day)"", A1102+1, DATE(LEFT(D1102,4), MID(D1102,5,2), RIGHT(D1102,2))))))))"),45893.34175626157)</f>
        <v>45893.34176</v>
      </c>
      <c r="C1102" s="60">
        <f>IFERROR(__xludf.DUMMYFUNCTION("INDIRECT(""'收支紀錄'!C""&amp;TO_TEXT(ROW()-$C$72))"),65.0)</f>
        <v>65</v>
      </c>
      <c r="D1102" s="63" t="str">
        <f>IFERROR(__xludf.DUMMYFUNCTION("INDIRECT(""'收支紀錄'!D""&amp;TO_TEXT(ROW()-$C$72))"),"今天")</f>
        <v>今天</v>
      </c>
      <c r="E1102" s="61" t="str">
        <f>IFERROR(__xludf.DUMMYFUNCTION("INDIRECT(""'收支紀錄'!E""&amp;TO_TEXT(ROW()-$C$72))"),"")</f>
        <v/>
      </c>
      <c r="F1102" s="61" t="str">
        <f>IFERROR(__xludf.DUMMYFUNCTION("INDIRECT(""'收支紀錄'!F""&amp;TO_TEXT(ROW()-$C$72))"),"")</f>
        <v/>
      </c>
      <c r="G1102" s="61" t="str">
        <f>IFERROR(__xludf.DUMMYFUNCTION("INDIRECT(""'收支紀錄'!G""&amp;TO_TEXT(ROW()-$C$72))"),"")</f>
        <v/>
      </c>
      <c r="H1102" s="61" t="str">
        <f>IFERROR(__xludf.DUMMYFUNCTION("INDIRECT(""'收支紀錄'!H""&amp;TO_TEXT(ROW()-$C$72))"),"日常生活")</f>
        <v>日常生活</v>
      </c>
      <c r="I1102" s="61" t="str">
        <f>IFERROR(__xludf.DUMMYFUNCTION("INDIRECT(""'收支紀錄'!I""&amp;TO_TEXT(ROW()-$C$72))"),"")</f>
        <v/>
      </c>
      <c r="J1102" s="61" t="str">
        <f>IFERROR(__xludf.DUMMYFUNCTION("INDIRECT(""'收支紀錄'!J""&amp;TO_TEXT(ROW()-$C$72))"),"日常用品")</f>
        <v>日常用品</v>
      </c>
      <c r="K1102" s="61" t="str">
        <f>IFERROR(__xludf.DUMMYFUNCTION("INDIRECT(""'收支紀錄'!K""&amp;TO_TEXT(ROW()-$C$72))"),"")</f>
        <v/>
      </c>
      <c r="L1102" s="61" t="str">
        <f>IFERROR(__xludf.DUMMYFUNCTION("INDIRECT(""'收支紀錄'!L""&amp;TO_TEXT(ROW()-$C$72))"),"")</f>
        <v/>
      </c>
      <c r="M1102" s="61" t="str">
        <f>IFERROR(__xludf.DUMMYFUNCTION("INDIRECT(""'收支紀錄'!M""&amp;TO_TEXT(ROW()-$C$72))"),"")</f>
        <v/>
      </c>
      <c r="N1102" s="61" t="str">
        <f>IFERROR(__xludf.DUMMYFUNCTION("INDIRECT(""'收支紀錄'!N""&amp;TO_TEXT(ROW()-$C$72))"),"")</f>
        <v/>
      </c>
      <c r="O1102" s="61" t="str">
        <f>IFERROR(__xludf.DUMMYFUNCTION("INDIRECT(""'收支紀錄'!O""&amp;TO_TEXT(ROW()-$C$72))"),"")</f>
        <v/>
      </c>
      <c r="P1102" s="61" t="str">
        <f>IFERROR(__xludf.DUMMYFUNCTION("INDIRECT(""'收支紀錄'!P""&amp;TO_TEXT(ROW()-$C$72))"),"")</f>
        <v/>
      </c>
      <c r="Q1102" s="61" t="str">
        <f>IFERROR(__xludf.DUMMYFUNCTION("INDIRECT(""'收支紀錄'!Q""&amp;TO_TEXT(ROW()-$C$72))"),"")</f>
        <v/>
      </c>
      <c r="R1102" s="61" t="str">
        <f>IFERROR(__xludf.DUMMYFUNCTION("INDIRECT(""'收支紀錄'!R""&amp;TO_TEXT(ROW()-$C$72))"),"")</f>
        <v/>
      </c>
      <c r="S1102" s="61" t="str">
        <f>IFERROR(__xludf.DUMMYFUNCTION("INDIRECT(""'收支紀錄'!S""&amp;TO_TEXT(ROW()-$C$72))"),"")</f>
        <v/>
      </c>
      <c r="T1102" s="61" t="str">
        <f>IFERROR(__xludf.DUMMYFUNCTION("INDIRECT(""'收支紀錄'!T""&amp;TO_TEXT(ROW()-$C$72))"),"")</f>
        <v/>
      </c>
      <c r="U1102" s="62" t="str">
        <f>IFERROR(__xludf.DUMMYFUNCTION("IF(T1102=""是"",TEXTJOIN("""", TRUE, ""$"", TO_TEXT(C1102), S1102),"""")"),"")</f>
        <v/>
      </c>
    </row>
    <row r="1103">
      <c r="A1103" s="58">
        <f>IFERROR(__xludf.DUMMYFUNCTION("INDIRECT(""'收支紀錄'!A""&amp;TO_TEXT(ROW()-$C$72))"),45893.341925625005)</f>
        <v>45893.34193</v>
      </c>
      <c r="B1103" s="59">
        <f>IFERROR(__xludf.DUMMYFUNCTION("IF(ISBLANK(D1103), """", IF(ISDATE(D1103), D1103, IF(D1103=""今天"", A1103, IF(D1103=""昨天 (-1 day)"", A1103-1, IF(D1103=""前天 (-2 days)"", A1103-2, IF(D1103=""明天 (+1 day)"", A1103+1, DATE(LEFT(D1103,4), MID(D1103,5,2), RIGHT(D1103,2))))))))"),45893.341925625005)</f>
        <v>45893.34193</v>
      </c>
      <c r="C1103" s="60">
        <f>IFERROR(__xludf.DUMMYFUNCTION("INDIRECT(""'收支紀錄'!C""&amp;TO_TEXT(ROW()-$C$72))"),110.0)</f>
        <v>110</v>
      </c>
      <c r="D1103" s="63" t="str">
        <f>IFERROR(__xludf.DUMMYFUNCTION("INDIRECT(""'收支紀錄'!D""&amp;TO_TEXT(ROW()-$C$72))"),"今天")</f>
        <v>今天</v>
      </c>
      <c r="E1103" s="61" t="str">
        <f>IFERROR(__xludf.DUMMYFUNCTION("INDIRECT(""'收支紀錄'!E""&amp;TO_TEXT(ROW()-$C$72))"),"")</f>
        <v/>
      </c>
      <c r="F1103" s="61" t="str">
        <f>IFERROR(__xludf.DUMMYFUNCTION("INDIRECT(""'收支紀錄'!F""&amp;TO_TEXT(ROW()-$C$72))"),"")</f>
        <v/>
      </c>
      <c r="G1103" s="61" t="str">
        <f>IFERROR(__xludf.DUMMYFUNCTION("INDIRECT(""'收支紀錄'!G""&amp;TO_TEXT(ROW()-$C$72))"),"")</f>
        <v/>
      </c>
      <c r="H1103" s="61" t="str">
        <f>IFERROR(__xludf.DUMMYFUNCTION("INDIRECT(""'收支紀錄'!H""&amp;TO_TEXT(ROW()-$C$72))"),"休閒娛樂")</f>
        <v>休閒娛樂</v>
      </c>
      <c r="I1103" s="61" t="str">
        <f>IFERROR(__xludf.DUMMYFUNCTION("INDIRECT(""'收支紀錄'!I""&amp;TO_TEXT(ROW()-$C$72))"),"")</f>
        <v/>
      </c>
      <c r="J1103" s="61" t="str">
        <f>IFERROR(__xludf.DUMMYFUNCTION("INDIRECT(""'收支紀錄'!J""&amp;TO_TEXT(ROW()-$C$72))"),"")</f>
        <v/>
      </c>
      <c r="K1103" s="61" t="str">
        <f>IFERROR(__xludf.DUMMYFUNCTION("INDIRECT(""'收支紀錄'!K""&amp;TO_TEXT(ROW()-$C$72))"),"")</f>
        <v/>
      </c>
      <c r="L1103" s="61" t="str">
        <f>IFERROR(__xludf.DUMMYFUNCTION("INDIRECT(""'收支紀錄'!L""&amp;TO_TEXT(ROW()-$C$72))"),"")</f>
        <v/>
      </c>
      <c r="M1103" s="61" t="str">
        <f>IFERROR(__xludf.DUMMYFUNCTION("INDIRECT(""'收支紀錄'!M""&amp;TO_TEXT(ROW()-$C$72))"),"運動健身")</f>
        <v>運動健身</v>
      </c>
      <c r="N1103" s="61" t="str">
        <f>IFERROR(__xludf.DUMMYFUNCTION("INDIRECT(""'收支紀錄'!N""&amp;TO_TEXT(ROW()-$C$72))"),"")</f>
        <v/>
      </c>
      <c r="O1103" s="61" t="str">
        <f>IFERROR(__xludf.DUMMYFUNCTION("INDIRECT(""'收支紀錄'!O""&amp;TO_TEXT(ROW()-$C$72))"),"")</f>
        <v/>
      </c>
      <c r="P1103" s="61" t="str">
        <f>IFERROR(__xludf.DUMMYFUNCTION("INDIRECT(""'收支紀錄'!P""&amp;TO_TEXT(ROW()-$C$72))"),"")</f>
        <v/>
      </c>
      <c r="Q1103" s="61" t="str">
        <f>IFERROR(__xludf.DUMMYFUNCTION("INDIRECT(""'收支紀錄'!Q""&amp;TO_TEXT(ROW()-$C$72))"),"")</f>
        <v/>
      </c>
      <c r="R1103" s="61" t="str">
        <f>IFERROR(__xludf.DUMMYFUNCTION("INDIRECT(""'收支紀錄'!R""&amp;TO_TEXT(ROW()-$C$72))"),"")</f>
        <v/>
      </c>
      <c r="S1103" s="61" t="str">
        <f>IFERROR(__xludf.DUMMYFUNCTION("INDIRECT(""'收支紀錄'!S""&amp;TO_TEXT(ROW()-$C$72))"),"")</f>
        <v/>
      </c>
      <c r="T1103" s="61" t="str">
        <f>IFERROR(__xludf.DUMMYFUNCTION("INDIRECT(""'收支紀錄'!T""&amp;TO_TEXT(ROW()-$C$72))"),"")</f>
        <v/>
      </c>
      <c r="U1103" s="62" t="str">
        <f>IFERROR(__xludf.DUMMYFUNCTION("IF(T1103=""是"",TEXTJOIN("""", TRUE, ""$"", TO_TEXT(C1103), S1103),"""")"),"")</f>
        <v/>
      </c>
    </row>
    <row r="1104">
      <c r="A1104" s="58">
        <f>IFERROR(__xludf.DUMMYFUNCTION("INDIRECT(""'收支紀錄'!A""&amp;TO_TEXT(ROW()-$C$72))"),45893.54394179398)</f>
        <v>45893.54394</v>
      </c>
      <c r="B1104" s="59">
        <f>IFERROR(__xludf.DUMMYFUNCTION("IF(ISBLANK(D1104), """", IF(ISDATE(D1104), D1104, IF(D1104=""今天"", A1104, IF(D1104=""昨天 (-1 day)"", A1104-1, IF(D1104=""前天 (-2 days)"", A1104-2, IF(D1104=""明天 (+1 day)"", A1104+1, DATE(LEFT(D1104,4), MID(D1104,5,2), RIGHT(D1104,2))))))))"),45893.54394179398)</f>
        <v>45893.54394</v>
      </c>
      <c r="C1104" s="60">
        <f>IFERROR(__xludf.DUMMYFUNCTION("INDIRECT(""'收支紀錄'!C""&amp;TO_TEXT(ROW()-$C$72))"),99.0)</f>
        <v>99</v>
      </c>
      <c r="D1104" s="63" t="str">
        <f>IFERROR(__xludf.DUMMYFUNCTION("INDIRECT(""'收支紀錄'!D""&amp;TO_TEXT(ROW()-$C$72))"),"今天")</f>
        <v>今天</v>
      </c>
      <c r="E1104" s="61" t="str">
        <f>IFERROR(__xludf.DUMMYFUNCTION("INDIRECT(""'收支紀錄'!E""&amp;TO_TEXT(ROW()-$C$72))"),"")</f>
        <v/>
      </c>
      <c r="F1104" s="61" t="str">
        <f>IFERROR(__xludf.DUMMYFUNCTION("INDIRECT(""'收支紀錄'!F""&amp;TO_TEXT(ROW()-$C$72))"),"")</f>
        <v/>
      </c>
      <c r="G1104" s="61" t="str">
        <f>IFERROR(__xludf.DUMMYFUNCTION("INDIRECT(""'收支紀錄'!G""&amp;TO_TEXT(ROW()-$C$72))"),"")</f>
        <v/>
      </c>
      <c r="H1104" s="61" t="str">
        <f>IFERROR(__xludf.DUMMYFUNCTION("INDIRECT(""'收支紀錄'!H""&amp;TO_TEXT(ROW()-$C$72))"),"食品酒水")</f>
        <v>食品酒水</v>
      </c>
      <c r="I1104" s="61" t="str">
        <f>IFERROR(__xludf.DUMMYFUNCTION("INDIRECT(""'收支紀錄'!I""&amp;TO_TEXT(ROW()-$C$72))"),"早餐")</f>
        <v>早餐</v>
      </c>
      <c r="J1104" s="61" t="str">
        <f>IFERROR(__xludf.DUMMYFUNCTION("INDIRECT(""'收支紀錄'!J""&amp;TO_TEXT(ROW()-$C$72))"),"")</f>
        <v/>
      </c>
      <c r="K1104" s="61" t="str">
        <f>IFERROR(__xludf.DUMMYFUNCTION("INDIRECT(""'收支紀錄'!K""&amp;TO_TEXT(ROW()-$C$72))"),"")</f>
        <v/>
      </c>
      <c r="L1104" s="61" t="str">
        <f>IFERROR(__xludf.DUMMYFUNCTION("INDIRECT(""'收支紀錄'!L""&amp;TO_TEXT(ROW()-$C$72))"),"")</f>
        <v/>
      </c>
      <c r="M1104" s="61" t="str">
        <f>IFERROR(__xludf.DUMMYFUNCTION("INDIRECT(""'收支紀錄'!M""&amp;TO_TEXT(ROW()-$C$72))"),"")</f>
        <v/>
      </c>
      <c r="N1104" s="61" t="str">
        <f>IFERROR(__xludf.DUMMYFUNCTION("INDIRECT(""'收支紀錄'!N""&amp;TO_TEXT(ROW()-$C$72))"),"")</f>
        <v/>
      </c>
      <c r="O1104" s="61" t="str">
        <f>IFERROR(__xludf.DUMMYFUNCTION("INDIRECT(""'收支紀錄'!O""&amp;TO_TEXT(ROW()-$C$72))"),"")</f>
        <v/>
      </c>
      <c r="P1104" s="61" t="str">
        <f>IFERROR(__xludf.DUMMYFUNCTION("INDIRECT(""'收支紀錄'!P""&amp;TO_TEXT(ROW()-$C$72))"),"")</f>
        <v/>
      </c>
      <c r="Q1104" s="61" t="str">
        <f>IFERROR(__xludf.DUMMYFUNCTION("INDIRECT(""'收支紀錄'!Q""&amp;TO_TEXT(ROW()-$C$72))"),"")</f>
        <v/>
      </c>
      <c r="R1104" s="61" t="str">
        <f>IFERROR(__xludf.DUMMYFUNCTION("INDIRECT(""'收支紀錄'!R""&amp;TO_TEXT(ROW()-$C$72))"),"")</f>
        <v/>
      </c>
      <c r="S1104" s="61" t="str">
        <f>IFERROR(__xludf.DUMMYFUNCTION("INDIRECT(""'收支紀錄'!S""&amp;TO_TEXT(ROW()-$C$72))"),"")</f>
        <v/>
      </c>
      <c r="T1104" s="61" t="str">
        <f>IFERROR(__xludf.DUMMYFUNCTION("INDIRECT(""'收支紀錄'!T""&amp;TO_TEXT(ROW()-$C$72))"),"")</f>
        <v/>
      </c>
      <c r="U1104" s="62" t="str">
        <f>IFERROR(__xludf.DUMMYFUNCTION("IF(T1104=""是"",TEXTJOIN("""", TRUE, ""$"", TO_TEXT(C1104), S1104),"""")"),"")</f>
        <v/>
      </c>
    </row>
    <row r="1105">
      <c r="A1105" s="58">
        <f>IFERROR(__xludf.DUMMYFUNCTION("INDIRECT(""'收支紀錄'!A""&amp;TO_TEXT(ROW()-$C$72))"),45893.544092233795)</f>
        <v>45893.54409</v>
      </c>
      <c r="B1105" s="59">
        <f>IFERROR(__xludf.DUMMYFUNCTION("IF(ISBLANK(D1105), """", IF(ISDATE(D1105), D1105, IF(D1105=""今天"", A1105, IF(D1105=""昨天 (-1 day)"", A1105-1, IF(D1105=""前天 (-2 days)"", A1105-2, IF(D1105=""明天 (+1 day)"", A1105+1, DATE(LEFT(D1105,4), MID(D1105,5,2), RIGHT(D1105,2))))))))"),45893.544092233795)</f>
        <v>45893.54409</v>
      </c>
      <c r="C1105" s="60">
        <f>IFERROR(__xludf.DUMMYFUNCTION("INDIRECT(""'收支紀錄'!C""&amp;TO_TEXT(ROW()-$C$72))"),435.0)</f>
        <v>435</v>
      </c>
      <c r="D1105" s="63" t="str">
        <f>IFERROR(__xludf.DUMMYFUNCTION("INDIRECT(""'收支紀錄'!D""&amp;TO_TEXT(ROW()-$C$72))"),"今天")</f>
        <v>今天</v>
      </c>
      <c r="E1105" s="61" t="str">
        <f>IFERROR(__xludf.DUMMYFUNCTION("INDIRECT(""'收支紀錄'!E""&amp;TO_TEXT(ROW()-$C$72))"),"")</f>
        <v/>
      </c>
      <c r="F1105" s="61" t="str">
        <f>IFERROR(__xludf.DUMMYFUNCTION("INDIRECT(""'收支紀錄'!F""&amp;TO_TEXT(ROW()-$C$72))"),"")</f>
        <v/>
      </c>
      <c r="G1105" s="61" t="str">
        <f>IFERROR(__xludf.DUMMYFUNCTION("INDIRECT(""'收支紀錄'!G""&amp;TO_TEXT(ROW()-$C$72))"),"")</f>
        <v/>
      </c>
      <c r="H1105" s="61" t="str">
        <f>IFERROR(__xludf.DUMMYFUNCTION("INDIRECT(""'收支紀錄'!H""&amp;TO_TEXT(ROW()-$C$72))"),"食品酒水")</f>
        <v>食品酒水</v>
      </c>
      <c r="I1105" s="61" t="str">
        <f>IFERROR(__xludf.DUMMYFUNCTION("INDIRECT(""'收支紀錄'!I""&amp;TO_TEXT(ROW()-$C$72))"),"午餐")</f>
        <v>午餐</v>
      </c>
      <c r="J1105" s="61" t="str">
        <f>IFERROR(__xludf.DUMMYFUNCTION("INDIRECT(""'收支紀錄'!J""&amp;TO_TEXT(ROW()-$C$72))"),"")</f>
        <v/>
      </c>
      <c r="K1105" s="61" t="str">
        <f>IFERROR(__xludf.DUMMYFUNCTION("INDIRECT(""'收支紀錄'!K""&amp;TO_TEXT(ROW()-$C$72))"),"")</f>
        <v/>
      </c>
      <c r="L1105" s="61" t="str">
        <f>IFERROR(__xludf.DUMMYFUNCTION("INDIRECT(""'收支紀錄'!L""&amp;TO_TEXT(ROW()-$C$72))"),"")</f>
        <v/>
      </c>
      <c r="M1105" s="61" t="str">
        <f>IFERROR(__xludf.DUMMYFUNCTION("INDIRECT(""'收支紀錄'!M""&amp;TO_TEXT(ROW()-$C$72))"),"")</f>
        <v/>
      </c>
      <c r="N1105" s="61" t="str">
        <f>IFERROR(__xludf.DUMMYFUNCTION("INDIRECT(""'收支紀錄'!N""&amp;TO_TEXT(ROW()-$C$72))"),"")</f>
        <v/>
      </c>
      <c r="O1105" s="61" t="str">
        <f>IFERROR(__xludf.DUMMYFUNCTION("INDIRECT(""'收支紀錄'!O""&amp;TO_TEXT(ROW()-$C$72))"),"")</f>
        <v/>
      </c>
      <c r="P1105" s="61" t="str">
        <f>IFERROR(__xludf.DUMMYFUNCTION("INDIRECT(""'收支紀錄'!P""&amp;TO_TEXT(ROW()-$C$72))"),"")</f>
        <v/>
      </c>
      <c r="Q1105" s="61" t="str">
        <f>IFERROR(__xludf.DUMMYFUNCTION("INDIRECT(""'收支紀錄'!Q""&amp;TO_TEXT(ROW()-$C$72))"),"")</f>
        <v/>
      </c>
      <c r="R1105" s="61" t="str">
        <f>IFERROR(__xludf.DUMMYFUNCTION("INDIRECT(""'收支紀錄'!R""&amp;TO_TEXT(ROW()-$C$72))"),"")</f>
        <v/>
      </c>
      <c r="S1105" s="61" t="str">
        <f>IFERROR(__xludf.DUMMYFUNCTION("INDIRECT(""'收支紀錄'!S""&amp;TO_TEXT(ROW()-$C$72))"),"")</f>
        <v/>
      </c>
      <c r="T1105" s="61" t="str">
        <f>IFERROR(__xludf.DUMMYFUNCTION("INDIRECT(""'收支紀錄'!T""&amp;TO_TEXT(ROW()-$C$72))"),"")</f>
        <v/>
      </c>
      <c r="U1105" s="62" t="str">
        <f>IFERROR(__xludf.DUMMYFUNCTION("IF(T1105=""是"",TEXTJOIN("""", TRUE, ""$"", TO_TEXT(C1105), S1105),"""")"),"")</f>
        <v/>
      </c>
    </row>
    <row r="1106">
      <c r="A1106" s="58">
        <f>IFERROR(__xludf.DUMMYFUNCTION("INDIRECT(""'收支紀錄'!A""&amp;TO_TEXT(ROW()-$C$72))"),45895.52295532408)</f>
        <v>45895.52296</v>
      </c>
      <c r="B1106" s="59">
        <f>IFERROR(__xludf.DUMMYFUNCTION("IF(ISBLANK(D1106), """", IF(ISDATE(D1106), D1106, IF(D1106=""今天"", A1106, IF(D1106=""昨天 (-1 day)"", A1106-1, IF(D1106=""前天 (-2 days)"", A1106-2, IF(D1106=""明天 (+1 day)"", A1106+1, DATE(LEFT(D1106,4), MID(D1106,5,2), RIGHT(D1106,2))))))))"),45894.52295532408)</f>
        <v>45894.52296</v>
      </c>
      <c r="C1106" s="60">
        <f>IFERROR(__xludf.DUMMYFUNCTION("INDIRECT(""'收支紀錄'!C""&amp;TO_TEXT(ROW()-$C$72))"),60.0)</f>
        <v>60</v>
      </c>
      <c r="D1106" s="63" t="str">
        <f>IFERROR(__xludf.DUMMYFUNCTION("INDIRECT(""'收支紀錄'!D""&amp;TO_TEXT(ROW()-$C$72))"),"昨天 (-1 day)")</f>
        <v>昨天 (-1 day)</v>
      </c>
      <c r="E1106" s="61" t="str">
        <f>IFERROR(__xludf.DUMMYFUNCTION("INDIRECT(""'收支紀錄'!E""&amp;TO_TEXT(ROW()-$C$72))"),"")</f>
        <v/>
      </c>
      <c r="F1106" s="61" t="str">
        <f>IFERROR(__xludf.DUMMYFUNCTION("INDIRECT(""'收支紀錄'!F""&amp;TO_TEXT(ROW()-$C$72))"),"")</f>
        <v/>
      </c>
      <c r="G1106" s="61" t="str">
        <f>IFERROR(__xludf.DUMMYFUNCTION("INDIRECT(""'收支紀錄'!G""&amp;TO_TEXT(ROW()-$C$72))"),"")</f>
        <v/>
      </c>
      <c r="H1106" s="61" t="str">
        <f>IFERROR(__xludf.DUMMYFUNCTION("INDIRECT(""'收支紀錄'!H""&amp;TO_TEXT(ROW()-$C$72))"),"日常生活")</f>
        <v>日常生活</v>
      </c>
      <c r="I1106" s="61" t="str">
        <f>IFERROR(__xludf.DUMMYFUNCTION("INDIRECT(""'收支紀錄'!I""&amp;TO_TEXT(ROW()-$C$72))"),"")</f>
        <v/>
      </c>
      <c r="J1106" s="61" t="str">
        <f>IFERROR(__xludf.DUMMYFUNCTION("INDIRECT(""'收支紀錄'!J""&amp;TO_TEXT(ROW()-$C$72))"),"日常用品")</f>
        <v>日常用品</v>
      </c>
      <c r="K1106" s="61" t="str">
        <f>IFERROR(__xludf.DUMMYFUNCTION("INDIRECT(""'收支紀錄'!K""&amp;TO_TEXT(ROW()-$C$72))"),"")</f>
        <v/>
      </c>
      <c r="L1106" s="61" t="str">
        <f>IFERROR(__xludf.DUMMYFUNCTION("INDIRECT(""'收支紀錄'!L""&amp;TO_TEXT(ROW()-$C$72))"),"")</f>
        <v/>
      </c>
      <c r="M1106" s="61" t="str">
        <f>IFERROR(__xludf.DUMMYFUNCTION("INDIRECT(""'收支紀錄'!M""&amp;TO_TEXT(ROW()-$C$72))"),"")</f>
        <v/>
      </c>
      <c r="N1106" s="61" t="str">
        <f>IFERROR(__xludf.DUMMYFUNCTION("INDIRECT(""'收支紀錄'!N""&amp;TO_TEXT(ROW()-$C$72))"),"")</f>
        <v/>
      </c>
      <c r="O1106" s="61" t="str">
        <f>IFERROR(__xludf.DUMMYFUNCTION("INDIRECT(""'收支紀錄'!O""&amp;TO_TEXT(ROW()-$C$72))"),"")</f>
        <v/>
      </c>
      <c r="P1106" s="61" t="str">
        <f>IFERROR(__xludf.DUMMYFUNCTION("INDIRECT(""'收支紀錄'!P""&amp;TO_TEXT(ROW()-$C$72))"),"")</f>
        <v/>
      </c>
      <c r="Q1106" s="61" t="str">
        <f>IFERROR(__xludf.DUMMYFUNCTION("INDIRECT(""'收支紀錄'!Q""&amp;TO_TEXT(ROW()-$C$72))"),"")</f>
        <v/>
      </c>
      <c r="R1106" s="61" t="str">
        <f>IFERROR(__xludf.DUMMYFUNCTION("INDIRECT(""'收支紀錄'!R""&amp;TO_TEXT(ROW()-$C$72))"),"")</f>
        <v/>
      </c>
      <c r="S1106" s="61" t="str">
        <f>IFERROR(__xludf.DUMMYFUNCTION("INDIRECT(""'收支紀錄'!S""&amp;TO_TEXT(ROW()-$C$72))"),"")</f>
        <v/>
      </c>
      <c r="T1106" s="61" t="str">
        <f>IFERROR(__xludf.DUMMYFUNCTION("INDIRECT(""'收支紀錄'!T""&amp;TO_TEXT(ROW()-$C$72))"),"")</f>
        <v/>
      </c>
      <c r="U1106" s="62" t="str">
        <f>IFERROR(__xludf.DUMMYFUNCTION("IF(T1106=""是"",TEXTJOIN("""", TRUE, ""$"", TO_TEXT(C1106), S1106),"""")"),"")</f>
        <v/>
      </c>
    </row>
    <row r="1107">
      <c r="A1107" s="58">
        <f>IFERROR(__xludf.DUMMYFUNCTION("INDIRECT(""'收支紀錄'!A""&amp;TO_TEXT(ROW()-$C$72))"),45897.93344017361)</f>
        <v>45897.93344</v>
      </c>
      <c r="B1107" s="59">
        <f>IFERROR(__xludf.DUMMYFUNCTION("IF(ISBLANK(D1107), """", IF(ISDATE(D1107), D1107, IF(D1107=""今天"", A1107, IF(D1107=""昨天 (-1 day)"", A1107-1, IF(D1107=""前天 (-2 days)"", A1107-2, IF(D1107=""明天 (+1 day)"", A1107+1, DATE(LEFT(D1107,4), MID(D1107,5,2), RIGHT(D1107,2))))))))"),45897.93344017361)</f>
        <v>45897.93344</v>
      </c>
      <c r="C1107" s="60">
        <f>IFERROR(__xludf.DUMMYFUNCTION("INDIRECT(""'收支紀錄'!C""&amp;TO_TEXT(ROW()-$C$72))"),123.0)</f>
        <v>123</v>
      </c>
      <c r="D1107" s="63" t="str">
        <f>IFERROR(__xludf.DUMMYFUNCTION("INDIRECT(""'收支紀錄'!D""&amp;TO_TEXT(ROW()-$C$72))"),"今天")</f>
        <v>今天</v>
      </c>
      <c r="E1107" s="61" t="str">
        <f>IFERROR(__xludf.DUMMYFUNCTION("INDIRECT(""'收支紀錄'!E""&amp;TO_TEXT(ROW()-$C$72))"),"")</f>
        <v/>
      </c>
      <c r="F1107" s="61" t="str">
        <f>IFERROR(__xludf.DUMMYFUNCTION("INDIRECT(""'收支紀錄'!F""&amp;TO_TEXT(ROW()-$C$72))"),"")</f>
        <v/>
      </c>
      <c r="G1107" s="61" t="str">
        <f>IFERROR(__xludf.DUMMYFUNCTION("INDIRECT(""'收支紀錄'!G""&amp;TO_TEXT(ROW()-$C$72))"),"")</f>
        <v/>
      </c>
      <c r="H1107" s="61" t="str">
        <f>IFERROR(__xludf.DUMMYFUNCTION("INDIRECT(""'收支紀錄'!H""&amp;TO_TEXT(ROW()-$C$72))"),"行車交通")</f>
        <v>行車交通</v>
      </c>
      <c r="I1107" s="61" t="str">
        <f>IFERROR(__xludf.DUMMYFUNCTION("INDIRECT(""'收支紀錄'!I""&amp;TO_TEXT(ROW()-$C$72))"),"")</f>
        <v/>
      </c>
      <c r="J1107" s="61" t="str">
        <f>IFERROR(__xludf.DUMMYFUNCTION("INDIRECT(""'收支紀錄'!J""&amp;TO_TEXT(ROW()-$C$72))"),"")</f>
        <v/>
      </c>
      <c r="K1107" s="61" t="str">
        <f>IFERROR(__xludf.DUMMYFUNCTION("INDIRECT(""'收支紀錄'!K""&amp;TO_TEXT(ROW()-$C$72))"),"")</f>
        <v/>
      </c>
      <c r="L1107" s="61" t="str">
        <f>IFERROR(__xludf.DUMMYFUNCTION("INDIRECT(""'收支紀錄'!L""&amp;TO_TEXT(ROW()-$C$72))"),"加油")</f>
        <v>加油</v>
      </c>
      <c r="M1107" s="61" t="str">
        <f>IFERROR(__xludf.DUMMYFUNCTION("INDIRECT(""'收支紀錄'!M""&amp;TO_TEXT(ROW()-$C$72))"),"")</f>
        <v/>
      </c>
      <c r="N1107" s="61" t="str">
        <f>IFERROR(__xludf.DUMMYFUNCTION("INDIRECT(""'收支紀錄'!N""&amp;TO_TEXT(ROW()-$C$72))"),"")</f>
        <v/>
      </c>
      <c r="O1107" s="61" t="str">
        <f>IFERROR(__xludf.DUMMYFUNCTION("INDIRECT(""'收支紀錄'!O""&amp;TO_TEXT(ROW()-$C$72))"),"")</f>
        <v/>
      </c>
      <c r="P1107" s="61" t="str">
        <f>IFERROR(__xludf.DUMMYFUNCTION("INDIRECT(""'收支紀錄'!P""&amp;TO_TEXT(ROW()-$C$72))"),"")</f>
        <v/>
      </c>
      <c r="Q1107" s="61" t="str">
        <f>IFERROR(__xludf.DUMMYFUNCTION("INDIRECT(""'收支紀錄'!Q""&amp;TO_TEXT(ROW()-$C$72))"),"")</f>
        <v/>
      </c>
      <c r="R1107" s="61" t="str">
        <f>IFERROR(__xludf.DUMMYFUNCTION("INDIRECT(""'收支紀錄'!R""&amp;TO_TEXT(ROW()-$C$72))"),"")</f>
        <v/>
      </c>
      <c r="S1107" s="61" t="str">
        <f>IFERROR(__xludf.DUMMYFUNCTION("INDIRECT(""'收支紀錄'!S""&amp;TO_TEXT(ROW()-$C$72))"),"")</f>
        <v/>
      </c>
      <c r="T1107" s="61" t="str">
        <f>IFERROR(__xludf.DUMMYFUNCTION("INDIRECT(""'收支紀錄'!T""&amp;TO_TEXT(ROW()-$C$72))"),"")</f>
        <v/>
      </c>
      <c r="U1107" s="62" t="str">
        <f>IFERROR(__xludf.DUMMYFUNCTION("IF(T1107=""是"",TEXTJOIN("""", TRUE, ""$"", TO_TEXT(C1107), S1107),"""")"),"")</f>
        <v/>
      </c>
    </row>
    <row r="1108">
      <c r="A1108" s="58">
        <f>IFERROR(__xludf.DUMMYFUNCTION("INDIRECT(""'收支紀錄'!A""&amp;TO_TEXT(ROW()-$C$72))"),45898.90079315972)</f>
        <v>45898.90079</v>
      </c>
      <c r="B1108" s="59">
        <f>IFERROR(__xludf.DUMMYFUNCTION("IF(ISBLANK(D1108), """", IF(ISDATE(D1108), D1108, IF(D1108=""今天"", A1108, IF(D1108=""昨天 (-1 day)"", A1108-1, IF(D1108=""前天 (-2 days)"", A1108-2, IF(D1108=""明天 (+1 day)"", A1108+1, DATE(LEFT(D1108,4), MID(D1108,5,2), RIGHT(D1108,2))))))))"),45898.90079315972)</f>
        <v>45898.90079</v>
      </c>
      <c r="C1108" s="60">
        <f>IFERROR(__xludf.DUMMYFUNCTION("INDIRECT(""'收支紀錄'!C""&amp;TO_TEXT(ROW()-$C$72))"),407.0)</f>
        <v>407</v>
      </c>
      <c r="D1108" s="63" t="str">
        <f>IFERROR(__xludf.DUMMYFUNCTION("INDIRECT(""'收支紀錄'!D""&amp;TO_TEXT(ROW()-$C$72))"),"今天")</f>
        <v>今天</v>
      </c>
      <c r="E1108" s="61" t="str">
        <f>IFERROR(__xludf.DUMMYFUNCTION("INDIRECT(""'收支紀錄'!E""&amp;TO_TEXT(ROW()-$C$72))"),"")</f>
        <v/>
      </c>
      <c r="F1108" s="61" t="str">
        <f>IFERROR(__xludf.DUMMYFUNCTION("INDIRECT(""'收支紀錄'!F""&amp;TO_TEXT(ROW()-$C$72))"),"")</f>
        <v/>
      </c>
      <c r="G1108" s="61" t="str">
        <f>IFERROR(__xludf.DUMMYFUNCTION("INDIRECT(""'收支紀錄'!G""&amp;TO_TEXT(ROW()-$C$72))"),"")</f>
        <v/>
      </c>
      <c r="H1108" s="61" t="str">
        <f>IFERROR(__xludf.DUMMYFUNCTION("INDIRECT(""'收支紀錄'!H""&amp;TO_TEXT(ROW()-$C$72))"),"食品酒水")</f>
        <v>食品酒水</v>
      </c>
      <c r="I1108" s="61" t="str">
        <f>IFERROR(__xludf.DUMMYFUNCTION("INDIRECT(""'收支紀錄'!I""&amp;TO_TEXT(ROW()-$C$72))"),"晚餐")</f>
        <v>晚餐</v>
      </c>
      <c r="J1108" s="61" t="str">
        <f>IFERROR(__xludf.DUMMYFUNCTION("INDIRECT(""'收支紀錄'!J""&amp;TO_TEXT(ROW()-$C$72))"),"")</f>
        <v/>
      </c>
      <c r="K1108" s="61" t="str">
        <f>IFERROR(__xludf.DUMMYFUNCTION("INDIRECT(""'收支紀錄'!K""&amp;TO_TEXT(ROW()-$C$72))"),"")</f>
        <v/>
      </c>
      <c r="L1108" s="61" t="str">
        <f>IFERROR(__xludf.DUMMYFUNCTION("INDIRECT(""'收支紀錄'!L""&amp;TO_TEXT(ROW()-$C$72))"),"")</f>
        <v/>
      </c>
      <c r="M1108" s="61" t="str">
        <f>IFERROR(__xludf.DUMMYFUNCTION("INDIRECT(""'收支紀錄'!M""&amp;TO_TEXT(ROW()-$C$72))"),"")</f>
        <v/>
      </c>
      <c r="N1108" s="61" t="str">
        <f>IFERROR(__xludf.DUMMYFUNCTION("INDIRECT(""'收支紀錄'!N""&amp;TO_TEXT(ROW()-$C$72))"),"")</f>
        <v/>
      </c>
      <c r="O1108" s="61" t="str">
        <f>IFERROR(__xludf.DUMMYFUNCTION("INDIRECT(""'收支紀錄'!O""&amp;TO_TEXT(ROW()-$C$72))"),"")</f>
        <v/>
      </c>
      <c r="P1108" s="61" t="str">
        <f>IFERROR(__xludf.DUMMYFUNCTION("INDIRECT(""'收支紀錄'!P""&amp;TO_TEXT(ROW()-$C$72))"),"")</f>
        <v/>
      </c>
      <c r="Q1108" s="61" t="str">
        <f>IFERROR(__xludf.DUMMYFUNCTION("INDIRECT(""'收支紀錄'!Q""&amp;TO_TEXT(ROW()-$C$72))"),"")</f>
        <v/>
      </c>
      <c r="R1108" s="61" t="str">
        <f>IFERROR(__xludf.DUMMYFUNCTION("INDIRECT(""'收支紀錄'!R""&amp;TO_TEXT(ROW()-$C$72))"),"")</f>
        <v/>
      </c>
      <c r="S1108" s="61" t="str">
        <f>IFERROR(__xludf.DUMMYFUNCTION("INDIRECT(""'收支紀錄'!S""&amp;TO_TEXT(ROW()-$C$72))"),"")</f>
        <v/>
      </c>
      <c r="T1108" s="61" t="str">
        <f>IFERROR(__xludf.DUMMYFUNCTION("INDIRECT(""'收支紀錄'!T""&amp;TO_TEXT(ROW()-$C$72))"),"")</f>
        <v/>
      </c>
      <c r="U1108" s="62" t="str">
        <f>IFERROR(__xludf.DUMMYFUNCTION("IF(T1108=""是"",TEXTJOIN("""", TRUE, ""$"", TO_TEXT(C1108), S1108),"""")"),"")</f>
        <v/>
      </c>
    </row>
    <row r="1109">
      <c r="A1109" s="58">
        <f>IFERROR(__xludf.DUMMYFUNCTION("INDIRECT(""'收支紀錄'!A""&amp;TO_TEXT(ROW()-$C$72))"),45899.81011025463)</f>
        <v>45899.81011</v>
      </c>
      <c r="B1109" s="59">
        <f>IFERROR(__xludf.DUMMYFUNCTION("IF(ISBLANK(D1109), """", IF(ISDATE(D1109), D1109, IF(D1109=""今天"", A1109, IF(D1109=""昨天 (-1 day)"", A1109-1, IF(D1109=""前天 (-2 days)"", A1109-2, IF(D1109=""明天 (+1 day)"", A1109+1, DATE(LEFT(D1109,4), MID(D1109,5,2), RIGHT(D1109,2))))))))"),45899.81011025463)</f>
        <v>45899.81011</v>
      </c>
      <c r="C1109" s="60">
        <f>IFERROR(__xludf.DUMMYFUNCTION("INDIRECT(""'收支紀錄'!C""&amp;TO_TEXT(ROW()-$C$72))"),524.0)</f>
        <v>524</v>
      </c>
      <c r="D1109" s="63" t="str">
        <f>IFERROR(__xludf.DUMMYFUNCTION("INDIRECT(""'收支紀錄'!D""&amp;TO_TEXT(ROW()-$C$72))"),"今天")</f>
        <v>今天</v>
      </c>
      <c r="E1109" s="61" t="str">
        <f>IFERROR(__xludf.DUMMYFUNCTION("INDIRECT(""'收支紀錄'!E""&amp;TO_TEXT(ROW()-$C$72))"),"")</f>
        <v/>
      </c>
      <c r="F1109" s="61" t="str">
        <f>IFERROR(__xludf.DUMMYFUNCTION("INDIRECT(""'收支紀錄'!F""&amp;TO_TEXT(ROW()-$C$72))"),"")</f>
        <v/>
      </c>
      <c r="G1109" s="61" t="str">
        <f>IFERROR(__xludf.DUMMYFUNCTION("INDIRECT(""'收支紀錄'!G""&amp;TO_TEXT(ROW()-$C$72))"),"")</f>
        <v/>
      </c>
      <c r="H1109" s="61" t="str">
        <f>IFERROR(__xludf.DUMMYFUNCTION("INDIRECT(""'收支紀錄'!H""&amp;TO_TEXT(ROW()-$C$72))"),"行車交通")</f>
        <v>行車交通</v>
      </c>
      <c r="I1109" s="61" t="str">
        <f>IFERROR(__xludf.DUMMYFUNCTION("INDIRECT(""'收支紀錄'!I""&amp;TO_TEXT(ROW()-$C$72))"),"")</f>
        <v/>
      </c>
      <c r="J1109" s="61" t="str">
        <f>IFERROR(__xludf.DUMMYFUNCTION("INDIRECT(""'收支紀錄'!J""&amp;TO_TEXT(ROW()-$C$72))"),"")</f>
        <v/>
      </c>
      <c r="K1109" s="61" t="str">
        <f>IFERROR(__xludf.DUMMYFUNCTION("INDIRECT(""'收支紀錄'!K""&amp;TO_TEXT(ROW()-$C$72))"),"")</f>
        <v/>
      </c>
      <c r="L1109" s="61" t="str">
        <f>IFERROR(__xludf.DUMMYFUNCTION("INDIRECT(""'收支紀錄'!L""&amp;TO_TEXT(ROW()-$C$72))"),"加油")</f>
        <v>加油</v>
      </c>
      <c r="M1109" s="61" t="str">
        <f>IFERROR(__xludf.DUMMYFUNCTION("INDIRECT(""'收支紀錄'!M""&amp;TO_TEXT(ROW()-$C$72))"),"")</f>
        <v/>
      </c>
      <c r="N1109" s="61" t="str">
        <f>IFERROR(__xludf.DUMMYFUNCTION("INDIRECT(""'收支紀錄'!N""&amp;TO_TEXT(ROW()-$C$72))"),"")</f>
        <v/>
      </c>
      <c r="O1109" s="61" t="str">
        <f>IFERROR(__xludf.DUMMYFUNCTION("INDIRECT(""'收支紀錄'!O""&amp;TO_TEXT(ROW()-$C$72))"),"")</f>
        <v/>
      </c>
      <c r="P1109" s="61" t="str">
        <f>IFERROR(__xludf.DUMMYFUNCTION("INDIRECT(""'收支紀錄'!P""&amp;TO_TEXT(ROW()-$C$72))"),"")</f>
        <v/>
      </c>
      <c r="Q1109" s="61" t="str">
        <f>IFERROR(__xludf.DUMMYFUNCTION("INDIRECT(""'收支紀錄'!Q""&amp;TO_TEXT(ROW()-$C$72))"),"")</f>
        <v/>
      </c>
      <c r="R1109" s="61" t="str">
        <f>IFERROR(__xludf.DUMMYFUNCTION("INDIRECT(""'收支紀錄'!R""&amp;TO_TEXT(ROW()-$C$72))"),"")</f>
        <v/>
      </c>
      <c r="S1109" s="61" t="str">
        <f>IFERROR(__xludf.DUMMYFUNCTION("INDIRECT(""'收支紀錄'!S""&amp;TO_TEXT(ROW()-$C$72))"),"")</f>
        <v/>
      </c>
      <c r="T1109" s="61" t="str">
        <f>IFERROR(__xludf.DUMMYFUNCTION("INDIRECT(""'收支紀錄'!T""&amp;TO_TEXT(ROW()-$C$72))"),"")</f>
        <v/>
      </c>
      <c r="U1109" s="62" t="str">
        <f>IFERROR(__xludf.DUMMYFUNCTION("IF(T1109=""是"",TEXTJOIN("""", TRUE, ""$"", TO_TEXT(C1109), S1109),"""")"),"")</f>
        <v/>
      </c>
    </row>
    <row r="1110">
      <c r="A1110" s="58">
        <f>IFERROR(__xludf.DUMMYFUNCTION("INDIRECT(""'收支紀錄'!A""&amp;TO_TEXT(ROW()-$C$72))"),45899.90481962963)</f>
        <v>45899.90482</v>
      </c>
      <c r="B1110" s="59">
        <f>IFERROR(__xludf.DUMMYFUNCTION("IF(ISBLANK(D1110), """", IF(ISDATE(D1110), D1110, IF(D1110=""今天"", A1110, IF(D1110=""昨天 (-1 day)"", A1110-1, IF(D1110=""前天 (-2 days)"", A1110-2, IF(D1110=""明天 (+1 day)"", A1110+1, DATE(LEFT(D1110,4), MID(D1110,5,2), RIGHT(D1110,2))))))))"),45899.90481962963)</f>
        <v>45899.90482</v>
      </c>
      <c r="C1110" s="60">
        <f>IFERROR(__xludf.DUMMYFUNCTION("INDIRECT(""'收支紀錄'!C""&amp;TO_TEXT(ROW()-$C$72))"),60.0)</f>
        <v>60</v>
      </c>
      <c r="D1110" s="63" t="str">
        <f>IFERROR(__xludf.DUMMYFUNCTION("INDIRECT(""'收支紀錄'!D""&amp;TO_TEXT(ROW()-$C$72))"),"今天")</f>
        <v>今天</v>
      </c>
      <c r="E1110" s="61" t="str">
        <f>IFERROR(__xludf.DUMMYFUNCTION("INDIRECT(""'收支紀錄'!E""&amp;TO_TEXT(ROW()-$C$72))"),"")</f>
        <v/>
      </c>
      <c r="F1110" s="61" t="str">
        <f>IFERROR(__xludf.DUMMYFUNCTION("INDIRECT(""'收支紀錄'!F""&amp;TO_TEXT(ROW()-$C$72))"),"")</f>
        <v/>
      </c>
      <c r="G1110" s="61" t="str">
        <f>IFERROR(__xludf.DUMMYFUNCTION("INDIRECT(""'收支紀錄'!G""&amp;TO_TEXT(ROW()-$C$72))"),"")</f>
        <v/>
      </c>
      <c r="H1110" s="61" t="str">
        <f>IFERROR(__xludf.DUMMYFUNCTION("INDIRECT(""'收支紀錄'!H""&amp;TO_TEXT(ROW()-$C$72))"),"行車交通")</f>
        <v>行車交通</v>
      </c>
      <c r="I1110" s="61" t="str">
        <f>IFERROR(__xludf.DUMMYFUNCTION("INDIRECT(""'收支紀錄'!I""&amp;TO_TEXT(ROW()-$C$72))"),"")</f>
        <v/>
      </c>
      <c r="J1110" s="61" t="str">
        <f>IFERROR(__xludf.DUMMYFUNCTION("INDIRECT(""'收支紀錄'!J""&amp;TO_TEXT(ROW()-$C$72))"),"")</f>
        <v/>
      </c>
      <c r="K1110" s="61" t="str">
        <f>IFERROR(__xludf.DUMMYFUNCTION("INDIRECT(""'收支紀錄'!K""&amp;TO_TEXT(ROW()-$C$72))"),"")</f>
        <v/>
      </c>
      <c r="L1110" s="61" t="str">
        <f>IFERROR(__xludf.DUMMYFUNCTION("INDIRECT(""'收支紀錄'!L""&amp;TO_TEXT(ROW()-$C$72))"),"停車")</f>
        <v>停車</v>
      </c>
      <c r="M1110" s="61" t="str">
        <f>IFERROR(__xludf.DUMMYFUNCTION("INDIRECT(""'收支紀錄'!M""&amp;TO_TEXT(ROW()-$C$72))"),"")</f>
        <v/>
      </c>
      <c r="N1110" s="61" t="str">
        <f>IFERROR(__xludf.DUMMYFUNCTION("INDIRECT(""'收支紀錄'!N""&amp;TO_TEXT(ROW()-$C$72))"),"")</f>
        <v/>
      </c>
      <c r="O1110" s="61" t="str">
        <f>IFERROR(__xludf.DUMMYFUNCTION("INDIRECT(""'收支紀錄'!O""&amp;TO_TEXT(ROW()-$C$72))"),"")</f>
        <v/>
      </c>
      <c r="P1110" s="61" t="str">
        <f>IFERROR(__xludf.DUMMYFUNCTION("INDIRECT(""'收支紀錄'!P""&amp;TO_TEXT(ROW()-$C$72))"),"")</f>
        <v/>
      </c>
      <c r="Q1110" s="61" t="str">
        <f>IFERROR(__xludf.DUMMYFUNCTION("INDIRECT(""'收支紀錄'!Q""&amp;TO_TEXT(ROW()-$C$72))"),"")</f>
        <v/>
      </c>
      <c r="R1110" s="61" t="str">
        <f>IFERROR(__xludf.DUMMYFUNCTION("INDIRECT(""'收支紀錄'!R""&amp;TO_TEXT(ROW()-$C$72))"),"")</f>
        <v/>
      </c>
      <c r="S1110" s="61" t="str">
        <f>IFERROR(__xludf.DUMMYFUNCTION("INDIRECT(""'收支紀錄'!S""&amp;TO_TEXT(ROW()-$C$72))"),"")</f>
        <v/>
      </c>
      <c r="T1110" s="61" t="str">
        <f>IFERROR(__xludf.DUMMYFUNCTION("INDIRECT(""'收支紀錄'!T""&amp;TO_TEXT(ROW()-$C$72))"),"")</f>
        <v/>
      </c>
      <c r="U1110" s="62" t="str">
        <f>IFERROR(__xludf.DUMMYFUNCTION("IF(T1110=""是"",TEXTJOIN("""", TRUE, ""$"", TO_TEXT(C1110), S1110),"""")"),"")</f>
        <v/>
      </c>
    </row>
    <row r="1111">
      <c r="A1111" s="58">
        <f>IFERROR(__xludf.DUMMYFUNCTION("INDIRECT(""'收支紀錄'!A""&amp;TO_TEXT(ROW()-$C$72))"),45900.62839869213)</f>
        <v>45900.6284</v>
      </c>
      <c r="B1111" s="59">
        <f>IFERROR(__xludf.DUMMYFUNCTION("IF(ISBLANK(D1111), """", IF(ISDATE(D1111), D1111, IF(D1111=""今天"", A1111, IF(D1111=""昨天 (-1 day)"", A1111-1, IF(D1111=""前天 (-2 days)"", A1111-2, IF(D1111=""明天 (+1 day)"", A1111+1, DATE(LEFT(D1111,4), MID(D1111,5,2), RIGHT(D1111,2))))))))"),45900.62839869213)</f>
        <v>45900.6284</v>
      </c>
      <c r="C1111" s="60">
        <f>IFERROR(__xludf.DUMMYFUNCTION("INDIRECT(""'收支紀錄'!C""&amp;TO_TEXT(ROW()-$C$72))"),145.0)</f>
        <v>145</v>
      </c>
      <c r="D1111" s="63" t="str">
        <f>IFERROR(__xludf.DUMMYFUNCTION("INDIRECT(""'收支紀錄'!D""&amp;TO_TEXT(ROW()-$C$72))"),"今天")</f>
        <v>今天</v>
      </c>
      <c r="E1111" s="61" t="str">
        <f>IFERROR(__xludf.DUMMYFUNCTION("INDIRECT(""'收支紀錄'!E""&amp;TO_TEXT(ROW()-$C$72))"),"")</f>
        <v/>
      </c>
      <c r="F1111" s="61" t="str">
        <f>IFERROR(__xludf.DUMMYFUNCTION("INDIRECT(""'收支紀錄'!F""&amp;TO_TEXT(ROW()-$C$72))"),"")</f>
        <v/>
      </c>
      <c r="G1111" s="61" t="str">
        <f>IFERROR(__xludf.DUMMYFUNCTION("INDIRECT(""'收支紀錄'!G""&amp;TO_TEXT(ROW()-$C$72))"),"")</f>
        <v/>
      </c>
      <c r="H1111" s="61" t="str">
        <f>IFERROR(__xludf.DUMMYFUNCTION("INDIRECT(""'收支紀錄'!H""&amp;TO_TEXT(ROW()-$C$72))"),"食品酒水")</f>
        <v>食品酒水</v>
      </c>
      <c r="I1111" s="61" t="str">
        <f>IFERROR(__xludf.DUMMYFUNCTION("INDIRECT(""'收支紀錄'!I""&amp;TO_TEXT(ROW()-$C$72))"),"早餐")</f>
        <v>早餐</v>
      </c>
      <c r="J1111" s="61" t="str">
        <f>IFERROR(__xludf.DUMMYFUNCTION("INDIRECT(""'收支紀錄'!J""&amp;TO_TEXT(ROW()-$C$72))"),"")</f>
        <v/>
      </c>
      <c r="K1111" s="61" t="str">
        <f>IFERROR(__xludf.DUMMYFUNCTION("INDIRECT(""'收支紀錄'!K""&amp;TO_TEXT(ROW()-$C$72))"),"")</f>
        <v/>
      </c>
      <c r="L1111" s="61" t="str">
        <f>IFERROR(__xludf.DUMMYFUNCTION("INDIRECT(""'收支紀錄'!L""&amp;TO_TEXT(ROW()-$C$72))"),"")</f>
        <v/>
      </c>
      <c r="M1111" s="61" t="str">
        <f>IFERROR(__xludf.DUMMYFUNCTION("INDIRECT(""'收支紀錄'!M""&amp;TO_TEXT(ROW()-$C$72))"),"")</f>
        <v/>
      </c>
      <c r="N1111" s="61" t="str">
        <f>IFERROR(__xludf.DUMMYFUNCTION("INDIRECT(""'收支紀錄'!N""&amp;TO_TEXT(ROW()-$C$72))"),"")</f>
        <v/>
      </c>
      <c r="O1111" s="61" t="str">
        <f>IFERROR(__xludf.DUMMYFUNCTION("INDIRECT(""'收支紀錄'!O""&amp;TO_TEXT(ROW()-$C$72))"),"")</f>
        <v/>
      </c>
      <c r="P1111" s="61" t="str">
        <f>IFERROR(__xludf.DUMMYFUNCTION("INDIRECT(""'收支紀錄'!P""&amp;TO_TEXT(ROW()-$C$72))"),"")</f>
        <v/>
      </c>
      <c r="Q1111" s="61" t="str">
        <f>IFERROR(__xludf.DUMMYFUNCTION("INDIRECT(""'收支紀錄'!Q""&amp;TO_TEXT(ROW()-$C$72))"),"")</f>
        <v/>
      </c>
      <c r="R1111" s="61" t="str">
        <f>IFERROR(__xludf.DUMMYFUNCTION("INDIRECT(""'收支紀錄'!R""&amp;TO_TEXT(ROW()-$C$72))"),"")</f>
        <v/>
      </c>
      <c r="S1111" s="61" t="str">
        <f>IFERROR(__xludf.DUMMYFUNCTION("INDIRECT(""'收支紀錄'!S""&amp;TO_TEXT(ROW()-$C$72))"),"")</f>
        <v/>
      </c>
      <c r="T1111" s="61" t="str">
        <f>IFERROR(__xludf.DUMMYFUNCTION("INDIRECT(""'收支紀錄'!T""&amp;TO_TEXT(ROW()-$C$72))"),"")</f>
        <v/>
      </c>
      <c r="U1111" s="62" t="str">
        <f>IFERROR(__xludf.DUMMYFUNCTION("IF(T1111=""是"",TEXTJOIN("""", TRUE, ""$"", TO_TEXT(C1111), S1111),"""")"),"")</f>
        <v/>
      </c>
    </row>
    <row r="1112">
      <c r="A1112" s="58">
        <f>IFERROR(__xludf.DUMMYFUNCTION("INDIRECT(""'收支紀錄'!A""&amp;TO_TEXT(ROW()-$C$72))"),45900.62855125)</f>
        <v>45900.62855</v>
      </c>
      <c r="B1112" s="59">
        <f>IFERROR(__xludf.DUMMYFUNCTION("IF(ISBLANK(D1112), """", IF(ISDATE(D1112), D1112, IF(D1112=""今天"", A1112, IF(D1112=""昨天 (-1 day)"", A1112-1, IF(D1112=""前天 (-2 days)"", A1112-2, IF(D1112=""明天 (+1 day)"", A1112+1, DATE(LEFT(D1112,4), MID(D1112,5,2), RIGHT(D1112,2))))))))"),45900.62855125)</f>
        <v>45900.62855</v>
      </c>
      <c r="C1112" s="60">
        <f>IFERROR(__xludf.DUMMYFUNCTION("INDIRECT(""'收支紀錄'!C""&amp;TO_TEXT(ROW()-$C$72))"),255.0)</f>
        <v>255</v>
      </c>
      <c r="D1112" s="63" t="str">
        <f>IFERROR(__xludf.DUMMYFUNCTION("INDIRECT(""'收支紀錄'!D""&amp;TO_TEXT(ROW()-$C$72))"),"今天")</f>
        <v>今天</v>
      </c>
      <c r="E1112" s="61" t="str">
        <f>IFERROR(__xludf.DUMMYFUNCTION("INDIRECT(""'收支紀錄'!E""&amp;TO_TEXT(ROW()-$C$72))"),"")</f>
        <v/>
      </c>
      <c r="F1112" s="61" t="str">
        <f>IFERROR(__xludf.DUMMYFUNCTION("INDIRECT(""'收支紀錄'!F""&amp;TO_TEXT(ROW()-$C$72))"),"")</f>
        <v/>
      </c>
      <c r="G1112" s="61" t="str">
        <f>IFERROR(__xludf.DUMMYFUNCTION("INDIRECT(""'收支紀錄'!G""&amp;TO_TEXT(ROW()-$C$72))"),"")</f>
        <v/>
      </c>
      <c r="H1112" s="61" t="str">
        <f>IFERROR(__xludf.DUMMYFUNCTION("INDIRECT(""'收支紀錄'!H""&amp;TO_TEXT(ROW()-$C$72))"),"食品酒水")</f>
        <v>食品酒水</v>
      </c>
      <c r="I1112" s="61" t="str">
        <f>IFERROR(__xludf.DUMMYFUNCTION("INDIRECT(""'收支紀錄'!I""&amp;TO_TEXT(ROW()-$C$72))"),"午餐")</f>
        <v>午餐</v>
      </c>
      <c r="J1112" s="61" t="str">
        <f>IFERROR(__xludf.DUMMYFUNCTION("INDIRECT(""'收支紀錄'!J""&amp;TO_TEXT(ROW()-$C$72))"),"")</f>
        <v/>
      </c>
      <c r="K1112" s="61" t="str">
        <f>IFERROR(__xludf.DUMMYFUNCTION("INDIRECT(""'收支紀錄'!K""&amp;TO_TEXT(ROW()-$C$72))"),"")</f>
        <v/>
      </c>
      <c r="L1112" s="61" t="str">
        <f>IFERROR(__xludf.DUMMYFUNCTION("INDIRECT(""'收支紀錄'!L""&amp;TO_TEXT(ROW()-$C$72))"),"")</f>
        <v/>
      </c>
      <c r="M1112" s="61" t="str">
        <f>IFERROR(__xludf.DUMMYFUNCTION("INDIRECT(""'收支紀錄'!M""&amp;TO_TEXT(ROW()-$C$72))"),"")</f>
        <v/>
      </c>
      <c r="N1112" s="61" t="str">
        <f>IFERROR(__xludf.DUMMYFUNCTION("INDIRECT(""'收支紀錄'!N""&amp;TO_TEXT(ROW()-$C$72))"),"")</f>
        <v/>
      </c>
      <c r="O1112" s="61" t="str">
        <f>IFERROR(__xludf.DUMMYFUNCTION("INDIRECT(""'收支紀錄'!O""&amp;TO_TEXT(ROW()-$C$72))"),"")</f>
        <v/>
      </c>
      <c r="P1112" s="61" t="str">
        <f>IFERROR(__xludf.DUMMYFUNCTION("INDIRECT(""'收支紀錄'!P""&amp;TO_TEXT(ROW()-$C$72))"),"")</f>
        <v/>
      </c>
      <c r="Q1112" s="61" t="str">
        <f>IFERROR(__xludf.DUMMYFUNCTION("INDIRECT(""'收支紀錄'!Q""&amp;TO_TEXT(ROW()-$C$72))"),"")</f>
        <v/>
      </c>
      <c r="R1112" s="61" t="str">
        <f>IFERROR(__xludf.DUMMYFUNCTION("INDIRECT(""'收支紀錄'!R""&amp;TO_TEXT(ROW()-$C$72))"),"")</f>
        <v/>
      </c>
      <c r="S1112" s="61" t="str">
        <f>IFERROR(__xludf.DUMMYFUNCTION("INDIRECT(""'收支紀錄'!S""&amp;TO_TEXT(ROW()-$C$72))"),"")</f>
        <v/>
      </c>
      <c r="T1112" s="61" t="str">
        <f>IFERROR(__xludf.DUMMYFUNCTION("INDIRECT(""'收支紀錄'!T""&amp;TO_TEXT(ROW()-$C$72))"),"")</f>
        <v/>
      </c>
      <c r="U1112" s="62" t="str">
        <f>IFERROR(__xludf.DUMMYFUNCTION("IF(T1112=""是"",TEXTJOIN("""", TRUE, ""$"", TO_TEXT(C1112), S1112),"""")"),"")</f>
        <v/>
      </c>
    </row>
    <row r="1113">
      <c r="A1113" s="58">
        <f>IFERROR(__xludf.DUMMYFUNCTION("INDIRECT(""'收支紀錄'!A""&amp;TO_TEXT(ROW()-$C$72))"),45900.62870981482)</f>
        <v>45900.62871</v>
      </c>
      <c r="B1113" s="59">
        <f>IFERROR(__xludf.DUMMYFUNCTION("IF(ISBLANK(D1113), """", IF(ISDATE(D1113), D1113, IF(D1113=""今天"", A1113, IF(D1113=""昨天 (-1 day)"", A1113-1, IF(D1113=""前天 (-2 days)"", A1113-2, IF(D1113=""明天 (+1 day)"", A1113+1, DATE(LEFT(D1113,4), MID(D1113,5,2), RIGHT(D1113,2))))))))"),45900.62870981482)</f>
        <v>45900.62871</v>
      </c>
      <c r="C1113" s="60">
        <f>IFERROR(__xludf.DUMMYFUNCTION("INDIRECT(""'收支紀錄'!C""&amp;TO_TEXT(ROW()-$C$72))"),100.0)</f>
        <v>100</v>
      </c>
      <c r="D1113" s="63" t="str">
        <f>IFERROR(__xludf.DUMMYFUNCTION("INDIRECT(""'收支紀錄'!D""&amp;TO_TEXT(ROW()-$C$72))"),"今天")</f>
        <v>今天</v>
      </c>
      <c r="E1113" s="61" t="str">
        <f>IFERROR(__xludf.DUMMYFUNCTION("INDIRECT(""'收支紀錄'!E""&amp;TO_TEXT(ROW()-$C$72))"),"")</f>
        <v/>
      </c>
      <c r="F1113" s="61" t="str">
        <f>IFERROR(__xludf.DUMMYFUNCTION("INDIRECT(""'收支紀錄'!F""&amp;TO_TEXT(ROW()-$C$72))"),"")</f>
        <v/>
      </c>
      <c r="G1113" s="61" t="str">
        <f>IFERROR(__xludf.DUMMYFUNCTION("INDIRECT(""'收支紀錄'!G""&amp;TO_TEXT(ROW()-$C$72))"),"")</f>
        <v/>
      </c>
      <c r="H1113" s="61" t="str">
        <f>IFERROR(__xludf.DUMMYFUNCTION("INDIRECT(""'收支紀錄'!H""&amp;TO_TEXT(ROW()-$C$72))"),"日常生活")</f>
        <v>日常生活</v>
      </c>
      <c r="I1113" s="61" t="str">
        <f>IFERROR(__xludf.DUMMYFUNCTION("INDIRECT(""'收支紀錄'!I""&amp;TO_TEXT(ROW()-$C$72))"),"")</f>
        <v/>
      </c>
      <c r="J1113" s="61" t="str">
        <f>IFERROR(__xludf.DUMMYFUNCTION("INDIRECT(""'收支紀錄'!J""&amp;TO_TEXT(ROW()-$C$72))"),"日常用品")</f>
        <v>日常用品</v>
      </c>
      <c r="K1113" s="61" t="str">
        <f>IFERROR(__xludf.DUMMYFUNCTION("INDIRECT(""'收支紀錄'!K""&amp;TO_TEXT(ROW()-$C$72))"),"")</f>
        <v/>
      </c>
      <c r="L1113" s="61" t="str">
        <f>IFERROR(__xludf.DUMMYFUNCTION("INDIRECT(""'收支紀錄'!L""&amp;TO_TEXT(ROW()-$C$72))"),"")</f>
        <v/>
      </c>
      <c r="M1113" s="61" t="str">
        <f>IFERROR(__xludf.DUMMYFUNCTION("INDIRECT(""'收支紀錄'!M""&amp;TO_TEXT(ROW()-$C$72))"),"")</f>
        <v/>
      </c>
      <c r="N1113" s="61" t="str">
        <f>IFERROR(__xludf.DUMMYFUNCTION("INDIRECT(""'收支紀錄'!N""&amp;TO_TEXT(ROW()-$C$72))"),"")</f>
        <v/>
      </c>
      <c r="O1113" s="61" t="str">
        <f>IFERROR(__xludf.DUMMYFUNCTION("INDIRECT(""'收支紀錄'!O""&amp;TO_TEXT(ROW()-$C$72))"),"")</f>
        <v/>
      </c>
      <c r="P1113" s="61" t="str">
        <f>IFERROR(__xludf.DUMMYFUNCTION("INDIRECT(""'收支紀錄'!P""&amp;TO_TEXT(ROW()-$C$72))"),"")</f>
        <v/>
      </c>
      <c r="Q1113" s="61" t="str">
        <f>IFERROR(__xludf.DUMMYFUNCTION("INDIRECT(""'收支紀錄'!Q""&amp;TO_TEXT(ROW()-$C$72))"),"")</f>
        <v/>
      </c>
      <c r="R1113" s="61" t="str">
        <f>IFERROR(__xludf.DUMMYFUNCTION("INDIRECT(""'收支紀錄'!R""&amp;TO_TEXT(ROW()-$C$72))"),"")</f>
        <v/>
      </c>
      <c r="S1113" s="61" t="str">
        <f>IFERROR(__xludf.DUMMYFUNCTION("INDIRECT(""'收支紀錄'!S""&amp;TO_TEXT(ROW()-$C$72))"),"")</f>
        <v/>
      </c>
      <c r="T1113" s="61" t="str">
        <f>IFERROR(__xludf.DUMMYFUNCTION("INDIRECT(""'收支紀錄'!T""&amp;TO_TEXT(ROW()-$C$72))"),"")</f>
        <v/>
      </c>
      <c r="U1113" s="62" t="str">
        <f>IFERROR(__xludf.DUMMYFUNCTION("IF(T1113=""是"",TEXTJOIN("""", TRUE, ""$"", TO_TEXT(C1113), S1113),"""")"),"")</f>
        <v/>
      </c>
    </row>
    <row r="1114">
      <c r="A1114" s="58">
        <f>IFERROR(__xludf.DUMMYFUNCTION("INDIRECT(""'收支紀錄'!A""&amp;TO_TEXT(ROW()-$C$72))"),45900.62983560185)</f>
        <v>45900.62984</v>
      </c>
      <c r="B1114" s="59">
        <f>IFERROR(__xludf.DUMMYFUNCTION("IF(ISBLANK(D1114), """", IF(ISDATE(D1114), D1114, IF(D1114=""今天"", A1114, IF(D1114=""昨天 (-1 day)"", A1114-1, IF(D1114=""前天 (-2 days)"", A1114-2, IF(D1114=""明天 (+1 day)"", A1114+1, DATE(LEFT(D1114,4), MID(D1114,5,2), RIGHT(D1114,2))))))))"),45900.62983560185)</f>
        <v>45900.62984</v>
      </c>
      <c r="C1114" s="60">
        <f>IFERROR(__xludf.DUMMYFUNCTION("INDIRECT(""'收支紀錄'!C""&amp;TO_TEXT(ROW()-$C$72))"),1701.0)</f>
        <v>1701</v>
      </c>
      <c r="D1114" s="63" t="str">
        <f>IFERROR(__xludf.DUMMYFUNCTION("INDIRECT(""'收支紀錄'!D""&amp;TO_TEXT(ROW()-$C$72))"),"今天")</f>
        <v>今天</v>
      </c>
      <c r="E1114" s="61" t="str">
        <f>IFERROR(__xludf.DUMMYFUNCTION("INDIRECT(""'收支紀錄'!E""&amp;TO_TEXT(ROW()-$C$72))"),"")</f>
        <v/>
      </c>
      <c r="F1114" s="61" t="str">
        <f>IFERROR(__xludf.DUMMYFUNCTION("INDIRECT(""'收支紀錄'!F""&amp;TO_TEXT(ROW()-$C$72))"),"")</f>
        <v/>
      </c>
      <c r="G1114" s="61" t="str">
        <f>IFERROR(__xludf.DUMMYFUNCTION("INDIRECT(""'收支紀錄'!G""&amp;TO_TEXT(ROW()-$C$72))"),"")</f>
        <v/>
      </c>
      <c r="H1114" s="61" t="str">
        <f>IFERROR(__xludf.DUMMYFUNCTION("INDIRECT(""'收支紀錄'!H""&amp;TO_TEXT(ROW()-$C$72))"),"房屋支出")</f>
        <v>房屋支出</v>
      </c>
      <c r="I1114" s="61" t="str">
        <f>IFERROR(__xludf.DUMMYFUNCTION("INDIRECT(""'收支紀錄'!I""&amp;TO_TEXT(ROW()-$C$72))"),"")</f>
        <v/>
      </c>
      <c r="J1114" s="61" t="str">
        <f>IFERROR(__xludf.DUMMYFUNCTION("INDIRECT(""'收支紀錄'!J""&amp;TO_TEXT(ROW()-$C$72))"),"")</f>
        <v/>
      </c>
      <c r="K1114" s="61" t="str">
        <f>IFERROR(__xludf.DUMMYFUNCTION("INDIRECT(""'收支紀錄'!K""&amp;TO_TEXT(ROW()-$C$72))"),"電費")</f>
        <v>電費</v>
      </c>
      <c r="L1114" s="61" t="str">
        <f>IFERROR(__xludf.DUMMYFUNCTION("INDIRECT(""'收支紀錄'!L""&amp;TO_TEXT(ROW()-$C$72))"),"")</f>
        <v/>
      </c>
      <c r="M1114" s="61" t="str">
        <f>IFERROR(__xludf.DUMMYFUNCTION("INDIRECT(""'收支紀錄'!M""&amp;TO_TEXT(ROW()-$C$72))"),"")</f>
        <v/>
      </c>
      <c r="N1114" s="61" t="str">
        <f>IFERROR(__xludf.DUMMYFUNCTION("INDIRECT(""'收支紀錄'!N""&amp;TO_TEXT(ROW()-$C$72))"),"")</f>
        <v/>
      </c>
      <c r="O1114" s="61" t="str">
        <f>IFERROR(__xludf.DUMMYFUNCTION("INDIRECT(""'收支紀錄'!O""&amp;TO_TEXT(ROW()-$C$72))"),"")</f>
        <v/>
      </c>
      <c r="P1114" s="61" t="str">
        <f>IFERROR(__xludf.DUMMYFUNCTION("INDIRECT(""'收支紀錄'!P""&amp;TO_TEXT(ROW()-$C$72))"),"")</f>
        <v/>
      </c>
      <c r="Q1114" s="61" t="str">
        <f>IFERROR(__xludf.DUMMYFUNCTION("INDIRECT(""'收支紀錄'!Q""&amp;TO_TEXT(ROW()-$C$72))"),"")</f>
        <v/>
      </c>
      <c r="R1114" s="61" t="str">
        <f>IFERROR(__xludf.DUMMYFUNCTION("INDIRECT(""'收支紀錄'!R""&amp;TO_TEXT(ROW()-$C$72))"),"")</f>
        <v/>
      </c>
      <c r="S1114" s="61" t="str">
        <f>IFERROR(__xludf.DUMMYFUNCTION("INDIRECT(""'收支紀錄'!S""&amp;TO_TEXT(ROW()-$C$72))"),"")</f>
        <v/>
      </c>
      <c r="T1114" s="61" t="str">
        <f>IFERROR(__xludf.DUMMYFUNCTION("INDIRECT(""'收支紀錄'!T""&amp;TO_TEXT(ROW()-$C$72))"),"")</f>
        <v/>
      </c>
      <c r="U1114" s="62" t="str">
        <f>IFERROR(__xludf.DUMMYFUNCTION("IF(T1114=""是"",TEXTJOIN("""", TRUE, ""$"", TO_TEXT(C1114), S1114),"""")"),"")</f>
        <v/>
      </c>
    </row>
    <row r="1115">
      <c r="A1115" s="58">
        <f>IFERROR(__xludf.DUMMYFUNCTION("INDIRECT(""'收支紀錄'!A""&amp;TO_TEXT(ROW()-$C$72))"),45900.63057304398)</f>
        <v>45900.63057</v>
      </c>
      <c r="B1115" s="59">
        <f>IFERROR(__xludf.DUMMYFUNCTION("IF(ISBLANK(D1115), """", IF(ISDATE(D1115), D1115, IF(D1115=""今天"", A1115, IF(D1115=""昨天 (-1 day)"", A1115-1, IF(D1115=""前天 (-2 days)"", A1115-2, IF(D1115=""明天 (+1 day)"", A1115+1, DATE(LEFT(D1115,4), MID(D1115,5,2), RIGHT(D1115,2))))))))"),45900.63057304398)</f>
        <v>45900.63057</v>
      </c>
      <c r="C1115" s="60">
        <f>IFERROR(__xludf.DUMMYFUNCTION("INDIRECT(""'收支紀錄'!C""&amp;TO_TEXT(ROW()-$C$72))"),136.0)</f>
        <v>136</v>
      </c>
      <c r="D1115" s="63" t="str">
        <f>IFERROR(__xludf.DUMMYFUNCTION("INDIRECT(""'收支紀錄'!D""&amp;TO_TEXT(ROW()-$C$72))"),"今天")</f>
        <v>今天</v>
      </c>
      <c r="E1115" s="61" t="str">
        <f>IFERROR(__xludf.DUMMYFUNCTION("INDIRECT(""'收支紀錄'!E""&amp;TO_TEXT(ROW()-$C$72))"),"")</f>
        <v/>
      </c>
      <c r="F1115" s="61" t="str">
        <f>IFERROR(__xludf.DUMMYFUNCTION("INDIRECT(""'收支紀錄'!F""&amp;TO_TEXT(ROW()-$C$72))"),"")</f>
        <v/>
      </c>
      <c r="G1115" s="61" t="str">
        <f>IFERROR(__xludf.DUMMYFUNCTION("INDIRECT(""'收支紀錄'!G""&amp;TO_TEXT(ROW()-$C$72))"),"")</f>
        <v/>
      </c>
      <c r="H1115" s="61" t="str">
        <f>IFERROR(__xludf.DUMMYFUNCTION("INDIRECT(""'收支紀錄'!H""&amp;TO_TEXT(ROW()-$C$72))"),"行車交通")</f>
        <v>行車交通</v>
      </c>
      <c r="I1115" s="61" t="str">
        <f>IFERROR(__xludf.DUMMYFUNCTION("INDIRECT(""'收支紀錄'!I""&amp;TO_TEXT(ROW()-$C$72))"),"")</f>
        <v/>
      </c>
      <c r="J1115" s="61" t="str">
        <f>IFERROR(__xludf.DUMMYFUNCTION("INDIRECT(""'收支紀錄'!J""&amp;TO_TEXT(ROW()-$C$72))"),"")</f>
        <v/>
      </c>
      <c r="K1115" s="61" t="str">
        <f>IFERROR(__xludf.DUMMYFUNCTION("INDIRECT(""'收支紀錄'!K""&amp;TO_TEXT(ROW()-$C$72))"),"")</f>
        <v/>
      </c>
      <c r="L1115" s="61" t="str">
        <f>IFERROR(__xludf.DUMMYFUNCTION("INDIRECT(""'收支紀錄'!L""&amp;TO_TEXT(ROW()-$C$72))"),"停車")</f>
        <v>停車</v>
      </c>
      <c r="M1115" s="61" t="str">
        <f>IFERROR(__xludf.DUMMYFUNCTION("INDIRECT(""'收支紀錄'!M""&amp;TO_TEXT(ROW()-$C$72))"),"")</f>
        <v/>
      </c>
      <c r="N1115" s="61" t="str">
        <f>IFERROR(__xludf.DUMMYFUNCTION("INDIRECT(""'收支紀錄'!N""&amp;TO_TEXT(ROW()-$C$72))"),"")</f>
        <v/>
      </c>
      <c r="O1115" s="61" t="str">
        <f>IFERROR(__xludf.DUMMYFUNCTION("INDIRECT(""'收支紀錄'!O""&amp;TO_TEXT(ROW()-$C$72))"),"")</f>
        <v/>
      </c>
      <c r="P1115" s="61" t="str">
        <f>IFERROR(__xludf.DUMMYFUNCTION("INDIRECT(""'收支紀錄'!P""&amp;TO_TEXT(ROW()-$C$72))"),"")</f>
        <v/>
      </c>
      <c r="Q1115" s="61" t="str">
        <f>IFERROR(__xludf.DUMMYFUNCTION("INDIRECT(""'收支紀錄'!Q""&amp;TO_TEXT(ROW()-$C$72))"),"")</f>
        <v/>
      </c>
      <c r="R1115" s="61" t="str">
        <f>IFERROR(__xludf.DUMMYFUNCTION("INDIRECT(""'收支紀錄'!R""&amp;TO_TEXT(ROW()-$C$72))"),"")</f>
        <v/>
      </c>
      <c r="S1115" s="61" t="str">
        <f>IFERROR(__xludf.DUMMYFUNCTION("INDIRECT(""'收支紀錄'!S""&amp;TO_TEXT(ROW()-$C$72))"),"")</f>
        <v/>
      </c>
      <c r="T1115" s="61" t="str">
        <f>IFERROR(__xludf.DUMMYFUNCTION("INDIRECT(""'收支紀錄'!T""&amp;TO_TEXT(ROW()-$C$72))"),"")</f>
        <v/>
      </c>
      <c r="U1115" s="62" t="str">
        <f>IFERROR(__xludf.DUMMYFUNCTION("IF(T1115=""是"",TEXTJOIN("""", TRUE, ""$"", TO_TEXT(C1115), S1115),"""")"),"")</f>
        <v/>
      </c>
    </row>
    <row r="1116">
      <c r="A1116" s="58">
        <f>IFERROR(__xludf.DUMMYFUNCTION("INDIRECT(""'收支紀錄'!A""&amp;TO_TEXT(ROW()-$C$72))"),45900.63125527778)</f>
        <v>45900.63126</v>
      </c>
      <c r="B1116" s="59">
        <f>IFERROR(__xludf.DUMMYFUNCTION("IF(ISBLANK(D1116), """", IF(ISDATE(D1116), D1116, IF(D1116=""今天"", A1116, IF(D1116=""昨天 (-1 day)"", A1116-1, IF(D1116=""前天 (-2 days)"", A1116-2, IF(D1116=""明天 (+1 day)"", A1116+1, DATE(LEFT(D1116,4), MID(D1116,5,2), RIGHT(D1116,2))))))))"),45900.63125527778)</f>
        <v>45900.63126</v>
      </c>
      <c r="C1116" s="60">
        <f>IFERROR(__xludf.DUMMYFUNCTION("INDIRECT(""'收支紀錄'!C""&amp;TO_TEXT(ROW()-$C$72))"),400.0)</f>
        <v>400</v>
      </c>
      <c r="D1116" s="63" t="str">
        <f>IFERROR(__xludf.DUMMYFUNCTION("INDIRECT(""'收支紀錄'!D""&amp;TO_TEXT(ROW()-$C$72))"),"今天")</f>
        <v>今天</v>
      </c>
      <c r="E1116" s="61" t="str">
        <f>IFERROR(__xludf.DUMMYFUNCTION("INDIRECT(""'收支紀錄'!E""&amp;TO_TEXT(ROW()-$C$72))"),"")</f>
        <v/>
      </c>
      <c r="F1116" s="61" t="str">
        <f>IFERROR(__xludf.DUMMYFUNCTION("INDIRECT(""'收支紀錄'!F""&amp;TO_TEXT(ROW()-$C$72))"),"")</f>
        <v/>
      </c>
      <c r="G1116" s="61" t="str">
        <f>IFERROR(__xludf.DUMMYFUNCTION("INDIRECT(""'收支紀錄'!G""&amp;TO_TEXT(ROW()-$C$72))"),"")</f>
        <v/>
      </c>
      <c r="H1116" s="61" t="str">
        <f>IFERROR(__xludf.DUMMYFUNCTION("INDIRECT(""'收支紀錄'!H""&amp;TO_TEXT(ROW()-$C$72))"),"行車交通")</f>
        <v>行車交通</v>
      </c>
      <c r="I1116" s="61" t="str">
        <f>IFERROR(__xludf.DUMMYFUNCTION("INDIRECT(""'收支紀錄'!I""&amp;TO_TEXT(ROW()-$C$72))"),"")</f>
        <v/>
      </c>
      <c r="J1116" s="61" t="str">
        <f>IFERROR(__xludf.DUMMYFUNCTION("INDIRECT(""'收支紀錄'!J""&amp;TO_TEXT(ROW()-$C$72))"),"")</f>
        <v/>
      </c>
      <c r="K1116" s="61" t="str">
        <f>IFERROR(__xludf.DUMMYFUNCTION("INDIRECT(""'收支紀錄'!K""&amp;TO_TEXT(ROW()-$C$72))"),"")</f>
        <v/>
      </c>
      <c r="L1116" s="61" t="str">
        <f>IFERROR(__xludf.DUMMYFUNCTION("INDIRECT(""'收支紀錄'!L""&amp;TO_TEXT(ROW()-$C$72))"),"Etag")</f>
        <v>Etag</v>
      </c>
      <c r="M1116" s="61" t="str">
        <f>IFERROR(__xludf.DUMMYFUNCTION("INDIRECT(""'收支紀錄'!M""&amp;TO_TEXT(ROW()-$C$72))"),"")</f>
        <v/>
      </c>
      <c r="N1116" s="61" t="str">
        <f>IFERROR(__xludf.DUMMYFUNCTION("INDIRECT(""'收支紀錄'!N""&amp;TO_TEXT(ROW()-$C$72))"),"")</f>
        <v/>
      </c>
      <c r="O1116" s="61" t="str">
        <f>IFERROR(__xludf.DUMMYFUNCTION("INDIRECT(""'收支紀錄'!O""&amp;TO_TEXT(ROW()-$C$72))"),"")</f>
        <v/>
      </c>
      <c r="P1116" s="61" t="str">
        <f>IFERROR(__xludf.DUMMYFUNCTION("INDIRECT(""'收支紀錄'!P""&amp;TO_TEXT(ROW()-$C$72))"),"")</f>
        <v/>
      </c>
      <c r="Q1116" s="61" t="str">
        <f>IFERROR(__xludf.DUMMYFUNCTION("INDIRECT(""'收支紀錄'!Q""&amp;TO_TEXT(ROW()-$C$72))"),"")</f>
        <v/>
      </c>
      <c r="R1116" s="61" t="str">
        <f>IFERROR(__xludf.DUMMYFUNCTION("INDIRECT(""'收支紀錄'!R""&amp;TO_TEXT(ROW()-$C$72))"),"")</f>
        <v/>
      </c>
      <c r="S1116" s="61" t="str">
        <f>IFERROR(__xludf.DUMMYFUNCTION("INDIRECT(""'收支紀錄'!S""&amp;TO_TEXT(ROW()-$C$72))"),"")</f>
        <v/>
      </c>
      <c r="T1116" s="61" t="str">
        <f>IFERROR(__xludf.DUMMYFUNCTION("INDIRECT(""'收支紀錄'!T""&amp;TO_TEXT(ROW()-$C$72))"),"")</f>
        <v/>
      </c>
      <c r="U1116" s="62" t="str">
        <f>IFERROR(__xludf.DUMMYFUNCTION("IF(T1116=""是"",TEXTJOIN("""", TRUE, ""$"", TO_TEXT(C1116), S1116),"""")"),"")</f>
        <v/>
      </c>
    </row>
    <row r="1117">
      <c r="A1117" s="58">
        <f>IFERROR(__xludf.DUMMYFUNCTION("INDIRECT(""'收支紀錄'!A""&amp;TO_TEXT(ROW()-$C$72))"),45900.63263241899)</f>
        <v>45900.63263</v>
      </c>
      <c r="B1117" s="59">
        <f>IFERROR(__xludf.DUMMYFUNCTION("IF(ISBLANK(D1117), """", IF(ISDATE(D1117), D1117, IF(D1117=""今天"", A1117, IF(D1117=""昨天 (-1 day)"", A1117-1, IF(D1117=""前天 (-2 days)"", A1117-2, IF(D1117=""明天 (+1 day)"", A1117+1, DATE(LEFT(D1117,4), MID(D1117,5,2), RIGHT(D1117,2))))))))"),45896.0)</f>
        <v>45896</v>
      </c>
      <c r="C1117" s="60">
        <f>IFERROR(__xludf.DUMMYFUNCTION("INDIRECT(""'收支紀錄'!C""&amp;TO_TEXT(ROW()-$C$72))"),1674.0)</f>
        <v>1674</v>
      </c>
      <c r="D1117" s="63">
        <f>IFERROR(__xludf.DUMMYFUNCTION("INDIRECT(""'收支紀錄'!D""&amp;TO_TEXT(ROW()-$C$72))"),2.0250827E7)</f>
        <v>20250827</v>
      </c>
      <c r="E1117" s="61" t="str">
        <f>IFERROR(__xludf.DUMMYFUNCTION("INDIRECT(""'收支紀錄'!E""&amp;TO_TEXT(ROW()-$C$72))"),"其他業外")</f>
        <v>其他業外</v>
      </c>
      <c r="F1117" s="61" t="str">
        <f>IFERROR(__xludf.DUMMYFUNCTION("INDIRECT(""'收支紀錄'!F""&amp;TO_TEXT(ROW()-$C$72))"),"")</f>
        <v/>
      </c>
      <c r="G1117" s="61" t="str">
        <f>IFERROR(__xludf.DUMMYFUNCTION("INDIRECT(""'收支紀錄'!G""&amp;TO_TEXT(ROW()-$C$72))"),"股票配息")</f>
        <v>股票配息</v>
      </c>
      <c r="H1117" s="61" t="str">
        <f>IFERROR(__xludf.DUMMYFUNCTION("INDIRECT(""'收支紀錄'!H""&amp;TO_TEXT(ROW()-$C$72))"),"")</f>
        <v/>
      </c>
      <c r="I1117" s="61" t="str">
        <f>IFERROR(__xludf.DUMMYFUNCTION("INDIRECT(""'收支紀錄'!I""&amp;TO_TEXT(ROW()-$C$72))"),"")</f>
        <v/>
      </c>
      <c r="J1117" s="61" t="str">
        <f>IFERROR(__xludf.DUMMYFUNCTION("INDIRECT(""'收支紀錄'!J""&amp;TO_TEXT(ROW()-$C$72))"),"")</f>
        <v/>
      </c>
      <c r="K1117" s="61" t="str">
        <f>IFERROR(__xludf.DUMMYFUNCTION("INDIRECT(""'收支紀錄'!K""&amp;TO_TEXT(ROW()-$C$72))"),"")</f>
        <v/>
      </c>
      <c r="L1117" s="61" t="str">
        <f>IFERROR(__xludf.DUMMYFUNCTION("INDIRECT(""'收支紀錄'!L""&amp;TO_TEXT(ROW()-$C$72))"),"")</f>
        <v/>
      </c>
      <c r="M1117" s="61" t="str">
        <f>IFERROR(__xludf.DUMMYFUNCTION("INDIRECT(""'收支紀錄'!M""&amp;TO_TEXT(ROW()-$C$72))"),"")</f>
        <v/>
      </c>
      <c r="N1117" s="61" t="str">
        <f>IFERROR(__xludf.DUMMYFUNCTION("INDIRECT(""'收支紀錄'!N""&amp;TO_TEXT(ROW()-$C$72))"),"")</f>
        <v/>
      </c>
      <c r="O1117" s="61" t="str">
        <f>IFERROR(__xludf.DUMMYFUNCTION("INDIRECT(""'收支紀錄'!O""&amp;TO_TEXT(ROW()-$C$72))"),"")</f>
        <v/>
      </c>
      <c r="P1117" s="61" t="str">
        <f>IFERROR(__xludf.DUMMYFUNCTION("INDIRECT(""'收支紀錄'!P""&amp;TO_TEXT(ROW()-$C$72))"),"")</f>
        <v/>
      </c>
      <c r="Q1117" s="61" t="str">
        <f>IFERROR(__xludf.DUMMYFUNCTION("INDIRECT(""'收支紀錄'!Q""&amp;TO_TEXT(ROW()-$C$72))"),"")</f>
        <v/>
      </c>
      <c r="R1117" s="61" t="str">
        <f>IFERROR(__xludf.DUMMYFUNCTION("INDIRECT(""'收支紀錄'!R""&amp;TO_TEXT(ROW()-$C$72))"),"")</f>
        <v/>
      </c>
      <c r="S1117" s="61" t="str">
        <f>IFERROR(__xludf.DUMMYFUNCTION("INDIRECT(""'收支紀錄'!S""&amp;TO_TEXT(ROW()-$C$72))"),"玉山金")</f>
        <v>玉山金</v>
      </c>
      <c r="T1117" s="61" t="str">
        <f>IFERROR(__xludf.DUMMYFUNCTION("INDIRECT(""'收支紀錄'!T""&amp;TO_TEXT(ROW()-$C$72))"),"是")</f>
        <v>是</v>
      </c>
      <c r="U1117" s="62" t="str">
        <f>IFERROR(__xludf.DUMMYFUNCTION("IF(T1117=""是"",TEXTJOIN("""", TRUE, ""$"", TO_TEXT(C1117), S1117),"""")"),"$1674玉山金")</f>
        <v>$1674玉山金</v>
      </c>
    </row>
    <row r="1118">
      <c r="A1118" s="58">
        <f>IFERROR(__xludf.DUMMYFUNCTION("INDIRECT(""'收支紀錄'!A""&amp;TO_TEXT(ROW()-$C$72))"),45900.63328638889)</f>
        <v>45900.63329</v>
      </c>
      <c r="B1118" s="59">
        <f>IFERROR(__xludf.DUMMYFUNCTION("IF(ISBLANK(D1118), """", IF(ISDATE(D1118), D1118, IF(D1118=""今天"", A1118, IF(D1118=""昨天 (-1 day)"", A1118-1, IF(D1118=""前天 (-2 days)"", A1118-2, IF(D1118=""明天 (+1 day)"", A1118+1, DATE(LEFT(D1118,4), MID(D1118,5,2), RIGHT(D1118,2))))))))"),45880.0)</f>
        <v>45880</v>
      </c>
      <c r="C1118" s="60">
        <f>IFERROR(__xludf.DUMMYFUNCTION("INDIRECT(""'收支紀錄'!C""&amp;TO_TEXT(ROW()-$C$72))"),2508.0)</f>
        <v>2508</v>
      </c>
      <c r="D1118" s="63">
        <f>IFERROR(__xludf.DUMMYFUNCTION("INDIRECT(""'收支紀錄'!D""&amp;TO_TEXT(ROW()-$C$72))"),2.0250811E7)</f>
        <v>20250811</v>
      </c>
      <c r="E1118" s="61" t="str">
        <f>IFERROR(__xludf.DUMMYFUNCTION("INDIRECT(""'收支紀錄'!E""&amp;TO_TEXT(ROW()-$C$72))"),"其他業外")</f>
        <v>其他業外</v>
      </c>
      <c r="F1118" s="61" t="str">
        <f>IFERROR(__xludf.DUMMYFUNCTION("INDIRECT(""'收支紀錄'!F""&amp;TO_TEXT(ROW()-$C$72))"),"")</f>
        <v/>
      </c>
      <c r="G1118" s="61" t="str">
        <f>IFERROR(__xludf.DUMMYFUNCTION("INDIRECT(""'收支紀錄'!G""&amp;TO_TEXT(ROW()-$C$72))"),"股票配息")</f>
        <v>股票配息</v>
      </c>
      <c r="H1118" s="61" t="str">
        <f>IFERROR(__xludf.DUMMYFUNCTION("INDIRECT(""'收支紀錄'!H""&amp;TO_TEXT(ROW()-$C$72))"),"")</f>
        <v/>
      </c>
      <c r="I1118" s="61" t="str">
        <f>IFERROR(__xludf.DUMMYFUNCTION("INDIRECT(""'收支紀錄'!I""&amp;TO_TEXT(ROW()-$C$72))"),"")</f>
        <v/>
      </c>
      <c r="J1118" s="61" t="str">
        <f>IFERROR(__xludf.DUMMYFUNCTION("INDIRECT(""'收支紀錄'!J""&amp;TO_TEXT(ROW()-$C$72))"),"")</f>
        <v/>
      </c>
      <c r="K1118" s="61" t="str">
        <f>IFERROR(__xludf.DUMMYFUNCTION("INDIRECT(""'收支紀錄'!K""&amp;TO_TEXT(ROW()-$C$72))"),"")</f>
        <v/>
      </c>
      <c r="L1118" s="61" t="str">
        <f>IFERROR(__xludf.DUMMYFUNCTION("INDIRECT(""'收支紀錄'!L""&amp;TO_TEXT(ROW()-$C$72))"),"")</f>
        <v/>
      </c>
      <c r="M1118" s="61" t="str">
        <f>IFERROR(__xludf.DUMMYFUNCTION("INDIRECT(""'收支紀錄'!M""&amp;TO_TEXT(ROW()-$C$72))"),"")</f>
        <v/>
      </c>
      <c r="N1118" s="61" t="str">
        <f>IFERROR(__xludf.DUMMYFUNCTION("INDIRECT(""'收支紀錄'!N""&amp;TO_TEXT(ROW()-$C$72))"),"")</f>
        <v/>
      </c>
      <c r="O1118" s="61" t="str">
        <f>IFERROR(__xludf.DUMMYFUNCTION("INDIRECT(""'收支紀錄'!O""&amp;TO_TEXT(ROW()-$C$72))"),"")</f>
        <v/>
      </c>
      <c r="P1118" s="61" t="str">
        <f>IFERROR(__xludf.DUMMYFUNCTION("INDIRECT(""'收支紀錄'!P""&amp;TO_TEXT(ROW()-$C$72))"),"")</f>
        <v/>
      </c>
      <c r="Q1118" s="61" t="str">
        <f>IFERROR(__xludf.DUMMYFUNCTION("INDIRECT(""'收支紀錄'!Q""&amp;TO_TEXT(ROW()-$C$72))"),"")</f>
        <v/>
      </c>
      <c r="R1118" s="61" t="str">
        <f>IFERROR(__xludf.DUMMYFUNCTION("INDIRECT(""'收支紀錄'!R""&amp;TO_TEXT(ROW()-$C$72))"),"")</f>
        <v/>
      </c>
      <c r="S1118" s="61" t="str">
        <f>IFERROR(__xludf.DUMMYFUNCTION("INDIRECT(""'收支紀錄'!S""&amp;TO_TEXT(ROW()-$C$72))"),"中信優息")</f>
        <v>中信優息</v>
      </c>
      <c r="T1118" s="61" t="str">
        <f>IFERROR(__xludf.DUMMYFUNCTION("INDIRECT(""'收支紀錄'!T""&amp;TO_TEXT(ROW()-$C$72))"),"是")</f>
        <v>是</v>
      </c>
      <c r="U1118" s="62" t="str">
        <f>IFERROR(__xludf.DUMMYFUNCTION("IF(T1118=""是"",TEXTJOIN("""", TRUE, ""$"", TO_TEXT(C1118), S1118),"""")"),"$2508中信優息")</f>
        <v>$2508中信優息</v>
      </c>
    </row>
    <row r="1119">
      <c r="A1119" s="58">
        <f>IFERROR(__xludf.DUMMYFUNCTION("INDIRECT(""'收支紀錄'!A""&amp;TO_TEXT(ROW()-$C$72))"),45900.63378618055)</f>
        <v>45900.63379</v>
      </c>
      <c r="B1119" s="59">
        <f>IFERROR(__xludf.DUMMYFUNCTION("IF(ISBLANK(D1119), """", IF(ISDATE(D1119), D1119, IF(D1119=""今天"", A1119, IF(D1119=""昨天 (-1 day)"", A1119-1, IF(D1119=""前天 (-2 days)"", A1119-2, IF(D1119=""明天 (+1 day)"", A1119+1, DATE(LEFT(D1119,4), MID(D1119,5,2), RIGHT(D1119,2))))))))"),45877.0)</f>
        <v>45877</v>
      </c>
      <c r="C1119" s="60">
        <f>IFERROR(__xludf.DUMMYFUNCTION("INDIRECT(""'收支紀錄'!C""&amp;TO_TEXT(ROW()-$C$72))"),890.0)</f>
        <v>890</v>
      </c>
      <c r="D1119" s="63">
        <f>IFERROR(__xludf.DUMMYFUNCTION("INDIRECT(""'收支紀錄'!D""&amp;TO_TEXT(ROW()-$C$72))"),2.0250808E7)</f>
        <v>20250808</v>
      </c>
      <c r="E1119" s="61" t="str">
        <f>IFERROR(__xludf.DUMMYFUNCTION("INDIRECT(""'收支紀錄'!E""&amp;TO_TEXT(ROW()-$C$72))"),"其他業外")</f>
        <v>其他業外</v>
      </c>
      <c r="F1119" s="61" t="str">
        <f>IFERROR(__xludf.DUMMYFUNCTION("INDIRECT(""'收支紀錄'!F""&amp;TO_TEXT(ROW()-$C$72))"),"")</f>
        <v/>
      </c>
      <c r="G1119" s="61" t="str">
        <f>IFERROR(__xludf.DUMMYFUNCTION("INDIRECT(""'收支紀錄'!G""&amp;TO_TEXT(ROW()-$C$72))"),"股票配息")</f>
        <v>股票配息</v>
      </c>
      <c r="H1119" s="61" t="str">
        <f>IFERROR(__xludf.DUMMYFUNCTION("INDIRECT(""'收支紀錄'!H""&amp;TO_TEXT(ROW()-$C$72))"),"")</f>
        <v/>
      </c>
      <c r="I1119" s="61" t="str">
        <f>IFERROR(__xludf.DUMMYFUNCTION("INDIRECT(""'收支紀錄'!I""&amp;TO_TEXT(ROW()-$C$72))"),"")</f>
        <v/>
      </c>
      <c r="J1119" s="61" t="str">
        <f>IFERROR(__xludf.DUMMYFUNCTION("INDIRECT(""'收支紀錄'!J""&amp;TO_TEXT(ROW()-$C$72))"),"")</f>
        <v/>
      </c>
      <c r="K1119" s="61" t="str">
        <f>IFERROR(__xludf.DUMMYFUNCTION("INDIRECT(""'收支紀錄'!K""&amp;TO_TEXT(ROW()-$C$72))"),"")</f>
        <v/>
      </c>
      <c r="L1119" s="61" t="str">
        <f>IFERROR(__xludf.DUMMYFUNCTION("INDIRECT(""'收支紀錄'!L""&amp;TO_TEXT(ROW()-$C$72))"),"")</f>
        <v/>
      </c>
      <c r="M1119" s="61" t="str">
        <f>IFERROR(__xludf.DUMMYFUNCTION("INDIRECT(""'收支紀錄'!M""&amp;TO_TEXT(ROW()-$C$72))"),"")</f>
        <v/>
      </c>
      <c r="N1119" s="61" t="str">
        <f>IFERROR(__xludf.DUMMYFUNCTION("INDIRECT(""'收支紀錄'!N""&amp;TO_TEXT(ROW()-$C$72))"),"")</f>
        <v/>
      </c>
      <c r="O1119" s="61" t="str">
        <f>IFERROR(__xludf.DUMMYFUNCTION("INDIRECT(""'收支紀錄'!O""&amp;TO_TEXT(ROW()-$C$72))"),"")</f>
        <v/>
      </c>
      <c r="P1119" s="61" t="str">
        <f>IFERROR(__xludf.DUMMYFUNCTION("INDIRECT(""'收支紀錄'!P""&amp;TO_TEXT(ROW()-$C$72))"),"")</f>
        <v/>
      </c>
      <c r="Q1119" s="61" t="str">
        <f>IFERROR(__xludf.DUMMYFUNCTION("INDIRECT(""'收支紀錄'!Q""&amp;TO_TEXT(ROW()-$C$72))"),"")</f>
        <v/>
      </c>
      <c r="R1119" s="61" t="str">
        <f>IFERROR(__xludf.DUMMYFUNCTION("INDIRECT(""'收支紀錄'!R""&amp;TO_TEXT(ROW()-$C$72))"),"")</f>
        <v/>
      </c>
      <c r="S1119" s="61" t="str">
        <f>IFERROR(__xludf.DUMMYFUNCTION("INDIRECT(""'收支紀錄'!S""&amp;TO_TEXT(ROW()-$C$72))"),"山隆")</f>
        <v>山隆</v>
      </c>
      <c r="T1119" s="61" t="str">
        <f>IFERROR(__xludf.DUMMYFUNCTION("INDIRECT(""'收支紀錄'!T""&amp;TO_TEXT(ROW()-$C$72))"),"是")</f>
        <v>是</v>
      </c>
      <c r="U1119" s="62" t="str">
        <f>IFERROR(__xludf.DUMMYFUNCTION("IF(T1119=""是"",TEXTJOIN("""", TRUE, ""$"", TO_TEXT(C1119), S1119),"""")"),"$890山隆")</f>
        <v>$890山隆</v>
      </c>
    </row>
    <row r="1120">
      <c r="A1120" s="58">
        <f>IFERROR(__xludf.DUMMYFUNCTION("INDIRECT(""'收支紀錄'!A""&amp;TO_TEXT(ROW()-$C$72))"),45900.634163043986)</f>
        <v>45900.63416</v>
      </c>
      <c r="B1120" s="59">
        <f>IFERROR(__xludf.DUMMYFUNCTION("IF(ISBLANK(D1120), """", IF(ISDATE(D1120), D1120, IF(D1120=""今天"", A1120, IF(D1120=""昨天 (-1 day)"", A1120-1, IF(D1120=""前天 (-2 days)"", A1120-2, IF(D1120=""明天 (+1 day)"", A1120+1, DATE(LEFT(D1120,4), MID(D1120,5,2), RIGHT(D1120,2))))))))"),45877.0)</f>
        <v>45877</v>
      </c>
      <c r="C1120" s="60">
        <f>IFERROR(__xludf.DUMMYFUNCTION("INDIRECT(""'收支紀錄'!C""&amp;TO_TEXT(ROW()-$C$72))"),2290.0)</f>
        <v>2290</v>
      </c>
      <c r="D1120" s="63">
        <f>IFERROR(__xludf.DUMMYFUNCTION("INDIRECT(""'收支紀錄'!D""&amp;TO_TEXT(ROW()-$C$72))"),2.0250808E7)</f>
        <v>20250808</v>
      </c>
      <c r="E1120" s="61" t="str">
        <f>IFERROR(__xludf.DUMMYFUNCTION("INDIRECT(""'收支紀錄'!E""&amp;TO_TEXT(ROW()-$C$72))"),"其他業外")</f>
        <v>其他業外</v>
      </c>
      <c r="F1120" s="61" t="str">
        <f>IFERROR(__xludf.DUMMYFUNCTION("INDIRECT(""'收支紀錄'!F""&amp;TO_TEXT(ROW()-$C$72))"),"")</f>
        <v/>
      </c>
      <c r="G1120" s="61" t="str">
        <f>IFERROR(__xludf.DUMMYFUNCTION("INDIRECT(""'收支紀錄'!G""&amp;TO_TEXT(ROW()-$C$72))"),"股票配息")</f>
        <v>股票配息</v>
      </c>
      <c r="H1120" s="61" t="str">
        <f>IFERROR(__xludf.DUMMYFUNCTION("INDIRECT(""'收支紀錄'!H""&amp;TO_TEXT(ROW()-$C$72))"),"")</f>
        <v/>
      </c>
      <c r="I1120" s="61" t="str">
        <f>IFERROR(__xludf.DUMMYFUNCTION("INDIRECT(""'收支紀錄'!I""&amp;TO_TEXT(ROW()-$C$72))"),"")</f>
        <v/>
      </c>
      <c r="J1120" s="61" t="str">
        <f>IFERROR(__xludf.DUMMYFUNCTION("INDIRECT(""'收支紀錄'!J""&amp;TO_TEXT(ROW()-$C$72))"),"")</f>
        <v/>
      </c>
      <c r="K1120" s="61" t="str">
        <f>IFERROR(__xludf.DUMMYFUNCTION("INDIRECT(""'收支紀錄'!K""&amp;TO_TEXT(ROW()-$C$72))"),"")</f>
        <v/>
      </c>
      <c r="L1120" s="61" t="str">
        <f>IFERROR(__xludf.DUMMYFUNCTION("INDIRECT(""'收支紀錄'!L""&amp;TO_TEXT(ROW()-$C$72))"),"")</f>
        <v/>
      </c>
      <c r="M1120" s="61" t="str">
        <f>IFERROR(__xludf.DUMMYFUNCTION("INDIRECT(""'收支紀錄'!M""&amp;TO_TEXT(ROW()-$C$72))"),"")</f>
        <v/>
      </c>
      <c r="N1120" s="61" t="str">
        <f>IFERROR(__xludf.DUMMYFUNCTION("INDIRECT(""'收支紀錄'!N""&amp;TO_TEXT(ROW()-$C$72))"),"")</f>
        <v/>
      </c>
      <c r="O1120" s="61" t="str">
        <f>IFERROR(__xludf.DUMMYFUNCTION("INDIRECT(""'收支紀錄'!O""&amp;TO_TEXT(ROW()-$C$72))"),"")</f>
        <v/>
      </c>
      <c r="P1120" s="61" t="str">
        <f>IFERROR(__xludf.DUMMYFUNCTION("INDIRECT(""'收支紀錄'!P""&amp;TO_TEXT(ROW()-$C$72))"),"")</f>
        <v/>
      </c>
      <c r="Q1120" s="61" t="str">
        <f>IFERROR(__xludf.DUMMYFUNCTION("INDIRECT(""'收支紀錄'!Q""&amp;TO_TEXT(ROW()-$C$72))"),"")</f>
        <v/>
      </c>
      <c r="R1120" s="61" t="str">
        <f>IFERROR(__xludf.DUMMYFUNCTION("INDIRECT(""'收支紀錄'!R""&amp;TO_TEXT(ROW()-$C$72))"),"")</f>
        <v/>
      </c>
      <c r="S1120" s="61" t="str">
        <f>IFERROR(__xludf.DUMMYFUNCTION("INDIRECT(""'收支紀錄'!S""&amp;TO_TEXT(ROW()-$C$72))"),"中信金")</f>
        <v>中信金</v>
      </c>
      <c r="T1120" s="61" t="str">
        <f>IFERROR(__xludf.DUMMYFUNCTION("INDIRECT(""'收支紀錄'!T""&amp;TO_TEXT(ROW()-$C$72))"),"是")</f>
        <v>是</v>
      </c>
      <c r="U1120" s="62" t="str">
        <f>IFERROR(__xludf.DUMMYFUNCTION("IF(T1120=""是"",TEXTJOIN("""", TRUE, ""$"", TO_TEXT(C1120), S1120),"""")"),"$2290中信金")</f>
        <v>$2290中信金</v>
      </c>
    </row>
    <row r="1121">
      <c r="A1121" s="58">
        <f>IFERROR(__xludf.DUMMYFUNCTION("INDIRECT(""'收支紀錄'!A""&amp;TO_TEXT(ROW()-$C$72))"),45900.63463579861)</f>
        <v>45900.63464</v>
      </c>
      <c r="B1121" s="59">
        <f>IFERROR(__xludf.DUMMYFUNCTION("IF(ISBLANK(D1121), """", IF(ISDATE(D1121), D1121, IF(D1121=""今天"", A1121, IF(D1121=""昨天 (-1 day)"", A1121-1, IF(D1121=""前天 (-2 days)"", A1121-2, IF(D1121=""明天 (+1 day)"", A1121+1, DATE(LEFT(D1121,4), MID(D1121,5,2), RIGHT(D1121,2))))))))"),45880.0)</f>
        <v>45880</v>
      </c>
      <c r="C1121" s="60">
        <f>IFERROR(__xludf.DUMMYFUNCTION("INDIRECT(""'收支紀錄'!C""&amp;TO_TEXT(ROW()-$C$72))"),8990.0)</f>
        <v>8990</v>
      </c>
      <c r="D1121" s="63">
        <f>IFERROR(__xludf.DUMMYFUNCTION("INDIRECT(""'收支紀錄'!D""&amp;TO_TEXT(ROW()-$C$72))"),2.0250811E7)</f>
        <v>20250811</v>
      </c>
      <c r="E1121" s="61" t="str">
        <f>IFERROR(__xludf.DUMMYFUNCTION("INDIRECT(""'收支紀錄'!E""&amp;TO_TEXT(ROW()-$C$72))"),"其他業外")</f>
        <v>其他業外</v>
      </c>
      <c r="F1121" s="61" t="str">
        <f>IFERROR(__xludf.DUMMYFUNCTION("INDIRECT(""'收支紀錄'!F""&amp;TO_TEXT(ROW()-$C$72))"),"")</f>
        <v/>
      </c>
      <c r="G1121" s="61" t="str">
        <f>IFERROR(__xludf.DUMMYFUNCTION("INDIRECT(""'收支紀錄'!G""&amp;TO_TEXT(ROW()-$C$72))"),"股票配息")</f>
        <v>股票配息</v>
      </c>
      <c r="H1121" s="61" t="str">
        <f>IFERROR(__xludf.DUMMYFUNCTION("INDIRECT(""'收支紀錄'!H""&amp;TO_TEXT(ROW()-$C$72))"),"")</f>
        <v/>
      </c>
      <c r="I1121" s="61" t="str">
        <f>IFERROR(__xludf.DUMMYFUNCTION("INDIRECT(""'收支紀錄'!I""&amp;TO_TEXT(ROW()-$C$72))"),"")</f>
        <v/>
      </c>
      <c r="J1121" s="61" t="str">
        <f>IFERROR(__xludf.DUMMYFUNCTION("INDIRECT(""'收支紀錄'!J""&amp;TO_TEXT(ROW()-$C$72))"),"")</f>
        <v/>
      </c>
      <c r="K1121" s="61" t="str">
        <f>IFERROR(__xludf.DUMMYFUNCTION("INDIRECT(""'收支紀錄'!K""&amp;TO_TEXT(ROW()-$C$72))"),"")</f>
        <v/>
      </c>
      <c r="L1121" s="61" t="str">
        <f>IFERROR(__xludf.DUMMYFUNCTION("INDIRECT(""'收支紀錄'!L""&amp;TO_TEXT(ROW()-$C$72))"),"")</f>
        <v/>
      </c>
      <c r="M1121" s="61" t="str">
        <f>IFERROR(__xludf.DUMMYFUNCTION("INDIRECT(""'收支紀錄'!M""&amp;TO_TEXT(ROW()-$C$72))"),"")</f>
        <v/>
      </c>
      <c r="N1121" s="61" t="str">
        <f>IFERROR(__xludf.DUMMYFUNCTION("INDIRECT(""'收支紀錄'!N""&amp;TO_TEXT(ROW()-$C$72))"),"")</f>
        <v/>
      </c>
      <c r="O1121" s="61" t="str">
        <f>IFERROR(__xludf.DUMMYFUNCTION("INDIRECT(""'收支紀錄'!O""&amp;TO_TEXT(ROW()-$C$72))"),"")</f>
        <v/>
      </c>
      <c r="P1121" s="61" t="str">
        <f>IFERROR(__xludf.DUMMYFUNCTION("INDIRECT(""'收支紀錄'!P""&amp;TO_TEXT(ROW()-$C$72))"),"")</f>
        <v/>
      </c>
      <c r="Q1121" s="61" t="str">
        <f>IFERROR(__xludf.DUMMYFUNCTION("INDIRECT(""'收支紀錄'!Q""&amp;TO_TEXT(ROW()-$C$72))"),"")</f>
        <v/>
      </c>
      <c r="R1121" s="61" t="str">
        <f>IFERROR(__xludf.DUMMYFUNCTION("INDIRECT(""'收支紀錄'!R""&amp;TO_TEXT(ROW()-$C$72))"),"")</f>
        <v/>
      </c>
      <c r="S1121" s="61" t="str">
        <f>IFERROR(__xludf.DUMMYFUNCTION("INDIRECT(""'收支紀錄'!S""&amp;TO_TEXT(ROW()-$C$72))"),"海悅")</f>
        <v>海悅</v>
      </c>
      <c r="T1121" s="61" t="str">
        <f>IFERROR(__xludf.DUMMYFUNCTION("INDIRECT(""'收支紀錄'!T""&amp;TO_TEXT(ROW()-$C$72))"),"是")</f>
        <v>是</v>
      </c>
      <c r="U1121" s="62" t="str">
        <f>IFERROR(__xludf.DUMMYFUNCTION("IF(T1121=""是"",TEXTJOIN("""", TRUE, ""$"", TO_TEXT(C1121), S1121),"""")"),"$8990海悅")</f>
        <v>$8990海悅</v>
      </c>
    </row>
    <row r="1122">
      <c r="A1122" s="58">
        <f>IFERROR(__xludf.DUMMYFUNCTION("INDIRECT(""'收支紀錄'!A""&amp;TO_TEXT(ROW()-$C$72))"),45900.63516951389)</f>
        <v>45900.63517</v>
      </c>
      <c r="B1122" s="59">
        <f>IFERROR(__xludf.DUMMYFUNCTION("IF(ISBLANK(D1122), """", IF(ISDATE(D1122), D1122, IF(D1122=""今天"", A1122, IF(D1122=""昨天 (-1 day)"", A1122-1, IF(D1122=""前天 (-2 days)"", A1122-2, IF(D1122=""明天 (+1 day)"", A1122+1, DATE(LEFT(D1122,4), MID(D1122,5,2), RIGHT(D1122,2))))))))"),45895.0)</f>
        <v>45895</v>
      </c>
      <c r="C1122" s="60">
        <f>IFERROR(__xludf.DUMMYFUNCTION("INDIRECT(""'收支紀錄'!C""&amp;TO_TEXT(ROW()-$C$72))"),1089.0)</f>
        <v>1089</v>
      </c>
      <c r="D1122" s="63">
        <f>IFERROR(__xludf.DUMMYFUNCTION("INDIRECT(""'收支紀錄'!D""&amp;TO_TEXT(ROW()-$C$72))"),2.0250826E7)</f>
        <v>20250826</v>
      </c>
      <c r="E1122" s="61" t="str">
        <f>IFERROR(__xludf.DUMMYFUNCTION("INDIRECT(""'收支紀錄'!E""&amp;TO_TEXT(ROW()-$C$72))"),"其他業外")</f>
        <v>其他業外</v>
      </c>
      <c r="F1122" s="61" t="str">
        <f>IFERROR(__xludf.DUMMYFUNCTION("INDIRECT(""'收支紀錄'!F""&amp;TO_TEXT(ROW()-$C$72))"),"")</f>
        <v/>
      </c>
      <c r="G1122" s="61" t="str">
        <f>IFERROR(__xludf.DUMMYFUNCTION("INDIRECT(""'收支紀錄'!G""&amp;TO_TEXT(ROW()-$C$72))"),"股票配息")</f>
        <v>股票配息</v>
      </c>
      <c r="H1122" s="61" t="str">
        <f>IFERROR(__xludf.DUMMYFUNCTION("INDIRECT(""'收支紀錄'!H""&amp;TO_TEXT(ROW()-$C$72))"),"")</f>
        <v/>
      </c>
      <c r="I1122" s="61" t="str">
        <f>IFERROR(__xludf.DUMMYFUNCTION("INDIRECT(""'收支紀錄'!I""&amp;TO_TEXT(ROW()-$C$72))"),"")</f>
        <v/>
      </c>
      <c r="J1122" s="61" t="str">
        <f>IFERROR(__xludf.DUMMYFUNCTION("INDIRECT(""'收支紀錄'!J""&amp;TO_TEXT(ROW()-$C$72))"),"")</f>
        <v/>
      </c>
      <c r="K1122" s="61" t="str">
        <f>IFERROR(__xludf.DUMMYFUNCTION("INDIRECT(""'收支紀錄'!K""&amp;TO_TEXT(ROW()-$C$72))"),"")</f>
        <v/>
      </c>
      <c r="L1122" s="61" t="str">
        <f>IFERROR(__xludf.DUMMYFUNCTION("INDIRECT(""'收支紀錄'!L""&amp;TO_TEXT(ROW()-$C$72))"),"")</f>
        <v/>
      </c>
      <c r="M1122" s="61" t="str">
        <f>IFERROR(__xludf.DUMMYFUNCTION("INDIRECT(""'收支紀錄'!M""&amp;TO_TEXT(ROW()-$C$72))"),"")</f>
        <v/>
      </c>
      <c r="N1122" s="61" t="str">
        <f>IFERROR(__xludf.DUMMYFUNCTION("INDIRECT(""'收支紀錄'!N""&amp;TO_TEXT(ROW()-$C$72))"),"")</f>
        <v/>
      </c>
      <c r="O1122" s="61" t="str">
        <f>IFERROR(__xludf.DUMMYFUNCTION("INDIRECT(""'收支紀錄'!O""&amp;TO_TEXT(ROW()-$C$72))"),"")</f>
        <v/>
      </c>
      <c r="P1122" s="61" t="str">
        <f>IFERROR(__xludf.DUMMYFUNCTION("INDIRECT(""'收支紀錄'!P""&amp;TO_TEXT(ROW()-$C$72))"),"")</f>
        <v/>
      </c>
      <c r="Q1122" s="61" t="str">
        <f>IFERROR(__xludf.DUMMYFUNCTION("INDIRECT(""'收支紀錄'!Q""&amp;TO_TEXT(ROW()-$C$72))"),"")</f>
        <v/>
      </c>
      <c r="R1122" s="61" t="str">
        <f>IFERROR(__xludf.DUMMYFUNCTION("INDIRECT(""'收支紀錄'!R""&amp;TO_TEXT(ROW()-$C$72))"),"")</f>
        <v/>
      </c>
      <c r="S1122" s="61" t="str">
        <f>IFERROR(__xludf.DUMMYFUNCTION("INDIRECT(""'收支紀錄'!S""&amp;TO_TEXT(ROW()-$C$72))"),"聯邦銀")</f>
        <v>聯邦銀</v>
      </c>
      <c r="T1122" s="61" t="str">
        <f>IFERROR(__xludf.DUMMYFUNCTION("INDIRECT(""'收支紀錄'!T""&amp;TO_TEXT(ROW()-$C$72))"),"是")</f>
        <v>是</v>
      </c>
      <c r="U1122" s="62" t="str">
        <f>IFERROR(__xludf.DUMMYFUNCTION("IF(T1122=""是"",TEXTJOIN("""", TRUE, ""$"", TO_TEXT(C1122), S1122),"""")"),"$1089聯邦銀")</f>
        <v>$1089聯邦銀</v>
      </c>
    </row>
    <row r="1123">
      <c r="A1123" s="58">
        <f>IFERROR(__xludf.DUMMYFUNCTION("INDIRECT(""'收支紀錄'!A""&amp;TO_TEXT(ROW()-$C$72))"),45901.350398877315)</f>
        <v>45901.3504</v>
      </c>
      <c r="B1123" s="59">
        <f>IFERROR(__xludf.DUMMYFUNCTION("IF(ISBLANK(D1123), """", IF(ISDATE(D1123), D1123, IF(D1123=""今天"", A1123, IF(D1123=""昨天 (-1 day)"", A1123-1, IF(D1123=""前天 (-2 days)"", A1123-2, IF(D1123=""明天 (+1 day)"", A1123+1, DATE(LEFT(D1123,4), MID(D1123,5,2), RIGHT(D1123,2))))))))"),45901.350398877315)</f>
        <v>45901.3504</v>
      </c>
      <c r="C1123" s="60">
        <f>IFERROR(__xludf.DUMMYFUNCTION("INDIRECT(""'收支紀錄'!C""&amp;TO_TEXT(ROW()-$C$72))"),6000.0)</f>
        <v>6000</v>
      </c>
      <c r="D1123" s="63" t="str">
        <f>IFERROR(__xludf.DUMMYFUNCTION("INDIRECT(""'收支紀錄'!D""&amp;TO_TEXT(ROW()-$C$72))"),"今天")</f>
        <v>今天</v>
      </c>
      <c r="E1123" s="61" t="str">
        <f>IFERROR(__xludf.DUMMYFUNCTION("INDIRECT(""'收支紀錄'!E""&amp;TO_TEXT(ROW()-$C$72))"),"")</f>
        <v/>
      </c>
      <c r="F1123" s="61" t="str">
        <f>IFERROR(__xludf.DUMMYFUNCTION("INDIRECT(""'收支紀錄'!F""&amp;TO_TEXT(ROW()-$C$72))"),"")</f>
        <v/>
      </c>
      <c r="G1123" s="61" t="str">
        <f>IFERROR(__xludf.DUMMYFUNCTION("INDIRECT(""'收支紀錄'!G""&amp;TO_TEXT(ROW()-$C$72))"),"")</f>
        <v/>
      </c>
      <c r="H1123" s="61" t="str">
        <f>IFERROR(__xludf.DUMMYFUNCTION("INDIRECT(""'收支紀錄'!H""&amp;TO_TEXT(ROW()-$C$72))"),"房屋支出")</f>
        <v>房屋支出</v>
      </c>
      <c r="I1123" s="61" t="str">
        <f>IFERROR(__xludf.DUMMYFUNCTION("INDIRECT(""'收支紀錄'!I""&amp;TO_TEXT(ROW()-$C$72))"),"")</f>
        <v/>
      </c>
      <c r="J1123" s="61" t="str">
        <f>IFERROR(__xludf.DUMMYFUNCTION("INDIRECT(""'收支紀錄'!J""&amp;TO_TEXT(ROW()-$C$72))"),"")</f>
        <v/>
      </c>
      <c r="K1123" s="61" t="str">
        <f>IFERROR(__xludf.DUMMYFUNCTION("INDIRECT(""'收支紀錄'!K""&amp;TO_TEXT(ROW()-$C$72))"),"租屋")</f>
        <v>租屋</v>
      </c>
      <c r="L1123" s="61" t="str">
        <f>IFERROR(__xludf.DUMMYFUNCTION("INDIRECT(""'收支紀錄'!L""&amp;TO_TEXT(ROW()-$C$72))"),"")</f>
        <v/>
      </c>
      <c r="M1123" s="61" t="str">
        <f>IFERROR(__xludf.DUMMYFUNCTION("INDIRECT(""'收支紀錄'!M""&amp;TO_TEXT(ROW()-$C$72))"),"")</f>
        <v/>
      </c>
      <c r="N1123" s="61" t="str">
        <f>IFERROR(__xludf.DUMMYFUNCTION("INDIRECT(""'收支紀錄'!N""&amp;TO_TEXT(ROW()-$C$72))"),"")</f>
        <v/>
      </c>
      <c r="O1123" s="61" t="str">
        <f>IFERROR(__xludf.DUMMYFUNCTION("INDIRECT(""'收支紀錄'!O""&amp;TO_TEXT(ROW()-$C$72))"),"")</f>
        <v/>
      </c>
      <c r="P1123" s="61" t="str">
        <f>IFERROR(__xludf.DUMMYFUNCTION("INDIRECT(""'收支紀錄'!P""&amp;TO_TEXT(ROW()-$C$72))"),"")</f>
        <v/>
      </c>
      <c r="Q1123" s="61" t="str">
        <f>IFERROR(__xludf.DUMMYFUNCTION("INDIRECT(""'收支紀錄'!Q""&amp;TO_TEXT(ROW()-$C$72))"),"")</f>
        <v/>
      </c>
      <c r="R1123" s="61" t="str">
        <f>IFERROR(__xludf.DUMMYFUNCTION("INDIRECT(""'收支紀錄'!R""&amp;TO_TEXT(ROW()-$C$72))"),"")</f>
        <v/>
      </c>
      <c r="S1123" s="61" t="str">
        <f>IFERROR(__xludf.DUMMYFUNCTION("INDIRECT(""'收支紀錄'!S""&amp;TO_TEXT(ROW()-$C$72))"),"")</f>
        <v/>
      </c>
      <c r="T1123" s="61" t="str">
        <f>IFERROR(__xludf.DUMMYFUNCTION("INDIRECT(""'收支紀錄'!T""&amp;TO_TEXT(ROW()-$C$72))"),"")</f>
        <v/>
      </c>
      <c r="U1123" s="62" t="str">
        <f>IFERROR(__xludf.DUMMYFUNCTION("IF(T1123=""是"",TEXTJOIN("""", TRUE, ""$"", TO_TEXT(C1123), S1123),"""")"),"")</f>
        <v/>
      </c>
    </row>
    <row r="1124">
      <c r="A1124" s="58">
        <f>IFERROR(__xludf.DUMMYFUNCTION("INDIRECT(""'收支紀錄'!A""&amp;TO_TEXT(ROW()-$C$72))"),45901.350636863426)</f>
        <v>45901.35064</v>
      </c>
      <c r="B1124" s="59">
        <f>IFERROR(__xludf.DUMMYFUNCTION("IF(ISBLANK(D1124), """", IF(ISDATE(D1124), D1124, IF(D1124=""今天"", A1124, IF(D1124=""昨天 (-1 day)"", A1124-1, IF(D1124=""前天 (-2 days)"", A1124-2, IF(D1124=""明天 (+1 day)"", A1124+1, DATE(LEFT(D1124,4), MID(D1124,5,2), RIGHT(D1124,2))))))))"),45901.350636863426)</f>
        <v>45901.35064</v>
      </c>
      <c r="C1124" s="60">
        <f>IFERROR(__xludf.DUMMYFUNCTION("INDIRECT(""'收支紀錄'!C""&amp;TO_TEXT(ROW()-$C$72))"),20000.0)</f>
        <v>20000</v>
      </c>
      <c r="D1124" s="63" t="str">
        <f>IFERROR(__xludf.DUMMYFUNCTION("INDIRECT(""'收支紀錄'!D""&amp;TO_TEXT(ROW()-$C$72))"),"今天")</f>
        <v>今天</v>
      </c>
      <c r="E1124" s="61" t="str">
        <f>IFERROR(__xludf.DUMMYFUNCTION("INDIRECT(""'收支紀錄'!E""&amp;TO_TEXT(ROW()-$C$72))"),"")</f>
        <v/>
      </c>
      <c r="F1124" s="61" t="str">
        <f>IFERROR(__xludf.DUMMYFUNCTION("INDIRECT(""'收支紀錄'!F""&amp;TO_TEXT(ROW()-$C$72))"),"")</f>
        <v/>
      </c>
      <c r="G1124" s="61" t="str">
        <f>IFERROR(__xludf.DUMMYFUNCTION("INDIRECT(""'收支紀錄'!G""&amp;TO_TEXT(ROW()-$C$72))"),"")</f>
        <v/>
      </c>
      <c r="H1124" s="61" t="str">
        <f>IFERROR(__xludf.DUMMYFUNCTION("INDIRECT(""'收支紀錄'!H""&amp;TO_TEXT(ROW()-$C$72))"),"房屋支出")</f>
        <v>房屋支出</v>
      </c>
      <c r="I1124" s="61" t="str">
        <f>IFERROR(__xludf.DUMMYFUNCTION("INDIRECT(""'收支紀錄'!I""&amp;TO_TEXT(ROW()-$C$72))"),"")</f>
        <v/>
      </c>
      <c r="J1124" s="61" t="str">
        <f>IFERROR(__xludf.DUMMYFUNCTION("INDIRECT(""'收支紀錄'!J""&amp;TO_TEXT(ROW()-$C$72))"),"")</f>
        <v/>
      </c>
      <c r="K1124" s="61" t="str">
        <f>IFERROR(__xludf.DUMMYFUNCTION("INDIRECT(""'收支紀錄'!K""&amp;TO_TEXT(ROW()-$C$72))"),"文心1房貸代繳")</f>
        <v>文心1房貸代繳</v>
      </c>
      <c r="L1124" s="61" t="str">
        <f>IFERROR(__xludf.DUMMYFUNCTION("INDIRECT(""'收支紀錄'!L""&amp;TO_TEXT(ROW()-$C$72))"),"")</f>
        <v/>
      </c>
      <c r="M1124" s="61" t="str">
        <f>IFERROR(__xludf.DUMMYFUNCTION("INDIRECT(""'收支紀錄'!M""&amp;TO_TEXT(ROW()-$C$72))"),"")</f>
        <v/>
      </c>
      <c r="N1124" s="61" t="str">
        <f>IFERROR(__xludf.DUMMYFUNCTION("INDIRECT(""'收支紀錄'!N""&amp;TO_TEXT(ROW()-$C$72))"),"")</f>
        <v/>
      </c>
      <c r="O1124" s="61" t="str">
        <f>IFERROR(__xludf.DUMMYFUNCTION("INDIRECT(""'收支紀錄'!O""&amp;TO_TEXT(ROW()-$C$72))"),"")</f>
        <v/>
      </c>
      <c r="P1124" s="61" t="str">
        <f>IFERROR(__xludf.DUMMYFUNCTION("INDIRECT(""'收支紀錄'!P""&amp;TO_TEXT(ROW()-$C$72))"),"")</f>
        <v/>
      </c>
      <c r="Q1124" s="61" t="str">
        <f>IFERROR(__xludf.DUMMYFUNCTION("INDIRECT(""'收支紀錄'!Q""&amp;TO_TEXT(ROW()-$C$72))"),"")</f>
        <v/>
      </c>
      <c r="R1124" s="61" t="str">
        <f>IFERROR(__xludf.DUMMYFUNCTION("INDIRECT(""'收支紀錄'!R""&amp;TO_TEXT(ROW()-$C$72))"),"")</f>
        <v/>
      </c>
      <c r="S1124" s="61" t="str">
        <f>IFERROR(__xludf.DUMMYFUNCTION("INDIRECT(""'收支紀錄'!S""&amp;TO_TEXT(ROW()-$C$72))"),"")</f>
        <v/>
      </c>
      <c r="T1124" s="61" t="str">
        <f>IFERROR(__xludf.DUMMYFUNCTION("INDIRECT(""'收支紀錄'!T""&amp;TO_TEXT(ROW()-$C$72))"),"")</f>
        <v/>
      </c>
      <c r="U1124" s="62" t="str">
        <f>IFERROR(__xludf.DUMMYFUNCTION("IF(T1124=""是"",TEXTJOIN("""", TRUE, ""$"", TO_TEXT(C1124), S1124),"""")"),"")</f>
        <v/>
      </c>
    </row>
    <row r="1125">
      <c r="A1125" s="58">
        <f>IFERROR(__xludf.DUMMYFUNCTION("INDIRECT(""'收支紀錄'!A""&amp;TO_TEXT(ROW()-$C$72))"),45901.35080341435)</f>
        <v>45901.3508</v>
      </c>
      <c r="B1125" s="59">
        <f>IFERROR(__xludf.DUMMYFUNCTION("IF(ISBLANK(D1125), """", IF(ISDATE(D1125), D1125, IF(D1125=""今天"", A1125, IF(D1125=""昨天 (-1 day)"", A1125-1, IF(D1125=""前天 (-2 days)"", A1125-2, IF(D1125=""明天 (+1 day)"", A1125+1, DATE(LEFT(D1125,4), MID(D1125,5,2), RIGHT(D1125,2))))))))"),45901.35080341435)</f>
        <v>45901.3508</v>
      </c>
      <c r="C1125" s="60">
        <f>IFERROR(__xludf.DUMMYFUNCTION("INDIRECT(""'收支紀錄'!C""&amp;TO_TEXT(ROW()-$C$72))"),6000.0)</f>
        <v>6000</v>
      </c>
      <c r="D1125" s="63" t="str">
        <f>IFERROR(__xludf.DUMMYFUNCTION("INDIRECT(""'收支紀錄'!D""&amp;TO_TEXT(ROW()-$C$72))"),"今天")</f>
        <v>今天</v>
      </c>
      <c r="E1125" s="61" t="str">
        <f>IFERROR(__xludf.DUMMYFUNCTION("INDIRECT(""'收支紀錄'!E""&amp;TO_TEXT(ROW()-$C$72))"),"其他業外")</f>
        <v>其他業外</v>
      </c>
      <c r="F1125" s="61" t="str">
        <f>IFERROR(__xludf.DUMMYFUNCTION("INDIRECT(""'收支紀錄'!F""&amp;TO_TEXT(ROW()-$C$72))"),"")</f>
        <v/>
      </c>
      <c r="G1125" s="61" t="str">
        <f>IFERROR(__xludf.DUMMYFUNCTION("INDIRECT(""'收支紀錄'!G""&amp;TO_TEXT(ROW()-$C$72))"),"房屋補貼")</f>
        <v>房屋補貼</v>
      </c>
      <c r="H1125" s="61" t="str">
        <f>IFERROR(__xludf.DUMMYFUNCTION("INDIRECT(""'收支紀錄'!H""&amp;TO_TEXT(ROW()-$C$72))"),"")</f>
        <v/>
      </c>
      <c r="I1125" s="61" t="str">
        <f>IFERROR(__xludf.DUMMYFUNCTION("INDIRECT(""'收支紀錄'!I""&amp;TO_TEXT(ROW()-$C$72))"),"")</f>
        <v/>
      </c>
      <c r="J1125" s="61" t="str">
        <f>IFERROR(__xludf.DUMMYFUNCTION("INDIRECT(""'收支紀錄'!J""&amp;TO_TEXT(ROW()-$C$72))"),"")</f>
        <v/>
      </c>
      <c r="K1125" s="61" t="str">
        <f>IFERROR(__xludf.DUMMYFUNCTION("INDIRECT(""'收支紀錄'!K""&amp;TO_TEXT(ROW()-$C$72))"),"")</f>
        <v/>
      </c>
      <c r="L1125" s="61" t="str">
        <f>IFERROR(__xludf.DUMMYFUNCTION("INDIRECT(""'收支紀錄'!L""&amp;TO_TEXT(ROW()-$C$72))"),"")</f>
        <v/>
      </c>
      <c r="M1125" s="61" t="str">
        <f>IFERROR(__xludf.DUMMYFUNCTION("INDIRECT(""'收支紀錄'!M""&amp;TO_TEXT(ROW()-$C$72))"),"")</f>
        <v/>
      </c>
      <c r="N1125" s="61" t="str">
        <f>IFERROR(__xludf.DUMMYFUNCTION("INDIRECT(""'收支紀錄'!N""&amp;TO_TEXT(ROW()-$C$72))"),"")</f>
        <v/>
      </c>
      <c r="O1125" s="61" t="str">
        <f>IFERROR(__xludf.DUMMYFUNCTION("INDIRECT(""'收支紀錄'!O""&amp;TO_TEXT(ROW()-$C$72))"),"")</f>
        <v/>
      </c>
      <c r="P1125" s="61" t="str">
        <f>IFERROR(__xludf.DUMMYFUNCTION("INDIRECT(""'收支紀錄'!P""&amp;TO_TEXT(ROW()-$C$72))"),"")</f>
        <v/>
      </c>
      <c r="Q1125" s="61" t="str">
        <f>IFERROR(__xludf.DUMMYFUNCTION("INDIRECT(""'收支紀錄'!Q""&amp;TO_TEXT(ROW()-$C$72))"),"")</f>
        <v/>
      </c>
      <c r="R1125" s="61" t="str">
        <f>IFERROR(__xludf.DUMMYFUNCTION("INDIRECT(""'收支紀錄'!R""&amp;TO_TEXT(ROW()-$C$72))"),"")</f>
        <v/>
      </c>
      <c r="S1125" s="61" t="str">
        <f>IFERROR(__xludf.DUMMYFUNCTION("INDIRECT(""'收支紀錄'!S""&amp;TO_TEXT(ROW()-$C$72))"),"")</f>
        <v/>
      </c>
      <c r="T1125" s="61" t="str">
        <f>IFERROR(__xludf.DUMMYFUNCTION("INDIRECT(""'收支紀錄'!T""&amp;TO_TEXT(ROW()-$C$72))"),"")</f>
        <v/>
      </c>
      <c r="U1125" s="62" t="str">
        <f>IFERROR(__xludf.DUMMYFUNCTION("IF(T1125=""是"",TEXTJOIN("""", TRUE, ""$"", TO_TEXT(C1125), S1125),"""")"),"")</f>
        <v/>
      </c>
    </row>
    <row r="1126">
      <c r="A1126" s="58">
        <f>IFERROR(__xludf.DUMMYFUNCTION("INDIRECT(""'收支紀錄'!A""&amp;TO_TEXT(ROW()-$C$72))"),45905.520562314814)</f>
        <v>45905.52056</v>
      </c>
      <c r="B1126" s="59">
        <f>IFERROR(__xludf.DUMMYFUNCTION("IF(ISBLANK(D1126), """", IF(ISDATE(D1126), D1126, IF(D1126=""今天"", A1126, IF(D1126=""昨天 (-1 day)"", A1126-1, IF(D1126=""前天 (-2 days)"", A1126-2, IF(D1126=""明天 (+1 day)"", A1126+1, DATE(LEFT(D1126,4), MID(D1126,5,2), RIGHT(D1126,2))))))))"),45905.520562314814)</f>
        <v>45905.52056</v>
      </c>
      <c r="C1126" s="60">
        <f>IFERROR(__xludf.DUMMYFUNCTION("INDIRECT(""'收支紀錄'!C""&amp;TO_TEXT(ROW()-$C$72))"),1226.0)</f>
        <v>1226</v>
      </c>
      <c r="D1126" s="63" t="str">
        <f>IFERROR(__xludf.DUMMYFUNCTION("INDIRECT(""'收支紀錄'!D""&amp;TO_TEXT(ROW()-$C$72))"),"今天")</f>
        <v>今天</v>
      </c>
      <c r="E1126" s="61" t="str">
        <f>IFERROR(__xludf.DUMMYFUNCTION("INDIRECT(""'收支紀錄'!E""&amp;TO_TEXT(ROW()-$C$72))"),"")</f>
        <v/>
      </c>
      <c r="F1126" s="61" t="str">
        <f>IFERROR(__xludf.DUMMYFUNCTION("INDIRECT(""'收支紀錄'!F""&amp;TO_TEXT(ROW()-$C$72))"),"")</f>
        <v/>
      </c>
      <c r="G1126" s="61" t="str">
        <f>IFERROR(__xludf.DUMMYFUNCTION("INDIRECT(""'收支紀錄'!G""&amp;TO_TEXT(ROW()-$C$72))"),"")</f>
        <v/>
      </c>
      <c r="H1126" s="61" t="str">
        <f>IFERROR(__xludf.DUMMYFUNCTION("INDIRECT(""'收支紀錄'!H""&amp;TO_TEXT(ROW()-$C$72))"),"進修學習")</f>
        <v>進修學習</v>
      </c>
      <c r="I1126" s="61" t="str">
        <f>IFERROR(__xludf.DUMMYFUNCTION("INDIRECT(""'收支紀錄'!I""&amp;TO_TEXT(ROW()-$C$72))"),"")</f>
        <v/>
      </c>
      <c r="J1126" s="61" t="str">
        <f>IFERROR(__xludf.DUMMYFUNCTION("INDIRECT(""'收支紀錄'!J""&amp;TO_TEXT(ROW()-$C$72))"),"")</f>
        <v/>
      </c>
      <c r="K1126" s="61" t="str">
        <f>IFERROR(__xludf.DUMMYFUNCTION("INDIRECT(""'收支紀錄'!K""&amp;TO_TEXT(ROW()-$C$72))"),"")</f>
        <v/>
      </c>
      <c r="L1126" s="61" t="str">
        <f>IFERROR(__xludf.DUMMYFUNCTION("INDIRECT(""'收支紀錄'!L""&amp;TO_TEXT(ROW()-$C$72))"),"")</f>
        <v/>
      </c>
      <c r="M1126" s="61" t="str">
        <f>IFERROR(__xludf.DUMMYFUNCTION("INDIRECT(""'收支紀錄'!M""&amp;TO_TEXT(ROW()-$C$72))"),"")</f>
        <v/>
      </c>
      <c r="N1126" s="61" t="str">
        <f>IFERROR(__xludf.DUMMYFUNCTION("INDIRECT(""'收支紀錄'!N""&amp;TO_TEXT(ROW()-$C$72))"),"")</f>
        <v/>
      </c>
      <c r="O1126" s="61" t="str">
        <f>IFERROR(__xludf.DUMMYFUNCTION("INDIRECT(""'收支紀錄'!O""&amp;TO_TEXT(ROW()-$C$72))"),"")</f>
        <v/>
      </c>
      <c r="P1126" s="61" t="str">
        <f>IFERROR(__xludf.DUMMYFUNCTION("INDIRECT(""'收支紀錄'!P""&amp;TO_TEXT(ROW()-$C$72))"),"書報雜誌")</f>
        <v>書報雜誌</v>
      </c>
      <c r="Q1126" s="61" t="str">
        <f>IFERROR(__xludf.DUMMYFUNCTION("INDIRECT(""'收支紀錄'!Q""&amp;TO_TEXT(ROW()-$C$72))"),"")</f>
        <v/>
      </c>
      <c r="R1126" s="61" t="str">
        <f>IFERROR(__xludf.DUMMYFUNCTION("INDIRECT(""'收支紀錄'!R""&amp;TO_TEXT(ROW()-$C$72))"),"")</f>
        <v/>
      </c>
      <c r="S1126" s="61" t="str">
        <f>IFERROR(__xludf.DUMMYFUNCTION("INDIRECT(""'收支紀錄'!S""&amp;TO_TEXT(ROW()-$C$72))"),"")</f>
        <v/>
      </c>
      <c r="T1126" s="61" t="str">
        <f>IFERROR(__xludf.DUMMYFUNCTION("INDIRECT(""'收支紀錄'!T""&amp;TO_TEXT(ROW()-$C$72))"),"")</f>
        <v/>
      </c>
      <c r="U1126" s="62" t="str">
        <f>IFERROR(__xludf.DUMMYFUNCTION("IF(T1126=""是"",TEXTJOIN("""", TRUE, ""$"", TO_TEXT(C1126), S1126),"""")"),"")</f>
        <v/>
      </c>
    </row>
    <row r="1127">
      <c r="A1127" s="58">
        <f>IFERROR(__xludf.DUMMYFUNCTION("INDIRECT(""'收支紀錄'!A""&amp;TO_TEXT(ROW()-$C$72))"),45905.78084244213)</f>
        <v>45905.78084</v>
      </c>
      <c r="B1127" s="59">
        <f>IFERROR(__xludf.DUMMYFUNCTION("IF(ISBLANK(D1127), """", IF(ISDATE(D1127), D1127, IF(D1127=""今天"", A1127, IF(D1127=""昨天 (-1 day)"", A1127-1, IF(D1127=""前天 (-2 days)"", A1127-2, IF(D1127=""明天 (+1 day)"", A1127+1, DATE(LEFT(D1127,4), MID(D1127,5,2), RIGHT(D1127,2))))))))"),45884.0)</f>
        <v>45884</v>
      </c>
      <c r="C1127" s="60">
        <f>IFERROR(__xludf.DUMMYFUNCTION("INDIRECT(""'收支紀錄'!C""&amp;TO_TEXT(ROW()-$C$72))"),1000.0)</f>
        <v>1000</v>
      </c>
      <c r="D1127" s="63">
        <f>IFERROR(__xludf.DUMMYFUNCTION("INDIRECT(""'收支紀錄'!D""&amp;TO_TEXT(ROW()-$C$72))"),2.0250815E7)</f>
        <v>20250815</v>
      </c>
      <c r="E1127" s="61" t="str">
        <f>IFERROR(__xludf.DUMMYFUNCTION("INDIRECT(""'收支紀錄'!E""&amp;TO_TEXT(ROW()-$C$72))"),"工作")</f>
        <v>工作</v>
      </c>
      <c r="F1127" s="61" t="str">
        <f>IFERROR(__xludf.DUMMYFUNCTION("INDIRECT(""'收支紀錄'!F""&amp;TO_TEXT(ROW()-$C$72))"),"加班/津貼")</f>
        <v>加班/津貼</v>
      </c>
      <c r="G1127" s="61" t="str">
        <f>IFERROR(__xludf.DUMMYFUNCTION("INDIRECT(""'收支紀錄'!G""&amp;TO_TEXT(ROW()-$C$72))"),"")</f>
        <v/>
      </c>
      <c r="H1127" s="61" t="str">
        <f>IFERROR(__xludf.DUMMYFUNCTION("INDIRECT(""'收支紀錄'!H""&amp;TO_TEXT(ROW()-$C$72))"),"")</f>
        <v/>
      </c>
      <c r="I1127" s="61" t="str">
        <f>IFERROR(__xludf.DUMMYFUNCTION("INDIRECT(""'收支紀錄'!I""&amp;TO_TEXT(ROW()-$C$72))"),"")</f>
        <v/>
      </c>
      <c r="J1127" s="61" t="str">
        <f>IFERROR(__xludf.DUMMYFUNCTION("INDIRECT(""'收支紀錄'!J""&amp;TO_TEXT(ROW()-$C$72))"),"")</f>
        <v/>
      </c>
      <c r="K1127" s="61" t="str">
        <f>IFERROR(__xludf.DUMMYFUNCTION("INDIRECT(""'收支紀錄'!K""&amp;TO_TEXT(ROW()-$C$72))"),"")</f>
        <v/>
      </c>
      <c r="L1127" s="61" t="str">
        <f>IFERROR(__xludf.DUMMYFUNCTION("INDIRECT(""'收支紀錄'!L""&amp;TO_TEXT(ROW()-$C$72))"),"")</f>
        <v/>
      </c>
      <c r="M1127" s="61" t="str">
        <f>IFERROR(__xludf.DUMMYFUNCTION("INDIRECT(""'收支紀錄'!M""&amp;TO_TEXT(ROW()-$C$72))"),"")</f>
        <v/>
      </c>
      <c r="N1127" s="61" t="str">
        <f>IFERROR(__xludf.DUMMYFUNCTION("INDIRECT(""'收支紀錄'!N""&amp;TO_TEXT(ROW()-$C$72))"),"")</f>
        <v/>
      </c>
      <c r="O1127" s="61" t="str">
        <f>IFERROR(__xludf.DUMMYFUNCTION("INDIRECT(""'收支紀錄'!O""&amp;TO_TEXT(ROW()-$C$72))"),"")</f>
        <v/>
      </c>
      <c r="P1127" s="61" t="str">
        <f>IFERROR(__xludf.DUMMYFUNCTION("INDIRECT(""'收支紀錄'!P""&amp;TO_TEXT(ROW()-$C$72))"),"")</f>
        <v/>
      </c>
      <c r="Q1127" s="61" t="str">
        <f>IFERROR(__xludf.DUMMYFUNCTION("INDIRECT(""'收支紀錄'!Q""&amp;TO_TEXT(ROW()-$C$72))"),"")</f>
        <v/>
      </c>
      <c r="R1127" s="61" t="str">
        <f>IFERROR(__xludf.DUMMYFUNCTION("INDIRECT(""'收支紀錄'!R""&amp;TO_TEXT(ROW()-$C$72))"),"")</f>
        <v/>
      </c>
      <c r="S1127" s="61" t="str">
        <f>IFERROR(__xludf.DUMMYFUNCTION("INDIRECT(""'收支紀錄'!S""&amp;TO_TEXT(ROW()-$C$72))"),"生日禮金")</f>
        <v>生日禮金</v>
      </c>
      <c r="T1127" s="61" t="str">
        <f>IFERROR(__xludf.DUMMYFUNCTION("INDIRECT(""'收支紀錄'!T""&amp;TO_TEXT(ROW()-$C$72))"),"是")</f>
        <v>是</v>
      </c>
      <c r="U1127" s="62" t="str">
        <f>IFERROR(__xludf.DUMMYFUNCTION("IF(T1127=""是"",TEXTJOIN("""", TRUE, ""$"", TO_TEXT(C1127), S1127),"""")"),"$1000生日禮金")</f>
        <v>$1000生日禮金</v>
      </c>
    </row>
    <row r="1128">
      <c r="A1128" s="58">
        <f>IFERROR(__xludf.DUMMYFUNCTION("INDIRECT(""'收支紀錄'!A""&amp;TO_TEXT(ROW()-$C$72))"),45905.781102974535)</f>
        <v>45905.7811</v>
      </c>
      <c r="B1128" s="59">
        <f>IFERROR(__xludf.DUMMYFUNCTION("IF(ISBLANK(D1128), """", IF(ISDATE(D1128), D1128, IF(D1128=""今天"", A1128, IF(D1128=""昨天 (-1 day)"", A1128-1, IF(D1128=""前天 (-2 days)"", A1128-2, IF(D1128=""明天 (+1 day)"", A1128+1, DATE(LEFT(D1128,4), MID(D1128,5,2), RIGHT(D1128,2))))))))"),45884.0)</f>
        <v>45884</v>
      </c>
      <c r="C1128" s="60">
        <f>IFERROR(__xludf.DUMMYFUNCTION("INDIRECT(""'收支紀錄'!C""&amp;TO_TEXT(ROW()-$C$72))"),20000.0)</f>
        <v>20000</v>
      </c>
      <c r="D1128" s="63">
        <f>IFERROR(__xludf.DUMMYFUNCTION("INDIRECT(""'收支紀錄'!D""&amp;TO_TEXT(ROW()-$C$72))"),2.0250815E7)</f>
        <v>20250815</v>
      </c>
      <c r="E1128" s="61" t="str">
        <f>IFERROR(__xludf.DUMMYFUNCTION("INDIRECT(""'收支紀錄'!E""&amp;TO_TEXT(ROW()-$C$72))"),"工作")</f>
        <v>工作</v>
      </c>
      <c r="F1128" s="61" t="str">
        <f>IFERROR(__xludf.DUMMYFUNCTION("INDIRECT(""'收支紀錄'!F""&amp;TO_TEXT(ROW()-$C$72))"),"加班/津貼")</f>
        <v>加班/津貼</v>
      </c>
      <c r="G1128" s="61" t="str">
        <f>IFERROR(__xludf.DUMMYFUNCTION("INDIRECT(""'收支紀錄'!G""&amp;TO_TEXT(ROW()-$C$72))"),"")</f>
        <v/>
      </c>
      <c r="H1128" s="61" t="str">
        <f>IFERROR(__xludf.DUMMYFUNCTION("INDIRECT(""'收支紀錄'!H""&amp;TO_TEXT(ROW()-$C$72))"),"")</f>
        <v/>
      </c>
      <c r="I1128" s="61" t="str">
        <f>IFERROR(__xludf.DUMMYFUNCTION("INDIRECT(""'收支紀錄'!I""&amp;TO_TEXT(ROW()-$C$72))"),"")</f>
        <v/>
      </c>
      <c r="J1128" s="61" t="str">
        <f>IFERROR(__xludf.DUMMYFUNCTION("INDIRECT(""'收支紀錄'!J""&amp;TO_TEXT(ROW()-$C$72))"),"")</f>
        <v/>
      </c>
      <c r="K1128" s="61" t="str">
        <f>IFERROR(__xludf.DUMMYFUNCTION("INDIRECT(""'收支紀錄'!K""&amp;TO_TEXT(ROW()-$C$72))"),"")</f>
        <v/>
      </c>
      <c r="L1128" s="61" t="str">
        <f>IFERROR(__xludf.DUMMYFUNCTION("INDIRECT(""'收支紀錄'!L""&amp;TO_TEXT(ROW()-$C$72))"),"")</f>
        <v/>
      </c>
      <c r="M1128" s="61" t="str">
        <f>IFERROR(__xludf.DUMMYFUNCTION("INDIRECT(""'收支紀錄'!M""&amp;TO_TEXT(ROW()-$C$72))"),"")</f>
        <v/>
      </c>
      <c r="N1128" s="61" t="str">
        <f>IFERROR(__xludf.DUMMYFUNCTION("INDIRECT(""'收支紀錄'!N""&amp;TO_TEXT(ROW()-$C$72))"),"")</f>
        <v/>
      </c>
      <c r="O1128" s="61" t="str">
        <f>IFERROR(__xludf.DUMMYFUNCTION("INDIRECT(""'收支紀錄'!O""&amp;TO_TEXT(ROW()-$C$72))"),"")</f>
        <v/>
      </c>
      <c r="P1128" s="61" t="str">
        <f>IFERROR(__xludf.DUMMYFUNCTION("INDIRECT(""'收支紀錄'!P""&amp;TO_TEXT(ROW()-$C$72))"),"")</f>
        <v/>
      </c>
      <c r="Q1128" s="61" t="str">
        <f>IFERROR(__xludf.DUMMYFUNCTION("INDIRECT(""'收支紀錄'!Q""&amp;TO_TEXT(ROW()-$C$72))"),"")</f>
        <v/>
      </c>
      <c r="R1128" s="61" t="str">
        <f>IFERROR(__xludf.DUMMYFUNCTION("INDIRECT(""'收支紀錄'!R""&amp;TO_TEXT(ROW()-$C$72))"),"")</f>
        <v/>
      </c>
      <c r="S1128" s="61" t="str">
        <f>IFERROR(__xludf.DUMMYFUNCTION("INDIRECT(""'收支紀錄'!S""&amp;TO_TEXT(ROW()-$C$72))"),"旅遊補助")</f>
        <v>旅遊補助</v>
      </c>
      <c r="T1128" s="61" t="str">
        <f>IFERROR(__xludf.DUMMYFUNCTION("INDIRECT(""'收支紀錄'!T""&amp;TO_TEXT(ROW()-$C$72))"),"是")</f>
        <v>是</v>
      </c>
      <c r="U1128" s="62" t="str">
        <f>IFERROR(__xludf.DUMMYFUNCTION("IF(T1128=""是"",TEXTJOIN("""", TRUE, ""$"", TO_TEXT(C1128), S1128),"""")"),"$20000旅遊補助")</f>
        <v>$20000旅遊補助</v>
      </c>
    </row>
    <row r="1129">
      <c r="A1129" s="58">
        <f>IFERROR(__xludf.DUMMYFUNCTION("INDIRECT(""'收支紀錄'!A""&amp;TO_TEXT(ROW()-$C$72))"),45905.78279684028)</f>
        <v>45905.7828</v>
      </c>
      <c r="B1129" s="59">
        <f>IFERROR(__xludf.DUMMYFUNCTION("IF(ISBLANK(D1129), """", IF(ISDATE(D1129), D1129, IF(D1129=""今天"", A1129, IF(D1129=""昨天 (-1 day)"", A1129-1, IF(D1129=""前天 (-2 days)"", A1129-2, IF(D1129=""明天 (+1 day)"", A1129+1, DATE(LEFT(D1129,4), MID(D1129,5,2), RIGHT(D1129,2))))))))"),45905.78279684028)</f>
        <v>45905.7828</v>
      </c>
      <c r="C1129" s="60">
        <f>IFERROR(__xludf.DUMMYFUNCTION("INDIRECT(""'收支紀錄'!C""&amp;TO_TEXT(ROW()-$C$72))"),4292.0)</f>
        <v>4292</v>
      </c>
      <c r="D1129" s="63" t="str">
        <f>IFERROR(__xludf.DUMMYFUNCTION("INDIRECT(""'收支紀錄'!D""&amp;TO_TEXT(ROW()-$C$72))"),"今天")</f>
        <v>今天</v>
      </c>
      <c r="E1129" s="61" t="str">
        <f>IFERROR(__xludf.DUMMYFUNCTION("INDIRECT(""'收支紀錄'!E""&amp;TO_TEXT(ROW()-$C$72))"),"")</f>
        <v/>
      </c>
      <c r="F1129" s="61" t="str">
        <f>IFERROR(__xludf.DUMMYFUNCTION("INDIRECT(""'收支紀錄'!F""&amp;TO_TEXT(ROW()-$C$72))"),"")</f>
        <v/>
      </c>
      <c r="G1129" s="61" t="str">
        <f>IFERROR(__xludf.DUMMYFUNCTION("INDIRECT(""'收支紀錄'!G""&amp;TO_TEXT(ROW()-$C$72))"),"")</f>
        <v/>
      </c>
      <c r="H1129" s="61" t="str">
        <f>IFERROR(__xludf.DUMMYFUNCTION("INDIRECT(""'收支紀錄'!H""&amp;TO_TEXT(ROW()-$C$72))"),"投資及其他")</f>
        <v>投資及其他</v>
      </c>
      <c r="I1129" s="61" t="str">
        <f>IFERROR(__xludf.DUMMYFUNCTION("INDIRECT(""'收支紀錄'!I""&amp;TO_TEXT(ROW()-$C$72))"),"")</f>
        <v/>
      </c>
      <c r="J1129" s="61" t="str">
        <f>IFERROR(__xludf.DUMMYFUNCTION("INDIRECT(""'收支紀錄'!J""&amp;TO_TEXT(ROW()-$C$72))"),"")</f>
        <v/>
      </c>
      <c r="K1129" s="61" t="str">
        <f>IFERROR(__xludf.DUMMYFUNCTION("INDIRECT(""'收支紀錄'!K""&amp;TO_TEXT(ROW()-$C$72))"),"")</f>
        <v/>
      </c>
      <c r="L1129" s="61" t="str">
        <f>IFERROR(__xludf.DUMMYFUNCTION("INDIRECT(""'收支紀錄'!L""&amp;TO_TEXT(ROW()-$C$72))"),"")</f>
        <v/>
      </c>
      <c r="M1129" s="61" t="str">
        <f>IFERROR(__xludf.DUMMYFUNCTION("INDIRECT(""'收支紀錄'!M""&amp;TO_TEXT(ROW()-$C$72))"),"")</f>
        <v/>
      </c>
      <c r="N1129" s="61" t="str">
        <f>IFERROR(__xludf.DUMMYFUNCTION("INDIRECT(""'收支紀錄'!N""&amp;TO_TEXT(ROW()-$C$72))"),"")</f>
        <v/>
      </c>
      <c r="O1129" s="61" t="str">
        <f>IFERROR(__xludf.DUMMYFUNCTION("INDIRECT(""'收支紀錄'!O""&amp;TO_TEXT(ROW()-$C$72))"),"")</f>
        <v/>
      </c>
      <c r="P1129" s="61" t="str">
        <f>IFERROR(__xludf.DUMMYFUNCTION("INDIRECT(""'收支紀錄'!P""&amp;TO_TEXT(ROW()-$C$72))"),"")</f>
        <v/>
      </c>
      <c r="Q1129" s="61" t="str">
        <f>IFERROR(__xludf.DUMMYFUNCTION("INDIRECT(""'收支紀錄'!Q""&amp;TO_TEXT(ROW()-$C$72))"),"")</f>
        <v/>
      </c>
      <c r="R1129" s="61" t="str">
        <f>IFERROR(__xludf.DUMMYFUNCTION("INDIRECT(""'收支紀錄'!R""&amp;TO_TEXT(ROW()-$C$72))"),"公司認股")</f>
        <v>公司認股</v>
      </c>
      <c r="S1129" s="61" t="str">
        <f>IFERROR(__xludf.DUMMYFUNCTION("INDIRECT(""'收支紀錄'!S""&amp;TO_TEXT(ROW()-$C$72))"),"")</f>
        <v/>
      </c>
      <c r="T1129" s="61" t="str">
        <f>IFERROR(__xludf.DUMMYFUNCTION("INDIRECT(""'收支紀錄'!T""&amp;TO_TEXT(ROW()-$C$72))"),"")</f>
        <v/>
      </c>
      <c r="U1129" s="62" t="str">
        <f>IFERROR(__xludf.DUMMYFUNCTION("IF(T1129=""是"",TEXTJOIN("""", TRUE, ""$"", TO_TEXT(C1129), S1129),"""")"),"")</f>
        <v/>
      </c>
    </row>
    <row r="1130">
      <c r="A1130" s="58">
        <f>IFERROR(__xludf.DUMMYFUNCTION("INDIRECT(""'收支紀錄'!A""&amp;TO_TEXT(ROW()-$C$72))"),45905.783854444446)</f>
        <v>45905.78385</v>
      </c>
      <c r="B1130" s="59">
        <f>IFERROR(__xludf.DUMMYFUNCTION("IF(ISBLANK(D1130), """", IF(ISDATE(D1130), D1130, IF(D1130=""今天"", A1130, IF(D1130=""昨天 (-1 day)"", A1130-1, IF(D1130=""前天 (-2 days)"", A1130-2, IF(D1130=""明天 (+1 day)"", A1130+1, DATE(LEFT(D1130,4), MID(D1130,5,2), RIGHT(D1130,2))))))))"),45905.783854444446)</f>
        <v>45905.78385</v>
      </c>
      <c r="C1130" s="60">
        <f>IFERROR(__xludf.DUMMYFUNCTION("INDIRECT(""'收支紀錄'!C""&amp;TO_TEXT(ROW()-$C$72))"),107076.0)</f>
        <v>107076</v>
      </c>
      <c r="D1130" s="63" t="str">
        <f>IFERROR(__xludf.DUMMYFUNCTION("INDIRECT(""'收支紀錄'!D""&amp;TO_TEXT(ROW()-$C$72))"),"今天")</f>
        <v>今天</v>
      </c>
      <c r="E1130" s="61" t="str">
        <f>IFERROR(__xludf.DUMMYFUNCTION("INDIRECT(""'收支紀錄'!E""&amp;TO_TEXT(ROW()-$C$72))"),"工作")</f>
        <v>工作</v>
      </c>
      <c r="F1130" s="61" t="str">
        <f>IFERROR(__xludf.DUMMYFUNCTION("INDIRECT(""'收支紀錄'!F""&amp;TO_TEXT(ROW()-$C$72))"),"底薪")</f>
        <v>底薪</v>
      </c>
      <c r="G1130" s="61" t="str">
        <f>IFERROR(__xludf.DUMMYFUNCTION("INDIRECT(""'收支紀錄'!G""&amp;TO_TEXT(ROW()-$C$72))"),"")</f>
        <v/>
      </c>
      <c r="H1130" s="61" t="str">
        <f>IFERROR(__xludf.DUMMYFUNCTION("INDIRECT(""'收支紀錄'!H""&amp;TO_TEXT(ROW()-$C$72))"),"")</f>
        <v/>
      </c>
      <c r="I1130" s="61" t="str">
        <f>IFERROR(__xludf.DUMMYFUNCTION("INDIRECT(""'收支紀錄'!I""&amp;TO_TEXT(ROW()-$C$72))"),"")</f>
        <v/>
      </c>
      <c r="J1130" s="61" t="str">
        <f>IFERROR(__xludf.DUMMYFUNCTION("INDIRECT(""'收支紀錄'!J""&amp;TO_TEXT(ROW()-$C$72))"),"")</f>
        <v/>
      </c>
      <c r="K1130" s="61" t="str">
        <f>IFERROR(__xludf.DUMMYFUNCTION("INDIRECT(""'收支紀錄'!K""&amp;TO_TEXT(ROW()-$C$72))"),"")</f>
        <v/>
      </c>
      <c r="L1130" s="61" t="str">
        <f>IFERROR(__xludf.DUMMYFUNCTION("INDIRECT(""'收支紀錄'!L""&amp;TO_TEXT(ROW()-$C$72))"),"")</f>
        <v/>
      </c>
      <c r="M1130" s="61" t="str">
        <f>IFERROR(__xludf.DUMMYFUNCTION("INDIRECT(""'收支紀錄'!M""&amp;TO_TEXT(ROW()-$C$72))"),"")</f>
        <v/>
      </c>
      <c r="N1130" s="61" t="str">
        <f>IFERROR(__xludf.DUMMYFUNCTION("INDIRECT(""'收支紀錄'!N""&amp;TO_TEXT(ROW()-$C$72))"),"")</f>
        <v/>
      </c>
      <c r="O1130" s="61" t="str">
        <f>IFERROR(__xludf.DUMMYFUNCTION("INDIRECT(""'收支紀錄'!O""&amp;TO_TEXT(ROW()-$C$72))"),"")</f>
        <v/>
      </c>
      <c r="P1130" s="61" t="str">
        <f>IFERROR(__xludf.DUMMYFUNCTION("INDIRECT(""'收支紀錄'!P""&amp;TO_TEXT(ROW()-$C$72))"),"")</f>
        <v/>
      </c>
      <c r="Q1130" s="61" t="str">
        <f>IFERROR(__xludf.DUMMYFUNCTION("INDIRECT(""'收支紀錄'!Q""&amp;TO_TEXT(ROW()-$C$72))"),"")</f>
        <v/>
      </c>
      <c r="R1130" s="61" t="str">
        <f>IFERROR(__xludf.DUMMYFUNCTION("INDIRECT(""'收支紀錄'!R""&amp;TO_TEXT(ROW()-$C$72))"),"")</f>
        <v/>
      </c>
      <c r="S1130" s="61" t="str">
        <f>IFERROR(__xludf.DUMMYFUNCTION("INDIRECT(""'收支紀錄'!S""&amp;TO_TEXT(ROW()-$C$72))")," $224病假")</f>
        <v> $224病假</v>
      </c>
      <c r="T1130" s="61" t="str">
        <f>IFERROR(__xludf.DUMMYFUNCTION("INDIRECT(""'收支紀錄'!T""&amp;TO_TEXT(ROW()-$C$72))"),"是")</f>
        <v>是</v>
      </c>
      <c r="U1130" s="62" t="str">
        <f>IFERROR(__xludf.DUMMYFUNCTION("IF(T1130=""是"",TEXTJOIN("""", TRUE, ""$"", TO_TEXT(C1130), S1130),"""")"),"$107076 $224病假")</f>
        <v>$107076 $224病假</v>
      </c>
    </row>
    <row r="1131">
      <c r="A1131" s="58">
        <f>IFERROR(__xludf.DUMMYFUNCTION("INDIRECT(""'收支紀錄'!A""&amp;TO_TEXT(ROW()-$C$72))"),45905.78463921296)</f>
        <v>45905.78464</v>
      </c>
      <c r="B1131" s="59">
        <f>IFERROR(__xludf.DUMMYFUNCTION("IF(ISBLANK(D1131), """", IF(ISDATE(D1131), D1131, IF(D1131=""今天"", A1131, IF(D1131=""昨天 (-1 day)"", A1131-1, IF(D1131=""前天 (-2 days)"", A1131-2, IF(D1131=""明天 (+1 day)"", A1131+1, DATE(LEFT(D1131,4), MID(D1131,5,2), RIGHT(D1131,2))))))))"),45905.78463921296)</f>
        <v>45905.78464</v>
      </c>
      <c r="C1131" s="60">
        <f>IFERROR(__xludf.DUMMYFUNCTION("INDIRECT(""'收支紀錄'!C""&amp;TO_TEXT(ROW()-$C$72))"),2828.0)</f>
        <v>2828</v>
      </c>
      <c r="D1131" s="63" t="str">
        <f>IFERROR(__xludf.DUMMYFUNCTION("INDIRECT(""'收支紀錄'!D""&amp;TO_TEXT(ROW()-$C$72))"),"今天")</f>
        <v>今天</v>
      </c>
      <c r="E1131" s="61" t="str">
        <f>IFERROR(__xludf.DUMMYFUNCTION("INDIRECT(""'收支紀錄'!E""&amp;TO_TEXT(ROW()-$C$72))"),"")</f>
        <v/>
      </c>
      <c r="F1131" s="61" t="str">
        <f>IFERROR(__xludf.DUMMYFUNCTION("INDIRECT(""'收支紀錄'!F""&amp;TO_TEXT(ROW()-$C$72))"),"")</f>
        <v/>
      </c>
      <c r="G1131" s="61" t="str">
        <f>IFERROR(__xludf.DUMMYFUNCTION("INDIRECT(""'收支紀錄'!G""&amp;TO_TEXT(ROW()-$C$72))"),"")</f>
        <v/>
      </c>
      <c r="H1131" s="61" t="str">
        <f>IFERROR(__xludf.DUMMYFUNCTION("INDIRECT(""'收支紀錄'!H""&amp;TO_TEXT(ROW()-$C$72))"),"稅金保險")</f>
        <v>稅金保險</v>
      </c>
      <c r="I1131" s="61" t="str">
        <f>IFERROR(__xludf.DUMMYFUNCTION("INDIRECT(""'收支紀錄'!I""&amp;TO_TEXT(ROW()-$C$72))"),"")</f>
        <v/>
      </c>
      <c r="J1131" s="61" t="str">
        <f>IFERROR(__xludf.DUMMYFUNCTION("INDIRECT(""'收支紀錄'!J""&amp;TO_TEXT(ROW()-$C$72))"),"")</f>
        <v/>
      </c>
      <c r="K1131" s="61" t="str">
        <f>IFERROR(__xludf.DUMMYFUNCTION("INDIRECT(""'收支紀錄'!K""&amp;TO_TEXT(ROW()-$C$72))"),"")</f>
        <v/>
      </c>
      <c r="L1131" s="61" t="str">
        <f>IFERROR(__xludf.DUMMYFUNCTION("INDIRECT(""'收支紀錄'!L""&amp;TO_TEXT(ROW()-$C$72))"),"")</f>
        <v/>
      </c>
      <c r="M1131" s="61" t="str">
        <f>IFERROR(__xludf.DUMMYFUNCTION("INDIRECT(""'收支紀錄'!M""&amp;TO_TEXT(ROW()-$C$72))"),"")</f>
        <v/>
      </c>
      <c r="N1131" s="61" t="str">
        <f>IFERROR(__xludf.DUMMYFUNCTION("INDIRECT(""'收支紀錄'!N""&amp;TO_TEXT(ROW()-$C$72))"),"勞健保")</f>
        <v>勞健保</v>
      </c>
      <c r="O1131" s="61" t="str">
        <f>IFERROR(__xludf.DUMMYFUNCTION("INDIRECT(""'收支紀錄'!O""&amp;TO_TEXT(ROW()-$C$72))"),"")</f>
        <v/>
      </c>
      <c r="P1131" s="61" t="str">
        <f>IFERROR(__xludf.DUMMYFUNCTION("INDIRECT(""'收支紀錄'!P""&amp;TO_TEXT(ROW()-$C$72))"),"")</f>
        <v/>
      </c>
      <c r="Q1131" s="61" t="str">
        <f>IFERROR(__xludf.DUMMYFUNCTION("INDIRECT(""'收支紀錄'!Q""&amp;TO_TEXT(ROW()-$C$72))"),"")</f>
        <v/>
      </c>
      <c r="R1131" s="61" t="str">
        <f>IFERROR(__xludf.DUMMYFUNCTION("INDIRECT(""'收支紀錄'!R""&amp;TO_TEXT(ROW()-$C$72))"),"")</f>
        <v/>
      </c>
      <c r="S1131" s="61" t="str">
        <f>IFERROR(__xludf.DUMMYFUNCTION("INDIRECT(""'收支紀錄'!S""&amp;TO_TEXT(ROW()-$C$72))"),"")</f>
        <v/>
      </c>
      <c r="T1131" s="61" t="str">
        <f>IFERROR(__xludf.DUMMYFUNCTION("INDIRECT(""'收支紀錄'!T""&amp;TO_TEXT(ROW()-$C$72))"),"")</f>
        <v/>
      </c>
      <c r="U1131" s="62" t="str">
        <f>IFERROR(__xludf.DUMMYFUNCTION("IF(T1131=""是"",TEXTJOIN("""", TRUE, ""$"", TO_TEXT(C1131), S1131),"""")"),"")</f>
        <v/>
      </c>
    </row>
    <row r="1132">
      <c r="A1132" s="58">
        <f>IFERROR(__xludf.DUMMYFUNCTION("INDIRECT(""'收支紀錄'!A""&amp;TO_TEXT(ROW()-$C$72))"),45905.78509175926)</f>
        <v>45905.78509</v>
      </c>
      <c r="B1132" s="59">
        <f>IFERROR(__xludf.DUMMYFUNCTION("IF(ISBLANK(D1132), """", IF(ISDATE(D1132), D1132, IF(D1132=""今天"", A1132, IF(D1132=""昨天 (-1 day)"", A1132-1, IF(D1132=""前天 (-2 days)"", A1132-2, IF(D1132=""明天 (+1 day)"", A1132+1, DATE(LEFT(D1132,4), MID(D1132,5,2), RIGHT(D1132,2))))))))"),45905.78509175926)</f>
        <v>45905.78509</v>
      </c>
      <c r="C1132" s="60">
        <f>IFERROR(__xludf.DUMMYFUNCTION("INDIRECT(""'收支紀錄'!C""&amp;TO_TEXT(ROW()-$C$72))"),3860.0)</f>
        <v>3860</v>
      </c>
      <c r="D1132" s="63" t="str">
        <f>IFERROR(__xludf.DUMMYFUNCTION("INDIRECT(""'收支紀錄'!D""&amp;TO_TEXT(ROW()-$C$72))"),"今天")</f>
        <v>今天</v>
      </c>
      <c r="E1132" s="61" t="str">
        <f>IFERROR(__xludf.DUMMYFUNCTION("INDIRECT(""'收支紀錄'!E""&amp;TO_TEXT(ROW()-$C$72))"),"")</f>
        <v/>
      </c>
      <c r="F1132" s="61" t="str">
        <f>IFERROR(__xludf.DUMMYFUNCTION("INDIRECT(""'收支紀錄'!F""&amp;TO_TEXT(ROW()-$C$72))"),"")</f>
        <v/>
      </c>
      <c r="G1132" s="61" t="str">
        <f>IFERROR(__xludf.DUMMYFUNCTION("INDIRECT(""'收支紀錄'!G""&amp;TO_TEXT(ROW()-$C$72))"),"")</f>
        <v/>
      </c>
      <c r="H1132" s="61" t="str">
        <f>IFERROR(__xludf.DUMMYFUNCTION("INDIRECT(""'收支紀錄'!H""&amp;TO_TEXT(ROW()-$C$72))"),"稅金保險")</f>
        <v>稅金保險</v>
      </c>
      <c r="I1132" s="61" t="str">
        <f>IFERROR(__xludf.DUMMYFUNCTION("INDIRECT(""'收支紀錄'!I""&amp;TO_TEXT(ROW()-$C$72))"),"")</f>
        <v/>
      </c>
      <c r="J1132" s="61" t="str">
        <f>IFERROR(__xludf.DUMMYFUNCTION("INDIRECT(""'收支紀錄'!J""&amp;TO_TEXT(ROW()-$C$72))"),"")</f>
        <v/>
      </c>
      <c r="K1132" s="61" t="str">
        <f>IFERROR(__xludf.DUMMYFUNCTION("INDIRECT(""'收支紀錄'!K""&amp;TO_TEXT(ROW()-$C$72))"),"")</f>
        <v/>
      </c>
      <c r="L1132" s="61" t="str">
        <f>IFERROR(__xludf.DUMMYFUNCTION("INDIRECT(""'收支紀錄'!L""&amp;TO_TEXT(ROW()-$C$72))"),"")</f>
        <v/>
      </c>
      <c r="M1132" s="61" t="str">
        <f>IFERROR(__xludf.DUMMYFUNCTION("INDIRECT(""'收支紀錄'!M""&amp;TO_TEXT(ROW()-$C$72))"),"")</f>
        <v/>
      </c>
      <c r="N1132" s="61" t="str">
        <f>IFERROR(__xludf.DUMMYFUNCTION("INDIRECT(""'收支紀錄'!N""&amp;TO_TEXT(ROW()-$C$72))"),"稅金")</f>
        <v>稅金</v>
      </c>
      <c r="O1132" s="61" t="str">
        <f>IFERROR(__xludf.DUMMYFUNCTION("INDIRECT(""'收支紀錄'!O""&amp;TO_TEXT(ROW()-$C$72))"),"")</f>
        <v/>
      </c>
      <c r="P1132" s="61" t="str">
        <f>IFERROR(__xludf.DUMMYFUNCTION("INDIRECT(""'收支紀錄'!P""&amp;TO_TEXT(ROW()-$C$72))"),"")</f>
        <v/>
      </c>
      <c r="Q1132" s="61" t="str">
        <f>IFERROR(__xludf.DUMMYFUNCTION("INDIRECT(""'收支紀錄'!Q""&amp;TO_TEXT(ROW()-$C$72))"),"")</f>
        <v/>
      </c>
      <c r="R1132" s="61" t="str">
        <f>IFERROR(__xludf.DUMMYFUNCTION("INDIRECT(""'收支紀錄'!R""&amp;TO_TEXT(ROW()-$C$72))"),"")</f>
        <v/>
      </c>
      <c r="S1132" s="61" t="str">
        <f>IFERROR(__xludf.DUMMYFUNCTION("INDIRECT(""'收支紀錄'!S""&amp;TO_TEXT(ROW()-$C$72))"),"")</f>
        <v/>
      </c>
      <c r="T1132" s="61" t="str">
        <f>IFERROR(__xludf.DUMMYFUNCTION("INDIRECT(""'收支紀錄'!T""&amp;TO_TEXT(ROW()-$C$72))"),"")</f>
        <v/>
      </c>
      <c r="U1132" s="62" t="str">
        <f>IFERROR(__xludf.DUMMYFUNCTION("IF(T1132=""是"",TEXTJOIN("""", TRUE, ""$"", TO_TEXT(C1132), S1132),"""")"),"")</f>
        <v/>
      </c>
    </row>
    <row r="1133">
      <c r="A1133" s="58">
        <f>IFERROR(__xludf.DUMMYFUNCTION("INDIRECT(""'收支紀錄'!A""&amp;TO_TEXT(ROW()-$C$72))"),45906.49375432871)</f>
        <v>45906.49375</v>
      </c>
      <c r="B1133" s="59">
        <f>IFERROR(__xludf.DUMMYFUNCTION("IF(ISBLANK(D1133), """", IF(ISDATE(D1133), D1133, IF(D1133=""今天"", A1133, IF(D1133=""昨天 (-1 day)"", A1133-1, IF(D1133=""前天 (-2 days)"", A1133-2, IF(D1133=""明天 (+1 day)"", A1133+1, DATE(LEFT(D1133,4), MID(D1133,5,2), RIGHT(D1133,2))))))))"),45906.49375432871)</f>
        <v>45906.49375</v>
      </c>
      <c r="C1133" s="60">
        <f>IFERROR(__xludf.DUMMYFUNCTION("INDIRECT(""'收支紀錄'!C""&amp;TO_TEXT(ROW()-$C$72))"),200.0)</f>
        <v>200</v>
      </c>
      <c r="D1133" s="63" t="str">
        <f>IFERROR(__xludf.DUMMYFUNCTION("INDIRECT(""'收支紀錄'!D""&amp;TO_TEXT(ROW()-$C$72))"),"今天")</f>
        <v>今天</v>
      </c>
      <c r="E1133" s="61" t="str">
        <f>IFERROR(__xludf.DUMMYFUNCTION("INDIRECT(""'收支紀錄'!E""&amp;TO_TEXT(ROW()-$C$72))"),"")</f>
        <v/>
      </c>
      <c r="F1133" s="61" t="str">
        <f>IFERROR(__xludf.DUMMYFUNCTION("INDIRECT(""'收支紀錄'!F""&amp;TO_TEXT(ROW()-$C$72))"),"")</f>
        <v/>
      </c>
      <c r="G1133" s="61" t="str">
        <f>IFERROR(__xludf.DUMMYFUNCTION("INDIRECT(""'收支紀錄'!G""&amp;TO_TEXT(ROW()-$C$72))"),"")</f>
        <v/>
      </c>
      <c r="H1133" s="61" t="str">
        <f>IFERROR(__xludf.DUMMYFUNCTION("INDIRECT(""'收支紀錄'!H""&amp;TO_TEXT(ROW()-$C$72))"),"醫療費用")</f>
        <v>醫療費用</v>
      </c>
      <c r="I1133" s="61" t="str">
        <f>IFERROR(__xludf.DUMMYFUNCTION("INDIRECT(""'收支紀錄'!I""&amp;TO_TEXT(ROW()-$C$72))"),"")</f>
        <v/>
      </c>
      <c r="J1133" s="61" t="str">
        <f>IFERROR(__xludf.DUMMYFUNCTION("INDIRECT(""'收支紀錄'!J""&amp;TO_TEXT(ROW()-$C$72))"),"")</f>
        <v/>
      </c>
      <c r="K1133" s="61" t="str">
        <f>IFERROR(__xludf.DUMMYFUNCTION("INDIRECT(""'收支紀錄'!K""&amp;TO_TEXT(ROW()-$C$72))"),"")</f>
        <v/>
      </c>
      <c r="L1133" s="61" t="str">
        <f>IFERROR(__xludf.DUMMYFUNCTION("INDIRECT(""'收支紀錄'!L""&amp;TO_TEXT(ROW()-$C$72))"),"")</f>
        <v/>
      </c>
      <c r="M1133" s="61" t="str">
        <f>IFERROR(__xludf.DUMMYFUNCTION("INDIRECT(""'收支紀錄'!M""&amp;TO_TEXT(ROW()-$C$72))"),"")</f>
        <v/>
      </c>
      <c r="N1133" s="61" t="str">
        <f>IFERROR(__xludf.DUMMYFUNCTION("INDIRECT(""'收支紀錄'!N""&amp;TO_TEXT(ROW()-$C$72))"),"")</f>
        <v/>
      </c>
      <c r="O1133" s="61" t="str">
        <f>IFERROR(__xludf.DUMMYFUNCTION("INDIRECT(""'收支紀錄'!O""&amp;TO_TEXT(ROW()-$C$72))"),"生病醫療")</f>
        <v>生病醫療</v>
      </c>
      <c r="P1133" s="61" t="str">
        <f>IFERROR(__xludf.DUMMYFUNCTION("INDIRECT(""'收支紀錄'!P""&amp;TO_TEXT(ROW()-$C$72))"),"")</f>
        <v/>
      </c>
      <c r="Q1133" s="61" t="str">
        <f>IFERROR(__xludf.DUMMYFUNCTION("INDIRECT(""'收支紀錄'!Q""&amp;TO_TEXT(ROW()-$C$72))"),"")</f>
        <v/>
      </c>
      <c r="R1133" s="61" t="str">
        <f>IFERROR(__xludf.DUMMYFUNCTION("INDIRECT(""'收支紀錄'!R""&amp;TO_TEXT(ROW()-$C$72))"),"")</f>
        <v/>
      </c>
      <c r="S1133" s="61" t="str">
        <f>IFERROR(__xludf.DUMMYFUNCTION("INDIRECT(""'收支紀錄'!S""&amp;TO_TEXT(ROW()-$C$72))"),"")</f>
        <v/>
      </c>
      <c r="T1133" s="61" t="str">
        <f>IFERROR(__xludf.DUMMYFUNCTION("INDIRECT(""'收支紀錄'!T""&amp;TO_TEXT(ROW()-$C$72))"),"")</f>
        <v/>
      </c>
      <c r="U1133" s="62" t="str">
        <f>IFERROR(__xludf.DUMMYFUNCTION("IF(T1133=""是"",TEXTJOIN("""", TRUE, ""$"", TO_TEXT(C1133), S1133),"""")"),"")</f>
        <v/>
      </c>
    </row>
    <row r="1134">
      <c r="A1134" s="58">
        <f>IFERROR(__xludf.DUMMYFUNCTION("INDIRECT(""'收支紀錄'!A""&amp;TO_TEXT(ROW()-$C$72))"),45906.937065624996)</f>
        <v>45906.93707</v>
      </c>
      <c r="B1134" s="59">
        <f>IFERROR(__xludf.DUMMYFUNCTION("IF(ISBLANK(D1134), """", IF(ISDATE(D1134), D1134, IF(D1134=""今天"", A1134, IF(D1134=""昨天 (-1 day)"", A1134-1, IF(D1134=""前天 (-2 days)"", A1134-2, IF(D1134=""明天 (+1 day)"", A1134+1, DATE(LEFT(D1134,4), MID(D1134,5,2), RIGHT(D1134,2))))))))"),45906.937065624996)</f>
        <v>45906.93707</v>
      </c>
      <c r="C1134" s="60">
        <f>IFERROR(__xludf.DUMMYFUNCTION("INDIRECT(""'收支紀錄'!C""&amp;TO_TEXT(ROW()-$C$72))"),3590.0)</f>
        <v>3590</v>
      </c>
      <c r="D1134" s="63" t="str">
        <f>IFERROR(__xludf.DUMMYFUNCTION("INDIRECT(""'收支紀錄'!D""&amp;TO_TEXT(ROW()-$C$72))"),"今天")</f>
        <v>今天</v>
      </c>
      <c r="E1134" s="61" t="str">
        <f>IFERROR(__xludf.DUMMYFUNCTION("INDIRECT(""'收支紀錄'!E""&amp;TO_TEXT(ROW()-$C$72))"),"")</f>
        <v/>
      </c>
      <c r="F1134" s="61" t="str">
        <f>IFERROR(__xludf.DUMMYFUNCTION("INDIRECT(""'收支紀錄'!F""&amp;TO_TEXT(ROW()-$C$72))"),"")</f>
        <v/>
      </c>
      <c r="G1134" s="61" t="str">
        <f>IFERROR(__xludf.DUMMYFUNCTION("INDIRECT(""'收支紀錄'!G""&amp;TO_TEXT(ROW()-$C$72))"),"")</f>
        <v/>
      </c>
      <c r="H1134" s="61" t="str">
        <f>IFERROR(__xludf.DUMMYFUNCTION("INDIRECT(""'收支紀錄'!H""&amp;TO_TEXT(ROW()-$C$72))"),"食品酒水")</f>
        <v>食品酒水</v>
      </c>
      <c r="I1134" s="61" t="str">
        <f>IFERROR(__xludf.DUMMYFUNCTION("INDIRECT(""'收支紀錄'!I""&amp;TO_TEXT(ROW()-$C$72))"),"食材")</f>
        <v>食材</v>
      </c>
      <c r="J1134" s="61" t="str">
        <f>IFERROR(__xludf.DUMMYFUNCTION("INDIRECT(""'收支紀錄'!J""&amp;TO_TEXT(ROW()-$C$72))"),"")</f>
        <v/>
      </c>
      <c r="K1134" s="61" t="str">
        <f>IFERROR(__xludf.DUMMYFUNCTION("INDIRECT(""'收支紀錄'!K""&amp;TO_TEXT(ROW()-$C$72))"),"")</f>
        <v/>
      </c>
      <c r="L1134" s="61" t="str">
        <f>IFERROR(__xludf.DUMMYFUNCTION("INDIRECT(""'收支紀錄'!L""&amp;TO_TEXT(ROW()-$C$72))"),"")</f>
        <v/>
      </c>
      <c r="M1134" s="61" t="str">
        <f>IFERROR(__xludf.DUMMYFUNCTION("INDIRECT(""'收支紀錄'!M""&amp;TO_TEXT(ROW()-$C$72))"),"")</f>
        <v/>
      </c>
      <c r="N1134" s="61" t="str">
        <f>IFERROR(__xludf.DUMMYFUNCTION("INDIRECT(""'收支紀錄'!N""&amp;TO_TEXT(ROW()-$C$72))"),"")</f>
        <v/>
      </c>
      <c r="O1134" s="61" t="str">
        <f>IFERROR(__xludf.DUMMYFUNCTION("INDIRECT(""'收支紀錄'!O""&amp;TO_TEXT(ROW()-$C$72))"),"")</f>
        <v/>
      </c>
      <c r="P1134" s="61" t="str">
        <f>IFERROR(__xludf.DUMMYFUNCTION("INDIRECT(""'收支紀錄'!P""&amp;TO_TEXT(ROW()-$C$72))"),"")</f>
        <v/>
      </c>
      <c r="Q1134" s="61" t="str">
        <f>IFERROR(__xludf.DUMMYFUNCTION("INDIRECT(""'收支紀錄'!Q""&amp;TO_TEXT(ROW()-$C$72))"),"")</f>
        <v/>
      </c>
      <c r="R1134" s="61" t="str">
        <f>IFERROR(__xludf.DUMMYFUNCTION("INDIRECT(""'收支紀錄'!R""&amp;TO_TEXT(ROW()-$C$72))"),"")</f>
        <v/>
      </c>
      <c r="S1134" s="61" t="str">
        <f>IFERROR(__xludf.DUMMYFUNCTION("INDIRECT(""'收支紀錄'!S""&amp;TO_TEXT(ROW()-$C$72))"),"")</f>
        <v/>
      </c>
      <c r="T1134" s="61" t="str">
        <f>IFERROR(__xludf.DUMMYFUNCTION("INDIRECT(""'收支紀錄'!T""&amp;TO_TEXT(ROW()-$C$72))"),"")</f>
        <v/>
      </c>
      <c r="U1134" s="62" t="str">
        <f>IFERROR(__xludf.DUMMYFUNCTION("IF(T1134=""是"",TEXTJOIN("""", TRUE, ""$"", TO_TEXT(C1134), S1134),"""")"),"")</f>
        <v/>
      </c>
    </row>
    <row r="1135">
      <c r="A1135" s="58">
        <f>IFERROR(__xludf.DUMMYFUNCTION("INDIRECT(""'收支紀錄'!A""&amp;TO_TEXT(ROW()-$C$72))"),45908.32216954861)</f>
        <v>45908.32217</v>
      </c>
      <c r="B1135" s="59">
        <f>IFERROR(__xludf.DUMMYFUNCTION("IF(ISBLANK(D1135), """", IF(ISDATE(D1135), D1135, IF(D1135=""今天"", A1135, IF(D1135=""昨天 (-1 day)"", A1135-1, IF(D1135=""前天 (-2 days)"", A1135-2, IF(D1135=""明天 (+1 day)"", A1135+1, DATE(LEFT(D1135,4), MID(D1135,5,2), RIGHT(D1135,2))))))))"),45907.32216954861)</f>
        <v>45907.32217</v>
      </c>
      <c r="C1135" s="60">
        <f>IFERROR(__xludf.DUMMYFUNCTION("INDIRECT(""'收支紀錄'!C""&amp;TO_TEXT(ROW()-$C$72))"),540.0)</f>
        <v>540</v>
      </c>
      <c r="D1135" s="63" t="str">
        <f>IFERROR(__xludf.DUMMYFUNCTION("INDIRECT(""'收支紀錄'!D""&amp;TO_TEXT(ROW()-$C$72))"),"昨天 (-1 day)")</f>
        <v>昨天 (-1 day)</v>
      </c>
      <c r="E1135" s="61" t="str">
        <f>IFERROR(__xludf.DUMMYFUNCTION("INDIRECT(""'收支紀錄'!E""&amp;TO_TEXT(ROW()-$C$72))"),"")</f>
        <v/>
      </c>
      <c r="F1135" s="61" t="str">
        <f>IFERROR(__xludf.DUMMYFUNCTION("INDIRECT(""'收支紀錄'!F""&amp;TO_TEXT(ROW()-$C$72))"),"")</f>
        <v/>
      </c>
      <c r="G1135" s="61" t="str">
        <f>IFERROR(__xludf.DUMMYFUNCTION("INDIRECT(""'收支紀錄'!G""&amp;TO_TEXT(ROW()-$C$72))"),"")</f>
        <v/>
      </c>
      <c r="H1135" s="61" t="str">
        <f>IFERROR(__xludf.DUMMYFUNCTION("INDIRECT(""'收支紀錄'!H""&amp;TO_TEXT(ROW()-$C$72))"),"食品酒水")</f>
        <v>食品酒水</v>
      </c>
      <c r="I1135" s="61" t="str">
        <f>IFERROR(__xludf.DUMMYFUNCTION("INDIRECT(""'收支紀錄'!I""&amp;TO_TEXT(ROW()-$C$72))"),"午餐")</f>
        <v>午餐</v>
      </c>
      <c r="J1135" s="61" t="str">
        <f>IFERROR(__xludf.DUMMYFUNCTION("INDIRECT(""'收支紀錄'!J""&amp;TO_TEXT(ROW()-$C$72))"),"")</f>
        <v/>
      </c>
      <c r="K1135" s="61" t="str">
        <f>IFERROR(__xludf.DUMMYFUNCTION("INDIRECT(""'收支紀錄'!K""&amp;TO_TEXT(ROW()-$C$72))"),"")</f>
        <v/>
      </c>
      <c r="L1135" s="61" t="str">
        <f>IFERROR(__xludf.DUMMYFUNCTION("INDIRECT(""'收支紀錄'!L""&amp;TO_TEXT(ROW()-$C$72))"),"")</f>
        <v/>
      </c>
      <c r="M1135" s="61" t="str">
        <f>IFERROR(__xludf.DUMMYFUNCTION("INDIRECT(""'收支紀錄'!M""&amp;TO_TEXT(ROW()-$C$72))"),"")</f>
        <v/>
      </c>
      <c r="N1135" s="61" t="str">
        <f>IFERROR(__xludf.DUMMYFUNCTION("INDIRECT(""'收支紀錄'!N""&amp;TO_TEXT(ROW()-$C$72))"),"")</f>
        <v/>
      </c>
      <c r="O1135" s="61" t="str">
        <f>IFERROR(__xludf.DUMMYFUNCTION("INDIRECT(""'收支紀錄'!O""&amp;TO_TEXT(ROW()-$C$72))"),"")</f>
        <v/>
      </c>
      <c r="P1135" s="61" t="str">
        <f>IFERROR(__xludf.DUMMYFUNCTION("INDIRECT(""'收支紀錄'!P""&amp;TO_TEXT(ROW()-$C$72))"),"")</f>
        <v/>
      </c>
      <c r="Q1135" s="61" t="str">
        <f>IFERROR(__xludf.DUMMYFUNCTION("INDIRECT(""'收支紀錄'!Q""&amp;TO_TEXT(ROW()-$C$72))"),"")</f>
        <v/>
      </c>
      <c r="R1135" s="61" t="str">
        <f>IFERROR(__xludf.DUMMYFUNCTION("INDIRECT(""'收支紀錄'!R""&amp;TO_TEXT(ROW()-$C$72))"),"")</f>
        <v/>
      </c>
      <c r="S1135" s="61" t="str">
        <f>IFERROR(__xludf.DUMMYFUNCTION("INDIRECT(""'收支紀錄'!S""&amp;TO_TEXT(ROW()-$C$72))"),"")</f>
        <v/>
      </c>
      <c r="T1135" s="61" t="str">
        <f>IFERROR(__xludf.DUMMYFUNCTION("INDIRECT(""'收支紀錄'!T""&amp;TO_TEXT(ROW()-$C$72))"),"")</f>
        <v/>
      </c>
      <c r="U1135" s="62" t="str">
        <f>IFERROR(__xludf.DUMMYFUNCTION("IF(T1135=""是"",TEXTJOIN("""", TRUE, ""$"", TO_TEXT(C1135), S1135),"""")"),"")</f>
        <v/>
      </c>
    </row>
    <row r="1136">
      <c r="A1136" s="58">
        <f>IFERROR(__xludf.DUMMYFUNCTION("INDIRECT(""'收支紀錄'!A""&amp;TO_TEXT(ROW()-$C$72))"),45908.32230140046)</f>
        <v>45908.3223</v>
      </c>
      <c r="B1136" s="59">
        <f>IFERROR(__xludf.DUMMYFUNCTION("IF(ISBLANK(D1136), """", IF(ISDATE(D1136), D1136, IF(D1136=""今天"", A1136, IF(D1136=""昨天 (-1 day)"", A1136-1, IF(D1136=""前天 (-2 days)"", A1136-2, IF(D1136=""明天 (+1 day)"", A1136+1, DATE(LEFT(D1136,4), MID(D1136,5,2), RIGHT(D1136,2))))))))"),45907.32230140046)</f>
        <v>45907.3223</v>
      </c>
      <c r="C1136" s="60">
        <f>IFERROR(__xludf.DUMMYFUNCTION("INDIRECT(""'收支紀錄'!C""&amp;TO_TEXT(ROW()-$C$72))"),410.0)</f>
        <v>410</v>
      </c>
      <c r="D1136" s="63" t="str">
        <f>IFERROR(__xludf.DUMMYFUNCTION("INDIRECT(""'收支紀錄'!D""&amp;TO_TEXT(ROW()-$C$72))"),"昨天 (-1 day)")</f>
        <v>昨天 (-1 day)</v>
      </c>
      <c r="E1136" s="61" t="str">
        <f>IFERROR(__xludf.DUMMYFUNCTION("INDIRECT(""'收支紀錄'!E""&amp;TO_TEXT(ROW()-$C$72))"),"")</f>
        <v/>
      </c>
      <c r="F1136" s="61" t="str">
        <f>IFERROR(__xludf.DUMMYFUNCTION("INDIRECT(""'收支紀錄'!F""&amp;TO_TEXT(ROW()-$C$72))"),"")</f>
        <v/>
      </c>
      <c r="G1136" s="61" t="str">
        <f>IFERROR(__xludf.DUMMYFUNCTION("INDIRECT(""'收支紀錄'!G""&amp;TO_TEXT(ROW()-$C$72))"),"")</f>
        <v/>
      </c>
      <c r="H1136" s="61" t="str">
        <f>IFERROR(__xludf.DUMMYFUNCTION("INDIRECT(""'收支紀錄'!H""&amp;TO_TEXT(ROW()-$C$72))"),"食品酒水")</f>
        <v>食品酒水</v>
      </c>
      <c r="I1136" s="61" t="str">
        <f>IFERROR(__xludf.DUMMYFUNCTION("INDIRECT(""'收支紀錄'!I""&amp;TO_TEXT(ROW()-$C$72))"),"午餐")</f>
        <v>午餐</v>
      </c>
      <c r="J1136" s="61" t="str">
        <f>IFERROR(__xludf.DUMMYFUNCTION("INDIRECT(""'收支紀錄'!J""&amp;TO_TEXT(ROW()-$C$72))"),"")</f>
        <v/>
      </c>
      <c r="K1136" s="61" t="str">
        <f>IFERROR(__xludf.DUMMYFUNCTION("INDIRECT(""'收支紀錄'!K""&amp;TO_TEXT(ROW()-$C$72))"),"")</f>
        <v/>
      </c>
      <c r="L1136" s="61" t="str">
        <f>IFERROR(__xludf.DUMMYFUNCTION("INDIRECT(""'收支紀錄'!L""&amp;TO_TEXT(ROW()-$C$72))"),"")</f>
        <v/>
      </c>
      <c r="M1136" s="61" t="str">
        <f>IFERROR(__xludf.DUMMYFUNCTION("INDIRECT(""'收支紀錄'!M""&amp;TO_TEXT(ROW()-$C$72))"),"")</f>
        <v/>
      </c>
      <c r="N1136" s="61" t="str">
        <f>IFERROR(__xludf.DUMMYFUNCTION("INDIRECT(""'收支紀錄'!N""&amp;TO_TEXT(ROW()-$C$72))"),"")</f>
        <v/>
      </c>
      <c r="O1136" s="61" t="str">
        <f>IFERROR(__xludf.DUMMYFUNCTION("INDIRECT(""'收支紀錄'!O""&amp;TO_TEXT(ROW()-$C$72))"),"")</f>
        <v/>
      </c>
      <c r="P1136" s="61" t="str">
        <f>IFERROR(__xludf.DUMMYFUNCTION("INDIRECT(""'收支紀錄'!P""&amp;TO_TEXT(ROW()-$C$72))"),"")</f>
        <v/>
      </c>
      <c r="Q1136" s="61" t="str">
        <f>IFERROR(__xludf.DUMMYFUNCTION("INDIRECT(""'收支紀錄'!Q""&amp;TO_TEXT(ROW()-$C$72))"),"")</f>
        <v/>
      </c>
      <c r="R1136" s="61" t="str">
        <f>IFERROR(__xludf.DUMMYFUNCTION("INDIRECT(""'收支紀錄'!R""&amp;TO_TEXT(ROW()-$C$72))"),"")</f>
        <v/>
      </c>
      <c r="S1136" s="61" t="str">
        <f>IFERROR(__xludf.DUMMYFUNCTION("INDIRECT(""'收支紀錄'!S""&amp;TO_TEXT(ROW()-$C$72))"),"")</f>
        <v/>
      </c>
      <c r="T1136" s="61" t="str">
        <f>IFERROR(__xludf.DUMMYFUNCTION("INDIRECT(""'收支紀錄'!T""&amp;TO_TEXT(ROW()-$C$72))"),"")</f>
        <v/>
      </c>
      <c r="U1136" s="62" t="str">
        <f>IFERROR(__xludf.DUMMYFUNCTION("IF(T1136=""是"",TEXTJOIN("""", TRUE, ""$"", TO_TEXT(C1136), S1136),"""")"),"")</f>
        <v/>
      </c>
    </row>
    <row r="1137">
      <c r="A1137" s="58">
        <f>IFERROR(__xludf.DUMMYFUNCTION("INDIRECT(""'收支紀錄'!A""&amp;TO_TEXT(ROW()-$C$72))"),45908.32251987269)</f>
        <v>45908.32252</v>
      </c>
      <c r="B1137" s="59">
        <f>IFERROR(__xludf.DUMMYFUNCTION("IF(ISBLANK(D1137), """", IF(ISDATE(D1137), D1137, IF(D1137=""今天"", A1137, IF(D1137=""昨天 (-1 day)"", A1137-1, IF(D1137=""前天 (-2 days)"", A1137-2, IF(D1137=""明天 (+1 day)"", A1137+1, DATE(LEFT(D1137,4), MID(D1137,5,2), RIGHT(D1137,2))))))))"),45907.32251987269)</f>
        <v>45907.32252</v>
      </c>
      <c r="C1137" s="60">
        <f>IFERROR(__xludf.DUMMYFUNCTION("INDIRECT(""'收支紀錄'!C""&amp;TO_TEXT(ROW()-$C$72))"),260.0)</f>
        <v>260</v>
      </c>
      <c r="D1137" s="63" t="str">
        <f>IFERROR(__xludf.DUMMYFUNCTION("INDIRECT(""'收支紀錄'!D""&amp;TO_TEXT(ROW()-$C$72))"),"昨天 (-1 day)")</f>
        <v>昨天 (-1 day)</v>
      </c>
      <c r="E1137" s="61" t="str">
        <f>IFERROR(__xludf.DUMMYFUNCTION("INDIRECT(""'收支紀錄'!E""&amp;TO_TEXT(ROW()-$C$72))"),"")</f>
        <v/>
      </c>
      <c r="F1137" s="61" t="str">
        <f>IFERROR(__xludf.DUMMYFUNCTION("INDIRECT(""'收支紀錄'!F""&amp;TO_TEXT(ROW()-$C$72))"),"")</f>
        <v/>
      </c>
      <c r="G1137" s="61" t="str">
        <f>IFERROR(__xludf.DUMMYFUNCTION("INDIRECT(""'收支紀錄'!G""&amp;TO_TEXT(ROW()-$C$72))"),"")</f>
        <v/>
      </c>
      <c r="H1137" s="61" t="str">
        <f>IFERROR(__xludf.DUMMYFUNCTION("INDIRECT(""'收支紀錄'!H""&amp;TO_TEXT(ROW()-$C$72))"),"食品酒水")</f>
        <v>食品酒水</v>
      </c>
      <c r="I1137" s="61" t="str">
        <f>IFERROR(__xludf.DUMMYFUNCTION("INDIRECT(""'收支紀錄'!I""&amp;TO_TEXT(ROW()-$C$72))"),"宵夜")</f>
        <v>宵夜</v>
      </c>
      <c r="J1137" s="61" t="str">
        <f>IFERROR(__xludf.DUMMYFUNCTION("INDIRECT(""'收支紀錄'!J""&amp;TO_TEXT(ROW()-$C$72))"),"")</f>
        <v/>
      </c>
      <c r="K1137" s="61" t="str">
        <f>IFERROR(__xludf.DUMMYFUNCTION("INDIRECT(""'收支紀錄'!K""&amp;TO_TEXT(ROW()-$C$72))"),"")</f>
        <v/>
      </c>
      <c r="L1137" s="61" t="str">
        <f>IFERROR(__xludf.DUMMYFUNCTION("INDIRECT(""'收支紀錄'!L""&amp;TO_TEXT(ROW()-$C$72))"),"")</f>
        <v/>
      </c>
      <c r="M1137" s="61" t="str">
        <f>IFERROR(__xludf.DUMMYFUNCTION("INDIRECT(""'收支紀錄'!M""&amp;TO_TEXT(ROW()-$C$72))"),"")</f>
        <v/>
      </c>
      <c r="N1137" s="61" t="str">
        <f>IFERROR(__xludf.DUMMYFUNCTION("INDIRECT(""'收支紀錄'!N""&amp;TO_TEXT(ROW()-$C$72))"),"")</f>
        <v/>
      </c>
      <c r="O1137" s="61" t="str">
        <f>IFERROR(__xludf.DUMMYFUNCTION("INDIRECT(""'收支紀錄'!O""&amp;TO_TEXT(ROW()-$C$72))"),"")</f>
        <v/>
      </c>
      <c r="P1137" s="61" t="str">
        <f>IFERROR(__xludf.DUMMYFUNCTION("INDIRECT(""'收支紀錄'!P""&amp;TO_TEXT(ROW()-$C$72))"),"")</f>
        <v/>
      </c>
      <c r="Q1137" s="61" t="str">
        <f>IFERROR(__xludf.DUMMYFUNCTION("INDIRECT(""'收支紀錄'!Q""&amp;TO_TEXT(ROW()-$C$72))"),"")</f>
        <v/>
      </c>
      <c r="R1137" s="61" t="str">
        <f>IFERROR(__xludf.DUMMYFUNCTION("INDIRECT(""'收支紀錄'!R""&amp;TO_TEXT(ROW()-$C$72))"),"")</f>
        <v/>
      </c>
      <c r="S1137" s="61" t="str">
        <f>IFERROR(__xludf.DUMMYFUNCTION("INDIRECT(""'收支紀錄'!S""&amp;TO_TEXT(ROW()-$C$72))"),"")</f>
        <v/>
      </c>
      <c r="T1137" s="61" t="str">
        <f>IFERROR(__xludf.DUMMYFUNCTION("INDIRECT(""'收支紀錄'!T""&amp;TO_TEXT(ROW()-$C$72))"),"")</f>
        <v/>
      </c>
      <c r="U1137" s="62" t="str">
        <f>IFERROR(__xludf.DUMMYFUNCTION("IF(T1137=""是"",TEXTJOIN("""", TRUE, ""$"", TO_TEXT(C1137), S1137),"""")"),"")</f>
        <v/>
      </c>
    </row>
    <row r="1138">
      <c r="A1138" s="58">
        <f>IFERROR(__xludf.DUMMYFUNCTION("INDIRECT(""'收支紀錄'!A""&amp;TO_TEXT(ROW()-$C$72))"),45909.515915104166)</f>
        <v>45909.51592</v>
      </c>
      <c r="B1138" s="59">
        <f>IFERROR(__xludf.DUMMYFUNCTION("IF(ISBLANK(D1138), """", IF(ISDATE(D1138), D1138, IF(D1138=""今天"", A1138, IF(D1138=""昨天 (-1 day)"", A1138-1, IF(D1138=""前天 (-2 days)"", A1138-2, IF(D1138=""明天 (+1 day)"", A1138+1, DATE(LEFT(D1138,4), MID(D1138,5,2), RIGHT(D1138,2))))))))"),45909.515915104166)</f>
        <v>45909.51592</v>
      </c>
      <c r="C1138" s="60">
        <f>IFERROR(__xludf.DUMMYFUNCTION("INDIRECT(""'收支紀錄'!C""&amp;TO_TEXT(ROW()-$C$72))"),705.0)</f>
        <v>705</v>
      </c>
      <c r="D1138" s="63" t="str">
        <f>IFERROR(__xludf.DUMMYFUNCTION("INDIRECT(""'收支紀錄'!D""&amp;TO_TEXT(ROW()-$C$72))"),"今天")</f>
        <v>今天</v>
      </c>
      <c r="E1138" s="61" t="str">
        <f>IFERROR(__xludf.DUMMYFUNCTION("INDIRECT(""'收支紀錄'!E""&amp;TO_TEXT(ROW()-$C$72))"),"")</f>
        <v/>
      </c>
      <c r="F1138" s="61" t="str">
        <f>IFERROR(__xludf.DUMMYFUNCTION("INDIRECT(""'收支紀錄'!F""&amp;TO_TEXT(ROW()-$C$72))"),"")</f>
        <v/>
      </c>
      <c r="G1138" s="61" t="str">
        <f>IFERROR(__xludf.DUMMYFUNCTION("INDIRECT(""'收支紀錄'!G""&amp;TO_TEXT(ROW()-$C$72))"),"")</f>
        <v/>
      </c>
      <c r="H1138" s="61" t="str">
        <f>IFERROR(__xludf.DUMMYFUNCTION("INDIRECT(""'收支紀錄'!H""&amp;TO_TEXT(ROW()-$C$72))"),"食品酒水")</f>
        <v>食品酒水</v>
      </c>
      <c r="I1138" s="61" t="str">
        <f>IFERROR(__xludf.DUMMYFUNCTION("INDIRECT(""'收支紀錄'!I""&amp;TO_TEXT(ROW()-$C$72))"),"食材")</f>
        <v>食材</v>
      </c>
      <c r="J1138" s="61" t="str">
        <f>IFERROR(__xludf.DUMMYFUNCTION("INDIRECT(""'收支紀錄'!J""&amp;TO_TEXT(ROW()-$C$72))"),"")</f>
        <v/>
      </c>
      <c r="K1138" s="61" t="str">
        <f>IFERROR(__xludf.DUMMYFUNCTION("INDIRECT(""'收支紀錄'!K""&amp;TO_TEXT(ROW()-$C$72))"),"")</f>
        <v/>
      </c>
      <c r="L1138" s="61" t="str">
        <f>IFERROR(__xludf.DUMMYFUNCTION("INDIRECT(""'收支紀錄'!L""&amp;TO_TEXT(ROW()-$C$72))"),"")</f>
        <v/>
      </c>
      <c r="M1138" s="61" t="str">
        <f>IFERROR(__xludf.DUMMYFUNCTION("INDIRECT(""'收支紀錄'!M""&amp;TO_TEXT(ROW()-$C$72))"),"")</f>
        <v/>
      </c>
      <c r="N1138" s="61" t="str">
        <f>IFERROR(__xludf.DUMMYFUNCTION("INDIRECT(""'收支紀錄'!N""&amp;TO_TEXT(ROW()-$C$72))"),"")</f>
        <v/>
      </c>
      <c r="O1138" s="61" t="str">
        <f>IFERROR(__xludf.DUMMYFUNCTION("INDIRECT(""'收支紀錄'!O""&amp;TO_TEXT(ROW()-$C$72))"),"")</f>
        <v/>
      </c>
      <c r="P1138" s="61" t="str">
        <f>IFERROR(__xludf.DUMMYFUNCTION("INDIRECT(""'收支紀錄'!P""&amp;TO_TEXT(ROW()-$C$72))"),"")</f>
        <v/>
      </c>
      <c r="Q1138" s="61" t="str">
        <f>IFERROR(__xludf.DUMMYFUNCTION("INDIRECT(""'收支紀錄'!Q""&amp;TO_TEXT(ROW()-$C$72))"),"")</f>
        <v/>
      </c>
      <c r="R1138" s="61" t="str">
        <f>IFERROR(__xludf.DUMMYFUNCTION("INDIRECT(""'收支紀錄'!R""&amp;TO_TEXT(ROW()-$C$72))"),"")</f>
        <v/>
      </c>
      <c r="S1138" s="61" t="str">
        <f>IFERROR(__xludf.DUMMYFUNCTION("INDIRECT(""'收支紀錄'!S""&amp;TO_TEXT(ROW()-$C$72))"),"")</f>
        <v/>
      </c>
      <c r="T1138" s="61" t="str">
        <f>IFERROR(__xludf.DUMMYFUNCTION("INDIRECT(""'收支紀錄'!T""&amp;TO_TEXT(ROW()-$C$72))"),"")</f>
        <v/>
      </c>
      <c r="U1138" s="62" t="str">
        <f>IFERROR(__xludf.DUMMYFUNCTION("IF(T1138=""是"",TEXTJOIN("""", TRUE, ""$"", TO_TEXT(C1138), S1138),"""")"),"")</f>
        <v/>
      </c>
    </row>
    <row r="1139">
      <c r="A1139" s="58">
        <f>IFERROR(__xludf.DUMMYFUNCTION("INDIRECT(""'收支紀錄'!A""&amp;TO_TEXT(ROW()-$C$72))"),45911.345055972226)</f>
        <v>45911.34506</v>
      </c>
      <c r="B1139" s="59">
        <f>IFERROR(__xludf.DUMMYFUNCTION("IF(ISBLANK(D1139), """", IF(ISDATE(D1139), D1139, IF(D1139=""今天"", A1139, IF(D1139=""昨天 (-1 day)"", A1139-1, IF(D1139=""前天 (-2 days)"", A1139-2, IF(D1139=""明天 (+1 day)"", A1139+1, DATE(LEFT(D1139,4), MID(D1139,5,2), RIGHT(D1139,2))))))))"),45910.345055972226)</f>
        <v>45910.34506</v>
      </c>
      <c r="C1139" s="60">
        <f>IFERROR(__xludf.DUMMYFUNCTION("INDIRECT(""'收支紀錄'!C""&amp;TO_TEXT(ROW()-$C$72))"),474.0)</f>
        <v>474</v>
      </c>
      <c r="D1139" s="63" t="str">
        <f>IFERROR(__xludf.DUMMYFUNCTION("INDIRECT(""'收支紀錄'!D""&amp;TO_TEXT(ROW()-$C$72))"),"昨天 (-1 day)")</f>
        <v>昨天 (-1 day)</v>
      </c>
      <c r="E1139" s="61" t="str">
        <f>IFERROR(__xludf.DUMMYFUNCTION("INDIRECT(""'收支紀錄'!E""&amp;TO_TEXT(ROW()-$C$72))"),"")</f>
        <v/>
      </c>
      <c r="F1139" s="61" t="str">
        <f>IFERROR(__xludf.DUMMYFUNCTION("INDIRECT(""'收支紀錄'!F""&amp;TO_TEXT(ROW()-$C$72))"),"")</f>
        <v/>
      </c>
      <c r="G1139" s="61" t="str">
        <f>IFERROR(__xludf.DUMMYFUNCTION("INDIRECT(""'收支紀錄'!G""&amp;TO_TEXT(ROW()-$C$72))"),"")</f>
        <v/>
      </c>
      <c r="H1139" s="61" t="str">
        <f>IFERROR(__xludf.DUMMYFUNCTION("INDIRECT(""'收支紀錄'!H""&amp;TO_TEXT(ROW()-$C$72))"),"行車交通")</f>
        <v>行車交通</v>
      </c>
      <c r="I1139" s="61" t="str">
        <f>IFERROR(__xludf.DUMMYFUNCTION("INDIRECT(""'收支紀錄'!I""&amp;TO_TEXT(ROW()-$C$72))"),"")</f>
        <v/>
      </c>
      <c r="J1139" s="61" t="str">
        <f>IFERROR(__xludf.DUMMYFUNCTION("INDIRECT(""'收支紀錄'!J""&amp;TO_TEXT(ROW()-$C$72))"),"")</f>
        <v/>
      </c>
      <c r="K1139" s="61" t="str">
        <f>IFERROR(__xludf.DUMMYFUNCTION("INDIRECT(""'收支紀錄'!K""&amp;TO_TEXT(ROW()-$C$72))"),"")</f>
        <v/>
      </c>
      <c r="L1139" s="61" t="str">
        <f>IFERROR(__xludf.DUMMYFUNCTION("INDIRECT(""'收支紀錄'!L""&amp;TO_TEXT(ROW()-$C$72))"),"加油")</f>
        <v>加油</v>
      </c>
      <c r="M1139" s="61" t="str">
        <f>IFERROR(__xludf.DUMMYFUNCTION("INDIRECT(""'收支紀錄'!M""&amp;TO_TEXT(ROW()-$C$72))"),"")</f>
        <v/>
      </c>
      <c r="N1139" s="61" t="str">
        <f>IFERROR(__xludf.DUMMYFUNCTION("INDIRECT(""'收支紀錄'!N""&amp;TO_TEXT(ROW()-$C$72))"),"")</f>
        <v/>
      </c>
      <c r="O1139" s="61" t="str">
        <f>IFERROR(__xludf.DUMMYFUNCTION("INDIRECT(""'收支紀錄'!O""&amp;TO_TEXT(ROW()-$C$72))"),"")</f>
        <v/>
      </c>
      <c r="P1139" s="61" t="str">
        <f>IFERROR(__xludf.DUMMYFUNCTION("INDIRECT(""'收支紀錄'!P""&amp;TO_TEXT(ROW()-$C$72))"),"")</f>
        <v/>
      </c>
      <c r="Q1139" s="61" t="str">
        <f>IFERROR(__xludf.DUMMYFUNCTION("INDIRECT(""'收支紀錄'!Q""&amp;TO_TEXT(ROW()-$C$72))"),"")</f>
        <v/>
      </c>
      <c r="R1139" s="61" t="str">
        <f>IFERROR(__xludf.DUMMYFUNCTION("INDIRECT(""'收支紀錄'!R""&amp;TO_TEXT(ROW()-$C$72))"),"")</f>
        <v/>
      </c>
      <c r="S1139" s="61" t="str">
        <f>IFERROR(__xludf.DUMMYFUNCTION("INDIRECT(""'收支紀錄'!S""&amp;TO_TEXT(ROW()-$C$72))"),"")</f>
        <v/>
      </c>
      <c r="T1139" s="61" t="str">
        <f>IFERROR(__xludf.DUMMYFUNCTION("INDIRECT(""'收支紀錄'!T""&amp;TO_TEXT(ROW()-$C$72))"),"")</f>
        <v/>
      </c>
      <c r="U1139" s="62" t="str">
        <f>IFERROR(__xludf.DUMMYFUNCTION("IF(T1139=""是"",TEXTJOIN("""", TRUE, ""$"", TO_TEXT(C1139), S1139),"""")"),"")</f>
        <v/>
      </c>
    </row>
    <row r="1140">
      <c r="A1140" s="58">
        <f>IFERROR(__xludf.DUMMYFUNCTION("INDIRECT(""'收支紀錄'!A""&amp;TO_TEXT(ROW()-$C$72))"),45911.34522959491)</f>
        <v>45911.34523</v>
      </c>
      <c r="B1140" s="59">
        <f>IFERROR(__xludf.DUMMYFUNCTION("IF(ISBLANK(D1140), """", IF(ISDATE(D1140), D1140, IF(D1140=""今天"", A1140, IF(D1140=""昨天 (-1 day)"", A1140-1, IF(D1140=""前天 (-2 days)"", A1140-2, IF(D1140=""明天 (+1 day)"", A1140+1, DATE(LEFT(D1140,4), MID(D1140,5,2), RIGHT(D1140,2))))))))"),45910.34522959491)</f>
        <v>45910.34523</v>
      </c>
      <c r="C1140" s="60">
        <f>IFERROR(__xludf.DUMMYFUNCTION("INDIRECT(""'收支紀錄'!C""&amp;TO_TEXT(ROW()-$C$72))"),60.0)</f>
        <v>60</v>
      </c>
      <c r="D1140" s="63" t="str">
        <f>IFERROR(__xludf.DUMMYFUNCTION("INDIRECT(""'收支紀錄'!D""&amp;TO_TEXT(ROW()-$C$72))"),"昨天 (-1 day)")</f>
        <v>昨天 (-1 day)</v>
      </c>
      <c r="E1140" s="61" t="str">
        <f>IFERROR(__xludf.DUMMYFUNCTION("INDIRECT(""'收支紀錄'!E""&amp;TO_TEXT(ROW()-$C$72))"),"")</f>
        <v/>
      </c>
      <c r="F1140" s="61" t="str">
        <f>IFERROR(__xludf.DUMMYFUNCTION("INDIRECT(""'收支紀錄'!F""&amp;TO_TEXT(ROW()-$C$72))"),"")</f>
        <v/>
      </c>
      <c r="G1140" s="61" t="str">
        <f>IFERROR(__xludf.DUMMYFUNCTION("INDIRECT(""'收支紀錄'!G""&amp;TO_TEXT(ROW()-$C$72))"),"")</f>
        <v/>
      </c>
      <c r="H1140" s="61" t="str">
        <f>IFERROR(__xludf.DUMMYFUNCTION("INDIRECT(""'收支紀錄'!H""&amp;TO_TEXT(ROW()-$C$72))"),"食品酒水")</f>
        <v>食品酒水</v>
      </c>
      <c r="I1140" s="61" t="str">
        <f>IFERROR(__xludf.DUMMYFUNCTION("INDIRECT(""'收支紀錄'!I""&amp;TO_TEXT(ROW()-$C$72))"),"宵夜")</f>
        <v>宵夜</v>
      </c>
      <c r="J1140" s="61" t="str">
        <f>IFERROR(__xludf.DUMMYFUNCTION("INDIRECT(""'收支紀錄'!J""&amp;TO_TEXT(ROW()-$C$72))"),"")</f>
        <v/>
      </c>
      <c r="K1140" s="61" t="str">
        <f>IFERROR(__xludf.DUMMYFUNCTION("INDIRECT(""'收支紀錄'!K""&amp;TO_TEXT(ROW()-$C$72))"),"")</f>
        <v/>
      </c>
      <c r="L1140" s="61" t="str">
        <f>IFERROR(__xludf.DUMMYFUNCTION("INDIRECT(""'收支紀錄'!L""&amp;TO_TEXT(ROW()-$C$72))"),"")</f>
        <v/>
      </c>
      <c r="M1140" s="61" t="str">
        <f>IFERROR(__xludf.DUMMYFUNCTION("INDIRECT(""'收支紀錄'!M""&amp;TO_TEXT(ROW()-$C$72))"),"")</f>
        <v/>
      </c>
      <c r="N1140" s="61" t="str">
        <f>IFERROR(__xludf.DUMMYFUNCTION("INDIRECT(""'收支紀錄'!N""&amp;TO_TEXT(ROW()-$C$72))"),"")</f>
        <v/>
      </c>
      <c r="O1140" s="61" t="str">
        <f>IFERROR(__xludf.DUMMYFUNCTION("INDIRECT(""'收支紀錄'!O""&amp;TO_TEXT(ROW()-$C$72))"),"")</f>
        <v/>
      </c>
      <c r="P1140" s="61" t="str">
        <f>IFERROR(__xludf.DUMMYFUNCTION("INDIRECT(""'收支紀錄'!P""&amp;TO_TEXT(ROW()-$C$72))"),"")</f>
        <v/>
      </c>
      <c r="Q1140" s="61" t="str">
        <f>IFERROR(__xludf.DUMMYFUNCTION("INDIRECT(""'收支紀錄'!Q""&amp;TO_TEXT(ROW()-$C$72))"),"")</f>
        <v/>
      </c>
      <c r="R1140" s="61" t="str">
        <f>IFERROR(__xludf.DUMMYFUNCTION("INDIRECT(""'收支紀錄'!R""&amp;TO_TEXT(ROW()-$C$72))"),"")</f>
        <v/>
      </c>
      <c r="S1140" s="61" t="str">
        <f>IFERROR(__xludf.DUMMYFUNCTION("INDIRECT(""'收支紀錄'!S""&amp;TO_TEXT(ROW()-$C$72))"),"")</f>
        <v/>
      </c>
      <c r="T1140" s="61" t="str">
        <f>IFERROR(__xludf.DUMMYFUNCTION("INDIRECT(""'收支紀錄'!T""&amp;TO_TEXT(ROW()-$C$72))"),"")</f>
        <v/>
      </c>
      <c r="U1140" s="62" t="str">
        <f>IFERROR(__xludf.DUMMYFUNCTION("IF(T1140=""是"",TEXTJOIN("""", TRUE, ""$"", TO_TEXT(C1140), S1140),"""")"),"")</f>
        <v/>
      </c>
    </row>
    <row r="1141">
      <c r="A1141" s="58">
        <f>IFERROR(__xludf.DUMMYFUNCTION("INDIRECT(""'收支紀錄'!A""&amp;TO_TEXT(ROW()-$C$72))"),45912.86412752315)</f>
        <v>45912.86413</v>
      </c>
      <c r="B1141" s="59">
        <f>IFERROR(__xludf.DUMMYFUNCTION("IF(ISBLANK(D1141), """", IF(ISDATE(D1141), D1141, IF(D1141=""今天"", A1141, IF(D1141=""昨天 (-1 day)"", A1141-1, IF(D1141=""前天 (-2 days)"", A1141-2, IF(D1141=""明天 (+1 day)"", A1141+1, DATE(LEFT(D1141,4), MID(D1141,5,2), RIGHT(D1141,2))))))))"),45912.86412752315)</f>
        <v>45912.86413</v>
      </c>
      <c r="C1141" s="60">
        <f>IFERROR(__xludf.DUMMYFUNCTION("INDIRECT(""'收支紀錄'!C""&amp;TO_TEXT(ROW()-$C$72))"),337.0)</f>
        <v>337</v>
      </c>
      <c r="D1141" s="63" t="str">
        <f>IFERROR(__xludf.DUMMYFUNCTION("INDIRECT(""'收支紀錄'!D""&amp;TO_TEXT(ROW()-$C$72))"),"今天")</f>
        <v>今天</v>
      </c>
      <c r="E1141" s="61" t="str">
        <f>IFERROR(__xludf.DUMMYFUNCTION("INDIRECT(""'收支紀錄'!E""&amp;TO_TEXT(ROW()-$C$72))"),"")</f>
        <v/>
      </c>
      <c r="F1141" s="61" t="str">
        <f>IFERROR(__xludf.DUMMYFUNCTION("INDIRECT(""'收支紀錄'!F""&amp;TO_TEXT(ROW()-$C$72))"),"")</f>
        <v/>
      </c>
      <c r="G1141" s="61" t="str">
        <f>IFERROR(__xludf.DUMMYFUNCTION("INDIRECT(""'收支紀錄'!G""&amp;TO_TEXT(ROW()-$C$72))"),"")</f>
        <v/>
      </c>
      <c r="H1141" s="61" t="str">
        <f>IFERROR(__xludf.DUMMYFUNCTION("INDIRECT(""'收支紀錄'!H""&amp;TO_TEXT(ROW()-$C$72))"),"食品酒水")</f>
        <v>食品酒水</v>
      </c>
      <c r="I1141" s="61" t="str">
        <f>IFERROR(__xludf.DUMMYFUNCTION("INDIRECT(""'收支紀錄'!I""&amp;TO_TEXT(ROW()-$C$72))"),"晚餐")</f>
        <v>晚餐</v>
      </c>
      <c r="J1141" s="61" t="str">
        <f>IFERROR(__xludf.DUMMYFUNCTION("INDIRECT(""'收支紀錄'!J""&amp;TO_TEXT(ROW()-$C$72))"),"")</f>
        <v/>
      </c>
      <c r="K1141" s="61" t="str">
        <f>IFERROR(__xludf.DUMMYFUNCTION("INDIRECT(""'收支紀錄'!K""&amp;TO_TEXT(ROW()-$C$72))"),"")</f>
        <v/>
      </c>
      <c r="L1141" s="61" t="str">
        <f>IFERROR(__xludf.DUMMYFUNCTION("INDIRECT(""'收支紀錄'!L""&amp;TO_TEXT(ROW()-$C$72))"),"")</f>
        <v/>
      </c>
      <c r="M1141" s="61" t="str">
        <f>IFERROR(__xludf.DUMMYFUNCTION("INDIRECT(""'收支紀錄'!M""&amp;TO_TEXT(ROW()-$C$72))"),"")</f>
        <v/>
      </c>
      <c r="N1141" s="61" t="str">
        <f>IFERROR(__xludf.DUMMYFUNCTION("INDIRECT(""'收支紀錄'!N""&amp;TO_TEXT(ROW()-$C$72))"),"")</f>
        <v/>
      </c>
      <c r="O1141" s="61" t="str">
        <f>IFERROR(__xludf.DUMMYFUNCTION("INDIRECT(""'收支紀錄'!O""&amp;TO_TEXT(ROW()-$C$72))"),"")</f>
        <v/>
      </c>
      <c r="P1141" s="61" t="str">
        <f>IFERROR(__xludf.DUMMYFUNCTION("INDIRECT(""'收支紀錄'!P""&amp;TO_TEXT(ROW()-$C$72))"),"")</f>
        <v/>
      </c>
      <c r="Q1141" s="61" t="str">
        <f>IFERROR(__xludf.DUMMYFUNCTION("INDIRECT(""'收支紀錄'!Q""&amp;TO_TEXT(ROW()-$C$72))"),"")</f>
        <v/>
      </c>
      <c r="R1141" s="61" t="str">
        <f>IFERROR(__xludf.DUMMYFUNCTION("INDIRECT(""'收支紀錄'!R""&amp;TO_TEXT(ROW()-$C$72))"),"")</f>
        <v/>
      </c>
      <c r="S1141" s="61" t="str">
        <f>IFERROR(__xludf.DUMMYFUNCTION("INDIRECT(""'收支紀錄'!S""&amp;TO_TEXT(ROW()-$C$72))"),"")</f>
        <v/>
      </c>
      <c r="T1141" s="61" t="str">
        <f>IFERROR(__xludf.DUMMYFUNCTION("INDIRECT(""'收支紀錄'!T""&amp;TO_TEXT(ROW()-$C$72))"),"")</f>
        <v/>
      </c>
      <c r="U1141" s="62" t="str">
        <f>IFERROR(__xludf.DUMMYFUNCTION("IF(T1141=""是"",TEXTJOIN("""", TRUE, ""$"", TO_TEXT(C1141), S1141),"""")"),"")</f>
        <v/>
      </c>
    </row>
    <row r="1142">
      <c r="A1142" s="58">
        <f>IFERROR(__xludf.DUMMYFUNCTION("INDIRECT(""'收支紀錄'!A""&amp;TO_TEXT(ROW()-$C$72))"),45912.86439986111)</f>
        <v>45912.8644</v>
      </c>
      <c r="B1142" s="59">
        <f>IFERROR(__xludf.DUMMYFUNCTION("IF(ISBLANK(D1142), """", IF(ISDATE(D1142), D1142, IF(D1142=""今天"", A1142, IF(D1142=""昨天 (-1 day)"", A1142-1, IF(D1142=""前天 (-2 days)"", A1142-2, IF(D1142=""明天 (+1 day)"", A1142+1, DATE(LEFT(D1142,4), MID(D1142,5,2), RIGHT(D1142,2))))))))"),45912.86439986111)</f>
        <v>45912.8644</v>
      </c>
      <c r="C1142" s="60">
        <f>IFERROR(__xludf.DUMMYFUNCTION("INDIRECT(""'收支紀錄'!C""&amp;TO_TEXT(ROW()-$C$72))"),669.0)</f>
        <v>669</v>
      </c>
      <c r="D1142" s="63" t="str">
        <f>IFERROR(__xludf.DUMMYFUNCTION("INDIRECT(""'收支紀錄'!D""&amp;TO_TEXT(ROW()-$C$72))"),"今天")</f>
        <v>今天</v>
      </c>
      <c r="E1142" s="61" t="str">
        <f>IFERROR(__xludf.DUMMYFUNCTION("INDIRECT(""'收支紀錄'!E""&amp;TO_TEXT(ROW()-$C$72))"),"")</f>
        <v/>
      </c>
      <c r="F1142" s="61" t="str">
        <f>IFERROR(__xludf.DUMMYFUNCTION("INDIRECT(""'收支紀錄'!F""&amp;TO_TEXT(ROW()-$C$72))"),"")</f>
        <v/>
      </c>
      <c r="G1142" s="61" t="str">
        <f>IFERROR(__xludf.DUMMYFUNCTION("INDIRECT(""'收支紀錄'!G""&amp;TO_TEXT(ROW()-$C$72))"),"")</f>
        <v/>
      </c>
      <c r="H1142" s="61" t="str">
        <f>IFERROR(__xludf.DUMMYFUNCTION("INDIRECT(""'收支紀錄'!H""&amp;TO_TEXT(ROW()-$C$72))"),"行車交通")</f>
        <v>行車交通</v>
      </c>
      <c r="I1142" s="61" t="str">
        <f>IFERROR(__xludf.DUMMYFUNCTION("INDIRECT(""'收支紀錄'!I""&amp;TO_TEXT(ROW()-$C$72))"),"")</f>
        <v/>
      </c>
      <c r="J1142" s="61" t="str">
        <f>IFERROR(__xludf.DUMMYFUNCTION("INDIRECT(""'收支紀錄'!J""&amp;TO_TEXT(ROW()-$C$72))"),"")</f>
        <v/>
      </c>
      <c r="K1142" s="61" t="str">
        <f>IFERROR(__xludf.DUMMYFUNCTION("INDIRECT(""'收支紀錄'!K""&amp;TO_TEXT(ROW()-$C$72))"),"")</f>
        <v/>
      </c>
      <c r="L1142" s="61" t="str">
        <f>IFERROR(__xludf.DUMMYFUNCTION("INDIRECT(""'收支紀錄'!L""&amp;TO_TEXT(ROW()-$C$72))"),"捷運費")</f>
        <v>捷運費</v>
      </c>
      <c r="M1142" s="61" t="str">
        <f>IFERROR(__xludf.DUMMYFUNCTION("INDIRECT(""'收支紀錄'!M""&amp;TO_TEXT(ROW()-$C$72))"),"")</f>
        <v/>
      </c>
      <c r="N1142" s="61" t="str">
        <f>IFERROR(__xludf.DUMMYFUNCTION("INDIRECT(""'收支紀錄'!N""&amp;TO_TEXT(ROW()-$C$72))"),"")</f>
        <v/>
      </c>
      <c r="O1142" s="61" t="str">
        <f>IFERROR(__xludf.DUMMYFUNCTION("INDIRECT(""'收支紀錄'!O""&amp;TO_TEXT(ROW()-$C$72))"),"")</f>
        <v/>
      </c>
      <c r="P1142" s="61" t="str">
        <f>IFERROR(__xludf.DUMMYFUNCTION("INDIRECT(""'收支紀錄'!P""&amp;TO_TEXT(ROW()-$C$72))"),"")</f>
        <v/>
      </c>
      <c r="Q1142" s="61" t="str">
        <f>IFERROR(__xludf.DUMMYFUNCTION("INDIRECT(""'收支紀錄'!Q""&amp;TO_TEXT(ROW()-$C$72))"),"")</f>
        <v/>
      </c>
      <c r="R1142" s="61" t="str">
        <f>IFERROR(__xludf.DUMMYFUNCTION("INDIRECT(""'收支紀錄'!R""&amp;TO_TEXT(ROW()-$C$72))"),"")</f>
        <v/>
      </c>
      <c r="S1142" s="61" t="str">
        <f>IFERROR(__xludf.DUMMYFUNCTION("INDIRECT(""'收支紀錄'!S""&amp;TO_TEXT(ROW()-$C$72))"),"")</f>
        <v/>
      </c>
      <c r="T1142" s="61" t="str">
        <f>IFERROR(__xludf.DUMMYFUNCTION("INDIRECT(""'收支紀錄'!T""&amp;TO_TEXT(ROW()-$C$72))"),"")</f>
        <v/>
      </c>
      <c r="U1142" s="62" t="str">
        <f>IFERROR(__xludf.DUMMYFUNCTION("IF(T1142=""是"",TEXTJOIN("""", TRUE, ""$"", TO_TEXT(C1142), S1142),"""")"),"")</f>
        <v/>
      </c>
    </row>
    <row r="1143">
      <c r="A1143" s="58">
        <f>IFERROR(__xludf.DUMMYFUNCTION("INDIRECT(""'收支紀錄'!A""&amp;TO_TEXT(ROW()-$C$72))"),45912.864611157405)</f>
        <v>45912.86461</v>
      </c>
      <c r="B1143" s="59">
        <f>IFERROR(__xludf.DUMMYFUNCTION("IF(ISBLANK(D1143), """", IF(ISDATE(D1143), D1143, IF(D1143=""今天"", A1143, IF(D1143=""昨天 (-1 day)"", A1143-1, IF(D1143=""前天 (-2 days)"", A1143-2, IF(D1143=""明天 (+1 day)"", A1143+1, DATE(LEFT(D1143,4), MID(D1143,5,2), RIGHT(D1143,2))))))))"),45912.864611157405)</f>
        <v>45912.86461</v>
      </c>
      <c r="C1143" s="60">
        <f>IFERROR(__xludf.DUMMYFUNCTION("INDIRECT(""'收支紀錄'!C""&amp;TO_TEXT(ROW()-$C$72))"),7802.0)</f>
        <v>7802</v>
      </c>
      <c r="D1143" s="63" t="str">
        <f>IFERROR(__xludf.DUMMYFUNCTION("INDIRECT(""'收支紀錄'!D""&amp;TO_TEXT(ROW()-$C$72))"),"今天")</f>
        <v>今天</v>
      </c>
      <c r="E1143" s="61" t="str">
        <f>IFERROR(__xludf.DUMMYFUNCTION("INDIRECT(""'收支紀錄'!E""&amp;TO_TEXT(ROW()-$C$72))"),"")</f>
        <v/>
      </c>
      <c r="F1143" s="61" t="str">
        <f>IFERROR(__xludf.DUMMYFUNCTION("INDIRECT(""'收支紀錄'!F""&amp;TO_TEXT(ROW()-$C$72))"),"")</f>
        <v/>
      </c>
      <c r="G1143" s="61" t="str">
        <f>IFERROR(__xludf.DUMMYFUNCTION("INDIRECT(""'收支紀錄'!G""&amp;TO_TEXT(ROW()-$C$72))"),"")</f>
        <v/>
      </c>
      <c r="H1143" s="61" t="str">
        <f>IFERROR(__xludf.DUMMYFUNCTION("INDIRECT(""'收支紀錄'!H""&amp;TO_TEXT(ROW()-$C$72))"),"房屋支出")</f>
        <v>房屋支出</v>
      </c>
      <c r="I1143" s="61" t="str">
        <f>IFERROR(__xludf.DUMMYFUNCTION("INDIRECT(""'收支紀錄'!I""&amp;TO_TEXT(ROW()-$C$72))"),"")</f>
        <v/>
      </c>
      <c r="J1143" s="61" t="str">
        <f>IFERROR(__xludf.DUMMYFUNCTION("INDIRECT(""'收支紀錄'!J""&amp;TO_TEXT(ROW()-$C$72))"),"")</f>
        <v/>
      </c>
      <c r="K1143" s="61" t="str">
        <f>IFERROR(__xludf.DUMMYFUNCTION("INDIRECT(""'收支紀錄'!K""&amp;TO_TEXT(ROW()-$C$72))"),"管理費")</f>
        <v>管理費</v>
      </c>
      <c r="L1143" s="61" t="str">
        <f>IFERROR(__xludf.DUMMYFUNCTION("INDIRECT(""'收支紀錄'!L""&amp;TO_TEXT(ROW()-$C$72))"),"")</f>
        <v/>
      </c>
      <c r="M1143" s="61" t="str">
        <f>IFERROR(__xludf.DUMMYFUNCTION("INDIRECT(""'收支紀錄'!M""&amp;TO_TEXT(ROW()-$C$72))"),"")</f>
        <v/>
      </c>
      <c r="N1143" s="61" t="str">
        <f>IFERROR(__xludf.DUMMYFUNCTION("INDIRECT(""'收支紀錄'!N""&amp;TO_TEXT(ROW()-$C$72))"),"")</f>
        <v/>
      </c>
      <c r="O1143" s="61" t="str">
        <f>IFERROR(__xludf.DUMMYFUNCTION("INDIRECT(""'收支紀錄'!O""&amp;TO_TEXT(ROW()-$C$72))"),"")</f>
        <v/>
      </c>
      <c r="P1143" s="61" t="str">
        <f>IFERROR(__xludf.DUMMYFUNCTION("INDIRECT(""'收支紀錄'!P""&amp;TO_TEXT(ROW()-$C$72))"),"")</f>
        <v/>
      </c>
      <c r="Q1143" s="61" t="str">
        <f>IFERROR(__xludf.DUMMYFUNCTION("INDIRECT(""'收支紀錄'!Q""&amp;TO_TEXT(ROW()-$C$72))"),"")</f>
        <v/>
      </c>
      <c r="R1143" s="61" t="str">
        <f>IFERROR(__xludf.DUMMYFUNCTION("INDIRECT(""'收支紀錄'!R""&amp;TO_TEXT(ROW()-$C$72))"),"")</f>
        <v/>
      </c>
      <c r="S1143" s="61" t="str">
        <f>IFERROR(__xludf.DUMMYFUNCTION("INDIRECT(""'收支紀錄'!S""&amp;TO_TEXT(ROW()-$C$72))"),"")</f>
        <v/>
      </c>
      <c r="T1143" s="61" t="str">
        <f>IFERROR(__xludf.DUMMYFUNCTION("INDIRECT(""'收支紀錄'!T""&amp;TO_TEXT(ROW()-$C$72))"),"")</f>
        <v/>
      </c>
      <c r="U1143" s="62" t="str">
        <f>IFERROR(__xludf.DUMMYFUNCTION("IF(T1143=""是"",TEXTJOIN("""", TRUE, ""$"", TO_TEXT(C1143), S1143),"""")"),"")</f>
        <v/>
      </c>
    </row>
    <row r="1144">
      <c r="A1144" s="58">
        <f>IFERROR(__xludf.DUMMYFUNCTION("INDIRECT(""'收支紀錄'!A""&amp;TO_TEXT(ROW()-$C$72))"),45913.396830694444)</f>
        <v>45913.39683</v>
      </c>
      <c r="B1144" s="59">
        <f>IFERROR(__xludf.DUMMYFUNCTION("IF(ISBLANK(D1144), """", IF(ISDATE(D1144), D1144, IF(D1144=""今天"", A1144, IF(D1144=""昨天 (-1 day)"", A1144-1, IF(D1144=""前天 (-2 days)"", A1144-2, IF(D1144=""明天 (+1 day)"", A1144+1, DATE(LEFT(D1144,4), MID(D1144,5,2), RIGHT(D1144,2))))))))"),45913.396830694444)</f>
        <v>45913.39683</v>
      </c>
      <c r="C1144" s="60">
        <f>IFERROR(__xludf.DUMMYFUNCTION("INDIRECT(""'收支紀錄'!C""&amp;TO_TEXT(ROW()-$C$72))"),765.0)</f>
        <v>765</v>
      </c>
      <c r="D1144" s="63" t="str">
        <f>IFERROR(__xludf.DUMMYFUNCTION("INDIRECT(""'收支紀錄'!D""&amp;TO_TEXT(ROW()-$C$72))"),"今天")</f>
        <v>今天</v>
      </c>
      <c r="E1144" s="61" t="str">
        <f>IFERROR(__xludf.DUMMYFUNCTION("INDIRECT(""'收支紀錄'!E""&amp;TO_TEXT(ROW()-$C$72))"),"")</f>
        <v/>
      </c>
      <c r="F1144" s="61" t="str">
        <f>IFERROR(__xludf.DUMMYFUNCTION("INDIRECT(""'收支紀錄'!F""&amp;TO_TEXT(ROW()-$C$72))"),"")</f>
        <v/>
      </c>
      <c r="G1144" s="61" t="str">
        <f>IFERROR(__xludf.DUMMYFUNCTION("INDIRECT(""'收支紀錄'!G""&amp;TO_TEXT(ROW()-$C$72))"),"")</f>
        <v/>
      </c>
      <c r="H1144" s="61" t="str">
        <f>IFERROR(__xludf.DUMMYFUNCTION("INDIRECT(""'收支紀錄'!H""&amp;TO_TEXT(ROW()-$C$72))"),"行車交通")</f>
        <v>行車交通</v>
      </c>
      <c r="I1144" s="61" t="str">
        <f>IFERROR(__xludf.DUMMYFUNCTION("INDIRECT(""'收支紀錄'!I""&amp;TO_TEXT(ROW()-$C$72))"),"")</f>
        <v/>
      </c>
      <c r="J1144" s="61" t="str">
        <f>IFERROR(__xludf.DUMMYFUNCTION("INDIRECT(""'收支紀錄'!J""&amp;TO_TEXT(ROW()-$C$72))"),"")</f>
        <v/>
      </c>
      <c r="K1144" s="61" t="str">
        <f>IFERROR(__xludf.DUMMYFUNCTION("INDIRECT(""'收支紀錄'!K""&amp;TO_TEXT(ROW()-$C$72))"),"")</f>
        <v/>
      </c>
      <c r="L1144" s="61" t="str">
        <f>IFERROR(__xludf.DUMMYFUNCTION("INDIRECT(""'收支紀錄'!L""&amp;TO_TEXT(ROW()-$C$72))"),"高鐵")</f>
        <v>高鐵</v>
      </c>
      <c r="M1144" s="61" t="str">
        <f>IFERROR(__xludf.DUMMYFUNCTION("INDIRECT(""'收支紀錄'!M""&amp;TO_TEXT(ROW()-$C$72))"),"")</f>
        <v/>
      </c>
      <c r="N1144" s="61" t="str">
        <f>IFERROR(__xludf.DUMMYFUNCTION("INDIRECT(""'收支紀錄'!N""&amp;TO_TEXT(ROW()-$C$72))"),"")</f>
        <v/>
      </c>
      <c r="O1144" s="61" t="str">
        <f>IFERROR(__xludf.DUMMYFUNCTION("INDIRECT(""'收支紀錄'!O""&amp;TO_TEXT(ROW()-$C$72))"),"")</f>
        <v/>
      </c>
      <c r="P1144" s="61" t="str">
        <f>IFERROR(__xludf.DUMMYFUNCTION("INDIRECT(""'收支紀錄'!P""&amp;TO_TEXT(ROW()-$C$72))"),"")</f>
        <v/>
      </c>
      <c r="Q1144" s="61" t="str">
        <f>IFERROR(__xludf.DUMMYFUNCTION("INDIRECT(""'收支紀錄'!Q""&amp;TO_TEXT(ROW()-$C$72))"),"")</f>
        <v/>
      </c>
      <c r="R1144" s="61" t="str">
        <f>IFERROR(__xludf.DUMMYFUNCTION("INDIRECT(""'收支紀錄'!R""&amp;TO_TEXT(ROW()-$C$72))"),"")</f>
        <v/>
      </c>
      <c r="S1144" s="61" t="str">
        <f>IFERROR(__xludf.DUMMYFUNCTION("INDIRECT(""'收支紀錄'!S""&amp;TO_TEXT(ROW()-$C$72))"),"")</f>
        <v/>
      </c>
      <c r="T1144" s="61" t="str">
        <f>IFERROR(__xludf.DUMMYFUNCTION("INDIRECT(""'收支紀錄'!T""&amp;TO_TEXT(ROW()-$C$72))"),"")</f>
        <v/>
      </c>
      <c r="U1144" s="62" t="str">
        <f>IFERROR(__xludf.DUMMYFUNCTION("IF(T1144=""是"",TEXTJOIN("""", TRUE, ""$"", TO_TEXT(C1144), S1144),"""")"),"")</f>
        <v/>
      </c>
    </row>
    <row r="1145">
      <c r="A1145" s="58">
        <f>IFERROR(__xludf.DUMMYFUNCTION("INDIRECT(""'收支紀錄'!A""&amp;TO_TEXT(ROW()-$C$72))"),45913.8238240625)</f>
        <v>45913.82382</v>
      </c>
      <c r="B1145" s="59">
        <f>IFERROR(__xludf.DUMMYFUNCTION("IF(ISBLANK(D1145), """", IF(ISDATE(D1145), D1145, IF(D1145=""今天"", A1145, IF(D1145=""昨天 (-1 day)"", A1145-1, IF(D1145=""前天 (-2 days)"", A1145-2, IF(D1145=""明天 (+1 day)"", A1145+1, DATE(LEFT(D1145,4), MID(D1145,5,2), RIGHT(D1145,2))))))))"),45913.8238240625)</f>
        <v>45913.82382</v>
      </c>
      <c r="C1145" s="60">
        <f>IFERROR(__xludf.DUMMYFUNCTION("INDIRECT(""'收支紀錄'!C""&amp;TO_TEXT(ROW()-$C$72))"),33.0)</f>
        <v>33</v>
      </c>
      <c r="D1145" s="63" t="str">
        <f>IFERROR(__xludf.DUMMYFUNCTION("INDIRECT(""'收支紀錄'!D""&amp;TO_TEXT(ROW()-$C$72))"),"今天")</f>
        <v>今天</v>
      </c>
      <c r="E1145" s="61" t="str">
        <f>IFERROR(__xludf.DUMMYFUNCTION("INDIRECT(""'收支紀錄'!E""&amp;TO_TEXT(ROW()-$C$72))"),"")</f>
        <v/>
      </c>
      <c r="F1145" s="61" t="str">
        <f>IFERROR(__xludf.DUMMYFUNCTION("INDIRECT(""'收支紀錄'!F""&amp;TO_TEXT(ROW()-$C$72))"),"")</f>
        <v/>
      </c>
      <c r="G1145" s="61" t="str">
        <f>IFERROR(__xludf.DUMMYFUNCTION("INDIRECT(""'收支紀錄'!G""&amp;TO_TEXT(ROW()-$C$72))"),"")</f>
        <v/>
      </c>
      <c r="H1145" s="61" t="str">
        <f>IFERROR(__xludf.DUMMYFUNCTION("INDIRECT(""'收支紀錄'!H""&amp;TO_TEXT(ROW()-$C$72))"),"行車交通")</f>
        <v>行車交通</v>
      </c>
      <c r="I1145" s="61" t="str">
        <f>IFERROR(__xludf.DUMMYFUNCTION("INDIRECT(""'收支紀錄'!I""&amp;TO_TEXT(ROW()-$C$72))"),"")</f>
        <v/>
      </c>
      <c r="J1145" s="61" t="str">
        <f>IFERROR(__xludf.DUMMYFUNCTION("INDIRECT(""'收支紀錄'!J""&amp;TO_TEXT(ROW()-$C$72))"),"")</f>
        <v/>
      </c>
      <c r="K1145" s="61" t="str">
        <f>IFERROR(__xludf.DUMMYFUNCTION("INDIRECT(""'收支紀錄'!K""&amp;TO_TEXT(ROW()-$C$72))"),"")</f>
        <v/>
      </c>
      <c r="L1145" s="61" t="str">
        <f>IFERROR(__xludf.DUMMYFUNCTION("INDIRECT(""'收支紀錄'!L""&amp;TO_TEXT(ROW()-$C$72))"),"租車")</f>
        <v>租車</v>
      </c>
      <c r="M1145" s="61" t="str">
        <f>IFERROR(__xludf.DUMMYFUNCTION("INDIRECT(""'收支紀錄'!M""&amp;TO_TEXT(ROW()-$C$72))"),"")</f>
        <v/>
      </c>
      <c r="N1145" s="61" t="str">
        <f>IFERROR(__xludf.DUMMYFUNCTION("INDIRECT(""'收支紀錄'!N""&amp;TO_TEXT(ROW()-$C$72))"),"")</f>
        <v/>
      </c>
      <c r="O1145" s="61" t="str">
        <f>IFERROR(__xludf.DUMMYFUNCTION("INDIRECT(""'收支紀錄'!O""&amp;TO_TEXT(ROW()-$C$72))"),"")</f>
        <v/>
      </c>
      <c r="P1145" s="61" t="str">
        <f>IFERROR(__xludf.DUMMYFUNCTION("INDIRECT(""'收支紀錄'!P""&amp;TO_TEXT(ROW()-$C$72))"),"")</f>
        <v/>
      </c>
      <c r="Q1145" s="61" t="str">
        <f>IFERROR(__xludf.DUMMYFUNCTION("INDIRECT(""'收支紀錄'!Q""&amp;TO_TEXT(ROW()-$C$72))"),"")</f>
        <v/>
      </c>
      <c r="R1145" s="61" t="str">
        <f>IFERROR(__xludf.DUMMYFUNCTION("INDIRECT(""'收支紀錄'!R""&amp;TO_TEXT(ROW()-$C$72))"),"")</f>
        <v/>
      </c>
      <c r="S1145" s="61" t="str">
        <f>IFERROR(__xludf.DUMMYFUNCTION("INDIRECT(""'收支紀錄'!S""&amp;TO_TEXT(ROW()-$C$72))"),"")</f>
        <v/>
      </c>
      <c r="T1145" s="61" t="str">
        <f>IFERROR(__xludf.DUMMYFUNCTION("INDIRECT(""'收支紀錄'!T""&amp;TO_TEXT(ROW()-$C$72))"),"")</f>
        <v/>
      </c>
      <c r="U1145" s="62" t="str">
        <f>IFERROR(__xludf.DUMMYFUNCTION("IF(T1145=""是"",TEXTJOIN("""", TRUE, ""$"", TO_TEXT(C1145), S1145),"""")"),"")</f>
        <v/>
      </c>
    </row>
    <row r="1146">
      <c r="A1146" s="58">
        <f>IFERROR(__xludf.DUMMYFUNCTION("INDIRECT(""'收支紀錄'!A""&amp;TO_TEXT(ROW()-$C$72))"),45914.058971990744)</f>
        <v>45914.05897</v>
      </c>
      <c r="B1146" s="59">
        <f>IFERROR(__xludf.DUMMYFUNCTION("IF(ISBLANK(D1146), """", IF(ISDATE(D1146), D1146, IF(D1146=""今天"", A1146, IF(D1146=""昨天 (-1 day)"", A1146-1, IF(D1146=""前天 (-2 days)"", A1146-2, IF(D1146=""明天 (+1 day)"", A1146+1, DATE(LEFT(D1146,4), MID(D1146,5,2), RIGHT(D1146,2))))))))"),45913.058971990744)</f>
        <v>45913.05897</v>
      </c>
      <c r="C1146" s="60">
        <f>IFERROR(__xludf.DUMMYFUNCTION("INDIRECT(""'收支紀錄'!C""&amp;TO_TEXT(ROW()-$C$72))"),800.0)</f>
        <v>800</v>
      </c>
      <c r="D1146" s="63" t="str">
        <f>IFERROR(__xludf.DUMMYFUNCTION("INDIRECT(""'收支紀錄'!D""&amp;TO_TEXT(ROW()-$C$72))"),"昨天 (-1 day)")</f>
        <v>昨天 (-1 day)</v>
      </c>
      <c r="E1146" s="61" t="str">
        <f>IFERROR(__xludf.DUMMYFUNCTION("INDIRECT(""'收支紀錄'!E""&amp;TO_TEXT(ROW()-$C$72))"),"")</f>
        <v/>
      </c>
      <c r="F1146" s="61" t="str">
        <f>IFERROR(__xludf.DUMMYFUNCTION("INDIRECT(""'收支紀錄'!F""&amp;TO_TEXT(ROW()-$C$72))"),"")</f>
        <v/>
      </c>
      <c r="G1146" s="61" t="str">
        <f>IFERROR(__xludf.DUMMYFUNCTION("INDIRECT(""'收支紀錄'!G""&amp;TO_TEXT(ROW()-$C$72))"),"")</f>
        <v/>
      </c>
      <c r="H1146" s="61" t="str">
        <f>IFERROR(__xludf.DUMMYFUNCTION("INDIRECT(""'收支紀錄'!H""&amp;TO_TEXT(ROW()-$C$72))"),"食品酒水")</f>
        <v>食品酒水</v>
      </c>
      <c r="I1146" s="61" t="str">
        <f>IFERROR(__xludf.DUMMYFUNCTION("INDIRECT(""'收支紀錄'!I""&amp;TO_TEXT(ROW()-$C$72))"),"宵夜")</f>
        <v>宵夜</v>
      </c>
      <c r="J1146" s="61" t="str">
        <f>IFERROR(__xludf.DUMMYFUNCTION("INDIRECT(""'收支紀錄'!J""&amp;TO_TEXT(ROW()-$C$72))"),"")</f>
        <v/>
      </c>
      <c r="K1146" s="61" t="str">
        <f>IFERROR(__xludf.DUMMYFUNCTION("INDIRECT(""'收支紀錄'!K""&amp;TO_TEXT(ROW()-$C$72))"),"")</f>
        <v/>
      </c>
      <c r="L1146" s="61" t="str">
        <f>IFERROR(__xludf.DUMMYFUNCTION("INDIRECT(""'收支紀錄'!L""&amp;TO_TEXT(ROW()-$C$72))"),"")</f>
        <v/>
      </c>
      <c r="M1146" s="61" t="str">
        <f>IFERROR(__xludf.DUMMYFUNCTION("INDIRECT(""'收支紀錄'!M""&amp;TO_TEXT(ROW()-$C$72))"),"")</f>
        <v/>
      </c>
      <c r="N1146" s="61" t="str">
        <f>IFERROR(__xludf.DUMMYFUNCTION("INDIRECT(""'收支紀錄'!N""&amp;TO_TEXT(ROW()-$C$72))"),"")</f>
        <v/>
      </c>
      <c r="O1146" s="61" t="str">
        <f>IFERROR(__xludf.DUMMYFUNCTION("INDIRECT(""'收支紀錄'!O""&amp;TO_TEXT(ROW()-$C$72))"),"")</f>
        <v/>
      </c>
      <c r="P1146" s="61" t="str">
        <f>IFERROR(__xludf.DUMMYFUNCTION("INDIRECT(""'收支紀錄'!P""&amp;TO_TEXT(ROW()-$C$72))"),"")</f>
        <v/>
      </c>
      <c r="Q1146" s="61" t="str">
        <f>IFERROR(__xludf.DUMMYFUNCTION("INDIRECT(""'收支紀錄'!Q""&amp;TO_TEXT(ROW()-$C$72))"),"")</f>
        <v/>
      </c>
      <c r="R1146" s="61" t="str">
        <f>IFERROR(__xludf.DUMMYFUNCTION("INDIRECT(""'收支紀錄'!R""&amp;TO_TEXT(ROW()-$C$72))"),"")</f>
        <v/>
      </c>
      <c r="S1146" s="61" t="str">
        <f>IFERROR(__xludf.DUMMYFUNCTION("INDIRECT(""'收支紀錄'!S""&amp;TO_TEXT(ROW()-$C$72))"),"")</f>
        <v/>
      </c>
      <c r="T1146" s="61" t="str">
        <f>IFERROR(__xludf.DUMMYFUNCTION("INDIRECT(""'收支紀錄'!T""&amp;TO_TEXT(ROW()-$C$72))"),"")</f>
        <v/>
      </c>
      <c r="U1146" s="62" t="str">
        <f>IFERROR(__xludf.DUMMYFUNCTION("IF(T1146=""是"",TEXTJOIN("""", TRUE, ""$"", TO_TEXT(C1146), S1146),"""")"),"")</f>
        <v/>
      </c>
    </row>
    <row r="1147">
      <c r="A1147" s="58">
        <f>IFERROR(__xludf.DUMMYFUNCTION("INDIRECT(""'收支紀錄'!A""&amp;TO_TEXT(ROW()-$C$72))"),45915.29268429398)</f>
        <v>45915.29268</v>
      </c>
      <c r="B1147" s="59">
        <f>IFERROR(__xludf.DUMMYFUNCTION("IF(ISBLANK(D1147), """", IF(ISDATE(D1147), D1147, IF(D1147=""今天"", A1147, IF(D1147=""昨天 (-1 day)"", A1147-1, IF(D1147=""前天 (-2 days)"", A1147-2, IF(D1147=""明天 (+1 day)"", A1147+1, DATE(LEFT(D1147,4), MID(D1147,5,2), RIGHT(D1147,2))))))))"),45915.29268429398)</f>
        <v>45915.29268</v>
      </c>
      <c r="C1147" s="60">
        <f>IFERROR(__xludf.DUMMYFUNCTION("INDIRECT(""'收支紀錄'!C""&amp;TO_TEXT(ROW()-$C$72))"),1025.0)</f>
        <v>1025</v>
      </c>
      <c r="D1147" s="63" t="str">
        <f>IFERROR(__xludf.DUMMYFUNCTION("INDIRECT(""'收支紀錄'!D""&amp;TO_TEXT(ROW()-$C$72))"),"今天")</f>
        <v>今天</v>
      </c>
      <c r="E1147" s="61" t="str">
        <f>IFERROR(__xludf.DUMMYFUNCTION("INDIRECT(""'收支紀錄'!E""&amp;TO_TEXT(ROW()-$C$72))"),"")</f>
        <v/>
      </c>
      <c r="F1147" s="61" t="str">
        <f>IFERROR(__xludf.DUMMYFUNCTION("INDIRECT(""'收支紀錄'!F""&amp;TO_TEXT(ROW()-$C$72))"),"")</f>
        <v/>
      </c>
      <c r="G1147" s="61" t="str">
        <f>IFERROR(__xludf.DUMMYFUNCTION("INDIRECT(""'收支紀錄'!G""&amp;TO_TEXT(ROW()-$C$72))"),"")</f>
        <v/>
      </c>
      <c r="H1147" s="61" t="str">
        <f>IFERROR(__xludf.DUMMYFUNCTION("INDIRECT(""'收支紀錄'!H""&amp;TO_TEXT(ROW()-$C$72))"),"行車交通")</f>
        <v>行車交通</v>
      </c>
      <c r="I1147" s="61" t="str">
        <f>IFERROR(__xludf.DUMMYFUNCTION("INDIRECT(""'收支紀錄'!I""&amp;TO_TEXT(ROW()-$C$72))"),"")</f>
        <v/>
      </c>
      <c r="J1147" s="61" t="str">
        <f>IFERROR(__xludf.DUMMYFUNCTION("INDIRECT(""'收支紀錄'!J""&amp;TO_TEXT(ROW()-$C$72))"),"")</f>
        <v/>
      </c>
      <c r="K1147" s="61" t="str">
        <f>IFERROR(__xludf.DUMMYFUNCTION("INDIRECT(""'收支紀錄'!K""&amp;TO_TEXT(ROW()-$C$72))"),"")</f>
        <v/>
      </c>
      <c r="L1147" s="61" t="str">
        <f>IFERROR(__xludf.DUMMYFUNCTION("INDIRECT(""'收支紀錄'!L""&amp;TO_TEXT(ROW()-$C$72))"),"高鐵")</f>
        <v>高鐵</v>
      </c>
      <c r="M1147" s="61" t="str">
        <f>IFERROR(__xludf.DUMMYFUNCTION("INDIRECT(""'收支紀錄'!M""&amp;TO_TEXT(ROW()-$C$72))"),"")</f>
        <v/>
      </c>
      <c r="N1147" s="61" t="str">
        <f>IFERROR(__xludf.DUMMYFUNCTION("INDIRECT(""'收支紀錄'!N""&amp;TO_TEXT(ROW()-$C$72))"),"")</f>
        <v/>
      </c>
      <c r="O1147" s="61" t="str">
        <f>IFERROR(__xludf.DUMMYFUNCTION("INDIRECT(""'收支紀錄'!O""&amp;TO_TEXT(ROW()-$C$72))"),"")</f>
        <v/>
      </c>
      <c r="P1147" s="61" t="str">
        <f>IFERROR(__xludf.DUMMYFUNCTION("INDIRECT(""'收支紀錄'!P""&amp;TO_TEXT(ROW()-$C$72))"),"")</f>
        <v/>
      </c>
      <c r="Q1147" s="61" t="str">
        <f>IFERROR(__xludf.DUMMYFUNCTION("INDIRECT(""'收支紀錄'!Q""&amp;TO_TEXT(ROW()-$C$72))"),"")</f>
        <v/>
      </c>
      <c r="R1147" s="61" t="str">
        <f>IFERROR(__xludf.DUMMYFUNCTION("INDIRECT(""'收支紀錄'!R""&amp;TO_TEXT(ROW()-$C$72))"),"")</f>
        <v/>
      </c>
      <c r="S1147" s="61" t="str">
        <f>IFERROR(__xludf.DUMMYFUNCTION("INDIRECT(""'收支紀錄'!S""&amp;TO_TEXT(ROW()-$C$72))"),"")</f>
        <v/>
      </c>
      <c r="T1147" s="61" t="str">
        <f>IFERROR(__xludf.DUMMYFUNCTION("INDIRECT(""'收支紀錄'!T""&amp;TO_TEXT(ROW()-$C$72))"),"")</f>
        <v/>
      </c>
      <c r="U1147" s="62" t="str">
        <f>IFERROR(__xludf.DUMMYFUNCTION("IF(T1147=""是"",TEXTJOIN("""", TRUE, ""$"", TO_TEXT(C1147), S1147),"""")"),"")</f>
        <v/>
      </c>
    </row>
    <row r="1148">
      <c r="A1148" s="58">
        <f>IFERROR(__xludf.DUMMYFUNCTION("INDIRECT(""'收支紀錄'!A""&amp;TO_TEXT(ROW()-$C$72))"),45917.55858626157)</f>
        <v>45917.55859</v>
      </c>
      <c r="B1148" s="59">
        <f>IFERROR(__xludf.DUMMYFUNCTION("IF(ISBLANK(D1148), """", IF(ISDATE(D1148), D1148, IF(D1148=""今天"", A1148, IF(D1148=""昨天 (-1 day)"", A1148-1, IF(D1148=""前天 (-2 days)"", A1148-2, IF(D1148=""明天 (+1 day)"", A1148+1, DATE(LEFT(D1148,4), MID(D1148,5,2), RIGHT(D1148,2))))))))"),45916.55858626157)</f>
        <v>45916.55859</v>
      </c>
      <c r="C1148" s="60">
        <f>IFERROR(__xludf.DUMMYFUNCTION("INDIRECT(""'收支紀錄'!C""&amp;TO_TEXT(ROW()-$C$72))"),150.0)</f>
        <v>150</v>
      </c>
      <c r="D1148" s="63" t="str">
        <f>IFERROR(__xludf.DUMMYFUNCTION("INDIRECT(""'收支紀錄'!D""&amp;TO_TEXT(ROW()-$C$72))"),"昨天 (-1 day)")</f>
        <v>昨天 (-1 day)</v>
      </c>
      <c r="E1148" s="61" t="str">
        <f>IFERROR(__xludf.DUMMYFUNCTION("INDIRECT(""'收支紀錄'!E""&amp;TO_TEXT(ROW()-$C$72))"),"")</f>
        <v/>
      </c>
      <c r="F1148" s="61" t="str">
        <f>IFERROR(__xludf.DUMMYFUNCTION("INDIRECT(""'收支紀錄'!F""&amp;TO_TEXT(ROW()-$C$72))"),"")</f>
        <v/>
      </c>
      <c r="G1148" s="61" t="str">
        <f>IFERROR(__xludf.DUMMYFUNCTION("INDIRECT(""'收支紀錄'!G""&amp;TO_TEXT(ROW()-$C$72))"),"")</f>
        <v/>
      </c>
      <c r="H1148" s="61" t="str">
        <f>IFERROR(__xludf.DUMMYFUNCTION("INDIRECT(""'收支紀錄'!H""&amp;TO_TEXT(ROW()-$C$72))"),"醫療費用")</f>
        <v>醫療費用</v>
      </c>
      <c r="I1148" s="61" t="str">
        <f>IFERROR(__xludf.DUMMYFUNCTION("INDIRECT(""'收支紀錄'!I""&amp;TO_TEXT(ROW()-$C$72))"),"")</f>
        <v/>
      </c>
      <c r="J1148" s="61" t="str">
        <f>IFERROR(__xludf.DUMMYFUNCTION("INDIRECT(""'收支紀錄'!J""&amp;TO_TEXT(ROW()-$C$72))"),"")</f>
        <v/>
      </c>
      <c r="K1148" s="61" t="str">
        <f>IFERROR(__xludf.DUMMYFUNCTION("INDIRECT(""'收支紀錄'!K""&amp;TO_TEXT(ROW()-$C$72))"),"")</f>
        <v/>
      </c>
      <c r="L1148" s="61" t="str">
        <f>IFERROR(__xludf.DUMMYFUNCTION("INDIRECT(""'收支紀錄'!L""&amp;TO_TEXT(ROW()-$C$72))"),"")</f>
        <v/>
      </c>
      <c r="M1148" s="61" t="str">
        <f>IFERROR(__xludf.DUMMYFUNCTION("INDIRECT(""'收支紀錄'!M""&amp;TO_TEXT(ROW()-$C$72))"),"")</f>
        <v/>
      </c>
      <c r="N1148" s="61" t="str">
        <f>IFERROR(__xludf.DUMMYFUNCTION("INDIRECT(""'收支紀錄'!N""&amp;TO_TEXT(ROW()-$C$72))"),"")</f>
        <v/>
      </c>
      <c r="O1148" s="61" t="str">
        <f>IFERROR(__xludf.DUMMYFUNCTION("INDIRECT(""'收支紀錄'!O""&amp;TO_TEXT(ROW()-$C$72))"),"生病醫療")</f>
        <v>生病醫療</v>
      </c>
      <c r="P1148" s="61" t="str">
        <f>IFERROR(__xludf.DUMMYFUNCTION("INDIRECT(""'收支紀錄'!P""&amp;TO_TEXT(ROW()-$C$72))"),"")</f>
        <v/>
      </c>
      <c r="Q1148" s="61" t="str">
        <f>IFERROR(__xludf.DUMMYFUNCTION("INDIRECT(""'收支紀錄'!Q""&amp;TO_TEXT(ROW()-$C$72))"),"")</f>
        <v/>
      </c>
      <c r="R1148" s="61" t="str">
        <f>IFERROR(__xludf.DUMMYFUNCTION("INDIRECT(""'收支紀錄'!R""&amp;TO_TEXT(ROW()-$C$72))"),"")</f>
        <v/>
      </c>
      <c r="S1148" s="61" t="str">
        <f>IFERROR(__xludf.DUMMYFUNCTION("INDIRECT(""'收支紀錄'!S""&amp;TO_TEXT(ROW()-$C$72))"),"")</f>
        <v/>
      </c>
      <c r="T1148" s="61" t="str">
        <f>IFERROR(__xludf.DUMMYFUNCTION("INDIRECT(""'收支紀錄'!T""&amp;TO_TEXT(ROW()-$C$72))"),"")</f>
        <v/>
      </c>
      <c r="U1148" s="62" t="str">
        <f>IFERROR(__xludf.DUMMYFUNCTION("IF(T1148=""是"",TEXTJOIN("""", TRUE, ""$"", TO_TEXT(C1148), S1148),"""")"),"")</f>
        <v/>
      </c>
    </row>
    <row r="1149">
      <c r="A1149" s="58">
        <f>IFERROR(__xludf.DUMMYFUNCTION("INDIRECT(""'收支紀錄'!A""&amp;TO_TEXT(ROW()-$C$72))"),45917.55877849537)</f>
        <v>45917.55878</v>
      </c>
      <c r="B1149" s="59">
        <f>IFERROR(__xludf.DUMMYFUNCTION("IF(ISBLANK(D1149), """", IF(ISDATE(D1149), D1149, IF(D1149=""今天"", A1149, IF(D1149=""昨天 (-1 day)"", A1149-1, IF(D1149=""前天 (-2 days)"", A1149-2, IF(D1149=""明天 (+1 day)"", A1149+1, DATE(LEFT(D1149,4), MID(D1149,5,2), RIGHT(D1149,2))))))))"),45915.55877849537)</f>
        <v>45915.55878</v>
      </c>
      <c r="C1149" s="60">
        <f>IFERROR(__xludf.DUMMYFUNCTION("INDIRECT(""'收支紀錄'!C""&amp;TO_TEXT(ROW()-$C$72))"),250.0)</f>
        <v>250</v>
      </c>
      <c r="D1149" s="63" t="str">
        <f>IFERROR(__xludf.DUMMYFUNCTION("INDIRECT(""'收支紀錄'!D""&amp;TO_TEXT(ROW()-$C$72))"),"前天 (-2 days)")</f>
        <v>前天 (-2 days)</v>
      </c>
      <c r="E1149" s="61" t="str">
        <f>IFERROR(__xludf.DUMMYFUNCTION("INDIRECT(""'收支紀錄'!E""&amp;TO_TEXT(ROW()-$C$72))"),"")</f>
        <v/>
      </c>
      <c r="F1149" s="61" t="str">
        <f>IFERROR(__xludf.DUMMYFUNCTION("INDIRECT(""'收支紀錄'!F""&amp;TO_TEXT(ROW()-$C$72))"),"")</f>
        <v/>
      </c>
      <c r="G1149" s="61" t="str">
        <f>IFERROR(__xludf.DUMMYFUNCTION("INDIRECT(""'收支紀錄'!G""&amp;TO_TEXT(ROW()-$C$72))"),"")</f>
        <v/>
      </c>
      <c r="H1149" s="61" t="str">
        <f>IFERROR(__xludf.DUMMYFUNCTION("INDIRECT(""'收支紀錄'!H""&amp;TO_TEXT(ROW()-$C$72))"),"醫療費用")</f>
        <v>醫療費用</v>
      </c>
      <c r="I1149" s="61" t="str">
        <f>IFERROR(__xludf.DUMMYFUNCTION("INDIRECT(""'收支紀錄'!I""&amp;TO_TEXT(ROW()-$C$72))"),"")</f>
        <v/>
      </c>
      <c r="J1149" s="61" t="str">
        <f>IFERROR(__xludf.DUMMYFUNCTION("INDIRECT(""'收支紀錄'!J""&amp;TO_TEXT(ROW()-$C$72))"),"")</f>
        <v/>
      </c>
      <c r="K1149" s="61" t="str">
        <f>IFERROR(__xludf.DUMMYFUNCTION("INDIRECT(""'收支紀錄'!K""&amp;TO_TEXT(ROW()-$C$72))"),"")</f>
        <v/>
      </c>
      <c r="L1149" s="61" t="str">
        <f>IFERROR(__xludf.DUMMYFUNCTION("INDIRECT(""'收支紀錄'!L""&amp;TO_TEXT(ROW()-$C$72))"),"")</f>
        <v/>
      </c>
      <c r="M1149" s="61" t="str">
        <f>IFERROR(__xludf.DUMMYFUNCTION("INDIRECT(""'收支紀錄'!M""&amp;TO_TEXT(ROW()-$C$72))"),"")</f>
        <v/>
      </c>
      <c r="N1149" s="61" t="str">
        <f>IFERROR(__xludf.DUMMYFUNCTION("INDIRECT(""'收支紀錄'!N""&amp;TO_TEXT(ROW()-$C$72))"),"")</f>
        <v/>
      </c>
      <c r="O1149" s="61" t="str">
        <f>IFERROR(__xludf.DUMMYFUNCTION("INDIRECT(""'收支紀錄'!O""&amp;TO_TEXT(ROW()-$C$72))"),"生病醫療")</f>
        <v>生病醫療</v>
      </c>
      <c r="P1149" s="61" t="str">
        <f>IFERROR(__xludf.DUMMYFUNCTION("INDIRECT(""'收支紀錄'!P""&amp;TO_TEXT(ROW()-$C$72))"),"")</f>
        <v/>
      </c>
      <c r="Q1149" s="61" t="str">
        <f>IFERROR(__xludf.DUMMYFUNCTION("INDIRECT(""'收支紀錄'!Q""&amp;TO_TEXT(ROW()-$C$72))"),"")</f>
        <v/>
      </c>
      <c r="R1149" s="61" t="str">
        <f>IFERROR(__xludf.DUMMYFUNCTION("INDIRECT(""'收支紀錄'!R""&amp;TO_TEXT(ROW()-$C$72))"),"")</f>
        <v/>
      </c>
      <c r="S1149" s="61" t="str">
        <f>IFERROR(__xludf.DUMMYFUNCTION("INDIRECT(""'收支紀錄'!S""&amp;TO_TEXT(ROW()-$C$72))"),"")</f>
        <v/>
      </c>
      <c r="T1149" s="61" t="str">
        <f>IFERROR(__xludf.DUMMYFUNCTION("INDIRECT(""'收支紀錄'!T""&amp;TO_TEXT(ROW()-$C$72))"),"否")</f>
        <v>否</v>
      </c>
      <c r="U1149" s="62" t="str">
        <f>IFERROR(__xludf.DUMMYFUNCTION("IF(T1149=""是"",TEXTJOIN("""", TRUE, ""$"", TO_TEXT(C1149), S1149),"""")"),"")</f>
        <v/>
      </c>
    </row>
    <row r="1150">
      <c r="A1150" s="58">
        <f>IFERROR(__xludf.DUMMYFUNCTION("INDIRECT(""'收支紀錄'!A""&amp;TO_TEXT(ROW()-$C$72))"),45917.55896288194)</f>
        <v>45917.55896</v>
      </c>
      <c r="B1150" s="59">
        <f>IFERROR(__xludf.DUMMYFUNCTION("IF(ISBLANK(D1150), """", IF(ISDATE(D1150), D1150, IF(D1150=""今天"", A1150, IF(D1150=""昨天 (-1 day)"", A1150-1, IF(D1150=""前天 (-2 days)"", A1150-2, IF(D1150=""明天 (+1 day)"", A1150+1, DATE(LEFT(D1150,4), MID(D1150,5,2), RIGHT(D1150,2))))))))"),45915.55896288194)</f>
        <v>45915.55896</v>
      </c>
      <c r="C1150" s="60">
        <f>IFERROR(__xludf.DUMMYFUNCTION("INDIRECT(""'收支紀錄'!C""&amp;TO_TEXT(ROW()-$C$72))"),46.0)</f>
        <v>46</v>
      </c>
      <c r="D1150" s="63" t="str">
        <f>IFERROR(__xludf.DUMMYFUNCTION("INDIRECT(""'收支紀錄'!D""&amp;TO_TEXT(ROW()-$C$72))"),"前天 (-2 days)")</f>
        <v>前天 (-2 days)</v>
      </c>
      <c r="E1150" s="61" t="str">
        <f>IFERROR(__xludf.DUMMYFUNCTION("INDIRECT(""'收支紀錄'!E""&amp;TO_TEXT(ROW()-$C$72))"),"")</f>
        <v/>
      </c>
      <c r="F1150" s="61" t="str">
        <f>IFERROR(__xludf.DUMMYFUNCTION("INDIRECT(""'收支紀錄'!F""&amp;TO_TEXT(ROW()-$C$72))"),"")</f>
        <v/>
      </c>
      <c r="G1150" s="61" t="str">
        <f>IFERROR(__xludf.DUMMYFUNCTION("INDIRECT(""'收支紀錄'!G""&amp;TO_TEXT(ROW()-$C$72))"),"")</f>
        <v/>
      </c>
      <c r="H1150" s="61" t="str">
        <f>IFERROR(__xludf.DUMMYFUNCTION("INDIRECT(""'收支紀錄'!H""&amp;TO_TEXT(ROW()-$C$72))"),"食品酒水")</f>
        <v>食品酒水</v>
      </c>
      <c r="I1150" s="61" t="str">
        <f>IFERROR(__xludf.DUMMYFUNCTION("INDIRECT(""'收支紀錄'!I""&amp;TO_TEXT(ROW()-$C$72))"),"飲料酒水")</f>
        <v>飲料酒水</v>
      </c>
      <c r="J1150" s="61" t="str">
        <f>IFERROR(__xludf.DUMMYFUNCTION("INDIRECT(""'收支紀錄'!J""&amp;TO_TEXT(ROW()-$C$72))"),"")</f>
        <v/>
      </c>
      <c r="K1150" s="61" t="str">
        <f>IFERROR(__xludf.DUMMYFUNCTION("INDIRECT(""'收支紀錄'!K""&amp;TO_TEXT(ROW()-$C$72))"),"")</f>
        <v/>
      </c>
      <c r="L1150" s="61" t="str">
        <f>IFERROR(__xludf.DUMMYFUNCTION("INDIRECT(""'收支紀錄'!L""&amp;TO_TEXT(ROW()-$C$72))"),"")</f>
        <v/>
      </c>
      <c r="M1150" s="61" t="str">
        <f>IFERROR(__xludf.DUMMYFUNCTION("INDIRECT(""'收支紀錄'!M""&amp;TO_TEXT(ROW()-$C$72))"),"")</f>
        <v/>
      </c>
      <c r="N1150" s="61" t="str">
        <f>IFERROR(__xludf.DUMMYFUNCTION("INDIRECT(""'收支紀錄'!N""&amp;TO_TEXT(ROW()-$C$72))"),"")</f>
        <v/>
      </c>
      <c r="O1150" s="61" t="str">
        <f>IFERROR(__xludf.DUMMYFUNCTION("INDIRECT(""'收支紀錄'!O""&amp;TO_TEXT(ROW()-$C$72))"),"")</f>
        <v/>
      </c>
      <c r="P1150" s="61" t="str">
        <f>IFERROR(__xludf.DUMMYFUNCTION("INDIRECT(""'收支紀錄'!P""&amp;TO_TEXT(ROW()-$C$72))"),"")</f>
        <v/>
      </c>
      <c r="Q1150" s="61" t="str">
        <f>IFERROR(__xludf.DUMMYFUNCTION("INDIRECT(""'收支紀錄'!Q""&amp;TO_TEXT(ROW()-$C$72))"),"")</f>
        <v/>
      </c>
      <c r="R1150" s="61" t="str">
        <f>IFERROR(__xludf.DUMMYFUNCTION("INDIRECT(""'收支紀錄'!R""&amp;TO_TEXT(ROW()-$C$72))"),"")</f>
        <v/>
      </c>
      <c r="S1150" s="61" t="str">
        <f>IFERROR(__xludf.DUMMYFUNCTION("INDIRECT(""'收支紀錄'!S""&amp;TO_TEXT(ROW()-$C$72))"),"")</f>
        <v/>
      </c>
      <c r="T1150" s="61" t="str">
        <f>IFERROR(__xludf.DUMMYFUNCTION("INDIRECT(""'收支紀錄'!T""&amp;TO_TEXT(ROW()-$C$72))"),"")</f>
        <v/>
      </c>
      <c r="U1150" s="62" t="str">
        <f>IFERROR(__xludf.DUMMYFUNCTION("IF(T1150=""是"",TEXTJOIN("""", TRUE, ""$"", TO_TEXT(C1150), S1150),"""")"),"")</f>
        <v/>
      </c>
    </row>
    <row r="1151">
      <c r="A1151" s="58">
        <f>IFERROR(__xludf.DUMMYFUNCTION("INDIRECT(""'收支紀錄'!A""&amp;TO_TEXT(ROW()-$C$72))"),45918.494568622686)</f>
        <v>45918.49457</v>
      </c>
      <c r="B1151" s="59">
        <f>IFERROR(__xludf.DUMMYFUNCTION("IF(ISBLANK(D1151), """", IF(ISDATE(D1151), D1151, IF(D1151=""今天"", A1151, IF(D1151=""昨天 (-1 day)"", A1151-1, IF(D1151=""前天 (-2 days)"", A1151-2, IF(D1151=""明天 (+1 day)"", A1151+1, DATE(LEFT(D1151,4), MID(D1151,5,2), RIGHT(D1151,2))))))))"),45918.494568622686)</f>
        <v>45918.49457</v>
      </c>
      <c r="C1151" s="60">
        <f>IFERROR(__xludf.DUMMYFUNCTION("INDIRECT(""'收支紀錄'!C""&amp;TO_TEXT(ROW()-$C$72))"),433.0)</f>
        <v>433</v>
      </c>
      <c r="D1151" s="63" t="str">
        <f>IFERROR(__xludf.DUMMYFUNCTION("INDIRECT(""'收支紀錄'!D""&amp;TO_TEXT(ROW()-$C$72))"),"今天")</f>
        <v>今天</v>
      </c>
      <c r="E1151" s="61" t="str">
        <f>IFERROR(__xludf.DUMMYFUNCTION("INDIRECT(""'收支紀錄'!E""&amp;TO_TEXT(ROW()-$C$72))"),"")</f>
        <v/>
      </c>
      <c r="F1151" s="61" t="str">
        <f>IFERROR(__xludf.DUMMYFUNCTION("INDIRECT(""'收支紀錄'!F""&amp;TO_TEXT(ROW()-$C$72))"),"")</f>
        <v/>
      </c>
      <c r="G1151" s="61" t="str">
        <f>IFERROR(__xludf.DUMMYFUNCTION("INDIRECT(""'收支紀錄'!G""&amp;TO_TEXT(ROW()-$C$72))"),"")</f>
        <v/>
      </c>
      <c r="H1151" s="61" t="str">
        <f>IFERROR(__xludf.DUMMYFUNCTION("INDIRECT(""'收支紀錄'!H""&amp;TO_TEXT(ROW()-$C$72))"),"房屋支出")</f>
        <v>房屋支出</v>
      </c>
      <c r="I1151" s="61" t="str">
        <f>IFERROR(__xludf.DUMMYFUNCTION("INDIRECT(""'收支紀錄'!I""&amp;TO_TEXT(ROW()-$C$72))"),"")</f>
        <v/>
      </c>
      <c r="J1151" s="61" t="str">
        <f>IFERROR(__xludf.DUMMYFUNCTION("INDIRECT(""'收支紀錄'!J""&amp;TO_TEXT(ROW()-$C$72))"),"")</f>
        <v/>
      </c>
      <c r="K1151" s="61" t="str">
        <f>IFERROR(__xludf.DUMMYFUNCTION("INDIRECT(""'收支紀錄'!K""&amp;TO_TEXT(ROW()-$C$72))"),"瓦斯費")</f>
        <v>瓦斯費</v>
      </c>
      <c r="L1151" s="61" t="str">
        <f>IFERROR(__xludf.DUMMYFUNCTION("INDIRECT(""'收支紀錄'!L""&amp;TO_TEXT(ROW()-$C$72))"),"")</f>
        <v/>
      </c>
      <c r="M1151" s="61" t="str">
        <f>IFERROR(__xludf.DUMMYFUNCTION("INDIRECT(""'收支紀錄'!M""&amp;TO_TEXT(ROW()-$C$72))"),"")</f>
        <v/>
      </c>
      <c r="N1151" s="61" t="str">
        <f>IFERROR(__xludf.DUMMYFUNCTION("INDIRECT(""'收支紀錄'!N""&amp;TO_TEXT(ROW()-$C$72))"),"")</f>
        <v/>
      </c>
      <c r="O1151" s="61" t="str">
        <f>IFERROR(__xludf.DUMMYFUNCTION("INDIRECT(""'收支紀錄'!O""&amp;TO_TEXT(ROW()-$C$72))"),"")</f>
        <v/>
      </c>
      <c r="P1151" s="61" t="str">
        <f>IFERROR(__xludf.DUMMYFUNCTION("INDIRECT(""'收支紀錄'!P""&amp;TO_TEXT(ROW()-$C$72))"),"")</f>
        <v/>
      </c>
      <c r="Q1151" s="61" t="str">
        <f>IFERROR(__xludf.DUMMYFUNCTION("INDIRECT(""'收支紀錄'!Q""&amp;TO_TEXT(ROW()-$C$72))"),"")</f>
        <v/>
      </c>
      <c r="R1151" s="61" t="str">
        <f>IFERROR(__xludf.DUMMYFUNCTION("INDIRECT(""'收支紀錄'!R""&amp;TO_TEXT(ROW()-$C$72))"),"")</f>
        <v/>
      </c>
      <c r="S1151" s="61" t="str">
        <f>IFERROR(__xludf.DUMMYFUNCTION("INDIRECT(""'收支紀錄'!S""&amp;TO_TEXT(ROW()-$C$72))"),"")</f>
        <v/>
      </c>
      <c r="T1151" s="61" t="str">
        <f>IFERROR(__xludf.DUMMYFUNCTION("INDIRECT(""'收支紀錄'!T""&amp;TO_TEXT(ROW()-$C$72))"),"")</f>
        <v/>
      </c>
      <c r="U1151" s="62" t="str">
        <f>IFERROR(__xludf.DUMMYFUNCTION("IF(T1151=""是"",TEXTJOIN("""", TRUE, ""$"", TO_TEXT(C1151), S1151),"""")"),"")</f>
        <v/>
      </c>
    </row>
    <row r="1152">
      <c r="A1152" s="58">
        <f>IFERROR(__xludf.DUMMYFUNCTION("INDIRECT(""'收支紀錄'!A""&amp;TO_TEXT(ROW()-$C$72))"),45918.495415717596)</f>
        <v>45918.49542</v>
      </c>
      <c r="B1152" s="59">
        <f>IFERROR(__xludf.DUMMYFUNCTION("IF(ISBLANK(D1152), """", IF(ISDATE(D1152), D1152, IF(D1152=""今天"", A1152, IF(D1152=""昨天 (-1 day)"", A1152-1, IF(D1152=""前天 (-2 days)"", A1152-2, IF(D1152=""明天 (+1 day)"", A1152+1, DATE(LEFT(D1152,4), MID(D1152,5,2), RIGHT(D1152,2))))))))"),45918.495415717596)</f>
        <v>45918.49542</v>
      </c>
      <c r="C1152" s="60">
        <f>IFERROR(__xludf.DUMMYFUNCTION("INDIRECT(""'收支紀錄'!C""&amp;TO_TEXT(ROW()-$C$72))"),698.0)</f>
        <v>698</v>
      </c>
      <c r="D1152" s="63" t="str">
        <f>IFERROR(__xludf.DUMMYFUNCTION("INDIRECT(""'收支紀錄'!D""&amp;TO_TEXT(ROW()-$C$72))"),"今天")</f>
        <v>今天</v>
      </c>
      <c r="E1152" s="61" t="str">
        <f>IFERROR(__xludf.DUMMYFUNCTION("INDIRECT(""'收支紀錄'!E""&amp;TO_TEXT(ROW()-$C$72))"),"")</f>
        <v/>
      </c>
      <c r="F1152" s="61" t="str">
        <f>IFERROR(__xludf.DUMMYFUNCTION("INDIRECT(""'收支紀錄'!F""&amp;TO_TEXT(ROW()-$C$72))"),"")</f>
        <v/>
      </c>
      <c r="G1152" s="61" t="str">
        <f>IFERROR(__xludf.DUMMYFUNCTION("INDIRECT(""'收支紀錄'!G""&amp;TO_TEXT(ROW()-$C$72))"),"")</f>
        <v/>
      </c>
      <c r="H1152" s="61" t="str">
        <f>IFERROR(__xludf.DUMMYFUNCTION("INDIRECT(""'收支紀錄'!H""&amp;TO_TEXT(ROW()-$C$72))"),"日常生活")</f>
        <v>日常生活</v>
      </c>
      <c r="I1152" s="61" t="str">
        <f>IFERROR(__xludf.DUMMYFUNCTION("INDIRECT(""'收支紀錄'!I""&amp;TO_TEXT(ROW()-$C$72))"),"")</f>
        <v/>
      </c>
      <c r="J1152" s="61" t="str">
        <f>IFERROR(__xludf.DUMMYFUNCTION("INDIRECT(""'收支紀錄'!J""&amp;TO_TEXT(ROW()-$C$72))"),"電話費")</f>
        <v>電話費</v>
      </c>
      <c r="K1152" s="61" t="str">
        <f>IFERROR(__xludf.DUMMYFUNCTION("INDIRECT(""'收支紀錄'!K""&amp;TO_TEXT(ROW()-$C$72))"),"")</f>
        <v/>
      </c>
      <c r="L1152" s="61" t="str">
        <f>IFERROR(__xludf.DUMMYFUNCTION("INDIRECT(""'收支紀錄'!L""&amp;TO_TEXT(ROW()-$C$72))"),"")</f>
        <v/>
      </c>
      <c r="M1152" s="61" t="str">
        <f>IFERROR(__xludf.DUMMYFUNCTION("INDIRECT(""'收支紀錄'!M""&amp;TO_TEXT(ROW()-$C$72))"),"")</f>
        <v/>
      </c>
      <c r="N1152" s="61" t="str">
        <f>IFERROR(__xludf.DUMMYFUNCTION("INDIRECT(""'收支紀錄'!N""&amp;TO_TEXT(ROW()-$C$72))"),"")</f>
        <v/>
      </c>
      <c r="O1152" s="61" t="str">
        <f>IFERROR(__xludf.DUMMYFUNCTION("INDIRECT(""'收支紀錄'!O""&amp;TO_TEXT(ROW()-$C$72))"),"")</f>
        <v/>
      </c>
      <c r="P1152" s="61" t="str">
        <f>IFERROR(__xludf.DUMMYFUNCTION("INDIRECT(""'收支紀錄'!P""&amp;TO_TEXT(ROW()-$C$72))"),"")</f>
        <v/>
      </c>
      <c r="Q1152" s="61" t="str">
        <f>IFERROR(__xludf.DUMMYFUNCTION("INDIRECT(""'收支紀錄'!Q""&amp;TO_TEXT(ROW()-$C$72))"),"")</f>
        <v/>
      </c>
      <c r="R1152" s="61" t="str">
        <f>IFERROR(__xludf.DUMMYFUNCTION("INDIRECT(""'收支紀錄'!R""&amp;TO_TEXT(ROW()-$C$72))"),"")</f>
        <v/>
      </c>
      <c r="S1152" s="61" t="str">
        <f>IFERROR(__xludf.DUMMYFUNCTION("INDIRECT(""'收支紀錄'!S""&amp;TO_TEXT(ROW()-$C$72))"),"")</f>
        <v/>
      </c>
      <c r="T1152" s="61" t="str">
        <f>IFERROR(__xludf.DUMMYFUNCTION("INDIRECT(""'收支紀錄'!T""&amp;TO_TEXT(ROW()-$C$72))"),"")</f>
        <v/>
      </c>
      <c r="U1152" s="62" t="str">
        <f>IFERROR(__xludf.DUMMYFUNCTION("IF(T1152=""是"",TEXTJOIN("""", TRUE, ""$"", TO_TEXT(C1152), S1152),"""")"),"")</f>
        <v/>
      </c>
    </row>
    <row r="1153">
      <c r="A1153" s="58">
        <f>IFERROR(__xludf.DUMMYFUNCTION("INDIRECT(""'收支紀錄'!A""&amp;TO_TEXT(ROW()-$C$72))"),45918.85415151621)</f>
        <v>45918.85415</v>
      </c>
      <c r="B1153" s="59">
        <f>IFERROR(__xludf.DUMMYFUNCTION("IF(ISBLANK(D1153), """", IF(ISDATE(D1153), D1153, IF(D1153=""今天"", A1153, IF(D1153=""昨天 (-1 day)"", A1153-1, IF(D1153=""前天 (-2 days)"", A1153-2, IF(D1153=""明天 (+1 day)"", A1153+1, DATE(LEFT(D1153,4), MID(D1153,5,2), RIGHT(D1153,2))))))))"),45918.85415151621)</f>
        <v>45918.85415</v>
      </c>
      <c r="C1153" s="60">
        <f>IFERROR(__xludf.DUMMYFUNCTION("INDIRECT(""'收支紀錄'!C""&amp;TO_TEXT(ROW()-$C$72))"),110.0)</f>
        <v>110</v>
      </c>
      <c r="D1153" s="63" t="str">
        <f>IFERROR(__xludf.DUMMYFUNCTION("INDIRECT(""'收支紀錄'!D""&amp;TO_TEXT(ROW()-$C$72))"),"今天")</f>
        <v>今天</v>
      </c>
      <c r="E1153" s="61" t="str">
        <f>IFERROR(__xludf.DUMMYFUNCTION("INDIRECT(""'收支紀錄'!E""&amp;TO_TEXT(ROW()-$C$72))"),"")</f>
        <v/>
      </c>
      <c r="F1153" s="61" t="str">
        <f>IFERROR(__xludf.DUMMYFUNCTION("INDIRECT(""'收支紀錄'!F""&amp;TO_TEXT(ROW()-$C$72))"),"")</f>
        <v/>
      </c>
      <c r="G1153" s="61" t="str">
        <f>IFERROR(__xludf.DUMMYFUNCTION("INDIRECT(""'收支紀錄'!G""&amp;TO_TEXT(ROW()-$C$72))"),"")</f>
        <v/>
      </c>
      <c r="H1153" s="61" t="str">
        <f>IFERROR(__xludf.DUMMYFUNCTION("INDIRECT(""'收支紀錄'!H""&amp;TO_TEXT(ROW()-$C$72))"),"食品酒水")</f>
        <v>食品酒水</v>
      </c>
      <c r="I1153" s="61" t="str">
        <f>IFERROR(__xludf.DUMMYFUNCTION("INDIRECT(""'收支紀錄'!I""&amp;TO_TEXT(ROW()-$C$72))"),"晚餐")</f>
        <v>晚餐</v>
      </c>
      <c r="J1153" s="61" t="str">
        <f>IFERROR(__xludf.DUMMYFUNCTION("INDIRECT(""'收支紀錄'!J""&amp;TO_TEXT(ROW()-$C$72))"),"")</f>
        <v/>
      </c>
      <c r="K1153" s="61" t="str">
        <f>IFERROR(__xludf.DUMMYFUNCTION("INDIRECT(""'收支紀錄'!K""&amp;TO_TEXT(ROW()-$C$72))"),"")</f>
        <v/>
      </c>
      <c r="L1153" s="61" t="str">
        <f>IFERROR(__xludf.DUMMYFUNCTION("INDIRECT(""'收支紀錄'!L""&amp;TO_TEXT(ROW()-$C$72))"),"")</f>
        <v/>
      </c>
      <c r="M1153" s="61" t="str">
        <f>IFERROR(__xludf.DUMMYFUNCTION("INDIRECT(""'收支紀錄'!M""&amp;TO_TEXT(ROW()-$C$72))"),"")</f>
        <v/>
      </c>
      <c r="N1153" s="61" t="str">
        <f>IFERROR(__xludf.DUMMYFUNCTION("INDIRECT(""'收支紀錄'!N""&amp;TO_TEXT(ROW()-$C$72))"),"")</f>
        <v/>
      </c>
      <c r="O1153" s="61" t="str">
        <f>IFERROR(__xludf.DUMMYFUNCTION("INDIRECT(""'收支紀錄'!O""&amp;TO_TEXT(ROW()-$C$72))"),"")</f>
        <v/>
      </c>
      <c r="P1153" s="61" t="str">
        <f>IFERROR(__xludf.DUMMYFUNCTION("INDIRECT(""'收支紀錄'!P""&amp;TO_TEXT(ROW()-$C$72))"),"")</f>
        <v/>
      </c>
      <c r="Q1153" s="61" t="str">
        <f>IFERROR(__xludf.DUMMYFUNCTION("INDIRECT(""'收支紀錄'!Q""&amp;TO_TEXT(ROW()-$C$72))"),"")</f>
        <v/>
      </c>
      <c r="R1153" s="61" t="str">
        <f>IFERROR(__xludf.DUMMYFUNCTION("INDIRECT(""'收支紀錄'!R""&amp;TO_TEXT(ROW()-$C$72))"),"")</f>
        <v/>
      </c>
      <c r="S1153" s="61" t="str">
        <f>IFERROR(__xludf.DUMMYFUNCTION("INDIRECT(""'收支紀錄'!S""&amp;TO_TEXT(ROW()-$C$72))"),"")</f>
        <v/>
      </c>
      <c r="T1153" s="61" t="str">
        <f>IFERROR(__xludf.DUMMYFUNCTION("INDIRECT(""'收支紀錄'!T""&amp;TO_TEXT(ROW()-$C$72))"),"")</f>
        <v/>
      </c>
      <c r="U1153" s="62" t="str">
        <f>IFERROR(__xludf.DUMMYFUNCTION("IF(T1153=""是"",TEXTJOIN("""", TRUE, ""$"", TO_TEXT(C1153), S1153),"""")"),"")</f>
        <v/>
      </c>
    </row>
    <row r="1154">
      <c r="A1154" s="58">
        <f>IFERROR(__xludf.DUMMYFUNCTION("INDIRECT(""'收支紀錄'!A""&amp;TO_TEXT(ROW()-$C$72))"),45919.923389965275)</f>
        <v>45919.92339</v>
      </c>
      <c r="B1154" s="59">
        <f>IFERROR(__xludf.DUMMYFUNCTION("IF(ISBLANK(D1154), """", IF(ISDATE(D1154), D1154, IF(D1154=""今天"", A1154, IF(D1154=""昨天 (-1 day)"", A1154-1, IF(D1154=""前天 (-2 days)"", A1154-2, IF(D1154=""明天 (+1 day)"", A1154+1, DATE(LEFT(D1154,4), MID(D1154,5,2), RIGHT(D1154,2))))))))"),45919.923389965275)</f>
        <v>45919.92339</v>
      </c>
      <c r="C1154" s="60">
        <f>IFERROR(__xludf.DUMMYFUNCTION("INDIRECT(""'收支紀錄'!C""&amp;TO_TEXT(ROW()-$C$72))"),945.0)</f>
        <v>945</v>
      </c>
      <c r="D1154" s="63" t="str">
        <f>IFERROR(__xludf.DUMMYFUNCTION("INDIRECT(""'收支紀錄'!D""&amp;TO_TEXT(ROW()-$C$72))"),"今天")</f>
        <v>今天</v>
      </c>
      <c r="E1154" s="61" t="str">
        <f>IFERROR(__xludf.DUMMYFUNCTION("INDIRECT(""'收支紀錄'!E""&amp;TO_TEXT(ROW()-$C$72))"),"")</f>
        <v/>
      </c>
      <c r="F1154" s="61" t="str">
        <f>IFERROR(__xludf.DUMMYFUNCTION("INDIRECT(""'收支紀錄'!F""&amp;TO_TEXT(ROW()-$C$72))"),"")</f>
        <v/>
      </c>
      <c r="G1154" s="61" t="str">
        <f>IFERROR(__xludf.DUMMYFUNCTION("INDIRECT(""'收支紀錄'!G""&amp;TO_TEXT(ROW()-$C$72))"),"")</f>
        <v/>
      </c>
      <c r="H1154" s="61" t="str">
        <f>IFERROR(__xludf.DUMMYFUNCTION("INDIRECT(""'收支紀錄'!H""&amp;TO_TEXT(ROW()-$C$72))"),"食品酒水")</f>
        <v>食品酒水</v>
      </c>
      <c r="I1154" s="61" t="str">
        <f>IFERROR(__xludf.DUMMYFUNCTION("INDIRECT(""'收支紀錄'!I""&amp;TO_TEXT(ROW()-$C$72))"),"晚餐")</f>
        <v>晚餐</v>
      </c>
      <c r="J1154" s="61" t="str">
        <f>IFERROR(__xludf.DUMMYFUNCTION("INDIRECT(""'收支紀錄'!J""&amp;TO_TEXT(ROW()-$C$72))"),"")</f>
        <v/>
      </c>
      <c r="K1154" s="61" t="str">
        <f>IFERROR(__xludf.DUMMYFUNCTION("INDIRECT(""'收支紀錄'!K""&amp;TO_TEXT(ROW()-$C$72))"),"")</f>
        <v/>
      </c>
      <c r="L1154" s="61" t="str">
        <f>IFERROR(__xludf.DUMMYFUNCTION("INDIRECT(""'收支紀錄'!L""&amp;TO_TEXT(ROW()-$C$72))"),"")</f>
        <v/>
      </c>
      <c r="M1154" s="61" t="str">
        <f>IFERROR(__xludf.DUMMYFUNCTION("INDIRECT(""'收支紀錄'!M""&amp;TO_TEXT(ROW()-$C$72))"),"")</f>
        <v/>
      </c>
      <c r="N1154" s="61" t="str">
        <f>IFERROR(__xludf.DUMMYFUNCTION("INDIRECT(""'收支紀錄'!N""&amp;TO_TEXT(ROW()-$C$72))"),"")</f>
        <v/>
      </c>
      <c r="O1154" s="61" t="str">
        <f>IFERROR(__xludf.DUMMYFUNCTION("INDIRECT(""'收支紀錄'!O""&amp;TO_TEXT(ROW()-$C$72))"),"")</f>
        <v/>
      </c>
      <c r="P1154" s="61" t="str">
        <f>IFERROR(__xludf.DUMMYFUNCTION("INDIRECT(""'收支紀錄'!P""&amp;TO_TEXT(ROW()-$C$72))"),"")</f>
        <v/>
      </c>
      <c r="Q1154" s="61" t="str">
        <f>IFERROR(__xludf.DUMMYFUNCTION("INDIRECT(""'收支紀錄'!Q""&amp;TO_TEXT(ROW()-$C$72))"),"")</f>
        <v/>
      </c>
      <c r="R1154" s="61" t="str">
        <f>IFERROR(__xludf.DUMMYFUNCTION("INDIRECT(""'收支紀錄'!R""&amp;TO_TEXT(ROW()-$C$72))"),"")</f>
        <v/>
      </c>
      <c r="S1154" s="61" t="str">
        <f>IFERROR(__xludf.DUMMYFUNCTION("INDIRECT(""'收支紀錄'!S""&amp;TO_TEXT(ROW()-$C$72))"),"")</f>
        <v/>
      </c>
      <c r="T1154" s="61" t="str">
        <f>IFERROR(__xludf.DUMMYFUNCTION("INDIRECT(""'收支紀錄'!T""&amp;TO_TEXT(ROW()-$C$72))"),"")</f>
        <v/>
      </c>
      <c r="U1154" s="62" t="str">
        <f>IFERROR(__xludf.DUMMYFUNCTION("IF(T1154=""是"",TEXTJOIN("""", TRUE, ""$"", TO_TEXT(C1154), S1154),"""")"),"")</f>
        <v/>
      </c>
    </row>
    <row r="1155">
      <c r="A1155" s="58">
        <f>IFERROR(__xludf.DUMMYFUNCTION("INDIRECT(""'收支紀錄'!A""&amp;TO_TEXT(ROW()-$C$72))"),45920.63072988426)</f>
        <v>45920.63073</v>
      </c>
      <c r="B1155" s="59">
        <f>IFERROR(__xludf.DUMMYFUNCTION("IF(ISBLANK(D1155), """", IF(ISDATE(D1155), D1155, IF(D1155=""今天"", A1155, IF(D1155=""昨天 (-1 day)"", A1155-1, IF(D1155=""前天 (-2 days)"", A1155-2, IF(D1155=""明天 (+1 day)"", A1155+1, DATE(LEFT(D1155,4), MID(D1155,5,2), RIGHT(D1155,2))))))))"),45920.63072988426)</f>
        <v>45920.63073</v>
      </c>
      <c r="C1155" s="60">
        <f>IFERROR(__xludf.DUMMYFUNCTION("INDIRECT(""'收支紀錄'!C""&amp;TO_TEXT(ROW()-$C$72))"),1150.0)</f>
        <v>1150</v>
      </c>
      <c r="D1155" s="63" t="str">
        <f>IFERROR(__xludf.DUMMYFUNCTION("INDIRECT(""'收支紀錄'!D""&amp;TO_TEXT(ROW()-$C$72))"),"今天")</f>
        <v>今天</v>
      </c>
      <c r="E1155" s="61" t="str">
        <f>IFERROR(__xludf.DUMMYFUNCTION("INDIRECT(""'收支紀錄'!E""&amp;TO_TEXT(ROW()-$C$72))"),"")</f>
        <v/>
      </c>
      <c r="F1155" s="61" t="str">
        <f>IFERROR(__xludf.DUMMYFUNCTION("INDIRECT(""'收支紀錄'!F""&amp;TO_TEXT(ROW()-$C$72))"),"")</f>
        <v/>
      </c>
      <c r="G1155" s="61" t="str">
        <f>IFERROR(__xludf.DUMMYFUNCTION("INDIRECT(""'收支紀錄'!G""&amp;TO_TEXT(ROW()-$C$72))"),"")</f>
        <v/>
      </c>
      <c r="H1155" s="61" t="str">
        <f>IFERROR(__xludf.DUMMYFUNCTION("INDIRECT(""'收支紀錄'!H""&amp;TO_TEXT(ROW()-$C$72))"),"食品酒水")</f>
        <v>食品酒水</v>
      </c>
      <c r="I1155" s="61" t="str">
        <f>IFERROR(__xludf.DUMMYFUNCTION("INDIRECT(""'收支紀錄'!I""&amp;TO_TEXT(ROW()-$C$72))"),"伴手禮")</f>
        <v>伴手禮</v>
      </c>
      <c r="J1155" s="61" t="str">
        <f>IFERROR(__xludf.DUMMYFUNCTION("INDIRECT(""'收支紀錄'!J""&amp;TO_TEXT(ROW()-$C$72))"),"")</f>
        <v/>
      </c>
      <c r="K1155" s="61" t="str">
        <f>IFERROR(__xludf.DUMMYFUNCTION("INDIRECT(""'收支紀錄'!K""&amp;TO_TEXT(ROW()-$C$72))"),"")</f>
        <v/>
      </c>
      <c r="L1155" s="61" t="str">
        <f>IFERROR(__xludf.DUMMYFUNCTION("INDIRECT(""'收支紀錄'!L""&amp;TO_TEXT(ROW()-$C$72))"),"")</f>
        <v/>
      </c>
      <c r="M1155" s="61" t="str">
        <f>IFERROR(__xludf.DUMMYFUNCTION("INDIRECT(""'收支紀錄'!M""&amp;TO_TEXT(ROW()-$C$72))"),"")</f>
        <v/>
      </c>
      <c r="N1155" s="61" t="str">
        <f>IFERROR(__xludf.DUMMYFUNCTION("INDIRECT(""'收支紀錄'!N""&amp;TO_TEXT(ROW()-$C$72))"),"")</f>
        <v/>
      </c>
      <c r="O1155" s="61" t="str">
        <f>IFERROR(__xludf.DUMMYFUNCTION("INDIRECT(""'收支紀錄'!O""&amp;TO_TEXT(ROW()-$C$72))"),"")</f>
        <v/>
      </c>
      <c r="P1155" s="61" t="str">
        <f>IFERROR(__xludf.DUMMYFUNCTION("INDIRECT(""'收支紀錄'!P""&amp;TO_TEXT(ROW()-$C$72))"),"")</f>
        <v/>
      </c>
      <c r="Q1155" s="61" t="str">
        <f>IFERROR(__xludf.DUMMYFUNCTION("INDIRECT(""'收支紀錄'!Q""&amp;TO_TEXT(ROW()-$C$72))"),"")</f>
        <v/>
      </c>
      <c r="R1155" s="61" t="str">
        <f>IFERROR(__xludf.DUMMYFUNCTION("INDIRECT(""'收支紀錄'!R""&amp;TO_TEXT(ROW()-$C$72))"),"")</f>
        <v/>
      </c>
      <c r="S1155" s="61" t="str">
        <f>IFERROR(__xludf.DUMMYFUNCTION("INDIRECT(""'收支紀錄'!S""&amp;TO_TEXT(ROW()-$C$72))"),"香格禮坊")</f>
        <v>香格禮坊</v>
      </c>
      <c r="T1155" s="61" t="str">
        <f>IFERROR(__xludf.DUMMYFUNCTION("INDIRECT(""'收支紀錄'!T""&amp;TO_TEXT(ROW()-$C$72))"),"")</f>
        <v/>
      </c>
      <c r="U1155" s="62" t="str">
        <f>IFERROR(__xludf.DUMMYFUNCTION("IF(T1155=""是"",TEXTJOIN("""", TRUE, ""$"", TO_TEXT(C1155), S1155),"""")"),"")</f>
        <v/>
      </c>
    </row>
    <row r="1156">
      <c r="A1156" s="58">
        <f>IFERROR(__xludf.DUMMYFUNCTION("INDIRECT(""'收支紀錄'!A""&amp;TO_TEXT(ROW()-$C$72))"),45921.71306371527)</f>
        <v>45921.71306</v>
      </c>
      <c r="B1156" s="59">
        <f>IFERROR(__xludf.DUMMYFUNCTION("IF(ISBLANK(D1156), """", IF(ISDATE(D1156), D1156, IF(D1156=""今天"", A1156, IF(D1156=""昨天 (-1 day)"", A1156-1, IF(D1156=""前天 (-2 days)"", A1156-2, IF(D1156=""明天 (+1 day)"", A1156+1, DATE(LEFT(D1156,4), MID(D1156,5,2), RIGHT(D1156,2))))))))"),45921.71306371527)</f>
        <v>45921.71306</v>
      </c>
      <c r="C1156" s="60">
        <f>IFERROR(__xludf.DUMMYFUNCTION("INDIRECT(""'收支紀錄'!C""&amp;TO_TEXT(ROW()-$C$72))"),938.0)</f>
        <v>938</v>
      </c>
      <c r="D1156" s="63" t="str">
        <f>IFERROR(__xludf.DUMMYFUNCTION("INDIRECT(""'收支紀錄'!D""&amp;TO_TEXT(ROW()-$C$72))"),"今天")</f>
        <v>今天</v>
      </c>
      <c r="E1156" s="61" t="str">
        <f>IFERROR(__xludf.DUMMYFUNCTION("INDIRECT(""'收支紀錄'!E""&amp;TO_TEXT(ROW()-$C$72))"),"")</f>
        <v/>
      </c>
      <c r="F1156" s="61" t="str">
        <f>IFERROR(__xludf.DUMMYFUNCTION("INDIRECT(""'收支紀錄'!F""&amp;TO_TEXT(ROW()-$C$72))"),"")</f>
        <v/>
      </c>
      <c r="G1156" s="61" t="str">
        <f>IFERROR(__xludf.DUMMYFUNCTION("INDIRECT(""'收支紀錄'!G""&amp;TO_TEXT(ROW()-$C$72))"),"")</f>
        <v/>
      </c>
      <c r="H1156" s="61" t="str">
        <f>IFERROR(__xludf.DUMMYFUNCTION("INDIRECT(""'收支紀錄'!H""&amp;TO_TEXT(ROW()-$C$72))"),"食品酒水")</f>
        <v>食品酒水</v>
      </c>
      <c r="I1156" s="61" t="str">
        <f>IFERROR(__xludf.DUMMYFUNCTION("INDIRECT(""'收支紀錄'!I""&amp;TO_TEXT(ROW()-$C$72))"),"食材")</f>
        <v>食材</v>
      </c>
      <c r="J1156" s="61" t="str">
        <f>IFERROR(__xludf.DUMMYFUNCTION("INDIRECT(""'收支紀錄'!J""&amp;TO_TEXT(ROW()-$C$72))"),"")</f>
        <v/>
      </c>
      <c r="K1156" s="61" t="str">
        <f>IFERROR(__xludf.DUMMYFUNCTION("INDIRECT(""'收支紀錄'!K""&amp;TO_TEXT(ROW()-$C$72))"),"")</f>
        <v/>
      </c>
      <c r="L1156" s="61" t="str">
        <f>IFERROR(__xludf.DUMMYFUNCTION("INDIRECT(""'收支紀錄'!L""&amp;TO_TEXT(ROW()-$C$72))"),"")</f>
        <v/>
      </c>
      <c r="M1156" s="61" t="str">
        <f>IFERROR(__xludf.DUMMYFUNCTION("INDIRECT(""'收支紀錄'!M""&amp;TO_TEXT(ROW()-$C$72))"),"")</f>
        <v/>
      </c>
      <c r="N1156" s="61" t="str">
        <f>IFERROR(__xludf.DUMMYFUNCTION("INDIRECT(""'收支紀錄'!N""&amp;TO_TEXT(ROW()-$C$72))"),"")</f>
        <v/>
      </c>
      <c r="O1156" s="61" t="str">
        <f>IFERROR(__xludf.DUMMYFUNCTION("INDIRECT(""'收支紀錄'!O""&amp;TO_TEXT(ROW()-$C$72))"),"")</f>
        <v/>
      </c>
      <c r="P1156" s="61" t="str">
        <f>IFERROR(__xludf.DUMMYFUNCTION("INDIRECT(""'收支紀錄'!P""&amp;TO_TEXT(ROW()-$C$72))"),"")</f>
        <v/>
      </c>
      <c r="Q1156" s="61" t="str">
        <f>IFERROR(__xludf.DUMMYFUNCTION("INDIRECT(""'收支紀錄'!Q""&amp;TO_TEXT(ROW()-$C$72))"),"")</f>
        <v/>
      </c>
      <c r="R1156" s="61" t="str">
        <f>IFERROR(__xludf.DUMMYFUNCTION("INDIRECT(""'收支紀錄'!R""&amp;TO_TEXT(ROW()-$C$72))"),"")</f>
        <v/>
      </c>
      <c r="S1156" s="61" t="str">
        <f>IFERROR(__xludf.DUMMYFUNCTION("INDIRECT(""'收支紀錄'!S""&amp;TO_TEXT(ROW()-$C$72))"),"好市多魚油")</f>
        <v>好市多魚油</v>
      </c>
      <c r="T1156" s="61" t="str">
        <f>IFERROR(__xludf.DUMMYFUNCTION("INDIRECT(""'收支紀錄'!T""&amp;TO_TEXT(ROW()-$C$72))"),"")</f>
        <v/>
      </c>
      <c r="U1156" s="62" t="str">
        <f>IFERROR(__xludf.DUMMYFUNCTION("IF(T1156=""是"",TEXTJOIN("""", TRUE, ""$"", TO_TEXT(C1156), S1156),"""")"),"")</f>
        <v/>
      </c>
    </row>
    <row r="1157">
      <c r="A1157" s="58">
        <f>IFERROR(__xludf.DUMMYFUNCTION("INDIRECT(""'收支紀錄'!A""&amp;TO_TEXT(ROW()-$C$72))"),45921.7132628588)</f>
        <v>45921.71326</v>
      </c>
      <c r="B1157" s="59">
        <f>IFERROR(__xludf.DUMMYFUNCTION("IF(ISBLANK(D1157), """", IF(ISDATE(D1157), D1157, IF(D1157=""今天"", A1157, IF(D1157=""昨天 (-1 day)"", A1157-1, IF(D1157=""前天 (-2 days)"", A1157-2, IF(D1157=""明天 (+1 day)"", A1157+1, DATE(LEFT(D1157,4), MID(D1157,5,2), RIGHT(D1157,2))))))))"),45921.7132628588)</f>
        <v>45921.71326</v>
      </c>
      <c r="C1157" s="60">
        <f>IFERROR(__xludf.DUMMYFUNCTION("INDIRECT(""'收支紀錄'!C""&amp;TO_TEXT(ROW()-$C$72))"),1381.0)</f>
        <v>1381</v>
      </c>
      <c r="D1157" s="63" t="str">
        <f>IFERROR(__xludf.DUMMYFUNCTION("INDIRECT(""'收支紀錄'!D""&amp;TO_TEXT(ROW()-$C$72))"),"今天")</f>
        <v>今天</v>
      </c>
      <c r="E1157" s="61" t="str">
        <f>IFERROR(__xludf.DUMMYFUNCTION("INDIRECT(""'收支紀錄'!E""&amp;TO_TEXT(ROW()-$C$72))"),"")</f>
        <v/>
      </c>
      <c r="F1157" s="61" t="str">
        <f>IFERROR(__xludf.DUMMYFUNCTION("INDIRECT(""'收支紀錄'!F""&amp;TO_TEXT(ROW()-$C$72))"),"")</f>
        <v/>
      </c>
      <c r="G1157" s="61" t="str">
        <f>IFERROR(__xludf.DUMMYFUNCTION("INDIRECT(""'收支紀錄'!G""&amp;TO_TEXT(ROW()-$C$72))"),"")</f>
        <v/>
      </c>
      <c r="H1157" s="61" t="str">
        <f>IFERROR(__xludf.DUMMYFUNCTION("INDIRECT(""'收支紀錄'!H""&amp;TO_TEXT(ROW()-$C$72))"),"食品酒水")</f>
        <v>食品酒水</v>
      </c>
      <c r="I1157" s="61" t="str">
        <f>IFERROR(__xludf.DUMMYFUNCTION("INDIRECT(""'收支紀錄'!I""&amp;TO_TEXT(ROW()-$C$72))"),"食材")</f>
        <v>食材</v>
      </c>
      <c r="J1157" s="61" t="str">
        <f>IFERROR(__xludf.DUMMYFUNCTION("INDIRECT(""'收支紀錄'!J""&amp;TO_TEXT(ROW()-$C$72))"),"")</f>
        <v/>
      </c>
      <c r="K1157" s="61" t="str">
        <f>IFERROR(__xludf.DUMMYFUNCTION("INDIRECT(""'收支紀錄'!K""&amp;TO_TEXT(ROW()-$C$72))"),"")</f>
        <v/>
      </c>
      <c r="L1157" s="61" t="str">
        <f>IFERROR(__xludf.DUMMYFUNCTION("INDIRECT(""'收支紀錄'!L""&amp;TO_TEXT(ROW()-$C$72))"),"")</f>
        <v/>
      </c>
      <c r="M1157" s="61" t="str">
        <f>IFERROR(__xludf.DUMMYFUNCTION("INDIRECT(""'收支紀錄'!M""&amp;TO_TEXT(ROW()-$C$72))"),"")</f>
        <v/>
      </c>
      <c r="N1157" s="61" t="str">
        <f>IFERROR(__xludf.DUMMYFUNCTION("INDIRECT(""'收支紀錄'!N""&amp;TO_TEXT(ROW()-$C$72))"),"")</f>
        <v/>
      </c>
      <c r="O1157" s="61" t="str">
        <f>IFERROR(__xludf.DUMMYFUNCTION("INDIRECT(""'收支紀錄'!O""&amp;TO_TEXT(ROW()-$C$72))"),"")</f>
        <v/>
      </c>
      <c r="P1157" s="61" t="str">
        <f>IFERROR(__xludf.DUMMYFUNCTION("INDIRECT(""'收支紀錄'!P""&amp;TO_TEXT(ROW()-$C$72))"),"")</f>
        <v/>
      </c>
      <c r="Q1157" s="61" t="str">
        <f>IFERROR(__xludf.DUMMYFUNCTION("INDIRECT(""'收支紀錄'!Q""&amp;TO_TEXT(ROW()-$C$72))"),"")</f>
        <v/>
      </c>
      <c r="R1157" s="61" t="str">
        <f>IFERROR(__xludf.DUMMYFUNCTION("INDIRECT(""'收支紀錄'!R""&amp;TO_TEXT(ROW()-$C$72))"),"")</f>
        <v/>
      </c>
      <c r="S1157" s="61" t="str">
        <f>IFERROR(__xludf.DUMMYFUNCTION("INDIRECT(""'收支紀錄'!S""&amp;TO_TEXT(ROW()-$C$72))"),"好市多")</f>
        <v>好市多</v>
      </c>
      <c r="T1157" s="61" t="str">
        <f>IFERROR(__xludf.DUMMYFUNCTION("INDIRECT(""'收支紀錄'!T""&amp;TO_TEXT(ROW()-$C$72))"),"")</f>
        <v/>
      </c>
      <c r="U1157" s="62" t="str">
        <f>IFERROR(__xludf.DUMMYFUNCTION("IF(T1157=""是"",TEXTJOIN("""", TRUE, ""$"", TO_TEXT(C1157), S1157),"""")"),"")</f>
        <v/>
      </c>
    </row>
    <row r="1158">
      <c r="A1158" s="58">
        <f>IFERROR(__xludf.DUMMYFUNCTION("INDIRECT(""'收支紀錄'!A""&amp;TO_TEXT(ROW()-$C$72))"),45921.7134510301)</f>
        <v>45921.71345</v>
      </c>
      <c r="B1158" s="59">
        <f>IFERROR(__xludf.DUMMYFUNCTION("IF(ISBLANK(D1158), """", IF(ISDATE(D1158), D1158, IF(D1158=""今天"", A1158, IF(D1158=""昨天 (-1 day)"", A1158-1, IF(D1158=""前天 (-2 days)"", A1158-2, IF(D1158=""明天 (+1 day)"", A1158+1, DATE(LEFT(D1158,4), MID(D1158,5,2), RIGHT(D1158,2))))))))"),45921.7134510301)</f>
        <v>45921.71345</v>
      </c>
      <c r="C1158" s="60">
        <f>IFERROR(__xludf.DUMMYFUNCTION("INDIRECT(""'收支紀錄'!C""&amp;TO_TEXT(ROW()-$C$72))"),110.0)</f>
        <v>110</v>
      </c>
      <c r="D1158" s="63" t="str">
        <f>IFERROR(__xludf.DUMMYFUNCTION("INDIRECT(""'收支紀錄'!D""&amp;TO_TEXT(ROW()-$C$72))"),"今天")</f>
        <v>今天</v>
      </c>
      <c r="E1158" s="61" t="str">
        <f>IFERROR(__xludf.DUMMYFUNCTION("INDIRECT(""'收支紀錄'!E""&amp;TO_TEXT(ROW()-$C$72))"),"")</f>
        <v/>
      </c>
      <c r="F1158" s="61" t="str">
        <f>IFERROR(__xludf.DUMMYFUNCTION("INDIRECT(""'收支紀錄'!F""&amp;TO_TEXT(ROW()-$C$72))"),"")</f>
        <v/>
      </c>
      <c r="G1158" s="61" t="str">
        <f>IFERROR(__xludf.DUMMYFUNCTION("INDIRECT(""'收支紀錄'!G""&amp;TO_TEXT(ROW()-$C$72))"),"")</f>
        <v/>
      </c>
      <c r="H1158" s="61" t="str">
        <f>IFERROR(__xludf.DUMMYFUNCTION("INDIRECT(""'收支紀錄'!H""&amp;TO_TEXT(ROW()-$C$72))"),"休閒娛樂")</f>
        <v>休閒娛樂</v>
      </c>
      <c r="I1158" s="61" t="str">
        <f>IFERROR(__xludf.DUMMYFUNCTION("INDIRECT(""'收支紀錄'!I""&amp;TO_TEXT(ROW()-$C$72))"),"")</f>
        <v/>
      </c>
      <c r="J1158" s="61" t="str">
        <f>IFERROR(__xludf.DUMMYFUNCTION("INDIRECT(""'收支紀錄'!J""&amp;TO_TEXT(ROW()-$C$72))"),"")</f>
        <v/>
      </c>
      <c r="K1158" s="61" t="str">
        <f>IFERROR(__xludf.DUMMYFUNCTION("INDIRECT(""'收支紀錄'!K""&amp;TO_TEXT(ROW()-$C$72))"),"")</f>
        <v/>
      </c>
      <c r="L1158" s="61" t="str">
        <f>IFERROR(__xludf.DUMMYFUNCTION("INDIRECT(""'收支紀錄'!L""&amp;TO_TEXT(ROW()-$C$72))"),"")</f>
        <v/>
      </c>
      <c r="M1158" s="61" t="str">
        <f>IFERROR(__xludf.DUMMYFUNCTION("INDIRECT(""'收支紀錄'!M""&amp;TO_TEXT(ROW()-$C$72))"),"運動健身")</f>
        <v>運動健身</v>
      </c>
      <c r="N1158" s="61" t="str">
        <f>IFERROR(__xludf.DUMMYFUNCTION("INDIRECT(""'收支紀錄'!N""&amp;TO_TEXT(ROW()-$C$72))"),"")</f>
        <v/>
      </c>
      <c r="O1158" s="61" t="str">
        <f>IFERROR(__xludf.DUMMYFUNCTION("INDIRECT(""'收支紀錄'!O""&amp;TO_TEXT(ROW()-$C$72))"),"")</f>
        <v/>
      </c>
      <c r="P1158" s="61" t="str">
        <f>IFERROR(__xludf.DUMMYFUNCTION("INDIRECT(""'收支紀錄'!P""&amp;TO_TEXT(ROW()-$C$72))"),"")</f>
        <v/>
      </c>
      <c r="Q1158" s="61" t="str">
        <f>IFERROR(__xludf.DUMMYFUNCTION("INDIRECT(""'收支紀錄'!Q""&amp;TO_TEXT(ROW()-$C$72))"),"")</f>
        <v/>
      </c>
      <c r="R1158" s="61" t="str">
        <f>IFERROR(__xludf.DUMMYFUNCTION("INDIRECT(""'收支紀錄'!R""&amp;TO_TEXT(ROW()-$C$72))"),"")</f>
        <v/>
      </c>
      <c r="S1158" s="61" t="str">
        <f>IFERROR(__xludf.DUMMYFUNCTION("INDIRECT(""'收支紀錄'!S""&amp;TO_TEXT(ROW()-$C$72))"),"")</f>
        <v/>
      </c>
      <c r="T1158" s="61" t="str">
        <f>IFERROR(__xludf.DUMMYFUNCTION("INDIRECT(""'收支紀錄'!T""&amp;TO_TEXT(ROW()-$C$72))"),"")</f>
        <v/>
      </c>
      <c r="U1158" s="62" t="str">
        <f>IFERROR(__xludf.DUMMYFUNCTION("IF(T1158=""是"",TEXTJOIN("""", TRUE, ""$"", TO_TEXT(C1158), S1158),"""")"),"")</f>
        <v/>
      </c>
    </row>
    <row r="1159">
      <c r="A1159" s="58">
        <f>IFERROR(__xludf.DUMMYFUNCTION("INDIRECT(""'收支紀錄'!A""&amp;TO_TEXT(ROW()-$C$72))"),45921.71361077546)</f>
        <v>45921.71361</v>
      </c>
      <c r="B1159" s="59">
        <f>IFERROR(__xludf.DUMMYFUNCTION("IF(ISBLANK(D1159), """", IF(ISDATE(D1159), D1159, IF(D1159=""今天"", A1159, IF(D1159=""昨天 (-1 day)"", A1159-1, IF(D1159=""前天 (-2 days)"", A1159-2, IF(D1159=""明天 (+1 day)"", A1159+1, DATE(LEFT(D1159,4), MID(D1159,5,2), RIGHT(D1159,2))))))))"),45921.71361077546)</f>
        <v>45921.71361</v>
      </c>
      <c r="C1159" s="60">
        <f>IFERROR(__xludf.DUMMYFUNCTION("INDIRECT(""'收支紀錄'!C""&amp;TO_TEXT(ROW()-$C$72))"),23.0)</f>
        <v>23</v>
      </c>
      <c r="D1159" s="63" t="str">
        <f>IFERROR(__xludf.DUMMYFUNCTION("INDIRECT(""'收支紀錄'!D""&amp;TO_TEXT(ROW()-$C$72))"),"今天")</f>
        <v>今天</v>
      </c>
      <c r="E1159" s="61" t="str">
        <f>IFERROR(__xludf.DUMMYFUNCTION("INDIRECT(""'收支紀錄'!E""&amp;TO_TEXT(ROW()-$C$72))"),"")</f>
        <v/>
      </c>
      <c r="F1159" s="61" t="str">
        <f>IFERROR(__xludf.DUMMYFUNCTION("INDIRECT(""'收支紀錄'!F""&amp;TO_TEXT(ROW()-$C$72))"),"")</f>
        <v/>
      </c>
      <c r="G1159" s="61" t="str">
        <f>IFERROR(__xludf.DUMMYFUNCTION("INDIRECT(""'收支紀錄'!G""&amp;TO_TEXT(ROW()-$C$72))"),"")</f>
        <v/>
      </c>
      <c r="H1159" s="61" t="str">
        <f>IFERROR(__xludf.DUMMYFUNCTION("INDIRECT(""'收支紀錄'!H""&amp;TO_TEXT(ROW()-$C$72))"),"食品酒水")</f>
        <v>食品酒水</v>
      </c>
      <c r="I1159" s="61" t="str">
        <f>IFERROR(__xludf.DUMMYFUNCTION("INDIRECT(""'收支紀錄'!I""&amp;TO_TEXT(ROW()-$C$72))"),"飲料酒水")</f>
        <v>飲料酒水</v>
      </c>
      <c r="J1159" s="61" t="str">
        <f>IFERROR(__xludf.DUMMYFUNCTION("INDIRECT(""'收支紀錄'!J""&amp;TO_TEXT(ROW()-$C$72))"),"")</f>
        <v/>
      </c>
      <c r="K1159" s="61" t="str">
        <f>IFERROR(__xludf.DUMMYFUNCTION("INDIRECT(""'收支紀錄'!K""&amp;TO_TEXT(ROW()-$C$72))"),"")</f>
        <v/>
      </c>
      <c r="L1159" s="61" t="str">
        <f>IFERROR(__xludf.DUMMYFUNCTION("INDIRECT(""'收支紀錄'!L""&amp;TO_TEXT(ROW()-$C$72))"),"")</f>
        <v/>
      </c>
      <c r="M1159" s="61" t="str">
        <f>IFERROR(__xludf.DUMMYFUNCTION("INDIRECT(""'收支紀錄'!M""&amp;TO_TEXT(ROW()-$C$72))"),"")</f>
        <v/>
      </c>
      <c r="N1159" s="61" t="str">
        <f>IFERROR(__xludf.DUMMYFUNCTION("INDIRECT(""'收支紀錄'!N""&amp;TO_TEXT(ROW()-$C$72))"),"")</f>
        <v/>
      </c>
      <c r="O1159" s="61" t="str">
        <f>IFERROR(__xludf.DUMMYFUNCTION("INDIRECT(""'收支紀錄'!O""&amp;TO_TEXT(ROW()-$C$72))"),"")</f>
        <v/>
      </c>
      <c r="P1159" s="61" t="str">
        <f>IFERROR(__xludf.DUMMYFUNCTION("INDIRECT(""'收支紀錄'!P""&amp;TO_TEXT(ROW()-$C$72))"),"")</f>
        <v/>
      </c>
      <c r="Q1159" s="61" t="str">
        <f>IFERROR(__xludf.DUMMYFUNCTION("INDIRECT(""'收支紀錄'!Q""&amp;TO_TEXT(ROW()-$C$72))"),"")</f>
        <v/>
      </c>
      <c r="R1159" s="61" t="str">
        <f>IFERROR(__xludf.DUMMYFUNCTION("INDIRECT(""'收支紀錄'!R""&amp;TO_TEXT(ROW()-$C$72))"),"")</f>
        <v/>
      </c>
      <c r="S1159" s="61" t="str">
        <f>IFERROR(__xludf.DUMMYFUNCTION("INDIRECT(""'收支紀錄'!S""&amp;TO_TEXT(ROW()-$C$72))"),"")</f>
        <v/>
      </c>
      <c r="T1159" s="61" t="str">
        <f>IFERROR(__xludf.DUMMYFUNCTION("INDIRECT(""'收支紀錄'!T""&amp;TO_TEXT(ROW()-$C$72))"),"")</f>
        <v/>
      </c>
      <c r="U1159" s="62" t="str">
        <f>IFERROR(__xludf.DUMMYFUNCTION("IF(T1159=""是"",TEXTJOIN("""", TRUE, ""$"", TO_TEXT(C1159), S1159),"""")"),"")</f>
        <v/>
      </c>
    </row>
    <row r="1160">
      <c r="A1160" s="58">
        <f>IFERROR(__xludf.DUMMYFUNCTION("INDIRECT(""'收支紀錄'!A""&amp;TO_TEXT(ROW()-$C$72))"),45921.867685254634)</f>
        <v>45921.86769</v>
      </c>
      <c r="B1160" s="59">
        <f>IFERROR(__xludf.DUMMYFUNCTION("IF(ISBLANK(D1160), """", IF(ISDATE(D1160), D1160, IF(D1160=""今天"", A1160, IF(D1160=""昨天 (-1 day)"", A1160-1, IF(D1160=""前天 (-2 days)"", A1160-2, IF(D1160=""明天 (+1 day)"", A1160+1, DATE(LEFT(D1160,4), MID(D1160,5,2), RIGHT(D1160,2))))))))"),45921.867685254634)</f>
        <v>45921.86769</v>
      </c>
      <c r="C1160" s="60">
        <f>IFERROR(__xludf.DUMMYFUNCTION("INDIRECT(""'收支紀錄'!C""&amp;TO_TEXT(ROW()-$C$72))"),476.0)</f>
        <v>476</v>
      </c>
      <c r="D1160" s="63" t="str">
        <f>IFERROR(__xludf.DUMMYFUNCTION("INDIRECT(""'收支紀錄'!D""&amp;TO_TEXT(ROW()-$C$72))"),"今天")</f>
        <v>今天</v>
      </c>
      <c r="E1160" s="61" t="str">
        <f>IFERROR(__xludf.DUMMYFUNCTION("INDIRECT(""'收支紀錄'!E""&amp;TO_TEXT(ROW()-$C$72))"),"")</f>
        <v/>
      </c>
      <c r="F1160" s="61" t="str">
        <f>IFERROR(__xludf.DUMMYFUNCTION("INDIRECT(""'收支紀錄'!F""&amp;TO_TEXT(ROW()-$C$72))"),"")</f>
        <v/>
      </c>
      <c r="G1160" s="61" t="str">
        <f>IFERROR(__xludf.DUMMYFUNCTION("INDIRECT(""'收支紀錄'!G""&amp;TO_TEXT(ROW()-$C$72))"),"")</f>
        <v/>
      </c>
      <c r="H1160" s="61" t="str">
        <f>IFERROR(__xludf.DUMMYFUNCTION("INDIRECT(""'收支紀錄'!H""&amp;TO_TEXT(ROW()-$C$72))"),"房屋支出")</f>
        <v>房屋支出</v>
      </c>
      <c r="I1160" s="61" t="str">
        <f>IFERROR(__xludf.DUMMYFUNCTION("INDIRECT(""'收支紀錄'!I""&amp;TO_TEXT(ROW()-$C$72))"),"")</f>
        <v/>
      </c>
      <c r="J1160" s="61" t="str">
        <f>IFERROR(__xludf.DUMMYFUNCTION("INDIRECT(""'收支紀錄'!J""&amp;TO_TEXT(ROW()-$C$72))"),"")</f>
        <v/>
      </c>
      <c r="K1160" s="61" t="str">
        <f>IFERROR(__xludf.DUMMYFUNCTION("INDIRECT(""'收支紀錄'!K""&amp;TO_TEXT(ROW()-$C$72))"),"租屋電費")</f>
        <v>租屋電費</v>
      </c>
      <c r="L1160" s="61" t="str">
        <f>IFERROR(__xludf.DUMMYFUNCTION("INDIRECT(""'收支紀錄'!L""&amp;TO_TEXT(ROW()-$C$72))"),"")</f>
        <v/>
      </c>
      <c r="M1160" s="61" t="str">
        <f>IFERROR(__xludf.DUMMYFUNCTION("INDIRECT(""'收支紀錄'!M""&amp;TO_TEXT(ROW()-$C$72))"),"")</f>
        <v/>
      </c>
      <c r="N1160" s="61" t="str">
        <f>IFERROR(__xludf.DUMMYFUNCTION("INDIRECT(""'收支紀錄'!N""&amp;TO_TEXT(ROW()-$C$72))"),"")</f>
        <v/>
      </c>
      <c r="O1160" s="61" t="str">
        <f>IFERROR(__xludf.DUMMYFUNCTION("INDIRECT(""'收支紀錄'!O""&amp;TO_TEXT(ROW()-$C$72))"),"")</f>
        <v/>
      </c>
      <c r="P1160" s="61" t="str">
        <f>IFERROR(__xludf.DUMMYFUNCTION("INDIRECT(""'收支紀錄'!P""&amp;TO_TEXT(ROW()-$C$72))"),"")</f>
        <v/>
      </c>
      <c r="Q1160" s="61" t="str">
        <f>IFERROR(__xludf.DUMMYFUNCTION("INDIRECT(""'收支紀錄'!Q""&amp;TO_TEXT(ROW()-$C$72))"),"")</f>
        <v/>
      </c>
      <c r="R1160" s="61" t="str">
        <f>IFERROR(__xludf.DUMMYFUNCTION("INDIRECT(""'收支紀錄'!R""&amp;TO_TEXT(ROW()-$C$72))"),"")</f>
        <v/>
      </c>
      <c r="S1160" s="61" t="str">
        <f>IFERROR(__xludf.DUMMYFUNCTION("INDIRECT(""'收支紀錄'!S""&amp;TO_TEXT(ROW()-$C$72))"),"")</f>
        <v/>
      </c>
      <c r="T1160" s="61" t="str">
        <f>IFERROR(__xludf.DUMMYFUNCTION("INDIRECT(""'收支紀錄'!T""&amp;TO_TEXT(ROW()-$C$72))"),"")</f>
        <v/>
      </c>
      <c r="U1160" s="62" t="str">
        <f>IFERROR(__xludf.DUMMYFUNCTION("IF(T1160=""是"",TEXTJOIN("""", TRUE, ""$"", TO_TEXT(C1160), S1160),"""")"),"")</f>
        <v/>
      </c>
    </row>
    <row r="1161">
      <c r="A1161" s="58">
        <f>IFERROR(__xludf.DUMMYFUNCTION("INDIRECT(""'收支紀錄'!A""&amp;TO_TEXT(ROW()-$C$72))"),45925.31544972223)</f>
        <v>45925.31545</v>
      </c>
      <c r="B1161" s="59">
        <f>IFERROR(__xludf.DUMMYFUNCTION("IF(ISBLANK(D1161), """", IF(ISDATE(D1161), D1161, IF(D1161=""今天"", A1161, IF(D1161=""昨天 (-1 day)"", A1161-1, IF(D1161=""前天 (-2 days)"", A1161-2, IF(D1161=""明天 (+1 day)"", A1161+1, DATE(LEFT(D1161,4), MID(D1161,5,2), RIGHT(D1161,2))))))))"),45924.31544972223)</f>
        <v>45924.31545</v>
      </c>
      <c r="C1161" s="60">
        <f>IFERROR(__xludf.DUMMYFUNCTION("INDIRECT(""'收支紀錄'!C""&amp;TO_TEXT(ROW()-$C$72))"),1800.0)</f>
        <v>1800</v>
      </c>
      <c r="D1161" s="63" t="str">
        <f>IFERROR(__xludf.DUMMYFUNCTION("INDIRECT(""'收支紀錄'!D""&amp;TO_TEXT(ROW()-$C$72))"),"昨天 (-1 day)")</f>
        <v>昨天 (-1 day)</v>
      </c>
      <c r="E1161" s="61" t="str">
        <f>IFERROR(__xludf.DUMMYFUNCTION("INDIRECT(""'收支紀錄'!E""&amp;TO_TEXT(ROW()-$C$72))"),"")</f>
        <v/>
      </c>
      <c r="F1161" s="61" t="str">
        <f>IFERROR(__xludf.DUMMYFUNCTION("INDIRECT(""'收支紀錄'!F""&amp;TO_TEXT(ROW()-$C$72))"),"")</f>
        <v/>
      </c>
      <c r="G1161" s="61" t="str">
        <f>IFERROR(__xludf.DUMMYFUNCTION("INDIRECT(""'收支紀錄'!G""&amp;TO_TEXT(ROW()-$C$72))"),"")</f>
        <v/>
      </c>
      <c r="H1161" s="61" t="str">
        <f>IFERROR(__xludf.DUMMYFUNCTION("INDIRECT(""'收支紀錄'!H""&amp;TO_TEXT(ROW()-$C$72))"),"醫療費用")</f>
        <v>醫療費用</v>
      </c>
      <c r="I1161" s="61" t="str">
        <f>IFERROR(__xludf.DUMMYFUNCTION("INDIRECT(""'收支紀錄'!I""&amp;TO_TEXT(ROW()-$C$72))"),"")</f>
        <v/>
      </c>
      <c r="J1161" s="61" t="str">
        <f>IFERROR(__xludf.DUMMYFUNCTION("INDIRECT(""'收支紀錄'!J""&amp;TO_TEXT(ROW()-$C$72))"),"")</f>
        <v/>
      </c>
      <c r="K1161" s="61" t="str">
        <f>IFERROR(__xludf.DUMMYFUNCTION("INDIRECT(""'收支紀錄'!K""&amp;TO_TEXT(ROW()-$C$72))"),"")</f>
        <v/>
      </c>
      <c r="L1161" s="61" t="str">
        <f>IFERROR(__xludf.DUMMYFUNCTION("INDIRECT(""'收支紀錄'!L""&amp;TO_TEXT(ROW()-$C$72))"),"")</f>
        <v/>
      </c>
      <c r="M1161" s="61" t="str">
        <f>IFERROR(__xludf.DUMMYFUNCTION("INDIRECT(""'收支紀錄'!M""&amp;TO_TEXT(ROW()-$C$72))"),"")</f>
        <v/>
      </c>
      <c r="N1161" s="61" t="str">
        <f>IFERROR(__xludf.DUMMYFUNCTION("INDIRECT(""'收支紀錄'!N""&amp;TO_TEXT(ROW()-$C$72))"),"")</f>
        <v/>
      </c>
      <c r="O1161" s="61" t="str">
        <f>IFERROR(__xludf.DUMMYFUNCTION("INDIRECT(""'收支紀錄'!O""&amp;TO_TEXT(ROW()-$C$72))"),"生病醫療")</f>
        <v>生病醫療</v>
      </c>
      <c r="P1161" s="61" t="str">
        <f>IFERROR(__xludf.DUMMYFUNCTION("INDIRECT(""'收支紀錄'!P""&amp;TO_TEXT(ROW()-$C$72))"),"")</f>
        <v/>
      </c>
      <c r="Q1161" s="61" t="str">
        <f>IFERROR(__xludf.DUMMYFUNCTION("INDIRECT(""'收支紀錄'!Q""&amp;TO_TEXT(ROW()-$C$72))"),"")</f>
        <v/>
      </c>
      <c r="R1161" s="61" t="str">
        <f>IFERROR(__xludf.DUMMYFUNCTION("INDIRECT(""'收支紀錄'!R""&amp;TO_TEXT(ROW()-$C$72))"),"")</f>
        <v/>
      </c>
      <c r="S1161" s="61" t="str">
        <f>IFERROR(__xludf.DUMMYFUNCTION("INDIRECT(""'收支紀錄'!S""&amp;TO_TEXT(ROW()-$C$72))"),"點痣")</f>
        <v>點痣</v>
      </c>
      <c r="T1161" s="61" t="str">
        <f>IFERROR(__xludf.DUMMYFUNCTION("INDIRECT(""'收支紀錄'!T""&amp;TO_TEXT(ROW()-$C$72))"),"是")</f>
        <v>是</v>
      </c>
      <c r="U1161" s="62" t="str">
        <f>IFERROR(__xludf.DUMMYFUNCTION("IF(T1161=""是"",TEXTJOIN("""", TRUE, ""$"", TO_TEXT(C1161), S1161),"""")"),"$1800點痣")</f>
        <v>$1800點痣</v>
      </c>
    </row>
    <row r="1162">
      <c r="A1162" s="58">
        <f>IFERROR(__xludf.DUMMYFUNCTION("INDIRECT(""'收支紀錄'!A""&amp;TO_TEXT(ROW()-$C$72))"),45925.31567524305)</f>
        <v>45925.31568</v>
      </c>
      <c r="B1162" s="59">
        <f>IFERROR(__xludf.DUMMYFUNCTION("IF(ISBLANK(D1162), """", IF(ISDATE(D1162), D1162, IF(D1162=""今天"", A1162, IF(D1162=""昨天 (-1 day)"", A1162-1, IF(D1162=""前天 (-2 days)"", A1162-2, IF(D1162=""明天 (+1 day)"", A1162+1, DATE(LEFT(D1162,4), MID(D1162,5,2), RIGHT(D1162,2))))))))"),45924.31567524305)</f>
        <v>45924.31568</v>
      </c>
      <c r="C1162" s="60">
        <f>IFERROR(__xludf.DUMMYFUNCTION("INDIRECT(""'收支紀錄'!C""&amp;TO_TEXT(ROW()-$C$72))"),65.0)</f>
        <v>65</v>
      </c>
      <c r="D1162" s="63" t="str">
        <f>IFERROR(__xludf.DUMMYFUNCTION("INDIRECT(""'收支紀錄'!D""&amp;TO_TEXT(ROW()-$C$72))"),"昨天 (-1 day)")</f>
        <v>昨天 (-1 day)</v>
      </c>
      <c r="E1162" s="61" t="str">
        <f>IFERROR(__xludf.DUMMYFUNCTION("INDIRECT(""'收支紀錄'!E""&amp;TO_TEXT(ROW()-$C$72))"),"")</f>
        <v/>
      </c>
      <c r="F1162" s="61" t="str">
        <f>IFERROR(__xludf.DUMMYFUNCTION("INDIRECT(""'收支紀錄'!F""&amp;TO_TEXT(ROW()-$C$72))"),"")</f>
        <v/>
      </c>
      <c r="G1162" s="61" t="str">
        <f>IFERROR(__xludf.DUMMYFUNCTION("INDIRECT(""'收支紀錄'!G""&amp;TO_TEXT(ROW()-$C$72))"),"")</f>
        <v/>
      </c>
      <c r="H1162" s="61" t="str">
        <f>IFERROR(__xludf.DUMMYFUNCTION("INDIRECT(""'收支紀錄'!H""&amp;TO_TEXT(ROW()-$C$72))"),"日常生活")</f>
        <v>日常生活</v>
      </c>
      <c r="I1162" s="61" t="str">
        <f>IFERROR(__xludf.DUMMYFUNCTION("INDIRECT(""'收支紀錄'!I""&amp;TO_TEXT(ROW()-$C$72))"),"")</f>
        <v/>
      </c>
      <c r="J1162" s="61" t="str">
        <f>IFERROR(__xludf.DUMMYFUNCTION("INDIRECT(""'收支紀錄'!J""&amp;TO_TEXT(ROW()-$C$72))"),"日常用品")</f>
        <v>日常用品</v>
      </c>
      <c r="K1162" s="61" t="str">
        <f>IFERROR(__xludf.DUMMYFUNCTION("INDIRECT(""'收支紀錄'!K""&amp;TO_TEXT(ROW()-$C$72))"),"")</f>
        <v/>
      </c>
      <c r="L1162" s="61" t="str">
        <f>IFERROR(__xludf.DUMMYFUNCTION("INDIRECT(""'收支紀錄'!L""&amp;TO_TEXT(ROW()-$C$72))"),"")</f>
        <v/>
      </c>
      <c r="M1162" s="61" t="str">
        <f>IFERROR(__xludf.DUMMYFUNCTION("INDIRECT(""'收支紀錄'!M""&amp;TO_TEXT(ROW()-$C$72))"),"")</f>
        <v/>
      </c>
      <c r="N1162" s="61" t="str">
        <f>IFERROR(__xludf.DUMMYFUNCTION("INDIRECT(""'收支紀錄'!N""&amp;TO_TEXT(ROW()-$C$72))"),"")</f>
        <v/>
      </c>
      <c r="O1162" s="61" t="str">
        <f>IFERROR(__xludf.DUMMYFUNCTION("INDIRECT(""'收支紀錄'!O""&amp;TO_TEXT(ROW()-$C$72))"),"")</f>
        <v/>
      </c>
      <c r="P1162" s="61" t="str">
        <f>IFERROR(__xludf.DUMMYFUNCTION("INDIRECT(""'收支紀錄'!P""&amp;TO_TEXT(ROW()-$C$72))"),"")</f>
        <v/>
      </c>
      <c r="Q1162" s="61" t="str">
        <f>IFERROR(__xludf.DUMMYFUNCTION("INDIRECT(""'收支紀錄'!Q""&amp;TO_TEXT(ROW()-$C$72))"),"")</f>
        <v/>
      </c>
      <c r="R1162" s="61" t="str">
        <f>IFERROR(__xludf.DUMMYFUNCTION("INDIRECT(""'收支紀錄'!R""&amp;TO_TEXT(ROW()-$C$72))"),"")</f>
        <v/>
      </c>
      <c r="S1162" s="61" t="str">
        <f>IFERROR(__xludf.DUMMYFUNCTION("INDIRECT(""'收支紀錄'!S""&amp;TO_TEXT(ROW()-$C$72))"),"")</f>
        <v/>
      </c>
      <c r="T1162" s="61" t="str">
        <f>IFERROR(__xludf.DUMMYFUNCTION("INDIRECT(""'收支紀錄'!T""&amp;TO_TEXT(ROW()-$C$72))"),"")</f>
        <v/>
      </c>
      <c r="U1162" s="62" t="str">
        <f>IFERROR(__xludf.DUMMYFUNCTION("IF(T1162=""是"",TEXTJOIN("""", TRUE, ""$"", TO_TEXT(C1162), S1162),"""")"),"")</f>
        <v/>
      </c>
    </row>
    <row r="1163">
      <c r="A1163" s="58">
        <f>IFERROR(__xludf.DUMMYFUNCTION("INDIRECT(""'收支紀錄'!A""&amp;TO_TEXT(ROW()-$C$72))"),45925.96553681713)</f>
        <v>45925.96554</v>
      </c>
      <c r="B1163" s="59">
        <f>IFERROR(__xludf.DUMMYFUNCTION("IF(ISBLANK(D1163), """", IF(ISDATE(D1163), D1163, IF(D1163=""今天"", A1163, IF(D1163=""昨天 (-1 day)"", A1163-1, IF(D1163=""前天 (-2 days)"", A1163-2, IF(D1163=""明天 (+1 day)"", A1163+1, DATE(LEFT(D1163,4), MID(D1163,5,2), RIGHT(D1163,2))))))))"),45925.96553681713)</f>
        <v>45925.96554</v>
      </c>
      <c r="C1163" s="60">
        <f>IFERROR(__xludf.DUMMYFUNCTION("INDIRECT(""'收支紀錄'!C""&amp;TO_TEXT(ROW()-$C$72))"),152.0)</f>
        <v>152</v>
      </c>
      <c r="D1163" s="63" t="str">
        <f>IFERROR(__xludf.DUMMYFUNCTION("INDIRECT(""'收支紀錄'!D""&amp;TO_TEXT(ROW()-$C$72))"),"今天")</f>
        <v>今天</v>
      </c>
      <c r="E1163" s="61" t="str">
        <f>IFERROR(__xludf.DUMMYFUNCTION("INDIRECT(""'收支紀錄'!E""&amp;TO_TEXT(ROW()-$C$72))"),"")</f>
        <v/>
      </c>
      <c r="F1163" s="61" t="str">
        <f>IFERROR(__xludf.DUMMYFUNCTION("INDIRECT(""'收支紀錄'!F""&amp;TO_TEXT(ROW()-$C$72))"),"")</f>
        <v/>
      </c>
      <c r="G1163" s="61" t="str">
        <f>IFERROR(__xludf.DUMMYFUNCTION("INDIRECT(""'收支紀錄'!G""&amp;TO_TEXT(ROW()-$C$72))"),"")</f>
        <v/>
      </c>
      <c r="H1163" s="61" t="str">
        <f>IFERROR(__xludf.DUMMYFUNCTION("INDIRECT(""'收支紀錄'!H""&amp;TO_TEXT(ROW()-$C$72))"),"行車交通")</f>
        <v>行車交通</v>
      </c>
      <c r="I1163" s="61" t="str">
        <f>IFERROR(__xludf.DUMMYFUNCTION("INDIRECT(""'收支紀錄'!I""&amp;TO_TEXT(ROW()-$C$72))"),"")</f>
        <v/>
      </c>
      <c r="J1163" s="61" t="str">
        <f>IFERROR(__xludf.DUMMYFUNCTION("INDIRECT(""'收支紀錄'!J""&amp;TO_TEXT(ROW()-$C$72))"),"")</f>
        <v/>
      </c>
      <c r="K1163" s="61" t="str">
        <f>IFERROR(__xludf.DUMMYFUNCTION("INDIRECT(""'收支紀錄'!K""&amp;TO_TEXT(ROW()-$C$72))"),"")</f>
        <v/>
      </c>
      <c r="L1163" s="61" t="str">
        <f>IFERROR(__xludf.DUMMYFUNCTION("INDIRECT(""'收支紀錄'!L""&amp;TO_TEXT(ROW()-$C$72))"),"加油")</f>
        <v>加油</v>
      </c>
      <c r="M1163" s="61" t="str">
        <f>IFERROR(__xludf.DUMMYFUNCTION("INDIRECT(""'收支紀錄'!M""&amp;TO_TEXT(ROW()-$C$72))"),"")</f>
        <v/>
      </c>
      <c r="N1163" s="61" t="str">
        <f>IFERROR(__xludf.DUMMYFUNCTION("INDIRECT(""'收支紀錄'!N""&amp;TO_TEXT(ROW()-$C$72))"),"")</f>
        <v/>
      </c>
      <c r="O1163" s="61" t="str">
        <f>IFERROR(__xludf.DUMMYFUNCTION("INDIRECT(""'收支紀錄'!O""&amp;TO_TEXT(ROW()-$C$72))"),"")</f>
        <v/>
      </c>
      <c r="P1163" s="61" t="str">
        <f>IFERROR(__xludf.DUMMYFUNCTION("INDIRECT(""'收支紀錄'!P""&amp;TO_TEXT(ROW()-$C$72))"),"")</f>
        <v/>
      </c>
      <c r="Q1163" s="61" t="str">
        <f>IFERROR(__xludf.DUMMYFUNCTION("INDIRECT(""'收支紀錄'!Q""&amp;TO_TEXT(ROW()-$C$72))"),"")</f>
        <v/>
      </c>
      <c r="R1163" s="61" t="str">
        <f>IFERROR(__xludf.DUMMYFUNCTION("INDIRECT(""'收支紀錄'!R""&amp;TO_TEXT(ROW()-$C$72))"),"")</f>
        <v/>
      </c>
      <c r="S1163" s="61" t="str">
        <f>IFERROR(__xludf.DUMMYFUNCTION("INDIRECT(""'收支紀錄'!S""&amp;TO_TEXT(ROW()-$C$72))"),"")</f>
        <v/>
      </c>
      <c r="T1163" s="61" t="str">
        <f>IFERROR(__xludf.DUMMYFUNCTION("INDIRECT(""'收支紀錄'!T""&amp;TO_TEXT(ROW()-$C$72))"),"")</f>
        <v/>
      </c>
      <c r="U1163" s="62" t="str">
        <f>IFERROR(__xludf.DUMMYFUNCTION("IF(T1163=""是"",TEXTJOIN("""", TRUE, ""$"", TO_TEXT(C1163), S1163),"""")"),"")</f>
        <v/>
      </c>
    </row>
    <row r="1164">
      <c r="A1164" s="58">
        <f>IFERROR(__xludf.DUMMYFUNCTION("INDIRECT(""'收支紀錄'!A""&amp;TO_TEXT(ROW()-$C$72))"),45925.96567790509)</f>
        <v>45925.96568</v>
      </c>
      <c r="B1164" s="59">
        <f>IFERROR(__xludf.DUMMYFUNCTION("IF(ISBLANK(D1164), """", IF(ISDATE(D1164), D1164, IF(D1164=""今天"", A1164, IF(D1164=""昨天 (-1 day)"", A1164-1, IF(D1164=""前天 (-2 days)"", A1164-2, IF(D1164=""明天 (+1 day)"", A1164+1, DATE(LEFT(D1164,4), MID(D1164,5,2), RIGHT(D1164,2))))))))"),45925.96567790509)</f>
        <v>45925.96568</v>
      </c>
      <c r="C1164" s="60">
        <f>IFERROR(__xludf.DUMMYFUNCTION("INDIRECT(""'收支紀錄'!C""&amp;TO_TEXT(ROW()-$C$72))"),100.0)</f>
        <v>100</v>
      </c>
      <c r="D1164" s="63" t="str">
        <f>IFERROR(__xludf.DUMMYFUNCTION("INDIRECT(""'收支紀錄'!D""&amp;TO_TEXT(ROW()-$C$72))"),"今天")</f>
        <v>今天</v>
      </c>
      <c r="E1164" s="61" t="str">
        <f>IFERROR(__xludf.DUMMYFUNCTION("INDIRECT(""'收支紀錄'!E""&amp;TO_TEXT(ROW()-$C$72))"),"")</f>
        <v/>
      </c>
      <c r="F1164" s="61" t="str">
        <f>IFERROR(__xludf.DUMMYFUNCTION("INDIRECT(""'收支紀錄'!F""&amp;TO_TEXT(ROW()-$C$72))"),"")</f>
        <v/>
      </c>
      <c r="G1164" s="61" t="str">
        <f>IFERROR(__xludf.DUMMYFUNCTION("INDIRECT(""'收支紀錄'!G""&amp;TO_TEXT(ROW()-$C$72))"),"")</f>
        <v/>
      </c>
      <c r="H1164" s="61" t="str">
        <f>IFERROR(__xludf.DUMMYFUNCTION("INDIRECT(""'收支紀錄'!H""&amp;TO_TEXT(ROW()-$C$72))"),"日常生活")</f>
        <v>日常生活</v>
      </c>
      <c r="I1164" s="61" t="str">
        <f>IFERROR(__xludf.DUMMYFUNCTION("INDIRECT(""'收支紀錄'!I""&amp;TO_TEXT(ROW()-$C$72))"),"")</f>
        <v/>
      </c>
      <c r="J1164" s="61" t="str">
        <f>IFERROR(__xludf.DUMMYFUNCTION("INDIRECT(""'收支紀錄'!J""&amp;TO_TEXT(ROW()-$C$72))"),"日常用品")</f>
        <v>日常用品</v>
      </c>
      <c r="K1164" s="61" t="str">
        <f>IFERROR(__xludf.DUMMYFUNCTION("INDIRECT(""'收支紀錄'!K""&amp;TO_TEXT(ROW()-$C$72))"),"")</f>
        <v/>
      </c>
      <c r="L1164" s="61" t="str">
        <f>IFERROR(__xludf.DUMMYFUNCTION("INDIRECT(""'收支紀錄'!L""&amp;TO_TEXT(ROW()-$C$72))"),"")</f>
        <v/>
      </c>
      <c r="M1164" s="61" t="str">
        <f>IFERROR(__xludf.DUMMYFUNCTION("INDIRECT(""'收支紀錄'!M""&amp;TO_TEXT(ROW()-$C$72))"),"")</f>
        <v/>
      </c>
      <c r="N1164" s="61" t="str">
        <f>IFERROR(__xludf.DUMMYFUNCTION("INDIRECT(""'收支紀錄'!N""&amp;TO_TEXT(ROW()-$C$72))"),"")</f>
        <v/>
      </c>
      <c r="O1164" s="61" t="str">
        <f>IFERROR(__xludf.DUMMYFUNCTION("INDIRECT(""'收支紀錄'!O""&amp;TO_TEXT(ROW()-$C$72))"),"")</f>
        <v/>
      </c>
      <c r="P1164" s="61" t="str">
        <f>IFERROR(__xludf.DUMMYFUNCTION("INDIRECT(""'收支紀錄'!P""&amp;TO_TEXT(ROW()-$C$72))"),"")</f>
        <v/>
      </c>
      <c r="Q1164" s="61" t="str">
        <f>IFERROR(__xludf.DUMMYFUNCTION("INDIRECT(""'收支紀錄'!Q""&amp;TO_TEXT(ROW()-$C$72))"),"")</f>
        <v/>
      </c>
      <c r="R1164" s="61" t="str">
        <f>IFERROR(__xludf.DUMMYFUNCTION("INDIRECT(""'收支紀錄'!R""&amp;TO_TEXT(ROW()-$C$72))"),"")</f>
        <v/>
      </c>
      <c r="S1164" s="61" t="str">
        <f>IFERROR(__xludf.DUMMYFUNCTION("INDIRECT(""'收支紀錄'!S""&amp;TO_TEXT(ROW()-$C$72))"),"")</f>
        <v/>
      </c>
      <c r="T1164" s="61" t="str">
        <f>IFERROR(__xludf.DUMMYFUNCTION("INDIRECT(""'收支紀錄'!T""&amp;TO_TEXT(ROW()-$C$72))"),"")</f>
        <v/>
      </c>
      <c r="U1164" s="62" t="str">
        <f>IFERROR(__xludf.DUMMYFUNCTION("IF(T1164=""是"",TEXTJOIN("""", TRUE, ""$"", TO_TEXT(C1164), S1164),"""")"),"")</f>
        <v/>
      </c>
    </row>
    <row r="1165">
      <c r="A1165" s="58">
        <f>IFERROR(__xludf.DUMMYFUNCTION("INDIRECT(""'收支紀錄'!A""&amp;TO_TEXT(ROW()-$C$72))"),45926.840642337964)</f>
        <v>45926.84064</v>
      </c>
      <c r="B1165" s="59">
        <f>IFERROR(__xludf.DUMMYFUNCTION("IF(ISBLANK(D1165), """", IF(ISDATE(D1165), D1165, IF(D1165=""今天"", A1165, IF(D1165=""昨天 (-1 day)"", A1165-1, IF(D1165=""前天 (-2 days)"", A1165-2, IF(D1165=""明天 (+1 day)"", A1165+1, DATE(LEFT(D1165,4), MID(D1165,5,2), RIGHT(D1165,2))))))))"),45926.840642337964)</f>
        <v>45926.84064</v>
      </c>
      <c r="C1165" s="60">
        <f>IFERROR(__xludf.DUMMYFUNCTION("INDIRECT(""'收支紀錄'!C""&amp;TO_TEXT(ROW()-$C$72))"),716.0)</f>
        <v>716</v>
      </c>
      <c r="D1165" s="63" t="str">
        <f>IFERROR(__xludf.DUMMYFUNCTION("INDIRECT(""'收支紀錄'!D""&amp;TO_TEXT(ROW()-$C$72))"),"今天")</f>
        <v>今天</v>
      </c>
      <c r="E1165" s="61" t="str">
        <f>IFERROR(__xludf.DUMMYFUNCTION("INDIRECT(""'收支紀錄'!E""&amp;TO_TEXT(ROW()-$C$72))"),"")</f>
        <v/>
      </c>
      <c r="F1165" s="61" t="str">
        <f>IFERROR(__xludf.DUMMYFUNCTION("INDIRECT(""'收支紀錄'!F""&amp;TO_TEXT(ROW()-$C$72))"),"")</f>
        <v/>
      </c>
      <c r="G1165" s="61" t="str">
        <f>IFERROR(__xludf.DUMMYFUNCTION("INDIRECT(""'收支紀錄'!G""&amp;TO_TEXT(ROW()-$C$72))"),"")</f>
        <v/>
      </c>
      <c r="H1165" s="61" t="str">
        <f>IFERROR(__xludf.DUMMYFUNCTION("INDIRECT(""'收支紀錄'!H""&amp;TO_TEXT(ROW()-$C$72))"),"行車交通")</f>
        <v>行車交通</v>
      </c>
      <c r="I1165" s="61" t="str">
        <f>IFERROR(__xludf.DUMMYFUNCTION("INDIRECT(""'收支紀錄'!I""&amp;TO_TEXT(ROW()-$C$72))"),"")</f>
        <v/>
      </c>
      <c r="J1165" s="61" t="str">
        <f>IFERROR(__xludf.DUMMYFUNCTION("INDIRECT(""'收支紀錄'!J""&amp;TO_TEXT(ROW()-$C$72))"),"")</f>
        <v/>
      </c>
      <c r="K1165" s="61" t="str">
        <f>IFERROR(__xludf.DUMMYFUNCTION("INDIRECT(""'收支紀錄'!K""&amp;TO_TEXT(ROW()-$C$72))"),"")</f>
        <v/>
      </c>
      <c r="L1165" s="61" t="str">
        <f>IFERROR(__xludf.DUMMYFUNCTION("INDIRECT(""'收支紀錄'!L""&amp;TO_TEXT(ROW()-$C$72))"),"加油")</f>
        <v>加油</v>
      </c>
      <c r="M1165" s="61" t="str">
        <f>IFERROR(__xludf.DUMMYFUNCTION("INDIRECT(""'收支紀錄'!M""&amp;TO_TEXT(ROW()-$C$72))"),"")</f>
        <v/>
      </c>
      <c r="N1165" s="61" t="str">
        <f>IFERROR(__xludf.DUMMYFUNCTION("INDIRECT(""'收支紀錄'!N""&amp;TO_TEXT(ROW()-$C$72))"),"")</f>
        <v/>
      </c>
      <c r="O1165" s="61" t="str">
        <f>IFERROR(__xludf.DUMMYFUNCTION("INDIRECT(""'收支紀錄'!O""&amp;TO_TEXT(ROW()-$C$72))"),"")</f>
        <v/>
      </c>
      <c r="P1165" s="61" t="str">
        <f>IFERROR(__xludf.DUMMYFUNCTION("INDIRECT(""'收支紀錄'!P""&amp;TO_TEXT(ROW()-$C$72))"),"")</f>
        <v/>
      </c>
      <c r="Q1165" s="61" t="str">
        <f>IFERROR(__xludf.DUMMYFUNCTION("INDIRECT(""'收支紀錄'!Q""&amp;TO_TEXT(ROW()-$C$72))"),"")</f>
        <v/>
      </c>
      <c r="R1165" s="61" t="str">
        <f>IFERROR(__xludf.DUMMYFUNCTION("INDIRECT(""'收支紀錄'!R""&amp;TO_TEXT(ROW()-$C$72))"),"")</f>
        <v/>
      </c>
      <c r="S1165" s="61" t="str">
        <f>IFERROR(__xludf.DUMMYFUNCTION("INDIRECT(""'收支紀錄'!S""&amp;TO_TEXT(ROW()-$C$72))"),"")</f>
        <v/>
      </c>
      <c r="T1165" s="61" t="str">
        <f>IFERROR(__xludf.DUMMYFUNCTION("INDIRECT(""'收支紀錄'!T""&amp;TO_TEXT(ROW()-$C$72))"),"")</f>
        <v/>
      </c>
      <c r="U1165" s="62" t="str">
        <f>IFERROR(__xludf.DUMMYFUNCTION("IF(T1165=""是"",TEXTJOIN("""", TRUE, ""$"", TO_TEXT(C1165), S1165),"""")"),"")</f>
        <v/>
      </c>
    </row>
    <row r="1166">
      <c r="A1166" s="58">
        <f>IFERROR(__xludf.DUMMYFUNCTION("INDIRECT(""'收支紀錄'!A""&amp;TO_TEXT(ROW()-$C$72))"),45927.45035796297)</f>
        <v>45927.45036</v>
      </c>
      <c r="B1166" s="59">
        <f>IFERROR(__xludf.DUMMYFUNCTION("IF(ISBLANK(D1166), """", IF(ISDATE(D1166), D1166, IF(D1166=""今天"", A1166, IF(D1166=""昨天 (-1 day)"", A1166-1, IF(D1166=""前天 (-2 days)"", A1166-2, IF(D1166=""明天 (+1 day)"", A1166+1, DATE(LEFT(D1166,4), MID(D1166,5,2), RIGHT(D1166,2))))))))"),45927.45035796297)</f>
        <v>45927.45036</v>
      </c>
      <c r="C1166" s="60">
        <f>IFERROR(__xludf.DUMMYFUNCTION("INDIRECT(""'收支紀錄'!C""&amp;TO_TEXT(ROW()-$C$72))"),1794.0)</f>
        <v>1794</v>
      </c>
      <c r="D1166" s="63" t="str">
        <f>IFERROR(__xludf.DUMMYFUNCTION("INDIRECT(""'收支紀錄'!D""&amp;TO_TEXT(ROW()-$C$72))"),"今天")</f>
        <v>今天</v>
      </c>
      <c r="E1166" s="61" t="str">
        <f>IFERROR(__xludf.DUMMYFUNCTION("INDIRECT(""'收支紀錄'!E""&amp;TO_TEXT(ROW()-$C$72))"),"")</f>
        <v/>
      </c>
      <c r="F1166" s="61" t="str">
        <f>IFERROR(__xludf.DUMMYFUNCTION("INDIRECT(""'收支紀錄'!F""&amp;TO_TEXT(ROW()-$C$72))"),"")</f>
        <v/>
      </c>
      <c r="G1166" s="61" t="str">
        <f>IFERROR(__xludf.DUMMYFUNCTION("INDIRECT(""'收支紀錄'!G""&amp;TO_TEXT(ROW()-$C$72))"),"")</f>
        <v/>
      </c>
      <c r="H1166" s="61" t="str">
        <f>IFERROR(__xludf.DUMMYFUNCTION("INDIRECT(""'收支紀錄'!H""&amp;TO_TEXT(ROW()-$C$72))"),"食品酒水")</f>
        <v>食品酒水</v>
      </c>
      <c r="I1166" s="61" t="str">
        <f>IFERROR(__xludf.DUMMYFUNCTION("INDIRECT(""'收支紀錄'!I""&amp;TO_TEXT(ROW()-$C$72))"),"伴手禮")</f>
        <v>伴手禮</v>
      </c>
      <c r="J1166" s="61" t="str">
        <f>IFERROR(__xludf.DUMMYFUNCTION("INDIRECT(""'收支紀錄'!J""&amp;TO_TEXT(ROW()-$C$72))"),"")</f>
        <v/>
      </c>
      <c r="K1166" s="61" t="str">
        <f>IFERROR(__xludf.DUMMYFUNCTION("INDIRECT(""'收支紀錄'!K""&amp;TO_TEXT(ROW()-$C$72))"),"")</f>
        <v/>
      </c>
      <c r="L1166" s="61" t="str">
        <f>IFERROR(__xludf.DUMMYFUNCTION("INDIRECT(""'收支紀錄'!L""&amp;TO_TEXT(ROW()-$C$72))"),"")</f>
        <v/>
      </c>
      <c r="M1166" s="61" t="str">
        <f>IFERROR(__xludf.DUMMYFUNCTION("INDIRECT(""'收支紀錄'!M""&amp;TO_TEXT(ROW()-$C$72))"),"")</f>
        <v/>
      </c>
      <c r="N1166" s="61" t="str">
        <f>IFERROR(__xludf.DUMMYFUNCTION("INDIRECT(""'收支紀錄'!N""&amp;TO_TEXT(ROW()-$C$72))"),"")</f>
        <v/>
      </c>
      <c r="O1166" s="61" t="str">
        <f>IFERROR(__xludf.DUMMYFUNCTION("INDIRECT(""'收支紀錄'!O""&amp;TO_TEXT(ROW()-$C$72))"),"")</f>
        <v/>
      </c>
      <c r="P1166" s="61" t="str">
        <f>IFERROR(__xludf.DUMMYFUNCTION("INDIRECT(""'收支紀錄'!P""&amp;TO_TEXT(ROW()-$C$72))"),"")</f>
        <v/>
      </c>
      <c r="Q1166" s="61" t="str">
        <f>IFERROR(__xludf.DUMMYFUNCTION("INDIRECT(""'收支紀錄'!Q""&amp;TO_TEXT(ROW()-$C$72))"),"")</f>
        <v/>
      </c>
      <c r="R1166" s="61" t="str">
        <f>IFERROR(__xludf.DUMMYFUNCTION("INDIRECT(""'收支紀錄'!R""&amp;TO_TEXT(ROW()-$C$72))"),"")</f>
        <v/>
      </c>
      <c r="S1166" s="61" t="str">
        <f>IFERROR(__xludf.DUMMYFUNCTION("INDIRECT(""'收支紀錄'!S""&amp;TO_TEXT(ROW()-$C$72))"),"香格禮坊")</f>
        <v>香格禮坊</v>
      </c>
      <c r="T1166" s="61" t="str">
        <f>IFERROR(__xludf.DUMMYFUNCTION("INDIRECT(""'收支紀錄'!T""&amp;TO_TEXT(ROW()-$C$72))"),"")</f>
        <v/>
      </c>
      <c r="U1166" s="62" t="str">
        <f>IFERROR(__xludf.DUMMYFUNCTION("IF(T1166=""是"",TEXTJOIN("""", TRUE, ""$"", TO_TEXT(C1166), S1166),"""")"),"")</f>
        <v/>
      </c>
    </row>
    <row r="1167">
      <c r="A1167" s="58">
        <f>IFERROR(__xludf.DUMMYFUNCTION("INDIRECT(""'收支紀錄'!A""&amp;TO_TEXT(ROW()-$C$72))"),45927.450561261576)</f>
        <v>45927.45056</v>
      </c>
      <c r="B1167" s="59">
        <f>IFERROR(__xludf.DUMMYFUNCTION("IF(ISBLANK(D1167), """", IF(ISDATE(D1167), D1167, IF(D1167=""今天"", A1167, IF(D1167=""昨天 (-1 day)"", A1167-1, IF(D1167=""前天 (-2 days)"", A1167-2, IF(D1167=""明天 (+1 day)"", A1167+1, DATE(LEFT(D1167,4), MID(D1167,5,2), RIGHT(D1167,2))))))))"),45927.450561261576)</f>
        <v>45927.45056</v>
      </c>
      <c r="C1167" s="60">
        <f>IFERROR(__xludf.DUMMYFUNCTION("INDIRECT(""'收支紀錄'!C""&amp;TO_TEXT(ROW()-$C$72))"),86.0)</f>
        <v>86</v>
      </c>
      <c r="D1167" s="63" t="str">
        <f>IFERROR(__xludf.DUMMYFUNCTION("INDIRECT(""'收支紀錄'!D""&amp;TO_TEXT(ROW()-$C$72))"),"今天")</f>
        <v>今天</v>
      </c>
      <c r="E1167" s="61" t="str">
        <f>IFERROR(__xludf.DUMMYFUNCTION("INDIRECT(""'收支紀錄'!E""&amp;TO_TEXT(ROW()-$C$72))"),"")</f>
        <v/>
      </c>
      <c r="F1167" s="61" t="str">
        <f>IFERROR(__xludf.DUMMYFUNCTION("INDIRECT(""'收支紀錄'!F""&amp;TO_TEXT(ROW()-$C$72))"),"")</f>
        <v/>
      </c>
      <c r="G1167" s="61" t="str">
        <f>IFERROR(__xludf.DUMMYFUNCTION("INDIRECT(""'收支紀錄'!G""&amp;TO_TEXT(ROW()-$C$72))"),"")</f>
        <v/>
      </c>
      <c r="H1167" s="61" t="str">
        <f>IFERROR(__xludf.DUMMYFUNCTION("INDIRECT(""'收支紀錄'!H""&amp;TO_TEXT(ROW()-$C$72))"),"行車交通")</f>
        <v>行車交通</v>
      </c>
      <c r="I1167" s="61" t="str">
        <f>IFERROR(__xludf.DUMMYFUNCTION("INDIRECT(""'收支紀錄'!I""&amp;TO_TEXT(ROW()-$C$72))"),"")</f>
        <v/>
      </c>
      <c r="J1167" s="61" t="str">
        <f>IFERROR(__xludf.DUMMYFUNCTION("INDIRECT(""'收支紀錄'!J""&amp;TO_TEXT(ROW()-$C$72))"),"")</f>
        <v/>
      </c>
      <c r="K1167" s="61" t="str">
        <f>IFERROR(__xludf.DUMMYFUNCTION("INDIRECT(""'收支紀錄'!K""&amp;TO_TEXT(ROW()-$C$72))"),"")</f>
        <v/>
      </c>
      <c r="L1167" s="61" t="str">
        <f>IFERROR(__xludf.DUMMYFUNCTION("INDIRECT(""'收支紀錄'!L""&amp;TO_TEXT(ROW()-$C$72))"),"加油")</f>
        <v>加油</v>
      </c>
      <c r="M1167" s="61" t="str">
        <f>IFERROR(__xludf.DUMMYFUNCTION("INDIRECT(""'收支紀錄'!M""&amp;TO_TEXT(ROW()-$C$72))"),"")</f>
        <v/>
      </c>
      <c r="N1167" s="61" t="str">
        <f>IFERROR(__xludf.DUMMYFUNCTION("INDIRECT(""'收支紀錄'!N""&amp;TO_TEXT(ROW()-$C$72))"),"")</f>
        <v/>
      </c>
      <c r="O1167" s="61" t="str">
        <f>IFERROR(__xludf.DUMMYFUNCTION("INDIRECT(""'收支紀錄'!O""&amp;TO_TEXT(ROW()-$C$72))"),"")</f>
        <v/>
      </c>
      <c r="P1167" s="61" t="str">
        <f>IFERROR(__xludf.DUMMYFUNCTION("INDIRECT(""'收支紀錄'!P""&amp;TO_TEXT(ROW()-$C$72))"),"")</f>
        <v/>
      </c>
      <c r="Q1167" s="61" t="str">
        <f>IFERROR(__xludf.DUMMYFUNCTION("INDIRECT(""'收支紀錄'!Q""&amp;TO_TEXT(ROW()-$C$72))"),"")</f>
        <v/>
      </c>
      <c r="R1167" s="61" t="str">
        <f>IFERROR(__xludf.DUMMYFUNCTION("INDIRECT(""'收支紀錄'!R""&amp;TO_TEXT(ROW()-$C$72))"),"")</f>
        <v/>
      </c>
      <c r="S1167" s="61" t="str">
        <f>IFERROR(__xludf.DUMMYFUNCTION("INDIRECT(""'收支紀錄'!S""&amp;TO_TEXT(ROW()-$C$72))"),"")</f>
        <v/>
      </c>
      <c r="T1167" s="61" t="str">
        <f>IFERROR(__xludf.DUMMYFUNCTION("INDIRECT(""'收支紀錄'!T""&amp;TO_TEXT(ROW()-$C$72))"),"")</f>
        <v/>
      </c>
      <c r="U1167" s="62" t="str">
        <f>IFERROR(__xludf.DUMMYFUNCTION("IF(T1167=""是"",TEXTJOIN("""", TRUE, ""$"", TO_TEXT(C1167), S1167),"""")"),"")</f>
        <v/>
      </c>
    </row>
    <row r="1168">
      <c r="A1168" s="58">
        <f>IFERROR(__xludf.DUMMYFUNCTION("INDIRECT(""'收支紀錄'!A""&amp;TO_TEXT(ROW()-$C$72))"),45927.637086296294)</f>
        <v>45927.63709</v>
      </c>
      <c r="B1168" s="59">
        <f>IFERROR(__xludf.DUMMYFUNCTION("IF(ISBLANK(D1168), """", IF(ISDATE(D1168), D1168, IF(D1168=""今天"", A1168, IF(D1168=""昨天 (-1 day)"", A1168-1, IF(D1168=""前天 (-2 days)"", A1168-2, IF(D1168=""明天 (+1 day)"", A1168+1, DATE(LEFT(D1168,4), MID(D1168,5,2), RIGHT(D1168,2))))))))"),45927.637086296294)</f>
        <v>45927.63709</v>
      </c>
      <c r="C1168" s="60">
        <f>IFERROR(__xludf.DUMMYFUNCTION("INDIRECT(""'收支紀錄'!C""&amp;TO_TEXT(ROW()-$C$72))"),208.0)</f>
        <v>208</v>
      </c>
      <c r="D1168" s="63" t="str">
        <f>IFERROR(__xludf.DUMMYFUNCTION("INDIRECT(""'收支紀錄'!D""&amp;TO_TEXT(ROW()-$C$72))"),"今天")</f>
        <v>今天</v>
      </c>
      <c r="E1168" s="61" t="str">
        <f>IFERROR(__xludf.DUMMYFUNCTION("INDIRECT(""'收支紀錄'!E""&amp;TO_TEXT(ROW()-$C$72))"),"")</f>
        <v/>
      </c>
      <c r="F1168" s="61" t="str">
        <f>IFERROR(__xludf.DUMMYFUNCTION("INDIRECT(""'收支紀錄'!F""&amp;TO_TEXT(ROW()-$C$72))"),"")</f>
        <v/>
      </c>
      <c r="G1168" s="61" t="str">
        <f>IFERROR(__xludf.DUMMYFUNCTION("INDIRECT(""'收支紀錄'!G""&amp;TO_TEXT(ROW()-$C$72))"),"")</f>
        <v/>
      </c>
      <c r="H1168" s="61" t="str">
        <f>IFERROR(__xludf.DUMMYFUNCTION("INDIRECT(""'收支紀錄'!H""&amp;TO_TEXT(ROW()-$C$72))"),"食品酒水")</f>
        <v>食品酒水</v>
      </c>
      <c r="I1168" s="61" t="str">
        <f>IFERROR(__xludf.DUMMYFUNCTION("INDIRECT(""'收支紀錄'!I""&amp;TO_TEXT(ROW()-$C$72))"),"早餐")</f>
        <v>早餐</v>
      </c>
      <c r="J1168" s="61" t="str">
        <f>IFERROR(__xludf.DUMMYFUNCTION("INDIRECT(""'收支紀錄'!J""&amp;TO_TEXT(ROW()-$C$72))"),"")</f>
        <v/>
      </c>
      <c r="K1168" s="61" t="str">
        <f>IFERROR(__xludf.DUMMYFUNCTION("INDIRECT(""'收支紀錄'!K""&amp;TO_TEXT(ROW()-$C$72))"),"")</f>
        <v/>
      </c>
      <c r="L1168" s="61" t="str">
        <f>IFERROR(__xludf.DUMMYFUNCTION("INDIRECT(""'收支紀錄'!L""&amp;TO_TEXT(ROW()-$C$72))"),"")</f>
        <v/>
      </c>
      <c r="M1168" s="61" t="str">
        <f>IFERROR(__xludf.DUMMYFUNCTION("INDIRECT(""'收支紀錄'!M""&amp;TO_TEXT(ROW()-$C$72))"),"")</f>
        <v/>
      </c>
      <c r="N1168" s="61" t="str">
        <f>IFERROR(__xludf.DUMMYFUNCTION("INDIRECT(""'收支紀錄'!N""&amp;TO_TEXT(ROW()-$C$72))"),"")</f>
        <v/>
      </c>
      <c r="O1168" s="61" t="str">
        <f>IFERROR(__xludf.DUMMYFUNCTION("INDIRECT(""'收支紀錄'!O""&amp;TO_TEXT(ROW()-$C$72))"),"")</f>
        <v/>
      </c>
      <c r="P1168" s="61" t="str">
        <f>IFERROR(__xludf.DUMMYFUNCTION("INDIRECT(""'收支紀錄'!P""&amp;TO_TEXT(ROW()-$C$72))"),"")</f>
        <v/>
      </c>
      <c r="Q1168" s="61" t="str">
        <f>IFERROR(__xludf.DUMMYFUNCTION("INDIRECT(""'收支紀錄'!Q""&amp;TO_TEXT(ROW()-$C$72))"),"")</f>
        <v/>
      </c>
      <c r="R1168" s="61" t="str">
        <f>IFERROR(__xludf.DUMMYFUNCTION("INDIRECT(""'收支紀錄'!R""&amp;TO_TEXT(ROW()-$C$72))"),"")</f>
        <v/>
      </c>
      <c r="S1168" s="61" t="str">
        <f>IFERROR(__xludf.DUMMYFUNCTION("INDIRECT(""'收支紀錄'!S""&amp;TO_TEXT(ROW()-$C$72))"),"")</f>
        <v/>
      </c>
      <c r="T1168" s="61" t="str">
        <f>IFERROR(__xludf.DUMMYFUNCTION("INDIRECT(""'收支紀錄'!T""&amp;TO_TEXT(ROW()-$C$72))"),"")</f>
        <v/>
      </c>
      <c r="U1168" s="62" t="str">
        <f>IFERROR(__xludf.DUMMYFUNCTION("IF(T1168=""是"",TEXTJOIN("""", TRUE, ""$"", TO_TEXT(C1168), S1168),"""")"),"")</f>
        <v/>
      </c>
    </row>
    <row r="1169">
      <c r="A1169" s="58">
        <f>IFERROR(__xludf.DUMMYFUNCTION("INDIRECT(""'收支紀錄'!A""&amp;TO_TEXT(ROW()-$C$72))"),45927.63723679398)</f>
        <v>45927.63724</v>
      </c>
      <c r="B1169" s="59">
        <f>IFERROR(__xludf.DUMMYFUNCTION("IF(ISBLANK(D1169), """", IF(ISDATE(D1169), D1169, IF(D1169=""今天"", A1169, IF(D1169=""昨天 (-1 day)"", A1169-1, IF(D1169=""前天 (-2 days)"", A1169-2, IF(D1169=""明天 (+1 day)"", A1169+1, DATE(LEFT(D1169,4), MID(D1169,5,2), RIGHT(D1169,2))))))))"),45927.63723679398)</f>
        <v>45927.63724</v>
      </c>
      <c r="C1169" s="60">
        <f>IFERROR(__xludf.DUMMYFUNCTION("INDIRECT(""'收支紀錄'!C""&amp;TO_TEXT(ROW()-$C$72))"),45.0)</f>
        <v>45</v>
      </c>
      <c r="D1169" s="63" t="str">
        <f>IFERROR(__xludf.DUMMYFUNCTION("INDIRECT(""'收支紀錄'!D""&amp;TO_TEXT(ROW()-$C$72))"),"今天")</f>
        <v>今天</v>
      </c>
      <c r="E1169" s="61" t="str">
        <f>IFERROR(__xludf.DUMMYFUNCTION("INDIRECT(""'收支紀錄'!E""&amp;TO_TEXT(ROW()-$C$72))"),"")</f>
        <v/>
      </c>
      <c r="F1169" s="61" t="str">
        <f>IFERROR(__xludf.DUMMYFUNCTION("INDIRECT(""'收支紀錄'!F""&amp;TO_TEXT(ROW()-$C$72))"),"")</f>
        <v/>
      </c>
      <c r="G1169" s="61" t="str">
        <f>IFERROR(__xludf.DUMMYFUNCTION("INDIRECT(""'收支紀錄'!G""&amp;TO_TEXT(ROW()-$C$72))"),"")</f>
        <v/>
      </c>
      <c r="H1169" s="61" t="str">
        <f>IFERROR(__xludf.DUMMYFUNCTION("INDIRECT(""'收支紀錄'!H""&amp;TO_TEXT(ROW()-$C$72))"),"食品酒水")</f>
        <v>食品酒水</v>
      </c>
      <c r="I1169" s="61" t="str">
        <f>IFERROR(__xludf.DUMMYFUNCTION("INDIRECT(""'收支紀錄'!I""&amp;TO_TEXT(ROW()-$C$72))"),"飲料酒水")</f>
        <v>飲料酒水</v>
      </c>
      <c r="J1169" s="61" t="str">
        <f>IFERROR(__xludf.DUMMYFUNCTION("INDIRECT(""'收支紀錄'!J""&amp;TO_TEXT(ROW()-$C$72))"),"")</f>
        <v/>
      </c>
      <c r="K1169" s="61" t="str">
        <f>IFERROR(__xludf.DUMMYFUNCTION("INDIRECT(""'收支紀錄'!K""&amp;TO_TEXT(ROW()-$C$72))"),"")</f>
        <v/>
      </c>
      <c r="L1169" s="61" t="str">
        <f>IFERROR(__xludf.DUMMYFUNCTION("INDIRECT(""'收支紀錄'!L""&amp;TO_TEXT(ROW()-$C$72))"),"")</f>
        <v/>
      </c>
      <c r="M1169" s="61" t="str">
        <f>IFERROR(__xludf.DUMMYFUNCTION("INDIRECT(""'收支紀錄'!M""&amp;TO_TEXT(ROW()-$C$72))"),"")</f>
        <v/>
      </c>
      <c r="N1169" s="61" t="str">
        <f>IFERROR(__xludf.DUMMYFUNCTION("INDIRECT(""'收支紀錄'!N""&amp;TO_TEXT(ROW()-$C$72))"),"")</f>
        <v/>
      </c>
      <c r="O1169" s="61" t="str">
        <f>IFERROR(__xludf.DUMMYFUNCTION("INDIRECT(""'收支紀錄'!O""&amp;TO_TEXT(ROW()-$C$72))"),"")</f>
        <v/>
      </c>
      <c r="P1169" s="61" t="str">
        <f>IFERROR(__xludf.DUMMYFUNCTION("INDIRECT(""'收支紀錄'!P""&amp;TO_TEXT(ROW()-$C$72))"),"")</f>
        <v/>
      </c>
      <c r="Q1169" s="61" t="str">
        <f>IFERROR(__xludf.DUMMYFUNCTION("INDIRECT(""'收支紀錄'!Q""&amp;TO_TEXT(ROW()-$C$72))"),"")</f>
        <v/>
      </c>
      <c r="R1169" s="61" t="str">
        <f>IFERROR(__xludf.DUMMYFUNCTION("INDIRECT(""'收支紀錄'!R""&amp;TO_TEXT(ROW()-$C$72))"),"")</f>
        <v/>
      </c>
      <c r="S1169" s="61" t="str">
        <f>IFERROR(__xludf.DUMMYFUNCTION("INDIRECT(""'收支紀錄'!S""&amp;TO_TEXT(ROW()-$C$72))"),"")</f>
        <v/>
      </c>
      <c r="T1169" s="61" t="str">
        <f>IFERROR(__xludf.DUMMYFUNCTION("INDIRECT(""'收支紀錄'!T""&amp;TO_TEXT(ROW()-$C$72))"),"")</f>
        <v/>
      </c>
      <c r="U1169" s="62" t="str">
        <f>IFERROR(__xludf.DUMMYFUNCTION("IF(T1169=""是"",TEXTJOIN("""", TRUE, ""$"", TO_TEXT(C1169), S1169),"""")"),"")</f>
        <v/>
      </c>
    </row>
    <row r="1170">
      <c r="A1170" s="58">
        <f>IFERROR(__xludf.DUMMYFUNCTION("INDIRECT(""'收支紀錄'!A""&amp;TO_TEXT(ROW()-$C$72))"),45927.63741751158)</f>
        <v>45927.63742</v>
      </c>
      <c r="B1170" s="59">
        <f>IFERROR(__xludf.DUMMYFUNCTION("IF(ISBLANK(D1170), """", IF(ISDATE(D1170), D1170, IF(D1170=""今天"", A1170, IF(D1170=""昨天 (-1 day)"", A1170-1, IF(D1170=""前天 (-2 days)"", A1170-2, IF(D1170=""明天 (+1 day)"", A1170+1, DATE(LEFT(D1170,4), MID(D1170,5,2), RIGHT(D1170,2))))))))"),45927.63741751158)</f>
        <v>45927.63742</v>
      </c>
      <c r="C1170" s="60">
        <f>IFERROR(__xludf.DUMMYFUNCTION("INDIRECT(""'收支紀錄'!C""&amp;TO_TEXT(ROW()-$C$72))"),370.0)</f>
        <v>370</v>
      </c>
      <c r="D1170" s="63" t="str">
        <f>IFERROR(__xludf.DUMMYFUNCTION("INDIRECT(""'收支紀錄'!D""&amp;TO_TEXT(ROW()-$C$72))"),"今天")</f>
        <v>今天</v>
      </c>
      <c r="E1170" s="61" t="str">
        <f>IFERROR(__xludf.DUMMYFUNCTION("INDIRECT(""'收支紀錄'!E""&amp;TO_TEXT(ROW()-$C$72))"),"")</f>
        <v/>
      </c>
      <c r="F1170" s="61" t="str">
        <f>IFERROR(__xludf.DUMMYFUNCTION("INDIRECT(""'收支紀錄'!F""&amp;TO_TEXT(ROW()-$C$72))"),"")</f>
        <v/>
      </c>
      <c r="G1170" s="61" t="str">
        <f>IFERROR(__xludf.DUMMYFUNCTION("INDIRECT(""'收支紀錄'!G""&amp;TO_TEXT(ROW()-$C$72))"),"")</f>
        <v/>
      </c>
      <c r="H1170" s="61" t="str">
        <f>IFERROR(__xludf.DUMMYFUNCTION("INDIRECT(""'收支紀錄'!H""&amp;TO_TEXT(ROW()-$C$72))"),"食品酒水")</f>
        <v>食品酒水</v>
      </c>
      <c r="I1170" s="61" t="str">
        <f>IFERROR(__xludf.DUMMYFUNCTION("INDIRECT(""'收支紀錄'!I""&amp;TO_TEXT(ROW()-$C$72))"),"午餐")</f>
        <v>午餐</v>
      </c>
      <c r="J1170" s="61" t="str">
        <f>IFERROR(__xludf.DUMMYFUNCTION("INDIRECT(""'收支紀錄'!J""&amp;TO_TEXT(ROW()-$C$72))"),"")</f>
        <v/>
      </c>
      <c r="K1170" s="61" t="str">
        <f>IFERROR(__xludf.DUMMYFUNCTION("INDIRECT(""'收支紀錄'!K""&amp;TO_TEXT(ROW()-$C$72))"),"")</f>
        <v/>
      </c>
      <c r="L1170" s="61" t="str">
        <f>IFERROR(__xludf.DUMMYFUNCTION("INDIRECT(""'收支紀錄'!L""&amp;TO_TEXT(ROW()-$C$72))"),"")</f>
        <v/>
      </c>
      <c r="M1170" s="61" t="str">
        <f>IFERROR(__xludf.DUMMYFUNCTION("INDIRECT(""'收支紀錄'!M""&amp;TO_TEXT(ROW()-$C$72))"),"")</f>
        <v/>
      </c>
      <c r="N1170" s="61" t="str">
        <f>IFERROR(__xludf.DUMMYFUNCTION("INDIRECT(""'收支紀錄'!N""&amp;TO_TEXT(ROW()-$C$72))"),"")</f>
        <v/>
      </c>
      <c r="O1170" s="61" t="str">
        <f>IFERROR(__xludf.DUMMYFUNCTION("INDIRECT(""'收支紀錄'!O""&amp;TO_TEXT(ROW()-$C$72))"),"")</f>
        <v/>
      </c>
      <c r="P1170" s="61" t="str">
        <f>IFERROR(__xludf.DUMMYFUNCTION("INDIRECT(""'收支紀錄'!P""&amp;TO_TEXT(ROW()-$C$72))"),"")</f>
        <v/>
      </c>
      <c r="Q1170" s="61" t="str">
        <f>IFERROR(__xludf.DUMMYFUNCTION("INDIRECT(""'收支紀錄'!Q""&amp;TO_TEXT(ROW()-$C$72))"),"")</f>
        <v/>
      </c>
      <c r="R1170" s="61" t="str">
        <f>IFERROR(__xludf.DUMMYFUNCTION("INDIRECT(""'收支紀錄'!R""&amp;TO_TEXT(ROW()-$C$72))"),"")</f>
        <v/>
      </c>
      <c r="S1170" s="61" t="str">
        <f>IFERROR(__xludf.DUMMYFUNCTION("INDIRECT(""'收支紀錄'!S""&amp;TO_TEXT(ROW()-$C$72))"),"")</f>
        <v/>
      </c>
      <c r="T1170" s="61" t="str">
        <f>IFERROR(__xludf.DUMMYFUNCTION("INDIRECT(""'收支紀錄'!T""&amp;TO_TEXT(ROW()-$C$72))"),"")</f>
        <v/>
      </c>
      <c r="U1170" s="62" t="str">
        <f>IFERROR(__xludf.DUMMYFUNCTION("IF(T1170=""是"",TEXTJOIN("""", TRUE, ""$"", TO_TEXT(C1170), S1170),"""")"),"")</f>
        <v/>
      </c>
    </row>
    <row r="1171">
      <c r="A1171" s="58">
        <f>IFERROR(__xludf.DUMMYFUNCTION("INDIRECT(""'收支紀錄'!A""&amp;TO_TEXT(ROW()-$C$72))"),45927.67276721065)</f>
        <v>45927.67277</v>
      </c>
      <c r="B1171" s="59">
        <f>IFERROR(__xludf.DUMMYFUNCTION("IF(ISBLANK(D1171), """", IF(ISDATE(D1171), D1171, IF(D1171=""今天"", A1171, IF(D1171=""昨天 (-1 day)"", A1171-1, IF(D1171=""前天 (-2 days)"", A1171-2, IF(D1171=""明天 (+1 day)"", A1171+1, DATE(LEFT(D1171,4), MID(D1171,5,2), RIGHT(D1171,2))))))))"),45927.67276721065)</f>
        <v>45927.67277</v>
      </c>
      <c r="C1171" s="60">
        <f>IFERROR(__xludf.DUMMYFUNCTION("INDIRECT(""'收支紀錄'!C""&amp;TO_TEXT(ROW()-$C$72))"),115.0)</f>
        <v>115</v>
      </c>
      <c r="D1171" s="63" t="str">
        <f>IFERROR(__xludf.DUMMYFUNCTION("INDIRECT(""'收支紀錄'!D""&amp;TO_TEXT(ROW()-$C$72))"),"今天")</f>
        <v>今天</v>
      </c>
      <c r="E1171" s="61" t="str">
        <f>IFERROR(__xludf.DUMMYFUNCTION("INDIRECT(""'收支紀錄'!E""&amp;TO_TEXT(ROW()-$C$72))"),"")</f>
        <v/>
      </c>
      <c r="F1171" s="61" t="str">
        <f>IFERROR(__xludf.DUMMYFUNCTION("INDIRECT(""'收支紀錄'!F""&amp;TO_TEXT(ROW()-$C$72))"),"")</f>
        <v/>
      </c>
      <c r="G1171" s="61" t="str">
        <f>IFERROR(__xludf.DUMMYFUNCTION("INDIRECT(""'收支紀錄'!G""&amp;TO_TEXT(ROW()-$C$72))"),"")</f>
        <v/>
      </c>
      <c r="H1171" s="61" t="str">
        <f>IFERROR(__xludf.DUMMYFUNCTION("INDIRECT(""'收支紀錄'!H""&amp;TO_TEXT(ROW()-$C$72))"),"食品酒水")</f>
        <v>食品酒水</v>
      </c>
      <c r="I1171" s="61" t="str">
        <f>IFERROR(__xludf.DUMMYFUNCTION("INDIRECT(""'收支紀錄'!I""&amp;TO_TEXT(ROW()-$C$72))"),"下午茶")</f>
        <v>下午茶</v>
      </c>
      <c r="J1171" s="61" t="str">
        <f>IFERROR(__xludf.DUMMYFUNCTION("INDIRECT(""'收支紀錄'!J""&amp;TO_TEXT(ROW()-$C$72))"),"")</f>
        <v/>
      </c>
      <c r="K1171" s="61" t="str">
        <f>IFERROR(__xludf.DUMMYFUNCTION("INDIRECT(""'收支紀錄'!K""&amp;TO_TEXT(ROW()-$C$72))"),"")</f>
        <v/>
      </c>
      <c r="L1171" s="61" t="str">
        <f>IFERROR(__xludf.DUMMYFUNCTION("INDIRECT(""'收支紀錄'!L""&amp;TO_TEXT(ROW()-$C$72))"),"")</f>
        <v/>
      </c>
      <c r="M1171" s="61" t="str">
        <f>IFERROR(__xludf.DUMMYFUNCTION("INDIRECT(""'收支紀錄'!M""&amp;TO_TEXT(ROW()-$C$72))"),"")</f>
        <v/>
      </c>
      <c r="N1171" s="61" t="str">
        <f>IFERROR(__xludf.DUMMYFUNCTION("INDIRECT(""'收支紀錄'!N""&amp;TO_TEXT(ROW()-$C$72))"),"")</f>
        <v/>
      </c>
      <c r="O1171" s="61" t="str">
        <f>IFERROR(__xludf.DUMMYFUNCTION("INDIRECT(""'收支紀錄'!O""&amp;TO_TEXT(ROW()-$C$72))"),"")</f>
        <v/>
      </c>
      <c r="P1171" s="61" t="str">
        <f>IFERROR(__xludf.DUMMYFUNCTION("INDIRECT(""'收支紀錄'!P""&amp;TO_TEXT(ROW()-$C$72))"),"")</f>
        <v/>
      </c>
      <c r="Q1171" s="61" t="str">
        <f>IFERROR(__xludf.DUMMYFUNCTION("INDIRECT(""'收支紀錄'!Q""&amp;TO_TEXT(ROW()-$C$72))"),"")</f>
        <v/>
      </c>
      <c r="R1171" s="61" t="str">
        <f>IFERROR(__xludf.DUMMYFUNCTION("INDIRECT(""'收支紀錄'!R""&amp;TO_TEXT(ROW()-$C$72))"),"")</f>
        <v/>
      </c>
      <c r="S1171" s="61" t="str">
        <f>IFERROR(__xludf.DUMMYFUNCTION("INDIRECT(""'收支紀錄'!S""&amp;TO_TEXT(ROW()-$C$72))"),"")</f>
        <v/>
      </c>
      <c r="T1171" s="61" t="str">
        <f>IFERROR(__xludf.DUMMYFUNCTION("INDIRECT(""'收支紀錄'!T""&amp;TO_TEXT(ROW()-$C$72))"),"")</f>
        <v/>
      </c>
      <c r="U1171" s="62" t="str">
        <f>IFERROR(__xludf.DUMMYFUNCTION("IF(T1171=""是"",TEXTJOIN("""", TRUE, ""$"", TO_TEXT(C1171), S1171),"""")"),"")</f>
        <v/>
      </c>
    </row>
    <row r="1172">
      <c r="A1172" s="58">
        <f>IFERROR(__xludf.DUMMYFUNCTION("INDIRECT(""'收支紀錄'!A""&amp;TO_TEXT(ROW()-$C$72))"),45929.42767398148)</f>
        <v>45929.42767</v>
      </c>
      <c r="B1172" s="59">
        <f>IFERROR(__xludf.DUMMYFUNCTION("IF(ISBLANK(D1172), """", IF(ISDATE(D1172), D1172, IF(D1172=""今天"", A1172, IF(D1172=""昨天 (-1 day)"", A1172-1, IF(D1172=""前天 (-2 days)"", A1172-2, IF(D1172=""明天 (+1 day)"", A1172+1, DATE(LEFT(D1172,4), MID(D1172,5,2), RIGHT(D1172,2))))))))"),45929.42767398148)</f>
        <v>45929.42767</v>
      </c>
      <c r="C1172" s="60">
        <f>IFERROR(__xludf.DUMMYFUNCTION("INDIRECT(""'收支紀錄'!C""&amp;TO_TEXT(ROW()-$C$72))"),150.0)</f>
        <v>150</v>
      </c>
      <c r="D1172" s="63" t="str">
        <f>IFERROR(__xludf.DUMMYFUNCTION("INDIRECT(""'收支紀錄'!D""&amp;TO_TEXT(ROW()-$C$72))"),"今天")</f>
        <v>今天</v>
      </c>
      <c r="E1172" s="61" t="str">
        <f>IFERROR(__xludf.DUMMYFUNCTION("INDIRECT(""'收支紀錄'!E""&amp;TO_TEXT(ROW()-$C$72))"),"")</f>
        <v/>
      </c>
      <c r="F1172" s="61" t="str">
        <f>IFERROR(__xludf.DUMMYFUNCTION("INDIRECT(""'收支紀錄'!F""&amp;TO_TEXT(ROW()-$C$72))"),"")</f>
        <v/>
      </c>
      <c r="G1172" s="61" t="str">
        <f>IFERROR(__xludf.DUMMYFUNCTION("INDIRECT(""'收支紀錄'!G""&amp;TO_TEXT(ROW()-$C$72))"),"")</f>
        <v/>
      </c>
      <c r="H1172" s="61" t="str">
        <f>IFERROR(__xludf.DUMMYFUNCTION("INDIRECT(""'收支紀錄'!H""&amp;TO_TEXT(ROW()-$C$72))"),"醫療費用")</f>
        <v>醫療費用</v>
      </c>
      <c r="I1172" s="61" t="str">
        <f>IFERROR(__xludf.DUMMYFUNCTION("INDIRECT(""'收支紀錄'!I""&amp;TO_TEXT(ROW()-$C$72))"),"")</f>
        <v/>
      </c>
      <c r="J1172" s="61" t="str">
        <f>IFERROR(__xludf.DUMMYFUNCTION("INDIRECT(""'收支紀錄'!J""&amp;TO_TEXT(ROW()-$C$72))"),"")</f>
        <v/>
      </c>
      <c r="K1172" s="61" t="str">
        <f>IFERROR(__xludf.DUMMYFUNCTION("INDIRECT(""'收支紀錄'!K""&amp;TO_TEXT(ROW()-$C$72))"),"")</f>
        <v/>
      </c>
      <c r="L1172" s="61" t="str">
        <f>IFERROR(__xludf.DUMMYFUNCTION("INDIRECT(""'收支紀錄'!L""&amp;TO_TEXT(ROW()-$C$72))"),"")</f>
        <v/>
      </c>
      <c r="M1172" s="61" t="str">
        <f>IFERROR(__xludf.DUMMYFUNCTION("INDIRECT(""'收支紀錄'!M""&amp;TO_TEXT(ROW()-$C$72))"),"")</f>
        <v/>
      </c>
      <c r="N1172" s="61" t="str">
        <f>IFERROR(__xludf.DUMMYFUNCTION("INDIRECT(""'收支紀錄'!N""&amp;TO_TEXT(ROW()-$C$72))"),"")</f>
        <v/>
      </c>
      <c r="O1172" s="61" t="str">
        <f>IFERROR(__xludf.DUMMYFUNCTION("INDIRECT(""'收支紀錄'!O""&amp;TO_TEXT(ROW()-$C$72))"),"生病醫療")</f>
        <v>生病醫療</v>
      </c>
      <c r="P1172" s="61" t="str">
        <f>IFERROR(__xludf.DUMMYFUNCTION("INDIRECT(""'收支紀錄'!P""&amp;TO_TEXT(ROW()-$C$72))"),"")</f>
        <v/>
      </c>
      <c r="Q1172" s="61" t="str">
        <f>IFERROR(__xludf.DUMMYFUNCTION("INDIRECT(""'收支紀錄'!Q""&amp;TO_TEXT(ROW()-$C$72))"),"")</f>
        <v/>
      </c>
      <c r="R1172" s="61" t="str">
        <f>IFERROR(__xludf.DUMMYFUNCTION("INDIRECT(""'收支紀錄'!R""&amp;TO_TEXT(ROW()-$C$72))"),"")</f>
        <v/>
      </c>
      <c r="S1172" s="61" t="str">
        <f>IFERROR(__xludf.DUMMYFUNCTION("INDIRECT(""'收支紀錄'!S""&amp;TO_TEXT(ROW()-$C$72))"),"")</f>
        <v/>
      </c>
      <c r="T1172" s="61" t="str">
        <f>IFERROR(__xludf.DUMMYFUNCTION("INDIRECT(""'收支紀錄'!T""&amp;TO_TEXT(ROW()-$C$72))"),"否")</f>
        <v>否</v>
      </c>
      <c r="U1172" s="62" t="str">
        <f>IFERROR(__xludf.DUMMYFUNCTION("IF(T1172=""是"",TEXTJOIN("""", TRUE, ""$"", TO_TEXT(C1172), S1172),"""")"),"")</f>
        <v/>
      </c>
    </row>
    <row r="1173">
      <c r="A1173" s="58">
        <f>IFERROR(__xludf.DUMMYFUNCTION("INDIRECT(""'收支紀錄'!A""&amp;TO_TEXT(ROW()-$C$72))"),45929.4278255324)</f>
        <v>45929.42783</v>
      </c>
      <c r="B1173" s="59">
        <f>IFERROR(__xludf.DUMMYFUNCTION("IF(ISBLANK(D1173), """", IF(ISDATE(D1173), D1173, IF(D1173=""今天"", A1173, IF(D1173=""昨天 (-1 day)"", A1173-1, IF(D1173=""前天 (-2 days)"", A1173-2, IF(D1173=""明天 (+1 day)"", A1173+1, DATE(LEFT(D1173,4), MID(D1173,5,2), RIGHT(D1173,2))))))))"),45929.4278255324)</f>
        <v>45929.42783</v>
      </c>
      <c r="C1173" s="60">
        <f>IFERROR(__xludf.DUMMYFUNCTION("INDIRECT(""'收支紀錄'!C""&amp;TO_TEXT(ROW()-$C$72))"),250.0)</f>
        <v>250</v>
      </c>
      <c r="D1173" s="63" t="str">
        <f>IFERROR(__xludf.DUMMYFUNCTION("INDIRECT(""'收支紀錄'!D""&amp;TO_TEXT(ROW()-$C$72))"),"今天")</f>
        <v>今天</v>
      </c>
      <c r="E1173" s="61" t="str">
        <f>IFERROR(__xludf.DUMMYFUNCTION("INDIRECT(""'收支紀錄'!E""&amp;TO_TEXT(ROW()-$C$72))"),"")</f>
        <v/>
      </c>
      <c r="F1173" s="61" t="str">
        <f>IFERROR(__xludf.DUMMYFUNCTION("INDIRECT(""'收支紀錄'!F""&amp;TO_TEXT(ROW()-$C$72))"),"")</f>
        <v/>
      </c>
      <c r="G1173" s="61" t="str">
        <f>IFERROR(__xludf.DUMMYFUNCTION("INDIRECT(""'收支紀錄'!G""&amp;TO_TEXT(ROW()-$C$72))"),"")</f>
        <v/>
      </c>
      <c r="H1173" s="61" t="str">
        <f>IFERROR(__xludf.DUMMYFUNCTION("INDIRECT(""'收支紀錄'!H""&amp;TO_TEXT(ROW()-$C$72))"),"醫療費用")</f>
        <v>醫療費用</v>
      </c>
      <c r="I1173" s="61" t="str">
        <f>IFERROR(__xludf.DUMMYFUNCTION("INDIRECT(""'收支紀錄'!I""&amp;TO_TEXT(ROW()-$C$72))"),"")</f>
        <v/>
      </c>
      <c r="J1173" s="61" t="str">
        <f>IFERROR(__xludf.DUMMYFUNCTION("INDIRECT(""'收支紀錄'!J""&amp;TO_TEXT(ROW()-$C$72))"),"")</f>
        <v/>
      </c>
      <c r="K1173" s="61" t="str">
        <f>IFERROR(__xludf.DUMMYFUNCTION("INDIRECT(""'收支紀錄'!K""&amp;TO_TEXT(ROW()-$C$72))"),"")</f>
        <v/>
      </c>
      <c r="L1173" s="61" t="str">
        <f>IFERROR(__xludf.DUMMYFUNCTION("INDIRECT(""'收支紀錄'!L""&amp;TO_TEXT(ROW()-$C$72))"),"")</f>
        <v/>
      </c>
      <c r="M1173" s="61" t="str">
        <f>IFERROR(__xludf.DUMMYFUNCTION("INDIRECT(""'收支紀錄'!M""&amp;TO_TEXT(ROW()-$C$72))"),"")</f>
        <v/>
      </c>
      <c r="N1173" s="61" t="str">
        <f>IFERROR(__xludf.DUMMYFUNCTION("INDIRECT(""'收支紀錄'!N""&amp;TO_TEXT(ROW()-$C$72))"),"")</f>
        <v/>
      </c>
      <c r="O1173" s="61" t="str">
        <f>IFERROR(__xludf.DUMMYFUNCTION("INDIRECT(""'收支紀錄'!O""&amp;TO_TEXT(ROW()-$C$72))"),"生病醫療")</f>
        <v>生病醫療</v>
      </c>
      <c r="P1173" s="61" t="str">
        <f>IFERROR(__xludf.DUMMYFUNCTION("INDIRECT(""'收支紀錄'!P""&amp;TO_TEXT(ROW()-$C$72))"),"")</f>
        <v/>
      </c>
      <c r="Q1173" s="61" t="str">
        <f>IFERROR(__xludf.DUMMYFUNCTION("INDIRECT(""'收支紀錄'!Q""&amp;TO_TEXT(ROW()-$C$72))"),"")</f>
        <v/>
      </c>
      <c r="R1173" s="61" t="str">
        <f>IFERROR(__xludf.DUMMYFUNCTION("INDIRECT(""'收支紀錄'!R""&amp;TO_TEXT(ROW()-$C$72))"),"")</f>
        <v/>
      </c>
      <c r="S1173" s="61" t="str">
        <f>IFERROR(__xludf.DUMMYFUNCTION("INDIRECT(""'收支紀錄'!S""&amp;TO_TEXT(ROW()-$C$72))"),"")</f>
        <v/>
      </c>
      <c r="T1173" s="61" t="str">
        <f>IFERROR(__xludf.DUMMYFUNCTION("INDIRECT(""'收支紀錄'!T""&amp;TO_TEXT(ROW()-$C$72))"),"")</f>
        <v/>
      </c>
      <c r="U1173" s="62" t="str">
        <f>IFERROR(__xludf.DUMMYFUNCTION("IF(T1173=""是"",TEXTJOIN("""", TRUE, ""$"", TO_TEXT(C1173), S1173),"""")"),"")</f>
        <v/>
      </c>
    </row>
    <row r="1174">
      <c r="A1174" s="58">
        <f>IFERROR(__xludf.DUMMYFUNCTION("INDIRECT(""'收支紀錄'!A""&amp;TO_TEXT(ROW()-$C$72))"),45929.6019721412)</f>
        <v>45929.60197</v>
      </c>
      <c r="B1174" s="59">
        <f>IFERROR(__xludf.DUMMYFUNCTION("IF(ISBLANK(D1174), """", IF(ISDATE(D1174), D1174, IF(D1174=""今天"", A1174, IF(D1174=""昨天 (-1 day)"", A1174-1, IF(D1174=""前天 (-2 days)"", A1174-2, IF(D1174=""明天 (+1 day)"", A1174+1, DATE(LEFT(D1174,4), MID(D1174,5,2), RIGHT(D1174,2))))))))"),45928.6019721412)</f>
        <v>45928.60197</v>
      </c>
      <c r="C1174" s="60">
        <f>IFERROR(__xludf.DUMMYFUNCTION("INDIRECT(""'收支紀錄'!C""&amp;TO_TEXT(ROW()-$C$72))"),700.0)</f>
        <v>700</v>
      </c>
      <c r="D1174" s="63" t="str">
        <f>IFERROR(__xludf.DUMMYFUNCTION("INDIRECT(""'收支紀錄'!D""&amp;TO_TEXT(ROW()-$C$72))"),"昨天 (-1 day)")</f>
        <v>昨天 (-1 day)</v>
      </c>
      <c r="E1174" s="61" t="str">
        <f>IFERROR(__xludf.DUMMYFUNCTION("INDIRECT(""'收支紀錄'!E""&amp;TO_TEXT(ROW()-$C$72))"),"")</f>
        <v/>
      </c>
      <c r="F1174" s="61" t="str">
        <f>IFERROR(__xludf.DUMMYFUNCTION("INDIRECT(""'收支紀錄'!F""&amp;TO_TEXT(ROW()-$C$72))"),"")</f>
        <v/>
      </c>
      <c r="G1174" s="61" t="str">
        <f>IFERROR(__xludf.DUMMYFUNCTION("INDIRECT(""'收支紀錄'!G""&amp;TO_TEXT(ROW()-$C$72))"),"")</f>
        <v/>
      </c>
      <c r="H1174" s="61" t="str">
        <f>IFERROR(__xludf.DUMMYFUNCTION("INDIRECT(""'收支紀錄'!H""&amp;TO_TEXT(ROW()-$C$72))"),"休閒娛樂")</f>
        <v>休閒娛樂</v>
      </c>
      <c r="I1174" s="61" t="str">
        <f>IFERROR(__xludf.DUMMYFUNCTION("INDIRECT(""'收支紀錄'!I""&amp;TO_TEXT(ROW()-$C$72))"),"")</f>
        <v/>
      </c>
      <c r="J1174" s="61" t="str">
        <f>IFERROR(__xludf.DUMMYFUNCTION("INDIRECT(""'收支紀錄'!J""&amp;TO_TEXT(ROW()-$C$72))"),"")</f>
        <v/>
      </c>
      <c r="K1174" s="61" t="str">
        <f>IFERROR(__xludf.DUMMYFUNCTION("INDIRECT(""'收支紀錄'!K""&amp;TO_TEXT(ROW()-$C$72))"),"")</f>
        <v/>
      </c>
      <c r="L1174" s="61" t="str">
        <f>IFERROR(__xludf.DUMMYFUNCTION("INDIRECT(""'收支紀錄'!L""&amp;TO_TEXT(ROW()-$C$72))"),"")</f>
        <v/>
      </c>
      <c r="M1174" s="61" t="str">
        <f>IFERROR(__xludf.DUMMYFUNCTION("INDIRECT(""'收支紀錄'!M""&amp;TO_TEXT(ROW()-$C$72))"),"衣物鞋帽")</f>
        <v>衣物鞋帽</v>
      </c>
      <c r="N1174" s="61" t="str">
        <f>IFERROR(__xludf.DUMMYFUNCTION("INDIRECT(""'收支紀錄'!N""&amp;TO_TEXT(ROW()-$C$72))"),"")</f>
        <v/>
      </c>
      <c r="O1174" s="61" t="str">
        <f>IFERROR(__xludf.DUMMYFUNCTION("INDIRECT(""'收支紀錄'!O""&amp;TO_TEXT(ROW()-$C$72))"),"")</f>
        <v/>
      </c>
      <c r="P1174" s="61" t="str">
        <f>IFERROR(__xludf.DUMMYFUNCTION("INDIRECT(""'收支紀錄'!P""&amp;TO_TEXT(ROW()-$C$72))"),"")</f>
        <v/>
      </c>
      <c r="Q1174" s="61" t="str">
        <f>IFERROR(__xludf.DUMMYFUNCTION("INDIRECT(""'收支紀錄'!Q""&amp;TO_TEXT(ROW()-$C$72))"),"")</f>
        <v/>
      </c>
      <c r="R1174" s="61" t="str">
        <f>IFERROR(__xludf.DUMMYFUNCTION("INDIRECT(""'收支紀錄'!R""&amp;TO_TEXT(ROW()-$C$72))"),"")</f>
        <v/>
      </c>
      <c r="S1174" s="61" t="str">
        <f>IFERROR(__xludf.DUMMYFUNCTION("INDIRECT(""'收支紀錄'!S""&amp;TO_TEXT(ROW()-$C$72))"),"夢時代羽球鞋")</f>
        <v>夢時代羽球鞋</v>
      </c>
      <c r="T1174" s="61" t="str">
        <f>IFERROR(__xludf.DUMMYFUNCTION("INDIRECT(""'收支紀錄'!T""&amp;TO_TEXT(ROW()-$C$72))"),"")</f>
        <v/>
      </c>
      <c r="U1174" s="62" t="str">
        <f>IFERROR(__xludf.DUMMYFUNCTION("IF(T1174=""是"",TEXTJOIN("""", TRUE, ""$"", TO_TEXT(C1174), S1174),"""")"),"")</f>
        <v/>
      </c>
    </row>
    <row r="1175">
      <c r="A1175" s="58">
        <f>IFERROR(__xludf.DUMMYFUNCTION("INDIRECT(""'收支紀錄'!A""&amp;TO_TEXT(ROW()-$C$72))"),45929.93873368055)</f>
        <v>45929.93873</v>
      </c>
      <c r="B1175" s="59">
        <f>IFERROR(__xludf.DUMMYFUNCTION("IF(ISBLANK(D1175), """", IF(ISDATE(D1175), D1175, IF(D1175=""今天"", A1175, IF(D1175=""昨天 (-1 day)"", A1175-1, IF(D1175=""前天 (-2 days)"", A1175-2, IF(D1175=""明天 (+1 day)"", A1175+1, DATE(LEFT(D1175,4), MID(D1175,5,2), RIGHT(D1175,2))))))))"),45927.93873368055)</f>
        <v>45927.93873</v>
      </c>
      <c r="C1175" s="60">
        <f>IFERROR(__xludf.DUMMYFUNCTION("INDIRECT(""'收支紀錄'!C""&amp;TO_TEXT(ROW()-$C$72))"),20.0)</f>
        <v>20</v>
      </c>
      <c r="D1175" s="63" t="str">
        <f>IFERROR(__xludf.DUMMYFUNCTION("INDIRECT(""'收支紀錄'!D""&amp;TO_TEXT(ROW()-$C$72))"),"前天 (-2 days)")</f>
        <v>前天 (-2 days)</v>
      </c>
      <c r="E1175" s="61" t="str">
        <f>IFERROR(__xludf.DUMMYFUNCTION("INDIRECT(""'收支紀錄'!E""&amp;TO_TEXT(ROW()-$C$72))"),"")</f>
        <v/>
      </c>
      <c r="F1175" s="61" t="str">
        <f>IFERROR(__xludf.DUMMYFUNCTION("INDIRECT(""'收支紀錄'!F""&amp;TO_TEXT(ROW()-$C$72))"),"")</f>
        <v/>
      </c>
      <c r="G1175" s="61" t="str">
        <f>IFERROR(__xludf.DUMMYFUNCTION("INDIRECT(""'收支紀錄'!G""&amp;TO_TEXT(ROW()-$C$72))"),"")</f>
        <v/>
      </c>
      <c r="H1175" s="61" t="str">
        <f>IFERROR(__xludf.DUMMYFUNCTION("INDIRECT(""'收支紀錄'!H""&amp;TO_TEXT(ROW()-$C$72))"),"行車交通")</f>
        <v>行車交通</v>
      </c>
      <c r="I1175" s="61" t="str">
        <f>IFERROR(__xludf.DUMMYFUNCTION("INDIRECT(""'收支紀錄'!I""&amp;TO_TEXT(ROW()-$C$72))"),"")</f>
        <v/>
      </c>
      <c r="J1175" s="61" t="str">
        <f>IFERROR(__xludf.DUMMYFUNCTION("INDIRECT(""'收支紀錄'!J""&amp;TO_TEXT(ROW()-$C$72))"),"")</f>
        <v/>
      </c>
      <c r="K1175" s="61" t="str">
        <f>IFERROR(__xludf.DUMMYFUNCTION("INDIRECT(""'收支紀錄'!K""&amp;TO_TEXT(ROW()-$C$72))"),"")</f>
        <v/>
      </c>
      <c r="L1175" s="61" t="str">
        <f>IFERROR(__xludf.DUMMYFUNCTION("INDIRECT(""'收支紀錄'!L""&amp;TO_TEXT(ROW()-$C$72))"),"停車")</f>
        <v>停車</v>
      </c>
      <c r="M1175" s="61" t="str">
        <f>IFERROR(__xludf.DUMMYFUNCTION("INDIRECT(""'收支紀錄'!M""&amp;TO_TEXT(ROW()-$C$72))"),"")</f>
        <v/>
      </c>
      <c r="N1175" s="61" t="str">
        <f>IFERROR(__xludf.DUMMYFUNCTION("INDIRECT(""'收支紀錄'!N""&amp;TO_TEXT(ROW()-$C$72))"),"")</f>
        <v/>
      </c>
      <c r="O1175" s="61" t="str">
        <f>IFERROR(__xludf.DUMMYFUNCTION("INDIRECT(""'收支紀錄'!O""&amp;TO_TEXT(ROW()-$C$72))"),"")</f>
        <v/>
      </c>
      <c r="P1175" s="61" t="str">
        <f>IFERROR(__xludf.DUMMYFUNCTION("INDIRECT(""'收支紀錄'!P""&amp;TO_TEXT(ROW()-$C$72))"),"")</f>
        <v/>
      </c>
      <c r="Q1175" s="61" t="str">
        <f>IFERROR(__xludf.DUMMYFUNCTION("INDIRECT(""'收支紀錄'!Q""&amp;TO_TEXT(ROW()-$C$72))"),"")</f>
        <v/>
      </c>
      <c r="R1175" s="61" t="str">
        <f>IFERROR(__xludf.DUMMYFUNCTION("INDIRECT(""'收支紀錄'!R""&amp;TO_TEXT(ROW()-$C$72))"),"")</f>
        <v/>
      </c>
      <c r="S1175" s="61" t="str">
        <f>IFERROR(__xludf.DUMMYFUNCTION("INDIRECT(""'收支紀錄'!S""&amp;TO_TEXT(ROW()-$C$72))"),"")</f>
        <v/>
      </c>
      <c r="T1175" s="61" t="str">
        <f>IFERROR(__xludf.DUMMYFUNCTION("INDIRECT(""'收支紀錄'!T""&amp;TO_TEXT(ROW()-$C$72))"),"")</f>
        <v/>
      </c>
      <c r="U1175" s="62" t="str">
        <f>IFERROR(__xludf.DUMMYFUNCTION("IF(T1175=""是"",TEXTJOIN("""", TRUE, ""$"", TO_TEXT(C1175), S1175),"""")"),"")</f>
        <v/>
      </c>
    </row>
    <row r="1176">
      <c r="A1176" s="58">
        <f>IFERROR(__xludf.DUMMYFUNCTION("INDIRECT(""'收支紀錄'!A""&amp;TO_TEXT(ROW()-$C$72))"),45929.93894449074)</f>
        <v>45929.93894</v>
      </c>
      <c r="B1176" s="59">
        <f>IFERROR(__xludf.DUMMYFUNCTION("IF(ISBLANK(D1176), """", IF(ISDATE(D1176), D1176, IF(D1176=""今天"", A1176, IF(D1176=""昨天 (-1 day)"", A1176-1, IF(D1176=""前天 (-2 days)"", A1176-2, IF(D1176=""明天 (+1 day)"", A1176+1, DATE(LEFT(D1176,4), MID(D1176,5,2), RIGHT(D1176,2))))))))"),45927.93894449074)</f>
        <v>45927.93894</v>
      </c>
      <c r="C1176" s="60">
        <f>IFERROR(__xludf.DUMMYFUNCTION("INDIRECT(""'收支紀錄'!C""&amp;TO_TEXT(ROW()-$C$72))"),2800.0)</f>
        <v>2800</v>
      </c>
      <c r="D1176" s="63" t="str">
        <f>IFERROR(__xludf.DUMMYFUNCTION("INDIRECT(""'收支紀錄'!D""&amp;TO_TEXT(ROW()-$C$72))"),"前天 (-2 days)")</f>
        <v>前天 (-2 days)</v>
      </c>
      <c r="E1176" s="61" t="str">
        <f>IFERROR(__xludf.DUMMYFUNCTION("INDIRECT(""'收支紀錄'!E""&amp;TO_TEXT(ROW()-$C$72))"),"")</f>
        <v/>
      </c>
      <c r="F1176" s="61" t="str">
        <f>IFERROR(__xludf.DUMMYFUNCTION("INDIRECT(""'收支紀錄'!F""&amp;TO_TEXT(ROW()-$C$72))"),"")</f>
        <v/>
      </c>
      <c r="G1176" s="61" t="str">
        <f>IFERROR(__xludf.DUMMYFUNCTION("INDIRECT(""'收支紀錄'!G""&amp;TO_TEXT(ROW()-$C$72))"),"")</f>
        <v/>
      </c>
      <c r="H1176" s="61" t="str">
        <f>IFERROR(__xludf.DUMMYFUNCTION("INDIRECT(""'收支紀錄'!H""&amp;TO_TEXT(ROW()-$C$72))"),"食品酒水")</f>
        <v>食品酒水</v>
      </c>
      <c r="I1176" s="61" t="str">
        <f>IFERROR(__xludf.DUMMYFUNCTION("INDIRECT(""'收支紀錄'!I""&amp;TO_TEXT(ROW()-$C$72))"),"晚餐")</f>
        <v>晚餐</v>
      </c>
      <c r="J1176" s="61" t="str">
        <f>IFERROR(__xludf.DUMMYFUNCTION("INDIRECT(""'收支紀錄'!J""&amp;TO_TEXT(ROW()-$C$72))"),"")</f>
        <v/>
      </c>
      <c r="K1176" s="61" t="str">
        <f>IFERROR(__xludf.DUMMYFUNCTION("INDIRECT(""'收支紀錄'!K""&amp;TO_TEXT(ROW()-$C$72))"),"")</f>
        <v/>
      </c>
      <c r="L1176" s="61" t="str">
        <f>IFERROR(__xludf.DUMMYFUNCTION("INDIRECT(""'收支紀錄'!L""&amp;TO_TEXT(ROW()-$C$72))"),"")</f>
        <v/>
      </c>
      <c r="M1176" s="61" t="str">
        <f>IFERROR(__xludf.DUMMYFUNCTION("INDIRECT(""'收支紀錄'!M""&amp;TO_TEXT(ROW()-$C$72))"),"")</f>
        <v/>
      </c>
      <c r="N1176" s="61" t="str">
        <f>IFERROR(__xludf.DUMMYFUNCTION("INDIRECT(""'收支紀錄'!N""&amp;TO_TEXT(ROW()-$C$72))"),"")</f>
        <v/>
      </c>
      <c r="O1176" s="61" t="str">
        <f>IFERROR(__xludf.DUMMYFUNCTION("INDIRECT(""'收支紀錄'!O""&amp;TO_TEXT(ROW()-$C$72))"),"")</f>
        <v/>
      </c>
      <c r="P1176" s="61" t="str">
        <f>IFERROR(__xludf.DUMMYFUNCTION("INDIRECT(""'收支紀錄'!P""&amp;TO_TEXT(ROW()-$C$72))"),"")</f>
        <v/>
      </c>
      <c r="Q1176" s="61" t="str">
        <f>IFERROR(__xludf.DUMMYFUNCTION("INDIRECT(""'收支紀錄'!Q""&amp;TO_TEXT(ROW()-$C$72))"),"")</f>
        <v/>
      </c>
      <c r="R1176" s="61" t="str">
        <f>IFERROR(__xludf.DUMMYFUNCTION("INDIRECT(""'收支紀錄'!R""&amp;TO_TEXT(ROW()-$C$72))"),"")</f>
        <v/>
      </c>
      <c r="S1176" s="61" t="str">
        <f>IFERROR(__xludf.DUMMYFUNCTION("INDIRECT(""'收支紀錄'!S""&amp;TO_TEXT(ROW()-$C$72))"),"碳佐麻里")</f>
        <v>碳佐麻里</v>
      </c>
      <c r="T1176" s="61" t="str">
        <f>IFERROR(__xludf.DUMMYFUNCTION("INDIRECT(""'收支紀錄'!T""&amp;TO_TEXT(ROW()-$C$72))"),"")</f>
        <v/>
      </c>
      <c r="U1176" s="62" t="str">
        <f>IFERROR(__xludf.DUMMYFUNCTION("IF(T1176=""是"",TEXTJOIN("""", TRUE, ""$"", TO_TEXT(C1176), S1176),"""")"),"")</f>
        <v/>
      </c>
    </row>
    <row r="1177">
      <c r="A1177" s="58">
        <f>IFERROR(__xludf.DUMMYFUNCTION("INDIRECT(""'收支紀錄'!A""&amp;TO_TEXT(ROW()-$C$72))"),45929.93930135417)</f>
        <v>45929.9393</v>
      </c>
      <c r="B1177" s="59">
        <f>IFERROR(__xludf.DUMMYFUNCTION("IF(ISBLANK(D1177), """", IF(ISDATE(D1177), D1177, IF(D1177=""今天"", A1177, IF(D1177=""昨天 (-1 day)"", A1177-1, IF(D1177=""前天 (-2 days)"", A1177-2, IF(D1177=""明天 (+1 day)"", A1177+1, DATE(LEFT(D1177,4), MID(D1177,5,2), RIGHT(D1177,2))))))))"),45928.93930135417)</f>
        <v>45928.9393</v>
      </c>
      <c r="C1177" s="60">
        <f>IFERROR(__xludf.DUMMYFUNCTION("INDIRECT(""'收支紀錄'!C""&amp;TO_TEXT(ROW()-$C$72))"),700.0)</f>
        <v>700</v>
      </c>
      <c r="D1177" s="63" t="str">
        <f>IFERROR(__xludf.DUMMYFUNCTION("INDIRECT(""'收支紀錄'!D""&amp;TO_TEXT(ROW()-$C$72))"),"昨天 (-1 day)")</f>
        <v>昨天 (-1 day)</v>
      </c>
      <c r="E1177" s="61" t="str">
        <f>IFERROR(__xludf.DUMMYFUNCTION("INDIRECT(""'收支紀錄'!E""&amp;TO_TEXT(ROW()-$C$72))"),"")</f>
        <v/>
      </c>
      <c r="F1177" s="61" t="str">
        <f>IFERROR(__xludf.DUMMYFUNCTION("INDIRECT(""'收支紀錄'!F""&amp;TO_TEXT(ROW()-$C$72))"),"")</f>
        <v/>
      </c>
      <c r="G1177" s="61" t="str">
        <f>IFERROR(__xludf.DUMMYFUNCTION("INDIRECT(""'收支紀錄'!G""&amp;TO_TEXT(ROW()-$C$72))"),"")</f>
        <v/>
      </c>
      <c r="H1177" s="61" t="str">
        <f>IFERROR(__xludf.DUMMYFUNCTION("INDIRECT(""'收支紀錄'!H""&amp;TO_TEXT(ROW()-$C$72))"),"休閒娛樂")</f>
        <v>休閒娛樂</v>
      </c>
      <c r="I1177" s="61" t="str">
        <f>IFERROR(__xludf.DUMMYFUNCTION("INDIRECT(""'收支紀錄'!I""&amp;TO_TEXT(ROW()-$C$72))"),"")</f>
        <v/>
      </c>
      <c r="J1177" s="61" t="str">
        <f>IFERROR(__xludf.DUMMYFUNCTION("INDIRECT(""'收支紀錄'!J""&amp;TO_TEXT(ROW()-$C$72))"),"")</f>
        <v/>
      </c>
      <c r="K1177" s="61" t="str">
        <f>IFERROR(__xludf.DUMMYFUNCTION("INDIRECT(""'收支紀錄'!K""&amp;TO_TEXT(ROW()-$C$72))"),"")</f>
        <v/>
      </c>
      <c r="L1177" s="61" t="str">
        <f>IFERROR(__xludf.DUMMYFUNCTION("INDIRECT(""'收支紀錄'!L""&amp;TO_TEXT(ROW()-$C$72))"),"")</f>
        <v/>
      </c>
      <c r="M1177" s="61" t="str">
        <f>IFERROR(__xludf.DUMMYFUNCTION("INDIRECT(""'收支紀錄'!M""&amp;TO_TEXT(ROW()-$C$72))"),"衣物鞋帽")</f>
        <v>衣物鞋帽</v>
      </c>
      <c r="N1177" s="61" t="str">
        <f>IFERROR(__xludf.DUMMYFUNCTION("INDIRECT(""'收支紀錄'!N""&amp;TO_TEXT(ROW()-$C$72))"),"")</f>
        <v/>
      </c>
      <c r="O1177" s="61" t="str">
        <f>IFERROR(__xludf.DUMMYFUNCTION("INDIRECT(""'收支紀錄'!O""&amp;TO_TEXT(ROW()-$C$72))"),"")</f>
        <v/>
      </c>
      <c r="P1177" s="61" t="str">
        <f>IFERROR(__xludf.DUMMYFUNCTION("INDIRECT(""'收支紀錄'!P""&amp;TO_TEXT(ROW()-$C$72))"),"")</f>
        <v/>
      </c>
      <c r="Q1177" s="61" t="str">
        <f>IFERROR(__xludf.DUMMYFUNCTION("INDIRECT(""'收支紀錄'!Q""&amp;TO_TEXT(ROW()-$C$72))"),"")</f>
        <v/>
      </c>
      <c r="R1177" s="61" t="str">
        <f>IFERROR(__xludf.DUMMYFUNCTION("INDIRECT(""'收支紀錄'!R""&amp;TO_TEXT(ROW()-$C$72))"),"")</f>
        <v/>
      </c>
      <c r="S1177" s="61" t="str">
        <f>IFERROR(__xludf.DUMMYFUNCTION("INDIRECT(""'收支紀錄'!S""&amp;TO_TEXT(ROW()-$C$72))"),"羽球鞋")</f>
        <v>羽球鞋</v>
      </c>
      <c r="T1177" s="61" t="str">
        <f>IFERROR(__xludf.DUMMYFUNCTION("INDIRECT(""'收支紀錄'!T""&amp;TO_TEXT(ROW()-$C$72))"),"")</f>
        <v/>
      </c>
      <c r="U1177" s="62" t="str">
        <f>IFERROR(__xludf.DUMMYFUNCTION("IF(T1177=""是"",TEXTJOIN("""", TRUE, ""$"", TO_TEXT(C1177), S1177),"""")"),"")</f>
        <v/>
      </c>
    </row>
    <row r="1178">
      <c r="A1178" s="58">
        <f>IFERROR(__xludf.DUMMYFUNCTION("INDIRECT(""'收支紀錄'!A""&amp;TO_TEXT(ROW()-$C$72))"),45929.93946421296)</f>
        <v>45929.93946</v>
      </c>
      <c r="B1178" s="59">
        <f>IFERROR(__xludf.DUMMYFUNCTION("IF(ISBLANK(D1178), """", IF(ISDATE(D1178), D1178, IF(D1178=""今天"", A1178, IF(D1178=""昨天 (-1 day)"", A1178-1, IF(D1178=""前天 (-2 days)"", A1178-2, IF(D1178=""明天 (+1 day)"", A1178+1, DATE(LEFT(D1178,4), MID(D1178,5,2), RIGHT(D1178,2))))))))"),45928.93946421296)</f>
        <v>45928.93946</v>
      </c>
      <c r="C1178" s="60">
        <f>IFERROR(__xludf.DUMMYFUNCTION("INDIRECT(""'收支紀錄'!C""&amp;TO_TEXT(ROW()-$C$72))"),210.0)</f>
        <v>210</v>
      </c>
      <c r="D1178" s="63" t="str">
        <f>IFERROR(__xludf.DUMMYFUNCTION("INDIRECT(""'收支紀錄'!D""&amp;TO_TEXT(ROW()-$C$72))"),"昨天 (-1 day)")</f>
        <v>昨天 (-1 day)</v>
      </c>
      <c r="E1178" s="61" t="str">
        <f>IFERROR(__xludf.DUMMYFUNCTION("INDIRECT(""'收支紀錄'!E""&amp;TO_TEXT(ROW()-$C$72))"),"")</f>
        <v/>
      </c>
      <c r="F1178" s="61" t="str">
        <f>IFERROR(__xludf.DUMMYFUNCTION("INDIRECT(""'收支紀錄'!F""&amp;TO_TEXT(ROW()-$C$72))"),"")</f>
        <v/>
      </c>
      <c r="G1178" s="61" t="str">
        <f>IFERROR(__xludf.DUMMYFUNCTION("INDIRECT(""'收支紀錄'!G""&amp;TO_TEXT(ROW()-$C$72))"),"")</f>
        <v/>
      </c>
      <c r="H1178" s="61" t="str">
        <f>IFERROR(__xludf.DUMMYFUNCTION("INDIRECT(""'收支紀錄'!H""&amp;TO_TEXT(ROW()-$C$72))"),"食品酒水")</f>
        <v>食品酒水</v>
      </c>
      <c r="I1178" s="61" t="str">
        <f>IFERROR(__xludf.DUMMYFUNCTION("INDIRECT(""'收支紀錄'!I""&amp;TO_TEXT(ROW()-$C$72))"),"晚餐")</f>
        <v>晚餐</v>
      </c>
      <c r="J1178" s="61" t="str">
        <f>IFERROR(__xludf.DUMMYFUNCTION("INDIRECT(""'收支紀錄'!J""&amp;TO_TEXT(ROW()-$C$72))"),"")</f>
        <v/>
      </c>
      <c r="K1178" s="61" t="str">
        <f>IFERROR(__xludf.DUMMYFUNCTION("INDIRECT(""'收支紀錄'!K""&amp;TO_TEXT(ROW()-$C$72))"),"")</f>
        <v/>
      </c>
      <c r="L1178" s="61" t="str">
        <f>IFERROR(__xludf.DUMMYFUNCTION("INDIRECT(""'收支紀錄'!L""&amp;TO_TEXT(ROW()-$C$72))"),"")</f>
        <v/>
      </c>
      <c r="M1178" s="61" t="str">
        <f>IFERROR(__xludf.DUMMYFUNCTION("INDIRECT(""'收支紀錄'!M""&amp;TO_TEXT(ROW()-$C$72))"),"")</f>
        <v/>
      </c>
      <c r="N1178" s="61" t="str">
        <f>IFERROR(__xludf.DUMMYFUNCTION("INDIRECT(""'收支紀錄'!N""&amp;TO_TEXT(ROW()-$C$72))"),"")</f>
        <v/>
      </c>
      <c r="O1178" s="61" t="str">
        <f>IFERROR(__xludf.DUMMYFUNCTION("INDIRECT(""'收支紀錄'!O""&amp;TO_TEXT(ROW()-$C$72))"),"")</f>
        <v/>
      </c>
      <c r="P1178" s="61" t="str">
        <f>IFERROR(__xludf.DUMMYFUNCTION("INDIRECT(""'收支紀錄'!P""&amp;TO_TEXT(ROW()-$C$72))"),"")</f>
        <v/>
      </c>
      <c r="Q1178" s="61" t="str">
        <f>IFERROR(__xludf.DUMMYFUNCTION("INDIRECT(""'收支紀錄'!Q""&amp;TO_TEXT(ROW()-$C$72))"),"")</f>
        <v/>
      </c>
      <c r="R1178" s="61" t="str">
        <f>IFERROR(__xludf.DUMMYFUNCTION("INDIRECT(""'收支紀錄'!R""&amp;TO_TEXT(ROW()-$C$72))"),"")</f>
        <v/>
      </c>
      <c r="S1178" s="61" t="str">
        <f>IFERROR(__xludf.DUMMYFUNCTION("INDIRECT(""'收支紀錄'!S""&amp;TO_TEXT(ROW()-$C$72))"),"")</f>
        <v/>
      </c>
      <c r="T1178" s="61" t="str">
        <f>IFERROR(__xludf.DUMMYFUNCTION("INDIRECT(""'收支紀錄'!T""&amp;TO_TEXT(ROW()-$C$72))"),"")</f>
        <v/>
      </c>
      <c r="U1178" s="62" t="str">
        <f>IFERROR(__xludf.DUMMYFUNCTION("IF(T1178=""是"",TEXTJOIN("""", TRUE, ""$"", TO_TEXT(C1178), S1178),"""")"),"")</f>
        <v/>
      </c>
    </row>
    <row r="1179">
      <c r="A1179" s="58">
        <f>IFERROR(__xludf.DUMMYFUNCTION("INDIRECT(""'收支紀錄'!A""&amp;TO_TEXT(ROW()-$C$72))"),45929.939765902775)</f>
        <v>45929.93977</v>
      </c>
      <c r="B1179" s="59">
        <f>IFERROR(__xludf.DUMMYFUNCTION("IF(ISBLANK(D1179), """", IF(ISDATE(D1179), D1179, IF(D1179=""今天"", A1179, IF(D1179=""昨天 (-1 day)"", A1179-1, IF(D1179=""前天 (-2 days)"", A1179-2, IF(D1179=""明天 (+1 day)"", A1179+1, DATE(LEFT(D1179,4), MID(D1179,5,2), RIGHT(D1179,2))))))))"),45929.939765902775)</f>
        <v>45929.93977</v>
      </c>
      <c r="C1179" s="60">
        <f>IFERROR(__xludf.DUMMYFUNCTION("INDIRECT(""'收支紀錄'!C""&amp;TO_TEXT(ROW()-$C$72))"),250.0)</f>
        <v>250</v>
      </c>
      <c r="D1179" s="63" t="str">
        <f>IFERROR(__xludf.DUMMYFUNCTION("INDIRECT(""'收支紀錄'!D""&amp;TO_TEXT(ROW()-$C$72))"),"今天")</f>
        <v>今天</v>
      </c>
      <c r="E1179" s="61" t="str">
        <f>IFERROR(__xludf.DUMMYFUNCTION("INDIRECT(""'收支紀錄'!E""&amp;TO_TEXT(ROW()-$C$72))"),"")</f>
        <v/>
      </c>
      <c r="F1179" s="61" t="str">
        <f>IFERROR(__xludf.DUMMYFUNCTION("INDIRECT(""'收支紀錄'!F""&amp;TO_TEXT(ROW()-$C$72))"),"")</f>
        <v/>
      </c>
      <c r="G1179" s="61" t="str">
        <f>IFERROR(__xludf.DUMMYFUNCTION("INDIRECT(""'收支紀錄'!G""&amp;TO_TEXT(ROW()-$C$72))"),"")</f>
        <v/>
      </c>
      <c r="H1179" s="61" t="str">
        <f>IFERROR(__xludf.DUMMYFUNCTION("INDIRECT(""'收支紀錄'!H""&amp;TO_TEXT(ROW()-$C$72))"),"醫療費用")</f>
        <v>醫療費用</v>
      </c>
      <c r="I1179" s="61" t="str">
        <f>IFERROR(__xludf.DUMMYFUNCTION("INDIRECT(""'收支紀錄'!I""&amp;TO_TEXT(ROW()-$C$72))"),"")</f>
        <v/>
      </c>
      <c r="J1179" s="61" t="str">
        <f>IFERROR(__xludf.DUMMYFUNCTION("INDIRECT(""'收支紀錄'!J""&amp;TO_TEXT(ROW()-$C$72))"),"")</f>
        <v/>
      </c>
      <c r="K1179" s="61" t="str">
        <f>IFERROR(__xludf.DUMMYFUNCTION("INDIRECT(""'收支紀錄'!K""&amp;TO_TEXT(ROW()-$C$72))"),"")</f>
        <v/>
      </c>
      <c r="L1179" s="61" t="str">
        <f>IFERROR(__xludf.DUMMYFUNCTION("INDIRECT(""'收支紀錄'!L""&amp;TO_TEXT(ROW()-$C$72))"),"")</f>
        <v/>
      </c>
      <c r="M1179" s="61" t="str">
        <f>IFERROR(__xludf.DUMMYFUNCTION("INDIRECT(""'收支紀錄'!M""&amp;TO_TEXT(ROW()-$C$72))"),"")</f>
        <v/>
      </c>
      <c r="N1179" s="61" t="str">
        <f>IFERROR(__xludf.DUMMYFUNCTION("INDIRECT(""'收支紀錄'!N""&amp;TO_TEXT(ROW()-$C$72))"),"")</f>
        <v/>
      </c>
      <c r="O1179" s="61" t="str">
        <f>IFERROR(__xludf.DUMMYFUNCTION("INDIRECT(""'收支紀錄'!O""&amp;TO_TEXT(ROW()-$C$72))"),"生病醫療")</f>
        <v>生病醫療</v>
      </c>
      <c r="P1179" s="61" t="str">
        <f>IFERROR(__xludf.DUMMYFUNCTION("INDIRECT(""'收支紀錄'!P""&amp;TO_TEXT(ROW()-$C$72))"),"")</f>
        <v/>
      </c>
      <c r="Q1179" s="61" t="str">
        <f>IFERROR(__xludf.DUMMYFUNCTION("INDIRECT(""'收支紀錄'!Q""&amp;TO_TEXT(ROW()-$C$72))"),"")</f>
        <v/>
      </c>
      <c r="R1179" s="61" t="str">
        <f>IFERROR(__xludf.DUMMYFUNCTION("INDIRECT(""'收支紀錄'!R""&amp;TO_TEXT(ROW()-$C$72))"),"")</f>
        <v/>
      </c>
      <c r="S1179" s="61" t="str">
        <f>IFERROR(__xludf.DUMMYFUNCTION("INDIRECT(""'收支紀錄'!S""&amp;TO_TEXT(ROW()-$C$72))"),"")</f>
        <v/>
      </c>
      <c r="T1179" s="61" t="str">
        <f>IFERROR(__xludf.DUMMYFUNCTION("INDIRECT(""'收支紀錄'!T""&amp;TO_TEXT(ROW()-$C$72))"),"")</f>
        <v/>
      </c>
      <c r="U1179" s="62" t="str">
        <f>IFERROR(__xludf.DUMMYFUNCTION("IF(T1179=""是"",TEXTJOIN("""", TRUE, ""$"", TO_TEXT(C1179), S1179),"""")"),"")</f>
        <v/>
      </c>
    </row>
    <row r="1180">
      <c r="A1180" s="58">
        <f>IFERROR(__xludf.DUMMYFUNCTION("INDIRECT(""'收支紀錄'!A""&amp;TO_TEXT(ROW()-$C$72))"),45929.939994189815)</f>
        <v>45929.93999</v>
      </c>
      <c r="B1180" s="59">
        <f>IFERROR(__xludf.DUMMYFUNCTION("IF(ISBLANK(D1180), """", IF(ISDATE(D1180), D1180, IF(D1180=""今天"", A1180, IF(D1180=""昨天 (-1 day)"", A1180-1, IF(D1180=""前天 (-2 days)"", A1180-2, IF(D1180=""明天 (+1 day)"", A1180+1, DATE(LEFT(D1180,4), MID(D1180,5,2), RIGHT(D1180,2))))))))"),45929.939994189815)</f>
        <v>45929.93999</v>
      </c>
      <c r="C1180" s="60">
        <f>IFERROR(__xludf.DUMMYFUNCTION("INDIRECT(""'收支紀錄'!C""&amp;TO_TEXT(ROW()-$C$72))"),230.0)</f>
        <v>230</v>
      </c>
      <c r="D1180" s="63" t="str">
        <f>IFERROR(__xludf.DUMMYFUNCTION("INDIRECT(""'收支紀錄'!D""&amp;TO_TEXT(ROW()-$C$72))"),"今天")</f>
        <v>今天</v>
      </c>
      <c r="E1180" s="61" t="str">
        <f>IFERROR(__xludf.DUMMYFUNCTION("INDIRECT(""'收支紀錄'!E""&amp;TO_TEXT(ROW()-$C$72))"),"")</f>
        <v/>
      </c>
      <c r="F1180" s="61" t="str">
        <f>IFERROR(__xludf.DUMMYFUNCTION("INDIRECT(""'收支紀錄'!F""&amp;TO_TEXT(ROW()-$C$72))"),"")</f>
        <v/>
      </c>
      <c r="G1180" s="61" t="str">
        <f>IFERROR(__xludf.DUMMYFUNCTION("INDIRECT(""'收支紀錄'!G""&amp;TO_TEXT(ROW()-$C$72))"),"")</f>
        <v/>
      </c>
      <c r="H1180" s="61" t="str">
        <f>IFERROR(__xludf.DUMMYFUNCTION("INDIRECT(""'收支紀錄'!H""&amp;TO_TEXT(ROW()-$C$72))"),"食品酒水")</f>
        <v>食品酒水</v>
      </c>
      <c r="I1180" s="61" t="str">
        <f>IFERROR(__xludf.DUMMYFUNCTION("INDIRECT(""'收支紀錄'!I""&amp;TO_TEXT(ROW()-$C$72))"),"午餐")</f>
        <v>午餐</v>
      </c>
      <c r="J1180" s="61" t="str">
        <f>IFERROR(__xludf.DUMMYFUNCTION("INDIRECT(""'收支紀錄'!J""&amp;TO_TEXT(ROW()-$C$72))"),"")</f>
        <v/>
      </c>
      <c r="K1180" s="61" t="str">
        <f>IFERROR(__xludf.DUMMYFUNCTION("INDIRECT(""'收支紀錄'!K""&amp;TO_TEXT(ROW()-$C$72))"),"")</f>
        <v/>
      </c>
      <c r="L1180" s="61" t="str">
        <f>IFERROR(__xludf.DUMMYFUNCTION("INDIRECT(""'收支紀錄'!L""&amp;TO_TEXT(ROW()-$C$72))"),"")</f>
        <v/>
      </c>
      <c r="M1180" s="61" t="str">
        <f>IFERROR(__xludf.DUMMYFUNCTION("INDIRECT(""'收支紀錄'!M""&amp;TO_TEXT(ROW()-$C$72))"),"")</f>
        <v/>
      </c>
      <c r="N1180" s="61" t="str">
        <f>IFERROR(__xludf.DUMMYFUNCTION("INDIRECT(""'收支紀錄'!N""&amp;TO_TEXT(ROW()-$C$72))"),"")</f>
        <v/>
      </c>
      <c r="O1180" s="61" t="str">
        <f>IFERROR(__xludf.DUMMYFUNCTION("INDIRECT(""'收支紀錄'!O""&amp;TO_TEXT(ROW()-$C$72))"),"")</f>
        <v/>
      </c>
      <c r="P1180" s="61" t="str">
        <f>IFERROR(__xludf.DUMMYFUNCTION("INDIRECT(""'收支紀錄'!P""&amp;TO_TEXT(ROW()-$C$72))"),"")</f>
        <v/>
      </c>
      <c r="Q1180" s="61" t="str">
        <f>IFERROR(__xludf.DUMMYFUNCTION("INDIRECT(""'收支紀錄'!Q""&amp;TO_TEXT(ROW()-$C$72))"),"")</f>
        <v/>
      </c>
      <c r="R1180" s="61" t="str">
        <f>IFERROR(__xludf.DUMMYFUNCTION("INDIRECT(""'收支紀錄'!R""&amp;TO_TEXT(ROW()-$C$72))"),"")</f>
        <v/>
      </c>
      <c r="S1180" s="61" t="str">
        <f>IFERROR(__xludf.DUMMYFUNCTION("INDIRECT(""'收支紀錄'!S""&amp;TO_TEXT(ROW()-$C$72))"),"")</f>
        <v/>
      </c>
      <c r="T1180" s="61" t="str">
        <f>IFERROR(__xludf.DUMMYFUNCTION("INDIRECT(""'收支紀錄'!T""&amp;TO_TEXT(ROW()-$C$72))"),"")</f>
        <v/>
      </c>
      <c r="U1180" s="62" t="str">
        <f>IFERROR(__xludf.DUMMYFUNCTION("IF(T1180=""是"",TEXTJOIN("""", TRUE, ""$"", TO_TEXT(C1180), S1180),"""")"),"")</f>
        <v/>
      </c>
    </row>
    <row r="1181">
      <c r="A1181" s="58">
        <f>IFERROR(__xludf.DUMMYFUNCTION("INDIRECT(""'收支紀錄'!A""&amp;TO_TEXT(ROW()-$C$72))"),45929.94023710648)</f>
        <v>45929.94024</v>
      </c>
      <c r="B1181" s="59">
        <f>IFERROR(__xludf.DUMMYFUNCTION("IF(ISBLANK(D1181), """", IF(ISDATE(D1181), D1181, IF(D1181=""今天"", A1181, IF(D1181=""昨天 (-1 day)"", A1181-1, IF(D1181=""前天 (-2 days)"", A1181-2, IF(D1181=""明天 (+1 day)"", A1181+1, DATE(LEFT(D1181,4), MID(D1181,5,2), RIGHT(D1181,2))))))))"),45929.94023710648)</f>
        <v>45929.94024</v>
      </c>
      <c r="C1181" s="60">
        <f>IFERROR(__xludf.DUMMYFUNCTION("INDIRECT(""'收支紀錄'!C""&amp;TO_TEXT(ROW()-$C$72))"),480.0)</f>
        <v>480</v>
      </c>
      <c r="D1181" s="63" t="str">
        <f>IFERROR(__xludf.DUMMYFUNCTION("INDIRECT(""'收支紀錄'!D""&amp;TO_TEXT(ROW()-$C$72))"),"今天")</f>
        <v>今天</v>
      </c>
      <c r="E1181" s="61" t="str">
        <f>IFERROR(__xludf.DUMMYFUNCTION("INDIRECT(""'收支紀錄'!E""&amp;TO_TEXT(ROW()-$C$72))"),"")</f>
        <v/>
      </c>
      <c r="F1181" s="61" t="str">
        <f>IFERROR(__xludf.DUMMYFUNCTION("INDIRECT(""'收支紀錄'!F""&amp;TO_TEXT(ROW()-$C$72))"),"")</f>
        <v/>
      </c>
      <c r="G1181" s="61" t="str">
        <f>IFERROR(__xludf.DUMMYFUNCTION("INDIRECT(""'收支紀錄'!G""&amp;TO_TEXT(ROW()-$C$72))"),"")</f>
        <v/>
      </c>
      <c r="H1181" s="61" t="str">
        <f>IFERROR(__xludf.DUMMYFUNCTION("INDIRECT(""'收支紀錄'!H""&amp;TO_TEXT(ROW()-$C$72))"),"食品酒水")</f>
        <v>食品酒水</v>
      </c>
      <c r="I1181" s="61" t="str">
        <f>IFERROR(__xludf.DUMMYFUNCTION("INDIRECT(""'收支紀錄'!I""&amp;TO_TEXT(ROW()-$C$72))"),"晚餐")</f>
        <v>晚餐</v>
      </c>
      <c r="J1181" s="61" t="str">
        <f>IFERROR(__xludf.DUMMYFUNCTION("INDIRECT(""'收支紀錄'!J""&amp;TO_TEXT(ROW()-$C$72))"),"")</f>
        <v/>
      </c>
      <c r="K1181" s="61" t="str">
        <f>IFERROR(__xludf.DUMMYFUNCTION("INDIRECT(""'收支紀錄'!K""&amp;TO_TEXT(ROW()-$C$72))"),"")</f>
        <v/>
      </c>
      <c r="L1181" s="61" t="str">
        <f>IFERROR(__xludf.DUMMYFUNCTION("INDIRECT(""'收支紀錄'!L""&amp;TO_TEXT(ROW()-$C$72))"),"")</f>
        <v/>
      </c>
      <c r="M1181" s="61" t="str">
        <f>IFERROR(__xludf.DUMMYFUNCTION("INDIRECT(""'收支紀錄'!M""&amp;TO_TEXT(ROW()-$C$72))"),"")</f>
        <v/>
      </c>
      <c r="N1181" s="61" t="str">
        <f>IFERROR(__xludf.DUMMYFUNCTION("INDIRECT(""'收支紀錄'!N""&amp;TO_TEXT(ROW()-$C$72))"),"")</f>
        <v/>
      </c>
      <c r="O1181" s="61" t="str">
        <f>IFERROR(__xludf.DUMMYFUNCTION("INDIRECT(""'收支紀錄'!O""&amp;TO_TEXT(ROW()-$C$72))"),"")</f>
        <v/>
      </c>
      <c r="P1181" s="61" t="str">
        <f>IFERROR(__xludf.DUMMYFUNCTION("INDIRECT(""'收支紀錄'!P""&amp;TO_TEXT(ROW()-$C$72))"),"")</f>
        <v/>
      </c>
      <c r="Q1181" s="61" t="str">
        <f>IFERROR(__xludf.DUMMYFUNCTION("INDIRECT(""'收支紀錄'!Q""&amp;TO_TEXT(ROW()-$C$72))"),"")</f>
        <v/>
      </c>
      <c r="R1181" s="61" t="str">
        <f>IFERROR(__xludf.DUMMYFUNCTION("INDIRECT(""'收支紀錄'!R""&amp;TO_TEXT(ROW()-$C$72))"),"")</f>
        <v/>
      </c>
      <c r="S1181" s="61" t="str">
        <f>IFERROR(__xludf.DUMMYFUNCTION("INDIRECT(""'收支紀錄'!S""&amp;TO_TEXT(ROW()-$C$72))"),"")</f>
        <v/>
      </c>
      <c r="T1181" s="61" t="str">
        <f>IFERROR(__xludf.DUMMYFUNCTION("INDIRECT(""'收支紀錄'!T""&amp;TO_TEXT(ROW()-$C$72))"),"")</f>
        <v/>
      </c>
      <c r="U1181" s="62" t="str">
        <f>IFERROR(__xludf.DUMMYFUNCTION("IF(T1181=""是"",TEXTJOIN("""", TRUE, ""$"", TO_TEXT(C1181), S1181),"""")"),"")</f>
        <v/>
      </c>
    </row>
    <row r="1182">
      <c r="A1182" s="58">
        <f>IFERROR(__xludf.DUMMYFUNCTION("INDIRECT(""'收支紀錄'!A""&amp;TO_TEXT(ROW()-$C$72))"),45929.940451145834)</f>
        <v>45929.94045</v>
      </c>
      <c r="B1182" s="59">
        <f>IFERROR(__xludf.DUMMYFUNCTION("IF(ISBLANK(D1182), """", IF(ISDATE(D1182), D1182, IF(D1182=""今天"", A1182, IF(D1182=""昨天 (-1 day)"", A1182-1, IF(D1182=""前天 (-2 days)"", A1182-2, IF(D1182=""明天 (+1 day)"", A1182+1, DATE(LEFT(D1182,4), MID(D1182,5,2), RIGHT(D1182,2))))))))"),45929.940451145834)</f>
        <v>45929.94045</v>
      </c>
      <c r="C1182" s="60">
        <f>IFERROR(__xludf.DUMMYFUNCTION("INDIRECT(""'收支紀錄'!C""&amp;TO_TEXT(ROW()-$C$72))"),840.0)</f>
        <v>840</v>
      </c>
      <c r="D1182" s="63" t="str">
        <f>IFERROR(__xludf.DUMMYFUNCTION("INDIRECT(""'收支紀錄'!D""&amp;TO_TEXT(ROW()-$C$72))"),"今天")</f>
        <v>今天</v>
      </c>
      <c r="E1182" s="61" t="str">
        <f>IFERROR(__xludf.DUMMYFUNCTION("INDIRECT(""'收支紀錄'!E""&amp;TO_TEXT(ROW()-$C$72))"),"")</f>
        <v/>
      </c>
      <c r="F1182" s="61" t="str">
        <f>IFERROR(__xludf.DUMMYFUNCTION("INDIRECT(""'收支紀錄'!F""&amp;TO_TEXT(ROW()-$C$72))"),"")</f>
        <v/>
      </c>
      <c r="G1182" s="61" t="str">
        <f>IFERROR(__xludf.DUMMYFUNCTION("INDIRECT(""'收支紀錄'!G""&amp;TO_TEXT(ROW()-$C$72))"),"")</f>
        <v/>
      </c>
      <c r="H1182" s="61" t="str">
        <f>IFERROR(__xludf.DUMMYFUNCTION("INDIRECT(""'收支紀錄'!H""&amp;TO_TEXT(ROW()-$C$72))"),"行車交通")</f>
        <v>行車交通</v>
      </c>
      <c r="I1182" s="61" t="str">
        <f>IFERROR(__xludf.DUMMYFUNCTION("INDIRECT(""'收支紀錄'!I""&amp;TO_TEXT(ROW()-$C$72))"),"")</f>
        <v/>
      </c>
      <c r="J1182" s="61" t="str">
        <f>IFERROR(__xludf.DUMMYFUNCTION("INDIRECT(""'收支紀錄'!J""&amp;TO_TEXT(ROW()-$C$72))"),"")</f>
        <v/>
      </c>
      <c r="K1182" s="61" t="str">
        <f>IFERROR(__xludf.DUMMYFUNCTION("INDIRECT(""'收支紀錄'!K""&amp;TO_TEXT(ROW()-$C$72))"),"")</f>
        <v/>
      </c>
      <c r="L1182" s="61" t="str">
        <f>IFERROR(__xludf.DUMMYFUNCTION("INDIRECT(""'收支紀錄'!L""&amp;TO_TEXT(ROW()-$C$72))"),"加油")</f>
        <v>加油</v>
      </c>
      <c r="M1182" s="61" t="str">
        <f>IFERROR(__xludf.DUMMYFUNCTION("INDIRECT(""'收支紀錄'!M""&amp;TO_TEXT(ROW()-$C$72))"),"")</f>
        <v/>
      </c>
      <c r="N1182" s="61" t="str">
        <f>IFERROR(__xludf.DUMMYFUNCTION("INDIRECT(""'收支紀錄'!N""&amp;TO_TEXT(ROW()-$C$72))"),"")</f>
        <v/>
      </c>
      <c r="O1182" s="61" t="str">
        <f>IFERROR(__xludf.DUMMYFUNCTION("INDIRECT(""'收支紀錄'!O""&amp;TO_TEXT(ROW()-$C$72))"),"")</f>
        <v/>
      </c>
      <c r="P1182" s="61" t="str">
        <f>IFERROR(__xludf.DUMMYFUNCTION("INDIRECT(""'收支紀錄'!P""&amp;TO_TEXT(ROW()-$C$72))"),"")</f>
        <v/>
      </c>
      <c r="Q1182" s="61" t="str">
        <f>IFERROR(__xludf.DUMMYFUNCTION("INDIRECT(""'收支紀錄'!Q""&amp;TO_TEXT(ROW()-$C$72))"),"")</f>
        <v/>
      </c>
      <c r="R1182" s="61" t="str">
        <f>IFERROR(__xludf.DUMMYFUNCTION("INDIRECT(""'收支紀錄'!R""&amp;TO_TEXT(ROW()-$C$72))"),"")</f>
        <v/>
      </c>
      <c r="S1182" s="61" t="str">
        <f>IFERROR(__xludf.DUMMYFUNCTION("INDIRECT(""'收支紀錄'!S""&amp;TO_TEXT(ROW()-$C$72))"),"")</f>
        <v/>
      </c>
      <c r="T1182" s="61" t="str">
        <f>IFERROR(__xludf.DUMMYFUNCTION("INDIRECT(""'收支紀錄'!T""&amp;TO_TEXT(ROW()-$C$72))"),"")</f>
        <v/>
      </c>
      <c r="U1182" s="62" t="str">
        <f>IFERROR(__xludf.DUMMYFUNCTION("IF(T1182=""是"",TEXTJOIN("""", TRUE, ""$"", TO_TEXT(C1182), S1182),"""")"),"")</f>
        <v/>
      </c>
    </row>
    <row r="1183">
      <c r="A1183" s="58">
        <f>IFERROR(__xludf.DUMMYFUNCTION("INDIRECT(""'收支紀錄'!A""&amp;TO_TEXT(ROW()-$C$72))"),45930.521587546296)</f>
        <v>45930.52159</v>
      </c>
      <c r="B1183" s="59">
        <f>IFERROR(__xludf.DUMMYFUNCTION("IF(ISBLANK(D1183), """", IF(ISDATE(D1183), D1183, IF(D1183=""今天"", A1183, IF(D1183=""昨天 (-1 day)"", A1183-1, IF(D1183=""前天 (-2 days)"", A1183-2, IF(D1183=""明天 (+1 day)"", A1183+1, DATE(LEFT(D1183,4), MID(D1183,5,2), RIGHT(D1183,2))))))))"),45929.521587546296)</f>
        <v>45929.52159</v>
      </c>
      <c r="C1183" s="60">
        <f>IFERROR(__xludf.DUMMYFUNCTION("INDIRECT(""'收支紀錄'!C""&amp;TO_TEXT(ROW()-$C$72))"),657.0)</f>
        <v>657</v>
      </c>
      <c r="D1183" s="63" t="str">
        <f>IFERROR(__xludf.DUMMYFUNCTION("INDIRECT(""'收支紀錄'!D""&amp;TO_TEXT(ROW()-$C$72))"),"昨天 (-1 day)")</f>
        <v>昨天 (-1 day)</v>
      </c>
      <c r="E1183" s="61" t="str">
        <f>IFERROR(__xludf.DUMMYFUNCTION("INDIRECT(""'收支紀錄'!E""&amp;TO_TEXT(ROW()-$C$72))"),"")</f>
        <v/>
      </c>
      <c r="F1183" s="61" t="str">
        <f>IFERROR(__xludf.DUMMYFUNCTION("INDIRECT(""'收支紀錄'!F""&amp;TO_TEXT(ROW()-$C$72))"),"")</f>
        <v/>
      </c>
      <c r="G1183" s="61" t="str">
        <f>IFERROR(__xludf.DUMMYFUNCTION("INDIRECT(""'收支紀錄'!G""&amp;TO_TEXT(ROW()-$C$72))"),"")</f>
        <v/>
      </c>
      <c r="H1183" s="61" t="str">
        <f>IFERROR(__xludf.DUMMYFUNCTION("INDIRECT(""'收支紀錄'!H""&amp;TO_TEXT(ROW()-$C$72))"),"食品酒水")</f>
        <v>食品酒水</v>
      </c>
      <c r="I1183" s="61" t="str">
        <f>IFERROR(__xludf.DUMMYFUNCTION("INDIRECT(""'收支紀錄'!I""&amp;TO_TEXT(ROW()-$C$72))"),"食材")</f>
        <v>食材</v>
      </c>
      <c r="J1183" s="61" t="str">
        <f>IFERROR(__xludf.DUMMYFUNCTION("INDIRECT(""'收支紀錄'!J""&amp;TO_TEXT(ROW()-$C$72))"),"")</f>
        <v/>
      </c>
      <c r="K1183" s="61" t="str">
        <f>IFERROR(__xludf.DUMMYFUNCTION("INDIRECT(""'收支紀錄'!K""&amp;TO_TEXT(ROW()-$C$72))"),"")</f>
        <v/>
      </c>
      <c r="L1183" s="61" t="str">
        <f>IFERROR(__xludf.DUMMYFUNCTION("INDIRECT(""'收支紀錄'!L""&amp;TO_TEXT(ROW()-$C$72))"),"")</f>
        <v/>
      </c>
      <c r="M1183" s="61" t="str">
        <f>IFERROR(__xludf.DUMMYFUNCTION("INDIRECT(""'收支紀錄'!M""&amp;TO_TEXT(ROW()-$C$72))"),"")</f>
        <v/>
      </c>
      <c r="N1183" s="61" t="str">
        <f>IFERROR(__xludf.DUMMYFUNCTION("INDIRECT(""'收支紀錄'!N""&amp;TO_TEXT(ROW()-$C$72))"),"")</f>
        <v/>
      </c>
      <c r="O1183" s="61" t="str">
        <f>IFERROR(__xludf.DUMMYFUNCTION("INDIRECT(""'收支紀錄'!O""&amp;TO_TEXT(ROW()-$C$72))"),"")</f>
        <v/>
      </c>
      <c r="P1183" s="61" t="str">
        <f>IFERROR(__xludf.DUMMYFUNCTION("INDIRECT(""'收支紀錄'!P""&amp;TO_TEXT(ROW()-$C$72))"),"")</f>
        <v/>
      </c>
      <c r="Q1183" s="61" t="str">
        <f>IFERROR(__xludf.DUMMYFUNCTION("INDIRECT(""'收支紀錄'!Q""&amp;TO_TEXT(ROW()-$C$72))"),"")</f>
        <v/>
      </c>
      <c r="R1183" s="61" t="str">
        <f>IFERROR(__xludf.DUMMYFUNCTION("INDIRECT(""'收支紀錄'!R""&amp;TO_TEXT(ROW()-$C$72))"),"")</f>
        <v/>
      </c>
      <c r="S1183" s="61" t="str">
        <f>IFERROR(__xludf.DUMMYFUNCTION("INDIRECT(""'收支紀錄'!S""&amp;TO_TEXT(ROW()-$C$72))"),"")</f>
        <v/>
      </c>
      <c r="T1183" s="61" t="str">
        <f>IFERROR(__xludf.DUMMYFUNCTION("INDIRECT(""'收支紀錄'!T""&amp;TO_TEXT(ROW()-$C$72))"),"")</f>
        <v/>
      </c>
      <c r="U1183" s="62" t="str">
        <f>IFERROR(__xludf.DUMMYFUNCTION("IF(T1183=""是"",TEXTJOIN("""", TRUE, ""$"", TO_TEXT(C1183), S1183),"""")"),"")</f>
        <v/>
      </c>
    </row>
    <row r="1184">
      <c r="A1184" s="58">
        <f>IFERROR(__xludf.DUMMYFUNCTION("INDIRECT(""'收支紀錄'!A""&amp;TO_TEXT(ROW()-$C$72))"),45931.55790918981)</f>
        <v>45931.55791</v>
      </c>
      <c r="B1184" s="59">
        <f>IFERROR(__xludf.DUMMYFUNCTION("IF(ISBLANK(D1184), """", IF(ISDATE(D1184), D1184, IF(D1184=""今天"", A1184, IF(D1184=""昨天 (-1 day)"", A1184-1, IF(D1184=""前天 (-2 days)"", A1184-2, IF(D1184=""明天 (+1 day)"", A1184+1, DATE(LEFT(D1184,4), MID(D1184,5,2), RIGHT(D1184,2))))))))"),45931.55790918981)</f>
        <v>45931.55791</v>
      </c>
      <c r="C1184" s="60">
        <f>IFERROR(__xludf.DUMMYFUNCTION("INDIRECT(""'收支紀錄'!C""&amp;TO_TEXT(ROW()-$C$72))"),20000.0)</f>
        <v>20000</v>
      </c>
      <c r="D1184" s="63" t="str">
        <f>IFERROR(__xludf.DUMMYFUNCTION("INDIRECT(""'收支紀錄'!D""&amp;TO_TEXT(ROW()-$C$72))"),"今天")</f>
        <v>今天</v>
      </c>
      <c r="E1184" s="61" t="str">
        <f>IFERROR(__xludf.DUMMYFUNCTION("INDIRECT(""'收支紀錄'!E""&amp;TO_TEXT(ROW()-$C$72))"),"")</f>
        <v/>
      </c>
      <c r="F1184" s="61" t="str">
        <f>IFERROR(__xludf.DUMMYFUNCTION("INDIRECT(""'收支紀錄'!F""&amp;TO_TEXT(ROW()-$C$72))"),"")</f>
        <v/>
      </c>
      <c r="G1184" s="61" t="str">
        <f>IFERROR(__xludf.DUMMYFUNCTION("INDIRECT(""'收支紀錄'!G""&amp;TO_TEXT(ROW()-$C$72))"),"")</f>
        <v/>
      </c>
      <c r="H1184" s="61" t="str">
        <f>IFERROR(__xludf.DUMMYFUNCTION("INDIRECT(""'收支紀錄'!H""&amp;TO_TEXT(ROW()-$C$72))"),"房屋支出")</f>
        <v>房屋支出</v>
      </c>
      <c r="I1184" s="61" t="str">
        <f>IFERROR(__xludf.DUMMYFUNCTION("INDIRECT(""'收支紀錄'!I""&amp;TO_TEXT(ROW()-$C$72))"),"")</f>
        <v/>
      </c>
      <c r="J1184" s="61" t="str">
        <f>IFERROR(__xludf.DUMMYFUNCTION("INDIRECT(""'收支紀錄'!J""&amp;TO_TEXT(ROW()-$C$72))"),"")</f>
        <v/>
      </c>
      <c r="K1184" s="61" t="str">
        <f>IFERROR(__xludf.DUMMYFUNCTION("INDIRECT(""'收支紀錄'!K""&amp;TO_TEXT(ROW()-$C$72))"),"文心1房貸代繳")</f>
        <v>文心1房貸代繳</v>
      </c>
      <c r="L1184" s="61" t="str">
        <f>IFERROR(__xludf.DUMMYFUNCTION("INDIRECT(""'收支紀錄'!L""&amp;TO_TEXT(ROW()-$C$72))"),"")</f>
        <v/>
      </c>
      <c r="M1184" s="61" t="str">
        <f>IFERROR(__xludf.DUMMYFUNCTION("INDIRECT(""'收支紀錄'!M""&amp;TO_TEXT(ROW()-$C$72))"),"")</f>
        <v/>
      </c>
      <c r="N1184" s="61" t="str">
        <f>IFERROR(__xludf.DUMMYFUNCTION("INDIRECT(""'收支紀錄'!N""&amp;TO_TEXT(ROW()-$C$72))"),"")</f>
        <v/>
      </c>
      <c r="O1184" s="61" t="str">
        <f>IFERROR(__xludf.DUMMYFUNCTION("INDIRECT(""'收支紀錄'!O""&amp;TO_TEXT(ROW()-$C$72))"),"")</f>
        <v/>
      </c>
      <c r="P1184" s="61" t="str">
        <f>IFERROR(__xludf.DUMMYFUNCTION("INDIRECT(""'收支紀錄'!P""&amp;TO_TEXT(ROW()-$C$72))"),"")</f>
        <v/>
      </c>
      <c r="Q1184" s="61" t="str">
        <f>IFERROR(__xludf.DUMMYFUNCTION("INDIRECT(""'收支紀錄'!Q""&amp;TO_TEXT(ROW()-$C$72))"),"")</f>
        <v/>
      </c>
      <c r="R1184" s="61" t="str">
        <f>IFERROR(__xludf.DUMMYFUNCTION("INDIRECT(""'收支紀錄'!R""&amp;TO_TEXT(ROW()-$C$72))"),"")</f>
        <v/>
      </c>
      <c r="S1184" s="61" t="str">
        <f>IFERROR(__xludf.DUMMYFUNCTION("INDIRECT(""'收支紀錄'!S""&amp;TO_TEXT(ROW()-$C$72))"),"")</f>
        <v/>
      </c>
      <c r="T1184" s="61" t="str">
        <f>IFERROR(__xludf.DUMMYFUNCTION("INDIRECT(""'收支紀錄'!T""&amp;TO_TEXT(ROW()-$C$72))"),"")</f>
        <v/>
      </c>
      <c r="U1184" s="62" t="str">
        <f>IFERROR(__xludf.DUMMYFUNCTION("IF(T1184=""是"",TEXTJOIN("""", TRUE, ""$"", TO_TEXT(C1184), S1184),"""")"),"")</f>
        <v/>
      </c>
    </row>
    <row r="1185">
      <c r="A1185" s="58">
        <f>IFERROR(__xludf.DUMMYFUNCTION("INDIRECT(""'收支紀錄'!A""&amp;TO_TEXT(ROW()-$C$72))"),45931.558088923615)</f>
        <v>45931.55809</v>
      </c>
      <c r="B1185" s="59">
        <f>IFERROR(__xludf.DUMMYFUNCTION("IF(ISBLANK(D1185), """", IF(ISDATE(D1185), D1185, IF(D1185=""今天"", A1185, IF(D1185=""昨天 (-1 day)"", A1185-1, IF(D1185=""前天 (-2 days)"", A1185-2, IF(D1185=""明天 (+1 day)"", A1185+1, DATE(LEFT(D1185,4), MID(D1185,5,2), RIGHT(D1185,2))))))))"),45931.558088923615)</f>
        <v>45931.55809</v>
      </c>
      <c r="C1185" s="60">
        <f>IFERROR(__xludf.DUMMYFUNCTION("INDIRECT(""'收支紀錄'!C""&amp;TO_TEXT(ROW()-$C$72))"),6000.0)</f>
        <v>6000</v>
      </c>
      <c r="D1185" s="63" t="str">
        <f>IFERROR(__xludf.DUMMYFUNCTION("INDIRECT(""'收支紀錄'!D""&amp;TO_TEXT(ROW()-$C$72))"),"今天")</f>
        <v>今天</v>
      </c>
      <c r="E1185" s="61" t="str">
        <f>IFERROR(__xludf.DUMMYFUNCTION("INDIRECT(""'收支紀錄'!E""&amp;TO_TEXT(ROW()-$C$72))"),"")</f>
        <v/>
      </c>
      <c r="F1185" s="61" t="str">
        <f>IFERROR(__xludf.DUMMYFUNCTION("INDIRECT(""'收支紀錄'!F""&amp;TO_TEXT(ROW()-$C$72))"),"")</f>
        <v/>
      </c>
      <c r="G1185" s="61" t="str">
        <f>IFERROR(__xludf.DUMMYFUNCTION("INDIRECT(""'收支紀錄'!G""&amp;TO_TEXT(ROW()-$C$72))"),"")</f>
        <v/>
      </c>
      <c r="H1185" s="61" t="str">
        <f>IFERROR(__xludf.DUMMYFUNCTION("INDIRECT(""'收支紀錄'!H""&amp;TO_TEXT(ROW()-$C$72))"),"房屋支出")</f>
        <v>房屋支出</v>
      </c>
      <c r="I1185" s="61" t="str">
        <f>IFERROR(__xludf.DUMMYFUNCTION("INDIRECT(""'收支紀錄'!I""&amp;TO_TEXT(ROW()-$C$72))"),"")</f>
        <v/>
      </c>
      <c r="J1185" s="61" t="str">
        <f>IFERROR(__xludf.DUMMYFUNCTION("INDIRECT(""'收支紀錄'!J""&amp;TO_TEXT(ROW()-$C$72))"),"")</f>
        <v/>
      </c>
      <c r="K1185" s="61" t="str">
        <f>IFERROR(__xludf.DUMMYFUNCTION("INDIRECT(""'收支紀錄'!K""&amp;TO_TEXT(ROW()-$C$72))"),"租屋")</f>
        <v>租屋</v>
      </c>
      <c r="L1185" s="61" t="str">
        <f>IFERROR(__xludf.DUMMYFUNCTION("INDIRECT(""'收支紀錄'!L""&amp;TO_TEXT(ROW()-$C$72))"),"")</f>
        <v/>
      </c>
      <c r="M1185" s="61" t="str">
        <f>IFERROR(__xludf.DUMMYFUNCTION("INDIRECT(""'收支紀錄'!M""&amp;TO_TEXT(ROW()-$C$72))"),"")</f>
        <v/>
      </c>
      <c r="N1185" s="61" t="str">
        <f>IFERROR(__xludf.DUMMYFUNCTION("INDIRECT(""'收支紀錄'!N""&amp;TO_TEXT(ROW()-$C$72))"),"")</f>
        <v/>
      </c>
      <c r="O1185" s="61" t="str">
        <f>IFERROR(__xludf.DUMMYFUNCTION("INDIRECT(""'收支紀錄'!O""&amp;TO_TEXT(ROW()-$C$72))"),"")</f>
        <v/>
      </c>
      <c r="P1185" s="61" t="str">
        <f>IFERROR(__xludf.DUMMYFUNCTION("INDIRECT(""'收支紀錄'!P""&amp;TO_TEXT(ROW()-$C$72))"),"")</f>
        <v/>
      </c>
      <c r="Q1185" s="61" t="str">
        <f>IFERROR(__xludf.DUMMYFUNCTION("INDIRECT(""'收支紀錄'!Q""&amp;TO_TEXT(ROW()-$C$72))"),"")</f>
        <v/>
      </c>
      <c r="R1185" s="61" t="str">
        <f>IFERROR(__xludf.DUMMYFUNCTION("INDIRECT(""'收支紀錄'!R""&amp;TO_TEXT(ROW()-$C$72))"),"")</f>
        <v/>
      </c>
      <c r="S1185" s="61" t="str">
        <f>IFERROR(__xludf.DUMMYFUNCTION("INDIRECT(""'收支紀錄'!S""&amp;TO_TEXT(ROW()-$C$72))"),"")</f>
        <v/>
      </c>
      <c r="T1185" s="61" t="str">
        <f>IFERROR(__xludf.DUMMYFUNCTION("INDIRECT(""'收支紀錄'!T""&amp;TO_TEXT(ROW()-$C$72))"),"")</f>
        <v/>
      </c>
      <c r="U1185" s="62" t="str">
        <f>IFERROR(__xludf.DUMMYFUNCTION("IF(T1185=""是"",TEXTJOIN("""", TRUE, ""$"", TO_TEXT(C1185), S1185),"""")"),"")</f>
        <v/>
      </c>
    </row>
    <row r="1186">
      <c r="A1186" s="58">
        <f>IFERROR(__xludf.DUMMYFUNCTION("INDIRECT(""'收支紀錄'!A""&amp;TO_TEXT(ROW()-$C$72))"),45931.94206023148)</f>
        <v>45931.94206</v>
      </c>
      <c r="B1186" s="59">
        <f>IFERROR(__xludf.DUMMYFUNCTION("IF(ISBLANK(D1186), """", IF(ISDATE(D1186), D1186, IF(D1186=""今天"", A1186, IF(D1186=""昨天 (-1 day)"", A1186-1, IF(D1186=""前天 (-2 days)"", A1186-2, IF(D1186=""明天 (+1 day)"", A1186+1, DATE(LEFT(D1186,4), MID(D1186,5,2), RIGHT(D1186,2))))))))"),45931.94206023148)</f>
        <v>45931.94206</v>
      </c>
      <c r="C1186" s="60">
        <f>IFERROR(__xludf.DUMMYFUNCTION("INDIRECT(""'收支紀錄'!C""&amp;TO_TEXT(ROW()-$C$72))"),6000.0)</f>
        <v>6000</v>
      </c>
      <c r="D1186" s="63" t="str">
        <f>IFERROR(__xludf.DUMMYFUNCTION("INDIRECT(""'收支紀錄'!D""&amp;TO_TEXT(ROW()-$C$72))"),"今天")</f>
        <v>今天</v>
      </c>
      <c r="E1186" s="61" t="str">
        <f>IFERROR(__xludf.DUMMYFUNCTION("INDIRECT(""'收支紀錄'!E""&amp;TO_TEXT(ROW()-$C$72))"),"其他業外")</f>
        <v>其他業外</v>
      </c>
      <c r="F1186" s="61" t="str">
        <f>IFERROR(__xludf.DUMMYFUNCTION("INDIRECT(""'收支紀錄'!F""&amp;TO_TEXT(ROW()-$C$72))"),"")</f>
        <v/>
      </c>
      <c r="G1186" s="61" t="str">
        <f>IFERROR(__xludf.DUMMYFUNCTION("INDIRECT(""'收支紀錄'!G""&amp;TO_TEXT(ROW()-$C$72))"),"房屋補貼")</f>
        <v>房屋補貼</v>
      </c>
      <c r="H1186" s="61" t="str">
        <f>IFERROR(__xludf.DUMMYFUNCTION("INDIRECT(""'收支紀錄'!H""&amp;TO_TEXT(ROW()-$C$72))"),"")</f>
        <v/>
      </c>
      <c r="I1186" s="61" t="str">
        <f>IFERROR(__xludf.DUMMYFUNCTION("INDIRECT(""'收支紀錄'!I""&amp;TO_TEXT(ROW()-$C$72))"),"")</f>
        <v/>
      </c>
      <c r="J1186" s="61" t="str">
        <f>IFERROR(__xludf.DUMMYFUNCTION("INDIRECT(""'收支紀錄'!J""&amp;TO_TEXT(ROW()-$C$72))"),"")</f>
        <v/>
      </c>
      <c r="K1186" s="61" t="str">
        <f>IFERROR(__xludf.DUMMYFUNCTION("INDIRECT(""'收支紀錄'!K""&amp;TO_TEXT(ROW()-$C$72))"),"")</f>
        <v/>
      </c>
      <c r="L1186" s="61" t="str">
        <f>IFERROR(__xludf.DUMMYFUNCTION("INDIRECT(""'收支紀錄'!L""&amp;TO_TEXT(ROW()-$C$72))"),"")</f>
        <v/>
      </c>
      <c r="M1186" s="61" t="str">
        <f>IFERROR(__xludf.DUMMYFUNCTION("INDIRECT(""'收支紀錄'!M""&amp;TO_TEXT(ROW()-$C$72))"),"")</f>
        <v/>
      </c>
      <c r="N1186" s="61" t="str">
        <f>IFERROR(__xludf.DUMMYFUNCTION("INDIRECT(""'收支紀錄'!N""&amp;TO_TEXT(ROW()-$C$72))"),"")</f>
        <v/>
      </c>
      <c r="O1186" s="61" t="str">
        <f>IFERROR(__xludf.DUMMYFUNCTION("INDIRECT(""'收支紀錄'!O""&amp;TO_TEXT(ROW()-$C$72))"),"")</f>
        <v/>
      </c>
      <c r="P1186" s="61" t="str">
        <f>IFERROR(__xludf.DUMMYFUNCTION("INDIRECT(""'收支紀錄'!P""&amp;TO_TEXT(ROW()-$C$72))"),"")</f>
        <v/>
      </c>
      <c r="Q1186" s="61" t="str">
        <f>IFERROR(__xludf.DUMMYFUNCTION("INDIRECT(""'收支紀錄'!Q""&amp;TO_TEXT(ROW()-$C$72))"),"")</f>
        <v/>
      </c>
      <c r="R1186" s="61" t="str">
        <f>IFERROR(__xludf.DUMMYFUNCTION("INDIRECT(""'收支紀錄'!R""&amp;TO_TEXT(ROW()-$C$72))"),"")</f>
        <v/>
      </c>
      <c r="S1186" s="61" t="str">
        <f>IFERROR(__xludf.DUMMYFUNCTION("INDIRECT(""'收支紀錄'!S""&amp;TO_TEXT(ROW()-$C$72))"),"")</f>
        <v/>
      </c>
      <c r="T1186" s="61" t="str">
        <f>IFERROR(__xludf.DUMMYFUNCTION("INDIRECT(""'收支紀錄'!T""&amp;TO_TEXT(ROW()-$C$72))"),"")</f>
        <v/>
      </c>
      <c r="U1186" s="62" t="str">
        <f>IFERROR(__xludf.DUMMYFUNCTION("IF(T1186=""是"",TEXTJOIN("""", TRUE, ""$"", TO_TEXT(C1186), S1186),"""")"),"")</f>
        <v/>
      </c>
    </row>
    <row r="1187">
      <c r="A1187" s="58">
        <f>IFERROR(__xludf.DUMMYFUNCTION("INDIRECT(""'收支紀錄'!A""&amp;TO_TEXT(ROW()-$C$72))"),45934.56837375)</f>
        <v>45934.56837</v>
      </c>
      <c r="B1187" s="59">
        <f>IFERROR(__xludf.DUMMYFUNCTION("IF(ISBLANK(D1187), """", IF(ISDATE(D1187), D1187, IF(D1187=""今天"", A1187, IF(D1187=""昨天 (-1 day)"", A1187-1, IF(D1187=""前天 (-2 days)"", A1187-2, IF(D1187=""明天 (+1 day)"", A1187+1, DATE(LEFT(D1187,4), MID(D1187,5,2), RIGHT(D1187,2))))))))"),45934.56837375)</f>
        <v>45934.56837</v>
      </c>
      <c r="C1187" s="60">
        <f>IFERROR(__xludf.DUMMYFUNCTION("INDIRECT(""'收支紀錄'!C""&amp;TO_TEXT(ROW()-$C$72))"),70.0)</f>
        <v>70</v>
      </c>
      <c r="D1187" s="63" t="str">
        <f>IFERROR(__xludf.DUMMYFUNCTION("INDIRECT(""'收支紀錄'!D""&amp;TO_TEXT(ROW()-$C$72))"),"今天")</f>
        <v>今天</v>
      </c>
      <c r="E1187" s="61" t="str">
        <f>IFERROR(__xludf.DUMMYFUNCTION("INDIRECT(""'收支紀錄'!E""&amp;TO_TEXT(ROW()-$C$72))"),"")</f>
        <v/>
      </c>
      <c r="F1187" s="61" t="str">
        <f>IFERROR(__xludf.DUMMYFUNCTION("INDIRECT(""'收支紀錄'!F""&amp;TO_TEXT(ROW()-$C$72))"),"")</f>
        <v/>
      </c>
      <c r="G1187" s="61" t="str">
        <f>IFERROR(__xludf.DUMMYFUNCTION("INDIRECT(""'收支紀錄'!G""&amp;TO_TEXT(ROW()-$C$72))"),"")</f>
        <v/>
      </c>
      <c r="H1187" s="61" t="str">
        <f>IFERROR(__xludf.DUMMYFUNCTION("INDIRECT(""'收支紀錄'!H""&amp;TO_TEXT(ROW()-$C$72))"),"食品酒水")</f>
        <v>食品酒水</v>
      </c>
      <c r="I1187" s="61" t="str">
        <f>IFERROR(__xludf.DUMMYFUNCTION("INDIRECT(""'收支紀錄'!I""&amp;TO_TEXT(ROW()-$C$72))"),"飲料酒水")</f>
        <v>飲料酒水</v>
      </c>
      <c r="J1187" s="61" t="str">
        <f>IFERROR(__xludf.DUMMYFUNCTION("INDIRECT(""'收支紀錄'!J""&amp;TO_TEXT(ROW()-$C$72))"),"")</f>
        <v/>
      </c>
      <c r="K1187" s="61" t="str">
        <f>IFERROR(__xludf.DUMMYFUNCTION("INDIRECT(""'收支紀錄'!K""&amp;TO_TEXT(ROW()-$C$72))"),"")</f>
        <v/>
      </c>
      <c r="L1187" s="61" t="str">
        <f>IFERROR(__xludf.DUMMYFUNCTION("INDIRECT(""'收支紀錄'!L""&amp;TO_TEXT(ROW()-$C$72))"),"")</f>
        <v/>
      </c>
      <c r="M1187" s="61" t="str">
        <f>IFERROR(__xludf.DUMMYFUNCTION("INDIRECT(""'收支紀錄'!M""&amp;TO_TEXT(ROW()-$C$72))"),"")</f>
        <v/>
      </c>
      <c r="N1187" s="61" t="str">
        <f>IFERROR(__xludf.DUMMYFUNCTION("INDIRECT(""'收支紀錄'!N""&amp;TO_TEXT(ROW()-$C$72))"),"")</f>
        <v/>
      </c>
      <c r="O1187" s="61" t="str">
        <f>IFERROR(__xludf.DUMMYFUNCTION("INDIRECT(""'收支紀錄'!O""&amp;TO_TEXT(ROW()-$C$72))"),"")</f>
        <v/>
      </c>
      <c r="P1187" s="61" t="str">
        <f>IFERROR(__xludf.DUMMYFUNCTION("INDIRECT(""'收支紀錄'!P""&amp;TO_TEXT(ROW()-$C$72))"),"")</f>
        <v/>
      </c>
      <c r="Q1187" s="61" t="str">
        <f>IFERROR(__xludf.DUMMYFUNCTION("INDIRECT(""'收支紀錄'!Q""&amp;TO_TEXT(ROW()-$C$72))"),"")</f>
        <v/>
      </c>
      <c r="R1187" s="61" t="str">
        <f>IFERROR(__xludf.DUMMYFUNCTION("INDIRECT(""'收支紀錄'!R""&amp;TO_TEXT(ROW()-$C$72))"),"")</f>
        <v/>
      </c>
      <c r="S1187" s="61" t="str">
        <f>IFERROR(__xludf.DUMMYFUNCTION("INDIRECT(""'收支紀錄'!S""&amp;TO_TEXT(ROW()-$C$72))"),"")</f>
        <v/>
      </c>
      <c r="T1187" s="61" t="str">
        <f>IFERROR(__xludf.DUMMYFUNCTION("INDIRECT(""'收支紀錄'!T""&amp;TO_TEXT(ROW()-$C$72))"),"")</f>
        <v/>
      </c>
      <c r="U1187" s="62" t="str">
        <f>IFERROR(__xludf.DUMMYFUNCTION("IF(T1187=""是"",TEXTJOIN("""", TRUE, ""$"", TO_TEXT(C1187), S1187),"""")"),"")</f>
        <v/>
      </c>
    </row>
    <row r="1188">
      <c r="A1188" s="58">
        <f>IFERROR(__xludf.DUMMYFUNCTION("INDIRECT(""'收支紀錄'!A""&amp;TO_TEXT(ROW()-$C$72))"),45934.796300601854)</f>
        <v>45934.7963</v>
      </c>
      <c r="B1188" s="59">
        <f>IFERROR(__xludf.DUMMYFUNCTION("IF(ISBLANK(D1188), """", IF(ISDATE(D1188), D1188, IF(D1188=""今天"", A1188, IF(D1188=""昨天 (-1 day)"", A1188-1, IF(D1188=""前天 (-2 days)"", A1188-2, IF(D1188=""明天 (+1 day)"", A1188+1, DATE(LEFT(D1188,4), MID(D1188,5,2), RIGHT(D1188,2))))))))"),45930.0)</f>
        <v>45930</v>
      </c>
      <c r="C1188" s="60">
        <f>IFERROR(__xludf.DUMMYFUNCTION("INDIRECT(""'收支紀錄'!C""&amp;TO_TEXT(ROW()-$C$72))"),205.0)</f>
        <v>205</v>
      </c>
      <c r="D1188" s="63">
        <f>IFERROR(__xludf.DUMMYFUNCTION("INDIRECT(""'收支紀錄'!D""&amp;TO_TEXT(ROW()-$C$72))"),2.025093E7)</f>
        <v>20250930</v>
      </c>
      <c r="E1188" s="61" t="str">
        <f>IFERROR(__xludf.DUMMYFUNCTION("INDIRECT(""'收支紀錄'!E""&amp;TO_TEXT(ROW()-$C$72))"),"")</f>
        <v/>
      </c>
      <c r="F1188" s="61" t="str">
        <f>IFERROR(__xludf.DUMMYFUNCTION("INDIRECT(""'收支紀錄'!F""&amp;TO_TEXT(ROW()-$C$72))"),"")</f>
        <v/>
      </c>
      <c r="G1188" s="61" t="str">
        <f>IFERROR(__xludf.DUMMYFUNCTION("INDIRECT(""'收支紀錄'!G""&amp;TO_TEXT(ROW()-$C$72))"),"")</f>
        <v/>
      </c>
      <c r="H1188" s="61" t="str">
        <f>IFERROR(__xludf.DUMMYFUNCTION("INDIRECT(""'收支紀錄'!H""&amp;TO_TEXT(ROW()-$C$72))"),"房屋支出")</f>
        <v>房屋支出</v>
      </c>
      <c r="I1188" s="61" t="str">
        <f>IFERROR(__xludf.DUMMYFUNCTION("INDIRECT(""'收支紀錄'!I""&amp;TO_TEXT(ROW()-$C$72))"),"")</f>
        <v/>
      </c>
      <c r="J1188" s="61" t="str">
        <f>IFERROR(__xludf.DUMMYFUNCTION("INDIRECT(""'收支紀錄'!J""&amp;TO_TEXT(ROW()-$C$72))"),"")</f>
        <v/>
      </c>
      <c r="K1188" s="61" t="str">
        <f>IFERROR(__xludf.DUMMYFUNCTION("INDIRECT(""'收支紀錄'!K""&amp;TO_TEXT(ROW()-$C$72))"),"水費")</f>
        <v>水費</v>
      </c>
      <c r="L1188" s="61" t="str">
        <f>IFERROR(__xludf.DUMMYFUNCTION("INDIRECT(""'收支紀錄'!L""&amp;TO_TEXT(ROW()-$C$72))"),"")</f>
        <v/>
      </c>
      <c r="M1188" s="61" t="str">
        <f>IFERROR(__xludf.DUMMYFUNCTION("INDIRECT(""'收支紀錄'!M""&amp;TO_TEXT(ROW()-$C$72))"),"")</f>
        <v/>
      </c>
      <c r="N1188" s="61" t="str">
        <f>IFERROR(__xludf.DUMMYFUNCTION("INDIRECT(""'收支紀錄'!N""&amp;TO_TEXT(ROW()-$C$72))"),"")</f>
        <v/>
      </c>
      <c r="O1188" s="61" t="str">
        <f>IFERROR(__xludf.DUMMYFUNCTION("INDIRECT(""'收支紀錄'!O""&amp;TO_TEXT(ROW()-$C$72))"),"")</f>
        <v/>
      </c>
      <c r="P1188" s="61" t="str">
        <f>IFERROR(__xludf.DUMMYFUNCTION("INDIRECT(""'收支紀錄'!P""&amp;TO_TEXT(ROW()-$C$72))"),"")</f>
        <v/>
      </c>
      <c r="Q1188" s="61" t="str">
        <f>IFERROR(__xludf.DUMMYFUNCTION("INDIRECT(""'收支紀錄'!Q""&amp;TO_TEXT(ROW()-$C$72))"),"")</f>
        <v/>
      </c>
      <c r="R1188" s="61" t="str">
        <f>IFERROR(__xludf.DUMMYFUNCTION("INDIRECT(""'收支紀錄'!R""&amp;TO_TEXT(ROW()-$C$72))"),"")</f>
        <v/>
      </c>
      <c r="S1188" s="61" t="str">
        <f>IFERROR(__xludf.DUMMYFUNCTION("INDIRECT(""'收支紀錄'!S""&amp;TO_TEXT(ROW()-$C$72))"),"")</f>
        <v/>
      </c>
      <c r="T1188" s="61" t="str">
        <f>IFERROR(__xludf.DUMMYFUNCTION("INDIRECT(""'收支紀錄'!T""&amp;TO_TEXT(ROW()-$C$72))"),"")</f>
        <v/>
      </c>
      <c r="U1188" s="62" t="str">
        <f>IFERROR(__xludf.DUMMYFUNCTION("IF(T1188=""是"",TEXTJOIN("""", TRUE, ""$"", TO_TEXT(C1188), S1188),"""")"),"")</f>
        <v/>
      </c>
    </row>
    <row r="1189">
      <c r="A1189" s="58">
        <f>IFERROR(__xludf.DUMMYFUNCTION("INDIRECT(""'收支紀錄'!A""&amp;TO_TEXT(ROW()-$C$72))"),45934.79841282408)</f>
        <v>45934.79841</v>
      </c>
      <c r="B1189" s="59">
        <f>IFERROR(__xludf.DUMMYFUNCTION("IF(ISBLANK(D1189), """", IF(ISDATE(D1189), D1189, IF(D1189=""今天"", A1189, IF(D1189=""昨天 (-1 day)"", A1189-1, IF(D1189=""前天 (-2 days)"", A1189-2, IF(D1189=""明天 (+1 day)"", A1189+1, DATE(LEFT(D1189,4), MID(D1189,5,2), RIGHT(D1189,2))))))))"),45930.0)</f>
        <v>45930</v>
      </c>
      <c r="C1189" s="60">
        <f>IFERROR(__xludf.DUMMYFUNCTION("INDIRECT(""'收支紀錄'!C""&amp;TO_TEXT(ROW()-$C$72))"),279.0)</f>
        <v>279</v>
      </c>
      <c r="D1189" s="63">
        <f>IFERROR(__xludf.DUMMYFUNCTION("INDIRECT(""'收支紀錄'!D""&amp;TO_TEXT(ROW()-$C$72))"),2.025093E7)</f>
        <v>20250930</v>
      </c>
      <c r="E1189" s="61" t="str">
        <f>IFERROR(__xludf.DUMMYFUNCTION("INDIRECT(""'收支紀錄'!E""&amp;TO_TEXT(ROW()-$C$72))"),"")</f>
        <v/>
      </c>
      <c r="F1189" s="61" t="str">
        <f>IFERROR(__xludf.DUMMYFUNCTION("INDIRECT(""'收支紀錄'!F""&amp;TO_TEXT(ROW()-$C$72))"),"")</f>
        <v/>
      </c>
      <c r="G1189" s="61" t="str">
        <f>IFERROR(__xludf.DUMMYFUNCTION("INDIRECT(""'收支紀錄'!G""&amp;TO_TEXT(ROW()-$C$72))"),"")</f>
        <v/>
      </c>
      <c r="H1189" s="61" t="str">
        <f>IFERROR(__xludf.DUMMYFUNCTION("INDIRECT(""'收支紀錄'!H""&amp;TO_TEXT(ROW()-$C$72))"),"行車交通")</f>
        <v>行車交通</v>
      </c>
      <c r="I1189" s="61" t="str">
        <f>IFERROR(__xludf.DUMMYFUNCTION("INDIRECT(""'收支紀錄'!I""&amp;TO_TEXT(ROW()-$C$72))"),"")</f>
        <v/>
      </c>
      <c r="J1189" s="61" t="str">
        <f>IFERROR(__xludf.DUMMYFUNCTION("INDIRECT(""'收支紀錄'!J""&amp;TO_TEXT(ROW()-$C$72))"),"")</f>
        <v/>
      </c>
      <c r="K1189" s="61" t="str">
        <f>IFERROR(__xludf.DUMMYFUNCTION("INDIRECT(""'收支紀錄'!K""&amp;TO_TEXT(ROW()-$C$72))"),"")</f>
        <v/>
      </c>
      <c r="L1189" s="61" t="str">
        <f>IFERROR(__xludf.DUMMYFUNCTION("INDIRECT(""'收支紀錄'!L""&amp;TO_TEXT(ROW()-$C$72))"),"停車")</f>
        <v>停車</v>
      </c>
      <c r="M1189" s="61" t="str">
        <f>IFERROR(__xludf.DUMMYFUNCTION("INDIRECT(""'收支紀錄'!M""&amp;TO_TEXT(ROW()-$C$72))"),"")</f>
        <v/>
      </c>
      <c r="N1189" s="61" t="str">
        <f>IFERROR(__xludf.DUMMYFUNCTION("INDIRECT(""'收支紀錄'!N""&amp;TO_TEXT(ROW()-$C$72))"),"")</f>
        <v/>
      </c>
      <c r="O1189" s="61" t="str">
        <f>IFERROR(__xludf.DUMMYFUNCTION("INDIRECT(""'收支紀錄'!O""&amp;TO_TEXT(ROW()-$C$72))"),"")</f>
        <v/>
      </c>
      <c r="P1189" s="61" t="str">
        <f>IFERROR(__xludf.DUMMYFUNCTION("INDIRECT(""'收支紀錄'!P""&amp;TO_TEXT(ROW()-$C$72))"),"")</f>
        <v/>
      </c>
      <c r="Q1189" s="61" t="str">
        <f>IFERROR(__xludf.DUMMYFUNCTION("INDIRECT(""'收支紀錄'!Q""&amp;TO_TEXT(ROW()-$C$72))"),"")</f>
        <v/>
      </c>
      <c r="R1189" s="61" t="str">
        <f>IFERROR(__xludf.DUMMYFUNCTION("INDIRECT(""'收支紀錄'!R""&amp;TO_TEXT(ROW()-$C$72))"),"")</f>
        <v/>
      </c>
      <c r="S1189" s="61" t="str">
        <f>IFERROR(__xludf.DUMMYFUNCTION("INDIRECT(""'收支紀錄'!S""&amp;TO_TEXT(ROW()-$C$72))"),"")</f>
        <v/>
      </c>
      <c r="T1189" s="61" t="str">
        <f>IFERROR(__xludf.DUMMYFUNCTION("INDIRECT(""'收支紀錄'!T""&amp;TO_TEXT(ROW()-$C$72))"),"")</f>
        <v/>
      </c>
      <c r="U1189" s="62" t="str">
        <f>IFERROR(__xludf.DUMMYFUNCTION("IF(T1189=""是"",TEXTJOIN("""", TRUE, ""$"", TO_TEXT(C1189), S1189),"""")"),"")</f>
        <v/>
      </c>
    </row>
    <row r="1190">
      <c r="A1190" s="58">
        <f>IFERROR(__xludf.DUMMYFUNCTION("INDIRECT(""'收支紀錄'!A""&amp;TO_TEXT(ROW()-$C$72))"),45934.79889313657)</f>
        <v>45934.79889</v>
      </c>
      <c r="B1190" s="59">
        <f>IFERROR(__xludf.DUMMYFUNCTION("IF(ISBLANK(D1190), """", IF(ISDATE(D1190), D1190, IF(D1190=""今天"", A1190, IF(D1190=""昨天 (-1 day)"", A1190-1, IF(D1190=""前天 (-2 days)"", A1190-2, IF(D1190=""明天 (+1 day)"", A1190+1, DATE(LEFT(D1190,4), MID(D1190,5,2), RIGHT(D1190,2))))))))"),45930.0)</f>
        <v>45930</v>
      </c>
      <c r="C1190" s="60">
        <f>IFERROR(__xludf.DUMMYFUNCTION("INDIRECT(""'收支紀錄'!C""&amp;TO_TEXT(ROW()-$C$72))"),400.0)</f>
        <v>400</v>
      </c>
      <c r="D1190" s="63">
        <f>IFERROR(__xludf.DUMMYFUNCTION("INDIRECT(""'收支紀錄'!D""&amp;TO_TEXT(ROW()-$C$72))"),2.025093E7)</f>
        <v>20250930</v>
      </c>
      <c r="E1190" s="61" t="str">
        <f>IFERROR(__xludf.DUMMYFUNCTION("INDIRECT(""'收支紀錄'!E""&amp;TO_TEXT(ROW()-$C$72))"),"")</f>
        <v/>
      </c>
      <c r="F1190" s="61" t="str">
        <f>IFERROR(__xludf.DUMMYFUNCTION("INDIRECT(""'收支紀錄'!F""&amp;TO_TEXT(ROW()-$C$72))"),"")</f>
        <v/>
      </c>
      <c r="G1190" s="61" t="str">
        <f>IFERROR(__xludf.DUMMYFUNCTION("INDIRECT(""'收支紀錄'!G""&amp;TO_TEXT(ROW()-$C$72))"),"")</f>
        <v/>
      </c>
      <c r="H1190" s="61" t="str">
        <f>IFERROR(__xludf.DUMMYFUNCTION("INDIRECT(""'收支紀錄'!H""&amp;TO_TEXT(ROW()-$C$72))"),"行車交通")</f>
        <v>行車交通</v>
      </c>
      <c r="I1190" s="61" t="str">
        <f>IFERROR(__xludf.DUMMYFUNCTION("INDIRECT(""'收支紀錄'!I""&amp;TO_TEXT(ROW()-$C$72))"),"")</f>
        <v/>
      </c>
      <c r="J1190" s="61" t="str">
        <f>IFERROR(__xludf.DUMMYFUNCTION("INDIRECT(""'收支紀錄'!J""&amp;TO_TEXT(ROW()-$C$72))"),"")</f>
        <v/>
      </c>
      <c r="K1190" s="61" t="str">
        <f>IFERROR(__xludf.DUMMYFUNCTION("INDIRECT(""'收支紀錄'!K""&amp;TO_TEXT(ROW()-$C$72))"),"")</f>
        <v/>
      </c>
      <c r="L1190" s="61" t="str">
        <f>IFERROR(__xludf.DUMMYFUNCTION("INDIRECT(""'收支紀錄'!L""&amp;TO_TEXT(ROW()-$C$72))"),"Etag")</f>
        <v>Etag</v>
      </c>
      <c r="M1190" s="61" t="str">
        <f>IFERROR(__xludf.DUMMYFUNCTION("INDIRECT(""'收支紀錄'!M""&amp;TO_TEXT(ROW()-$C$72))"),"")</f>
        <v/>
      </c>
      <c r="N1190" s="61" t="str">
        <f>IFERROR(__xludf.DUMMYFUNCTION("INDIRECT(""'收支紀錄'!N""&amp;TO_TEXT(ROW()-$C$72))"),"")</f>
        <v/>
      </c>
      <c r="O1190" s="61" t="str">
        <f>IFERROR(__xludf.DUMMYFUNCTION("INDIRECT(""'收支紀錄'!O""&amp;TO_TEXT(ROW()-$C$72))"),"")</f>
        <v/>
      </c>
      <c r="P1190" s="61" t="str">
        <f>IFERROR(__xludf.DUMMYFUNCTION("INDIRECT(""'收支紀錄'!P""&amp;TO_TEXT(ROW()-$C$72))"),"")</f>
        <v/>
      </c>
      <c r="Q1190" s="61" t="str">
        <f>IFERROR(__xludf.DUMMYFUNCTION("INDIRECT(""'收支紀錄'!Q""&amp;TO_TEXT(ROW()-$C$72))"),"")</f>
        <v/>
      </c>
      <c r="R1190" s="61" t="str">
        <f>IFERROR(__xludf.DUMMYFUNCTION("INDIRECT(""'收支紀錄'!R""&amp;TO_TEXT(ROW()-$C$72))"),"")</f>
        <v/>
      </c>
      <c r="S1190" s="61" t="str">
        <f>IFERROR(__xludf.DUMMYFUNCTION("INDIRECT(""'收支紀錄'!S""&amp;TO_TEXT(ROW()-$C$72))"),"")</f>
        <v/>
      </c>
      <c r="T1190" s="61" t="str">
        <f>IFERROR(__xludf.DUMMYFUNCTION("INDIRECT(""'收支紀錄'!T""&amp;TO_TEXT(ROW()-$C$72))"),"")</f>
        <v/>
      </c>
      <c r="U1190" s="62" t="str">
        <f>IFERROR(__xludf.DUMMYFUNCTION("IF(T1190=""是"",TEXTJOIN("""", TRUE, ""$"", TO_TEXT(C1190), S1190),"""")"),"")</f>
        <v/>
      </c>
    </row>
    <row r="1191">
      <c r="A1191" s="58">
        <f>IFERROR(__xludf.DUMMYFUNCTION("INDIRECT(""'收支紀錄'!A""&amp;TO_TEXT(ROW()-$C$72))"),45934.80014306713)</f>
        <v>45934.80014</v>
      </c>
      <c r="B1191" s="59">
        <f>IFERROR(__xludf.DUMMYFUNCTION("IF(ISBLANK(D1191), """", IF(ISDATE(D1191), D1191, IF(D1191=""今天"", A1191, IF(D1191=""昨天 (-1 day)"", A1191-1, IF(D1191=""前天 (-2 days)"", A1191-2, IF(D1191=""明天 (+1 day)"", A1191+1, DATE(LEFT(D1191,4), MID(D1191,5,2), RIGHT(D1191,2))))))))"),45934.80014306713)</f>
        <v>45934.80014</v>
      </c>
      <c r="C1191" s="60">
        <f>IFERROR(__xludf.DUMMYFUNCTION("INDIRECT(""'收支紀錄'!C""&amp;TO_TEXT(ROW()-$C$72))"),105065.0)</f>
        <v>105065</v>
      </c>
      <c r="D1191" s="63" t="str">
        <f>IFERROR(__xludf.DUMMYFUNCTION("INDIRECT(""'收支紀錄'!D""&amp;TO_TEXT(ROW()-$C$72))"),"今天")</f>
        <v>今天</v>
      </c>
      <c r="E1191" s="61" t="str">
        <f>IFERROR(__xludf.DUMMYFUNCTION("INDIRECT(""'收支紀錄'!E""&amp;TO_TEXT(ROW()-$C$72))"),"工作")</f>
        <v>工作</v>
      </c>
      <c r="F1191" s="61" t="str">
        <f>IFERROR(__xludf.DUMMYFUNCTION("INDIRECT(""'收支紀錄'!F""&amp;TO_TEXT(ROW()-$C$72))"),"底薪")</f>
        <v>底薪</v>
      </c>
      <c r="G1191" s="61" t="str">
        <f>IFERROR(__xludf.DUMMYFUNCTION("INDIRECT(""'收支紀錄'!G""&amp;TO_TEXT(ROW()-$C$72))"),"")</f>
        <v/>
      </c>
      <c r="H1191" s="61" t="str">
        <f>IFERROR(__xludf.DUMMYFUNCTION("INDIRECT(""'收支紀錄'!H""&amp;TO_TEXT(ROW()-$C$72))"),"")</f>
        <v/>
      </c>
      <c r="I1191" s="61" t="str">
        <f>IFERROR(__xludf.DUMMYFUNCTION("INDIRECT(""'收支紀錄'!I""&amp;TO_TEXT(ROW()-$C$72))"),"")</f>
        <v/>
      </c>
      <c r="J1191" s="61" t="str">
        <f>IFERROR(__xludf.DUMMYFUNCTION("INDIRECT(""'收支紀錄'!J""&amp;TO_TEXT(ROW()-$C$72))"),"")</f>
        <v/>
      </c>
      <c r="K1191" s="61" t="str">
        <f>IFERROR(__xludf.DUMMYFUNCTION("INDIRECT(""'收支紀錄'!K""&amp;TO_TEXT(ROW()-$C$72))"),"")</f>
        <v/>
      </c>
      <c r="L1191" s="61" t="str">
        <f>IFERROR(__xludf.DUMMYFUNCTION("INDIRECT(""'收支紀錄'!L""&amp;TO_TEXT(ROW()-$C$72))"),"")</f>
        <v/>
      </c>
      <c r="M1191" s="61" t="str">
        <f>IFERROR(__xludf.DUMMYFUNCTION("INDIRECT(""'收支紀錄'!M""&amp;TO_TEXT(ROW()-$C$72))"),"")</f>
        <v/>
      </c>
      <c r="N1191" s="61" t="str">
        <f>IFERROR(__xludf.DUMMYFUNCTION("INDIRECT(""'收支紀錄'!N""&amp;TO_TEXT(ROW()-$C$72))"),"")</f>
        <v/>
      </c>
      <c r="O1191" s="61" t="str">
        <f>IFERROR(__xludf.DUMMYFUNCTION("INDIRECT(""'收支紀錄'!O""&amp;TO_TEXT(ROW()-$C$72))"),"")</f>
        <v/>
      </c>
      <c r="P1191" s="61" t="str">
        <f>IFERROR(__xludf.DUMMYFUNCTION("INDIRECT(""'收支紀錄'!P""&amp;TO_TEXT(ROW()-$C$72))"),"")</f>
        <v/>
      </c>
      <c r="Q1191" s="61" t="str">
        <f>IFERROR(__xludf.DUMMYFUNCTION("INDIRECT(""'收支紀錄'!Q""&amp;TO_TEXT(ROW()-$C$72))"),"")</f>
        <v/>
      </c>
      <c r="R1191" s="61" t="str">
        <f>IFERROR(__xludf.DUMMYFUNCTION("INDIRECT(""'收支紀錄'!R""&amp;TO_TEXT(ROW()-$C$72))"),"")</f>
        <v/>
      </c>
      <c r="S1191" s="61" t="str">
        <f>IFERROR(__xludf.DUMMYFUNCTION("INDIRECT(""'收支紀錄'!S""&amp;TO_TEXT(ROW()-$C$72))")," $2235病假")</f>
        <v> $2235病假</v>
      </c>
      <c r="T1191" s="61" t="str">
        <f>IFERROR(__xludf.DUMMYFUNCTION("INDIRECT(""'收支紀錄'!T""&amp;TO_TEXT(ROW()-$C$72))"),"是")</f>
        <v>是</v>
      </c>
      <c r="U1191" s="62" t="str">
        <f>IFERROR(__xludf.DUMMYFUNCTION("IF(T1191=""是"",TEXTJOIN("""", TRUE, ""$"", TO_TEXT(C1191), S1191),"""")"),"$105065 $2235病假")</f>
        <v>$105065 $2235病假</v>
      </c>
    </row>
    <row r="1192">
      <c r="A1192" s="58">
        <f>IFERROR(__xludf.DUMMYFUNCTION("INDIRECT(""'收支紀錄'!A""&amp;TO_TEXT(ROW()-$C$72))"),45934.8004080324)</f>
        <v>45934.80041</v>
      </c>
      <c r="B1192" s="59">
        <f>IFERROR(__xludf.DUMMYFUNCTION("IF(ISBLANK(D1192), """", IF(ISDATE(D1192), D1192, IF(D1192=""今天"", A1192, IF(D1192=""昨天 (-1 day)"", A1192-1, IF(D1192=""前天 (-2 days)"", A1192-2, IF(D1192=""明天 (+1 day)"", A1192+1, DATE(LEFT(D1192,4), MID(D1192,5,2), RIGHT(D1192,2))))))))"),45934.8004080324)</f>
        <v>45934.80041</v>
      </c>
      <c r="C1192" s="60">
        <f>IFERROR(__xludf.DUMMYFUNCTION("INDIRECT(""'收支紀錄'!C""&amp;TO_TEXT(ROW()-$C$72))"),1000.0)</f>
        <v>1000</v>
      </c>
      <c r="D1192" s="63" t="str">
        <f>IFERROR(__xludf.DUMMYFUNCTION("INDIRECT(""'收支紀錄'!D""&amp;TO_TEXT(ROW()-$C$72))"),"今天")</f>
        <v>今天</v>
      </c>
      <c r="E1192" s="61" t="str">
        <f>IFERROR(__xludf.DUMMYFUNCTION("INDIRECT(""'收支紀錄'!E""&amp;TO_TEXT(ROW()-$C$72))"),"工作")</f>
        <v>工作</v>
      </c>
      <c r="F1192" s="61" t="str">
        <f>IFERROR(__xludf.DUMMYFUNCTION("INDIRECT(""'收支紀錄'!F""&amp;TO_TEXT(ROW()-$C$72))"),"加班/津貼")</f>
        <v>加班/津貼</v>
      </c>
      <c r="G1192" s="61" t="str">
        <f>IFERROR(__xludf.DUMMYFUNCTION("INDIRECT(""'收支紀錄'!G""&amp;TO_TEXT(ROW()-$C$72))"),"")</f>
        <v/>
      </c>
      <c r="H1192" s="61" t="str">
        <f>IFERROR(__xludf.DUMMYFUNCTION("INDIRECT(""'收支紀錄'!H""&amp;TO_TEXT(ROW()-$C$72))"),"")</f>
        <v/>
      </c>
      <c r="I1192" s="61" t="str">
        <f>IFERROR(__xludf.DUMMYFUNCTION("INDIRECT(""'收支紀錄'!I""&amp;TO_TEXT(ROW()-$C$72))"),"")</f>
        <v/>
      </c>
      <c r="J1192" s="61" t="str">
        <f>IFERROR(__xludf.DUMMYFUNCTION("INDIRECT(""'收支紀錄'!J""&amp;TO_TEXT(ROW()-$C$72))"),"")</f>
        <v/>
      </c>
      <c r="K1192" s="61" t="str">
        <f>IFERROR(__xludf.DUMMYFUNCTION("INDIRECT(""'收支紀錄'!K""&amp;TO_TEXT(ROW()-$C$72))"),"")</f>
        <v/>
      </c>
      <c r="L1192" s="61" t="str">
        <f>IFERROR(__xludf.DUMMYFUNCTION("INDIRECT(""'收支紀錄'!L""&amp;TO_TEXT(ROW()-$C$72))"),"")</f>
        <v/>
      </c>
      <c r="M1192" s="61" t="str">
        <f>IFERROR(__xludf.DUMMYFUNCTION("INDIRECT(""'收支紀錄'!M""&amp;TO_TEXT(ROW()-$C$72))"),"")</f>
        <v/>
      </c>
      <c r="N1192" s="61" t="str">
        <f>IFERROR(__xludf.DUMMYFUNCTION("INDIRECT(""'收支紀錄'!N""&amp;TO_TEXT(ROW()-$C$72))"),"")</f>
        <v/>
      </c>
      <c r="O1192" s="61" t="str">
        <f>IFERROR(__xludf.DUMMYFUNCTION("INDIRECT(""'收支紀錄'!O""&amp;TO_TEXT(ROW()-$C$72))"),"")</f>
        <v/>
      </c>
      <c r="P1192" s="61" t="str">
        <f>IFERROR(__xludf.DUMMYFUNCTION("INDIRECT(""'收支紀錄'!P""&amp;TO_TEXT(ROW()-$C$72))"),"")</f>
        <v/>
      </c>
      <c r="Q1192" s="61" t="str">
        <f>IFERROR(__xludf.DUMMYFUNCTION("INDIRECT(""'收支紀錄'!Q""&amp;TO_TEXT(ROW()-$C$72))"),"")</f>
        <v/>
      </c>
      <c r="R1192" s="61" t="str">
        <f>IFERROR(__xludf.DUMMYFUNCTION("INDIRECT(""'收支紀錄'!R""&amp;TO_TEXT(ROW()-$C$72))"),"")</f>
        <v/>
      </c>
      <c r="S1192" s="61" t="str">
        <f>IFERROR(__xludf.DUMMYFUNCTION("INDIRECT(""'收支紀錄'!S""&amp;TO_TEXT(ROW()-$C$72))"),"中秋節")</f>
        <v>中秋節</v>
      </c>
      <c r="T1192" s="61" t="str">
        <f>IFERROR(__xludf.DUMMYFUNCTION("INDIRECT(""'收支紀錄'!T""&amp;TO_TEXT(ROW()-$C$72))"),"是")</f>
        <v>是</v>
      </c>
      <c r="U1192" s="62" t="str">
        <f>IFERROR(__xludf.DUMMYFUNCTION("IF(T1192=""是"",TEXTJOIN("""", TRUE, ""$"", TO_TEXT(C1192), S1192),"""")"),"$1000中秋節")</f>
        <v>$1000中秋節</v>
      </c>
    </row>
    <row r="1193">
      <c r="A1193" s="58">
        <f>IFERROR(__xludf.DUMMYFUNCTION("INDIRECT(""'收支紀錄'!A""&amp;TO_TEXT(ROW()-$C$72))"),45934.80084336805)</f>
        <v>45934.80084</v>
      </c>
      <c r="B1193" s="59">
        <f>IFERROR(__xludf.DUMMYFUNCTION("IF(ISBLANK(D1193), """", IF(ISDATE(D1193), D1193, IF(D1193=""今天"", A1193, IF(D1193=""昨天 (-1 day)"", A1193-1, IF(D1193=""前天 (-2 days)"", A1193-2, IF(D1193=""明天 (+1 day)"", A1193+1, DATE(LEFT(D1193,4), MID(D1193,5,2), RIGHT(D1193,2))))))))"),45934.80084336805)</f>
        <v>45934.80084</v>
      </c>
      <c r="C1193" s="60">
        <f>IFERROR(__xludf.DUMMYFUNCTION("INDIRECT(""'收支紀錄'!C""&amp;TO_TEXT(ROW()-$C$72))"),1432.0)</f>
        <v>1432</v>
      </c>
      <c r="D1193" s="63" t="str">
        <f>IFERROR(__xludf.DUMMYFUNCTION("INDIRECT(""'收支紀錄'!D""&amp;TO_TEXT(ROW()-$C$72))"),"今天")</f>
        <v>今天</v>
      </c>
      <c r="E1193" s="61" t="str">
        <f>IFERROR(__xludf.DUMMYFUNCTION("INDIRECT(""'收支紀錄'!E""&amp;TO_TEXT(ROW()-$C$72))"),"")</f>
        <v/>
      </c>
      <c r="F1193" s="61" t="str">
        <f>IFERROR(__xludf.DUMMYFUNCTION("INDIRECT(""'收支紀錄'!F""&amp;TO_TEXT(ROW()-$C$72))"),"")</f>
        <v/>
      </c>
      <c r="G1193" s="61" t="str">
        <f>IFERROR(__xludf.DUMMYFUNCTION("INDIRECT(""'收支紀錄'!G""&amp;TO_TEXT(ROW()-$C$72))"),"")</f>
        <v/>
      </c>
      <c r="H1193" s="61" t="str">
        <f>IFERROR(__xludf.DUMMYFUNCTION("INDIRECT(""'收支紀錄'!H""&amp;TO_TEXT(ROW()-$C$72))"),"食品酒水")</f>
        <v>食品酒水</v>
      </c>
      <c r="I1193" s="61" t="str">
        <f>IFERROR(__xludf.DUMMYFUNCTION("INDIRECT(""'收支紀錄'!I""&amp;TO_TEXT(ROW()-$C$72))"),"前月公司餐費扣款")</f>
        <v>前月公司餐費扣款</v>
      </c>
      <c r="J1193" s="61" t="str">
        <f>IFERROR(__xludf.DUMMYFUNCTION("INDIRECT(""'收支紀錄'!J""&amp;TO_TEXT(ROW()-$C$72))"),"")</f>
        <v/>
      </c>
      <c r="K1193" s="61" t="str">
        <f>IFERROR(__xludf.DUMMYFUNCTION("INDIRECT(""'收支紀錄'!K""&amp;TO_TEXT(ROW()-$C$72))"),"")</f>
        <v/>
      </c>
      <c r="L1193" s="61" t="str">
        <f>IFERROR(__xludf.DUMMYFUNCTION("INDIRECT(""'收支紀錄'!L""&amp;TO_TEXT(ROW()-$C$72))"),"")</f>
        <v/>
      </c>
      <c r="M1193" s="61" t="str">
        <f>IFERROR(__xludf.DUMMYFUNCTION("INDIRECT(""'收支紀錄'!M""&amp;TO_TEXT(ROW()-$C$72))"),"")</f>
        <v/>
      </c>
      <c r="N1193" s="61" t="str">
        <f>IFERROR(__xludf.DUMMYFUNCTION("INDIRECT(""'收支紀錄'!N""&amp;TO_TEXT(ROW()-$C$72))"),"")</f>
        <v/>
      </c>
      <c r="O1193" s="61" t="str">
        <f>IFERROR(__xludf.DUMMYFUNCTION("INDIRECT(""'收支紀錄'!O""&amp;TO_TEXT(ROW()-$C$72))"),"")</f>
        <v/>
      </c>
      <c r="P1193" s="61" t="str">
        <f>IFERROR(__xludf.DUMMYFUNCTION("INDIRECT(""'收支紀錄'!P""&amp;TO_TEXT(ROW()-$C$72))"),"")</f>
        <v/>
      </c>
      <c r="Q1193" s="61" t="str">
        <f>IFERROR(__xludf.DUMMYFUNCTION("INDIRECT(""'收支紀錄'!Q""&amp;TO_TEXT(ROW()-$C$72))"),"")</f>
        <v/>
      </c>
      <c r="R1193" s="61" t="str">
        <f>IFERROR(__xludf.DUMMYFUNCTION("INDIRECT(""'收支紀錄'!R""&amp;TO_TEXT(ROW()-$C$72))"),"")</f>
        <v/>
      </c>
      <c r="S1193" s="61" t="str">
        <f>IFERROR(__xludf.DUMMYFUNCTION("INDIRECT(""'收支紀錄'!S""&amp;TO_TEXT(ROW()-$C$72))"),"")</f>
        <v/>
      </c>
      <c r="T1193" s="61" t="str">
        <f>IFERROR(__xludf.DUMMYFUNCTION("INDIRECT(""'收支紀錄'!T""&amp;TO_TEXT(ROW()-$C$72))"),"")</f>
        <v/>
      </c>
      <c r="U1193" s="62" t="str">
        <f>IFERROR(__xludf.DUMMYFUNCTION("IF(T1193=""是"",TEXTJOIN("""", TRUE, ""$"", TO_TEXT(C1193), S1193),"""")"),"")</f>
        <v/>
      </c>
    </row>
    <row r="1194">
      <c r="A1194" s="58">
        <f>IFERROR(__xludf.DUMMYFUNCTION("INDIRECT(""'收支紀錄'!A""&amp;TO_TEXT(ROW()-$C$72))"),45934.801195416665)</f>
        <v>45934.8012</v>
      </c>
      <c r="B1194" s="59">
        <f>IFERROR(__xludf.DUMMYFUNCTION("IF(ISBLANK(D1194), """", IF(ISDATE(D1194), D1194, IF(D1194=""今天"", A1194, IF(D1194=""昨天 (-1 day)"", A1194-1, IF(D1194=""前天 (-2 days)"", A1194-2, IF(D1194=""明天 (+1 day)"", A1194+1, DATE(LEFT(D1194,4), MID(D1194,5,2), RIGHT(D1194,2))))))))"),45934.801195416665)</f>
        <v>45934.8012</v>
      </c>
      <c r="C1194" s="60">
        <f>IFERROR(__xludf.DUMMYFUNCTION("INDIRECT(""'收支紀錄'!C""&amp;TO_TEXT(ROW()-$C$72))"),4292.0)</f>
        <v>4292</v>
      </c>
      <c r="D1194" s="63" t="str">
        <f>IFERROR(__xludf.DUMMYFUNCTION("INDIRECT(""'收支紀錄'!D""&amp;TO_TEXT(ROW()-$C$72))"),"今天")</f>
        <v>今天</v>
      </c>
      <c r="E1194" s="61" t="str">
        <f>IFERROR(__xludf.DUMMYFUNCTION("INDIRECT(""'收支紀錄'!E""&amp;TO_TEXT(ROW()-$C$72))"),"")</f>
        <v/>
      </c>
      <c r="F1194" s="61" t="str">
        <f>IFERROR(__xludf.DUMMYFUNCTION("INDIRECT(""'收支紀錄'!F""&amp;TO_TEXT(ROW()-$C$72))"),"")</f>
        <v/>
      </c>
      <c r="G1194" s="61" t="str">
        <f>IFERROR(__xludf.DUMMYFUNCTION("INDIRECT(""'收支紀錄'!G""&amp;TO_TEXT(ROW()-$C$72))"),"")</f>
        <v/>
      </c>
      <c r="H1194" s="61" t="str">
        <f>IFERROR(__xludf.DUMMYFUNCTION("INDIRECT(""'收支紀錄'!H""&amp;TO_TEXT(ROW()-$C$72))"),"投資及其他")</f>
        <v>投資及其他</v>
      </c>
      <c r="I1194" s="61" t="str">
        <f>IFERROR(__xludf.DUMMYFUNCTION("INDIRECT(""'收支紀錄'!I""&amp;TO_TEXT(ROW()-$C$72))"),"")</f>
        <v/>
      </c>
      <c r="J1194" s="61" t="str">
        <f>IFERROR(__xludf.DUMMYFUNCTION("INDIRECT(""'收支紀錄'!J""&amp;TO_TEXT(ROW()-$C$72))"),"")</f>
        <v/>
      </c>
      <c r="K1194" s="61" t="str">
        <f>IFERROR(__xludf.DUMMYFUNCTION("INDIRECT(""'收支紀錄'!K""&amp;TO_TEXT(ROW()-$C$72))"),"")</f>
        <v/>
      </c>
      <c r="L1194" s="61" t="str">
        <f>IFERROR(__xludf.DUMMYFUNCTION("INDIRECT(""'收支紀錄'!L""&amp;TO_TEXT(ROW()-$C$72))"),"")</f>
        <v/>
      </c>
      <c r="M1194" s="61" t="str">
        <f>IFERROR(__xludf.DUMMYFUNCTION("INDIRECT(""'收支紀錄'!M""&amp;TO_TEXT(ROW()-$C$72))"),"")</f>
        <v/>
      </c>
      <c r="N1194" s="61" t="str">
        <f>IFERROR(__xludf.DUMMYFUNCTION("INDIRECT(""'收支紀錄'!N""&amp;TO_TEXT(ROW()-$C$72))"),"")</f>
        <v/>
      </c>
      <c r="O1194" s="61" t="str">
        <f>IFERROR(__xludf.DUMMYFUNCTION("INDIRECT(""'收支紀錄'!O""&amp;TO_TEXT(ROW()-$C$72))"),"")</f>
        <v/>
      </c>
      <c r="P1194" s="61" t="str">
        <f>IFERROR(__xludf.DUMMYFUNCTION("INDIRECT(""'收支紀錄'!P""&amp;TO_TEXT(ROW()-$C$72))"),"")</f>
        <v/>
      </c>
      <c r="Q1194" s="61" t="str">
        <f>IFERROR(__xludf.DUMMYFUNCTION("INDIRECT(""'收支紀錄'!Q""&amp;TO_TEXT(ROW()-$C$72))"),"")</f>
        <v/>
      </c>
      <c r="R1194" s="61" t="str">
        <f>IFERROR(__xludf.DUMMYFUNCTION("INDIRECT(""'收支紀錄'!R""&amp;TO_TEXT(ROW()-$C$72))"),"公司認股")</f>
        <v>公司認股</v>
      </c>
      <c r="S1194" s="61" t="str">
        <f>IFERROR(__xludf.DUMMYFUNCTION("INDIRECT(""'收支紀錄'!S""&amp;TO_TEXT(ROW()-$C$72))"),"")</f>
        <v/>
      </c>
      <c r="T1194" s="61" t="str">
        <f>IFERROR(__xludf.DUMMYFUNCTION("INDIRECT(""'收支紀錄'!T""&amp;TO_TEXT(ROW()-$C$72))"),"")</f>
        <v/>
      </c>
      <c r="U1194" s="62" t="str">
        <f>IFERROR(__xludf.DUMMYFUNCTION("IF(T1194=""是"",TEXTJOIN("""", TRUE, ""$"", TO_TEXT(C1194), S1194),"""")"),"")</f>
        <v/>
      </c>
    </row>
    <row r="1195">
      <c r="A1195" s="58">
        <f>IFERROR(__xludf.DUMMYFUNCTION("INDIRECT(""'收支紀錄'!A""&amp;TO_TEXT(ROW()-$C$72))"),45934.801653981485)</f>
        <v>45934.80165</v>
      </c>
      <c r="B1195" s="59">
        <f>IFERROR(__xludf.DUMMYFUNCTION("IF(ISBLANK(D1195), """", IF(ISDATE(D1195), D1195, IF(D1195=""今天"", A1195, IF(D1195=""昨天 (-1 day)"", A1195-1, IF(D1195=""前天 (-2 days)"", A1195-2, IF(D1195=""明天 (+1 day)"", A1195+1, DATE(LEFT(D1195,4), MID(D1195,5,2), RIGHT(D1195,2))))))))"),45934.801653981485)</f>
        <v>45934.80165</v>
      </c>
      <c r="C1195" s="60">
        <f>IFERROR(__xludf.DUMMYFUNCTION("INDIRECT(""'收支紀錄'!C""&amp;TO_TEXT(ROW()-$C$72))"),2898.0)</f>
        <v>2898</v>
      </c>
      <c r="D1195" s="63" t="str">
        <f>IFERROR(__xludf.DUMMYFUNCTION("INDIRECT(""'收支紀錄'!D""&amp;TO_TEXT(ROW()-$C$72))"),"今天")</f>
        <v>今天</v>
      </c>
      <c r="E1195" s="61" t="str">
        <f>IFERROR(__xludf.DUMMYFUNCTION("INDIRECT(""'收支紀錄'!E""&amp;TO_TEXT(ROW()-$C$72))"),"")</f>
        <v/>
      </c>
      <c r="F1195" s="61" t="str">
        <f>IFERROR(__xludf.DUMMYFUNCTION("INDIRECT(""'收支紀錄'!F""&amp;TO_TEXT(ROW()-$C$72))"),"")</f>
        <v/>
      </c>
      <c r="G1195" s="61" t="str">
        <f>IFERROR(__xludf.DUMMYFUNCTION("INDIRECT(""'收支紀錄'!G""&amp;TO_TEXT(ROW()-$C$72))"),"")</f>
        <v/>
      </c>
      <c r="H1195" s="61" t="str">
        <f>IFERROR(__xludf.DUMMYFUNCTION("INDIRECT(""'收支紀錄'!H""&amp;TO_TEXT(ROW()-$C$72))"),"稅金保險")</f>
        <v>稅金保險</v>
      </c>
      <c r="I1195" s="61" t="str">
        <f>IFERROR(__xludf.DUMMYFUNCTION("INDIRECT(""'收支紀錄'!I""&amp;TO_TEXT(ROW()-$C$72))"),"")</f>
        <v/>
      </c>
      <c r="J1195" s="61" t="str">
        <f>IFERROR(__xludf.DUMMYFUNCTION("INDIRECT(""'收支紀錄'!J""&amp;TO_TEXT(ROW()-$C$72))"),"")</f>
        <v/>
      </c>
      <c r="K1195" s="61" t="str">
        <f>IFERROR(__xludf.DUMMYFUNCTION("INDIRECT(""'收支紀錄'!K""&amp;TO_TEXT(ROW()-$C$72))"),"")</f>
        <v/>
      </c>
      <c r="L1195" s="61" t="str">
        <f>IFERROR(__xludf.DUMMYFUNCTION("INDIRECT(""'收支紀錄'!L""&amp;TO_TEXT(ROW()-$C$72))"),"")</f>
        <v/>
      </c>
      <c r="M1195" s="61" t="str">
        <f>IFERROR(__xludf.DUMMYFUNCTION("INDIRECT(""'收支紀錄'!M""&amp;TO_TEXT(ROW()-$C$72))"),"")</f>
        <v/>
      </c>
      <c r="N1195" s="61" t="str">
        <f>IFERROR(__xludf.DUMMYFUNCTION("INDIRECT(""'收支紀錄'!N""&amp;TO_TEXT(ROW()-$C$72))"),"勞健保")</f>
        <v>勞健保</v>
      </c>
      <c r="O1195" s="61" t="str">
        <f>IFERROR(__xludf.DUMMYFUNCTION("INDIRECT(""'收支紀錄'!O""&amp;TO_TEXT(ROW()-$C$72))"),"")</f>
        <v/>
      </c>
      <c r="P1195" s="61" t="str">
        <f>IFERROR(__xludf.DUMMYFUNCTION("INDIRECT(""'收支紀錄'!P""&amp;TO_TEXT(ROW()-$C$72))"),"")</f>
        <v/>
      </c>
      <c r="Q1195" s="61" t="str">
        <f>IFERROR(__xludf.DUMMYFUNCTION("INDIRECT(""'收支紀錄'!Q""&amp;TO_TEXT(ROW()-$C$72))"),"")</f>
        <v/>
      </c>
      <c r="R1195" s="61" t="str">
        <f>IFERROR(__xludf.DUMMYFUNCTION("INDIRECT(""'收支紀錄'!R""&amp;TO_TEXT(ROW()-$C$72))"),"")</f>
        <v/>
      </c>
      <c r="S1195" s="61" t="str">
        <f>IFERROR(__xludf.DUMMYFUNCTION("INDIRECT(""'收支紀錄'!S""&amp;TO_TEXT(ROW()-$C$72))"),"")</f>
        <v/>
      </c>
      <c r="T1195" s="61" t="str">
        <f>IFERROR(__xludf.DUMMYFUNCTION("INDIRECT(""'收支紀錄'!T""&amp;TO_TEXT(ROW()-$C$72))"),"")</f>
        <v/>
      </c>
      <c r="U1195" s="62" t="str">
        <f>IFERROR(__xludf.DUMMYFUNCTION("IF(T1195=""是"",TEXTJOIN("""", TRUE, ""$"", TO_TEXT(C1195), S1195),"""")"),"")</f>
        <v/>
      </c>
    </row>
    <row r="1196">
      <c r="A1196" s="58">
        <f>IFERROR(__xludf.DUMMYFUNCTION("INDIRECT(""'收支紀錄'!A""&amp;TO_TEXT(ROW()-$C$72))"),45934.802228518514)</f>
        <v>45934.80223</v>
      </c>
      <c r="B1196" s="59">
        <f>IFERROR(__xludf.DUMMYFUNCTION("IF(ISBLANK(D1196), """", IF(ISDATE(D1196), D1196, IF(D1196=""今天"", A1196, IF(D1196=""昨天 (-1 day)"", A1196-1, IF(D1196=""前天 (-2 days)"", A1196-2, IF(D1196=""明天 (+1 day)"", A1196+1, DATE(LEFT(D1196,4), MID(D1196,5,2), RIGHT(D1196,2))))))))"),45934.802228518514)</f>
        <v>45934.80223</v>
      </c>
      <c r="C1196" s="60">
        <f>IFERROR(__xludf.DUMMYFUNCTION("INDIRECT(""'收支紀錄'!C""&amp;TO_TEXT(ROW()-$C$72))"),537.0)</f>
        <v>537</v>
      </c>
      <c r="D1196" s="63" t="str">
        <f>IFERROR(__xludf.DUMMYFUNCTION("INDIRECT(""'收支紀錄'!D""&amp;TO_TEXT(ROW()-$C$72))"),"今天")</f>
        <v>今天</v>
      </c>
      <c r="E1196" s="61" t="str">
        <f>IFERROR(__xludf.DUMMYFUNCTION("INDIRECT(""'收支紀錄'!E""&amp;TO_TEXT(ROW()-$C$72))"),"")</f>
        <v/>
      </c>
      <c r="F1196" s="61" t="str">
        <f>IFERROR(__xludf.DUMMYFUNCTION("INDIRECT(""'收支紀錄'!F""&amp;TO_TEXT(ROW()-$C$72))"),"")</f>
        <v/>
      </c>
      <c r="G1196" s="61" t="str">
        <f>IFERROR(__xludf.DUMMYFUNCTION("INDIRECT(""'收支紀錄'!G""&amp;TO_TEXT(ROW()-$C$72))"),"")</f>
        <v/>
      </c>
      <c r="H1196" s="61" t="str">
        <f>IFERROR(__xludf.DUMMYFUNCTION("INDIRECT(""'收支紀錄'!H""&amp;TO_TEXT(ROW()-$C$72))"),"休閒娛樂")</f>
        <v>休閒娛樂</v>
      </c>
      <c r="I1196" s="61" t="str">
        <f>IFERROR(__xludf.DUMMYFUNCTION("INDIRECT(""'收支紀錄'!I""&amp;TO_TEXT(ROW()-$C$72))"),"")</f>
        <v/>
      </c>
      <c r="J1196" s="61" t="str">
        <f>IFERROR(__xludf.DUMMYFUNCTION("INDIRECT(""'收支紀錄'!J""&amp;TO_TEXT(ROW()-$C$72))"),"")</f>
        <v/>
      </c>
      <c r="K1196" s="61" t="str">
        <f>IFERROR(__xludf.DUMMYFUNCTION("INDIRECT(""'收支紀錄'!K""&amp;TO_TEXT(ROW()-$C$72))"),"")</f>
        <v/>
      </c>
      <c r="L1196" s="61" t="str">
        <f>IFERROR(__xludf.DUMMYFUNCTION("INDIRECT(""'收支紀錄'!L""&amp;TO_TEXT(ROW()-$C$72))"),"")</f>
        <v/>
      </c>
      <c r="M1196" s="61" t="str">
        <f>IFERROR(__xludf.DUMMYFUNCTION("INDIRECT(""'收支紀錄'!M""&amp;TO_TEXT(ROW()-$C$72))"),"公司福利金")</f>
        <v>公司福利金</v>
      </c>
      <c r="N1196" s="61" t="str">
        <f>IFERROR(__xludf.DUMMYFUNCTION("INDIRECT(""'收支紀錄'!N""&amp;TO_TEXT(ROW()-$C$72))"),"")</f>
        <v/>
      </c>
      <c r="O1196" s="61" t="str">
        <f>IFERROR(__xludf.DUMMYFUNCTION("INDIRECT(""'收支紀錄'!O""&amp;TO_TEXT(ROW()-$C$72))"),"")</f>
        <v/>
      </c>
      <c r="P1196" s="61" t="str">
        <f>IFERROR(__xludf.DUMMYFUNCTION("INDIRECT(""'收支紀錄'!P""&amp;TO_TEXT(ROW()-$C$72))"),"")</f>
        <v/>
      </c>
      <c r="Q1196" s="61" t="str">
        <f>IFERROR(__xludf.DUMMYFUNCTION("INDIRECT(""'收支紀錄'!Q""&amp;TO_TEXT(ROW()-$C$72))"),"")</f>
        <v/>
      </c>
      <c r="R1196" s="61" t="str">
        <f>IFERROR(__xludf.DUMMYFUNCTION("INDIRECT(""'收支紀錄'!R""&amp;TO_TEXT(ROW()-$C$72))"),"")</f>
        <v/>
      </c>
      <c r="S1196" s="61" t="str">
        <f>IFERROR(__xludf.DUMMYFUNCTION("INDIRECT(""'收支紀錄'!S""&amp;TO_TEXT(ROW()-$C$72))"),"")</f>
        <v/>
      </c>
      <c r="T1196" s="61" t="str">
        <f>IFERROR(__xludf.DUMMYFUNCTION("INDIRECT(""'收支紀錄'!T""&amp;TO_TEXT(ROW()-$C$72))"),"")</f>
        <v/>
      </c>
      <c r="U1196" s="62" t="str">
        <f>IFERROR(__xludf.DUMMYFUNCTION("IF(T1196=""是"",TEXTJOIN("""", TRUE, ""$"", TO_TEXT(C1196), S1196),"""")"),"")</f>
        <v/>
      </c>
    </row>
    <row r="1197">
      <c r="A1197" s="58">
        <f>IFERROR(__xludf.DUMMYFUNCTION("INDIRECT(""'收支紀錄'!A""&amp;TO_TEXT(ROW()-$C$72))"),45934.80248694445)</f>
        <v>45934.80249</v>
      </c>
      <c r="B1197" s="59">
        <f>IFERROR(__xludf.DUMMYFUNCTION("IF(ISBLANK(D1197), """", IF(ISDATE(D1197), D1197, IF(D1197=""今天"", A1197, IF(D1197=""昨天 (-1 day)"", A1197-1, IF(D1197=""前天 (-2 days)"", A1197-2, IF(D1197=""明天 (+1 day)"", A1197+1, DATE(LEFT(D1197,4), MID(D1197,5,2), RIGHT(D1197,2))))))))"),45934.80248694445)</f>
        <v>45934.80249</v>
      </c>
      <c r="C1197" s="60">
        <f>IFERROR(__xludf.DUMMYFUNCTION("INDIRECT(""'收支紀錄'!C""&amp;TO_TEXT(ROW()-$C$72))"),3620.0)</f>
        <v>3620</v>
      </c>
      <c r="D1197" s="63" t="str">
        <f>IFERROR(__xludf.DUMMYFUNCTION("INDIRECT(""'收支紀錄'!D""&amp;TO_TEXT(ROW()-$C$72))"),"今天")</f>
        <v>今天</v>
      </c>
      <c r="E1197" s="61" t="str">
        <f>IFERROR(__xludf.DUMMYFUNCTION("INDIRECT(""'收支紀錄'!E""&amp;TO_TEXT(ROW()-$C$72))"),"")</f>
        <v/>
      </c>
      <c r="F1197" s="61" t="str">
        <f>IFERROR(__xludf.DUMMYFUNCTION("INDIRECT(""'收支紀錄'!F""&amp;TO_TEXT(ROW()-$C$72))"),"")</f>
        <v/>
      </c>
      <c r="G1197" s="61" t="str">
        <f>IFERROR(__xludf.DUMMYFUNCTION("INDIRECT(""'收支紀錄'!G""&amp;TO_TEXT(ROW()-$C$72))"),"")</f>
        <v/>
      </c>
      <c r="H1197" s="61" t="str">
        <f>IFERROR(__xludf.DUMMYFUNCTION("INDIRECT(""'收支紀錄'!H""&amp;TO_TEXT(ROW()-$C$72))"),"稅金保險")</f>
        <v>稅金保險</v>
      </c>
      <c r="I1197" s="61" t="str">
        <f>IFERROR(__xludf.DUMMYFUNCTION("INDIRECT(""'收支紀錄'!I""&amp;TO_TEXT(ROW()-$C$72))"),"")</f>
        <v/>
      </c>
      <c r="J1197" s="61" t="str">
        <f>IFERROR(__xludf.DUMMYFUNCTION("INDIRECT(""'收支紀錄'!J""&amp;TO_TEXT(ROW()-$C$72))"),"")</f>
        <v/>
      </c>
      <c r="K1197" s="61" t="str">
        <f>IFERROR(__xludf.DUMMYFUNCTION("INDIRECT(""'收支紀錄'!K""&amp;TO_TEXT(ROW()-$C$72))"),"")</f>
        <v/>
      </c>
      <c r="L1197" s="61" t="str">
        <f>IFERROR(__xludf.DUMMYFUNCTION("INDIRECT(""'收支紀錄'!L""&amp;TO_TEXT(ROW()-$C$72))"),"")</f>
        <v/>
      </c>
      <c r="M1197" s="61" t="str">
        <f>IFERROR(__xludf.DUMMYFUNCTION("INDIRECT(""'收支紀錄'!M""&amp;TO_TEXT(ROW()-$C$72))"),"")</f>
        <v/>
      </c>
      <c r="N1197" s="61" t="str">
        <f>IFERROR(__xludf.DUMMYFUNCTION("INDIRECT(""'收支紀錄'!N""&amp;TO_TEXT(ROW()-$C$72))"),"稅金")</f>
        <v>稅金</v>
      </c>
      <c r="O1197" s="61" t="str">
        <f>IFERROR(__xludf.DUMMYFUNCTION("INDIRECT(""'收支紀錄'!O""&amp;TO_TEXT(ROW()-$C$72))"),"")</f>
        <v/>
      </c>
      <c r="P1197" s="61" t="str">
        <f>IFERROR(__xludf.DUMMYFUNCTION("INDIRECT(""'收支紀錄'!P""&amp;TO_TEXT(ROW()-$C$72))"),"")</f>
        <v/>
      </c>
      <c r="Q1197" s="61" t="str">
        <f>IFERROR(__xludf.DUMMYFUNCTION("INDIRECT(""'收支紀錄'!Q""&amp;TO_TEXT(ROW()-$C$72))"),"")</f>
        <v/>
      </c>
      <c r="R1197" s="61" t="str">
        <f>IFERROR(__xludf.DUMMYFUNCTION("INDIRECT(""'收支紀錄'!R""&amp;TO_TEXT(ROW()-$C$72))"),"")</f>
        <v/>
      </c>
      <c r="S1197" s="61" t="str">
        <f>IFERROR(__xludf.DUMMYFUNCTION("INDIRECT(""'收支紀錄'!S""&amp;TO_TEXT(ROW()-$C$72))"),"")</f>
        <v/>
      </c>
      <c r="T1197" s="61" t="str">
        <f>IFERROR(__xludf.DUMMYFUNCTION("INDIRECT(""'收支紀錄'!T""&amp;TO_TEXT(ROW()-$C$72))"),"")</f>
        <v/>
      </c>
      <c r="U1197" s="62" t="str">
        <f>IFERROR(__xludf.DUMMYFUNCTION("IF(T1197=""是"",TEXTJOIN("""", TRUE, ""$"", TO_TEXT(C1197), S1197),"""")"),"")</f>
        <v/>
      </c>
    </row>
    <row r="1198">
      <c r="A1198" s="58">
        <f>IFERROR(__xludf.DUMMYFUNCTION("INDIRECT(""'收支紀錄'!A""&amp;TO_TEXT(ROW()-$C$72))"),45935.1307174074)</f>
        <v>45935.13072</v>
      </c>
      <c r="B1198" s="59">
        <f>IFERROR(__xludf.DUMMYFUNCTION("IF(ISBLANK(D1198), """", IF(ISDATE(D1198), D1198, IF(D1198=""今天"", A1198, IF(D1198=""昨天 (-1 day)"", A1198-1, IF(D1198=""前天 (-2 days)"", A1198-2, IF(D1198=""明天 (+1 day)"", A1198+1, DATE(LEFT(D1198,4), MID(D1198,5,2), RIGHT(D1198,2))))))))"),45934.1307174074)</f>
        <v>45934.13072</v>
      </c>
      <c r="C1198" s="60">
        <f>IFERROR(__xludf.DUMMYFUNCTION("INDIRECT(""'收支紀錄'!C""&amp;TO_TEXT(ROW()-$C$72))"),185.0)</f>
        <v>185</v>
      </c>
      <c r="D1198" s="63" t="str">
        <f>IFERROR(__xludf.DUMMYFUNCTION("INDIRECT(""'收支紀錄'!D""&amp;TO_TEXT(ROW()-$C$72))"),"昨天 (-1 day)")</f>
        <v>昨天 (-1 day)</v>
      </c>
      <c r="E1198" s="61" t="str">
        <f>IFERROR(__xludf.DUMMYFUNCTION("INDIRECT(""'收支紀錄'!E""&amp;TO_TEXT(ROW()-$C$72))"),"")</f>
        <v/>
      </c>
      <c r="F1198" s="61" t="str">
        <f>IFERROR(__xludf.DUMMYFUNCTION("INDIRECT(""'收支紀錄'!F""&amp;TO_TEXT(ROW()-$C$72))"),"")</f>
        <v/>
      </c>
      <c r="G1198" s="61" t="str">
        <f>IFERROR(__xludf.DUMMYFUNCTION("INDIRECT(""'收支紀錄'!G""&amp;TO_TEXT(ROW()-$C$72))"),"")</f>
        <v/>
      </c>
      <c r="H1198" s="61" t="str">
        <f>IFERROR(__xludf.DUMMYFUNCTION("INDIRECT(""'收支紀錄'!H""&amp;TO_TEXT(ROW()-$C$72))"),"食品酒水")</f>
        <v>食品酒水</v>
      </c>
      <c r="I1198" s="61" t="str">
        <f>IFERROR(__xludf.DUMMYFUNCTION("INDIRECT(""'收支紀錄'!I""&amp;TO_TEXT(ROW()-$C$72))"),"宵夜")</f>
        <v>宵夜</v>
      </c>
      <c r="J1198" s="61" t="str">
        <f>IFERROR(__xludf.DUMMYFUNCTION("INDIRECT(""'收支紀錄'!J""&amp;TO_TEXT(ROW()-$C$72))"),"")</f>
        <v/>
      </c>
      <c r="K1198" s="61" t="str">
        <f>IFERROR(__xludf.DUMMYFUNCTION("INDIRECT(""'收支紀錄'!K""&amp;TO_TEXT(ROW()-$C$72))"),"")</f>
        <v/>
      </c>
      <c r="L1198" s="61" t="str">
        <f>IFERROR(__xludf.DUMMYFUNCTION("INDIRECT(""'收支紀錄'!L""&amp;TO_TEXT(ROW()-$C$72))"),"")</f>
        <v/>
      </c>
      <c r="M1198" s="61" t="str">
        <f>IFERROR(__xludf.DUMMYFUNCTION("INDIRECT(""'收支紀錄'!M""&amp;TO_TEXT(ROW()-$C$72))"),"")</f>
        <v/>
      </c>
      <c r="N1198" s="61" t="str">
        <f>IFERROR(__xludf.DUMMYFUNCTION("INDIRECT(""'收支紀錄'!N""&amp;TO_TEXT(ROW()-$C$72))"),"")</f>
        <v/>
      </c>
      <c r="O1198" s="61" t="str">
        <f>IFERROR(__xludf.DUMMYFUNCTION("INDIRECT(""'收支紀錄'!O""&amp;TO_TEXT(ROW()-$C$72))"),"")</f>
        <v/>
      </c>
      <c r="P1198" s="61" t="str">
        <f>IFERROR(__xludf.DUMMYFUNCTION("INDIRECT(""'收支紀錄'!P""&amp;TO_TEXT(ROW()-$C$72))"),"")</f>
        <v/>
      </c>
      <c r="Q1198" s="61" t="str">
        <f>IFERROR(__xludf.DUMMYFUNCTION("INDIRECT(""'收支紀錄'!Q""&amp;TO_TEXT(ROW()-$C$72))"),"")</f>
        <v/>
      </c>
      <c r="R1198" s="61" t="str">
        <f>IFERROR(__xludf.DUMMYFUNCTION("INDIRECT(""'收支紀錄'!R""&amp;TO_TEXT(ROW()-$C$72))"),"")</f>
        <v/>
      </c>
      <c r="S1198" s="61" t="str">
        <f>IFERROR(__xludf.DUMMYFUNCTION("INDIRECT(""'收支紀錄'!S""&amp;TO_TEXT(ROW()-$C$72))"),"")</f>
        <v/>
      </c>
      <c r="T1198" s="61" t="str">
        <f>IFERROR(__xludf.DUMMYFUNCTION("INDIRECT(""'收支紀錄'!T""&amp;TO_TEXT(ROW()-$C$72))"),"")</f>
        <v/>
      </c>
      <c r="U1198" s="62" t="str">
        <f>IFERROR(__xludf.DUMMYFUNCTION("IF(T1198=""是"",TEXTJOIN("""", TRUE, ""$"", TO_TEXT(C1198), S1198),"""")"),"")</f>
        <v/>
      </c>
    </row>
    <row r="1199">
      <c r="A1199" s="58">
        <f>IFERROR(__xludf.DUMMYFUNCTION("INDIRECT(""'收支紀錄'!A""&amp;TO_TEXT(ROW()-$C$72))"),45935.13148726852)</f>
        <v>45935.13149</v>
      </c>
      <c r="B1199" s="59">
        <f>IFERROR(__xludf.DUMMYFUNCTION("IF(ISBLANK(D1199), """", IF(ISDATE(D1199), D1199, IF(D1199=""今天"", A1199, IF(D1199=""昨天 (-1 day)"", A1199-1, IF(D1199=""前天 (-2 days)"", A1199-2, IF(D1199=""明天 (+1 day)"", A1199+1, DATE(LEFT(D1199,4), MID(D1199,5,2), RIGHT(D1199,2))))))))"),45934.13148726852)</f>
        <v>45934.13149</v>
      </c>
      <c r="C1199" s="60">
        <f>IFERROR(__xludf.DUMMYFUNCTION("INDIRECT(""'收支紀錄'!C""&amp;TO_TEXT(ROW()-$C$72))"),3187.0)</f>
        <v>3187</v>
      </c>
      <c r="D1199" s="63" t="str">
        <f>IFERROR(__xludf.DUMMYFUNCTION("INDIRECT(""'收支紀錄'!D""&amp;TO_TEXT(ROW()-$C$72))"),"昨天 (-1 day)")</f>
        <v>昨天 (-1 day)</v>
      </c>
      <c r="E1199" s="61" t="str">
        <f>IFERROR(__xludf.DUMMYFUNCTION("INDIRECT(""'收支紀錄'!E""&amp;TO_TEXT(ROW()-$C$72))"),"")</f>
        <v/>
      </c>
      <c r="F1199" s="61" t="str">
        <f>IFERROR(__xludf.DUMMYFUNCTION("INDIRECT(""'收支紀錄'!F""&amp;TO_TEXT(ROW()-$C$72))"),"")</f>
        <v/>
      </c>
      <c r="G1199" s="61" t="str">
        <f>IFERROR(__xludf.DUMMYFUNCTION("INDIRECT(""'收支紀錄'!G""&amp;TO_TEXT(ROW()-$C$72))"),"")</f>
        <v/>
      </c>
      <c r="H1199" s="61" t="str">
        <f>IFERROR(__xludf.DUMMYFUNCTION("INDIRECT(""'收支紀錄'!H""&amp;TO_TEXT(ROW()-$C$72))"),"食品酒水")</f>
        <v>食品酒水</v>
      </c>
      <c r="I1199" s="61" t="str">
        <f>IFERROR(__xludf.DUMMYFUNCTION("INDIRECT(""'收支紀錄'!I""&amp;TO_TEXT(ROW()-$C$72))"),"晚餐")</f>
        <v>晚餐</v>
      </c>
      <c r="J1199" s="61" t="str">
        <f>IFERROR(__xludf.DUMMYFUNCTION("INDIRECT(""'收支紀錄'!J""&amp;TO_TEXT(ROW()-$C$72))"),"")</f>
        <v/>
      </c>
      <c r="K1199" s="61" t="str">
        <f>IFERROR(__xludf.DUMMYFUNCTION("INDIRECT(""'收支紀錄'!K""&amp;TO_TEXT(ROW()-$C$72))"),"")</f>
        <v/>
      </c>
      <c r="L1199" s="61" t="str">
        <f>IFERROR(__xludf.DUMMYFUNCTION("INDIRECT(""'收支紀錄'!L""&amp;TO_TEXT(ROW()-$C$72))"),"")</f>
        <v/>
      </c>
      <c r="M1199" s="61" t="str">
        <f>IFERROR(__xludf.DUMMYFUNCTION("INDIRECT(""'收支紀錄'!M""&amp;TO_TEXT(ROW()-$C$72))"),"")</f>
        <v/>
      </c>
      <c r="N1199" s="61" t="str">
        <f>IFERROR(__xludf.DUMMYFUNCTION("INDIRECT(""'收支紀錄'!N""&amp;TO_TEXT(ROW()-$C$72))"),"")</f>
        <v/>
      </c>
      <c r="O1199" s="61" t="str">
        <f>IFERROR(__xludf.DUMMYFUNCTION("INDIRECT(""'收支紀錄'!O""&amp;TO_TEXT(ROW()-$C$72))"),"")</f>
        <v/>
      </c>
      <c r="P1199" s="61" t="str">
        <f>IFERROR(__xludf.DUMMYFUNCTION("INDIRECT(""'收支紀錄'!P""&amp;TO_TEXT(ROW()-$C$72))"),"")</f>
        <v/>
      </c>
      <c r="Q1199" s="61" t="str">
        <f>IFERROR(__xludf.DUMMYFUNCTION("INDIRECT(""'收支紀錄'!Q""&amp;TO_TEXT(ROW()-$C$72))"),"")</f>
        <v/>
      </c>
      <c r="R1199" s="61" t="str">
        <f>IFERROR(__xludf.DUMMYFUNCTION("INDIRECT(""'收支紀錄'!R""&amp;TO_TEXT(ROW()-$C$72))"),"")</f>
        <v/>
      </c>
      <c r="S1199" s="61" t="str">
        <f>IFERROR(__xludf.DUMMYFUNCTION("INDIRECT(""'收支紀錄'!S""&amp;TO_TEXT(ROW()-$C$72))"),"燒肉中山")</f>
        <v>燒肉中山</v>
      </c>
      <c r="T1199" s="61" t="str">
        <f>IFERROR(__xludf.DUMMYFUNCTION("INDIRECT(""'收支紀錄'!T""&amp;TO_TEXT(ROW()-$C$72))"),"")</f>
        <v/>
      </c>
      <c r="U1199" s="62" t="str">
        <f>IFERROR(__xludf.DUMMYFUNCTION("IF(T1199=""是"",TEXTJOIN("""", TRUE, ""$"", TO_TEXT(C1199), S1199),"""")"),"")</f>
        <v/>
      </c>
    </row>
    <row r="1200">
      <c r="A1200" s="58">
        <f>IFERROR(__xludf.DUMMYFUNCTION("INDIRECT(""'收支紀錄'!A""&amp;TO_TEXT(ROW()-$C$72))"),45936.3934621875)</f>
        <v>45936.39346</v>
      </c>
      <c r="B1200" s="59">
        <f>IFERROR(__xludf.DUMMYFUNCTION("IF(ISBLANK(D1200), """", IF(ISDATE(D1200), D1200, IF(D1200=""今天"", A1200, IF(D1200=""昨天 (-1 day)"", A1200-1, IF(D1200=""前天 (-2 days)"", A1200-2, IF(D1200=""明天 (+1 day)"", A1200+1, DATE(LEFT(D1200,4), MID(D1200,5,2), RIGHT(D1200,2))))))))"),45936.3934621875)</f>
        <v>45936.39346</v>
      </c>
      <c r="C1200" s="60">
        <f>IFERROR(__xludf.DUMMYFUNCTION("INDIRECT(""'收支紀錄'!C""&amp;TO_TEXT(ROW()-$C$72))"),110.0)</f>
        <v>110</v>
      </c>
      <c r="D1200" s="63" t="str">
        <f>IFERROR(__xludf.DUMMYFUNCTION("INDIRECT(""'收支紀錄'!D""&amp;TO_TEXT(ROW()-$C$72))"),"今天")</f>
        <v>今天</v>
      </c>
      <c r="E1200" s="61" t="str">
        <f>IFERROR(__xludf.DUMMYFUNCTION("INDIRECT(""'收支紀錄'!E""&amp;TO_TEXT(ROW()-$C$72))"),"")</f>
        <v/>
      </c>
      <c r="F1200" s="61" t="str">
        <f>IFERROR(__xludf.DUMMYFUNCTION("INDIRECT(""'收支紀錄'!F""&amp;TO_TEXT(ROW()-$C$72))"),"")</f>
        <v/>
      </c>
      <c r="G1200" s="61" t="str">
        <f>IFERROR(__xludf.DUMMYFUNCTION("INDIRECT(""'收支紀錄'!G""&amp;TO_TEXT(ROW()-$C$72))"),"")</f>
        <v/>
      </c>
      <c r="H1200" s="61" t="str">
        <f>IFERROR(__xludf.DUMMYFUNCTION("INDIRECT(""'收支紀錄'!H""&amp;TO_TEXT(ROW()-$C$72))"),"休閒娛樂")</f>
        <v>休閒娛樂</v>
      </c>
      <c r="I1200" s="61" t="str">
        <f>IFERROR(__xludf.DUMMYFUNCTION("INDIRECT(""'收支紀錄'!I""&amp;TO_TEXT(ROW()-$C$72))"),"")</f>
        <v/>
      </c>
      <c r="J1200" s="61" t="str">
        <f>IFERROR(__xludf.DUMMYFUNCTION("INDIRECT(""'收支紀錄'!J""&amp;TO_TEXT(ROW()-$C$72))"),"")</f>
        <v/>
      </c>
      <c r="K1200" s="61" t="str">
        <f>IFERROR(__xludf.DUMMYFUNCTION("INDIRECT(""'收支紀錄'!K""&amp;TO_TEXT(ROW()-$C$72))"),"")</f>
        <v/>
      </c>
      <c r="L1200" s="61" t="str">
        <f>IFERROR(__xludf.DUMMYFUNCTION("INDIRECT(""'收支紀錄'!L""&amp;TO_TEXT(ROW()-$C$72))"),"")</f>
        <v/>
      </c>
      <c r="M1200" s="61" t="str">
        <f>IFERROR(__xludf.DUMMYFUNCTION("INDIRECT(""'收支紀錄'!M""&amp;TO_TEXT(ROW()-$C$72))"),"運動健身")</f>
        <v>運動健身</v>
      </c>
      <c r="N1200" s="61" t="str">
        <f>IFERROR(__xludf.DUMMYFUNCTION("INDIRECT(""'收支紀錄'!N""&amp;TO_TEXT(ROW()-$C$72))"),"")</f>
        <v/>
      </c>
      <c r="O1200" s="61" t="str">
        <f>IFERROR(__xludf.DUMMYFUNCTION("INDIRECT(""'收支紀錄'!O""&amp;TO_TEXT(ROW()-$C$72))"),"")</f>
        <v/>
      </c>
      <c r="P1200" s="61" t="str">
        <f>IFERROR(__xludf.DUMMYFUNCTION("INDIRECT(""'收支紀錄'!P""&amp;TO_TEXT(ROW()-$C$72))"),"")</f>
        <v/>
      </c>
      <c r="Q1200" s="61" t="str">
        <f>IFERROR(__xludf.DUMMYFUNCTION("INDIRECT(""'收支紀錄'!Q""&amp;TO_TEXT(ROW()-$C$72))"),"")</f>
        <v/>
      </c>
      <c r="R1200" s="61" t="str">
        <f>IFERROR(__xludf.DUMMYFUNCTION("INDIRECT(""'收支紀錄'!R""&amp;TO_TEXT(ROW()-$C$72))"),"")</f>
        <v/>
      </c>
      <c r="S1200" s="61" t="str">
        <f>IFERROR(__xludf.DUMMYFUNCTION("INDIRECT(""'收支紀錄'!S""&amp;TO_TEXT(ROW()-$C$72))"),"")</f>
        <v/>
      </c>
      <c r="T1200" s="61" t="str">
        <f>IFERROR(__xludf.DUMMYFUNCTION("INDIRECT(""'收支紀錄'!T""&amp;TO_TEXT(ROW()-$C$72))"),"")</f>
        <v/>
      </c>
      <c r="U1200" s="62" t="str">
        <f>IFERROR(__xludf.DUMMYFUNCTION("IF(T1200=""是"",TEXTJOIN("""", TRUE, ""$"", TO_TEXT(C1200), S1200),"""")"),"")</f>
        <v/>
      </c>
    </row>
    <row r="1201">
      <c r="A1201" s="58">
        <f>IFERROR(__xludf.DUMMYFUNCTION("INDIRECT(""'收支紀錄'!A""&amp;TO_TEXT(ROW()-$C$72))"),45936.39360664352)</f>
        <v>45936.39361</v>
      </c>
      <c r="B1201" s="59">
        <f>IFERROR(__xludf.DUMMYFUNCTION("IF(ISBLANK(D1201), """", IF(ISDATE(D1201), D1201, IF(D1201=""今天"", A1201, IF(D1201=""昨天 (-1 day)"", A1201-1, IF(D1201=""前天 (-2 days)"", A1201-2, IF(D1201=""明天 (+1 day)"", A1201+1, DATE(LEFT(D1201,4), MID(D1201,5,2), RIGHT(D1201,2))))))))"),45936.39360664352)</f>
        <v>45936.39361</v>
      </c>
      <c r="C1201" s="60">
        <f>IFERROR(__xludf.DUMMYFUNCTION("INDIRECT(""'收支紀錄'!C""&amp;TO_TEXT(ROW()-$C$72))"),50.0)</f>
        <v>50</v>
      </c>
      <c r="D1201" s="63" t="str">
        <f>IFERROR(__xludf.DUMMYFUNCTION("INDIRECT(""'收支紀錄'!D""&amp;TO_TEXT(ROW()-$C$72))"),"今天")</f>
        <v>今天</v>
      </c>
      <c r="E1201" s="61" t="str">
        <f>IFERROR(__xludf.DUMMYFUNCTION("INDIRECT(""'收支紀錄'!E""&amp;TO_TEXT(ROW()-$C$72))"),"")</f>
        <v/>
      </c>
      <c r="F1201" s="61" t="str">
        <f>IFERROR(__xludf.DUMMYFUNCTION("INDIRECT(""'收支紀錄'!F""&amp;TO_TEXT(ROW()-$C$72))"),"")</f>
        <v/>
      </c>
      <c r="G1201" s="61" t="str">
        <f>IFERROR(__xludf.DUMMYFUNCTION("INDIRECT(""'收支紀錄'!G""&amp;TO_TEXT(ROW()-$C$72))"),"")</f>
        <v/>
      </c>
      <c r="H1201" s="61" t="str">
        <f>IFERROR(__xludf.DUMMYFUNCTION("INDIRECT(""'收支紀錄'!H""&amp;TO_TEXT(ROW()-$C$72))"),"日常生活")</f>
        <v>日常生活</v>
      </c>
      <c r="I1201" s="61" t="str">
        <f>IFERROR(__xludf.DUMMYFUNCTION("INDIRECT(""'收支紀錄'!I""&amp;TO_TEXT(ROW()-$C$72))"),"")</f>
        <v/>
      </c>
      <c r="J1201" s="61" t="str">
        <f>IFERROR(__xludf.DUMMYFUNCTION("INDIRECT(""'收支紀錄'!J""&amp;TO_TEXT(ROW()-$C$72))"),"日常用品")</f>
        <v>日常用品</v>
      </c>
      <c r="K1201" s="61" t="str">
        <f>IFERROR(__xludf.DUMMYFUNCTION("INDIRECT(""'收支紀錄'!K""&amp;TO_TEXT(ROW()-$C$72))"),"")</f>
        <v/>
      </c>
      <c r="L1201" s="61" t="str">
        <f>IFERROR(__xludf.DUMMYFUNCTION("INDIRECT(""'收支紀錄'!L""&amp;TO_TEXT(ROW()-$C$72))"),"")</f>
        <v/>
      </c>
      <c r="M1201" s="61" t="str">
        <f>IFERROR(__xludf.DUMMYFUNCTION("INDIRECT(""'收支紀錄'!M""&amp;TO_TEXT(ROW()-$C$72))"),"")</f>
        <v/>
      </c>
      <c r="N1201" s="61" t="str">
        <f>IFERROR(__xludf.DUMMYFUNCTION("INDIRECT(""'收支紀錄'!N""&amp;TO_TEXT(ROW()-$C$72))"),"")</f>
        <v/>
      </c>
      <c r="O1201" s="61" t="str">
        <f>IFERROR(__xludf.DUMMYFUNCTION("INDIRECT(""'收支紀錄'!O""&amp;TO_TEXT(ROW()-$C$72))"),"")</f>
        <v/>
      </c>
      <c r="P1201" s="61" t="str">
        <f>IFERROR(__xludf.DUMMYFUNCTION("INDIRECT(""'收支紀錄'!P""&amp;TO_TEXT(ROW()-$C$72))"),"")</f>
        <v/>
      </c>
      <c r="Q1201" s="61" t="str">
        <f>IFERROR(__xludf.DUMMYFUNCTION("INDIRECT(""'收支紀錄'!Q""&amp;TO_TEXT(ROW()-$C$72))"),"")</f>
        <v/>
      </c>
      <c r="R1201" s="61" t="str">
        <f>IFERROR(__xludf.DUMMYFUNCTION("INDIRECT(""'收支紀錄'!R""&amp;TO_TEXT(ROW()-$C$72))"),"")</f>
        <v/>
      </c>
      <c r="S1201" s="61" t="str">
        <f>IFERROR(__xludf.DUMMYFUNCTION("INDIRECT(""'收支紀錄'!S""&amp;TO_TEXT(ROW()-$C$72))"),"")</f>
        <v/>
      </c>
      <c r="T1201" s="61" t="str">
        <f>IFERROR(__xludf.DUMMYFUNCTION("INDIRECT(""'收支紀錄'!T""&amp;TO_TEXT(ROW()-$C$72))"),"")</f>
        <v/>
      </c>
      <c r="U1201" s="62" t="str">
        <f>IFERROR(__xludf.DUMMYFUNCTION("IF(T1201=""是"",TEXTJOIN("""", TRUE, ""$"", TO_TEXT(C1201), S1201),"""")"),"")</f>
        <v/>
      </c>
    </row>
    <row r="1202">
      <c r="A1202" s="58">
        <f>IFERROR(__xludf.DUMMYFUNCTION("INDIRECT(""'收支紀錄'!A""&amp;TO_TEXT(ROW()-$C$72))"),45936.39602840278)</f>
        <v>45936.39603</v>
      </c>
      <c r="B1202" s="59">
        <f>IFERROR(__xludf.DUMMYFUNCTION("IF(ISBLANK(D1202), """", IF(ISDATE(D1202), D1202, IF(D1202=""今天"", A1202, IF(D1202=""昨天 (-1 day)"", A1202-1, IF(D1202=""前天 (-2 days)"", A1202-2, IF(D1202=""明天 (+1 day)"", A1202+1, DATE(LEFT(D1202,4), MID(D1202,5,2), RIGHT(D1202,2))))))))"),45935.39602840278)</f>
        <v>45935.39603</v>
      </c>
      <c r="C1202" s="60">
        <f>IFERROR(__xludf.DUMMYFUNCTION("INDIRECT(""'收支紀錄'!C""&amp;TO_TEXT(ROW()-$C$72))"),2299.0)</f>
        <v>2299</v>
      </c>
      <c r="D1202" s="63" t="str">
        <f>IFERROR(__xludf.DUMMYFUNCTION("INDIRECT(""'收支紀錄'!D""&amp;TO_TEXT(ROW()-$C$72))"),"昨天 (-1 day)")</f>
        <v>昨天 (-1 day)</v>
      </c>
      <c r="E1202" s="61" t="str">
        <f>IFERROR(__xludf.DUMMYFUNCTION("INDIRECT(""'收支紀錄'!E""&amp;TO_TEXT(ROW()-$C$72))"),"")</f>
        <v/>
      </c>
      <c r="F1202" s="61" t="str">
        <f>IFERROR(__xludf.DUMMYFUNCTION("INDIRECT(""'收支紀錄'!F""&amp;TO_TEXT(ROW()-$C$72))"),"")</f>
        <v/>
      </c>
      <c r="G1202" s="61" t="str">
        <f>IFERROR(__xludf.DUMMYFUNCTION("INDIRECT(""'收支紀錄'!G""&amp;TO_TEXT(ROW()-$C$72))"),"")</f>
        <v/>
      </c>
      <c r="H1202" s="61" t="str">
        <f>IFERROR(__xludf.DUMMYFUNCTION("INDIRECT(""'收支紀錄'!H""&amp;TO_TEXT(ROW()-$C$72))"),"食品酒水")</f>
        <v>食品酒水</v>
      </c>
      <c r="I1202" s="61" t="str">
        <f>IFERROR(__xludf.DUMMYFUNCTION("INDIRECT(""'收支紀錄'!I""&amp;TO_TEXT(ROW()-$C$72))"),"食材")</f>
        <v>食材</v>
      </c>
      <c r="J1202" s="61" t="str">
        <f>IFERROR(__xludf.DUMMYFUNCTION("INDIRECT(""'收支紀錄'!J""&amp;TO_TEXT(ROW()-$C$72))"),"")</f>
        <v/>
      </c>
      <c r="K1202" s="61" t="str">
        <f>IFERROR(__xludf.DUMMYFUNCTION("INDIRECT(""'收支紀錄'!K""&amp;TO_TEXT(ROW()-$C$72))"),"")</f>
        <v/>
      </c>
      <c r="L1202" s="61" t="str">
        <f>IFERROR(__xludf.DUMMYFUNCTION("INDIRECT(""'收支紀錄'!L""&amp;TO_TEXT(ROW()-$C$72))"),"")</f>
        <v/>
      </c>
      <c r="M1202" s="61" t="str">
        <f>IFERROR(__xludf.DUMMYFUNCTION("INDIRECT(""'收支紀錄'!M""&amp;TO_TEXT(ROW()-$C$72))"),"")</f>
        <v/>
      </c>
      <c r="N1202" s="61" t="str">
        <f>IFERROR(__xludf.DUMMYFUNCTION("INDIRECT(""'收支紀錄'!N""&amp;TO_TEXT(ROW()-$C$72))"),"")</f>
        <v/>
      </c>
      <c r="O1202" s="61" t="str">
        <f>IFERROR(__xludf.DUMMYFUNCTION("INDIRECT(""'收支紀錄'!O""&amp;TO_TEXT(ROW()-$C$72))"),"")</f>
        <v/>
      </c>
      <c r="P1202" s="61" t="str">
        <f>IFERROR(__xludf.DUMMYFUNCTION("INDIRECT(""'收支紀錄'!P""&amp;TO_TEXT(ROW()-$C$72))"),"")</f>
        <v/>
      </c>
      <c r="Q1202" s="61" t="str">
        <f>IFERROR(__xludf.DUMMYFUNCTION("INDIRECT(""'收支紀錄'!Q""&amp;TO_TEXT(ROW()-$C$72))"),"")</f>
        <v/>
      </c>
      <c r="R1202" s="61" t="str">
        <f>IFERROR(__xludf.DUMMYFUNCTION("INDIRECT(""'收支紀錄'!R""&amp;TO_TEXT(ROW()-$C$72))"),"")</f>
        <v/>
      </c>
      <c r="S1202" s="61" t="str">
        <f>IFERROR(__xludf.DUMMYFUNCTION("INDIRECT(""'收支紀錄'!S""&amp;TO_TEXT(ROW()-$C$72))"),"好市多+全聯")</f>
        <v>好市多+全聯</v>
      </c>
      <c r="T1202" s="61" t="str">
        <f>IFERROR(__xludf.DUMMYFUNCTION("INDIRECT(""'收支紀錄'!T""&amp;TO_TEXT(ROW()-$C$72))"),"")</f>
        <v/>
      </c>
      <c r="U1202" s="62" t="str">
        <f>IFERROR(__xludf.DUMMYFUNCTION("IF(T1202=""是"",TEXTJOIN("""", TRUE, ""$"", TO_TEXT(C1202), S1202),"""")"),"")</f>
        <v/>
      </c>
    </row>
    <row r="1203">
      <c r="A1203" s="58">
        <f>IFERROR(__xludf.DUMMYFUNCTION("INDIRECT(""'收支紀錄'!A""&amp;TO_TEXT(ROW()-$C$72))"),45936.40449746528)</f>
        <v>45936.4045</v>
      </c>
      <c r="B1203" s="59">
        <f>IFERROR(__xludf.DUMMYFUNCTION("IF(ISBLANK(D1203), """", IF(ISDATE(D1203), D1203, IF(D1203=""今天"", A1203, IF(D1203=""昨天 (-1 day)"", A1203-1, IF(D1203=""前天 (-2 days)"", A1203-2, IF(D1203=""明天 (+1 day)"", A1203+1, DATE(LEFT(D1203,4), MID(D1203,5,2), RIGHT(D1203,2))))))))"),45939.0)</f>
        <v>45939</v>
      </c>
      <c r="C1203" s="60">
        <f>IFERROR(__xludf.DUMMYFUNCTION("INDIRECT(""'收支紀錄'!C""&amp;TO_TEXT(ROW()-$C$72))"),1060.0)</f>
        <v>1060</v>
      </c>
      <c r="D1203" s="63">
        <f>IFERROR(__xludf.DUMMYFUNCTION("INDIRECT(""'收支紀錄'!D""&amp;TO_TEXT(ROW()-$C$72))"),2.0251009E7)</f>
        <v>20251009</v>
      </c>
      <c r="E1203" s="61" t="str">
        <f>IFERROR(__xludf.DUMMYFUNCTION("INDIRECT(""'收支紀錄'!E""&amp;TO_TEXT(ROW()-$C$72))"),"")</f>
        <v/>
      </c>
      <c r="F1203" s="61" t="str">
        <f>IFERROR(__xludf.DUMMYFUNCTION("INDIRECT(""'收支紀錄'!F""&amp;TO_TEXT(ROW()-$C$72))"),"")</f>
        <v/>
      </c>
      <c r="G1203" s="61" t="str">
        <f>IFERROR(__xludf.DUMMYFUNCTION("INDIRECT(""'收支紀錄'!G""&amp;TO_TEXT(ROW()-$C$72))"),"")</f>
        <v/>
      </c>
      <c r="H1203" s="61" t="str">
        <f>IFERROR(__xludf.DUMMYFUNCTION("INDIRECT(""'收支紀錄'!H""&amp;TO_TEXT(ROW()-$C$72))"),"行車交通")</f>
        <v>行車交通</v>
      </c>
      <c r="I1203" s="61" t="str">
        <f>IFERROR(__xludf.DUMMYFUNCTION("INDIRECT(""'收支紀錄'!I""&amp;TO_TEXT(ROW()-$C$72))"),"")</f>
        <v/>
      </c>
      <c r="J1203" s="61" t="str">
        <f>IFERROR(__xludf.DUMMYFUNCTION("INDIRECT(""'收支紀錄'!J""&amp;TO_TEXT(ROW()-$C$72))"),"")</f>
        <v/>
      </c>
      <c r="K1203" s="61" t="str">
        <f>IFERROR(__xludf.DUMMYFUNCTION("INDIRECT(""'收支紀錄'!K""&amp;TO_TEXT(ROW()-$C$72))"),"")</f>
        <v/>
      </c>
      <c r="L1203" s="61" t="str">
        <f>IFERROR(__xludf.DUMMYFUNCTION("INDIRECT(""'收支紀錄'!L""&amp;TO_TEXT(ROW()-$C$72))"),"高鐵")</f>
        <v>高鐵</v>
      </c>
      <c r="M1203" s="61" t="str">
        <f>IFERROR(__xludf.DUMMYFUNCTION("INDIRECT(""'收支紀錄'!M""&amp;TO_TEXT(ROW()-$C$72))"),"")</f>
        <v/>
      </c>
      <c r="N1203" s="61" t="str">
        <f>IFERROR(__xludf.DUMMYFUNCTION("INDIRECT(""'收支紀錄'!N""&amp;TO_TEXT(ROW()-$C$72))"),"")</f>
        <v/>
      </c>
      <c r="O1203" s="61" t="str">
        <f>IFERROR(__xludf.DUMMYFUNCTION("INDIRECT(""'收支紀錄'!O""&amp;TO_TEXT(ROW()-$C$72))"),"")</f>
        <v/>
      </c>
      <c r="P1203" s="61" t="str">
        <f>IFERROR(__xludf.DUMMYFUNCTION("INDIRECT(""'收支紀錄'!P""&amp;TO_TEXT(ROW()-$C$72))"),"")</f>
        <v/>
      </c>
      <c r="Q1203" s="61" t="str">
        <f>IFERROR(__xludf.DUMMYFUNCTION("INDIRECT(""'收支紀錄'!Q""&amp;TO_TEXT(ROW()-$C$72))"),"")</f>
        <v/>
      </c>
      <c r="R1203" s="61" t="str">
        <f>IFERROR(__xludf.DUMMYFUNCTION("INDIRECT(""'收支紀錄'!R""&amp;TO_TEXT(ROW()-$C$72))"),"")</f>
        <v/>
      </c>
      <c r="S1203" s="61" t="str">
        <f>IFERROR(__xludf.DUMMYFUNCTION("INDIRECT(""'收支紀錄'!S""&amp;TO_TEXT(ROW()-$C$72))"),"")</f>
        <v/>
      </c>
      <c r="T1203" s="61" t="str">
        <f>IFERROR(__xludf.DUMMYFUNCTION("INDIRECT(""'收支紀錄'!T""&amp;TO_TEXT(ROW()-$C$72))"),"")</f>
        <v/>
      </c>
      <c r="U1203" s="62" t="str">
        <f>IFERROR(__xludf.DUMMYFUNCTION("IF(T1203=""是"",TEXTJOIN("""", TRUE, ""$"", TO_TEXT(C1203), S1203),"""")"),"")</f>
        <v/>
      </c>
    </row>
    <row r="1204">
      <c r="A1204" s="58">
        <f>IFERROR(__xludf.DUMMYFUNCTION("INDIRECT(""'收支紀錄'!A""&amp;TO_TEXT(ROW()-$C$72))"),45936.63834892361)</f>
        <v>45936.63835</v>
      </c>
      <c r="B1204" s="59">
        <f>IFERROR(__xludf.DUMMYFUNCTION("IF(ISBLANK(D1204), """", IF(ISDATE(D1204), D1204, IF(D1204=""今天"", A1204, IF(D1204=""昨天 (-1 day)"", A1204-1, IF(D1204=""前天 (-2 days)"", A1204-2, IF(D1204=""明天 (+1 day)"", A1204+1, DATE(LEFT(D1204,4), MID(D1204,5,2), RIGHT(D1204,2))))))))"),45902.0)</f>
        <v>45902</v>
      </c>
      <c r="C1204" s="60">
        <f>IFERROR(__xludf.DUMMYFUNCTION("INDIRECT(""'收支紀錄'!C""&amp;TO_TEXT(ROW()-$C$72))"),990.0)</f>
        <v>990</v>
      </c>
      <c r="D1204" s="63">
        <f>IFERROR(__xludf.DUMMYFUNCTION("INDIRECT(""'收支紀錄'!D""&amp;TO_TEXT(ROW()-$C$72))"),2.0250902E7)</f>
        <v>20250902</v>
      </c>
      <c r="E1204" s="61" t="str">
        <f>IFERROR(__xludf.DUMMYFUNCTION("INDIRECT(""'收支紀錄'!E""&amp;TO_TEXT(ROW()-$C$72))"),"其他業外")</f>
        <v>其他業外</v>
      </c>
      <c r="F1204" s="61" t="str">
        <f>IFERROR(__xludf.DUMMYFUNCTION("INDIRECT(""'收支紀錄'!F""&amp;TO_TEXT(ROW()-$C$72))"),"")</f>
        <v/>
      </c>
      <c r="G1204" s="61" t="str">
        <f>IFERROR(__xludf.DUMMYFUNCTION("INDIRECT(""'收支紀錄'!G""&amp;TO_TEXT(ROW()-$C$72))"),"股票配息")</f>
        <v>股票配息</v>
      </c>
      <c r="H1204" s="61" t="str">
        <f>IFERROR(__xludf.DUMMYFUNCTION("INDIRECT(""'收支紀錄'!H""&amp;TO_TEXT(ROW()-$C$72))"),"")</f>
        <v/>
      </c>
      <c r="I1204" s="61" t="str">
        <f>IFERROR(__xludf.DUMMYFUNCTION("INDIRECT(""'收支紀錄'!I""&amp;TO_TEXT(ROW()-$C$72))"),"")</f>
        <v/>
      </c>
      <c r="J1204" s="61" t="str">
        <f>IFERROR(__xludf.DUMMYFUNCTION("INDIRECT(""'收支紀錄'!J""&amp;TO_TEXT(ROW()-$C$72))"),"")</f>
        <v/>
      </c>
      <c r="K1204" s="61" t="str">
        <f>IFERROR(__xludf.DUMMYFUNCTION("INDIRECT(""'收支紀錄'!K""&amp;TO_TEXT(ROW()-$C$72))"),"")</f>
        <v/>
      </c>
      <c r="L1204" s="61" t="str">
        <f>IFERROR(__xludf.DUMMYFUNCTION("INDIRECT(""'收支紀錄'!L""&amp;TO_TEXT(ROW()-$C$72))"),"")</f>
        <v/>
      </c>
      <c r="M1204" s="61" t="str">
        <f>IFERROR(__xludf.DUMMYFUNCTION("INDIRECT(""'收支紀錄'!M""&amp;TO_TEXT(ROW()-$C$72))"),"")</f>
        <v/>
      </c>
      <c r="N1204" s="61" t="str">
        <f>IFERROR(__xludf.DUMMYFUNCTION("INDIRECT(""'收支紀錄'!N""&amp;TO_TEXT(ROW()-$C$72))"),"")</f>
        <v/>
      </c>
      <c r="O1204" s="61" t="str">
        <f>IFERROR(__xludf.DUMMYFUNCTION("INDIRECT(""'收支紀錄'!O""&amp;TO_TEXT(ROW()-$C$72))"),"")</f>
        <v/>
      </c>
      <c r="P1204" s="61" t="str">
        <f>IFERROR(__xludf.DUMMYFUNCTION("INDIRECT(""'收支紀錄'!P""&amp;TO_TEXT(ROW()-$C$72))"),"")</f>
        <v/>
      </c>
      <c r="Q1204" s="61" t="str">
        <f>IFERROR(__xludf.DUMMYFUNCTION("INDIRECT(""'收支紀錄'!Q""&amp;TO_TEXT(ROW()-$C$72))"),"")</f>
        <v/>
      </c>
      <c r="R1204" s="61" t="str">
        <f>IFERROR(__xludf.DUMMYFUNCTION("INDIRECT(""'收支紀錄'!R""&amp;TO_TEXT(ROW()-$C$72))"),"")</f>
        <v/>
      </c>
      <c r="S1204" s="61" t="str">
        <f>IFERROR(__xludf.DUMMYFUNCTION("INDIRECT(""'收支紀錄'!S""&amp;TO_TEXT(ROW()-$C$72))"),"彰銀")</f>
        <v>彰銀</v>
      </c>
      <c r="T1204" s="61" t="str">
        <f>IFERROR(__xludf.DUMMYFUNCTION("INDIRECT(""'收支紀錄'!T""&amp;TO_TEXT(ROW()-$C$72))"),"是")</f>
        <v>是</v>
      </c>
      <c r="U1204" s="62" t="str">
        <f>IFERROR(__xludf.DUMMYFUNCTION("IF(T1204=""是"",TEXTJOIN("""", TRUE, ""$"", TO_TEXT(C1204), S1204),"""")"),"$990彰銀")</f>
        <v>$990彰銀</v>
      </c>
    </row>
    <row r="1205">
      <c r="A1205" s="58">
        <f>IFERROR(__xludf.DUMMYFUNCTION("INDIRECT(""'收支紀錄'!A""&amp;TO_TEXT(ROW()-$C$72))"),45936.63893725694)</f>
        <v>45936.63894</v>
      </c>
      <c r="B1205" s="59">
        <f>IFERROR(__xludf.DUMMYFUNCTION("IF(ISBLANK(D1205), """", IF(ISDATE(D1205), D1205, IF(D1205=""今天"", A1205, IF(D1205=""昨天 (-1 day)"", A1205-1, IF(D1205=""前天 (-2 days)"", A1205-2, IF(D1205=""明天 (+1 day)"", A1205+1, DATE(LEFT(D1205,4), MID(D1205,5,2), RIGHT(D1205,2))))))))"),45910.0)</f>
        <v>45910</v>
      </c>
      <c r="C1205" s="60">
        <f>IFERROR(__xludf.DUMMYFUNCTION("INDIRECT(""'收支紀錄'!C""&amp;TO_TEXT(ROW()-$C$72))"),4470.0)</f>
        <v>4470</v>
      </c>
      <c r="D1205" s="63">
        <f>IFERROR(__xludf.DUMMYFUNCTION("INDIRECT(""'收支紀錄'!D""&amp;TO_TEXT(ROW()-$C$72))"),2.025091E7)</f>
        <v>20250910</v>
      </c>
      <c r="E1205" s="61" t="str">
        <f>IFERROR(__xludf.DUMMYFUNCTION("INDIRECT(""'收支紀錄'!E""&amp;TO_TEXT(ROW()-$C$72))"),"其他業外")</f>
        <v>其他業外</v>
      </c>
      <c r="F1205" s="61" t="str">
        <f>IFERROR(__xludf.DUMMYFUNCTION("INDIRECT(""'收支紀錄'!F""&amp;TO_TEXT(ROW()-$C$72))"),"")</f>
        <v/>
      </c>
      <c r="G1205" s="61" t="str">
        <f>IFERROR(__xludf.DUMMYFUNCTION("INDIRECT(""'收支紀錄'!G""&amp;TO_TEXT(ROW()-$C$72))"),"股票配息")</f>
        <v>股票配息</v>
      </c>
      <c r="H1205" s="61" t="str">
        <f>IFERROR(__xludf.DUMMYFUNCTION("INDIRECT(""'收支紀錄'!H""&amp;TO_TEXT(ROW()-$C$72))"),"")</f>
        <v/>
      </c>
      <c r="I1205" s="61" t="str">
        <f>IFERROR(__xludf.DUMMYFUNCTION("INDIRECT(""'收支紀錄'!I""&amp;TO_TEXT(ROW()-$C$72))"),"")</f>
        <v/>
      </c>
      <c r="J1205" s="61" t="str">
        <f>IFERROR(__xludf.DUMMYFUNCTION("INDIRECT(""'收支紀錄'!J""&amp;TO_TEXT(ROW()-$C$72))"),"")</f>
        <v/>
      </c>
      <c r="K1205" s="61" t="str">
        <f>IFERROR(__xludf.DUMMYFUNCTION("INDIRECT(""'收支紀錄'!K""&amp;TO_TEXT(ROW()-$C$72))"),"")</f>
        <v/>
      </c>
      <c r="L1205" s="61" t="str">
        <f>IFERROR(__xludf.DUMMYFUNCTION("INDIRECT(""'收支紀錄'!L""&amp;TO_TEXT(ROW()-$C$72))"),"")</f>
        <v/>
      </c>
      <c r="M1205" s="61" t="str">
        <f>IFERROR(__xludf.DUMMYFUNCTION("INDIRECT(""'收支紀錄'!M""&amp;TO_TEXT(ROW()-$C$72))"),"")</f>
        <v/>
      </c>
      <c r="N1205" s="61" t="str">
        <f>IFERROR(__xludf.DUMMYFUNCTION("INDIRECT(""'收支紀錄'!N""&amp;TO_TEXT(ROW()-$C$72))"),"")</f>
        <v/>
      </c>
      <c r="O1205" s="61" t="str">
        <f>IFERROR(__xludf.DUMMYFUNCTION("INDIRECT(""'收支紀錄'!O""&amp;TO_TEXT(ROW()-$C$72))"),"")</f>
        <v/>
      </c>
      <c r="P1205" s="61" t="str">
        <f>IFERROR(__xludf.DUMMYFUNCTION("INDIRECT(""'收支紀錄'!P""&amp;TO_TEXT(ROW()-$C$72))"),"")</f>
        <v/>
      </c>
      <c r="Q1205" s="61" t="str">
        <f>IFERROR(__xludf.DUMMYFUNCTION("INDIRECT(""'收支紀錄'!Q""&amp;TO_TEXT(ROW()-$C$72))"),"")</f>
        <v/>
      </c>
      <c r="R1205" s="61" t="str">
        <f>IFERROR(__xludf.DUMMYFUNCTION("INDIRECT(""'收支紀錄'!R""&amp;TO_TEXT(ROW()-$C$72))"),"")</f>
        <v/>
      </c>
      <c r="S1205" s="61" t="str">
        <f>IFERROR(__xludf.DUMMYFUNCTION("INDIRECT(""'收支紀錄'!S""&amp;TO_TEXT(ROW()-$C$72))"),"美債20年")</f>
        <v>美債20年</v>
      </c>
      <c r="T1205" s="61" t="str">
        <f>IFERROR(__xludf.DUMMYFUNCTION("INDIRECT(""'收支紀錄'!T""&amp;TO_TEXT(ROW()-$C$72))"),"是")</f>
        <v>是</v>
      </c>
      <c r="U1205" s="62" t="str">
        <f>IFERROR(__xludf.DUMMYFUNCTION("IF(T1205=""是"",TEXTJOIN("""", TRUE, ""$"", TO_TEXT(C1205), S1205),"""")"),"$4470美債20年")</f>
        <v>$4470美債20年</v>
      </c>
    </row>
    <row r="1206">
      <c r="A1206" s="58">
        <f>IFERROR(__xludf.DUMMYFUNCTION("INDIRECT(""'收支紀錄'!A""&amp;TO_TEXT(ROW()-$C$72))"),45936.63931814815)</f>
        <v>45936.63932</v>
      </c>
      <c r="B1206" s="59">
        <f>IFERROR(__xludf.DUMMYFUNCTION("IF(ISBLANK(D1206), """", IF(ISDATE(D1206), D1206, IF(D1206=""今天"", A1206, IF(D1206=""昨天 (-1 day)"", A1206-1, IF(D1206=""前天 (-2 days)"", A1206-2, IF(D1206=""明天 (+1 day)"", A1206+1, DATE(LEFT(D1206,4), MID(D1206,5,2), RIGHT(D1206,2))))))))"),45905.0)</f>
        <v>45905</v>
      </c>
      <c r="C1206" s="60">
        <f>IFERROR(__xludf.DUMMYFUNCTION("INDIRECT(""'收支紀錄'!C""&amp;TO_TEXT(ROW()-$C$72))"),1590.0)</f>
        <v>1590</v>
      </c>
      <c r="D1206" s="63">
        <f>IFERROR(__xludf.DUMMYFUNCTION("INDIRECT(""'收支紀錄'!D""&amp;TO_TEXT(ROW()-$C$72))"),2.0250905E7)</f>
        <v>20250905</v>
      </c>
      <c r="E1206" s="61" t="str">
        <f>IFERROR(__xludf.DUMMYFUNCTION("INDIRECT(""'收支紀錄'!E""&amp;TO_TEXT(ROW()-$C$72))"),"其他業外")</f>
        <v>其他業外</v>
      </c>
      <c r="F1206" s="61" t="str">
        <f>IFERROR(__xludf.DUMMYFUNCTION("INDIRECT(""'收支紀錄'!F""&amp;TO_TEXT(ROW()-$C$72))"),"")</f>
        <v/>
      </c>
      <c r="G1206" s="61" t="str">
        <f>IFERROR(__xludf.DUMMYFUNCTION("INDIRECT(""'收支紀錄'!G""&amp;TO_TEXT(ROW()-$C$72))"),"股票配息")</f>
        <v>股票配息</v>
      </c>
      <c r="H1206" s="61" t="str">
        <f>IFERROR(__xludf.DUMMYFUNCTION("INDIRECT(""'收支紀錄'!H""&amp;TO_TEXT(ROW()-$C$72))"),"")</f>
        <v/>
      </c>
      <c r="I1206" s="61" t="str">
        <f>IFERROR(__xludf.DUMMYFUNCTION("INDIRECT(""'收支紀錄'!I""&amp;TO_TEXT(ROW()-$C$72))"),"")</f>
        <v/>
      </c>
      <c r="J1206" s="61" t="str">
        <f>IFERROR(__xludf.DUMMYFUNCTION("INDIRECT(""'收支紀錄'!J""&amp;TO_TEXT(ROW()-$C$72))"),"")</f>
        <v/>
      </c>
      <c r="K1206" s="61" t="str">
        <f>IFERROR(__xludf.DUMMYFUNCTION("INDIRECT(""'收支紀錄'!K""&amp;TO_TEXT(ROW()-$C$72))"),"")</f>
        <v/>
      </c>
      <c r="L1206" s="61" t="str">
        <f>IFERROR(__xludf.DUMMYFUNCTION("INDIRECT(""'收支紀錄'!L""&amp;TO_TEXT(ROW()-$C$72))"),"")</f>
        <v/>
      </c>
      <c r="M1206" s="61" t="str">
        <f>IFERROR(__xludf.DUMMYFUNCTION("INDIRECT(""'收支紀錄'!M""&amp;TO_TEXT(ROW()-$C$72))"),"")</f>
        <v/>
      </c>
      <c r="N1206" s="61" t="str">
        <f>IFERROR(__xludf.DUMMYFUNCTION("INDIRECT(""'收支紀錄'!N""&amp;TO_TEXT(ROW()-$C$72))"),"")</f>
        <v/>
      </c>
      <c r="O1206" s="61" t="str">
        <f>IFERROR(__xludf.DUMMYFUNCTION("INDIRECT(""'收支紀錄'!O""&amp;TO_TEXT(ROW()-$C$72))"),"")</f>
        <v/>
      </c>
      <c r="P1206" s="61" t="str">
        <f>IFERROR(__xludf.DUMMYFUNCTION("INDIRECT(""'收支紀錄'!P""&amp;TO_TEXT(ROW()-$C$72))"),"")</f>
        <v/>
      </c>
      <c r="Q1206" s="61" t="str">
        <f>IFERROR(__xludf.DUMMYFUNCTION("INDIRECT(""'收支紀錄'!Q""&amp;TO_TEXT(ROW()-$C$72))"),"")</f>
        <v/>
      </c>
      <c r="R1206" s="61" t="str">
        <f>IFERROR(__xludf.DUMMYFUNCTION("INDIRECT(""'收支紀錄'!R""&amp;TO_TEXT(ROW()-$C$72))"),"")</f>
        <v/>
      </c>
      <c r="S1206" s="61" t="str">
        <f>IFERROR(__xludf.DUMMYFUNCTION("INDIRECT(""'收支紀錄'!S""&amp;TO_TEXT(ROW()-$C$72))"),"兆豐金")</f>
        <v>兆豐金</v>
      </c>
      <c r="T1206" s="61" t="str">
        <f>IFERROR(__xludf.DUMMYFUNCTION("INDIRECT(""'收支紀錄'!T""&amp;TO_TEXT(ROW()-$C$72))"),"是")</f>
        <v>是</v>
      </c>
      <c r="U1206" s="62" t="str">
        <f>IFERROR(__xludf.DUMMYFUNCTION("IF(T1206=""是"",TEXTJOIN("""", TRUE, ""$"", TO_TEXT(C1206), S1206),"""")"),"$1590兆豐金")</f>
        <v>$1590兆豐金</v>
      </c>
    </row>
    <row r="1207">
      <c r="A1207" s="58">
        <f>IFERROR(__xludf.DUMMYFUNCTION("INDIRECT(""'收支紀錄'!A""&amp;TO_TEXT(ROW()-$C$72))"),45936.639720543986)</f>
        <v>45936.63972</v>
      </c>
      <c r="B1207" s="59">
        <f>IFERROR(__xludf.DUMMYFUNCTION("IF(ISBLANK(D1207), """", IF(ISDATE(D1207), D1207, IF(D1207=""今天"", A1207, IF(D1207=""昨天 (-1 day)"", A1207-1, IF(D1207=""前天 (-2 days)"", A1207-2, IF(D1207=""明天 (+1 day)"", A1207+1, DATE(LEFT(D1207,4), MID(D1207,5,2), RIGHT(D1207,2))))))))"),45904.0)</f>
        <v>45904</v>
      </c>
      <c r="C1207" s="60">
        <f>IFERROR(__xludf.DUMMYFUNCTION("INDIRECT(""'收支紀錄'!C""&amp;TO_TEXT(ROW()-$C$72))"),3590.0)</f>
        <v>3590</v>
      </c>
      <c r="D1207" s="63">
        <f>IFERROR(__xludf.DUMMYFUNCTION("INDIRECT(""'收支紀錄'!D""&amp;TO_TEXT(ROW()-$C$72))"),2.0250904E7)</f>
        <v>20250904</v>
      </c>
      <c r="E1207" s="61" t="str">
        <f>IFERROR(__xludf.DUMMYFUNCTION("INDIRECT(""'收支紀錄'!E""&amp;TO_TEXT(ROW()-$C$72))"),"其他業外")</f>
        <v>其他業外</v>
      </c>
      <c r="F1207" s="61" t="str">
        <f>IFERROR(__xludf.DUMMYFUNCTION("INDIRECT(""'收支紀錄'!F""&amp;TO_TEXT(ROW()-$C$72))"),"")</f>
        <v/>
      </c>
      <c r="G1207" s="61" t="str">
        <f>IFERROR(__xludf.DUMMYFUNCTION("INDIRECT(""'收支紀錄'!G""&amp;TO_TEXT(ROW()-$C$72))"),"股票配息")</f>
        <v>股票配息</v>
      </c>
      <c r="H1207" s="61" t="str">
        <f>IFERROR(__xludf.DUMMYFUNCTION("INDIRECT(""'收支紀錄'!H""&amp;TO_TEXT(ROW()-$C$72))"),"")</f>
        <v/>
      </c>
      <c r="I1207" s="61" t="str">
        <f>IFERROR(__xludf.DUMMYFUNCTION("INDIRECT(""'收支紀錄'!I""&amp;TO_TEXT(ROW()-$C$72))"),"")</f>
        <v/>
      </c>
      <c r="J1207" s="61" t="str">
        <f>IFERROR(__xludf.DUMMYFUNCTION("INDIRECT(""'收支紀錄'!J""&amp;TO_TEXT(ROW()-$C$72))"),"")</f>
        <v/>
      </c>
      <c r="K1207" s="61" t="str">
        <f>IFERROR(__xludf.DUMMYFUNCTION("INDIRECT(""'收支紀錄'!K""&amp;TO_TEXT(ROW()-$C$72))"),"")</f>
        <v/>
      </c>
      <c r="L1207" s="61" t="str">
        <f>IFERROR(__xludf.DUMMYFUNCTION("INDIRECT(""'收支紀錄'!L""&amp;TO_TEXT(ROW()-$C$72))"),"")</f>
        <v/>
      </c>
      <c r="M1207" s="61" t="str">
        <f>IFERROR(__xludf.DUMMYFUNCTION("INDIRECT(""'收支紀錄'!M""&amp;TO_TEXT(ROW()-$C$72))"),"")</f>
        <v/>
      </c>
      <c r="N1207" s="61" t="str">
        <f>IFERROR(__xludf.DUMMYFUNCTION("INDIRECT(""'收支紀錄'!N""&amp;TO_TEXT(ROW()-$C$72))"),"")</f>
        <v/>
      </c>
      <c r="O1207" s="61" t="str">
        <f>IFERROR(__xludf.DUMMYFUNCTION("INDIRECT(""'收支紀錄'!O""&amp;TO_TEXT(ROW()-$C$72))"),"")</f>
        <v/>
      </c>
      <c r="P1207" s="61" t="str">
        <f>IFERROR(__xludf.DUMMYFUNCTION("INDIRECT(""'收支紀錄'!P""&amp;TO_TEXT(ROW()-$C$72))"),"")</f>
        <v/>
      </c>
      <c r="Q1207" s="61" t="str">
        <f>IFERROR(__xludf.DUMMYFUNCTION("INDIRECT(""'收支紀錄'!Q""&amp;TO_TEXT(ROW()-$C$72))"),"")</f>
        <v/>
      </c>
      <c r="R1207" s="61" t="str">
        <f>IFERROR(__xludf.DUMMYFUNCTION("INDIRECT(""'收支紀錄'!R""&amp;TO_TEXT(ROW()-$C$72))"),"")</f>
        <v/>
      </c>
      <c r="S1207" s="61" t="str">
        <f>IFERROR(__xludf.DUMMYFUNCTION("INDIRECT(""'收支紀錄'!S""&amp;TO_TEXT(ROW()-$C$72))"),"台新新光")</f>
        <v>台新新光</v>
      </c>
      <c r="T1207" s="61" t="str">
        <f>IFERROR(__xludf.DUMMYFUNCTION("INDIRECT(""'收支紀錄'!T""&amp;TO_TEXT(ROW()-$C$72))"),"是")</f>
        <v>是</v>
      </c>
      <c r="U1207" s="62" t="str">
        <f>IFERROR(__xludf.DUMMYFUNCTION("IF(T1207=""是"",TEXTJOIN("""", TRUE, ""$"", TO_TEXT(C1207), S1207),"""")"),"$3590台新新光")</f>
        <v>$3590台新新光</v>
      </c>
    </row>
    <row r="1208">
      <c r="A1208" s="58">
        <f>IFERROR(__xludf.DUMMYFUNCTION("INDIRECT(""'收支紀錄'!A""&amp;TO_TEXT(ROW()-$C$72))"),45936.640171562496)</f>
        <v>45936.64017</v>
      </c>
      <c r="B1208" s="59">
        <f>IFERROR(__xludf.DUMMYFUNCTION("IF(ISBLANK(D1208), """", IF(ISDATE(D1208), D1208, IF(D1208=""今天"", A1208, IF(D1208=""昨天 (-1 day)"", A1208-1, IF(D1208=""前天 (-2 days)"", A1208-2, IF(D1208=""明天 (+1 day)"", A1208+1, DATE(LEFT(D1208,4), MID(D1208,5,2), RIGHT(D1208,2))))))))"),45911.0)</f>
        <v>45911</v>
      </c>
      <c r="C1208" s="60">
        <f>IFERROR(__xludf.DUMMYFUNCTION("INDIRECT(""'收支紀錄'!C""&amp;TO_TEXT(ROW()-$C$72))"),2160.0)</f>
        <v>2160</v>
      </c>
      <c r="D1208" s="63">
        <f>IFERROR(__xludf.DUMMYFUNCTION("INDIRECT(""'收支紀錄'!D""&amp;TO_TEXT(ROW()-$C$72))"),2.0250911E7)</f>
        <v>20250911</v>
      </c>
      <c r="E1208" s="61" t="str">
        <f>IFERROR(__xludf.DUMMYFUNCTION("INDIRECT(""'收支紀錄'!E""&amp;TO_TEXT(ROW()-$C$72))"),"其他業外")</f>
        <v>其他業外</v>
      </c>
      <c r="F1208" s="61" t="str">
        <f>IFERROR(__xludf.DUMMYFUNCTION("INDIRECT(""'收支紀錄'!F""&amp;TO_TEXT(ROW()-$C$72))"),"")</f>
        <v/>
      </c>
      <c r="G1208" s="61" t="str">
        <f>IFERROR(__xludf.DUMMYFUNCTION("INDIRECT(""'收支紀錄'!G""&amp;TO_TEXT(ROW()-$C$72))"),"股票配息")</f>
        <v>股票配息</v>
      </c>
      <c r="H1208" s="61" t="str">
        <f>IFERROR(__xludf.DUMMYFUNCTION("INDIRECT(""'收支紀錄'!H""&amp;TO_TEXT(ROW()-$C$72))"),"")</f>
        <v/>
      </c>
      <c r="I1208" s="61" t="str">
        <f>IFERROR(__xludf.DUMMYFUNCTION("INDIRECT(""'收支紀錄'!I""&amp;TO_TEXT(ROW()-$C$72))"),"")</f>
        <v/>
      </c>
      <c r="J1208" s="61" t="str">
        <f>IFERROR(__xludf.DUMMYFUNCTION("INDIRECT(""'收支紀錄'!J""&amp;TO_TEXT(ROW()-$C$72))"),"")</f>
        <v/>
      </c>
      <c r="K1208" s="61" t="str">
        <f>IFERROR(__xludf.DUMMYFUNCTION("INDIRECT(""'收支紀錄'!K""&amp;TO_TEXT(ROW()-$C$72))"),"")</f>
        <v/>
      </c>
      <c r="L1208" s="61" t="str">
        <f>IFERROR(__xludf.DUMMYFUNCTION("INDIRECT(""'收支紀錄'!L""&amp;TO_TEXT(ROW()-$C$72))"),"")</f>
        <v/>
      </c>
      <c r="M1208" s="61" t="str">
        <f>IFERROR(__xludf.DUMMYFUNCTION("INDIRECT(""'收支紀錄'!M""&amp;TO_TEXT(ROW()-$C$72))"),"")</f>
        <v/>
      </c>
      <c r="N1208" s="61" t="str">
        <f>IFERROR(__xludf.DUMMYFUNCTION("INDIRECT(""'收支紀錄'!N""&amp;TO_TEXT(ROW()-$C$72))"),"")</f>
        <v/>
      </c>
      <c r="O1208" s="61" t="str">
        <f>IFERROR(__xludf.DUMMYFUNCTION("INDIRECT(""'收支紀錄'!O""&amp;TO_TEXT(ROW()-$C$72))"),"")</f>
        <v/>
      </c>
      <c r="P1208" s="61" t="str">
        <f>IFERROR(__xludf.DUMMYFUNCTION("INDIRECT(""'收支紀錄'!P""&amp;TO_TEXT(ROW()-$C$72))"),"")</f>
        <v/>
      </c>
      <c r="Q1208" s="61" t="str">
        <f>IFERROR(__xludf.DUMMYFUNCTION("INDIRECT(""'收支紀錄'!Q""&amp;TO_TEXT(ROW()-$C$72))"),"")</f>
        <v/>
      </c>
      <c r="R1208" s="61" t="str">
        <f>IFERROR(__xludf.DUMMYFUNCTION("INDIRECT(""'收支紀錄'!R""&amp;TO_TEXT(ROW()-$C$72))"),"")</f>
        <v/>
      </c>
      <c r="S1208" s="61" t="str">
        <f>IFERROR(__xludf.DUMMYFUNCTION("INDIRECT(""'收支紀錄'!S""&amp;TO_TEXT(ROW()-$C$72))"),"中信優息")</f>
        <v>中信優息</v>
      </c>
      <c r="T1208" s="61" t="str">
        <f>IFERROR(__xludf.DUMMYFUNCTION("INDIRECT(""'收支紀錄'!T""&amp;TO_TEXT(ROW()-$C$72))"),"是")</f>
        <v>是</v>
      </c>
      <c r="U1208" s="62" t="str">
        <f>IFERROR(__xludf.DUMMYFUNCTION("IF(T1208=""是"",TEXTJOIN("""", TRUE, ""$"", TO_TEXT(C1208), S1208),"""")"),"$2160中信優息")</f>
        <v>$2160中信優息</v>
      </c>
    </row>
    <row r="1209">
      <c r="A1209" s="58">
        <f>IFERROR(__xludf.DUMMYFUNCTION("INDIRECT(""'收支紀錄'!A""&amp;TO_TEXT(ROW()-$C$72))"),45936.6407229051)</f>
        <v>45936.64072</v>
      </c>
      <c r="B1209" s="59">
        <f>IFERROR(__xludf.DUMMYFUNCTION("IF(ISBLANK(D1209), """", IF(ISDATE(D1209), D1209, IF(D1209=""今天"", A1209, IF(D1209=""昨天 (-1 day)"", A1209-1, IF(D1209=""前天 (-2 days)"", A1209-2, IF(D1209=""明天 (+1 day)"", A1209+1, DATE(LEFT(D1209,4), MID(D1209,5,2), RIGHT(D1209,2))))))))"),45917.0)</f>
        <v>45917</v>
      </c>
      <c r="C1209" s="60">
        <f>IFERROR(__xludf.DUMMYFUNCTION("INDIRECT(""'收支紀錄'!C""&amp;TO_TEXT(ROW()-$C$72))"),770.0)</f>
        <v>770</v>
      </c>
      <c r="D1209" s="63">
        <f>IFERROR(__xludf.DUMMYFUNCTION("INDIRECT(""'收支紀錄'!D""&amp;TO_TEXT(ROW()-$C$72))"),2.0250917E7)</f>
        <v>20250917</v>
      </c>
      <c r="E1209" s="61" t="str">
        <f>IFERROR(__xludf.DUMMYFUNCTION("INDIRECT(""'收支紀錄'!E""&amp;TO_TEXT(ROW()-$C$72))"),"其他業外")</f>
        <v>其他業外</v>
      </c>
      <c r="F1209" s="61" t="str">
        <f>IFERROR(__xludf.DUMMYFUNCTION("INDIRECT(""'收支紀錄'!F""&amp;TO_TEXT(ROW()-$C$72))"),"")</f>
        <v/>
      </c>
      <c r="G1209" s="61" t="str">
        <f>IFERROR(__xludf.DUMMYFUNCTION("INDIRECT(""'收支紀錄'!G""&amp;TO_TEXT(ROW()-$C$72))"),"股票配息")</f>
        <v>股票配息</v>
      </c>
      <c r="H1209" s="61" t="str">
        <f>IFERROR(__xludf.DUMMYFUNCTION("INDIRECT(""'收支紀錄'!H""&amp;TO_TEXT(ROW()-$C$72))"),"")</f>
        <v/>
      </c>
      <c r="I1209" s="61" t="str">
        <f>IFERROR(__xludf.DUMMYFUNCTION("INDIRECT(""'收支紀錄'!I""&amp;TO_TEXT(ROW()-$C$72))"),"")</f>
        <v/>
      </c>
      <c r="J1209" s="61" t="str">
        <f>IFERROR(__xludf.DUMMYFUNCTION("INDIRECT(""'收支紀錄'!J""&amp;TO_TEXT(ROW()-$C$72))"),"")</f>
        <v/>
      </c>
      <c r="K1209" s="61" t="str">
        <f>IFERROR(__xludf.DUMMYFUNCTION("INDIRECT(""'收支紀錄'!K""&amp;TO_TEXT(ROW()-$C$72))"),"")</f>
        <v/>
      </c>
      <c r="L1209" s="61" t="str">
        <f>IFERROR(__xludf.DUMMYFUNCTION("INDIRECT(""'收支紀錄'!L""&amp;TO_TEXT(ROW()-$C$72))"),"")</f>
        <v/>
      </c>
      <c r="M1209" s="61" t="str">
        <f>IFERROR(__xludf.DUMMYFUNCTION("INDIRECT(""'收支紀錄'!M""&amp;TO_TEXT(ROW()-$C$72))"),"")</f>
        <v/>
      </c>
      <c r="N1209" s="61" t="str">
        <f>IFERROR(__xludf.DUMMYFUNCTION("INDIRECT(""'收支紀錄'!N""&amp;TO_TEXT(ROW()-$C$72))"),"")</f>
        <v/>
      </c>
      <c r="O1209" s="61" t="str">
        <f>IFERROR(__xludf.DUMMYFUNCTION("INDIRECT(""'收支紀錄'!O""&amp;TO_TEXT(ROW()-$C$72))"),"")</f>
        <v/>
      </c>
      <c r="P1209" s="61" t="str">
        <f>IFERROR(__xludf.DUMMYFUNCTION("INDIRECT(""'收支紀錄'!P""&amp;TO_TEXT(ROW()-$C$72))"),"")</f>
        <v/>
      </c>
      <c r="Q1209" s="61" t="str">
        <f>IFERROR(__xludf.DUMMYFUNCTION("INDIRECT(""'收支紀錄'!Q""&amp;TO_TEXT(ROW()-$C$72))"),"")</f>
        <v/>
      </c>
      <c r="R1209" s="61" t="str">
        <f>IFERROR(__xludf.DUMMYFUNCTION("INDIRECT(""'收支紀錄'!R""&amp;TO_TEXT(ROW()-$C$72))"),"")</f>
        <v/>
      </c>
      <c r="S1209" s="61" t="str">
        <f>IFERROR(__xludf.DUMMYFUNCTION("INDIRECT(""'收支紀錄'!S""&amp;TO_TEXT(ROW()-$C$72))"),"台中銀")</f>
        <v>台中銀</v>
      </c>
      <c r="T1209" s="61" t="str">
        <f>IFERROR(__xludf.DUMMYFUNCTION("INDIRECT(""'收支紀錄'!T""&amp;TO_TEXT(ROW()-$C$72))"),"是")</f>
        <v>是</v>
      </c>
      <c r="U1209" s="62" t="str">
        <f>IFERROR(__xludf.DUMMYFUNCTION("IF(T1209=""是"",TEXTJOIN("""", TRUE, ""$"", TO_TEXT(C1209), S1209),"""")"),"$770台中銀")</f>
        <v>$770台中銀</v>
      </c>
    </row>
    <row r="1210">
      <c r="A1210" s="58">
        <f>IFERROR(__xludf.DUMMYFUNCTION("INDIRECT(""'收支紀錄'!A""&amp;TO_TEXT(ROW()-$C$72))"),45936.6411766088)</f>
        <v>45936.64118</v>
      </c>
      <c r="B1210" s="59">
        <f>IFERROR(__xludf.DUMMYFUNCTION("IF(ISBLANK(D1210), """", IF(ISDATE(D1210), D1210, IF(D1210=""今天"", A1210, IF(D1210=""昨天 (-1 day)"", A1210-1, IF(D1210=""前天 (-2 days)"", A1210-2, IF(D1210=""明天 (+1 day)"", A1210+1, DATE(LEFT(D1210,4), MID(D1210,5,2), RIGHT(D1210,2))))))))"),45922.0)</f>
        <v>45922</v>
      </c>
      <c r="C1210" s="60">
        <f>IFERROR(__xludf.DUMMYFUNCTION("INDIRECT(""'收支紀錄'!C""&amp;TO_TEXT(ROW()-$C$72))"),900.0)</f>
        <v>900</v>
      </c>
      <c r="D1210" s="63">
        <f>IFERROR(__xludf.DUMMYFUNCTION("INDIRECT(""'收支紀錄'!D""&amp;TO_TEXT(ROW()-$C$72))"),2.0250922E7)</f>
        <v>20250922</v>
      </c>
      <c r="E1210" s="61" t="str">
        <f>IFERROR(__xludf.DUMMYFUNCTION("INDIRECT(""'收支紀錄'!E""&amp;TO_TEXT(ROW()-$C$72))"),"其他業外")</f>
        <v>其他業外</v>
      </c>
      <c r="F1210" s="61" t="str">
        <f>IFERROR(__xludf.DUMMYFUNCTION("INDIRECT(""'收支紀錄'!F""&amp;TO_TEXT(ROW()-$C$72))"),"")</f>
        <v/>
      </c>
      <c r="G1210" s="61" t="str">
        <f>IFERROR(__xludf.DUMMYFUNCTION("INDIRECT(""'收支紀錄'!G""&amp;TO_TEXT(ROW()-$C$72))"),"股票配息")</f>
        <v>股票配息</v>
      </c>
      <c r="H1210" s="61" t="str">
        <f>IFERROR(__xludf.DUMMYFUNCTION("INDIRECT(""'收支紀錄'!H""&amp;TO_TEXT(ROW()-$C$72))"),"")</f>
        <v/>
      </c>
      <c r="I1210" s="61" t="str">
        <f>IFERROR(__xludf.DUMMYFUNCTION("INDIRECT(""'收支紀錄'!I""&amp;TO_TEXT(ROW()-$C$72))"),"")</f>
        <v/>
      </c>
      <c r="J1210" s="61" t="str">
        <f>IFERROR(__xludf.DUMMYFUNCTION("INDIRECT(""'收支紀錄'!J""&amp;TO_TEXT(ROW()-$C$72))"),"")</f>
        <v/>
      </c>
      <c r="K1210" s="61" t="str">
        <f>IFERROR(__xludf.DUMMYFUNCTION("INDIRECT(""'收支紀錄'!K""&amp;TO_TEXT(ROW()-$C$72))"),"")</f>
        <v/>
      </c>
      <c r="L1210" s="61" t="str">
        <f>IFERROR(__xludf.DUMMYFUNCTION("INDIRECT(""'收支紀錄'!L""&amp;TO_TEXT(ROW()-$C$72))"),"")</f>
        <v/>
      </c>
      <c r="M1210" s="61" t="str">
        <f>IFERROR(__xludf.DUMMYFUNCTION("INDIRECT(""'收支紀錄'!M""&amp;TO_TEXT(ROW()-$C$72))"),"")</f>
        <v/>
      </c>
      <c r="N1210" s="61" t="str">
        <f>IFERROR(__xludf.DUMMYFUNCTION("INDIRECT(""'收支紀錄'!N""&amp;TO_TEXT(ROW()-$C$72))"),"")</f>
        <v/>
      </c>
      <c r="O1210" s="61" t="str">
        <f>IFERROR(__xludf.DUMMYFUNCTION("INDIRECT(""'收支紀錄'!O""&amp;TO_TEXT(ROW()-$C$72))"),"")</f>
        <v/>
      </c>
      <c r="P1210" s="61" t="str">
        <f>IFERROR(__xludf.DUMMYFUNCTION("INDIRECT(""'收支紀錄'!P""&amp;TO_TEXT(ROW()-$C$72))"),"")</f>
        <v/>
      </c>
      <c r="Q1210" s="61" t="str">
        <f>IFERROR(__xludf.DUMMYFUNCTION("INDIRECT(""'收支紀錄'!Q""&amp;TO_TEXT(ROW()-$C$72))"),"")</f>
        <v/>
      </c>
      <c r="R1210" s="61" t="str">
        <f>IFERROR(__xludf.DUMMYFUNCTION("INDIRECT(""'收支紀錄'!R""&amp;TO_TEXT(ROW()-$C$72))"),"")</f>
        <v/>
      </c>
      <c r="S1210" s="61" t="str">
        <f>IFERROR(__xludf.DUMMYFUNCTION("INDIRECT(""'收支紀錄'!S""&amp;TO_TEXT(ROW()-$C$72))"),"永豐金")</f>
        <v>永豐金</v>
      </c>
      <c r="T1210" s="61" t="str">
        <f>IFERROR(__xludf.DUMMYFUNCTION("INDIRECT(""'收支紀錄'!T""&amp;TO_TEXT(ROW()-$C$72))"),"是")</f>
        <v>是</v>
      </c>
      <c r="U1210" s="62" t="str">
        <f>IFERROR(__xludf.DUMMYFUNCTION("IF(T1210=""是"",TEXTJOIN("""", TRUE, ""$"", TO_TEXT(C1210), S1210),"""")"),"$900永豐金")</f>
        <v>$900永豐金</v>
      </c>
    </row>
    <row r="1211">
      <c r="A1211" s="58">
        <f>IFERROR(__xludf.DUMMYFUNCTION("INDIRECT(""'收支紀錄'!A""&amp;TO_TEXT(ROW()-$C$72))"),45936.64188831019)</f>
        <v>45936.64189</v>
      </c>
      <c r="B1211" s="59">
        <f>IFERROR(__xludf.DUMMYFUNCTION("IF(ISBLANK(D1211), """", IF(ISDATE(D1211), D1211, IF(D1211=""今天"", A1211, IF(D1211=""昨天 (-1 day)"", A1211-1, IF(D1211=""前天 (-2 days)"", A1211-2, IF(D1211=""明天 (+1 day)"", A1211+1, DATE(LEFT(D1211,4), MID(D1211,5,2), RIGHT(D1211,2))))))))"),45930.0)</f>
        <v>45930</v>
      </c>
      <c r="C1211" s="60">
        <f>IFERROR(__xludf.DUMMYFUNCTION("INDIRECT(""'收支紀錄'!C""&amp;TO_TEXT(ROW()-$C$72))"),5990.0)</f>
        <v>5990</v>
      </c>
      <c r="D1211" s="63">
        <f>IFERROR(__xludf.DUMMYFUNCTION("INDIRECT(""'收支紀錄'!D""&amp;TO_TEXT(ROW()-$C$72))"),2.025093E7)</f>
        <v>20250930</v>
      </c>
      <c r="E1211" s="61" t="str">
        <f>IFERROR(__xludf.DUMMYFUNCTION("INDIRECT(""'收支紀錄'!E""&amp;TO_TEXT(ROW()-$C$72))"),"其他業外")</f>
        <v>其他業外</v>
      </c>
      <c r="F1211" s="61" t="str">
        <f>IFERROR(__xludf.DUMMYFUNCTION("INDIRECT(""'收支紀錄'!F""&amp;TO_TEXT(ROW()-$C$72))"),"")</f>
        <v/>
      </c>
      <c r="G1211" s="61" t="str">
        <f>IFERROR(__xludf.DUMMYFUNCTION("INDIRECT(""'收支紀錄'!G""&amp;TO_TEXT(ROW()-$C$72))"),"股票配息")</f>
        <v>股票配息</v>
      </c>
      <c r="H1211" s="61" t="str">
        <f>IFERROR(__xludf.DUMMYFUNCTION("INDIRECT(""'收支紀錄'!H""&amp;TO_TEXT(ROW()-$C$72))"),"")</f>
        <v/>
      </c>
      <c r="I1211" s="61" t="str">
        <f>IFERROR(__xludf.DUMMYFUNCTION("INDIRECT(""'收支紀錄'!I""&amp;TO_TEXT(ROW()-$C$72))"),"")</f>
        <v/>
      </c>
      <c r="J1211" s="61" t="str">
        <f>IFERROR(__xludf.DUMMYFUNCTION("INDIRECT(""'收支紀錄'!J""&amp;TO_TEXT(ROW()-$C$72))"),"")</f>
        <v/>
      </c>
      <c r="K1211" s="61" t="str">
        <f>IFERROR(__xludf.DUMMYFUNCTION("INDIRECT(""'收支紀錄'!K""&amp;TO_TEXT(ROW()-$C$72))"),"")</f>
        <v/>
      </c>
      <c r="L1211" s="61" t="str">
        <f>IFERROR(__xludf.DUMMYFUNCTION("INDIRECT(""'收支紀錄'!L""&amp;TO_TEXT(ROW()-$C$72))"),"")</f>
        <v/>
      </c>
      <c r="M1211" s="61" t="str">
        <f>IFERROR(__xludf.DUMMYFUNCTION("INDIRECT(""'收支紀錄'!M""&amp;TO_TEXT(ROW()-$C$72))"),"")</f>
        <v/>
      </c>
      <c r="N1211" s="61" t="str">
        <f>IFERROR(__xludf.DUMMYFUNCTION("INDIRECT(""'收支紀錄'!N""&amp;TO_TEXT(ROW()-$C$72))"),"")</f>
        <v/>
      </c>
      <c r="O1211" s="61" t="str">
        <f>IFERROR(__xludf.DUMMYFUNCTION("INDIRECT(""'收支紀錄'!O""&amp;TO_TEXT(ROW()-$C$72))"),"")</f>
        <v/>
      </c>
      <c r="P1211" s="61" t="str">
        <f>IFERROR(__xludf.DUMMYFUNCTION("INDIRECT(""'收支紀錄'!P""&amp;TO_TEXT(ROW()-$C$72))"),"")</f>
        <v/>
      </c>
      <c r="Q1211" s="61" t="str">
        <f>IFERROR(__xludf.DUMMYFUNCTION("INDIRECT(""'收支紀錄'!Q""&amp;TO_TEXT(ROW()-$C$72))"),"")</f>
        <v/>
      </c>
      <c r="R1211" s="61" t="str">
        <f>IFERROR(__xludf.DUMMYFUNCTION("INDIRECT(""'收支紀錄'!R""&amp;TO_TEXT(ROW()-$C$72))"),"")</f>
        <v/>
      </c>
      <c r="S1211" s="61" t="str">
        <f>IFERROR(__xludf.DUMMYFUNCTION("INDIRECT(""'收支紀錄'!S""&amp;TO_TEXT(ROW()-$C$72))"),"遠東銀")</f>
        <v>遠東銀</v>
      </c>
      <c r="T1211" s="61" t="str">
        <f>IFERROR(__xludf.DUMMYFUNCTION("INDIRECT(""'收支紀錄'!T""&amp;TO_TEXT(ROW()-$C$72))"),"是")</f>
        <v>是</v>
      </c>
      <c r="U1211" s="62" t="str">
        <f>IFERROR(__xludf.DUMMYFUNCTION("IF(T1211=""是"",TEXTJOIN("""", TRUE, ""$"", TO_TEXT(C1211), S1211),"""")"),"$5990遠東銀")</f>
        <v>$5990遠東銀</v>
      </c>
    </row>
    <row r="1212">
      <c r="A1212" s="58">
        <f>IFERROR(__xludf.DUMMYFUNCTION("INDIRECT(""'收支紀錄'!A""&amp;TO_TEXT(ROW()-$C$72))"),45937.79843818287)</f>
        <v>45937.79844</v>
      </c>
      <c r="B1212" s="59">
        <f>IFERROR(__xludf.DUMMYFUNCTION("IF(ISBLANK(D1212), """", IF(ISDATE(D1212), D1212, IF(D1212=""今天"", A1212, IF(D1212=""昨天 (-1 day)"", A1212-1, IF(D1212=""前天 (-2 days)"", A1212-2, IF(D1212=""明天 (+1 day)"", A1212+1, DATE(LEFT(D1212,4), MID(D1212,5,2), RIGHT(D1212,2))))))))"),45936.79843818287)</f>
        <v>45936.79844</v>
      </c>
      <c r="C1212" s="60">
        <f>IFERROR(__xludf.DUMMYFUNCTION("INDIRECT(""'收支紀錄'!C""&amp;TO_TEXT(ROW()-$C$72))"),49.0)</f>
        <v>49</v>
      </c>
      <c r="D1212" s="63" t="str">
        <f>IFERROR(__xludf.DUMMYFUNCTION("INDIRECT(""'收支紀錄'!D""&amp;TO_TEXT(ROW()-$C$72))"),"昨天 (-1 day)")</f>
        <v>昨天 (-1 day)</v>
      </c>
      <c r="E1212" s="61" t="str">
        <f>IFERROR(__xludf.DUMMYFUNCTION("INDIRECT(""'收支紀錄'!E""&amp;TO_TEXT(ROW()-$C$72))"),"")</f>
        <v/>
      </c>
      <c r="F1212" s="61" t="str">
        <f>IFERROR(__xludf.DUMMYFUNCTION("INDIRECT(""'收支紀錄'!F""&amp;TO_TEXT(ROW()-$C$72))"),"")</f>
        <v/>
      </c>
      <c r="G1212" s="61" t="str">
        <f>IFERROR(__xludf.DUMMYFUNCTION("INDIRECT(""'收支紀錄'!G""&amp;TO_TEXT(ROW()-$C$72))"),"")</f>
        <v/>
      </c>
      <c r="H1212" s="61" t="str">
        <f>IFERROR(__xludf.DUMMYFUNCTION("INDIRECT(""'收支紀錄'!H""&amp;TO_TEXT(ROW()-$C$72))"),"食品酒水")</f>
        <v>食品酒水</v>
      </c>
      <c r="I1212" s="61" t="str">
        <f>IFERROR(__xludf.DUMMYFUNCTION("INDIRECT(""'收支紀錄'!I""&amp;TO_TEXT(ROW()-$C$72))"),"飲料酒水")</f>
        <v>飲料酒水</v>
      </c>
      <c r="J1212" s="61" t="str">
        <f>IFERROR(__xludf.DUMMYFUNCTION("INDIRECT(""'收支紀錄'!J""&amp;TO_TEXT(ROW()-$C$72))"),"")</f>
        <v/>
      </c>
      <c r="K1212" s="61" t="str">
        <f>IFERROR(__xludf.DUMMYFUNCTION("INDIRECT(""'收支紀錄'!K""&amp;TO_TEXT(ROW()-$C$72))"),"")</f>
        <v/>
      </c>
      <c r="L1212" s="61" t="str">
        <f>IFERROR(__xludf.DUMMYFUNCTION("INDIRECT(""'收支紀錄'!L""&amp;TO_TEXT(ROW()-$C$72))"),"")</f>
        <v/>
      </c>
      <c r="M1212" s="61" t="str">
        <f>IFERROR(__xludf.DUMMYFUNCTION("INDIRECT(""'收支紀錄'!M""&amp;TO_TEXT(ROW()-$C$72))"),"")</f>
        <v/>
      </c>
      <c r="N1212" s="61" t="str">
        <f>IFERROR(__xludf.DUMMYFUNCTION("INDIRECT(""'收支紀錄'!N""&amp;TO_TEXT(ROW()-$C$72))"),"")</f>
        <v/>
      </c>
      <c r="O1212" s="61" t="str">
        <f>IFERROR(__xludf.DUMMYFUNCTION("INDIRECT(""'收支紀錄'!O""&amp;TO_TEXT(ROW()-$C$72))"),"")</f>
        <v/>
      </c>
      <c r="P1212" s="61" t="str">
        <f>IFERROR(__xludf.DUMMYFUNCTION("INDIRECT(""'收支紀錄'!P""&amp;TO_TEXT(ROW()-$C$72))"),"")</f>
        <v/>
      </c>
      <c r="Q1212" s="61" t="str">
        <f>IFERROR(__xludf.DUMMYFUNCTION("INDIRECT(""'收支紀錄'!Q""&amp;TO_TEXT(ROW()-$C$72))"),"")</f>
        <v/>
      </c>
      <c r="R1212" s="61" t="str">
        <f>IFERROR(__xludf.DUMMYFUNCTION("INDIRECT(""'收支紀錄'!R""&amp;TO_TEXT(ROW()-$C$72))"),"")</f>
        <v/>
      </c>
      <c r="S1212" s="61" t="str">
        <f>IFERROR(__xludf.DUMMYFUNCTION("INDIRECT(""'收支紀錄'!S""&amp;TO_TEXT(ROW()-$C$72))"),"")</f>
        <v/>
      </c>
      <c r="T1212" s="61" t="str">
        <f>IFERROR(__xludf.DUMMYFUNCTION("INDIRECT(""'收支紀錄'!T""&amp;TO_TEXT(ROW()-$C$72))"),"")</f>
        <v/>
      </c>
      <c r="U1212" s="62" t="str">
        <f>IFERROR(__xludf.DUMMYFUNCTION("IF(T1212=""是"",TEXTJOIN("""", TRUE, ""$"", TO_TEXT(C1212), S1212),"""")"),"")</f>
        <v/>
      </c>
    </row>
    <row r="1213">
      <c r="A1213" s="58">
        <f>IFERROR(__xludf.DUMMYFUNCTION("INDIRECT(""'收支紀錄'!A""&amp;TO_TEXT(ROW()-$C$72))"),45940.887348495366)</f>
        <v>45940.88735</v>
      </c>
      <c r="B1213" s="59">
        <f>IFERROR(__xludf.DUMMYFUNCTION("IF(ISBLANK(D1213), """", IF(ISDATE(D1213), D1213, IF(D1213=""今天"", A1213, IF(D1213=""昨天 (-1 day)"", A1213-1, IF(D1213=""前天 (-2 days)"", A1213-2, IF(D1213=""明天 (+1 day)"", A1213+1, DATE(LEFT(D1213,4), MID(D1213,5,2), RIGHT(D1213,2))))))))"),45940.887348495366)</f>
        <v>45940.88735</v>
      </c>
      <c r="C1213" s="60">
        <f>IFERROR(__xludf.DUMMYFUNCTION("INDIRECT(""'收支紀錄'!C""&amp;TO_TEXT(ROW()-$C$72))"),75.0)</f>
        <v>75</v>
      </c>
      <c r="D1213" s="63" t="str">
        <f>IFERROR(__xludf.DUMMYFUNCTION("INDIRECT(""'收支紀錄'!D""&amp;TO_TEXT(ROW()-$C$72))"),"今天")</f>
        <v>今天</v>
      </c>
      <c r="E1213" s="61" t="str">
        <f>IFERROR(__xludf.DUMMYFUNCTION("INDIRECT(""'收支紀錄'!E""&amp;TO_TEXT(ROW()-$C$72))"),"")</f>
        <v/>
      </c>
      <c r="F1213" s="61" t="str">
        <f>IFERROR(__xludf.DUMMYFUNCTION("INDIRECT(""'收支紀錄'!F""&amp;TO_TEXT(ROW()-$C$72))"),"")</f>
        <v/>
      </c>
      <c r="G1213" s="61" t="str">
        <f>IFERROR(__xludf.DUMMYFUNCTION("INDIRECT(""'收支紀錄'!G""&amp;TO_TEXT(ROW()-$C$72))"),"")</f>
        <v/>
      </c>
      <c r="H1213" s="61" t="str">
        <f>IFERROR(__xludf.DUMMYFUNCTION("INDIRECT(""'收支紀錄'!H""&amp;TO_TEXT(ROW()-$C$72))"),"行車交通")</f>
        <v>行車交通</v>
      </c>
      <c r="I1213" s="61" t="str">
        <f>IFERROR(__xludf.DUMMYFUNCTION("INDIRECT(""'收支紀錄'!I""&amp;TO_TEXT(ROW()-$C$72))"),"")</f>
        <v/>
      </c>
      <c r="J1213" s="61" t="str">
        <f>IFERROR(__xludf.DUMMYFUNCTION("INDIRECT(""'收支紀錄'!J""&amp;TO_TEXT(ROW()-$C$72))"),"")</f>
        <v/>
      </c>
      <c r="K1213" s="61" t="str">
        <f>IFERROR(__xludf.DUMMYFUNCTION("INDIRECT(""'收支紀錄'!K""&amp;TO_TEXT(ROW()-$C$72))"),"")</f>
        <v/>
      </c>
      <c r="L1213" s="61" t="str">
        <f>IFERROR(__xludf.DUMMYFUNCTION("INDIRECT(""'收支紀錄'!L""&amp;TO_TEXT(ROW()-$C$72))"),"停車")</f>
        <v>停車</v>
      </c>
      <c r="M1213" s="61" t="str">
        <f>IFERROR(__xludf.DUMMYFUNCTION("INDIRECT(""'收支紀錄'!M""&amp;TO_TEXT(ROW()-$C$72))"),"")</f>
        <v/>
      </c>
      <c r="N1213" s="61" t="str">
        <f>IFERROR(__xludf.DUMMYFUNCTION("INDIRECT(""'收支紀錄'!N""&amp;TO_TEXT(ROW()-$C$72))"),"")</f>
        <v/>
      </c>
      <c r="O1213" s="61" t="str">
        <f>IFERROR(__xludf.DUMMYFUNCTION("INDIRECT(""'收支紀錄'!O""&amp;TO_TEXT(ROW()-$C$72))"),"")</f>
        <v/>
      </c>
      <c r="P1213" s="61" t="str">
        <f>IFERROR(__xludf.DUMMYFUNCTION("INDIRECT(""'收支紀錄'!P""&amp;TO_TEXT(ROW()-$C$72))"),"")</f>
        <v/>
      </c>
      <c r="Q1213" s="61" t="str">
        <f>IFERROR(__xludf.DUMMYFUNCTION("INDIRECT(""'收支紀錄'!Q""&amp;TO_TEXT(ROW()-$C$72))"),"")</f>
        <v/>
      </c>
      <c r="R1213" s="61" t="str">
        <f>IFERROR(__xludf.DUMMYFUNCTION("INDIRECT(""'收支紀錄'!R""&amp;TO_TEXT(ROW()-$C$72))"),"")</f>
        <v/>
      </c>
      <c r="S1213" s="61" t="str">
        <f>IFERROR(__xludf.DUMMYFUNCTION("INDIRECT(""'收支紀錄'!S""&amp;TO_TEXT(ROW()-$C$72))"),"")</f>
        <v/>
      </c>
      <c r="T1213" s="61" t="str">
        <f>IFERROR(__xludf.DUMMYFUNCTION("INDIRECT(""'收支紀錄'!T""&amp;TO_TEXT(ROW()-$C$72))"),"")</f>
        <v/>
      </c>
      <c r="U1213" s="62" t="str">
        <f>IFERROR(__xludf.DUMMYFUNCTION("IF(T1213=""是"",TEXTJOIN("""", TRUE, ""$"", TO_TEXT(C1213), S1213),"""")"),"")</f>
        <v/>
      </c>
    </row>
    <row r="1214">
      <c r="A1214" s="58">
        <f>IFERROR(__xludf.DUMMYFUNCTION("INDIRECT(""'收支紀錄'!A""&amp;TO_TEXT(ROW()-$C$72))"),45940.88751858796)</f>
        <v>45940.88752</v>
      </c>
      <c r="B1214" s="59">
        <f>IFERROR(__xludf.DUMMYFUNCTION("IF(ISBLANK(D1214), """", IF(ISDATE(D1214), D1214, IF(D1214=""今天"", A1214, IF(D1214=""昨天 (-1 day)"", A1214-1, IF(D1214=""前天 (-2 days)"", A1214-2, IF(D1214=""明天 (+1 day)"", A1214+1, DATE(LEFT(D1214,4), MID(D1214,5,2), RIGHT(D1214,2))))))))"),45940.88751858796)</f>
        <v>45940.88752</v>
      </c>
      <c r="C1214" s="60">
        <f>IFERROR(__xludf.DUMMYFUNCTION("INDIRECT(""'收支紀錄'!C""&amp;TO_TEXT(ROW()-$C$72))"),590.0)</f>
        <v>590</v>
      </c>
      <c r="D1214" s="63" t="str">
        <f>IFERROR(__xludf.DUMMYFUNCTION("INDIRECT(""'收支紀錄'!D""&amp;TO_TEXT(ROW()-$C$72))"),"今天")</f>
        <v>今天</v>
      </c>
      <c r="E1214" s="61" t="str">
        <f>IFERROR(__xludf.DUMMYFUNCTION("INDIRECT(""'收支紀錄'!E""&amp;TO_TEXT(ROW()-$C$72))"),"")</f>
        <v/>
      </c>
      <c r="F1214" s="61" t="str">
        <f>IFERROR(__xludf.DUMMYFUNCTION("INDIRECT(""'收支紀錄'!F""&amp;TO_TEXT(ROW()-$C$72))"),"")</f>
        <v/>
      </c>
      <c r="G1214" s="61" t="str">
        <f>IFERROR(__xludf.DUMMYFUNCTION("INDIRECT(""'收支紀錄'!G""&amp;TO_TEXT(ROW()-$C$72))"),"")</f>
        <v/>
      </c>
      <c r="H1214" s="61" t="str">
        <f>IFERROR(__xludf.DUMMYFUNCTION("INDIRECT(""'收支紀錄'!H""&amp;TO_TEXT(ROW()-$C$72))"),"食品酒水")</f>
        <v>食品酒水</v>
      </c>
      <c r="I1214" s="61" t="str">
        <f>IFERROR(__xludf.DUMMYFUNCTION("INDIRECT(""'收支紀錄'!I""&amp;TO_TEXT(ROW()-$C$72))"),"晚餐")</f>
        <v>晚餐</v>
      </c>
      <c r="J1214" s="61" t="str">
        <f>IFERROR(__xludf.DUMMYFUNCTION("INDIRECT(""'收支紀錄'!J""&amp;TO_TEXT(ROW()-$C$72))"),"")</f>
        <v/>
      </c>
      <c r="K1214" s="61" t="str">
        <f>IFERROR(__xludf.DUMMYFUNCTION("INDIRECT(""'收支紀錄'!K""&amp;TO_TEXT(ROW()-$C$72))"),"")</f>
        <v/>
      </c>
      <c r="L1214" s="61" t="str">
        <f>IFERROR(__xludf.DUMMYFUNCTION("INDIRECT(""'收支紀錄'!L""&amp;TO_TEXT(ROW()-$C$72))"),"")</f>
        <v/>
      </c>
      <c r="M1214" s="61" t="str">
        <f>IFERROR(__xludf.DUMMYFUNCTION("INDIRECT(""'收支紀錄'!M""&amp;TO_TEXT(ROW()-$C$72))"),"")</f>
        <v/>
      </c>
      <c r="N1214" s="61" t="str">
        <f>IFERROR(__xludf.DUMMYFUNCTION("INDIRECT(""'收支紀錄'!N""&amp;TO_TEXT(ROW()-$C$72))"),"")</f>
        <v/>
      </c>
      <c r="O1214" s="61" t="str">
        <f>IFERROR(__xludf.DUMMYFUNCTION("INDIRECT(""'收支紀錄'!O""&amp;TO_TEXT(ROW()-$C$72))"),"")</f>
        <v/>
      </c>
      <c r="P1214" s="61" t="str">
        <f>IFERROR(__xludf.DUMMYFUNCTION("INDIRECT(""'收支紀錄'!P""&amp;TO_TEXT(ROW()-$C$72))"),"")</f>
        <v/>
      </c>
      <c r="Q1214" s="61" t="str">
        <f>IFERROR(__xludf.DUMMYFUNCTION("INDIRECT(""'收支紀錄'!Q""&amp;TO_TEXT(ROW()-$C$72))"),"")</f>
        <v/>
      </c>
      <c r="R1214" s="61" t="str">
        <f>IFERROR(__xludf.DUMMYFUNCTION("INDIRECT(""'收支紀錄'!R""&amp;TO_TEXT(ROW()-$C$72))"),"")</f>
        <v/>
      </c>
      <c r="S1214" s="61" t="str">
        <f>IFERROR(__xludf.DUMMYFUNCTION("INDIRECT(""'收支紀錄'!S""&amp;TO_TEXT(ROW()-$C$72))"),"")</f>
        <v/>
      </c>
      <c r="T1214" s="61" t="str">
        <f>IFERROR(__xludf.DUMMYFUNCTION("INDIRECT(""'收支紀錄'!T""&amp;TO_TEXT(ROW()-$C$72))"),"")</f>
        <v/>
      </c>
      <c r="U1214" s="62" t="str">
        <f>IFERROR(__xludf.DUMMYFUNCTION("IF(T1214=""是"",TEXTJOIN("""", TRUE, ""$"", TO_TEXT(C1214), S1214),"""")"),"")</f>
        <v/>
      </c>
    </row>
    <row r="1215">
      <c r="A1215" s="58">
        <f>IFERROR(__xludf.DUMMYFUNCTION("INDIRECT(""'收支紀錄'!A""&amp;TO_TEXT(ROW()-$C$72))"),45942.677229375)</f>
        <v>45942.67723</v>
      </c>
      <c r="B1215" s="59">
        <f>IFERROR(__xludf.DUMMYFUNCTION("IF(ISBLANK(D1215), """", IF(ISDATE(D1215), D1215, IF(D1215=""今天"", A1215, IF(D1215=""昨天 (-1 day)"", A1215-1, IF(D1215=""前天 (-2 days)"", A1215-2, IF(D1215=""明天 (+1 day)"", A1215+1, DATE(LEFT(D1215,4), MID(D1215,5,2), RIGHT(D1215,2))))))))"),45942.677229375)</f>
        <v>45942.67723</v>
      </c>
      <c r="C1215" s="60">
        <f>IFERROR(__xludf.DUMMYFUNCTION("INDIRECT(""'收支紀錄'!C""&amp;TO_TEXT(ROW()-$C$72))"),790.0)</f>
        <v>790</v>
      </c>
      <c r="D1215" s="63" t="str">
        <f>IFERROR(__xludf.DUMMYFUNCTION("INDIRECT(""'收支紀錄'!D""&amp;TO_TEXT(ROW()-$C$72))"),"今天")</f>
        <v>今天</v>
      </c>
      <c r="E1215" s="61" t="str">
        <f>IFERROR(__xludf.DUMMYFUNCTION("INDIRECT(""'收支紀錄'!E""&amp;TO_TEXT(ROW()-$C$72))"),"")</f>
        <v/>
      </c>
      <c r="F1215" s="61" t="str">
        <f>IFERROR(__xludf.DUMMYFUNCTION("INDIRECT(""'收支紀錄'!F""&amp;TO_TEXT(ROW()-$C$72))"),"")</f>
        <v/>
      </c>
      <c r="G1215" s="61" t="str">
        <f>IFERROR(__xludf.DUMMYFUNCTION("INDIRECT(""'收支紀錄'!G""&amp;TO_TEXT(ROW()-$C$72))"),"")</f>
        <v/>
      </c>
      <c r="H1215" s="61" t="str">
        <f>IFERROR(__xludf.DUMMYFUNCTION("INDIRECT(""'收支紀錄'!H""&amp;TO_TEXT(ROW()-$C$72))"),"行車交通")</f>
        <v>行車交通</v>
      </c>
      <c r="I1215" s="61" t="str">
        <f>IFERROR(__xludf.DUMMYFUNCTION("INDIRECT(""'收支紀錄'!I""&amp;TO_TEXT(ROW()-$C$72))"),"")</f>
        <v/>
      </c>
      <c r="J1215" s="61" t="str">
        <f>IFERROR(__xludf.DUMMYFUNCTION("INDIRECT(""'收支紀錄'!J""&amp;TO_TEXT(ROW()-$C$72))"),"")</f>
        <v/>
      </c>
      <c r="K1215" s="61" t="str">
        <f>IFERROR(__xludf.DUMMYFUNCTION("INDIRECT(""'收支紀錄'!K""&amp;TO_TEXT(ROW()-$C$72))"),"")</f>
        <v/>
      </c>
      <c r="L1215" s="61" t="str">
        <f>IFERROR(__xludf.DUMMYFUNCTION("INDIRECT(""'收支紀錄'!L""&amp;TO_TEXT(ROW()-$C$72))"),"高鐵")</f>
        <v>高鐵</v>
      </c>
      <c r="M1215" s="61" t="str">
        <f>IFERROR(__xludf.DUMMYFUNCTION("INDIRECT(""'收支紀錄'!M""&amp;TO_TEXT(ROW()-$C$72))"),"")</f>
        <v/>
      </c>
      <c r="N1215" s="61" t="str">
        <f>IFERROR(__xludf.DUMMYFUNCTION("INDIRECT(""'收支紀錄'!N""&amp;TO_TEXT(ROW()-$C$72))"),"")</f>
        <v/>
      </c>
      <c r="O1215" s="61" t="str">
        <f>IFERROR(__xludf.DUMMYFUNCTION("INDIRECT(""'收支紀錄'!O""&amp;TO_TEXT(ROW()-$C$72))"),"")</f>
        <v/>
      </c>
      <c r="P1215" s="61" t="str">
        <f>IFERROR(__xludf.DUMMYFUNCTION("INDIRECT(""'收支紀錄'!P""&amp;TO_TEXT(ROW()-$C$72))"),"")</f>
        <v/>
      </c>
      <c r="Q1215" s="61" t="str">
        <f>IFERROR(__xludf.DUMMYFUNCTION("INDIRECT(""'收支紀錄'!Q""&amp;TO_TEXT(ROW()-$C$72))"),"")</f>
        <v/>
      </c>
      <c r="R1215" s="61" t="str">
        <f>IFERROR(__xludf.DUMMYFUNCTION("INDIRECT(""'收支紀錄'!R""&amp;TO_TEXT(ROW()-$C$72))"),"")</f>
        <v/>
      </c>
      <c r="S1215" s="61" t="str">
        <f>IFERROR(__xludf.DUMMYFUNCTION("INDIRECT(""'收支紀錄'!S""&amp;TO_TEXT(ROW()-$C$72))"),"")</f>
        <v/>
      </c>
      <c r="T1215" s="61" t="str">
        <f>IFERROR(__xludf.DUMMYFUNCTION("INDIRECT(""'收支紀錄'!T""&amp;TO_TEXT(ROW()-$C$72))"),"")</f>
        <v/>
      </c>
      <c r="U1215" s="62" t="str">
        <f>IFERROR(__xludf.DUMMYFUNCTION("IF(T1215=""是"",TEXTJOIN("""", TRUE, ""$"", TO_TEXT(C1215), S1215),"""")"),"")</f>
        <v/>
      </c>
    </row>
    <row r="1216">
      <c r="A1216" s="58">
        <f>IFERROR(__xludf.DUMMYFUNCTION("INDIRECT(""'收支紀錄'!A""&amp;TO_TEXT(ROW()-$C$72))"),45942.67746222222)</f>
        <v>45942.67746</v>
      </c>
      <c r="B1216" s="59">
        <f>IFERROR(__xludf.DUMMYFUNCTION("IF(ISBLANK(D1216), """", IF(ISDATE(D1216), D1216, IF(D1216=""今天"", A1216, IF(D1216=""昨天 (-1 day)"", A1216-1, IF(D1216=""前天 (-2 days)"", A1216-2, IF(D1216=""明天 (+1 day)"", A1216+1, DATE(LEFT(D1216,4), MID(D1216,5,2), RIGHT(D1216,2))))))))"),45942.67746222222)</f>
        <v>45942.67746</v>
      </c>
      <c r="C1216" s="60">
        <f>IFERROR(__xludf.DUMMYFUNCTION("INDIRECT(""'收支紀錄'!C""&amp;TO_TEXT(ROW()-$C$72))"),379.0)</f>
        <v>379</v>
      </c>
      <c r="D1216" s="63" t="str">
        <f>IFERROR(__xludf.DUMMYFUNCTION("INDIRECT(""'收支紀錄'!D""&amp;TO_TEXT(ROW()-$C$72))"),"今天")</f>
        <v>今天</v>
      </c>
      <c r="E1216" s="61" t="str">
        <f>IFERROR(__xludf.DUMMYFUNCTION("INDIRECT(""'收支紀錄'!E""&amp;TO_TEXT(ROW()-$C$72))"),"")</f>
        <v/>
      </c>
      <c r="F1216" s="61" t="str">
        <f>IFERROR(__xludf.DUMMYFUNCTION("INDIRECT(""'收支紀錄'!F""&amp;TO_TEXT(ROW()-$C$72))"),"")</f>
        <v/>
      </c>
      <c r="G1216" s="61" t="str">
        <f>IFERROR(__xludf.DUMMYFUNCTION("INDIRECT(""'收支紀錄'!G""&amp;TO_TEXT(ROW()-$C$72))"),"")</f>
        <v/>
      </c>
      <c r="H1216" s="61" t="str">
        <f>IFERROR(__xludf.DUMMYFUNCTION("INDIRECT(""'收支紀錄'!H""&amp;TO_TEXT(ROW()-$C$72))"),"食品酒水")</f>
        <v>食品酒水</v>
      </c>
      <c r="I1216" s="61" t="str">
        <f>IFERROR(__xludf.DUMMYFUNCTION("INDIRECT(""'收支紀錄'!I""&amp;TO_TEXT(ROW()-$C$72))"),"飲料酒水")</f>
        <v>飲料酒水</v>
      </c>
      <c r="J1216" s="61" t="str">
        <f>IFERROR(__xludf.DUMMYFUNCTION("INDIRECT(""'收支紀錄'!J""&amp;TO_TEXT(ROW()-$C$72))"),"")</f>
        <v/>
      </c>
      <c r="K1216" s="61" t="str">
        <f>IFERROR(__xludf.DUMMYFUNCTION("INDIRECT(""'收支紀錄'!K""&amp;TO_TEXT(ROW()-$C$72))"),"")</f>
        <v/>
      </c>
      <c r="L1216" s="61" t="str">
        <f>IFERROR(__xludf.DUMMYFUNCTION("INDIRECT(""'收支紀錄'!L""&amp;TO_TEXT(ROW()-$C$72))"),"")</f>
        <v/>
      </c>
      <c r="M1216" s="61" t="str">
        <f>IFERROR(__xludf.DUMMYFUNCTION("INDIRECT(""'收支紀錄'!M""&amp;TO_TEXT(ROW()-$C$72))"),"")</f>
        <v/>
      </c>
      <c r="N1216" s="61" t="str">
        <f>IFERROR(__xludf.DUMMYFUNCTION("INDIRECT(""'收支紀錄'!N""&amp;TO_TEXT(ROW()-$C$72))"),"")</f>
        <v/>
      </c>
      <c r="O1216" s="61" t="str">
        <f>IFERROR(__xludf.DUMMYFUNCTION("INDIRECT(""'收支紀錄'!O""&amp;TO_TEXT(ROW()-$C$72))"),"")</f>
        <v/>
      </c>
      <c r="P1216" s="61" t="str">
        <f>IFERROR(__xludf.DUMMYFUNCTION("INDIRECT(""'收支紀錄'!P""&amp;TO_TEXT(ROW()-$C$72))"),"")</f>
        <v/>
      </c>
      <c r="Q1216" s="61" t="str">
        <f>IFERROR(__xludf.DUMMYFUNCTION("INDIRECT(""'收支紀錄'!Q""&amp;TO_TEXT(ROW()-$C$72))"),"")</f>
        <v/>
      </c>
      <c r="R1216" s="61" t="str">
        <f>IFERROR(__xludf.DUMMYFUNCTION("INDIRECT(""'收支紀錄'!R""&amp;TO_TEXT(ROW()-$C$72))"),"")</f>
        <v/>
      </c>
      <c r="S1216" s="61" t="str">
        <f>IFERROR(__xludf.DUMMYFUNCTION("INDIRECT(""'收支紀錄'!S""&amp;TO_TEXT(ROW()-$C$72))"),"")</f>
        <v/>
      </c>
      <c r="T1216" s="61" t="str">
        <f>IFERROR(__xludf.DUMMYFUNCTION("INDIRECT(""'收支紀錄'!T""&amp;TO_TEXT(ROW()-$C$72))"),"")</f>
        <v/>
      </c>
      <c r="U1216" s="62" t="str">
        <f>IFERROR(__xludf.DUMMYFUNCTION("IF(T1216=""是"",TEXTJOIN("""", TRUE, ""$"", TO_TEXT(C1216), S1216),"""")"),"")</f>
        <v/>
      </c>
    </row>
    <row r="1217">
      <c r="A1217" s="58">
        <f>IFERROR(__xludf.DUMMYFUNCTION("INDIRECT(""'收支紀錄'!A""&amp;TO_TEXT(ROW()-$C$72))"),45942.891188113426)</f>
        <v>45942.89119</v>
      </c>
      <c r="B1217" s="59">
        <f>IFERROR(__xludf.DUMMYFUNCTION("IF(ISBLANK(D1217), """", IF(ISDATE(D1217), D1217, IF(D1217=""今天"", A1217, IF(D1217=""昨天 (-1 day)"", A1217-1, IF(D1217=""前天 (-2 days)"", A1217-2, IF(D1217=""明天 (+1 day)"", A1217+1, DATE(LEFT(D1217,4), MID(D1217,5,2), RIGHT(D1217,2))))))))"),45942.891188113426)</f>
        <v>45942.89119</v>
      </c>
      <c r="C1217" s="60">
        <f>IFERROR(__xludf.DUMMYFUNCTION("INDIRECT(""'收支紀錄'!C""&amp;TO_TEXT(ROW()-$C$72))"),405.0)</f>
        <v>405</v>
      </c>
      <c r="D1217" s="63" t="str">
        <f>IFERROR(__xludf.DUMMYFUNCTION("INDIRECT(""'收支紀錄'!D""&amp;TO_TEXT(ROW()-$C$72))"),"今天")</f>
        <v>今天</v>
      </c>
      <c r="E1217" s="61" t="str">
        <f>IFERROR(__xludf.DUMMYFUNCTION("INDIRECT(""'收支紀錄'!E""&amp;TO_TEXT(ROW()-$C$72))"),"")</f>
        <v/>
      </c>
      <c r="F1217" s="61" t="str">
        <f>IFERROR(__xludf.DUMMYFUNCTION("INDIRECT(""'收支紀錄'!F""&amp;TO_TEXT(ROW()-$C$72))"),"")</f>
        <v/>
      </c>
      <c r="G1217" s="61" t="str">
        <f>IFERROR(__xludf.DUMMYFUNCTION("INDIRECT(""'收支紀錄'!G""&amp;TO_TEXT(ROW()-$C$72))"),"")</f>
        <v/>
      </c>
      <c r="H1217" s="61" t="str">
        <f>IFERROR(__xludf.DUMMYFUNCTION("INDIRECT(""'收支紀錄'!H""&amp;TO_TEXT(ROW()-$C$72))"),"食品酒水")</f>
        <v>食品酒水</v>
      </c>
      <c r="I1217" s="61" t="str">
        <f>IFERROR(__xludf.DUMMYFUNCTION("INDIRECT(""'收支紀錄'!I""&amp;TO_TEXT(ROW()-$C$72))"),"晚餐")</f>
        <v>晚餐</v>
      </c>
      <c r="J1217" s="61" t="str">
        <f>IFERROR(__xludf.DUMMYFUNCTION("INDIRECT(""'收支紀錄'!J""&amp;TO_TEXT(ROW()-$C$72))"),"")</f>
        <v/>
      </c>
      <c r="K1217" s="61" t="str">
        <f>IFERROR(__xludf.DUMMYFUNCTION("INDIRECT(""'收支紀錄'!K""&amp;TO_TEXT(ROW()-$C$72))"),"")</f>
        <v/>
      </c>
      <c r="L1217" s="61" t="str">
        <f>IFERROR(__xludf.DUMMYFUNCTION("INDIRECT(""'收支紀錄'!L""&amp;TO_TEXT(ROW()-$C$72))"),"")</f>
        <v/>
      </c>
      <c r="M1217" s="61" t="str">
        <f>IFERROR(__xludf.DUMMYFUNCTION("INDIRECT(""'收支紀錄'!M""&amp;TO_TEXT(ROW()-$C$72))"),"")</f>
        <v/>
      </c>
      <c r="N1217" s="61" t="str">
        <f>IFERROR(__xludf.DUMMYFUNCTION("INDIRECT(""'收支紀錄'!N""&amp;TO_TEXT(ROW()-$C$72))"),"")</f>
        <v/>
      </c>
      <c r="O1217" s="61" t="str">
        <f>IFERROR(__xludf.DUMMYFUNCTION("INDIRECT(""'收支紀錄'!O""&amp;TO_TEXT(ROW()-$C$72))"),"")</f>
        <v/>
      </c>
      <c r="P1217" s="61" t="str">
        <f>IFERROR(__xludf.DUMMYFUNCTION("INDIRECT(""'收支紀錄'!P""&amp;TO_TEXT(ROW()-$C$72))"),"")</f>
        <v/>
      </c>
      <c r="Q1217" s="61" t="str">
        <f>IFERROR(__xludf.DUMMYFUNCTION("INDIRECT(""'收支紀錄'!Q""&amp;TO_TEXT(ROW()-$C$72))"),"")</f>
        <v/>
      </c>
      <c r="R1217" s="61" t="str">
        <f>IFERROR(__xludf.DUMMYFUNCTION("INDIRECT(""'收支紀錄'!R""&amp;TO_TEXT(ROW()-$C$72))"),"")</f>
        <v/>
      </c>
      <c r="S1217" s="61" t="str">
        <f>IFERROR(__xludf.DUMMYFUNCTION("INDIRECT(""'收支紀錄'!S""&amp;TO_TEXT(ROW()-$C$72))"),"")</f>
        <v/>
      </c>
      <c r="T1217" s="61" t="str">
        <f>IFERROR(__xludf.DUMMYFUNCTION("INDIRECT(""'收支紀錄'!T""&amp;TO_TEXT(ROW()-$C$72))"),"")</f>
        <v/>
      </c>
      <c r="U1217" s="62" t="str">
        <f>IFERROR(__xludf.DUMMYFUNCTION("IF(T1217=""是"",TEXTJOIN("""", TRUE, ""$"", TO_TEXT(C1217), S1217),"""")"),"")</f>
        <v/>
      </c>
    </row>
    <row r="1218">
      <c r="A1218" s="58">
        <f>IFERROR(__xludf.DUMMYFUNCTION("INDIRECT(""'收支紀錄'!A""&amp;TO_TEXT(ROW()-$C$72))"),45942.89132862269)</f>
        <v>45942.89133</v>
      </c>
      <c r="B1218" s="59">
        <f>IFERROR(__xludf.DUMMYFUNCTION("IF(ISBLANK(D1218), """", IF(ISDATE(D1218), D1218, IF(D1218=""今天"", A1218, IF(D1218=""昨天 (-1 day)"", A1218-1, IF(D1218=""前天 (-2 days)"", A1218-2, IF(D1218=""明天 (+1 day)"", A1218+1, DATE(LEFT(D1218,4), MID(D1218,5,2), RIGHT(D1218,2))))))))"),45942.89132862269)</f>
        <v>45942.89133</v>
      </c>
      <c r="C1218" s="60">
        <f>IFERROR(__xludf.DUMMYFUNCTION("INDIRECT(""'收支紀錄'!C""&amp;TO_TEXT(ROW()-$C$72))"),25.0)</f>
        <v>25</v>
      </c>
      <c r="D1218" s="63" t="str">
        <f>IFERROR(__xludf.DUMMYFUNCTION("INDIRECT(""'收支紀錄'!D""&amp;TO_TEXT(ROW()-$C$72))"),"今天")</f>
        <v>今天</v>
      </c>
      <c r="E1218" s="61" t="str">
        <f>IFERROR(__xludf.DUMMYFUNCTION("INDIRECT(""'收支紀錄'!E""&amp;TO_TEXT(ROW()-$C$72))"),"")</f>
        <v/>
      </c>
      <c r="F1218" s="61" t="str">
        <f>IFERROR(__xludf.DUMMYFUNCTION("INDIRECT(""'收支紀錄'!F""&amp;TO_TEXT(ROW()-$C$72))"),"")</f>
        <v/>
      </c>
      <c r="G1218" s="61" t="str">
        <f>IFERROR(__xludf.DUMMYFUNCTION("INDIRECT(""'收支紀錄'!G""&amp;TO_TEXT(ROW()-$C$72))"),"")</f>
        <v/>
      </c>
      <c r="H1218" s="61" t="str">
        <f>IFERROR(__xludf.DUMMYFUNCTION("INDIRECT(""'收支紀錄'!H""&amp;TO_TEXT(ROW()-$C$72))"),"食品酒水")</f>
        <v>食品酒水</v>
      </c>
      <c r="I1218" s="61" t="str">
        <f>IFERROR(__xludf.DUMMYFUNCTION("INDIRECT(""'收支紀錄'!I""&amp;TO_TEXT(ROW()-$C$72))"),"飲料酒水")</f>
        <v>飲料酒水</v>
      </c>
      <c r="J1218" s="61" t="str">
        <f>IFERROR(__xludf.DUMMYFUNCTION("INDIRECT(""'收支紀錄'!J""&amp;TO_TEXT(ROW()-$C$72))"),"")</f>
        <v/>
      </c>
      <c r="K1218" s="61" t="str">
        <f>IFERROR(__xludf.DUMMYFUNCTION("INDIRECT(""'收支紀錄'!K""&amp;TO_TEXT(ROW()-$C$72))"),"")</f>
        <v/>
      </c>
      <c r="L1218" s="61" t="str">
        <f>IFERROR(__xludf.DUMMYFUNCTION("INDIRECT(""'收支紀錄'!L""&amp;TO_TEXT(ROW()-$C$72))"),"")</f>
        <v/>
      </c>
      <c r="M1218" s="61" t="str">
        <f>IFERROR(__xludf.DUMMYFUNCTION("INDIRECT(""'收支紀錄'!M""&amp;TO_TEXT(ROW()-$C$72))"),"")</f>
        <v/>
      </c>
      <c r="N1218" s="61" t="str">
        <f>IFERROR(__xludf.DUMMYFUNCTION("INDIRECT(""'收支紀錄'!N""&amp;TO_TEXT(ROW()-$C$72))"),"")</f>
        <v/>
      </c>
      <c r="O1218" s="61" t="str">
        <f>IFERROR(__xludf.DUMMYFUNCTION("INDIRECT(""'收支紀錄'!O""&amp;TO_TEXT(ROW()-$C$72))"),"")</f>
        <v/>
      </c>
      <c r="P1218" s="61" t="str">
        <f>IFERROR(__xludf.DUMMYFUNCTION("INDIRECT(""'收支紀錄'!P""&amp;TO_TEXT(ROW()-$C$72))"),"")</f>
        <v/>
      </c>
      <c r="Q1218" s="61" t="str">
        <f>IFERROR(__xludf.DUMMYFUNCTION("INDIRECT(""'收支紀錄'!Q""&amp;TO_TEXT(ROW()-$C$72))"),"")</f>
        <v/>
      </c>
      <c r="R1218" s="61" t="str">
        <f>IFERROR(__xludf.DUMMYFUNCTION("INDIRECT(""'收支紀錄'!R""&amp;TO_TEXT(ROW()-$C$72))"),"")</f>
        <v/>
      </c>
      <c r="S1218" s="61" t="str">
        <f>IFERROR(__xludf.DUMMYFUNCTION("INDIRECT(""'收支紀錄'!S""&amp;TO_TEXT(ROW()-$C$72))"),"")</f>
        <v/>
      </c>
      <c r="T1218" s="61" t="str">
        <f>IFERROR(__xludf.DUMMYFUNCTION("INDIRECT(""'收支紀錄'!T""&amp;TO_TEXT(ROW()-$C$72))"),"")</f>
        <v/>
      </c>
      <c r="U1218" s="62" t="str">
        <f>IFERROR(__xludf.DUMMYFUNCTION("IF(T1218=""是"",TEXTJOIN("""", TRUE, ""$"", TO_TEXT(C1218), S1218),"""")"),"")</f>
        <v/>
      </c>
    </row>
    <row r="1219">
      <c r="A1219" s="58">
        <f>IFERROR(__xludf.DUMMYFUNCTION("INDIRECT(""'收支紀錄'!A""&amp;TO_TEXT(ROW()-$C$72))"),45942.90897498843)</f>
        <v>45942.90897</v>
      </c>
      <c r="B1219" s="59">
        <f>IFERROR(__xludf.DUMMYFUNCTION("IF(ISBLANK(D1219), """", IF(ISDATE(D1219), D1219, IF(D1219=""今天"", A1219, IF(D1219=""昨天 (-1 day)"", A1219-1, IF(D1219=""前天 (-2 days)"", A1219-2, IF(D1219=""明天 (+1 day)"", A1219+1, DATE(LEFT(D1219,4), MID(D1219,5,2), RIGHT(D1219,2))))))))"),45942.90897498843)</f>
        <v>45942.90897</v>
      </c>
      <c r="C1219" s="60">
        <f>IFERROR(__xludf.DUMMYFUNCTION("INDIRECT(""'收支紀錄'!C""&amp;TO_TEXT(ROW()-$C$72))"),6000.0)</f>
        <v>6000</v>
      </c>
      <c r="D1219" s="63" t="str">
        <f>IFERROR(__xludf.DUMMYFUNCTION("INDIRECT(""'收支紀錄'!D""&amp;TO_TEXT(ROW()-$C$72))"),"今天")</f>
        <v>今天</v>
      </c>
      <c r="E1219" s="61" t="str">
        <f>IFERROR(__xludf.DUMMYFUNCTION("INDIRECT(""'收支紀錄'!E""&amp;TO_TEXT(ROW()-$C$72))"),"")</f>
        <v/>
      </c>
      <c r="F1219" s="61" t="str">
        <f>IFERROR(__xludf.DUMMYFUNCTION("INDIRECT(""'收支紀錄'!F""&amp;TO_TEXT(ROW()-$C$72))"),"")</f>
        <v/>
      </c>
      <c r="G1219" s="61" t="str">
        <f>IFERROR(__xludf.DUMMYFUNCTION("INDIRECT(""'收支紀錄'!G""&amp;TO_TEXT(ROW()-$C$72))"),"")</f>
        <v/>
      </c>
      <c r="H1219" s="61" t="str">
        <f>IFERROR(__xludf.DUMMYFUNCTION("INDIRECT(""'收支紀錄'!H""&amp;TO_TEXT(ROW()-$C$72))"),"日常生活")</f>
        <v>日常生活</v>
      </c>
      <c r="I1219" s="61" t="str">
        <f>IFERROR(__xludf.DUMMYFUNCTION("INDIRECT(""'收支紀錄'!I""&amp;TO_TEXT(ROW()-$C$72))"),"")</f>
        <v/>
      </c>
      <c r="J1219" s="61" t="str">
        <f>IFERROR(__xludf.DUMMYFUNCTION("INDIRECT(""'收支紀錄'!J""&amp;TO_TEXT(ROW()-$C$72))"),"日常用品")</f>
        <v>日常用品</v>
      </c>
      <c r="K1219" s="61" t="str">
        <f>IFERROR(__xludf.DUMMYFUNCTION("INDIRECT(""'收支紀錄'!K""&amp;TO_TEXT(ROW()-$C$72))"),"")</f>
        <v/>
      </c>
      <c r="L1219" s="61" t="str">
        <f>IFERROR(__xludf.DUMMYFUNCTION("INDIRECT(""'收支紀錄'!L""&amp;TO_TEXT(ROW()-$C$72))"),"")</f>
        <v/>
      </c>
      <c r="M1219" s="61" t="str">
        <f>IFERROR(__xludf.DUMMYFUNCTION("INDIRECT(""'收支紀錄'!M""&amp;TO_TEXT(ROW()-$C$72))"),"")</f>
        <v/>
      </c>
      <c r="N1219" s="61" t="str">
        <f>IFERROR(__xludf.DUMMYFUNCTION("INDIRECT(""'收支紀錄'!N""&amp;TO_TEXT(ROW()-$C$72))"),"")</f>
        <v/>
      </c>
      <c r="O1219" s="61" t="str">
        <f>IFERROR(__xludf.DUMMYFUNCTION("INDIRECT(""'收支紀錄'!O""&amp;TO_TEXT(ROW()-$C$72))"),"")</f>
        <v/>
      </c>
      <c r="P1219" s="61" t="str">
        <f>IFERROR(__xludf.DUMMYFUNCTION("INDIRECT(""'收支紀錄'!P""&amp;TO_TEXT(ROW()-$C$72))"),"")</f>
        <v/>
      </c>
      <c r="Q1219" s="61" t="str">
        <f>IFERROR(__xludf.DUMMYFUNCTION("INDIRECT(""'收支紀錄'!Q""&amp;TO_TEXT(ROW()-$C$72))"),"")</f>
        <v/>
      </c>
      <c r="R1219" s="61" t="str">
        <f>IFERROR(__xludf.DUMMYFUNCTION("INDIRECT(""'收支紀錄'!R""&amp;TO_TEXT(ROW()-$C$72))"),"")</f>
        <v/>
      </c>
      <c r="S1219" s="61" t="str">
        <f>IFERROR(__xludf.DUMMYFUNCTION("INDIRECT(""'收支紀錄'!S""&amp;TO_TEXT(ROW()-$C$72))"),"贊助寶學畫畫")</f>
        <v>贊助寶學畫畫</v>
      </c>
      <c r="T1219" s="61" t="str">
        <f>IFERROR(__xludf.DUMMYFUNCTION("INDIRECT(""'收支紀錄'!T""&amp;TO_TEXT(ROW()-$C$72))"),"是")</f>
        <v>是</v>
      </c>
      <c r="U1219" s="62" t="str">
        <f>IFERROR(__xludf.DUMMYFUNCTION("IF(T1219=""是"",TEXTJOIN("""", TRUE, ""$"", TO_TEXT(C1219), S1219),"""")"),"$6000贊助寶學畫畫")</f>
        <v>$6000贊助寶學畫畫</v>
      </c>
    </row>
    <row r="1220">
      <c r="A1220" s="58">
        <f>IFERROR(__xludf.DUMMYFUNCTION("INDIRECT(""'收支紀錄'!A""&amp;TO_TEXT(ROW()-$C$72))"),45942.90943310186)</f>
        <v>45942.90943</v>
      </c>
      <c r="B1220" s="59">
        <f>IFERROR(__xludf.DUMMYFUNCTION("IF(ISBLANK(D1220), """", IF(ISDATE(D1220), D1220, IF(D1220=""今天"", A1220, IF(D1220=""昨天 (-1 day)"", A1220-1, IF(D1220=""前天 (-2 days)"", A1220-2, IF(D1220=""明天 (+1 day)"", A1220+1, DATE(LEFT(D1220,4), MID(D1220,5,2), RIGHT(D1220,2))))))))"),45941.90943310186)</f>
        <v>45941.90943</v>
      </c>
      <c r="C1220" s="60">
        <f>IFERROR(__xludf.DUMMYFUNCTION("INDIRECT(""'收支紀錄'!C""&amp;TO_TEXT(ROW()-$C$72))"),500.0)</f>
        <v>500</v>
      </c>
      <c r="D1220" s="63" t="str">
        <f>IFERROR(__xludf.DUMMYFUNCTION("INDIRECT(""'收支紀錄'!D""&amp;TO_TEXT(ROW()-$C$72))"),"昨天 (-1 day)")</f>
        <v>昨天 (-1 day)</v>
      </c>
      <c r="E1220" s="61" t="str">
        <f>IFERROR(__xludf.DUMMYFUNCTION("INDIRECT(""'收支紀錄'!E""&amp;TO_TEXT(ROW()-$C$72))"),"")</f>
        <v/>
      </c>
      <c r="F1220" s="61" t="str">
        <f>IFERROR(__xludf.DUMMYFUNCTION("INDIRECT(""'收支紀錄'!F""&amp;TO_TEXT(ROW()-$C$72))"),"")</f>
        <v/>
      </c>
      <c r="G1220" s="61" t="str">
        <f>IFERROR(__xludf.DUMMYFUNCTION("INDIRECT(""'收支紀錄'!G""&amp;TO_TEXT(ROW()-$C$72))"),"")</f>
        <v/>
      </c>
      <c r="H1220" s="61" t="str">
        <f>IFERROR(__xludf.DUMMYFUNCTION("INDIRECT(""'收支紀錄'!H""&amp;TO_TEXT(ROW()-$C$72))"),"休閒娛樂")</f>
        <v>休閒娛樂</v>
      </c>
      <c r="I1220" s="61" t="str">
        <f>IFERROR(__xludf.DUMMYFUNCTION("INDIRECT(""'收支紀錄'!I""&amp;TO_TEXT(ROW()-$C$72))"),"")</f>
        <v/>
      </c>
      <c r="J1220" s="61" t="str">
        <f>IFERROR(__xludf.DUMMYFUNCTION("INDIRECT(""'收支紀錄'!J""&amp;TO_TEXT(ROW()-$C$72))"),"")</f>
        <v/>
      </c>
      <c r="K1220" s="61" t="str">
        <f>IFERROR(__xludf.DUMMYFUNCTION("INDIRECT(""'收支紀錄'!K""&amp;TO_TEXT(ROW()-$C$72))"),"")</f>
        <v/>
      </c>
      <c r="L1220" s="61" t="str">
        <f>IFERROR(__xludf.DUMMYFUNCTION("INDIRECT(""'收支紀錄'!L""&amp;TO_TEXT(ROW()-$C$72))"),"")</f>
        <v/>
      </c>
      <c r="M1220" s="61" t="str">
        <f>IFERROR(__xludf.DUMMYFUNCTION("INDIRECT(""'收支紀錄'!M""&amp;TO_TEXT(ROW()-$C$72))"),"剪髮")</f>
        <v>剪髮</v>
      </c>
      <c r="N1220" s="61" t="str">
        <f>IFERROR(__xludf.DUMMYFUNCTION("INDIRECT(""'收支紀錄'!N""&amp;TO_TEXT(ROW()-$C$72))"),"")</f>
        <v/>
      </c>
      <c r="O1220" s="61" t="str">
        <f>IFERROR(__xludf.DUMMYFUNCTION("INDIRECT(""'收支紀錄'!O""&amp;TO_TEXT(ROW()-$C$72))"),"")</f>
        <v/>
      </c>
      <c r="P1220" s="61" t="str">
        <f>IFERROR(__xludf.DUMMYFUNCTION("INDIRECT(""'收支紀錄'!P""&amp;TO_TEXT(ROW()-$C$72))"),"")</f>
        <v/>
      </c>
      <c r="Q1220" s="61" t="str">
        <f>IFERROR(__xludf.DUMMYFUNCTION("INDIRECT(""'收支紀錄'!Q""&amp;TO_TEXT(ROW()-$C$72))"),"")</f>
        <v/>
      </c>
      <c r="R1220" s="61" t="str">
        <f>IFERROR(__xludf.DUMMYFUNCTION("INDIRECT(""'收支紀錄'!R""&amp;TO_TEXT(ROW()-$C$72))"),"")</f>
        <v/>
      </c>
      <c r="S1220" s="61" t="str">
        <f>IFERROR(__xludf.DUMMYFUNCTION("INDIRECT(""'收支紀錄'!S""&amp;TO_TEXT(ROW()-$C$72))"),"")</f>
        <v/>
      </c>
      <c r="T1220" s="61" t="str">
        <f>IFERROR(__xludf.DUMMYFUNCTION("INDIRECT(""'收支紀錄'!T""&amp;TO_TEXT(ROW()-$C$72))"),"")</f>
        <v/>
      </c>
      <c r="U1220" s="62" t="str">
        <f>IFERROR(__xludf.DUMMYFUNCTION("IF(T1220=""是"",TEXTJOIN("""", TRUE, ""$"", TO_TEXT(C1220), S1220),"""")"),"")</f>
        <v/>
      </c>
    </row>
    <row r="1221">
      <c r="A1221" s="58">
        <f>IFERROR(__xludf.DUMMYFUNCTION("INDIRECT(""'收支紀錄'!A""&amp;TO_TEXT(ROW()-$C$72))"),45942.90958537037)</f>
        <v>45942.90959</v>
      </c>
      <c r="B1221" s="59">
        <f>IFERROR(__xludf.DUMMYFUNCTION("IF(ISBLANK(D1221), """", IF(ISDATE(D1221), D1221, IF(D1221=""今天"", A1221, IF(D1221=""昨天 (-1 day)"", A1221-1, IF(D1221=""前天 (-2 days)"", A1221-2, IF(D1221=""明天 (+1 day)"", A1221+1, DATE(LEFT(D1221,4), MID(D1221,5,2), RIGHT(D1221,2))))))))"),45941.90958537037)</f>
        <v>45941.90959</v>
      </c>
      <c r="C1221" s="60">
        <f>IFERROR(__xludf.DUMMYFUNCTION("INDIRECT(""'收支紀錄'!C""&amp;TO_TEXT(ROW()-$C$72))"),69.0)</f>
        <v>69</v>
      </c>
      <c r="D1221" s="63" t="str">
        <f>IFERROR(__xludf.DUMMYFUNCTION("INDIRECT(""'收支紀錄'!D""&amp;TO_TEXT(ROW()-$C$72))"),"昨天 (-1 day)")</f>
        <v>昨天 (-1 day)</v>
      </c>
      <c r="E1221" s="61" t="str">
        <f>IFERROR(__xludf.DUMMYFUNCTION("INDIRECT(""'收支紀錄'!E""&amp;TO_TEXT(ROW()-$C$72))"),"")</f>
        <v/>
      </c>
      <c r="F1221" s="61" t="str">
        <f>IFERROR(__xludf.DUMMYFUNCTION("INDIRECT(""'收支紀錄'!F""&amp;TO_TEXT(ROW()-$C$72))"),"")</f>
        <v/>
      </c>
      <c r="G1221" s="61" t="str">
        <f>IFERROR(__xludf.DUMMYFUNCTION("INDIRECT(""'收支紀錄'!G""&amp;TO_TEXT(ROW()-$C$72))"),"")</f>
        <v/>
      </c>
      <c r="H1221" s="61" t="str">
        <f>IFERROR(__xludf.DUMMYFUNCTION("INDIRECT(""'收支紀錄'!H""&amp;TO_TEXT(ROW()-$C$72))"),"日常生活")</f>
        <v>日常生活</v>
      </c>
      <c r="I1221" s="61" t="str">
        <f>IFERROR(__xludf.DUMMYFUNCTION("INDIRECT(""'收支紀錄'!I""&amp;TO_TEXT(ROW()-$C$72))"),"")</f>
        <v/>
      </c>
      <c r="J1221" s="61" t="str">
        <f>IFERROR(__xludf.DUMMYFUNCTION("INDIRECT(""'收支紀錄'!J""&amp;TO_TEXT(ROW()-$C$72))"),"日常用品")</f>
        <v>日常用品</v>
      </c>
      <c r="K1221" s="61" t="str">
        <f>IFERROR(__xludf.DUMMYFUNCTION("INDIRECT(""'收支紀錄'!K""&amp;TO_TEXT(ROW()-$C$72))"),"")</f>
        <v/>
      </c>
      <c r="L1221" s="61" t="str">
        <f>IFERROR(__xludf.DUMMYFUNCTION("INDIRECT(""'收支紀錄'!L""&amp;TO_TEXT(ROW()-$C$72))"),"")</f>
        <v/>
      </c>
      <c r="M1221" s="61" t="str">
        <f>IFERROR(__xludf.DUMMYFUNCTION("INDIRECT(""'收支紀錄'!M""&amp;TO_TEXT(ROW()-$C$72))"),"")</f>
        <v/>
      </c>
      <c r="N1221" s="61" t="str">
        <f>IFERROR(__xludf.DUMMYFUNCTION("INDIRECT(""'收支紀錄'!N""&amp;TO_TEXT(ROW()-$C$72))"),"")</f>
        <v/>
      </c>
      <c r="O1221" s="61" t="str">
        <f>IFERROR(__xludf.DUMMYFUNCTION("INDIRECT(""'收支紀錄'!O""&amp;TO_TEXT(ROW()-$C$72))"),"")</f>
        <v/>
      </c>
      <c r="P1221" s="61" t="str">
        <f>IFERROR(__xludf.DUMMYFUNCTION("INDIRECT(""'收支紀錄'!P""&amp;TO_TEXT(ROW()-$C$72))"),"")</f>
        <v/>
      </c>
      <c r="Q1221" s="61" t="str">
        <f>IFERROR(__xludf.DUMMYFUNCTION("INDIRECT(""'收支紀錄'!Q""&amp;TO_TEXT(ROW()-$C$72))"),"")</f>
        <v/>
      </c>
      <c r="R1221" s="61" t="str">
        <f>IFERROR(__xludf.DUMMYFUNCTION("INDIRECT(""'收支紀錄'!R""&amp;TO_TEXT(ROW()-$C$72))"),"")</f>
        <v/>
      </c>
      <c r="S1221" s="61" t="str">
        <f>IFERROR(__xludf.DUMMYFUNCTION("INDIRECT(""'收支紀錄'!S""&amp;TO_TEXT(ROW()-$C$72))"),"")</f>
        <v/>
      </c>
      <c r="T1221" s="61" t="str">
        <f>IFERROR(__xludf.DUMMYFUNCTION("INDIRECT(""'收支紀錄'!T""&amp;TO_TEXT(ROW()-$C$72))"),"")</f>
        <v/>
      </c>
      <c r="U1221" s="62" t="str">
        <f>IFERROR(__xludf.DUMMYFUNCTION("IF(T1221=""是"",TEXTJOIN("""", TRUE, ""$"", TO_TEXT(C1221), S1221),"""")"),"")</f>
        <v/>
      </c>
    </row>
    <row r="1222">
      <c r="A1222" s="58">
        <f>IFERROR(__xludf.DUMMYFUNCTION("INDIRECT(""'收支紀錄'!A""&amp;TO_TEXT(ROW()-$C$72))"),45943.30910002315)</f>
        <v>45943.3091</v>
      </c>
      <c r="B1222" s="59">
        <f>IFERROR(__xludf.DUMMYFUNCTION("IF(ISBLANK(D1222), """", IF(ISDATE(D1222), D1222, IF(D1222=""今天"", A1222, IF(D1222=""昨天 (-1 day)"", A1222-1, IF(D1222=""前天 (-2 days)"", A1222-2, IF(D1222=""明天 (+1 day)"", A1222+1, DATE(LEFT(D1222,4), MID(D1222,5,2), RIGHT(D1222,2))))))))"),45943.30910002315)</f>
        <v>45943.3091</v>
      </c>
      <c r="C1222" s="60">
        <f>IFERROR(__xludf.DUMMYFUNCTION("INDIRECT(""'收支紀錄'!C""&amp;TO_TEXT(ROW()-$C$72))"),699.0)</f>
        <v>699</v>
      </c>
      <c r="D1222" s="63" t="str">
        <f>IFERROR(__xludf.DUMMYFUNCTION("INDIRECT(""'收支紀錄'!D""&amp;TO_TEXT(ROW()-$C$72))"),"今天")</f>
        <v>今天</v>
      </c>
      <c r="E1222" s="61" t="str">
        <f>IFERROR(__xludf.DUMMYFUNCTION("INDIRECT(""'收支紀錄'!E""&amp;TO_TEXT(ROW()-$C$72))"),"")</f>
        <v/>
      </c>
      <c r="F1222" s="61" t="str">
        <f>IFERROR(__xludf.DUMMYFUNCTION("INDIRECT(""'收支紀錄'!F""&amp;TO_TEXT(ROW()-$C$72))"),"")</f>
        <v/>
      </c>
      <c r="G1222" s="61" t="str">
        <f>IFERROR(__xludf.DUMMYFUNCTION("INDIRECT(""'收支紀錄'!G""&amp;TO_TEXT(ROW()-$C$72))"),"")</f>
        <v/>
      </c>
      <c r="H1222" s="61" t="str">
        <f>IFERROR(__xludf.DUMMYFUNCTION("INDIRECT(""'收支紀錄'!H""&amp;TO_TEXT(ROW()-$C$72))"),"行車交通")</f>
        <v>行車交通</v>
      </c>
      <c r="I1222" s="61" t="str">
        <f>IFERROR(__xludf.DUMMYFUNCTION("INDIRECT(""'收支紀錄'!I""&amp;TO_TEXT(ROW()-$C$72))"),"")</f>
        <v/>
      </c>
      <c r="J1222" s="61" t="str">
        <f>IFERROR(__xludf.DUMMYFUNCTION("INDIRECT(""'收支紀錄'!J""&amp;TO_TEXT(ROW()-$C$72))"),"")</f>
        <v/>
      </c>
      <c r="K1222" s="61" t="str">
        <f>IFERROR(__xludf.DUMMYFUNCTION("INDIRECT(""'收支紀錄'!K""&amp;TO_TEXT(ROW()-$C$72))"),"")</f>
        <v/>
      </c>
      <c r="L1222" s="61" t="str">
        <f>IFERROR(__xludf.DUMMYFUNCTION("INDIRECT(""'收支紀錄'!L""&amp;TO_TEXT(ROW()-$C$72))"),"捷運費")</f>
        <v>捷運費</v>
      </c>
      <c r="M1222" s="61" t="str">
        <f>IFERROR(__xludf.DUMMYFUNCTION("INDIRECT(""'收支紀錄'!M""&amp;TO_TEXT(ROW()-$C$72))"),"")</f>
        <v/>
      </c>
      <c r="N1222" s="61" t="str">
        <f>IFERROR(__xludf.DUMMYFUNCTION("INDIRECT(""'收支紀錄'!N""&amp;TO_TEXT(ROW()-$C$72))"),"")</f>
        <v/>
      </c>
      <c r="O1222" s="61" t="str">
        <f>IFERROR(__xludf.DUMMYFUNCTION("INDIRECT(""'收支紀錄'!O""&amp;TO_TEXT(ROW()-$C$72))"),"")</f>
        <v/>
      </c>
      <c r="P1222" s="61" t="str">
        <f>IFERROR(__xludf.DUMMYFUNCTION("INDIRECT(""'收支紀錄'!P""&amp;TO_TEXT(ROW()-$C$72))"),"")</f>
        <v/>
      </c>
      <c r="Q1222" s="61" t="str">
        <f>IFERROR(__xludf.DUMMYFUNCTION("INDIRECT(""'收支紀錄'!Q""&amp;TO_TEXT(ROW()-$C$72))"),"")</f>
        <v/>
      </c>
      <c r="R1222" s="61" t="str">
        <f>IFERROR(__xludf.DUMMYFUNCTION("INDIRECT(""'收支紀錄'!R""&amp;TO_TEXT(ROW()-$C$72))"),"")</f>
        <v/>
      </c>
      <c r="S1222" s="61" t="str">
        <f>IFERROR(__xludf.DUMMYFUNCTION("INDIRECT(""'收支紀錄'!S""&amp;TO_TEXT(ROW()-$C$72))"),"")</f>
        <v/>
      </c>
      <c r="T1222" s="61" t="str">
        <f>IFERROR(__xludf.DUMMYFUNCTION("INDIRECT(""'收支紀錄'!T""&amp;TO_TEXT(ROW()-$C$72))"),"")</f>
        <v/>
      </c>
      <c r="U1222" s="62" t="str">
        <f>IFERROR(__xludf.DUMMYFUNCTION("IF(T1222=""是"",TEXTJOIN("""", TRUE, ""$"", TO_TEXT(C1222), S1222),"""")"),"")</f>
        <v/>
      </c>
    </row>
    <row r="1223">
      <c r="A1223" s="58">
        <f>IFERROR(__xludf.DUMMYFUNCTION("INDIRECT(""'收支紀錄'!A""&amp;TO_TEXT(ROW()-$C$72))"),45946.494873194446)</f>
        <v>45946.49487</v>
      </c>
      <c r="B1223" s="59">
        <f>IFERROR(__xludf.DUMMYFUNCTION("IF(ISBLANK(D1223), """", IF(ISDATE(D1223), D1223, IF(D1223=""今天"", A1223, IF(D1223=""昨天 (-1 day)"", A1223-1, IF(D1223=""前天 (-2 days)"", A1223-2, IF(D1223=""明天 (+1 day)"", A1223+1, DATE(LEFT(D1223,4), MID(D1223,5,2), RIGHT(D1223,2))))))))"),45946.494873194446)</f>
        <v>45946.49487</v>
      </c>
      <c r="C1223" s="60">
        <f>IFERROR(__xludf.DUMMYFUNCTION("INDIRECT(""'收支紀錄'!C""&amp;TO_TEXT(ROW()-$C$72))"),76.0)</f>
        <v>76</v>
      </c>
      <c r="D1223" s="63" t="str">
        <f>IFERROR(__xludf.DUMMYFUNCTION("INDIRECT(""'收支紀錄'!D""&amp;TO_TEXT(ROW()-$C$72))"),"今天")</f>
        <v>今天</v>
      </c>
      <c r="E1223" s="61" t="str">
        <f>IFERROR(__xludf.DUMMYFUNCTION("INDIRECT(""'收支紀錄'!E""&amp;TO_TEXT(ROW()-$C$72))"),"")</f>
        <v/>
      </c>
      <c r="F1223" s="61" t="str">
        <f>IFERROR(__xludf.DUMMYFUNCTION("INDIRECT(""'收支紀錄'!F""&amp;TO_TEXT(ROW()-$C$72))"),"")</f>
        <v/>
      </c>
      <c r="G1223" s="61" t="str">
        <f>IFERROR(__xludf.DUMMYFUNCTION("INDIRECT(""'收支紀錄'!G""&amp;TO_TEXT(ROW()-$C$72))"),"")</f>
        <v/>
      </c>
      <c r="H1223" s="61" t="str">
        <f>IFERROR(__xludf.DUMMYFUNCTION("INDIRECT(""'收支紀錄'!H""&amp;TO_TEXT(ROW()-$C$72))"),"行車交通")</f>
        <v>行車交通</v>
      </c>
      <c r="I1223" s="61" t="str">
        <f>IFERROR(__xludf.DUMMYFUNCTION("INDIRECT(""'收支紀錄'!I""&amp;TO_TEXT(ROW()-$C$72))"),"")</f>
        <v/>
      </c>
      <c r="J1223" s="61" t="str">
        <f>IFERROR(__xludf.DUMMYFUNCTION("INDIRECT(""'收支紀錄'!J""&amp;TO_TEXT(ROW()-$C$72))"),"")</f>
        <v/>
      </c>
      <c r="K1223" s="61" t="str">
        <f>IFERROR(__xludf.DUMMYFUNCTION("INDIRECT(""'收支紀錄'!K""&amp;TO_TEXT(ROW()-$C$72))"),"")</f>
        <v/>
      </c>
      <c r="L1223" s="61" t="str">
        <f>IFERROR(__xludf.DUMMYFUNCTION("INDIRECT(""'收支紀錄'!L""&amp;TO_TEXT(ROW()-$C$72))"),"計程車/Uber")</f>
        <v>計程車/Uber</v>
      </c>
      <c r="M1223" s="61" t="str">
        <f>IFERROR(__xludf.DUMMYFUNCTION("INDIRECT(""'收支紀錄'!M""&amp;TO_TEXT(ROW()-$C$72))"),"")</f>
        <v/>
      </c>
      <c r="N1223" s="61" t="str">
        <f>IFERROR(__xludf.DUMMYFUNCTION("INDIRECT(""'收支紀錄'!N""&amp;TO_TEXT(ROW()-$C$72))"),"")</f>
        <v/>
      </c>
      <c r="O1223" s="61" t="str">
        <f>IFERROR(__xludf.DUMMYFUNCTION("INDIRECT(""'收支紀錄'!O""&amp;TO_TEXT(ROW()-$C$72))"),"")</f>
        <v/>
      </c>
      <c r="P1223" s="61" t="str">
        <f>IFERROR(__xludf.DUMMYFUNCTION("INDIRECT(""'收支紀錄'!P""&amp;TO_TEXT(ROW()-$C$72))"),"")</f>
        <v/>
      </c>
      <c r="Q1223" s="61" t="str">
        <f>IFERROR(__xludf.DUMMYFUNCTION("INDIRECT(""'收支紀錄'!Q""&amp;TO_TEXT(ROW()-$C$72))"),"")</f>
        <v/>
      </c>
      <c r="R1223" s="61" t="str">
        <f>IFERROR(__xludf.DUMMYFUNCTION("INDIRECT(""'收支紀錄'!R""&amp;TO_TEXT(ROW()-$C$72))"),"")</f>
        <v/>
      </c>
      <c r="S1223" s="61" t="str">
        <f>IFERROR(__xludf.DUMMYFUNCTION("INDIRECT(""'收支紀錄'!S""&amp;TO_TEXT(ROW()-$C$72))"),"")</f>
        <v/>
      </c>
      <c r="T1223" s="61" t="str">
        <f>IFERROR(__xludf.DUMMYFUNCTION("INDIRECT(""'收支紀錄'!T""&amp;TO_TEXT(ROW()-$C$72))"),"")</f>
        <v/>
      </c>
      <c r="U1223" s="62" t="str">
        <f>IFERROR(__xludf.DUMMYFUNCTION("IF(T1223=""是"",TEXTJOIN("""", TRUE, ""$"", TO_TEXT(C1223), S1223),"""")"),"")</f>
        <v/>
      </c>
    </row>
    <row r="1224">
      <c r="A1224" s="58">
        <f>IFERROR(__xludf.DUMMYFUNCTION("INDIRECT(""'收支紀錄'!A""&amp;TO_TEXT(ROW()-$C$72))"),45948.38111011574)</f>
        <v>45948.38111</v>
      </c>
      <c r="B1224" s="59">
        <f>IFERROR(__xludf.DUMMYFUNCTION("IF(ISBLANK(D1224), """", IF(ISDATE(D1224), D1224, IF(D1224=""今天"", A1224, IF(D1224=""昨天 (-1 day)"", A1224-1, IF(D1224=""前天 (-2 days)"", A1224-2, IF(D1224=""明天 (+1 day)"", A1224+1, DATE(LEFT(D1224,4), MID(D1224,5,2), RIGHT(D1224,2))))))))"),45947.38111011574)</f>
        <v>45947.38111</v>
      </c>
      <c r="C1224" s="60">
        <f>IFERROR(__xludf.DUMMYFUNCTION("INDIRECT(""'收支紀錄'!C""&amp;TO_TEXT(ROW()-$C$72))"),513.0)</f>
        <v>513</v>
      </c>
      <c r="D1224" s="63" t="str">
        <f>IFERROR(__xludf.DUMMYFUNCTION("INDIRECT(""'收支紀錄'!D""&amp;TO_TEXT(ROW()-$C$72))"),"昨天 (-1 day)")</f>
        <v>昨天 (-1 day)</v>
      </c>
      <c r="E1224" s="61" t="str">
        <f>IFERROR(__xludf.DUMMYFUNCTION("INDIRECT(""'收支紀錄'!E""&amp;TO_TEXT(ROW()-$C$72))"),"")</f>
        <v/>
      </c>
      <c r="F1224" s="61" t="str">
        <f>IFERROR(__xludf.DUMMYFUNCTION("INDIRECT(""'收支紀錄'!F""&amp;TO_TEXT(ROW()-$C$72))"),"")</f>
        <v/>
      </c>
      <c r="G1224" s="61" t="str">
        <f>IFERROR(__xludf.DUMMYFUNCTION("INDIRECT(""'收支紀錄'!G""&amp;TO_TEXT(ROW()-$C$72))"),"")</f>
        <v/>
      </c>
      <c r="H1224" s="61" t="str">
        <f>IFERROR(__xludf.DUMMYFUNCTION("INDIRECT(""'收支紀錄'!H""&amp;TO_TEXT(ROW()-$C$72))"),"食品酒水")</f>
        <v>食品酒水</v>
      </c>
      <c r="I1224" s="61" t="str">
        <f>IFERROR(__xludf.DUMMYFUNCTION("INDIRECT(""'收支紀錄'!I""&amp;TO_TEXT(ROW()-$C$72))"),"晚餐")</f>
        <v>晚餐</v>
      </c>
      <c r="J1224" s="61" t="str">
        <f>IFERROR(__xludf.DUMMYFUNCTION("INDIRECT(""'收支紀錄'!J""&amp;TO_TEXT(ROW()-$C$72))"),"")</f>
        <v/>
      </c>
      <c r="K1224" s="61" t="str">
        <f>IFERROR(__xludf.DUMMYFUNCTION("INDIRECT(""'收支紀錄'!K""&amp;TO_TEXT(ROW()-$C$72))"),"")</f>
        <v/>
      </c>
      <c r="L1224" s="61" t="str">
        <f>IFERROR(__xludf.DUMMYFUNCTION("INDIRECT(""'收支紀錄'!L""&amp;TO_TEXT(ROW()-$C$72))"),"")</f>
        <v/>
      </c>
      <c r="M1224" s="61" t="str">
        <f>IFERROR(__xludf.DUMMYFUNCTION("INDIRECT(""'收支紀錄'!M""&amp;TO_TEXT(ROW()-$C$72))"),"")</f>
        <v/>
      </c>
      <c r="N1224" s="61" t="str">
        <f>IFERROR(__xludf.DUMMYFUNCTION("INDIRECT(""'收支紀錄'!N""&amp;TO_TEXT(ROW()-$C$72))"),"")</f>
        <v/>
      </c>
      <c r="O1224" s="61" t="str">
        <f>IFERROR(__xludf.DUMMYFUNCTION("INDIRECT(""'收支紀錄'!O""&amp;TO_TEXT(ROW()-$C$72))"),"")</f>
        <v/>
      </c>
      <c r="P1224" s="61" t="str">
        <f>IFERROR(__xludf.DUMMYFUNCTION("INDIRECT(""'收支紀錄'!P""&amp;TO_TEXT(ROW()-$C$72))"),"")</f>
        <v/>
      </c>
      <c r="Q1224" s="61" t="str">
        <f>IFERROR(__xludf.DUMMYFUNCTION("INDIRECT(""'收支紀錄'!Q""&amp;TO_TEXT(ROW()-$C$72))"),"")</f>
        <v/>
      </c>
      <c r="R1224" s="61" t="str">
        <f>IFERROR(__xludf.DUMMYFUNCTION("INDIRECT(""'收支紀錄'!R""&amp;TO_TEXT(ROW()-$C$72))"),"")</f>
        <v/>
      </c>
      <c r="S1224" s="61" t="str">
        <f>IFERROR(__xludf.DUMMYFUNCTION("INDIRECT(""'收支紀錄'!S""&amp;TO_TEXT(ROW()-$C$72))"),"")</f>
        <v/>
      </c>
      <c r="T1224" s="61" t="str">
        <f>IFERROR(__xludf.DUMMYFUNCTION("INDIRECT(""'收支紀錄'!T""&amp;TO_TEXT(ROW()-$C$72))"),"")</f>
        <v/>
      </c>
      <c r="U1224" s="62" t="str">
        <f>IFERROR(__xludf.DUMMYFUNCTION("IF(T1224=""是"",TEXTJOIN("""", TRUE, ""$"", TO_TEXT(C1224), S1224),"""")"),"")</f>
        <v/>
      </c>
    </row>
    <row r="1225">
      <c r="A1225" s="58">
        <f>IFERROR(__xludf.DUMMYFUNCTION("INDIRECT(""'收支紀錄'!A""&amp;TO_TEXT(ROW()-$C$72))"),45948.38315787037)</f>
        <v>45948.38316</v>
      </c>
      <c r="B1225" s="59">
        <f>IFERROR(__xludf.DUMMYFUNCTION("IF(ISBLANK(D1225), """", IF(ISDATE(D1225), D1225, IF(D1225=""今天"", A1225, IF(D1225=""昨天 (-1 day)"", A1225-1, IF(D1225=""前天 (-2 days)"", A1225-2, IF(D1225=""明天 (+1 day)"", A1225+1, DATE(LEFT(D1225,4), MID(D1225,5,2), RIGHT(D1225,2))))))))"),45948.38315787037)</f>
        <v>45948.38316</v>
      </c>
      <c r="C1225" s="60">
        <f>IFERROR(__xludf.DUMMYFUNCTION("INDIRECT(""'收支紀錄'!C""&amp;TO_TEXT(ROW()-$C$72))"),110.0)</f>
        <v>110</v>
      </c>
      <c r="D1225" s="63" t="str">
        <f>IFERROR(__xludf.DUMMYFUNCTION("INDIRECT(""'收支紀錄'!D""&amp;TO_TEXT(ROW()-$C$72))"),"今天")</f>
        <v>今天</v>
      </c>
      <c r="E1225" s="61" t="str">
        <f>IFERROR(__xludf.DUMMYFUNCTION("INDIRECT(""'收支紀錄'!E""&amp;TO_TEXT(ROW()-$C$72))"),"")</f>
        <v/>
      </c>
      <c r="F1225" s="61" t="str">
        <f>IFERROR(__xludf.DUMMYFUNCTION("INDIRECT(""'收支紀錄'!F""&amp;TO_TEXT(ROW()-$C$72))"),"")</f>
        <v/>
      </c>
      <c r="G1225" s="61" t="str">
        <f>IFERROR(__xludf.DUMMYFUNCTION("INDIRECT(""'收支紀錄'!G""&amp;TO_TEXT(ROW()-$C$72))"),"")</f>
        <v/>
      </c>
      <c r="H1225" s="61" t="str">
        <f>IFERROR(__xludf.DUMMYFUNCTION("INDIRECT(""'收支紀錄'!H""&amp;TO_TEXT(ROW()-$C$72))"),"休閒娛樂")</f>
        <v>休閒娛樂</v>
      </c>
      <c r="I1225" s="61" t="str">
        <f>IFERROR(__xludf.DUMMYFUNCTION("INDIRECT(""'收支紀錄'!I""&amp;TO_TEXT(ROW()-$C$72))"),"")</f>
        <v/>
      </c>
      <c r="J1225" s="61" t="str">
        <f>IFERROR(__xludf.DUMMYFUNCTION("INDIRECT(""'收支紀錄'!J""&amp;TO_TEXT(ROW()-$C$72))"),"")</f>
        <v/>
      </c>
      <c r="K1225" s="61" t="str">
        <f>IFERROR(__xludf.DUMMYFUNCTION("INDIRECT(""'收支紀錄'!K""&amp;TO_TEXT(ROW()-$C$72))"),"")</f>
        <v/>
      </c>
      <c r="L1225" s="61" t="str">
        <f>IFERROR(__xludf.DUMMYFUNCTION("INDIRECT(""'收支紀錄'!L""&amp;TO_TEXT(ROW()-$C$72))"),"")</f>
        <v/>
      </c>
      <c r="M1225" s="61" t="str">
        <f>IFERROR(__xludf.DUMMYFUNCTION("INDIRECT(""'收支紀錄'!M""&amp;TO_TEXT(ROW()-$C$72))"),"運動健身")</f>
        <v>運動健身</v>
      </c>
      <c r="N1225" s="61" t="str">
        <f>IFERROR(__xludf.DUMMYFUNCTION("INDIRECT(""'收支紀錄'!N""&amp;TO_TEXT(ROW()-$C$72))"),"")</f>
        <v/>
      </c>
      <c r="O1225" s="61" t="str">
        <f>IFERROR(__xludf.DUMMYFUNCTION("INDIRECT(""'收支紀錄'!O""&amp;TO_TEXT(ROW()-$C$72))"),"")</f>
        <v/>
      </c>
      <c r="P1225" s="61" t="str">
        <f>IFERROR(__xludf.DUMMYFUNCTION("INDIRECT(""'收支紀錄'!P""&amp;TO_TEXT(ROW()-$C$72))"),"")</f>
        <v/>
      </c>
      <c r="Q1225" s="61" t="str">
        <f>IFERROR(__xludf.DUMMYFUNCTION("INDIRECT(""'收支紀錄'!Q""&amp;TO_TEXT(ROW()-$C$72))"),"")</f>
        <v/>
      </c>
      <c r="R1225" s="61" t="str">
        <f>IFERROR(__xludf.DUMMYFUNCTION("INDIRECT(""'收支紀錄'!R""&amp;TO_TEXT(ROW()-$C$72))"),"")</f>
        <v/>
      </c>
      <c r="S1225" s="61" t="str">
        <f>IFERROR(__xludf.DUMMYFUNCTION("INDIRECT(""'收支紀錄'!S""&amp;TO_TEXT(ROW()-$C$72))"),"")</f>
        <v/>
      </c>
      <c r="T1225" s="61" t="str">
        <f>IFERROR(__xludf.DUMMYFUNCTION("INDIRECT(""'收支紀錄'!T""&amp;TO_TEXT(ROW()-$C$72))"),"")</f>
        <v/>
      </c>
      <c r="U1225" s="62" t="str">
        <f>IFERROR(__xludf.DUMMYFUNCTION("IF(T1225=""是"",TEXTJOIN("""", TRUE, ""$"", TO_TEXT(C1225), S1225),"""")"),"")</f>
        <v/>
      </c>
    </row>
    <row r="1226">
      <c r="A1226" s="58">
        <f>IFERROR(__xludf.DUMMYFUNCTION("INDIRECT(""'收支紀錄'!A""&amp;TO_TEXT(ROW()-$C$72))"),45948.442509976856)</f>
        <v>45948.44251</v>
      </c>
      <c r="B1226" s="59">
        <f>IFERROR(__xludf.DUMMYFUNCTION("IF(ISBLANK(D1226), """", IF(ISDATE(D1226), D1226, IF(D1226=""今天"", A1226, IF(D1226=""昨天 (-1 day)"", A1226-1, IF(D1226=""前天 (-2 days)"", A1226-2, IF(D1226=""明天 (+1 day)"", A1226+1, DATE(LEFT(D1226,4), MID(D1226,5,2), RIGHT(D1226,2))))))))"),45948.442509976856)</f>
        <v>45948.44251</v>
      </c>
      <c r="C1226" s="60">
        <f>IFERROR(__xludf.DUMMYFUNCTION("INDIRECT(""'收支紀錄'!C""&amp;TO_TEXT(ROW()-$C$72))"),1200.0)</f>
        <v>1200</v>
      </c>
      <c r="D1226" s="63" t="str">
        <f>IFERROR(__xludf.DUMMYFUNCTION("INDIRECT(""'收支紀錄'!D""&amp;TO_TEXT(ROW()-$C$72))"),"今天")</f>
        <v>今天</v>
      </c>
      <c r="E1226" s="61" t="str">
        <f>IFERROR(__xludf.DUMMYFUNCTION("INDIRECT(""'收支紀錄'!E""&amp;TO_TEXT(ROW()-$C$72))"),"")</f>
        <v/>
      </c>
      <c r="F1226" s="61" t="str">
        <f>IFERROR(__xludf.DUMMYFUNCTION("INDIRECT(""'收支紀錄'!F""&amp;TO_TEXT(ROW()-$C$72))"),"")</f>
        <v/>
      </c>
      <c r="G1226" s="61" t="str">
        <f>IFERROR(__xludf.DUMMYFUNCTION("INDIRECT(""'收支紀錄'!G""&amp;TO_TEXT(ROW()-$C$72))"),"")</f>
        <v/>
      </c>
      <c r="H1226" s="61" t="str">
        <f>IFERROR(__xludf.DUMMYFUNCTION("INDIRECT(""'收支紀錄'!H""&amp;TO_TEXT(ROW()-$C$72))"),"醫療費用")</f>
        <v>醫療費用</v>
      </c>
      <c r="I1226" s="61" t="str">
        <f>IFERROR(__xludf.DUMMYFUNCTION("INDIRECT(""'收支紀錄'!I""&amp;TO_TEXT(ROW()-$C$72))"),"")</f>
        <v/>
      </c>
      <c r="J1226" s="61" t="str">
        <f>IFERROR(__xludf.DUMMYFUNCTION("INDIRECT(""'收支紀錄'!J""&amp;TO_TEXT(ROW()-$C$72))"),"")</f>
        <v/>
      </c>
      <c r="K1226" s="61" t="str">
        <f>IFERROR(__xludf.DUMMYFUNCTION("INDIRECT(""'收支紀錄'!K""&amp;TO_TEXT(ROW()-$C$72))"),"")</f>
        <v/>
      </c>
      <c r="L1226" s="61" t="str">
        <f>IFERROR(__xludf.DUMMYFUNCTION("INDIRECT(""'收支紀錄'!L""&amp;TO_TEXT(ROW()-$C$72))"),"")</f>
        <v/>
      </c>
      <c r="M1226" s="61" t="str">
        <f>IFERROR(__xludf.DUMMYFUNCTION("INDIRECT(""'收支紀錄'!M""&amp;TO_TEXT(ROW()-$C$72))"),"")</f>
        <v/>
      </c>
      <c r="N1226" s="61" t="str">
        <f>IFERROR(__xludf.DUMMYFUNCTION("INDIRECT(""'收支紀錄'!N""&amp;TO_TEXT(ROW()-$C$72))"),"")</f>
        <v/>
      </c>
      <c r="O1226" s="61" t="str">
        <f>IFERROR(__xludf.DUMMYFUNCTION("INDIRECT(""'收支紀錄'!O""&amp;TO_TEXT(ROW()-$C$72))"),"生病醫療")</f>
        <v>生病醫療</v>
      </c>
      <c r="P1226" s="61" t="str">
        <f>IFERROR(__xludf.DUMMYFUNCTION("INDIRECT(""'收支紀錄'!P""&amp;TO_TEXT(ROW()-$C$72))"),"")</f>
        <v/>
      </c>
      <c r="Q1226" s="61" t="str">
        <f>IFERROR(__xludf.DUMMYFUNCTION("INDIRECT(""'收支紀錄'!Q""&amp;TO_TEXT(ROW()-$C$72))"),"")</f>
        <v/>
      </c>
      <c r="R1226" s="61" t="str">
        <f>IFERROR(__xludf.DUMMYFUNCTION("INDIRECT(""'收支紀錄'!R""&amp;TO_TEXT(ROW()-$C$72))"),"")</f>
        <v/>
      </c>
      <c r="S1226" s="61" t="str">
        <f>IFERROR(__xludf.DUMMYFUNCTION("INDIRECT(""'收支紀錄'!S""&amp;TO_TEXT(ROW()-$C$72))"),"疫苗")</f>
        <v>疫苗</v>
      </c>
      <c r="T1226" s="61" t="str">
        <f>IFERROR(__xludf.DUMMYFUNCTION("INDIRECT(""'收支紀錄'!T""&amp;TO_TEXT(ROW()-$C$72))"),"")</f>
        <v/>
      </c>
      <c r="U1226" s="62" t="str">
        <f>IFERROR(__xludf.DUMMYFUNCTION("IF(T1226=""是"",TEXTJOIN("""", TRUE, ""$"", TO_TEXT(C1226), S1226),"""")"),"")</f>
        <v/>
      </c>
    </row>
    <row r="1227">
      <c r="A1227" s="58">
        <f>IFERROR(__xludf.DUMMYFUNCTION("INDIRECT(""'收支紀錄'!A""&amp;TO_TEXT(ROW()-$C$72))"),45948.53776796296)</f>
        <v>45948.53777</v>
      </c>
      <c r="B1227" s="59">
        <f>IFERROR(__xludf.DUMMYFUNCTION("IF(ISBLANK(D1227), """", IF(ISDATE(D1227), D1227, IF(D1227=""今天"", A1227, IF(D1227=""昨天 (-1 day)"", A1227-1, IF(D1227=""前天 (-2 days)"", A1227-2, IF(D1227=""明天 (+1 day)"", A1227+1, DATE(LEFT(D1227,4), MID(D1227,5,2), RIGHT(D1227,2))))))))"),45948.53776796296)</f>
        <v>45948.53777</v>
      </c>
      <c r="C1227" s="60">
        <f>IFERROR(__xludf.DUMMYFUNCTION("INDIRECT(""'收支紀錄'!C""&amp;TO_TEXT(ROW()-$C$72))"),50.0)</f>
        <v>50</v>
      </c>
      <c r="D1227" s="63" t="str">
        <f>IFERROR(__xludf.DUMMYFUNCTION("INDIRECT(""'收支紀錄'!D""&amp;TO_TEXT(ROW()-$C$72))"),"今天")</f>
        <v>今天</v>
      </c>
      <c r="E1227" s="61" t="str">
        <f>IFERROR(__xludf.DUMMYFUNCTION("INDIRECT(""'收支紀錄'!E""&amp;TO_TEXT(ROW()-$C$72))"),"")</f>
        <v/>
      </c>
      <c r="F1227" s="61" t="str">
        <f>IFERROR(__xludf.DUMMYFUNCTION("INDIRECT(""'收支紀錄'!F""&amp;TO_TEXT(ROW()-$C$72))"),"")</f>
        <v/>
      </c>
      <c r="G1227" s="61" t="str">
        <f>IFERROR(__xludf.DUMMYFUNCTION("INDIRECT(""'收支紀錄'!G""&amp;TO_TEXT(ROW()-$C$72))"),"")</f>
        <v/>
      </c>
      <c r="H1227" s="61" t="str">
        <f>IFERROR(__xludf.DUMMYFUNCTION("INDIRECT(""'收支紀錄'!H""&amp;TO_TEXT(ROW()-$C$72))"),"食品酒水")</f>
        <v>食品酒水</v>
      </c>
      <c r="I1227" s="61" t="str">
        <f>IFERROR(__xludf.DUMMYFUNCTION("INDIRECT(""'收支紀錄'!I""&amp;TO_TEXT(ROW()-$C$72))"),"飲料酒水")</f>
        <v>飲料酒水</v>
      </c>
      <c r="J1227" s="61" t="str">
        <f>IFERROR(__xludf.DUMMYFUNCTION("INDIRECT(""'收支紀錄'!J""&amp;TO_TEXT(ROW()-$C$72))"),"")</f>
        <v/>
      </c>
      <c r="K1227" s="61" t="str">
        <f>IFERROR(__xludf.DUMMYFUNCTION("INDIRECT(""'收支紀錄'!K""&amp;TO_TEXT(ROW()-$C$72))"),"")</f>
        <v/>
      </c>
      <c r="L1227" s="61" t="str">
        <f>IFERROR(__xludf.DUMMYFUNCTION("INDIRECT(""'收支紀錄'!L""&amp;TO_TEXT(ROW()-$C$72))"),"")</f>
        <v/>
      </c>
      <c r="M1227" s="61" t="str">
        <f>IFERROR(__xludf.DUMMYFUNCTION("INDIRECT(""'收支紀錄'!M""&amp;TO_TEXT(ROW()-$C$72))"),"")</f>
        <v/>
      </c>
      <c r="N1227" s="61" t="str">
        <f>IFERROR(__xludf.DUMMYFUNCTION("INDIRECT(""'收支紀錄'!N""&amp;TO_TEXT(ROW()-$C$72))"),"")</f>
        <v/>
      </c>
      <c r="O1227" s="61" t="str">
        <f>IFERROR(__xludf.DUMMYFUNCTION("INDIRECT(""'收支紀錄'!O""&amp;TO_TEXT(ROW()-$C$72))"),"")</f>
        <v/>
      </c>
      <c r="P1227" s="61" t="str">
        <f>IFERROR(__xludf.DUMMYFUNCTION("INDIRECT(""'收支紀錄'!P""&amp;TO_TEXT(ROW()-$C$72))"),"")</f>
        <v/>
      </c>
      <c r="Q1227" s="61" t="str">
        <f>IFERROR(__xludf.DUMMYFUNCTION("INDIRECT(""'收支紀錄'!Q""&amp;TO_TEXT(ROW()-$C$72))"),"")</f>
        <v/>
      </c>
      <c r="R1227" s="61" t="str">
        <f>IFERROR(__xludf.DUMMYFUNCTION("INDIRECT(""'收支紀錄'!R""&amp;TO_TEXT(ROW()-$C$72))"),"")</f>
        <v/>
      </c>
      <c r="S1227" s="61" t="str">
        <f>IFERROR(__xludf.DUMMYFUNCTION("INDIRECT(""'收支紀錄'!S""&amp;TO_TEXT(ROW()-$C$72))"),"")</f>
        <v/>
      </c>
      <c r="T1227" s="61" t="str">
        <f>IFERROR(__xludf.DUMMYFUNCTION("INDIRECT(""'收支紀錄'!T""&amp;TO_TEXT(ROW()-$C$72))"),"")</f>
        <v/>
      </c>
      <c r="U1227" s="62" t="str">
        <f>IFERROR(__xludf.DUMMYFUNCTION("IF(T1227=""是"",TEXTJOIN("""", TRUE, ""$"", TO_TEXT(C1227), S1227),"""")"),"")</f>
        <v/>
      </c>
    </row>
    <row r="1228">
      <c r="A1228" s="58">
        <f>IFERROR(__xludf.DUMMYFUNCTION("INDIRECT(""'收支紀錄'!A""&amp;TO_TEXT(ROW()-$C$72))"),45948.67299826389)</f>
        <v>45948.673</v>
      </c>
      <c r="B1228" s="59">
        <f>IFERROR(__xludf.DUMMYFUNCTION("IF(ISBLANK(D1228), """", IF(ISDATE(D1228), D1228, IF(D1228=""今天"", A1228, IF(D1228=""昨天 (-1 day)"", A1228-1, IF(D1228=""前天 (-2 days)"", A1228-2, IF(D1228=""明天 (+1 day)"", A1228+1, DATE(LEFT(D1228,4), MID(D1228,5,2), RIGHT(D1228,2))))))))"),45948.67299826389)</f>
        <v>45948.673</v>
      </c>
      <c r="C1228" s="60">
        <f>IFERROR(__xludf.DUMMYFUNCTION("INDIRECT(""'收支紀錄'!C""&amp;TO_TEXT(ROW()-$C$72))"),145.0)</f>
        <v>145</v>
      </c>
      <c r="D1228" s="63" t="str">
        <f>IFERROR(__xludf.DUMMYFUNCTION("INDIRECT(""'收支紀錄'!D""&amp;TO_TEXT(ROW()-$C$72))"),"今天")</f>
        <v>今天</v>
      </c>
      <c r="E1228" s="61" t="str">
        <f>IFERROR(__xludf.DUMMYFUNCTION("INDIRECT(""'收支紀錄'!E""&amp;TO_TEXT(ROW()-$C$72))"),"")</f>
        <v/>
      </c>
      <c r="F1228" s="61" t="str">
        <f>IFERROR(__xludf.DUMMYFUNCTION("INDIRECT(""'收支紀錄'!F""&amp;TO_TEXT(ROW()-$C$72))"),"")</f>
        <v/>
      </c>
      <c r="G1228" s="61" t="str">
        <f>IFERROR(__xludf.DUMMYFUNCTION("INDIRECT(""'收支紀錄'!G""&amp;TO_TEXT(ROW()-$C$72))"),"")</f>
        <v/>
      </c>
      <c r="H1228" s="61" t="str">
        <f>IFERROR(__xludf.DUMMYFUNCTION("INDIRECT(""'收支紀錄'!H""&amp;TO_TEXT(ROW()-$C$72))"),"日常生活")</f>
        <v>日常生活</v>
      </c>
      <c r="I1228" s="61" t="str">
        <f>IFERROR(__xludf.DUMMYFUNCTION("INDIRECT(""'收支紀錄'!I""&amp;TO_TEXT(ROW()-$C$72))"),"")</f>
        <v/>
      </c>
      <c r="J1228" s="61" t="str">
        <f>IFERROR(__xludf.DUMMYFUNCTION("INDIRECT(""'收支紀錄'!J""&amp;TO_TEXT(ROW()-$C$72))"),"日常用品")</f>
        <v>日常用品</v>
      </c>
      <c r="K1228" s="61" t="str">
        <f>IFERROR(__xludf.DUMMYFUNCTION("INDIRECT(""'收支紀錄'!K""&amp;TO_TEXT(ROW()-$C$72))"),"")</f>
        <v/>
      </c>
      <c r="L1228" s="61" t="str">
        <f>IFERROR(__xludf.DUMMYFUNCTION("INDIRECT(""'收支紀錄'!L""&amp;TO_TEXT(ROW()-$C$72))"),"")</f>
        <v/>
      </c>
      <c r="M1228" s="61" t="str">
        <f>IFERROR(__xludf.DUMMYFUNCTION("INDIRECT(""'收支紀錄'!M""&amp;TO_TEXT(ROW()-$C$72))"),"")</f>
        <v/>
      </c>
      <c r="N1228" s="61" t="str">
        <f>IFERROR(__xludf.DUMMYFUNCTION("INDIRECT(""'收支紀錄'!N""&amp;TO_TEXT(ROW()-$C$72))"),"")</f>
        <v/>
      </c>
      <c r="O1228" s="61" t="str">
        <f>IFERROR(__xludf.DUMMYFUNCTION("INDIRECT(""'收支紀錄'!O""&amp;TO_TEXT(ROW()-$C$72))"),"")</f>
        <v/>
      </c>
      <c r="P1228" s="61" t="str">
        <f>IFERROR(__xludf.DUMMYFUNCTION("INDIRECT(""'收支紀錄'!P""&amp;TO_TEXT(ROW()-$C$72))"),"")</f>
        <v/>
      </c>
      <c r="Q1228" s="61" t="str">
        <f>IFERROR(__xludf.DUMMYFUNCTION("INDIRECT(""'收支紀錄'!Q""&amp;TO_TEXT(ROW()-$C$72))"),"")</f>
        <v/>
      </c>
      <c r="R1228" s="61" t="str">
        <f>IFERROR(__xludf.DUMMYFUNCTION("INDIRECT(""'收支紀錄'!R""&amp;TO_TEXT(ROW()-$C$72))"),"")</f>
        <v/>
      </c>
      <c r="S1228" s="61" t="str">
        <f>IFERROR(__xludf.DUMMYFUNCTION("INDIRECT(""'收支紀錄'!S""&amp;TO_TEXT(ROW()-$C$72))"),"")</f>
        <v/>
      </c>
      <c r="T1228" s="61" t="str">
        <f>IFERROR(__xludf.DUMMYFUNCTION("INDIRECT(""'收支紀錄'!T""&amp;TO_TEXT(ROW()-$C$72))"),"")</f>
        <v/>
      </c>
      <c r="U1228" s="62" t="str">
        <f>IFERROR(__xludf.DUMMYFUNCTION("IF(T1228=""是"",TEXTJOIN("""", TRUE, ""$"", TO_TEXT(C1228), S1228),"""")"),"")</f>
        <v/>
      </c>
    </row>
    <row r="1229">
      <c r="A1229" s="58">
        <f>IFERROR(__xludf.DUMMYFUNCTION("INDIRECT(""'收支紀錄'!A""&amp;TO_TEXT(ROW()-$C$72))"),45948.81918795139)</f>
        <v>45948.81919</v>
      </c>
      <c r="B1229" s="59">
        <f>IFERROR(__xludf.DUMMYFUNCTION("IF(ISBLANK(D1229), """", IF(ISDATE(D1229), D1229, IF(D1229=""今天"", A1229, IF(D1229=""昨天 (-1 day)"", A1229-1, IF(D1229=""前天 (-2 days)"", A1229-2, IF(D1229=""明天 (+1 day)"", A1229+1, DATE(LEFT(D1229,4), MID(D1229,5,2), RIGHT(D1229,2))))))))"),45948.81918795139)</f>
        <v>45948.81919</v>
      </c>
      <c r="C1229" s="60">
        <f>IFERROR(__xludf.DUMMYFUNCTION("INDIRECT(""'收支紀錄'!C""&amp;TO_TEXT(ROW()-$C$72))"),670.0)</f>
        <v>670</v>
      </c>
      <c r="D1229" s="63" t="str">
        <f>IFERROR(__xludf.DUMMYFUNCTION("INDIRECT(""'收支紀錄'!D""&amp;TO_TEXT(ROW()-$C$72))"),"今天")</f>
        <v>今天</v>
      </c>
      <c r="E1229" s="61" t="str">
        <f>IFERROR(__xludf.DUMMYFUNCTION("INDIRECT(""'收支紀錄'!E""&amp;TO_TEXT(ROW()-$C$72))"),"")</f>
        <v/>
      </c>
      <c r="F1229" s="61" t="str">
        <f>IFERROR(__xludf.DUMMYFUNCTION("INDIRECT(""'收支紀錄'!F""&amp;TO_TEXT(ROW()-$C$72))"),"")</f>
        <v/>
      </c>
      <c r="G1229" s="61" t="str">
        <f>IFERROR(__xludf.DUMMYFUNCTION("INDIRECT(""'收支紀錄'!G""&amp;TO_TEXT(ROW()-$C$72))"),"")</f>
        <v/>
      </c>
      <c r="H1229" s="61" t="str">
        <f>IFERROR(__xludf.DUMMYFUNCTION("INDIRECT(""'收支紀錄'!H""&amp;TO_TEXT(ROW()-$C$72))"),"食品酒水")</f>
        <v>食品酒水</v>
      </c>
      <c r="I1229" s="61" t="str">
        <f>IFERROR(__xludf.DUMMYFUNCTION("INDIRECT(""'收支紀錄'!I""&amp;TO_TEXT(ROW()-$C$72))"),"晚餐")</f>
        <v>晚餐</v>
      </c>
      <c r="J1229" s="61" t="str">
        <f>IFERROR(__xludf.DUMMYFUNCTION("INDIRECT(""'收支紀錄'!J""&amp;TO_TEXT(ROW()-$C$72))"),"")</f>
        <v/>
      </c>
      <c r="K1229" s="61" t="str">
        <f>IFERROR(__xludf.DUMMYFUNCTION("INDIRECT(""'收支紀錄'!K""&amp;TO_TEXT(ROW()-$C$72))"),"")</f>
        <v/>
      </c>
      <c r="L1229" s="61" t="str">
        <f>IFERROR(__xludf.DUMMYFUNCTION("INDIRECT(""'收支紀錄'!L""&amp;TO_TEXT(ROW()-$C$72))"),"")</f>
        <v/>
      </c>
      <c r="M1229" s="61" t="str">
        <f>IFERROR(__xludf.DUMMYFUNCTION("INDIRECT(""'收支紀錄'!M""&amp;TO_TEXT(ROW()-$C$72))"),"")</f>
        <v/>
      </c>
      <c r="N1229" s="61" t="str">
        <f>IFERROR(__xludf.DUMMYFUNCTION("INDIRECT(""'收支紀錄'!N""&amp;TO_TEXT(ROW()-$C$72))"),"")</f>
        <v/>
      </c>
      <c r="O1229" s="61" t="str">
        <f>IFERROR(__xludf.DUMMYFUNCTION("INDIRECT(""'收支紀錄'!O""&amp;TO_TEXT(ROW()-$C$72))"),"")</f>
        <v/>
      </c>
      <c r="P1229" s="61" t="str">
        <f>IFERROR(__xludf.DUMMYFUNCTION("INDIRECT(""'收支紀錄'!P""&amp;TO_TEXT(ROW()-$C$72))"),"")</f>
        <v/>
      </c>
      <c r="Q1229" s="61" t="str">
        <f>IFERROR(__xludf.DUMMYFUNCTION("INDIRECT(""'收支紀錄'!Q""&amp;TO_TEXT(ROW()-$C$72))"),"")</f>
        <v/>
      </c>
      <c r="R1229" s="61" t="str">
        <f>IFERROR(__xludf.DUMMYFUNCTION("INDIRECT(""'收支紀錄'!R""&amp;TO_TEXT(ROW()-$C$72))"),"")</f>
        <v/>
      </c>
      <c r="S1229" s="61" t="str">
        <f>IFERROR(__xludf.DUMMYFUNCTION("INDIRECT(""'收支紀錄'!S""&amp;TO_TEXT(ROW()-$C$72))"),"")</f>
        <v/>
      </c>
      <c r="T1229" s="61" t="str">
        <f>IFERROR(__xludf.DUMMYFUNCTION("INDIRECT(""'收支紀錄'!T""&amp;TO_TEXT(ROW()-$C$72))"),"")</f>
        <v/>
      </c>
      <c r="U1229" s="62" t="str">
        <f>IFERROR(__xludf.DUMMYFUNCTION("IF(T1229=""是"",TEXTJOIN("""", TRUE, ""$"", TO_TEXT(C1229), S1229),"""")"),"")</f>
        <v/>
      </c>
    </row>
    <row r="1230">
      <c r="A1230" s="58">
        <f>IFERROR(__xludf.DUMMYFUNCTION("INDIRECT(""'收支紀錄'!A""&amp;TO_TEXT(ROW()-$C$72))"),45949.42996222222)</f>
        <v>45949.42996</v>
      </c>
      <c r="B1230" s="59">
        <f>IFERROR(__xludf.DUMMYFUNCTION("IF(ISBLANK(D1230), """", IF(ISDATE(D1230), D1230, IF(D1230=""今天"", A1230, IF(D1230=""昨天 (-1 day)"", A1230-1, IF(D1230=""前天 (-2 days)"", A1230-2, IF(D1230=""明天 (+1 day)"", A1230+1, DATE(LEFT(D1230,4), MID(D1230,5,2), RIGHT(D1230,2))))))))"),45949.42996222222)</f>
        <v>45949.42996</v>
      </c>
      <c r="C1230" s="60">
        <f>IFERROR(__xludf.DUMMYFUNCTION("INDIRECT(""'收支紀錄'!C""&amp;TO_TEXT(ROW()-$C$72))"),100.0)</f>
        <v>100</v>
      </c>
      <c r="D1230" s="63" t="str">
        <f>IFERROR(__xludf.DUMMYFUNCTION("INDIRECT(""'收支紀錄'!D""&amp;TO_TEXT(ROW()-$C$72))"),"今天")</f>
        <v>今天</v>
      </c>
      <c r="E1230" s="61" t="str">
        <f>IFERROR(__xludf.DUMMYFUNCTION("INDIRECT(""'收支紀錄'!E""&amp;TO_TEXT(ROW()-$C$72))"),"")</f>
        <v/>
      </c>
      <c r="F1230" s="61" t="str">
        <f>IFERROR(__xludf.DUMMYFUNCTION("INDIRECT(""'收支紀錄'!F""&amp;TO_TEXT(ROW()-$C$72))"),"")</f>
        <v/>
      </c>
      <c r="G1230" s="61" t="str">
        <f>IFERROR(__xludf.DUMMYFUNCTION("INDIRECT(""'收支紀錄'!G""&amp;TO_TEXT(ROW()-$C$72))"),"")</f>
        <v/>
      </c>
      <c r="H1230" s="61" t="str">
        <f>IFERROR(__xludf.DUMMYFUNCTION("INDIRECT(""'收支紀錄'!H""&amp;TO_TEXT(ROW()-$C$72))"),"休閒娛樂")</f>
        <v>休閒娛樂</v>
      </c>
      <c r="I1230" s="61" t="str">
        <f>IFERROR(__xludf.DUMMYFUNCTION("INDIRECT(""'收支紀錄'!I""&amp;TO_TEXT(ROW()-$C$72))"),"")</f>
        <v/>
      </c>
      <c r="J1230" s="61" t="str">
        <f>IFERROR(__xludf.DUMMYFUNCTION("INDIRECT(""'收支紀錄'!J""&amp;TO_TEXT(ROW()-$C$72))"),"")</f>
        <v/>
      </c>
      <c r="K1230" s="61" t="str">
        <f>IFERROR(__xludf.DUMMYFUNCTION("INDIRECT(""'收支紀錄'!K""&amp;TO_TEXT(ROW()-$C$72))"),"")</f>
        <v/>
      </c>
      <c r="L1230" s="61" t="str">
        <f>IFERROR(__xludf.DUMMYFUNCTION("INDIRECT(""'收支紀錄'!L""&amp;TO_TEXT(ROW()-$C$72))"),"")</f>
        <v/>
      </c>
      <c r="M1230" s="61" t="str">
        <f>IFERROR(__xludf.DUMMYFUNCTION("INDIRECT(""'收支紀錄'!M""&amp;TO_TEXT(ROW()-$C$72))"),"運動健身")</f>
        <v>運動健身</v>
      </c>
      <c r="N1230" s="61" t="str">
        <f>IFERROR(__xludf.DUMMYFUNCTION("INDIRECT(""'收支紀錄'!N""&amp;TO_TEXT(ROW()-$C$72))"),"")</f>
        <v/>
      </c>
      <c r="O1230" s="61" t="str">
        <f>IFERROR(__xludf.DUMMYFUNCTION("INDIRECT(""'收支紀錄'!O""&amp;TO_TEXT(ROW()-$C$72))"),"")</f>
        <v/>
      </c>
      <c r="P1230" s="61" t="str">
        <f>IFERROR(__xludf.DUMMYFUNCTION("INDIRECT(""'收支紀錄'!P""&amp;TO_TEXT(ROW()-$C$72))"),"")</f>
        <v/>
      </c>
      <c r="Q1230" s="61" t="str">
        <f>IFERROR(__xludf.DUMMYFUNCTION("INDIRECT(""'收支紀錄'!Q""&amp;TO_TEXT(ROW()-$C$72))"),"")</f>
        <v/>
      </c>
      <c r="R1230" s="61" t="str">
        <f>IFERROR(__xludf.DUMMYFUNCTION("INDIRECT(""'收支紀錄'!R""&amp;TO_TEXT(ROW()-$C$72))"),"")</f>
        <v/>
      </c>
      <c r="S1230" s="61" t="str">
        <f>IFERROR(__xludf.DUMMYFUNCTION("INDIRECT(""'收支紀錄'!S""&amp;TO_TEXT(ROW()-$C$72))"),"")</f>
        <v/>
      </c>
      <c r="T1230" s="61" t="str">
        <f>IFERROR(__xludf.DUMMYFUNCTION("INDIRECT(""'收支紀錄'!T""&amp;TO_TEXT(ROW()-$C$72))"),"")</f>
        <v/>
      </c>
      <c r="U1230" s="62" t="str">
        <f>IFERROR(__xludf.DUMMYFUNCTION("IF(T1230=""是"",TEXTJOIN("""", TRUE, ""$"", TO_TEXT(C1230), S1230),"""")"),"")</f>
        <v/>
      </c>
    </row>
    <row r="1231">
      <c r="A1231" s="58">
        <f>IFERROR(__xludf.DUMMYFUNCTION("INDIRECT(""'收支紀錄'!A""&amp;TO_TEXT(ROW()-$C$72))"),45949.446775081014)</f>
        <v>45949.44678</v>
      </c>
      <c r="B1231" s="59">
        <f>IFERROR(__xludf.DUMMYFUNCTION("IF(ISBLANK(D1231), """", IF(ISDATE(D1231), D1231, IF(D1231=""今天"", A1231, IF(D1231=""昨天 (-1 day)"", A1231-1, IF(D1231=""前天 (-2 days)"", A1231-2, IF(D1231=""明天 (+1 day)"", A1231+1, DATE(LEFT(D1231,4), MID(D1231,5,2), RIGHT(D1231,2))))))))"),45948.446775081014)</f>
        <v>45948.44678</v>
      </c>
      <c r="C1231" s="60">
        <f>IFERROR(__xludf.DUMMYFUNCTION("INDIRECT(""'收支紀錄'!C""&amp;TO_TEXT(ROW()-$C$72))"),2280.0)</f>
        <v>2280</v>
      </c>
      <c r="D1231" s="63" t="str">
        <f>IFERROR(__xludf.DUMMYFUNCTION("INDIRECT(""'收支紀錄'!D""&amp;TO_TEXT(ROW()-$C$72))"),"昨天 (-1 day)")</f>
        <v>昨天 (-1 day)</v>
      </c>
      <c r="E1231" s="61" t="str">
        <f>IFERROR(__xludf.DUMMYFUNCTION("INDIRECT(""'收支紀錄'!E""&amp;TO_TEXT(ROW()-$C$72))"),"")</f>
        <v/>
      </c>
      <c r="F1231" s="61" t="str">
        <f>IFERROR(__xludf.DUMMYFUNCTION("INDIRECT(""'收支紀錄'!F""&amp;TO_TEXT(ROW()-$C$72))"),"")</f>
        <v/>
      </c>
      <c r="G1231" s="61" t="str">
        <f>IFERROR(__xludf.DUMMYFUNCTION("INDIRECT(""'收支紀錄'!G""&amp;TO_TEXT(ROW()-$C$72))"),"")</f>
        <v/>
      </c>
      <c r="H1231" s="61" t="str">
        <f>IFERROR(__xludf.DUMMYFUNCTION("INDIRECT(""'收支紀錄'!H""&amp;TO_TEXT(ROW()-$C$72))"),"食品酒水")</f>
        <v>食品酒水</v>
      </c>
      <c r="I1231" s="61" t="str">
        <f>IFERROR(__xludf.DUMMYFUNCTION("INDIRECT(""'收支紀錄'!I""&amp;TO_TEXT(ROW()-$C$72))"),"食材")</f>
        <v>食材</v>
      </c>
      <c r="J1231" s="61" t="str">
        <f>IFERROR(__xludf.DUMMYFUNCTION("INDIRECT(""'收支紀錄'!J""&amp;TO_TEXT(ROW()-$C$72))"),"")</f>
        <v/>
      </c>
      <c r="K1231" s="61" t="str">
        <f>IFERROR(__xludf.DUMMYFUNCTION("INDIRECT(""'收支紀錄'!K""&amp;TO_TEXT(ROW()-$C$72))"),"")</f>
        <v/>
      </c>
      <c r="L1231" s="61" t="str">
        <f>IFERROR(__xludf.DUMMYFUNCTION("INDIRECT(""'收支紀錄'!L""&amp;TO_TEXT(ROW()-$C$72))"),"")</f>
        <v/>
      </c>
      <c r="M1231" s="61" t="str">
        <f>IFERROR(__xludf.DUMMYFUNCTION("INDIRECT(""'收支紀錄'!M""&amp;TO_TEXT(ROW()-$C$72))"),"")</f>
        <v/>
      </c>
      <c r="N1231" s="61" t="str">
        <f>IFERROR(__xludf.DUMMYFUNCTION("INDIRECT(""'收支紀錄'!N""&amp;TO_TEXT(ROW()-$C$72))"),"")</f>
        <v/>
      </c>
      <c r="O1231" s="61" t="str">
        <f>IFERROR(__xludf.DUMMYFUNCTION("INDIRECT(""'收支紀錄'!O""&amp;TO_TEXT(ROW()-$C$72))"),"")</f>
        <v/>
      </c>
      <c r="P1231" s="61" t="str">
        <f>IFERROR(__xludf.DUMMYFUNCTION("INDIRECT(""'收支紀錄'!P""&amp;TO_TEXT(ROW()-$C$72))"),"")</f>
        <v/>
      </c>
      <c r="Q1231" s="61" t="str">
        <f>IFERROR(__xludf.DUMMYFUNCTION("INDIRECT(""'收支紀錄'!Q""&amp;TO_TEXT(ROW()-$C$72))"),"")</f>
        <v/>
      </c>
      <c r="R1231" s="61" t="str">
        <f>IFERROR(__xludf.DUMMYFUNCTION("INDIRECT(""'收支紀錄'!R""&amp;TO_TEXT(ROW()-$C$72))"),"")</f>
        <v/>
      </c>
      <c r="S1231" s="61" t="str">
        <f>IFERROR(__xludf.DUMMYFUNCTION("INDIRECT(""'收支紀錄'!S""&amp;TO_TEXT(ROW()-$C$72))"),"")</f>
        <v/>
      </c>
      <c r="T1231" s="61" t="str">
        <f>IFERROR(__xludf.DUMMYFUNCTION("INDIRECT(""'收支紀錄'!T""&amp;TO_TEXT(ROW()-$C$72))"),"")</f>
        <v/>
      </c>
      <c r="U1231" s="62" t="str">
        <f>IFERROR(__xludf.DUMMYFUNCTION("IF(T1231=""是"",TEXTJOIN("""", TRUE, ""$"", TO_TEXT(C1231), S1231),"""")"),"")</f>
        <v/>
      </c>
    </row>
    <row r="1232">
      <c r="A1232" s="58">
        <f>IFERROR(__xludf.DUMMYFUNCTION("INDIRECT(""'收支紀錄'!A""&amp;TO_TEXT(ROW()-$C$72))"),45949.4469424537)</f>
        <v>45949.44694</v>
      </c>
      <c r="B1232" s="59">
        <f>IFERROR(__xludf.DUMMYFUNCTION("IF(ISBLANK(D1232), """", IF(ISDATE(D1232), D1232, IF(D1232=""今天"", A1232, IF(D1232=""昨天 (-1 day)"", A1232-1, IF(D1232=""前天 (-2 days)"", A1232-2, IF(D1232=""明天 (+1 day)"", A1232+1, DATE(LEFT(D1232,4), MID(D1232,5,2), RIGHT(D1232,2))))))))"),45948.4469424537)</f>
        <v>45948.44694</v>
      </c>
      <c r="C1232" s="60">
        <f>IFERROR(__xludf.DUMMYFUNCTION("INDIRECT(""'收支紀錄'!C""&amp;TO_TEXT(ROW()-$C$72))"),2000.0)</f>
        <v>2000</v>
      </c>
      <c r="D1232" s="63" t="str">
        <f>IFERROR(__xludf.DUMMYFUNCTION("INDIRECT(""'收支紀錄'!D""&amp;TO_TEXT(ROW()-$C$72))"),"昨天 (-1 day)")</f>
        <v>昨天 (-1 day)</v>
      </c>
      <c r="E1232" s="61" t="str">
        <f>IFERROR(__xludf.DUMMYFUNCTION("INDIRECT(""'收支紀錄'!E""&amp;TO_TEXT(ROW()-$C$72))"),"")</f>
        <v/>
      </c>
      <c r="F1232" s="61" t="str">
        <f>IFERROR(__xludf.DUMMYFUNCTION("INDIRECT(""'收支紀錄'!F""&amp;TO_TEXT(ROW()-$C$72))"),"")</f>
        <v/>
      </c>
      <c r="G1232" s="61" t="str">
        <f>IFERROR(__xludf.DUMMYFUNCTION("INDIRECT(""'收支紀錄'!G""&amp;TO_TEXT(ROW()-$C$72))"),"")</f>
        <v/>
      </c>
      <c r="H1232" s="61" t="str">
        <f>IFERROR(__xludf.DUMMYFUNCTION("INDIRECT(""'收支紀錄'!H""&amp;TO_TEXT(ROW()-$C$72))"),"日常生活")</f>
        <v>日常生活</v>
      </c>
      <c r="I1232" s="61" t="str">
        <f>IFERROR(__xludf.DUMMYFUNCTION("INDIRECT(""'收支紀錄'!I""&amp;TO_TEXT(ROW()-$C$72))"),"")</f>
        <v/>
      </c>
      <c r="J1232" s="61" t="str">
        <f>IFERROR(__xludf.DUMMYFUNCTION("INDIRECT(""'收支紀錄'!J""&amp;TO_TEXT(ROW()-$C$72))"),"日常用品")</f>
        <v>日常用品</v>
      </c>
      <c r="K1232" s="61" t="str">
        <f>IFERROR(__xludf.DUMMYFUNCTION("INDIRECT(""'收支紀錄'!K""&amp;TO_TEXT(ROW()-$C$72))"),"")</f>
        <v/>
      </c>
      <c r="L1232" s="61" t="str">
        <f>IFERROR(__xludf.DUMMYFUNCTION("INDIRECT(""'收支紀錄'!L""&amp;TO_TEXT(ROW()-$C$72))"),"")</f>
        <v/>
      </c>
      <c r="M1232" s="61" t="str">
        <f>IFERROR(__xludf.DUMMYFUNCTION("INDIRECT(""'收支紀錄'!M""&amp;TO_TEXT(ROW()-$C$72))"),"")</f>
        <v/>
      </c>
      <c r="N1232" s="61" t="str">
        <f>IFERROR(__xludf.DUMMYFUNCTION("INDIRECT(""'收支紀錄'!N""&amp;TO_TEXT(ROW()-$C$72))"),"")</f>
        <v/>
      </c>
      <c r="O1232" s="61" t="str">
        <f>IFERROR(__xludf.DUMMYFUNCTION("INDIRECT(""'收支紀錄'!O""&amp;TO_TEXT(ROW()-$C$72))"),"")</f>
        <v/>
      </c>
      <c r="P1232" s="61" t="str">
        <f>IFERROR(__xludf.DUMMYFUNCTION("INDIRECT(""'收支紀錄'!P""&amp;TO_TEXT(ROW()-$C$72))"),"")</f>
        <v/>
      </c>
      <c r="Q1232" s="61" t="str">
        <f>IFERROR(__xludf.DUMMYFUNCTION("INDIRECT(""'收支紀錄'!Q""&amp;TO_TEXT(ROW()-$C$72))"),"")</f>
        <v/>
      </c>
      <c r="R1232" s="61" t="str">
        <f>IFERROR(__xludf.DUMMYFUNCTION("INDIRECT(""'收支紀錄'!R""&amp;TO_TEXT(ROW()-$C$72))"),"")</f>
        <v/>
      </c>
      <c r="S1232" s="61" t="str">
        <f>IFERROR(__xludf.DUMMYFUNCTION("INDIRECT(""'收支紀錄'!S""&amp;TO_TEXT(ROW()-$C$72))"),"")</f>
        <v/>
      </c>
      <c r="T1232" s="61" t="str">
        <f>IFERROR(__xludf.DUMMYFUNCTION("INDIRECT(""'收支紀錄'!T""&amp;TO_TEXT(ROW()-$C$72))"),"")</f>
        <v/>
      </c>
      <c r="U1232" s="62" t="str">
        <f>IFERROR(__xludf.DUMMYFUNCTION("IF(T1232=""是"",TEXTJOIN("""", TRUE, ""$"", TO_TEXT(C1232), S1232),"""")"),"")</f>
        <v/>
      </c>
    </row>
    <row r="1233">
      <c r="A1233" s="58">
        <f>IFERROR(__xludf.DUMMYFUNCTION("INDIRECT(""'收支紀錄'!A""&amp;TO_TEXT(ROW()-$C$72))"),45950.36218876157)</f>
        <v>45950.36219</v>
      </c>
      <c r="B1233" s="59">
        <f>IFERROR(__xludf.DUMMYFUNCTION("IF(ISBLANK(D1233), """", IF(ISDATE(D1233), D1233, IF(D1233=""今天"", A1233, IF(D1233=""昨天 (-1 day)"", A1233-1, IF(D1233=""前天 (-2 days)"", A1233-2, IF(D1233=""明天 (+1 day)"", A1233+1, DATE(LEFT(D1233,4), MID(D1233,5,2), RIGHT(D1233,2))))))))"),45950.36218876157)</f>
        <v>45950.36219</v>
      </c>
      <c r="C1233" s="60">
        <f>IFERROR(__xludf.DUMMYFUNCTION("INDIRECT(""'收支紀錄'!C""&amp;TO_TEXT(ROW()-$C$72))"),1746.0)</f>
        <v>1746</v>
      </c>
      <c r="D1233" s="63" t="str">
        <f>IFERROR(__xludf.DUMMYFUNCTION("INDIRECT(""'收支紀錄'!D""&amp;TO_TEXT(ROW()-$C$72))"),"今天")</f>
        <v>今天</v>
      </c>
      <c r="E1233" s="61" t="str">
        <f>IFERROR(__xludf.DUMMYFUNCTION("INDIRECT(""'收支紀錄'!E""&amp;TO_TEXT(ROW()-$C$72))"),"")</f>
        <v/>
      </c>
      <c r="F1233" s="61" t="str">
        <f>IFERROR(__xludf.DUMMYFUNCTION("INDIRECT(""'收支紀錄'!F""&amp;TO_TEXT(ROW()-$C$72))"),"")</f>
        <v/>
      </c>
      <c r="G1233" s="61" t="str">
        <f>IFERROR(__xludf.DUMMYFUNCTION("INDIRECT(""'收支紀錄'!G""&amp;TO_TEXT(ROW()-$C$72))"),"")</f>
        <v/>
      </c>
      <c r="H1233" s="61" t="str">
        <f>IFERROR(__xludf.DUMMYFUNCTION("INDIRECT(""'收支紀錄'!H""&amp;TO_TEXT(ROW()-$C$72))"),"房屋支出")</f>
        <v>房屋支出</v>
      </c>
      <c r="I1233" s="61" t="str">
        <f>IFERROR(__xludf.DUMMYFUNCTION("INDIRECT(""'收支紀錄'!I""&amp;TO_TEXT(ROW()-$C$72))"),"")</f>
        <v/>
      </c>
      <c r="J1233" s="61" t="str">
        <f>IFERROR(__xludf.DUMMYFUNCTION("INDIRECT(""'收支紀錄'!J""&amp;TO_TEXT(ROW()-$C$72))"),"")</f>
        <v/>
      </c>
      <c r="K1233" s="61" t="str">
        <f>IFERROR(__xludf.DUMMYFUNCTION("INDIRECT(""'收支紀錄'!K""&amp;TO_TEXT(ROW()-$C$72))"),"電費")</f>
        <v>電費</v>
      </c>
      <c r="L1233" s="61" t="str">
        <f>IFERROR(__xludf.DUMMYFUNCTION("INDIRECT(""'收支紀錄'!L""&amp;TO_TEXT(ROW()-$C$72))"),"")</f>
        <v/>
      </c>
      <c r="M1233" s="61" t="str">
        <f>IFERROR(__xludf.DUMMYFUNCTION("INDIRECT(""'收支紀錄'!M""&amp;TO_TEXT(ROW()-$C$72))"),"")</f>
        <v/>
      </c>
      <c r="N1233" s="61" t="str">
        <f>IFERROR(__xludf.DUMMYFUNCTION("INDIRECT(""'收支紀錄'!N""&amp;TO_TEXT(ROW()-$C$72))"),"")</f>
        <v/>
      </c>
      <c r="O1233" s="61" t="str">
        <f>IFERROR(__xludf.DUMMYFUNCTION("INDIRECT(""'收支紀錄'!O""&amp;TO_TEXT(ROW()-$C$72))"),"")</f>
        <v/>
      </c>
      <c r="P1233" s="61" t="str">
        <f>IFERROR(__xludf.DUMMYFUNCTION("INDIRECT(""'收支紀錄'!P""&amp;TO_TEXT(ROW()-$C$72))"),"")</f>
        <v/>
      </c>
      <c r="Q1233" s="61" t="str">
        <f>IFERROR(__xludf.DUMMYFUNCTION("INDIRECT(""'收支紀錄'!Q""&amp;TO_TEXT(ROW()-$C$72))"),"")</f>
        <v/>
      </c>
      <c r="R1233" s="61" t="str">
        <f>IFERROR(__xludf.DUMMYFUNCTION("INDIRECT(""'收支紀錄'!R""&amp;TO_TEXT(ROW()-$C$72))"),"")</f>
        <v/>
      </c>
      <c r="S1233" s="61" t="str">
        <f>IFERROR(__xludf.DUMMYFUNCTION("INDIRECT(""'收支紀錄'!S""&amp;TO_TEXT(ROW()-$C$72))"),"")</f>
        <v/>
      </c>
      <c r="T1233" s="61" t="str">
        <f>IFERROR(__xludf.DUMMYFUNCTION("INDIRECT(""'收支紀錄'!T""&amp;TO_TEXT(ROW()-$C$72))"),"")</f>
        <v/>
      </c>
      <c r="U1233" s="62" t="str">
        <f>IFERROR(__xludf.DUMMYFUNCTION("IF(T1233=""是"",TEXTJOIN("""", TRUE, ""$"", TO_TEXT(C1233), S1233),"""")"),"")</f>
        <v/>
      </c>
    </row>
    <row r="1234">
      <c r="A1234" s="58">
        <f>IFERROR(__xludf.DUMMYFUNCTION("INDIRECT(""'收支紀錄'!A""&amp;TO_TEXT(ROW()-$C$72))"),45950.83851905093)</f>
        <v>45950.83852</v>
      </c>
      <c r="B1234" s="59">
        <f>IFERROR(__xludf.DUMMYFUNCTION("IF(ISBLANK(D1234), """", IF(ISDATE(D1234), D1234, IF(D1234=""今天"", A1234, IF(D1234=""昨天 (-1 day)"", A1234-1, IF(D1234=""前天 (-2 days)"", A1234-2, IF(D1234=""明天 (+1 day)"", A1234+1, DATE(LEFT(D1234,4), MID(D1234,5,2), RIGHT(D1234,2))))))))"),45950.83851905093)</f>
        <v>45950.83852</v>
      </c>
      <c r="C1234" s="60">
        <f>IFERROR(__xludf.DUMMYFUNCTION("INDIRECT(""'收支紀錄'!C""&amp;TO_TEXT(ROW()-$C$72))"),119.0)</f>
        <v>119</v>
      </c>
      <c r="D1234" s="63" t="str">
        <f>IFERROR(__xludf.DUMMYFUNCTION("INDIRECT(""'收支紀錄'!D""&amp;TO_TEXT(ROW()-$C$72))"),"今天")</f>
        <v>今天</v>
      </c>
      <c r="E1234" s="61" t="str">
        <f>IFERROR(__xludf.DUMMYFUNCTION("INDIRECT(""'收支紀錄'!E""&amp;TO_TEXT(ROW()-$C$72))"),"")</f>
        <v/>
      </c>
      <c r="F1234" s="61" t="str">
        <f>IFERROR(__xludf.DUMMYFUNCTION("INDIRECT(""'收支紀錄'!F""&amp;TO_TEXT(ROW()-$C$72))"),"")</f>
        <v/>
      </c>
      <c r="G1234" s="61" t="str">
        <f>IFERROR(__xludf.DUMMYFUNCTION("INDIRECT(""'收支紀錄'!G""&amp;TO_TEXT(ROW()-$C$72))"),"")</f>
        <v/>
      </c>
      <c r="H1234" s="61" t="str">
        <f>IFERROR(__xludf.DUMMYFUNCTION("INDIRECT(""'收支紀錄'!H""&amp;TO_TEXT(ROW()-$C$72))"),"行車交通")</f>
        <v>行車交通</v>
      </c>
      <c r="I1234" s="61" t="str">
        <f>IFERROR(__xludf.DUMMYFUNCTION("INDIRECT(""'收支紀錄'!I""&amp;TO_TEXT(ROW()-$C$72))"),"")</f>
        <v/>
      </c>
      <c r="J1234" s="61" t="str">
        <f>IFERROR(__xludf.DUMMYFUNCTION("INDIRECT(""'收支紀錄'!J""&amp;TO_TEXT(ROW()-$C$72))"),"")</f>
        <v/>
      </c>
      <c r="K1234" s="61" t="str">
        <f>IFERROR(__xludf.DUMMYFUNCTION("INDIRECT(""'收支紀錄'!K""&amp;TO_TEXT(ROW()-$C$72))"),"")</f>
        <v/>
      </c>
      <c r="L1234" s="61" t="str">
        <f>IFERROR(__xludf.DUMMYFUNCTION("INDIRECT(""'收支紀錄'!L""&amp;TO_TEXT(ROW()-$C$72))"),"加油")</f>
        <v>加油</v>
      </c>
      <c r="M1234" s="61" t="str">
        <f>IFERROR(__xludf.DUMMYFUNCTION("INDIRECT(""'收支紀錄'!M""&amp;TO_TEXT(ROW()-$C$72))"),"")</f>
        <v/>
      </c>
      <c r="N1234" s="61" t="str">
        <f>IFERROR(__xludf.DUMMYFUNCTION("INDIRECT(""'收支紀錄'!N""&amp;TO_TEXT(ROW()-$C$72))"),"")</f>
        <v/>
      </c>
      <c r="O1234" s="61" t="str">
        <f>IFERROR(__xludf.DUMMYFUNCTION("INDIRECT(""'收支紀錄'!O""&amp;TO_TEXT(ROW()-$C$72))"),"")</f>
        <v/>
      </c>
      <c r="P1234" s="61" t="str">
        <f>IFERROR(__xludf.DUMMYFUNCTION("INDIRECT(""'收支紀錄'!P""&amp;TO_TEXT(ROW()-$C$72))"),"")</f>
        <v/>
      </c>
      <c r="Q1234" s="61" t="str">
        <f>IFERROR(__xludf.DUMMYFUNCTION("INDIRECT(""'收支紀錄'!Q""&amp;TO_TEXT(ROW()-$C$72))"),"")</f>
        <v/>
      </c>
      <c r="R1234" s="61" t="str">
        <f>IFERROR(__xludf.DUMMYFUNCTION("INDIRECT(""'收支紀錄'!R""&amp;TO_TEXT(ROW()-$C$72))"),"")</f>
        <v/>
      </c>
      <c r="S1234" s="61" t="str">
        <f>IFERROR(__xludf.DUMMYFUNCTION("INDIRECT(""'收支紀錄'!S""&amp;TO_TEXT(ROW()-$C$72))"),"")</f>
        <v/>
      </c>
      <c r="T1234" s="61" t="str">
        <f>IFERROR(__xludf.DUMMYFUNCTION("INDIRECT(""'收支紀錄'!T""&amp;TO_TEXT(ROW()-$C$72))"),"")</f>
        <v/>
      </c>
      <c r="U1234" s="62" t="str">
        <f>IFERROR(__xludf.DUMMYFUNCTION("IF(T1234=""是"",TEXTJOIN("""", TRUE, ""$"", TO_TEXT(C1234), S1234),"""")"),"")</f>
        <v/>
      </c>
    </row>
    <row r="1235">
      <c r="A1235" s="58">
        <f>IFERROR(__xludf.DUMMYFUNCTION("INDIRECT(""'收支紀錄'!A""&amp;TO_TEXT(ROW()-$C$72))"),45950.83865849537)</f>
        <v>45950.83866</v>
      </c>
      <c r="B1235" s="59">
        <f>IFERROR(__xludf.DUMMYFUNCTION("IF(ISBLANK(D1235), """", IF(ISDATE(D1235), D1235, IF(D1235=""今天"", A1235, IF(D1235=""昨天 (-1 day)"", A1235-1, IF(D1235=""前天 (-2 days)"", A1235-2, IF(D1235=""明天 (+1 day)"", A1235+1, DATE(LEFT(D1235,4), MID(D1235,5,2), RIGHT(D1235,2))))))))"),45950.83865849537)</f>
        <v>45950.83866</v>
      </c>
      <c r="C1235" s="60">
        <f>IFERROR(__xludf.DUMMYFUNCTION("INDIRECT(""'收支紀錄'!C""&amp;TO_TEXT(ROW()-$C$72))"),60.0)</f>
        <v>60</v>
      </c>
      <c r="D1235" s="63" t="str">
        <f>IFERROR(__xludf.DUMMYFUNCTION("INDIRECT(""'收支紀錄'!D""&amp;TO_TEXT(ROW()-$C$72))"),"今天")</f>
        <v>今天</v>
      </c>
      <c r="E1235" s="61" t="str">
        <f>IFERROR(__xludf.DUMMYFUNCTION("INDIRECT(""'收支紀錄'!E""&amp;TO_TEXT(ROW()-$C$72))"),"")</f>
        <v/>
      </c>
      <c r="F1235" s="61" t="str">
        <f>IFERROR(__xludf.DUMMYFUNCTION("INDIRECT(""'收支紀錄'!F""&amp;TO_TEXT(ROW()-$C$72))"),"")</f>
        <v/>
      </c>
      <c r="G1235" s="61" t="str">
        <f>IFERROR(__xludf.DUMMYFUNCTION("INDIRECT(""'收支紀錄'!G""&amp;TO_TEXT(ROW()-$C$72))"),"")</f>
        <v/>
      </c>
      <c r="H1235" s="61" t="str">
        <f>IFERROR(__xludf.DUMMYFUNCTION("INDIRECT(""'收支紀錄'!H""&amp;TO_TEXT(ROW()-$C$72))"),"日常生活")</f>
        <v>日常生活</v>
      </c>
      <c r="I1235" s="61" t="str">
        <f>IFERROR(__xludf.DUMMYFUNCTION("INDIRECT(""'收支紀錄'!I""&amp;TO_TEXT(ROW()-$C$72))"),"")</f>
        <v/>
      </c>
      <c r="J1235" s="61" t="str">
        <f>IFERROR(__xludf.DUMMYFUNCTION("INDIRECT(""'收支紀錄'!J""&amp;TO_TEXT(ROW()-$C$72))"),"日常用品")</f>
        <v>日常用品</v>
      </c>
      <c r="K1235" s="61" t="str">
        <f>IFERROR(__xludf.DUMMYFUNCTION("INDIRECT(""'收支紀錄'!K""&amp;TO_TEXT(ROW()-$C$72))"),"")</f>
        <v/>
      </c>
      <c r="L1235" s="61" t="str">
        <f>IFERROR(__xludf.DUMMYFUNCTION("INDIRECT(""'收支紀錄'!L""&amp;TO_TEXT(ROW()-$C$72))"),"")</f>
        <v/>
      </c>
      <c r="M1235" s="61" t="str">
        <f>IFERROR(__xludf.DUMMYFUNCTION("INDIRECT(""'收支紀錄'!M""&amp;TO_TEXT(ROW()-$C$72))"),"")</f>
        <v/>
      </c>
      <c r="N1235" s="61" t="str">
        <f>IFERROR(__xludf.DUMMYFUNCTION("INDIRECT(""'收支紀錄'!N""&amp;TO_TEXT(ROW()-$C$72))"),"")</f>
        <v/>
      </c>
      <c r="O1235" s="61" t="str">
        <f>IFERROR(__xludf.DUMMYFUNCTION("INDIRECT(""'收支紀錄'!O""&amp;TO_TEXT(ROW()-$C$72))"),"")</f>
        <v/>
      </c>
      <c r="P1235" s="61" t="str">
        <f>IFERROR(__xludf.DUMMYFUNCTION("INDIRECT(""'收支紀錄'!P""&amp;TO_TEXT(ROW()-$C$72))"),"")</f>
        <v/>
      </c>
      <c r="Q1235" s="61" t="str">
        <f>IFERROR(__xludf.DUMMYFUNCTION("INDIRECT(""'收支紀錄'!Q""&amp;TO_TEXT(ROW()-$C$72))"),"")</f>
        <v/>
      </c>
      <c r="R1235" s="61" t="str">
        <f>IFERROR(__xludf.DUMMYFUNCTION("INDIRECT(""'收支紀錄'!R""&amp;TO_TEXT(ROW()-$C$72))"),"")</f>
        <v/>
      </c>
      <c r="S1235" s="61" t="str">
        <f>IFERROR(__xludf.DUMMYFUNCTION("INDIRECT(""'收支紀錄'!S""&amp;TO_TEXT(ROW()-$C$72))"),"")</f>
        <v/>
      </c>
      <c r="T1235" s="61" t="str">
        <f>IFERROR(__xludf.DUMMYFUNCTION("INDIRECT(""'收支紀錄'!T""&amp;TO_TEXT(ROW()-$C$72))"),"")</f>
        <v/>
      </c>
      <c r="U1235" s="62" t="str">
        <f>IFERROR(__xludf.DUMMYFUNCTION("IF(T1235=""是"",TEXTJOIN("""", TRUE, ""$"", TO_TEXT(C1235), S1235),"""")"),"")</f>
        <v/>
      </c>
    </row>
    <row r="1236">
      <c r="A1236" s="58">
        <f>IFERROR(__xludf.DUMMYFUNCTION("INDIRECT(""'收支紀錄'!A""&amp;TO_TEXT(ROW()-$C$72))"),45954.38166366898)</f>
        <v>45954.38166</v>
      </c>
      <c r="B1236" s="59">
        <f>IFERROR(__xludf.DUMMYFUNCTION("IF(ISBLANK(D1236), """", IF(ISDATE(D1236), D1236, IF(D1236=""今天"", A1236, IF(D1236=""昨天 (-1 day)"", A1236-1, IF(D1236=""前天 (-2 days)"", A1236-2, IF(D1236=""明天 (+1 day)"", A1236+1, DATE(LEFT(D1236,4), MID(D1236,5,2), RIGHT(D1236,2))))))))"),45953.38166366898)</f>
        <v>45953.38166</v>
      </c>
      <c r="C1236" s="60">
        <f>IFERROR(__xludf.DUMMYFUNCTION("INDIRECT(""'收支紀錄'!C""&amp;TO_TEXT(ROW()-$C$72))"),1500.0)</f>
        <v>1500</v>
      </c>
      <c r="D1236" s="63" t="str">
        <f>IFERROR(__xludf.DUMMYFUNCTION("INDIRECT(""'收支紀錄'!D""&amp;TO_TEXT(ROW()-$C$72))"),"昨天 (-1 day)")</f>
        <v>昨天 (-1 day)</v>
      </c>
      <c r="E1236" s="61" t="str">
        <f>IFERROR(__xludf.DUMMYFUNCTION("INDIRECT(""'收支紀錄'!E""&amp;TO_TEXT(ROW()-$C$72))"),"")</f>
        <v/>
      </c>
      <c r="F1236" s="61" t="str">
        <f>IFERROR(__xludf.DUMMYFUNCTION("INDIRECT(""'收支紀錄'!F""&amp;TO_TEXT(ROW()-$C$72))"),"")</f>
        <v/>
      </c>
      <c r="G1236" s="61" t="str">
        <f>IFERROR(__xludf.DUMMYFUNCTION("INDIRECT(""'收支紀錄'!G""&amp;TO_TEXT(ROW()-$C$72))"),"")</f>
        <v/>
      </c>
      <c r="H1236" s="61" t="str">
        <f>IFERROR(__xludf.DUMMYFUNCTION("INDIRECT(""'收支紀錄'!H""&amp;TO_TEXT(ROW()-$C$72))"),"日常生活")</f>
        <v>日常生活</v>
      </c>
      <c r="I1236" s="61" t="str">
        <f>IFERROR(__xludf.DUMMYFUNCTION("INDIRECT(""'收支紀錄'!I""&amp;TO_TEXT(ROW()-$C$72))"),"")</f>
        <v/>
      </c>
      <c r="J1236" s="61" t="str">
        <f>IFERROR(__xludf.DUMMYFUNCTION("INDIRECT(""'收支紀錄'!J""&amp;TO_TEXT(ROW()-$C$72))"),"日常用品")</f>
        <v>日常用品</v>
      </c>
      <c r="K1236" s="61" t="str">
        <f>IFERROR(__xludf.DUMMYFUNCTION("INDIRECT(""'收支紀錄'!K""&amp;TO_TEXT(ROW()-$C$72))"),"")</f>
        <v/>
      </c>
      <c r="L1236" s="61" t="str">
        <f>IFERROR(__xludf.DUMMYFUNCTION("INDIRECT(""'收支紀錄'!L""&amp;TO_TEXT(ROW()-$C$72))"),"")</f>
        <v/>
      </c>
      <c r="M1236" s="61" t="str">
        <f>IFERROR(__xludf.DUMMYFUNCTION("INDIRECT(""'收支紀錄'!M""&amp;TO_TEXT(ROW()-$C$72))"),"")</f>
        <v/>
      </c>
      <c r="N1236" s="61" t="str">
        <f>IFERROR(__xludf.DUMMYFUNCTION("INDIRECT(""'收支紀錄'!N""&amp;TO_TEXT(ROW()-$C$72))"),"")</f>
        <v/>
      </c>
      <c r="O1236" s="61" t="str">
        <f>IFERROR(__xludf.DUMMYFUNCTION("INDIRECT(""'收支紀錄'!O""&amp;TO_TEXT(ROW()-$C$72))"),"")</f>
        <v/>
      </c>
      <c r="P1236" s="61" t="str">
        <f>IFERROR(__xludf.DUMMYFUNCTION("INDIRECT(""'收支紀錄'!P""&amp;TO_TEXT(ROW()-$C$72))"),"")</f>
        <v/>
      </c>
      <c r="Q1236" s="61" t="str">
        <f>IFERROR(__xludf.DUMMYFUNCTION("INDIRECT(""'收支紀錄'!Q""&amp;TO_TEXT(ROW()-$C$72))"),"")</f>
        <v/>
      </c>
      <c r="R1236" s="61" t="str">
        <f>IFERROR(__xludf.DUMMYFUNCTION("INDIRECT(""'收支紀錄'!R""&amp;TO_TEXT(ROW()-$C$72))"),"")</f>
        <v/>
      </c>
      <c r="S1236" s="61" t="str">
        <f>IFERROR(__xludf.DUMMYFUNCTION("INDIRECT(""'收支紀錄'!S""&amp;TO_TEXT(ROW()-$C$72))"),"")</f>
        <v/>
      </c>
      <c r="T1236" s="61" t="str">
        <f>IFERROR(__xludf.DUMMYFUNCTION("INDIRECT(""'收支紀錄'!T""&amp;TO_TEXT(ROW()-$C$72))"),"")</f>
        <v/>
      </c>
      <c r="U1236" s="62" t="str">
        <f>IFERROR(__xludf.DUMMYFUNCTION("IF(T1236=""是"",TEXTJOIN("""", TRUE, ""$"", TO_TEXT(C1236), S1236),"""")"),"")</f>
        <v/>
      </c>
    </row>
    <row r="1237">
      <c r="A1237" s="58">
        <f>IFERROR(__xludf.DUMMYFUNCTION("INDIRECT(""'收支紀錄'!A""&amp;TO_TEXT(ROW()-$C$72))"),45954.625613564815)</f>
        <v>45954.62561</v>
      </c>
      <c r="B1237" s="59">
        <f>IFERROR(__xludf.DUMMYFUNCTION("IF(ISBLANK(D1237), """", IF(ISDATE(D1237), D1237, IF(D1237=""今天"", A1237, IF(D1237=""昨天 (-1 day)"", A1237-1, IF(D1237=""前天 (-2 days)"", A1237-2, IF(D1237=""明天 (+1 day)"", A1237+1, DATE(LEFT(D1237,4), MID(D1237,5,2), RIGHT(D1237,2))))))))"),45954.625613564815)</f>
        <v>45954.62561</v>
      </c>
      <c r="C1237" s="60">
        <f>IFERROR(__xludf.DUMMYFUNCTION("INDIRECT(""'收支紀錄'!C""&amp;TO_TEXT(ROW()-$C$72))"),100.0)</f>
        <v>100</v>
      </c>
      <c r="D1237" s="63" t="str">
        <f>IFERROR(__xludf.DUMMYFUNCTION("INDIRECT(""'收支紀錄'!D""&amp;TO_TEXT(ROW()-$C$72))"),"今天")</f>
        <v>今天</v>
      </c>
      <c r="E1237" s="61" t="str">
        <f>IFERROR(__xludf.DUMMYFUNCTION("INDIRECT(""'收支紀錄'!E""&amp;TO_TEXT(ROW()-$C$72))"),"")</f>
        <v/>
      </c>
      <c r="F1237" s="61" t="str">
        <f>IFERROR(__xludf.DUMMYFUNCTION("INDIRECT(""'收支紀錄'!F""&amp;TO_TEXT(ROW()-$C$72))"),"")</f>
        <v/>
      </c>
      <c r="G1237" s="61" t="str">
        <f>IFERROR(__xludf.DUMMYFUNCTION("INDIRECT(""'收支紀錄'!G""&amp;TO_TEXT(ROW()-$C$72))"),"")</f>
        <v/>
      </c>
      <c r="H1237" s="61" t="str">
        <f>IFERROR(__xludf.DUMMYFUNCTION("INDIRECT(""'收支紀錄'!H""&amp;TO_TEXT(ROW()-$C$72))"),"食品酒水")</f>
        <v>食品酒水</v>
      </c>
      <c r="I1237" s="61" t="str">
        <f>IFERROR(__xludf.DUMMYFUNCTION("INDIRECT(""'收支紀錄'!I""&amp;TO_TEXT(ROW()-$C$72))"),"飲料酒水")</f>
        <v>飲料酒水</v>
      </c>
      <c r="J1237" s="61" t="str">
        <f>IFERROR(__xludf.DUMMYFUNCTION("INDIRECT(""'收支紀錄'!J""&amp;TO_TEXT(ROW()-$C$72))"),"")</f>
        <v/>
      </c>
      <c r="K1237" s="61" t="str">
        <f>IFERROR(__xludf.DUMMYFUNCTION("INDIRECT(""'收支紀錄'!K""&amp;TO_TEXT(ROW()-$C$72))"),"")</f>
        <v/>
      </c>
      <c r="L1237" s="61" t="str">
        <f>IFERROR(__xludf.DUMMYFUNCTION("INDIRECT(""'收支紀錄'!L""&amp;TO_TEXT(ROW()-$C$72))"),"")</f>
        <v/>
      </c>
      <c r="M1237" s="61" t="str">
        <f>IFERROR(__xludf.DUMMYFUNCTION("INDIRECT(""'收支紀錄'!M""&amp;TO_TEXT(ROW()-$C$72))"),"")</f>
        <v/>
      </c>
      <c r="N1237" s="61" t="str">
        <f>IFERROR(__xludf.DUMMYFUNCTION("INDIRECT(""'收支紀錄'!N""&amp;TO_TEXT(ROW()-$C$72))"),"")</f>
        <v/>
      </c>
      <c r="O1237" s="61" t="str">
        <f>IFERROR(__xludf.DUMMYFUNCTION("INDIRECT(""'收支紀錄'!O""&amp;TO_TEXT(ROW()-$C$72))"),"")</f>
        <v/>
      </c>
      <c r="P1237" s="61" t="str">
        <f>IFERROR(__xludf.DUMMYFUNCTION("INDIRECT(""'收支紀錄'!P""&amp;TO_TEXT(ROW()-$C$72))"),"")</f>
        <v/>
      </c>
      <c r="Q1237" s="61" t="str">
        <f>IFERROR(__xludf.DUMMYFUNCTION("INDIRECT(""'收支紀錄'!Q""&amp;TO_TEXT(ROW()-$C$72))"),"")</f>
        <v/>
      </c>
      <c r="R1237" s="61" t="str">
        <f>IFERROR(__xludf.DUMMYFUNCTION("INDIRECT(""'收支紀錄'!R""&amp;TO_TEXT(ROW()-$C$72))"),"")</f>
        <v/>
      </c>
      <c r="S1237" s="61" t="str">
        <f>IFERROR(__xludf.DUMMYFUNCTION("INDIRECT(""'收支紀錄'!S""&amp;TO_TEXT(ROW()-$C$72))"),"")</f>
        <v/>
      </c>
      <c r="T1237" s="61" t="str">
        <f>IFERROR(__xludf.DUMMYFUNCTION("INDIRECT(""'收支紀錄'!T""&amp;TO_TEXT(ROW()-$C$72))"),"")</f>
        <v/>
      </c>
      <c r="U1237" s="62" t="str">
        <f>IFERROR(__xludf.DUMMYFUNCTION("IF(T1237=""是"",TEXTJOIN("""", TRUE, ""$"", TO_TEXT(C1237), S1237),"""")"),"")</f>
        <v/>
      </c>
    </row>
    <row r="1238">
      <c r="A1238" s="58">
        <f>IFERROR(__xludf.DUMMYFUNCTION("INDIRECT(""'收支紀錄'!A""&amp;TO_TEXT(ROW()-$C$72))"),45954.62575388889)</f>
        <v>45954.62575</v>
      </c>
      <c r="B1238" s="59">
        <f>IFERROR(__xludf.DUMMYFUNCTION("IF(ISBLANK(D1238), """", IF(ISDATE(D1238), D1238, IF(D1238=""今天"", A1238, IF(D1238=""昨天 (-1 day)"", A1238-1, IF(D1238=""前天 (-2 days)"", A1238-2, IF(D1238=""明天 (+1 day)"", A1238+1, DATE(LEFT(D1238,4), MID(D1238,5,2), RIGHT(D1238,2))))))))"),45954.62575388889)</f>
        <v>45954.62575</v>
      </c>
      <c r="C1238" s="60">
        <f>IFERROR(__xludf.DUMMYFUNCTION("INDIRECT(""'收支紀錄'!C""&amp;TO_TEXT(ROW()-$C$72))"),247.0)</f>
        <v>247</v>
      </c>
      <c r="D1238" s="63" t="str">
        <f>IFERROR(__xludf.DUMMYFUNCTION("INDIRECT(""'收支紀錄'!D""&amp;TO_TEXT(ROW()-$C$72))"),"今天")</f>
        <v>今天</v>
      </c>
      <c r="E1238" s="61" t="str">
        <f>IFERROR(__xludf.DUMMYFUNCTION("INDIRECT(""'收支紀錄'!E""&amp;TO_TEXT(ROW()-$C$72))"),"")</f>
        <v/>
      </c>
      <c r="F1238" s="61" t="str">
        <f>IFERROR(__xludf.DUMMYFUNCTION("INDIRECT(""'收支紀錄'!F""&amp;TO_TEXT(ROW()-$C$72))"),"")</f>
        <v/>
      </c>
      <c r="G1238" s="61" t="str">
        <f>IFERROR(__xludf.DUMMYFUNCTION("INDIRECT(""'收支紀錄'!G""&amp;TO_TEXT(ROW()-$C$72))"),"")</f>
        <v/>
      </c>
      <c r="H1238" s="61" t="str">
        <f>IFERROR(__xludf.DUMMYFUNCTION("INDIRECT(""'收支紀錄'!H""&amp;TO_TEXT(ROW()-$C$72))"),"食品酒水")</f>
        <v>食品酒水</v>
      </c>
      <c r="I1238" s="61" t="str">
        <f>IFERROR(__xludf.DUMMYFUNCTION("INDIRECT(""'收支紀錄'!I""&amp;TO_TEXT(ROW()-$C$72))"),"下午茶")</f>
        <v>下午茶</v>
      </c>
      <c r="J1238" s="61" t="str">
        <f>IFERROR(__xludf.DUMMYFUNCTION("INDIRECT(""'收支紀錄'!J""&amp;TO_TEXT(ROW()-$C$72))"),"")</f>
        <v/>
      </c>
      <c r="K1238" s="61" t="str">
        <f>IFERROR(__xludf.DUMMYFUNCTION("INDIRECT(""'收支紀錄'!K""&amp;TO_TEXT(ROW()-$C$72))"),"")</f>
        <v/>
      </c>
      <c r="L1238" s="61" t="str">
        <f>IFERROR(__xludf.DUMMYFUNCTION("INDIRECT(""'收支紀錄'!L""&amp;TO_TEXT(ROW()-$C$72))"),"")</f>
        <v/>
      </c>
      <c r="M1238" s="61" t="str">
        <f>IFERROR(__xludf.DUMMYFUNCTION("INDIRECT(""'收支紀錄'!M""&amp;TO_TEXT(ROW()-$C$72))"),"")</f>
        <v/>
      </c>
      <c r="N1238" s="61" t="str">
        <f>IFERROR(__xludf.DUMMYFUNCTION("INDIRECT(""'收支紀錄'!N""&amp;TO_TEXT(ROW()-$C$72))"),"")</f>
        <v/>
      </c>
      <c r="O1238" s="61" t="str">
        <f>IFERROR(__xludf.DUMMYFUNCTION("INDIRECT(""'收支紀錄'!O""&amp;TO_TEXT(ROW()-$C$72))"),"")</f>
        <v/>
      </c>
      <c r="P1238" s="61" t="str">
        <f>IFERROR(__xludf.DUMMYFUNCTION("INDIRECT(""'收支紀錄'!P""&amp;TO_TEXT(ROW()-$C$72))"),"")</f>
        <v/>
      </c>
      <c r="Q1238" s="61" t="str">
        <f>IFERROR(__xludf.DUMMYFUNCTION("INDIRECT(""'收支紀錄'!Q""&amp;TO_TEXT(ROW()-$C$72))"),"")</f>
        <v/>
      </c>
      <c r="R1238" s="61" t="str">
        <f>IFERROR(__xludf.DUMMYFUNCTION("INDIRECT(""'收支紀錄'!R""&amp;TO_TEXT(ROW()-$C$72))"),"")</f>
        <v/>
      </c>
      <c r="S1238" s="61" t="str">
        <f>IFERROR(__xludf.DUMMYFUNCTION("INDIRECT(""'收支紀錄'!S""&amp;TO_TEXT(ROW()-$C$72))"),"")</f>
        <v/>
      </c>
      <c r="T1238" s="61" t="str">
        <f>IFERROR(__xludf.DUMMYFUNCTION("INDIRECT(""'收支紀錄'!T""&amp;TO_TEXT(ROW()-$C$72))"),"")</f>
        <v/>
      </c>
      <c r="U1238" s="62" t="str">
        <f>IFERROR(__xludf.DUMMYFUNCTION("IF(T1238=""是"",TEXTJOIN("""", TRUE, ""$"", TO_TEXT(C1238), S1238),"""")"),"")</f>
        <v/>
      </c>
    </row>
    <row r="1239">
      <c r="A1239" s="58">
        <f>IFERROR(__xludf.DUMMYFUNCTION("INDIRECT(""'收支紀錄'!A""&amp;TO_TEXT(ROW()-$C$72))"),45954.76643004629)</f>
        <v>45954.76643</v>
      </c>
      <c r="B1239" s="59">
        <f>IFERROR(__xludf.DUMMYFUNCTION("IF(ISBLANK(D1239), """", IF(ISDATE(D1239), D1239, IF(D1239=""今天"", A1239, IF(D1239=""昨天 (-1 day)"", A1239-1, IF(D1239=""前天 (-2 days)"", A1239-2, IF(D1239=""明天 (+1 day)"", A1239+1, DATE(LEFT(D1239,4), MID(D1239,5,2), RIGHT(D1239,2))))))))"),45954.76643004629)</f>
        <v>45954.76643</v>
      </c>
      <c r="C1239" s="60">
        <f>IFERROR(__xludf.DUMMYFUNCTION("INDIRECT(""'收支紀錄'!C""&amp;TO_TEXT(ROW()-$C$72))"),200.0)</f>
        <v>200</v>
      </c>
      <c r="D1239" s="63" t="str">
        <f>IFERROR(__xludf.DUMMYFUNCTION("INDIRECT(""'收支紀錄'!D""&amp;TO_TEXT(ROW()-$C$72))"),"今天")</f>
        <v>今天</v>
      </c>
      <c r="E1239" s="61" t="str">
        <f>IFERROR(__xludf.DUMMYFUNCTION("INDIRECT(""'收支紀錄'!E""&amp;TO_TEXT(ROW()-$C$72))"),"")</f>
        <v/>
      </c>
      <c r="F1239" s="61" t="str">
        <f>IFERROR(__xludf.DUMMYFUNCTION("INDIRECT(""'收支紀錄'!F""&amp;TO_TEXT(ROW()-$C$72))"),"")</f>
        <v/>
      </c>
      <c r="G1239" s="61" t="str">
        <f>IFERROR(__xludf.DUMMYFUNCTION("INDIRECT(""'收支紀錄'!G""&amp;TO_TEXT(ROW()-$C$72))"),"")</f>
        <v/>
      </c>
      <c r="H1239" s="61" t="str">
        <f>IFERROR(__xludf.DUMMYFUNCTION("INDIRECT(""'收支紀錄'!H""&amp;TO_TEXT(ROW()-$C$72))"),"食品酒水")</f>
        <v>食品酒水</v>
      </c>
      <c r="I1239" s="61" t="str">
        <f>IFERROR(__xludf.DUMMYFUNCTION("INDIRECT(""'收支紀錄'!I""&amp;TO_TEXT(ROW()-$C$72))"),"晚餐")</f>
        <v>晚餐</v>
      </c>
      <c r="J1239" s="61" t="str">
        <f>IFERROR(__xludf.DUMMYFUNCTION("INDIRECT(""'收支紀錄'!J""&amp;TO_TEXT(ROW()-$C$72))"),"")</f>
        <v/>
      </c>
      <c r="K1239" s="61" t="str">
        <f>IFERROR(__xludf.DUMMYFUNCTION("INDIRECT(""'收支紀錄'!K""&amp;TO_TEXT(ROW()-$C$72))"),"")</f>
        <v/>
      </c>
      <c r="L1239" s="61" t="str">
        <f>IFERROR(__xludf.DUMMYFUNCTION("INDIRECT(""'收支紀錄'!L""&amp;TO_TEXT(ROW()-$C$72))"),"")</f>
        <v/>
      </c>
      <c r="M1239" s="61" t="str">
        <f>IFERROR(__xludf.DUMMYFUNCTION("INDIRECT(""'收支紀錄'!M""&amp;TO_TEXT(ROW()-$C$72))"),"")</f>
        <v/>
      </c>
      <c r="N1239" s="61" t="str">
        <f>IFERROR(__xludf.DUMMYFUNCTION("INDIRECT(""'收支紀錄'!N""&amp;TO_TEXT(ROW()-$C$72))"),"")</f>
        <v/>
      </c>
      <c r="O1239" s="61" t="str">
        <f>IFERROR(__xludf.DUMMYFUNCTION("INDIRECT(""'收支紀錄'!O""&amp;TO_TEXT(ROW()-$C$72))"),"")</f>
        <v/>
      </c>
      <c r="P1239" s="61" t="str">
        <f>IFERROR(__xludf.DUMMYFUNCTION("INDIRECT(""'收支紀錄'!P""&amp;TO_TEXT(ROW()-$C$72))"),"")</f>
        <v/>
      </c>
      <c r="Q1239" s="61" t="str">
        <f>IFERROR(__xludf.DUMMYFUNCTION("INDIRECT(""'收支紀錄'!Q""&amp;TO_TEXT(ROW()-$C$72))"),"")</f>
        <v/>
      </c>
      <c r="R1239" s="61" t="str">
        <f>IFERROR(__xludf.DUMMYFUNCTION("INDIRECT(""'收支紀錄'!R""&amp;TO_TEXT(ROW()-$C$72))"),"")</f>
        <v/>
      </c>
      <c r="S1239" s="61" t="str">
        <f>IFERROR(__xludf.DUMMYFUNCTION("INDIRECT(""'收支紀錄'!S""&amp;TO_TEXT(ROW()-$C$72))"),"")</f>
        <v/>
      </c>
      <c r="T1239" s="61" t="str">
        <f>IFERROR(__xludf.DUMMYFUNCTION("INDIRECT(""'收支紀錄'!T""&amp;TO_TEXT(ROW()-$C$72))"),"")</f>
        <v/>
      </c>
      <c r="U1239" s="62" t="str">
        <f>IFERROR(__xludf.DUMMYFUNCTION("IF(T1239=""是"",TEXTJOIN("""", TRUE, ""$"", TO_TEXT(C1239), S1239),"""")"),"")</f>
        <v/>
      </c>
    </row>
    <row r="1240">
      <c r="A1240" s="58">
        <f>IFERROR(__xludf.DUMMYFUNCTION("INDIRECT(""'收支紀錄'!A""&amp;TO_TEXT(ROW()-$C$72))"),45955.30095527778)</f>
        <v>45955.30096</v>
      </c>
      <c r="B1240" s="59">
        <f>IFERROR(__xludf.DUMMYFUNCTION("IF(ISBLANK(D1240), """", IF(ISDATE(D1240), D1240, IF(D1240=""今天"", A1240, IF(D1240=""昨天 (-1 day)"", A1240-1, IF(D1240=""前天 (-2 days)"", A1240-2, IF(D1240=""明天 (+1 day)"", A1240+1, DATE(LEFT(D1240,4), MID(D1240,5,2), RIGHT(D1240,2))))))))"),45954.30095527778)</f>
        <v>45954.30096</v>
      </c>
      <c r="C1240" s="60">
        <f>IFERROR(__xludf.DUMMYFUNCTION("INDIRECT(""'收支紀錄'!C""&amp;TO_TEXT(ROW()-$C$72))"),20.0)</f>
        <v>20</v>
      </c>
      <c r="D1240" s="63" t="str">
        <f>IFERROR(__xludf.DUMMYFUNCTION("INDIRECT(""'收支紀錄'!D""&amp;TO_TEXT(ROW()-$C$72))"),"昨天 (-1 day)")</f>
        <v>昨天 (-1 day)</v>
      </c>
      <c r="E1240" s="61" t="str">
        <f>IFERROR(__xludf.DUMMYFUNCTION("INDIRECT(""'收支紀錄'!E""&amp;TO_TEXT(ROW()-$C$72))"),"")</f>
        <v/>
      </c>
      <c r="F1240" s="61" t="str">
        <f>IFERROR(__xludf.DUMMYFUNCTION("INDIRECT(""'收支紀錄'!F""&amp;TO_TEXT(ROW()-$C$72))"),"")</f>
        <v/>
      </c>
      <c r="G1240" s="61" t="str">
        <f>IFERROR(__xludf.DUMMYFUNCTION("INDIRECT(""'收支紀錄'!G""&amp;TO_TEXT(ROW()-$C$72))"),"")</f>
        <v/>
      </c>
      <c r="H1240" s="61" t="str">
        <f>IFERROR(__xludf.DUMMYFUNCTION("INDIRECT(""'收支紀錄'!H""&amp;TO_TEXT(ROW()-$C$72))"),"行車交通")</f>
        <v>行車交通</v>
      </c>
      <c r="I1240" s="61" t="str">
        <f>IFERROR(__xludf.DUMMYFUNCTION("INDIRECT(""'收支紀錄'!I""&amp;TO_TEXT(ROW()-$C$72))"),"")</f>
        <v/>
      </c>
      <c r="J1240" s="61" t="str">
        <f>IFERROR(__xludf.DUMMYFUNCTION("INDIRECT(""'收支紀錄'!J""&amp;TO_TEXT(ROW()-$C$72))"),"")</f>
        <v/>
      </c>
      <c r="K1240" s="61" t="str">
        <f>IFERROR(__xludf.DUMMYFUNCTION("INDIRECT(""'收支紀錄'!K""&amp;TO_TEXT(ROW()-$C$72))"),"")</f>
        <v/>
      </c>
      <c r="L1240" s="61" t="str">
        <f>IFERROR(__xludf.DUMMYFUNCTION("INDIRECT(""'收支紀錄'!L""&amp;TO_TEXT(ROW()-$C$72))"),"停車")</f>
        <v>停車</v>
      </c>
      <c r="M1240" s="61" t="str">
        <f>IFERROR(__xludf.DUMMYFUNCTION("INDIRECT(""'收支紀錄'!M""&amp;TO_TEXT(ROW()-$C$72))"),"")</f>
        <v/>
      </c>
      <c r="N1240" s="61" t="str">
        <f>IFERROR(__xludf.DUMMYFUNCTION("INDIRECT(""'收支紀錄'!N""&amp;TO_TEXT(ROW()-$C$72))"),"")</f>
        <v/>
      </c>
      <c r="O1240" s="61" t="str">
        <f>IFERROR(__xludf.DUMMYFUNCTION("INDIRECT(""'收支紀錄'!O""&amp;TO_TEXT(ROW()-$C$72))"),"")</f>
        <v/>
      </c>
      <c r="P1240" s="61" t="str">
        <f>IFERROR(__xludf.DUMMYFUNCTION("INDIRECT(""'收支紀錄'!P""&amp;TO_TEXT(ROW()-$C$72))"),"")</f>
        <v/>
      </c>
      <c r="Q1240" s="61" t="str">
        <f>IFERROR(__xludf.DUMMYFUNCTION("INDIRECT(""'收支紀錄'!Q""&amp;TO_TEXT(ROW()-$C$72))"),"")</f>
        <v/>
      </c>
      <c r="R1240" s="61" t="str">
        <f>IFERROR(__xludf.DUMMYFUNCTION("INDIRECT(""'收支紀錄'!R""&amp;TO_TEXT(ROW()-$C$72))"),"")</f>
        <v/>
      </c>
      <c r="S1240" s="61" t="str">
        <f>IFERROR(__xludf.DUMMYFUNCTION("INDIRECT(""'收支紀錄'!S""&amp;TO_TEXT(ROW()-$C$72))"),"")</f>
        <v/>
      </c>
      <c r="T1240" s="61" t="str">
        <f>IFERROR(__xludf.DUMMYFUNCTION("INDIRECT(""'收支紀錄'!T""&amp;TO_TEXT(ROW()-$C$72))"),"")</f>
        <v/>
      </c>
      <c r="U1240" s="62" t="str">
        <f>IFERROR(__xludf.DUMMYFUNCTION("IF(T1240=""是"",TEXTJOIN("""", TRUE, ""$"", TO_TEXT(C1240), S1240),"""")"),"")</f>
        <v/>
      </c>
    </row>
    <row r="1241">
      <c r="A1241" s="58">
        <f>IFERROR(__xludf.DUMMYFUNCTION("INDIRECT(""'收支紀錄'!A""&amp;TO_TEXT(ROW()-$C$72))"),45955.40698515046)</f>
        <v>45955.40699</v>
      </c>
      <c r="B1241" s="59">
        <f>IFERROR(__xludf.DUMMYFUNCTION("IF(ISBLANK(D1241), """", IF(ISDATE(D1241), D1241, IF(D1241=""今天"", A1241, IF(D1241=""昨天 (-1 day)"", A1241-1, IF(D1241=""前天 (-2 days)"", A1241-2, IF(D1241=""明天 (+1 day)"", A1241+1, DATE(LEFT(D1241,4), MID(D1241,5,2), RIGHT(D1241,2))))))))"),45955.40698515046)</f>
        <v>45955.40699</v>
      </c>
      <c r="C1241" s="60">
        <f>IFERROR(__xludf.DUMMYFUNCTION("INDIRECT(""'收支紀錄'!C""&amp;TO_TEXT(ROW()-$C$72))"),100.0)</f>
        <v>100</v>
      </c>
      <c r="D1241" s="63" t="str">
        <f>IFERROR(__xludf.DUMMYFUNCTION("INDIRECT(""'收支紀錄'!D""&amp;TO_TEXT(ROW()-$C$72))"),"今天")</f>
        <v>今天</v>
      </c>
      <c r="E1241" s="61" t="str">
        <f>IFERROR(__xludf.DUMMYFUNCTION("INDIRECT(""'收支紀錄'!E""&amp;TO_TEXT(ROW()-$C$72))"),"")</f>
        <v/>
      </c>
      <c r="F1241" s="61" t="str">
        <f>IFERROR(__xludf.DUMMYFUNCTION("INDIRECT(""'收支紀錄'!F""&amp;TO_TEXT(ROW()-$C$72))"),"")</f>
        <v/>
      </c>
      <c r="G1241" s="61" t="str">
        <f>IFERROR(__xludf.DUMMYFUNCTION("INDIRECT(""'收支紀錄'!G""&amp;TO_TEXT(ROW()-$C$72))"),"")</f>
        <v/>
      </c>
      <c r="H1241" s="61" t="str">
        <f>IFERROR(__xludf.DUMMYFUNCTION("INDIRECT(""'收支紀錄'!H""&amp;TO_TEXT(ROW()-$C$72))"),"行車交通")</f>
        <v>行車交通</v>
      </c>
      <c r="I1241" s="61" t="str">
        <f>IFERROR(__xludf.DUMMYFUNCTION("INDIRECT(""'收支紀錄'!I""&amp;TO_TEXT(ROW()-$C$72))"),"")</f>
        <v/>
      </c>
      <c r="J1241" s="61" t="str">
        <f>IFERROR(__xludf.DUMMYFUNCTION("INDIRECT(""'收支紀錄'!J""&amp;TO_TEXT(ROW()-$C$72))"),"")</f>
        <v/>
      </c>
      <c r="K1241" s="61" t="str">
        <f>IFERROR(__xludf.DUMMYFUNCTION("INDIRECT(""'收支紀錄'!K""&amp;TO_TEXT(ROW()-$C$72))"),"")</f>
        <v/>
      </c>
      <c r="L1241" s="61" t="str">
        <f>IFERROR(__xludf.DUMMYFUNCTION("INDIRECT(""'收支紀錄'!L""&amp;TO_TEXT(ROW()-$C$72))"),"加油")</f>
        <v>加油</v>
      </c>
      <c r="M1241" s="61" t="str">
        <f>IFERROR(__xludf.DUMMYFUNCTION("INDIRECT(""'收支紀錄'!M""&amp;TO_TEXT(ROW()-$C$72))"),"")</f>
        <v/>
      </c>
      <c r="N1241" s="61" t="str">
        <f>IFERROR(__xludf.DUMMYFUNCTION("INDIRECT(""'收支紀錄'!N""&amp;TO_TEXT(ROW()-$C$72))"),"")</f>
        <v/>
      </c>
      <c r="O1241" s="61" t="str">
        <f>IFERROR(__xludf.DUMMYFUNCTION("INDIRECT(""'收支紀錄'!O""&amp;TO_TEXT(ROW()-$C$72))"),"")</f>
        <v/>
      </c>
      <c r="P1241" s="61" t="str">
        <f>IFERROR(__xludf.DUMMYFUNCTION("INDIRECT(""'收支紀錄'!P""&amp;TO_TEXT(ROW()-$C$72))"),"")</f>
        <v/>
      </c>
      <c r="Q1241" s="61" t="str">
        <f>IFERROR(__xludf.DUMMYFUNCTION("INDIRECT(""'收支紀錄'!Q""&amp;TO_TEXT(ROW()-$C$72))"),"")</f>
        <v/>
      </c>
      <c r="R1241" s="61" t="str">
        <f>IFERROR(__xludf.DUMMYFUNCTION("INDIRECT(""'收支紀錄'!R""&amp;TO_TEXT(ROW()-$C$72))"),"")</f>
        <v/>
      </c>
      <c r="S1241" s="61" t="str">
        <f>IFERROR(__xludf.DUMMYFUNCTION("INDIRECT(""'收支紀錄'!S""&amp;TO_TEXT(ROW()-$C$72))"),"")</f>
        <v/>
      </c>
      <c r="T1241" s="61" t="str">
        <f>IFERROR(__xludf.DUMMYFUNCTION("INDIRECT(""'收支紀錄'!T""&amp;TO_TEXT(ROW()-$C$72))"),"")</f>
        <v/>
      </c>
      <c r="U1241" s="62" t="str">
        <f>IFERROR(__xludf.DUMMYFUNCTION("IF(T1241=""是"",TEXTJOIN("""", TRUE, ""$"", TO_TEXT(C1241), S1241),"""")"),"")</f>
        <v/>
      </c>
    </row>
    <row r="1242">
      <c r="A1242" s="58">
        <f>IFERROR(__xludf.DUMMYFUNCTION("INDIRECT(""'收支紀錄'!A""&amp;TO_TEXT(ROW()-$C$72))"),45955.40717141204)</f>
        <v>45955.40717</v>
      </c>
      <c r="B1242" s="59">
        <f>IFERROR(__xludf.DUMMYFUNCTION("IF(ISBLANK(D1242), """", IF(ISDATE(D1242), D1242, IF(D1242=""今天"", A1242, IF(D1242=""昨天 (-1 day)"", A1242-1, IF(D1242=""前天 (-2 days)"", A1242-2, IF(D1242=""明天 (+1 day)"", A1242+1, DATE(LEFT(D1242,4), MID(D1242,5,2), RIGHT(D1242,2))))))))"),45955.40717141204)</f>
        <v>45955.40717</v>
      </c>
      <c r="C1242" s="60">
        <f>IFERROR(__xludf.DUMMYFUNCTION("INDIRECT(""'收支紀錄'!C""&amp;TO_TEXT(ROW()-$C$72))"),100.0)</f>
        <v>100</v>
      </c>
      <c r="D1242" s="63" t="str">
        <f>IFERROR(__xludf.DUMMYFUNCTION("INDIRECT(""'收支紀錄'!D""&amp;TO_TEXT(ROW()-$C$72))"),"今天")</f>
        <v>今天</v>
      </c>
      <c r="E1242" s="61" t="str">
        <f>IFERROR(__xludf.DUMMYFUNCTION("INDIRECT(""'收支紀錄'!E""&amp;TO_TEXT(ROW()-$C$72))"),"")</f>
        <v/>
      </c>
      <c r="F1242" s="61" t="str">
        <f>IFERROR(__xludf.DUMMYFUNCTION("INDIRECT(""'收支紀錄'!F""&amp;TO_TEXT(ROW()-$C$72))"),"")</f>
        <v/>
      </c>
      <c r="G1242" s="61" t="str">
        <f>IFERROR(__xludf.DUMMYFUNCTION("INDIRECT(""'收支紀錄'!G""&amp;TO_TEXT(ROW()-$C$72))"),"")</f>
        <v/>
      </c>
      <c r="H1242" s="61" t="str">
        <f>IFERROR(__xludf.DUMMYFUNCTION("INDIRECT(""'收支紀錄'!H""&amp;TO_TEXT(ROW()-$C$72))"),"休閒娛樂")</f>
        <v>休閒娛樂</v>
      </c>
      <c r="I1242" s="61" t="str">
        <f>IFERROR(__xludf.DUMMYFUNCTION("INDIRECT(""'收支紀錄'!I""&amp;TO_TEXT(ROW()-$C$72))"),"")</f>
        <v/>
      </c>
      <c r="J1242" s="61" t="str">
        <f>IFERROR(__xludf.DUMMYFUNCTION("INDIRECT(""'收支紀錄'!J""&amp;TO_TEXT(ROW()-$C$72))"),"")</f>
        <v/>
      </c>
      <c r="K1242" s="61" t="str">
        <f>IFERROR(__xludf.DUMMYFUNCTION("INDIRECT(""'收支紀錄'!K""&amp;TO_TEXT(ROW()-$C$72))"),"")</f>
        <v/>
      </c>
      <c r="L1242" s="61" t="str">
        <f>IFERROR(__xludf.DUMMYFUNCTION("INDIRECT(""'收支紀錄'!L""&amp;TO_TEXT(ROW()-$C$72))"),"")</f>
        <v/>
      </c>
      <c r="M1242" s="61" t="str">
        <f>IFERROR(__xludf.DUMMYFUNCTION("INDIRECT(""'收支紀錄'!M""&amp;TO_TEXT(ROW()-$C$72))"),"運動健身")</f>
        <v>運動健身</v>
      </c>
      <c r="N1242" s="61" t="str">
        <f>IFERROR(__xludf.DUMMYFUNCTION("INDIRECT(""'收支紀錄'!N""&amp;TO_TEXT(ROW()-$C$72))"),"")</f>
        <v/>
      </c>
      <c r="O1242" s="61" t="str">
        <f>IFERROR(__xludf.DUMMYFUNCTION("INDIRECT(""'收支紀錄'!O""&amp;TO_TEXT(ROW()-$C$72))"),"")</f>
        <v/>
      </c>
      <c r="P1242" s="61" t="str">
        <f>IFERROR(__xludf.DUMMYFUNCTION("INDIRECT(""'收支紀錄'!P""&amp;TO_TEXT(ROW()-$C$72))"),"")</f>
        <v/>
      </c>
      <c r="Q1242" s="61" t="str">
        <f>IFERROR(__xludf.DUMMYFUNCTION("INDIRECT(""'收支紀錄'!Q""&amp;TO_TEXT(ROW()-$C$72))"),"")</f>
        <v/>
      </c>
      <c r="R1242" s="61" t="str">
        <f>IFERROR(__xludf.DUMMYFUNCTION("INDIRECT(""'收支紀錄'!R""&amp;TO_TEXT(ROW()-$C$72))"),"")</f>
        <v/>
      </c>
      <c r="S1242" s="61" t="str">
        <f>IFERROR(__xludf.DUMMYFUNCTION("INDIRECT(""'收支紀錄'!S""&amp;TO_TEXT(ROW()-$C$72))"),"")</f>
        <v/>
      </c>
      <c r="T1242" s="61" t="str">
        <f>IFERROR(__xludf.DUMMYFUNCTION("INDIRECT(""'收支紀錄'!T""&amp;TO_TEXT(ROW()-$C$72))"),"")</f>
        <v/>
      </c>
      <c r="U1242" s="62" t="str">
        <f>IFERROR(__xludf.DUMMYFUNCTION("IF(T1242=""是"",TEXTJOIN("""", TRUE, ""$"", TO_TEXT(C1242), S1242),"""")"),"")</f>
        <v/>
      </c>
    </row>
    <row r="1243">
      <c r="A1243" s="58">
        <f>IFERROR(__xludf.DUMMYFUNCTION("INDIRECT(""'收支紀錄'!A""&amp;TO_TEXT(ROW()-$C$72))"),45955.818865671295)</f>
        <v>45955.81887</v>
      </c>
      <c r="B1243" s="59">
        <f>IFERROR(__xludf.DUMMYFUNCTION("IF(ISBLANK(D1243), """", IF(ISDATE(D1243), D1243, IF(D1243=""今天"", A1243, IF(D1243=""昨天 (-1 day)"", A1243-1, IF(D1243=""前天 (-2 days)"", A1243-2, IF(D1243=""明天 (+1 day)"", A1243+1, DATE(LEFT(D1243,4), MID(D1243,5,2), RIGHT(D1243,2))))))))"),45955.818865671295)</f>
        <v>45955.81887</v>
      </c>
      <c r="C1243" s="60">
        <f>IFERROR(__xludf.DUMMYFUNCTION("INDIRECT(""'收支紀錄'!C""&amp;TO_TEXT(ROW()-$C$72))"),500.0)</f>
        <v>500</v>
      </c>
      <c r="D1243" s="63" t="str">
        <f>IFERROR(__xludf.DUMMYFUNCTION("INDIRECT(""'收支紀錄'!D""&amp;TO_TEXT(ROW()-$C$72))"),"今天")</f>
        <v>今天</v>
      </c>
      <c r="E1243" s="61" t="str">
        <f>IFERROR(__xludf.DUMMYFUNCTION("INDIRECT(""'收支紀錄'!E""&amp;TO_TEXT(ROW()-$C$72))"),"")</f>
        <v/>
      </c>
      <c r="F1243" s="61" t="str">
        <f>IFERROR(__xludf.DUMMYFUNCTION("INDIRECT(""'收支紀錄'!F""&amp;TO_TEXT(ROW()-$C$72))"),"")</f>
        <v/>
      </c>
      <c r="G1243" s="61" t="str">
        <f>IFERROR(__xludf.DUMMYFUNCTION("INDIRECT(""'收支紀錄'!G""&amp;TO_TEXT(ROW()-$C$72))"),"")</f>
        <v/>
      </c>
      <c r="H1243" s="61" t="str">
        <f>IFERROR(__xludf.DUMMYFUNCTION("INDIRECT(""'收支紀錄'!H""&amp;TO_TEXT(ROW()-$C$72))"),"日常生活")</f>
        <v>日常生活</v>
      </c>
      <c r="I1243" s="61" t="str">
        <f>IFERROR(__xludf.DUMMYFUNCTION("INDIRECT(""'收支紀錄'!I""&amp;TO_TEXT(ROW()-$C$72))"),"")</f>
        <v/>
      </c>
      <c r="J1243" s="61" t="str">
        <f>IFERROR(__xludf.DUMMYFUNCTION("INDIRECT(""'收支紀錄'!J""&amp;TO_TEXT(ROW()-$C$72))"),"日常用品")</f>
        <v>日常用品</v>
      </c>
      <c r="K1243" s="61" t="str">
        <f>IFERROR(__xludf.DUMMYFUNCTION("INDIRECT(""'收支紀錄'!K""&amp;TO_TEXT(ROW()-$C$72))"),"")</f>
        <v/>
      </c>
      <c r="L1243" s="61" t="str">
        <f>IFERROR(__xludf.DUMMYFUNCTION("INDIRECT(""'收支紀錄'!L""&amp;TO_TEXT(ROW()-$C$72))"),"")</f>
        <v/>
      </c>
      <c r="M1243" s="61" t="str">
        <f>IFERROR(__xludf.DUMMYFUNCTION("INDIRECT(""'收支紀錄'!M""&amp;TO_TEXT(ROW()-$C$72))"),"")</f>
        <v/>
      </c>
      <c r="N1243" s="61" t="str">
        <f>IFERROR(__xludf.DUMMYFUNCTION("INDIRECT(""'收支紀錄'!N""&amp;TO_TEXT(ROW()-$C$72))"),"")</f>
        <v/>
      </c>
      <c r="O1243" s="61" t="str">
        <f>IFERROR(__xludf.DUMMYFUNCTION("INDIRECT(""'收支紀錄'!O""&amp;TO_TEXT(ROW()-$C$72))"),"")</f>
        <v/>
      </c>
      <c r="P1243" s="61" t="str">
        <f>IFERROR(__xludf.DUMMYFUNCTION("INDIRECT(""'收支紀錄'!P""&amp;TO_TEXT(ROW()-$C$72))"),"")</f>
        <v/>
      </c>
      <c r="Q1243" s="61" t="str">
        <f>IFERROR(__xludf.DUMMYFUNCTION("INDIRECT(""'收支紀錄'!Q""&amp;TO_TEXT(ROW()-$C$72))"),"")</f>
        <v/>
      </c>
      <c r="R1243" s="61" t="str">
        <f>IFERROR(__xludf.DUMMYFUNCTION("INDIRECT(""'收支紀錄'!R""&amp;TO_TEXT(ROW()-$C$72))"),"")</f>
        <v/>
      </c>
      <c r="S1243" s="61" t="str">
        <f>IFERROR(__xludf.DUMMYFUNCTION("INDIRECT(""'收支紀錄'!S""&amp;TO_TEXT(ROW()-$C$72))"),"")</f>
        <v/>
      </c>
      <c r="T1243" s="61" t="str">
        <f>IFERROR(__xludf.DUMMYFUNCTION("INDIRECT(""'收支紀錄'!T""&amp;TO_TEXT(ROW()-$C$72))"),"")</f>
        <v/>
      </c>
      <c r="U1243" s="62" t="str">
        <f>IFERROR(__xludf.DUMMYFUNCTION("IF(T1243=""是"",TEXTJOIN("""", TRUE, ""$"", TO_TEXT(C1243), S1243),"""")"),"")</f>
        <v/>
      </c>
    </row>
    <row r="1244">
      <c r="A1244" s="58">
        <f>IFERROR(__xludf.DUMMYFUNCTION("INDIRECT(""'收支紀錄'!A""&amp;TO_TEXT(ROW()-$C$72))"),45956.46777862268)</f>
        <v>45956.46778</v>
      </c>
      <c r="B1244" s="59">
        <f>IFERROR(__xludf.DUMMYFUNCTION("IF(ISBLANK(D1244), """", IF(ISDATE(D1244), D1244, IF(D1244=""今天"", A1244, IF(D1244=""昨天 (-1 day)"", A1244-1, IF(D1244=""前天 (-2 days)"", A1244-2, IF(D1244=""明天 (+1 day)"", A1244+1, DATE(LEFT(D1244,4), MID(D1244,5,2), RIGHT(D1244,2))))))))"),45956.46777862268)</f>
        <v>45956.46778</v>
      </c>
      <c r="C1244" s="60">
        <f>IFERROR(__xludf.DUMMYFUNCTION("INDIRECT(""'收支紀錄'!C""&amp;TO_TEXT(ROW()-$C$72))"),30.0)</f>
        <v>30</v>
      </c>
      <c r="D1244" s="63" t="str">
        <f>IFERROR(__xludf.DUMMYFUNCTION("INDIRECT(""'收支紀錄'!D""&amp;TO_TEXT(ROW()-$C$72))"),"今天")</f>
        <v>今天</v>
      </c>
      <c r="E1244" s="61" t="str">
        <f>IFERROR(__xludf.DUMMYFUNCTION("INDIRECT(""'收支紀錄'!E""&amp;TO_TEXT(ROW()-$C$72))"),"")</f>
        <v/>
      </c>
      <c r="F1244" s="61" t="str">
        <f>IFERROR(__xludf.DUMMYFUNCTION("INDIRECT(""'收支紀錄'!F""&amp;TO_TEXT(ROW()-$C$72))"),"")</f>
        <v/>
      </c>
      <c r="G1244" s="61" t="str">
        <f>IFERROR(__xludf.DUMMYFUNCTION("INDIRECT(""'收支紀錄'!G""&amp;TO_TEXT(ROW()-$C$72))"),"")</f>
        <v/>
      </c>
      <c r="H1244" s="61" t="str">
        <f>IFERROR(__xludf.DUMMYFUNCTION("INDIRECT(""'收支紀錄'!H""&amp;TO_TEXT(ROW()-$C$72))"),"休閒娛樂")</f>
        <v>休閒娛樂</v>
      </c>
      <c r="I1244" s="61" t="str">
        <f>IFERROR(__xludf.DUMMYFUNCTION("INDIRECT(""'收支紀錄'!I""&amp;TO_TEXT(ROW()-$C$72))"),"")</f>
        <v/>
      </c>
      <c r="J1244" s="61" t="str">
        <f>IFERROR(__xludf.DUMMYFUNCTION("INDIRECT(""'收支紀錄'!J""&amp;TO_TEXT(ROW()-$C$72))"),"")</f>
        <v/>
      </c>
      <c r="K1244" s="61" t="str">
        <f>IFERROR(__xludf.DUMMYFUNCTION("INDIRECT(""'收支紀錄'!K""&amp;TO_TEXT(ROW()-$C$72))"),"")</f>
        <v/>
      </c>
      <c r="L1244" s="61" t="str">
        <f>IFERROR(__xludf.DUMMYFUNCTION("INDIRECT(""'收支紀錄'!L""&amp;TO_TEXT(ROW()-$C$72))"),"")</f>
        <v/>
      </c>
      <c r="M1244" s="61" t="str">
        <f>IFERROR(__xludf.DUMMYFUNCTION("INDIRECT(""'收支紀錄'!M""&amp;TO_TEXT(ROW()-$C$72))"),"運動健身")</f>
        <v>運動健身</v>
      </c>
      <c r="N1244" s="61" t="str">
        <f>IFERROR(__xludf.DUMMYFUNCTION("INDIRECT(""'收支紀錄'!N""&amp;TO_TEXT(ROW()-$C$72))"),"")</f>
        <v/>
      </c>
      <c r="O1244" s="61" t="str">
        <f>IFERROR(__xludf.DUMMYFUNCTION("INDIRECT(""'收支紀錄'!O""&amp;TO_TEXT(ROW()-$C$72))"),"")</f>
        <v/>
      </c>
      <c r="P1244" s="61" t="str">
        <f>IFERROR(__xludf.DUMMYFUNCTION("INDIRECT(""'收支紀錄'!P""&amp;TO_TEXT(ROW()-$C$72))"),"")</f>
        <v/>
      </c>
      <c r="Q1244" s="61" t="str">
        <f>IFERROR(__xludf.DUMMYFUNCTION("INDIRECT(""'收支紀錄'!Q""&amp;TO_TEXT(ROW()-$C$72))"),"")</f>
        <v/>
      </c>
      <c r="R1244" s="61" t="str">
        <f>IFERROR(__xludf.DUMMYFUNCTION("INDIRECT(""'收支紀錄'!R""&amp;TO_TEXT(ROW()-$C$72))"),"")</f>
        <v/>
      </c>
      <c r="S1244" s="61" t="str">
        <f>IFERROR(__xludf.DUMMYFUNCTION("INDIRECT(""'收支紀錄'!S""&amp;TO_TEXT(ROW()-$C$72))"),"")</f>
        <v/>
      </c>
      <c r="T1244" s="61" t="str">
        <f>IFERROR(__xludf.DUMMYFUNCTION("INDIRECT(""'收支紀錄'!T""&amp;TO_TEXT(ROW()-$C$72))"),"")</f>
        <v/>
      </c>
      <c r="U1244" s="62" t="str">
        <f>IFERROR(__xludf.DUMMYFUNCTION("IF(T1244=""是"",TEXTJOIN("""", TRUE, ""$"", TO_TEXT(C1244), S1244),"""")"),"")</f>
        <v/>
      </c>
    </row>
    <row r="1245">
      <c r="A1245" s="58">
        <f>IFERROR(__xludf.DUMMYFUNCTION("INDIRECT(""'收支紀錄'!A""&amp;TO_TEXT(ROW()-$C$72))"),45956.4682466088)</f>
        <v>45956.46825</v>
      </c>
      <c r="B1245" s="59">
        <f>IFERROR(__xludf.DUMMYFUNCTION("IF(ISBLANK(D1245), """", IF(ISDATE(D1245), D1245, IF(D1245=""今天"", A1245, IF(D1245=""昨天 (-1 day)"", A1245-1, IF(D1245=""前天 (-2 days)"", A1245-2, IF(D1245=""明天 (+1 day)"", A1245+1, DATE(LEFT(D1245,4), MID(D1245,5,2), RIGHT(D1245,2))))))))"),45956.4682466088)</f>
        <v>45956.46825</v>
      </c>
      <c r="C1245" s="60">
        <f>IFERROR(__xludf.DUMMYFUNCTION("INDIRECT(""'收支紀錄'!C""&amp;TO_TEXT(ROW()-$C$72))"),84.0)</f>
        <v>84</v>
      </c>
      <c r="D1245" s="63" t="str">
        <f>IFERROR(__xludf.DUMMYFUNCTION("INDIRECT(""'收支紀錄'!D""&amp;TO_TEXT(ROW()-$C$72))"),"今天")</f>
        <v>今天</v>
      </c>
      <c r="E1245" s="61" t="str">
        <f>IFERROR(__xludf.DUMMYFUNCTION("INDIRECT(""'收支紀錄'!E""&amp;TO_TEXT(ROW()-$C$72))"),"")</f>
        <v/>
      </c>
      <c r="F1245" s="61" t="str">
        <f>IFERROR(__xludf.DUMMYFUNCTION("INDIRECT(""'收支紀錄'!F""&amp;TO_TEXT(ROW()-$C$72))"),"")</f>
        <v/>
      </c>
      <c r="G1245" s="61" t="str">
        <f>IFERROR(__xludf.DUMMYFUNCTION("INDIRECT(""'收支紀錄'!G""&amp;TO_TEXT(ROW()-$C$72))"),"")</f>
        <v/>
      </c>
      <c r="H1245" s="61" t="str">
        <f>IFERROR(__xludf.DUMMYFUNCTION("INDIRECT(""'收支紀錄'!H""&amp;TO_TEXT(ROW()-$C$72))"),"食品酒水")</f>
        <v>食品酒水</v>
      </c>
      <c r="I1245" s="61" t="str">
        <f>IFERROR(__xludf.DUMMYFUNCTION("INDIRECT(""'收支紀錄'!I""&amp;TO_TEXT(ROW()-$C$72))"),"早餐")</f>
        <v>早餐</v>
      </c>
      <c r="J1245" s="61" t="str">
        <f>IFERROR(__xludf.DUMMYFUNCTION("INDIRECT(""'收支紀錄'!J""&amp;TO_TEXT(ROW()-$C$72))"),"")</f>
        <v/>
      </c>
      <c r="K1245" s="61" t="str">
        <f>IFERROR(__xludf.DUMMYFUNCTION("INDIRECT(""'收支紀錄'!K""&amp;TO_TEXT(ROW()-$C$72))"),"")</f>
        <v/>
      </c>
      <c r="L1245" s="61" t="str">
        <f>IFERROR(__xludf.DUMMYFUNCTION("INDIRECT(""'收支紀錄'!L""&amp;TO_TEXT(ROW()-$C$72))"),"")</f>
        <v/>
      </c>
      <c r="M1245" s="61" t="str">
        <f>IFERROR(__xludf.DUMMYFUNCTION("INDIRECT(""'收支紀錄'!M""&amp;TO_TEXT(ROW()-$C$72))"),"")</f>
        <v/>
      </c>
      <c r="N1245" s="61" t="str">
        <f>IFERROR(__xludf.DUMMYFUNCTION("INDIRECT(""'收支紀錄'!N""&amp;TO_TEXT(ROW()-$C$72))"),"")</f>
        <v/>
      </c>
      <c r="O1245" s="61" t="str">
        <f>IFERROR(__xludf.DUMMYFUNCTION("INDIRECT(""'收支紀錄'!O""&amp;TO_TEXT(ROW()-$C$72))"),"")</f>
        <v/>
      </c>
      <c r="P1245" s="61" t="str">
        <f>IFERROR(__xludf.DUMMYFUNCTION("INDIRECT(""'收支紀錄'!P""&amp;TO_TEXT(ROW()-$C$72))"),"")</f>
        <v/>
      </c>
      <c r="Q1245" s="61" t="str">
        <f>IFERROR(__xludf.DUMMYFUNCTION("INDIRECT(""'收支紀錄'!Q""&amp;TO_TEXT(ROW()-$C$72))"),"")</f>
        <v/>
      </c>
      <c r="R1245" s="61" t="str">
        <f>IFERROR(__xludf.DUMMYFUNCTION("INDIRECT(""'收支紀錄'!R""&amp;TO_TEXT(ROW()-$C$72))"),"")</f>
        <v/>
      </c>
      <c r="S1245" s="61" t="str">
        <f>IFERROR(__xludf.DUMMYFUNCTION("INDIRECT(""'收支紀錄'!S""&amp;TO_TEXT(ROW()-$C$72))"),"")</f>
        <v/>
      </c>
      <c r="T1245" s="61" t="str">
        <f>IFERROR(__xludf.DUMMYFUNCTION("INDIRECT(""'收支紀錄'!T""&amp;TO_TEXT(ROW()-$C$72))"),"")</f>
        <v/>
      </c>
      <c r="U1245" s="62" t="str">
        <f>IFERROR(__xludf.DUMMYFUNCTION("IF(T1245=""是"",TEXTJOIN("""", TRUE, ""$"", TO_TEXT(C1245), S1245),"""")"),"")</f>
        <v/>
      </c>
    </row>
    <row r="1246">
      <c r="A1246" s="58">
        <f>IFERROR(__xludf.DUMMYFUNCTION("INDIRECT(""'收支紀錄'!A""&amp;TO_TEXT(ROW()-$C$72))"),45956.909327326386)</f>
        <v>45956.90933</v>
      </c>
      <c r="B1246" s="59">
        <f>IFERROR(__xludf.DUMMYFUNCTION("IF(ISBLANK(D1246), """", IF(ISDATE(D1246), D1246, IF(D1246=""今天"", A1246, IF(D1246=""昨天 (-1 day)"", A1246-1, IF(D1246=""前天 (-2 days)"", A1246-2, IF(D1246=""明天 (+1 day)"", A1246+1, DATE(LEFT(D1246,4), MID(D1246,5,2), RIGHT(D1246,2))))))))"),45956.909327326386)</f>
        <v>45956.90933</v>
      </c>
      <c r="C1246" s="60">
        <f>IFERROR(__xludf.DUMMYFUNCTION("INDIRECT(""'收支紀錄'!C""&amp;TO_TEXT(ROW()-$C$72))"),268.0)</f>
        <v>268</v>
      </c>
      <c r="D1246" s="63" t="str">
        <f>IFERROR(__xludf.DUMMYFUNCTION("INDIRECT(""'收支紀錄'!D""&amp;TO_TEXT(ROW()-$C$72))"),"今天")</f>
        <v>今天</v>
      </c>
      <c r="E1246" s="61" t="str">
        <f>IFERROR(__xludf.DUMMYFUNCTION("INDIRECT(""'收支紀錄'!E""&amp;TO_TEXT(ROW()-$C$72))"),"")</f>
        <v/>
      </c>
      <c r="F1246" s="61" t="str">
        <f>IFERROR(__xludf.DUMMYFUNCTION("INDIRECT(""'收支紀錄'!F""&amp;TO_TEXT(ROW()-$C$72))"),"")</f>
        <v/>
      </c>
      <c r="G1246" s="61" t="str">
        <f>IFERROR(__xludf.DUMMYFUNCTION("INDIRECT(""'收支紀錄'!G""&amp;TO_TEXT(ROW()-$C$72))"),"")</f>
        <v/>
      </c>
      <c r="H1246" s="61" t="str">
        <f>IFERROR(__xludf.DUMMYFUNCTION("INDIRECT(""'收支紀錄'!H""&amp;TO_TEXT(ROW()-$C$72))"),"食品酒水")</f>
        <v>食品酒水</v>
      </c>
      <c r="I1246" s="61" t="str">
        <f>IFERROR(__xludf.DUMMYFUNCTION("INDIRECT(""'收支紀錄'!I""&amp;TO_TEXT(ROW()-$C$72))"),"午餐")</f>
        <v>午餐</v>
      </c>
      <c r="J1246" s="61" t="str">
        <f>IFERROR(__xludf.DUMMYFUNCTION("INDIRECT(""'收支紀錄'!J""&amp;TO_TEXT(ROW()-$C$72))"),"")</f>
        <v/>
      </c>
      <c r="K1246" s="61" t="str">
        <f>IFERROR(__xludf.DUMMYFUNCTION("INDIRECT(""'收支紀錄'!K""&amp;TO_TEXT(ROW()-$C$72))"),"")</f>
        <v/>
      </c>
      <c r="L1246" s="61" t="str">
        <f>IFERROR(__xludf.DUMMYFUNCTION("INDIRECT(""'收支紀錄'!L""&amp;TO_TEXT(ROW()-$C$72))"),"")</f>
        <v/>
      </c>
      <c r="M1246" s="61" t="str">
        <f>IFERROR(__xludf.DUMMYFUNCTION("INDIRECT(""'收支紀錄'!M""&amp;TO_TEXT(ROW()-$C$72))"),"")</f>
        <v/>
      </c>
      <c r="N1246" s="61" t="str">
        <f>IFERROR(__xludf.DUMMYFUNCTION("INDIRECT(""'收支紀錄'!N""&amp;TO_TEXT(ROW()-$C$72))"),"")</f>
        <v/>
      </c>
      <c r="O1246" s="61" t="str">
        <f>IFERROR(__xludf.DUMMYFUNCTION("INDIRECT(""'收支紀錄'!O""&amp;TO_TEXT(ROW()-$C$72))"),"")</f>
        <v/>
      </c>
      <c r="P1246" s="61" t="str">
        <f>IFERROR(__xludf.DUMMYFUNCTION("INDIRECT(""'收支紀錄'!P""&amp;TO_TEXT(ROW()-$C$72))"),"")</f>
        <v/>
      </c>
      <c r="Q1246" s="61" t="str">
        <f>IFERROR(__xludf.DUMMYFUNCTION("INDIRECT(""'收支紀錄'!Q""&amp;TO_TEXT(ROW()-$C$72))"),"")</f>
        <v/>
      </c>
      <c r="R1246" s="61" t="str">
        <f>IFERROR(__xludf.DUMMYFUNCTION("INDIRECT(""'收支紀錄'!R""&amp;TO_TEXT(ROW()-$C$72))"),"")</f>
        <v/>
      </c>
      <c r="S1246" s="61" t="str">
        <f>IFERROR(__xludf.DUMMYFUNCTION("INDIRECT(""'收支紀錄'!S""&amp;TO_TEXT(ROW()-$C$72))"),"")</f>
        <v/>
      </c>
      <c r="T1246" s="61" t="str">
        <f>IFERROR(__xludf.DUMMYFUNCTION("INDIRECT(""'收支紀錄'!T""&amp;TO_TEXT(ROW()-$C$72))"),"")</f>
        <v/>
      </c>
      <c r="U1246" s="62" t="str">
        <f>IFERROR(__xludf.DUMMYFUNCTION("IF(T1246=""是"",TEXTJOIN("""", TRUE, ""$"", TO_TEXT(C1246), S1246),"""")"),"")</f>
        <v/>
      </c>
    </row>
    <row r="1247">
      <c r="A1247" s="58">
        <f>IFERROR(__xludf.DUMMYFUNCTION("INDIRECT(""'收支紀錄'!A""&amp;TO_TEXT(ROW()-$C$72))"),45956.90946445602)</f>
        <v>45956.90946</v>
      </c>
      <c r="B1247" s="59">
        <f>IFERROR(__xludf.DUMMYFUNCTION("IF(ISBLANK(D1247), """", IF(ISDATE(D1247), D1247, IF(D1247=""今天"", A1247, IF(D1247=""昨天 (-1 day)"", A1247-1, IF(D1247=""前天 (-2 days)"", A1247-2, IF(D1247=""明天 (+1 day)"", A1247+1, DATE(LEFT(D1247,4), MID(D1247,5,2), RIGHT(D1247,2))))))))"),45956.90946445602)</f>
        <v>45956.90946</v>
      </c>
      <c r="C1247" s="60">
        <f>IFERROR(__xludf.DUMMYFUNCTION("INDIRECT(""'收支紀錄'!C""&amp;TO_TEXT(ROW()-$C$72))"),122.0)</f>
        <v>122</v>
      </c>
      <c r="D1247" s="63" t="str">
        <f>IFERROR(__xludf.DUMMYFUNCTION("INDIRECT(""'收支紀錄'!D""&amp;TO_TEXT(ROW()-$C$72))"),"今天")</f>
        <v>今天</v>
      </c>
      <c r="E1247" s="61" t="str">
        <f>IFERROR(__xludf.DUMMYFUNCTION("INDIRECT(""'收支紀錄'!E""&amp;TO_TEXT(ROW()-$C$72))"),"")</f>
        <v/>
      </c>
      <c r="F1247" s="61" t="str">
        <f>IFERROR(__xludf.DUMMYFUNCTION("INDIRECT(""'收支紀錄'!F""&amp;TO_TEXT(ROW()-$C$72))"),"")</f>
        <v/>
      </c>
      <c r="G1247" s="61" t="str">
        <f>IFERROR(__xludf.DUMMYFUNCTION("INDIRECT(""'收支紀錄'!G""&amp;TO_TEXT(ROW()-$C$72))"),"")</f>
        <v/>
      </c>
      <c r="H1247" s="61" t="str">
        <f>IFERROR(__xludf.DUMMYFUNCTION("INDIRECT(""'收支紀錄'!H""&amp;TO_TEXT(ROW()-$C$72))"),"日常生活")</f>
        <v>日常生活</v>
      </c>
      <c r="I1247" s="61" t="str">
        <f>IFERROR(__xludf.DUMMYFUNCTION("INDIRECT(""'收支紀錄'!I""&amp;TO_TEXT(ROW()-$C$72))"),"")</f>
        <v/>
      </c>
      <c r="J1247" s="61" t="str">
        <f>IFERROR(__xludf.DUMMYFUNCTION("INDIRECT(""'收支紀錄'!J""&amp;TO_TEXT(ROW()-$C$72))"),"日常用品")</f>
        <v>日常用品</v>
      </c>
      <c r="K1247" s="61" t="str">
        <f>IFERROR(__xludf.DUMMYFUNCTION("INDIRECT(""'收支紀錄'!K""&amp;TO_TEXT(ROW()-$C$72))"),"")</f>
        <v/>
      </c>
      <c r="L1247" s="61" t="str">
        <f>IFERROR(__xludf.DUMMYFUNCTION("INDIRECT(""'收支紀錄'!L""&amp;TO_TEXT(ROW()-$C$72))"),"")</f>
        <v/>
      </c>
      <c r="M1247" s="61" t="str">
        <f>IFERROR(__xludf.DUMMYFUNCTION("INDIRECT(""'收支紀錄'!M""&amp;TO_TEXT(ROW()-$C$72))"),"")</f>
        <v/>
      </c>
      <c r="N1247" s="61" t="str">
        <f>IFERROR(__xludf.DUMMYFUNCTION("INDIRECT(""'收支紀錄'!N""&amp;TO_TEXT(ROW()-$C$72))"),"")</f>
        <v/>
      </c>
      <c r="O1247" s="61" t="str">
        <f>IFERROR(__xludf.DUMMYFUNCTION("INDIRECT(""'收支紀錄'!O""&amp;TO_TEXT(ROW()-$C$72))"),"")</f>
        <v/>
      </c>
      <c r="P1247" s="61" t="str">
        <f>IFERROR(__xludf.DUMMYFUNCTION("INDIRECT(""'收支紀錄'!P""&amp;TO_TEXT(ROW()-$C$72))"),"")</f>
        <v/>
      </c>
      <c r="Q1247" s="61" t="str">
        <f>IFERROR(__xludf.DUMMYFUNCTION("INDIRECT(""'收支紀錄'!Q""&amp;TO_TEXT(ROW()-$C$72))"),"")</f>
        <v/>
      </c>
      <c r="R1247" s="61" t="str">
        <f>IFERROR(__xludf.DUMMYFUNCTION("INDIRECT(""'收支紀錄'!R""&amp;TO_TEXT(ROW()-$C$72))"),"")</f>
        <v/>
      </c>
      <c r="S1247" s="61" t="str">
        <f>IFERROR(__xludf.DUMMYFUNCTION("INDIRECT(""'收支紀錄'!S""&amp;TO_TEXT(ROW()-$C$72))"),"")</f>
        <v/>
      </c>
      <c r="T1247" s="61" t="str">
        <f>IFERROR(__xludf.DUMMYFUNCTION("INDIRECT(""'收支紀錄'!T""&amp;TO_TEXT(ROW()-$C$72))"),"")</f>
        <v/>
      </c>
      <c r="U1247" s="62" t="str">
        <f>IFERROR(__xludf.DUMMYFUNCTION("IF(T1247=""是"",TEXTJOIN("""", TRUE, ""$"", TO_TEXT(C1247), S1247),"""")"),"")</f>
        <v/>
      </c>
    </row>
    <row r="1248">
      <c r="A1248" s="58">
        <f>IFERROR(__xludf.DUMMYFUNCTION("INDIRECT(""'收支紀錄'!A""&amp;TO_TEXT(ROW()-$C$72))"),45958.91652987269)</f>
        <v>45958.91653</v>
      </c>
      <c r="B1248" s="59">
        <f>IFERROR(__xludf.DUMMYFUNCTION("IF(ISBLANK(D1248), """", IF(ISDATE(D1248), D1248, IF(D1248=""今天"", A1248, IF(D1248=""昨天 (-1 day)"", A1248-1, IF(D1248=""前天 (-2 days)"", A1248-2, IF(D1248=""明天 (+1 day)"", A1248+1, DATE(LEFT(D1248,4), MID(D1248,5,2), RIGHT(D1248,2))))))))"),45954.0)</f>
        <v>45954</v>
      </c>
      <c r="C1248" s="60">
        <f>IFERROR(__xludf.DUMMYFUNCTION("INDIRECT(""'收支紀錄'!C""&amp;TO_TEXT(ROW()-$C$72))"),48900.0)</f>
        <v>48900</v>
      </c>
      <c r="D1248" s="63">
        <f>IFERROR(__xludf.DUMMYFUNCTION("INDIRECT(""'收支紀錄'!D""&amp;TO_TEXT(ROW()-$C$72))"),2.0251024E7)</f>
        <v>20251024</v>
      </c>
      <c r="E1248" s="61" t="str">
        <f>IFERROR(__xludf.DUMMYFUNCTION("INDIRECT(""'收支紀錄'!E""&amp;TO_TEXT(ROW()-$C$72))"),"")</f>
        <v/>
      </c>
      <c r="F1248" s="61" t="str">
        <f>IFERROR(__xludf.DUMMYFUNCTION("INDIRECT(""'收支紀錄'!F""&amp;TO_TEXT(ROW()-$C$72))"),"")</f>
        <v/>
      </c>
      <c r="G1248" s="61" t="str">
        <f>IFERROR(__xludf.DUMMYFUNCTION("INDIRECT(""'收支紀錄'!G""&amp;TO_TEXT(ROW()-$C$72))"),"")</f>
        <v/>
      </c>
      <c r="H1248" s="61" t="str">
        <f>IFERROR(__xludf.DUMMYFUNCTION("INDIRECT(""'收支紀錄'!H""&amp;TO_TEXT(ROW()-$C$72))"),"日常生活")</f>
        <v>日常生活</v>
      </c>
      <c r="I1248" s="61" t="str">
        <f>IFERROR(__xludf.DUMMYFUNCTION("INDIRECT(""'收支紀錄'!I""&amp;TO_TEXT(ROW()-$C$72))"),"")</f>
        <v/>
      </c>
      <c r="J1248" s="61" t="str">
        <f>IFERROR(__xludf.DUMMYFUNCTION("INDIRECT(""'收支紀錄'!J""&amp;TO_TEXT(ROW()-$C$72))"),"傢俱")</f>
        <v>傢俱</v>
      </c>
      <c r="K1248" s="61" t="str">
        <f>IFERROR(__xludf.DUMMYFUNCTION("INDIRECT(""'收支紀錄'!K""&amp;TO_TEXT(ROW()-$C$72))"),"")</f>
        <v/>
      </c>
      <c r="L1248" s="61" t="str">
        <f>IFERROR(__xludf.DUMMYFUNCTION("INDIRECT(""'收支紀錄'!L""&amp;TO_TEXT(ROW()-$C$72))"),"")</f>
        <v/>
      </c>
      <c r="M1248" s="61" t="str">
        <f>IFERROR(__xludf.DUMMYFUNCTION("INDIRECT(""'收支紀錄'!M""&amp;TO_TEXT(ROW()-$C$72))"),"")</f>
        <v/>
      </c>
      <c r="N1248" s="61" t="str">
        <f>IFERROR(__xludf.DUMMYFUNCTION("INDIRECT(""'收支紀錄'!N""&amp;TO_TEXT(ROW()-$C$72))"),"")</f>
        <v/>
      </c>
      <c r="O1248" s="61" t="str">
        <f>IFERROR(__xludf.DUMMYFUNCTION("INDIRECT(""'收支紀錄'!O""&amp;TO_TEXT(ROW()-$C$72))"),"")</f>
        <v/>
      </c>
      <c r="P1248" s="61" t="str">
        <f>IFERROR(__xludf.DUMMYFUNCTION("INDIRECT(""'收支紀錄'!P""&amp;TO_TEXT(ROW()-$C$72))"),"")</f>
        <v/>
      </c>
      <c r="Q1248" s="61" t="str">
        <f>IFERROR(__xludf.DUMMYFUNCTION("INDIRECT(""'收支紀錄'!Q""&amp;TO_TEXT(ROW()-$C$72))"),"")</f>
        <v/>
      </c>
      <c r="R1248" s="61" t="str">
        <f>IFERROR(__xludf.DUMMYFUNCTION("INDIRECT(""'收支紀錄'!R""&amp;TO_TEXT(ROW()-$C$72))"),"")</f>
        <v/>
      </c>
      <c r="S1248" s="61" t="str">
        <f>IFERROR(__xludf.DUMMYFUNCTION("INDIRECT(""'收支紀錄'!S""&amp;TO_TEXT(ROW()-$C$72))"),"冰箱")</f>
        <v>冰箱</v>
      </c>
      <c r="T1248" s="61" t="str">
        <f>IFERROR(__xludf.DUMMYFUNCTION("INDIRECT(""'收支紀錄'!T""&amp;TO_TEXT(ROW()-$C$72))"),"是")</f>
        <v>是</v>
      </c>
      <c r="U1248" s="62" t="str">
        <f>IFERROR(__xludf.DUMMYFUNCTION("IF(T1248=""是"",TEXTJOIN("""", TRUE, ""$"", TO_TEXT(C1248), S1248),"""")"),"$48900冰箱")</f>
        <v>$48900冰箱</v>
      </c>
    </row>
    <row r="1249">
      <c r="A1249" s="58">
        <f>IFERROR(__xludf.DUMMYFUNCTION("INDIRECT(""'收支紀錄'!A""&amp;TO_TEXT(ROW()-$C$72))"),45958.92120003472)</f>
        <v>45958.9212</v>
      </c>
      <c r="B1249" s="59">
        <f>IFERROR(__xludf.DUMMYFUNCTION("IF(ISBLANK(D1249), """", IF(ISDATE(D1249), D1249, IF(D1249=""今天"", A1249, IF(D1249=""昨天 (-1 day)"", A1249-1, IF(D1249=""前天 (-2 days)"", A1249-2, IF(D1249=""明天 (+1 day)"", A1249+1, DATE(LEFT(D1249,4), MID(D1249,5,2), RIGHT(D1249,2))))))))"),45958.92120003472)</f>
        <v>45958.9212</v>
      </c>
      <c r="C1249" s="60">
        <f>IFERROR(__xludf.DUMMYFUNCTION("INDIRECT(""'收支紀錄'!C""&amp;TO_TEXT(ROW()-$C$72))"),690.0)</f>
        <v>690</v>
      </c>
      <c r="D1249" s="63" t="str">
        <f>IFERROR(__xludf.DUMMYFUNCTION("INDIRECT(""'收支紀錄'!D""&amp;TO_TEXT(ROW()-$C$72))"),"今天")</f>
        <v>今天</v>
      </c>
      <c r="E1249" s="61" t="str">
        <f>IFERROR(__xludf.DUMMYFUNCTION("INDIRECT(""'收支紀錄'!E""&amp;TO_TEXT(ROW()-$C$72))"),"")</f>
        <v/>
      </c>
      <c r="F1249" s="61" t="str">
        <f>IFERROR(__xludf.DUMMYFUNCTION("INDIRECT(""'收支紀錄'!F""&amp;TO_TEXT(ROW()-$C$72))"),"")</f>
        <v/>
      </c>
      <c r="G1249" s="61" t="str">
        <f>IFERROR(__xludf.DUMMYFUNCTION("INDIRECT(""'收支紀錄'!G""&amp;TO_TEXT(ROW()-$C$72))"),"")</f>
        <v/>
      </c>
      <c r="H1249" s="61" t="str">
        <f>IFERROR(__xludf.DUMMYFUNCTION("INDIRECT(""'收支紀錄'!H""&amp;TO_TEXT(ROW()-$C$72))"),"休閒娛樂")</f>
        <v>休閒娛樂</v>
      </c>
      <c r="I1249" s="61" t="str">
        <f>IFERROR(__xludf.DUMMYFUNCTION("INDIRECT(""'收支紀錄'!I""&amp;TO_TEXT(ROW()-$C$72))"),"")</f>
        <v/>
      </c>
      <c r="J1249" s="61" t="str">
        <f>IFERROR(__xludf.DUMMYFUNCTION("INDIRECT(""'收支紀錄'!J""&amp;TO_TEXT(ROW()-$C$72))"),"")</f>
        <v/>
      </c>
      <c r="K1249" s="61" t="str">
        <f>IFERROR(__xludf.DUMMYFUNCTION("INDIRECT(""'收支紀錄'!K""&amp;TO_TEXT(ROW()-$C$72))"),"")</f>
        <v/>
      </c>
      <c r="L1249" s="61" t="str">
        <f>IFERROR(__xludf.DUMMYFUNCTION("INDIRECT(""'收支紀錄'!L""&amp;TO_TEXT(ROW()-$C$72))"),"")</f>
        <v/>
      </c>
      <c r="M1249" s="61" t="str">
        <f>IFERROR(__xludf.DUMMYFUNCTION("INDIRECT(""'收支紀錄'!M""&amp;TO_TEXT(ROW()-$C$72))"),"Netflix")</f>
        <v>Netflix</v>
      </c>
      <c r="N1249" s="61" t="str">
        <f>IFERROR(__xludf.DUMMYFUNCTION("INDIRECT(""'收支紀錄'!N""&amp;TO_TEXT(ROW()-$C$72))"),"")</f>
        <v/>
      </c>
      <c r="O1249" s="61" t="str">
        <f>IFERROR(__xludf.DUMMYFUNCTION("INDIRECT(""'收支紀錄'!O""&amp;TO_TEXT(ROW()-$C$72))"),"")</f>
        <v/>
      </c>
      <c r="P1249" s="61" t="str">
        <f>IFERROR(__xludf.DUMMYFUNCTION("INDIRECT(""'收支紀錄'!P""&amp;TO_TEXT(ROW()-$C$72))"),"")</f>
        <v/>
      </c>
      <c r="Q1249" s="61" t="str">
        <f>IFERROR(__xludf.DUMMYFUNCTION("INDIRECT(""'收支紀錄'!Q""&amp;TO_TEXT(ROW()-$C$72))"),"")</f>
        <v/>
      </c>
      <c r="R1249" s="61" t="str">
        <f>IFERROR(__xludf.DUMMYFUNCTION("INDIRECT(""'收支紀錄'!R""&amp;TO_TEXT(ROW()-$C$72))"),"")</f>
        <v/>
      </c>
      <c r="S1249" s="61" t="str">
        <f>IFERROR(__xludf.DUMMYFUNCTION("INDIRECT(""'收支紀錄'!S""&amp;TO_TEXT(ROW()-$C$72))"),"")</f>
        <v/>
      </c>
      <c r="T1249" s="61" t="str">
        <f>IFERROR(__xludf.DUMMYFUNCTION("INDIRECT(""'收支紀錄'!T""&amp;TO_TEXT(ROW()-$C$72))"),"")</f>
        <v/>
      </c>
      <c r="U1249" s="62" t="str">
        <f>IFERROR(__xludf.DUMMYFUNCTION("IF(T1249=""是"",TEXTJOIN("""", TRUE, ""$"", TO_TEXT(C1249), S1249),"""")"),"")</f>
        <v/>
      </c>
    </row>
    <row r="1250">
      <c r="A1250" s="58">
        <f>IFERROR(__xludf.DUMMYFUNCTION("INDIRECT(""'收支紀錄'!A""&amp;TO_TEXT(ROW()-$C$72))"),45959.76639429398)</f>
        <v>45959.76639</v>
      </c>
      <c r="B1250" s="59">
        <f>IFERROR(__xludf.DUMMYFUNCTION("IF(ISBLANK(D1250), """", IF(ISDATE(D1250), D1250, IF(D1250=""今天"", A1250, IF(D1250=""昨天 (-1 day)"", A1250-1, IF(D1250=""前天 (-2 days)"", A1250-2, IF(D1250=""明天 (+1 day)"", A1250+1, DATE(LEFT(D1250,4), MID(D1250,5,2), RIGHT(D1250,2))))))))"),45959.76639429398)</f>
        <v>45959.76639</v>
      </c>
      <c r="C1250" s="60">
        <f>IFERROR(__xludf.DUMMYFUNCTION("INDIRECT(""'收支紀錄'!C""&amp;TO_TEXT(ROW()-$C$72))"),45.0)</f>
        <v>45</v>
      </c>
      <c r="D1250" s="63" t="str">
        <f>IFERROR(__xludf.DUMMYFUNCTION("INDIRECT(""'收支紀錄'!D""&amp;TO_TEXT(ROW()-$C$72))"),"今天")</f>
        <v>今天</v>
      </c>
      <c r="E1250" s="61" t="str">
        <f>IFERROR(__xludf.DUMMYFUNCTION("INDIRECT(""'收支紀錄'!E""&amp;TO_TEXT(ROW()-$C$72))"),"")</f>
        <v/>
      </c>
      <c r="F1250" s="61" t="str">
        <f>IFERROR(__xludf.DUMMYFUNCTION("INDIRECT(""'收支紀錄'!F""&amp;TO_TEXT(ROW()-$C$72))"),"")</f>
        <v/>
      </c>
      <c r="G1250" s="61" t="str">
        <f>IFERROR(__xludf.DUMMYFUNCTION("INDIRECT(""'收支紀錄'!G""&amp;TO_TEXT(ROW()-$C$72))"),"")</f>
        <v/>
      </c>
      <c r="H1250" s="61" t="str">
        <f>IFERROR(__xludf.DUMMYFUNCTION("INDIRECT(""'收支紀錄'!H""&amp;TO_TEXT(ROW()-$C$72))"),"食品酒水")</f>
        <v>食品酒水</v>
      </c>
      <c r="I1250" s="61" t="str">
        <f>IFERROR(__xludf.DUMMYFUNCTION("INDIRECT(""'收支紀錄'!I""&amp;TO_TEXT(ROW()-$C$72))"),"下午茶")</f>
        <v>下午茶</v>
      </c>
      <c r="J1250" s="61" t="str">
        <f>IFERROR(__xludf.DUMMYFUNCTION("INDIRECT(""'收支紀錄'!J""&amp;TO_TEXT(ROW()-$C$72))"),"")</f>
        <v/>
      </c>
      <c r="K1250" s="61" t="str">
        <f>IFERROR(__xludf.DUMMYFUNCTION("INDIRECT(""'收支紀錄'!K""&amp;TO_TEXT(ROW()-$C$72))"),"")</f>
        <v/>
      </c>
      <c r="L1250" s="61" t="str">
        <f>IFERROR(__xludf.DUMMYFUNCTION("INDIRECT(""'收支紀錄'!L""&amp;TO_TEXT(ROW()-$C$72))"),"")</f>
        <v/>
      </c>
      <c r="M1250" s="61" t="str">
        <f>IFERROR(__xludf.DUMMYFUNCTION("INDIRECT(""'收支紀錄'!M""&amp;TO_TEXT(ROW()-$C$72))"),"")</f>
        <v/>
      </c>
      <c r="N1250" s="61" t="str">
        <f>IFERROR(__xludf.DUMMYFUNCTION("INDIRECT(""'收支紀錄'!N""&amp;TO_TEXT(ROW()-$C$72))"),"")</f>
        <v/>
      </c>
      <c r="O1250" s="61" t="str">
        <f>IFERROR(__xludf.DUMMYFUNCTION("INDIRECT(""'收支紀錄'!O""&amp;TO_TEXT(ROW()-$C$72))"),"")</f>
        <v/>
      </c>
      <c r="P1250" s="61" t="str">
        <f>IFERROR(__xludf.DUMMYFUNCTION("INDIRECT(""'收支紀錄'!P""&amp;TO_TEXT(ROW()-$C$72))"),"")</f>
        <v/>
      </c>
      <c r="Q1250" s="61" t="str">
        <f>IFERROR(__xludf.DUMMYFUNCTION("INDIRECT(""'收支紀錄'!Q""&amp;TO_TEXT(ROW()-$C$72))"),"")</f>
        <v/>
      </c>
      <c r="R1250" s="61" t="str">
        <f>IFERROR(__xludf.DUMMYFUNCTION("INDIRECT(""'收支紀錄'!R""&amp;TO_TEXT(ROW()-$C$72))"),"")</f>
        <v/>
      </c>
      <c r="S1250" s="61" t="str">
        <f>IFERROR(__xludf.DUMMYFUNCTION("INDIRECT(""'收支紀錄'!S""&amp;TO_TEXT(ROW()-$C$72))"),"")</f>
        <v/>
      </c>
      <c r="T1250" s="61" t="str">
        <f>IFERROR(__xludf.DUMMYFUNCTION("INDIRECT(""'收支紀錄'!T""&amp;TO_TEXT(ROW()-$C$72))"),"")</f>
        <v/>
      </c>
      <c r="U1250" s="62" t="str">
        <f>IFERROR(__xludf.DUMMYFUNCTION("IF(T1250=""是"",TEXTJOIN("""", TRUE, ""$"", TO_TEXT(C1250), S1250),"""")"),"")</f>
        <v/>
      </c>
    </row>
    <row r="1251">
      <c r="A1251" s="58">
        <f>IFERROR(__xludf.DUMMYFUNCTION("INDIRECT(""'收支紀錄'!A""&amp;TO_TEXT(ROW()-$C$72))"),45961.34744186343)</f>
        <v>45961.34744</v>
      </c>
      <c r="B1251" s="59">
        <f>IFERROR(__xludf.DUMMYFUNCTION("IF(ISBLANK(D1251), """", IF(ISDATE(D1251), D1251, IF(D1251=""今天"", A1251, IF(D1251=""昨天 (-1 day)"", A1251-1, IF(D1251=""前天 (-2 days)"", A1251-2, IF(D1251=""明天 (+1 day)"", A1251+1, DATE(LEFT(D1251,4), MID(D1251,5,2), RIGHT(D1251,2))))))))"),45960.34744186343)</f>
        <v>45960.34744</v>
      </c>
      <c r="C1251" s="60">
        <f>IFERROR(__xludf.DUMMYFUNCTION("INDIRECT(""'收支紀錄'!C""&amp;TO_TEXT(ROW()-$C$72))"),90.0)</f>
        <v>90</v>
      </c>
      <c r="D1251" s="63" t="str">
        <f>IFERROR(__xludf.DUMMYFUNCTION("INDIRECT(""'收支紀錄'!D""&amp;TO_TEXT(ROW()-$C$72))"),"昨天 (-1 day)")</f>
        <v>昨天 (-1 day)</v>
      </c>
      <c r="E1251" s="61" t="str">
        <f>IFERROR(__xludf.DUMMYFUNCTION("INDIRECT(""'收支紀錄'!E""&amp;TO_TEXT(ROW()-$C$72))"),"")</f>
        <v/>
      </c>
      <c r="F1251" s="61" t="str">
        <f>IFERROR(__xludf.DUMMYFUNCTION("INDIRECT(""'收支紀錄'!F""&amp;TO_TEXT(ROW()-$C$72))"),"")</f>
        <v/>
      </c>
      <c r="G1251" s="61" t="str">
        <f>IFERROR(__xludf.DUMMYFUNCTION("INDIRECT(""'收支紀錄'!G""&amp;TO_TEXT(ROW()-$C$72))"),"")</f>
        <v/>
      </c>
      <c r="H1251" s="61" t="str">
        <f>IFERROR(__xludf.DUMMYFUNCTION("INDIRECT(""'收支紀錄'!H""&amp;TO_TEXT(ROW()-$C$72))"),"食品酒水")</f>
        <v>食品酒水</v>
      </c>
      <c r="I1251" s="61" t="str">
        <f>IFERROR(__xludf.DUMMYFUNCTION("INDIRECT(""'收支紀錄'!I""&amp;TO_TEXT(ROW()-$C$72))"),"早餐")</f>
        <v>早餐</v>
      </c>
      <c r="J1251" s="61" t="str">
        <f>IFERROR(__xludf.DUMMYFUNCTION("INDIRECT(""'收支紀錄'!J""&amp;TO_TEXT(ROW()-$C$72))"),"")</f>
        <v/>
      </c>
      <c r="K1251" s="61" t="str">
        <f>IFERROR(__xludf.DUMMYFUNCTION("INDIRECT(""'收支紀錄'!K""&amp;TO_TEXT(ROW()-$C$72))"),"")</f>
        <v/>
      </c>
      <c r="L1251" s="61" t="str">
        <f>IFERROR(__xludf.DUMMYFUNCTION("INDIRECT(""'收支紀錄'!L""&amp;TO_TEXT(ROW()-$C$72))"),"")</f>
        <v/>
      </c>
      <c r="M1251" s="61" t="str">
        <f>IFERROR(__xludf.DUMMYFUNCTION("INDIRECT(""'收支紀錄'!M""&amp;TO_TEXT(ROW()-$C$72))"),"")</f>
        <v/>
      </c>
      <c r="N1251" s="61" t="str">
        <f>IFERROR(__xludf.DUMMYFUNCTION("INDIRECT(""'收支紀錄'!N""&amp;TO_TEXT(ROW()-$C$72))"),"")</f>
        <v/>
      </c>
      <c r="O1251" s="61" t="str">
        <f>IFERROR(__xludf.DUMMYFUNCTION("INDIRECT(""'收支紀錄'!O""&amp;TO_TEXT(ROW()-$C$72))"),"")</f>
        <v/>
      </c>
      <c r="P1251" s="61" t="str">
        <f>IFERROR(__xludf.DUMMYFUNCTION("INDIRECT(""'收支紀錄'!P""&amp;TO_TEXT(ROW()-$C$72))"),"")</f>
        <v/>
      </c>
      <c r="Q1251" s="61" t="str">
        <f>IFERROR(__xludf.DUMMYFUNCTION("INDIRECT(""'收支紀錄'!Q""&amp;TO_TEXT(ROW()-$C$72))"),"")</f>
        <v/>
      </c>
      <c r="R1251" s="61" t="str">
        <f>IFERROR(__xludf.DUMMYFUNCTION("INDIRECT(""'收支紀錄'!R""&amp;TO_TEXT(ROW()-$C$72))"),"")</f>
        <v/>
      </c>
      <c r="S1251" s="61" t="str">
        <f>IFERROR(__xludf.DUMMYFUNCTION("INDIRECT(""'收支紀錄'!S""&amp;TO_TEXT(ROW()-$C$72))"),"")</f>
        <v/>
      </c>
      <c r="T1251" s="61" t="str">
        <f>IFERROR(__xludf.DUMMYFUNCTION("INDIRECT(""'收支紀錄'!T""&amp;TO_TEXT(ROW()-$C$72))"),"")</f>
        <v/>
      </c>
      <c r="U1251" s="62" t="str">
        <f>IFERROR(__xludf.DUMMYFUNCTION("IF(T1251=""是"",TEXTJOIN("""", TRUE, ""$"", TO_TEXT(C1251), S1251),"""")"),"")</f>
        <v/>
      </c>
    </row>
    <row r="1252">
      <c r="A1252" s="58">
        <f>IFERROR(__xludf.DUMMYFUNCTION("INDIRECT(""'收支紀錄'!A""&amp;TO_TEXT(ROW()-$C$72))"),45962.349957280094)</f>
        <v>45962.34996</v>
      </c>
      <c r="B1252" s="59">
        <f>IFERROR(__xludf.DUMMYFUNCTION("IF(ISBLANK(D1252), """", IF(ISDATE(D1252), D1252, IF(D1252=""今天"", A1252, IF(D1252=""昨天 (-1 day)"", A1252-1, IF(D1252=""前天 (-2 days)"", A1252-2, IF(D1252=""明天 (+1 day)"", A1252+1, DATE(LEFT(D1252,4), MID(D1252,5,2), RIGHT(D1252,2))))))))"),45962.349957280094)</f>
        <v>45962.34996</v>
      </c>
      <c r="C1252" s="60">
        <f>IFERROR(__xludf.DUMMYFUNCTION("INDIRECT(""'收支紀錄'!C""&amp;TO_TEXT(ROW()-$C$72))"),20000.0)</f>
        <v>20000</v>
      </c>
      <c r="D1252" s="63" t="str">
        <f>IFERROR(__xludf.DUMMYFUNCTION("INDIRECT(""'收支紀錄'!D""&amp;TO_TEXT(ROW()-$C$72))"),"今天")</f>
        <v>今天</v>
      </c>
      <c r="E1252" s="61" t="str">
        <f>IFERROR(__xludf.DUMMYFUNCTION("INDIRECT(""'收支紀錄'!E""&amp;TO_TEXT(ROW()-$C$72))"),"")</f>
        <v/>
      </c>
      <c r="F1252" s="61" t="str">
        <f>IFERROR(__xludf.DUMMYFUNCTION("INDIRECT(""'收支紀錄'!F""&amp;TO_TEXT(ROW()-$C$72))"),"")</f>
        <v/>
      </c>
      <c r="G1252" s="61" t="str">
        <f>IFERROR(__xludf.DUMMYFUNCTION("INDIRECT(""'收支紀錄'!G""&amp;TO_TEXT(ROW()-$C$72))"),"")</f>
        <v/>
      </c>
      <c r="H1252" s="61" t="str">
        <f>IFERROR(__xludf.DUMMYFUNCTION("INDIRECT(""'收支紀錄'!H""&amp;TO_TEXT(ROW()-$C$72))"),"房屋支出")</f>
        <v>房屋支出</v>
      </c>
      <c r="I1252" s="61" t="str">
        <f>IFERROR(__xludf.DUMMYFUNCTION("INDIRECT(""'收支紀錄'!I""&amp;TO_TEXT(ROW()-$C$72))"),"")</f>
        <v/>
      </c>
      <c r="J1252" s="61" t="str">
        <f>IFERROR(__xludf.DUMMYFUNCTION("INDIRECT(""'收支紀錄'!J""&amp;TO_TEXT(ROW()-$C$72))"),"")</f>
        <v/>
      </c>
      <c r="K1252" s="61" t="str">
        <f>IFERROR(__xludf.DUMMYFUNCTION("INDIRECT(""'收支紀錄'!K""&amp;TO_TEXT(ROW()-$C$72))"),"文心1房貸代繳")</f>
        <v>文心1房貸代繳</v>
      </c>
      <c r="L1252" s="61" t="str">
        <f>IFERROR(__xludf.DUMMYFUNCTION("INDIRECT(""'收支紀錄'!L""&amp;TO_TEXT(ROW()-$C$72))"),"")</f>
        <v/>
      </c>
      <c r="M1252" s="61" t="str">
        <f>IFERROR(__xludf.DUMMYFUNCTION("INDIRECT(""'收支紀錄'!M""&amp;TO_TEXT(ROW()-$C$72))"),"")</f>
        <v/>
      </c>
      <c r="N1252" s="61" t="str">
        <f>IFERROR(__xludf.DUMMYFUNCTION("INDIRECT(""'收支紀錄'!N""&amp;TO_TEXT(ROW()-$C$72))"),"")</f>
        <v/>
      </c>
      <c r="O1252" s="61" t="str">
        <f>IFERROR(__xludf.DUMMYFUNCTION("INDIRECT(""'收支紀錄'!O""&amp;TO_TEXT(ROW()-$C$72))"),"")</f>
        <v/>
      </c>
      <c r="P1252" s="61" t="str">
        <f>IFERROR(__xludf.DUMMYFUNCTION("INDIRECT(""'收支紀錄'!P""&amp;TO_TEXT(ROW()-$C$72))"),"")</f>
        <v/>
      </c>
      <c r="Q1252" s="61" t="str">
        <f>IFERROR(__xludf.DUMMYFUNCTION("INDIRECT(""'收支紀錄'!Q""&amp;TO_TEXT(ROW()-$C$72))"),"")</f>
        <v/>
      </c>
      <c r="R1252" s="61" t="str">
        <f>IFERROR(__xludf.DUMMYFUNCTION("INDIRECT(""'收支紀錄'!R""&amp;TO_TEXT(ROW()-$C$72))"),"")</f>
        <v/>
      </c>
      <c r="S1252" s="61" t="str">
        <f>IFERROR(__xludf.DUMMYFUNCTION("INDIRECT(""'收支紀錄'!S""&amp;TO_TEXT(ROW()-$C$72))"),"")</f>
        <v/>
      </c>
      <c r="T1252" s="61" t="str">
        <f>IFERROR(__xludf.DUMMYFUNCTION("INDIRECT(""'收支紀錄'!T""&amp;TO_TEXT(ROW()-$C$72))"),"")</f>
        <v/>
      </c>
      <c r="U1252" s="62" t="str">
        <f>IFERROR(__xludf.DUMMYFUNCTION("IF(T1252=""是"",TEXTJOIN("""", TRUE, ""$"", TO_TEXT(C1252), S1252),"""")"),"")</f>
        <v/>
      </c>
    </row>
    <row r="1253">
      <c r="A1253" s="58">
        <f>IFERROR(__xludf.DUMMYFUNCTION("INDIRECT(""'收支紀錄'!A""&amp;TO_TEXT(ROW()-$C$72))"),45962.350237858795)</f>
        <v>45962.35024</v>
      </c>
      <c r="B1253" s="59">
        <f>IFERROR(__xludf.DUMMYFUNCTION("IF(ISBLANK(D1253), """", IF(ISDATE(D1253), D1253, IF(D1253=""今天"", A1253, IF(D1253=""昨天 (-1 day)"", A1253-1, IF(D1253=""前天 (-2 days)"", A1253-2, IF(D1253=""明天 (+1 day)"", A1253+1, DATE(LEFT(D1253,4), MID(D1253,5,2), RIGHT(D1253,2))))))))"),45962.350237858795)</f>
        <v>45962.35024</v>
      </c>
      <c r="C1253" s="60">
        <f>IFERROR(__xludf.DUMMYFUNCTION("INDIRECT(""'收支紀錄'!C""&amp;TO_TEXT(ROW()-$C$72))"),6000.0)</f>
        <v>6000</v>
      </c>
      <c r="D1253" s="63" t="str">
        <f>IFERROR(__xludf.DUMMYFUNCTION("INDIRECT(""'收支紀錄'!D""&amp;TO_TEXT(ROW()-$C$72))"),"今天")</f>
        <v>今天</v>
      </c>
      <c r="E1253" s="61" t="str">
        <f>IFERROR(__xludf.DUMMYFUNCTION("INDIRECT(""'收支紀錄'!E""&amp;TO_TEXT(ROW()-$C$72))"),"")</f>
        <v/>
      </c>
      <c r="F1253" s="61" t="str">
        <f>IFERROR(__xludf.DUMMYFUNCTION("INDIRECT(""'收支紀錄'!F""&amp;TO_TEXT(ROW()-$C$72))"),"")</f>
        <v/>
      </c>
      <c r="G1253" s="61" t="str">
        <f>IFERROR(__xludf.DUMMYFUNCTION("INDIRECT(""'收支紀錄'!G""&amp;TO_TEXT(ROW()-$C$72))"),"")</f>
        <v/>
      </c>
      <c r="H1253" s="61" t="str">
        <f>IFERROR(__xludf.DUMMYFUNCTION("INDIRECT(""'收支紀錄'!H""&amp;TO_TEXT(ROW()-$C$72))"),"房屋支出")</f>
        <v>房屋支出</v>
      </c>
      <c r="I1253" s="61" t="str">
        <f>IFERROR(__xludf.DUMMYFUNCTION("INDIRECT(""'收支紀錄'!I""&amp;TO_TEXT(ROW()-$C$72))"),"")</f>
        <v/>
      </c>
      <c r="J1253" s="61" t="str">
        <f>IFERROR(__xludf.DUMMYFUNCTION("INDIRECT(""'收支紀錄'!J""&amp;TO_TEXT(ROW()-$C$72))"),"")</f>
        <v/>
      </c>
      <c r="K1253" s="61" t="str">
        <f>IFERROR(__xludf.DUMMYFUNCTION("INDIRECT(""'收支紀錄'!K""&amp;TO_TEXT(ROW()-$C$72))"),"租屋")</f>
        <v>租屋</v>
      </c>
      <c r="L1253" s="61" t="str">
        <f>IFERROR(__xludf.DUMMYFUNCTION("INDIRECT(""'收支紀錄'!L""&amp;TO_TEXT(ROW()-$C$72))"),"")</f>
        <v/>
      </c>
      <c r="M1253" s="61" t="str">
        <f>IFERROR(__xludf.DUMMYFUNCTION("INDIRECT(""'收支紀錄'!M""&amp;TO_TEXT(ROW()-$C$72))"),"")</f>
        <v/>
      </c>
      <c r="N1253" s="61" t="str">
        <f>IFERROR(__xludf.DUMMYFUNCTION("INDIRECT(""'收支紀錄'!N""&amp;TO_TEXT(ROW()-$C$72))"),"")</f>
        <v/>
      </c>
      <c r="O1253" s="61" t="str">
        <f>IFERROR(__xludf.DUMMYFUNCTION("INDIRECT(""'收支紀錄'!O""&amp;TO_TEXT(ROW()-$C$72))"),"")</f>
        <v/>
      </c>
      <c r="P1253" s="61" t="str">
        <f>IFERROR(__xludf.DUMMYFUNCTION("INDIRECT(""'收支紀錄'!P""&amp;TO_TEXT(ROW()-$C$72))"),"")</f>
        <v/>
      </c>
      <c r="Q1253" s="61" t="str">
        <f>IFERROR(__xludf.DUMMYFUNCTION("INDIRECT(""'收支紀錄'!Q""&amp;TO_TEXT(ROW()-$C$72))"),"")</f>
        <v/>
      </c>
      <c r="R1253" s="61" t="str">
        <f>IFERROR(__xludf.DUMMYFUNCTION("INDIRECT(""'收支紀錄'!R""&amp;TO_TEXT(ROW()-$C$72))"),"")</f>
        <v/>
      </c>
      <c r="S1253" s="61" t="str">
        <f>IFERROR(__xludf.DUMMYFUNCTION("INDIRECT(""'收支紀錄'!S""&amp;TO_TEXT(ROW()-$C$72))"),"")</f>
        <v/>
      </c>
      <c r="T1253" s="61" t="str">
        <f>IFERROR(__xludf.DUMMYFUNCTION("INDIRECT(""'收支紀錄'!T""&amp;TO_TEXT(ROW()-$C$72))"),"")</f>
        <v/>
      </c>
      <c r="U1253" s="62" t="str">
        <f>IFERROR(__xludf.DUMMYFUNCTION("IF(T1253=""是"",TEXTJOIN("""", TRUE, ""$"", TO_TEXT(C1253), S1253),"""")"),"")</f>
        <v/>
      </c>
    </row>
    <row r="1254">
      <c r="A1254" s="58">
        <f>IFERROR(__xludf.DUMMYFUNCTION("INDIRECT(""'收支紀錄'!A""&amp;TO_TEXT(ROW()-$C$72))"),45964.47438559028)</f>
        <v>45964.47439</v>
      </c>
      <c r="B1254" s="59">
        <f>IFERROR(__xludf.DUMMYFUNCTION("IF(ISBLANK(D1254), """", IF(ISDATE(D1254), D1254, IF(D1254=""今天"", A1254, IF(D1254=""昨天 (-1 day)"", A1254-1, IF(D1254=""前天 (-2 days)"", A1254-2, IF(D1254=""明天 (+1 day)"", A1254+1, DATE(LEFT(D1254,4), MID(D1254,5,2), RIGHT(D1254,2))))))))"),45964.47438559028)</f>
        <v>45964.47439</v>
      </c>
      <c r="C1254" s="60">
        <f>IFERROR(__xludf.DUMMYFUNCTION("INDIRECT(""'收支紀錄'!C""&amp;TO_TEXT(ROW()-$C$72))"),213.0)</f>
        <v>213</v>
      </c>
      <c r="D1254" s="63" t="str">
        <f>IFERROR(__xludf.DUMMYFUNCTION("INDIRECT(""'收支紀錄'!D""&amp;TO_TEXT(ROW()-$C$72))"),"今天")</f>
        <v>今天</v>
      </c>
      <c r="E1254" s="61" t="str">
        <f>IFERROR(__xludf.DUMMYFUNCTION("INDIRECT(""'收支紀錄'!E""&amp;TO_TEXT(ROW()-$C$72))"),"")</f>
        <v/>
      </c>
      <c r="F1254" s="61" t="str">
        <f>IFERROR(__xludf.DUMMYFUNCTION("INDIRECT(""'收支紀錄'!F""&amp;TO_TEXT(ROW()-$C$72))"),"")</f>
        <v/>
      </c>
      <c r="G1254" s="61" t="str">
        <f>IFERROR(__xludf.DUMMYFUNCTION("INDIRECT(""'收支紀錄'!G""&amp;TO_TEXT(ROW()-$C$72))"),"")</f>
        <v/>
      </c>
      <c r="H1254" s="61" t="str">
        <f>IFERROR(__xludf.DUMMYFUNCTION("INDIRECT(""'收支紀錄'!H""&amp;TO_TEXT(ROW()-$C$72))"),"房屋支出")</f>
        <v>房屋支出</v>
      </c>
      <c r="I1254" s="61" t="str">
        <f>IFERROR(__xludf.DUMMYFUNCTION("INDIRECT(""'收支紀錄'!I""&amp;TO_TEXT(ROW()-$C$72))"),"")</f>
        <v/>
      </c>
      <c r="J1254" s="61" t="str">
        <f>IFERROR(__xludf.DUMMYFUNCTION("INDIRECT(""'收支紀錄'!J""&amp;TO_TEXT(ROW()-$C$72))"),"")</f>
        <v/>
      </c>
      <c r="K1254" s="61" t="str">
        <f>IFERROR(__xludf.DUMMYFUNCTION("INDIRECT(""'收支紀錄'!K""&amp;TO_TEXT(ROW()-$C$72))"),"水費")</f>
        <v>水費</v>
      </c>
      <c r="L1254" s="61" t="str">
        <f>IFERROR(__xludf.DUMMYFUNCTION("INDIRECT(""'收支紀錄'!L""&amp;TO_TEXT(ROW()-$C$72))"),"")</f>
        <v/>
      </c>
      <c r="M1254" s="61" t="str">
        <f>IFERROR(__xludf.DUMMYFUNCTION("INDIRECT(""'收支紀錄'!M""&amp;TO_TEXT(ROW()-$C$72))"),"")</f>
        <v/>
      </c>
      <c r="N1254" s="61" t="str">
        <f>IFERROR(__xludf.DUMMYFUNCTION("INDIRECT(""'收支紀錄'!N""&amp;TO_TEXT(ROW()-$C$72))"),"")</f>
        <v/>
      </c>
      <c r="O1254" s="61" t="str">
        <f>IFERROR(__xludf.DUMMYFUNCTION("INDIRECT(""'收支紀錄'!O""&amp;TO_TEXT(ROW()-$C$72))"),"")</f>
        <v/>
      </c>
      <c r="P1254" s="61" t="str">
        <f>IFERROR(__xludf.DUMMYFUNCTION("INDIRECT(""'收支紀錄'!P""&amp;TO_TEXT(ROW()-$C$72))"),"")</f>
        <v/>
      </c>
      <c r="Q1254" s="61" t="str">
        <f>IFERROR(__xludf.DUMMYFUNCTION("INDIRECT(""'收支紀錄'!Q""&amp;TO_TEXT(ROW()-$C$72))"),"")</f>
        <v/>
      </c>
      <c r="R1254" s="61" t="str">
        <f>IFERROR(__xludf.DUMMYFUNCTION("INDIRECT(""'收支紀錄'!R""&amp;TO_TEXT(ROW()-$C$72))"),"")</f>
        <v/>
      </c>
      <c r="S1254" s="61" t="str">
        <f>IFERROR(__xludf.DUMMYFUNCTION("INDIRECT(""'收支紀錄'!S""&amp;TO_TEXT(ROW()-$C$72))"),"")</f>
        <v/>
      </c>
      <c r="T1254" s="61" t="str">
        <f>IFERROR(__xludf.DUMMYFUNCTION("INDIRECT(""'收支紀錄'!T""&amp;TO_TEXT(ROW()-$C$72))"),"")</f>
        <v/>
      </c>
      <c r="U1254" s="62" t="str">
        <f>IFERROR(__xludf.DUMMYFUNCTION("IF(T1254=""是"",TEXTJOIN("""", TRUE, ""$"", TO_TEXT(C1254), S1254),"""")"),"")</f>
        <v/>
      </c>
    </row>
    <row r="1255">
      <c r="A1255" s="58">
        <f>IFERROR(__xludf.DUMMYFUNCTION("INDIRECT(""'收支紀錄'!A""&amp;TO_TEXT(ROW()-$C$72))"),45964.474574594904)</f>
        <v>45964.47457</v>
      </c>
      <c r="B1255" s="59">
        <f>IFERROR(__xludf.DUMMYFUNCTION("IF(ISBLANK(D1255), """", IF(ISDATE(D1255), D1255, IF(D1255=""今天"", A1255, IF(D1255=""昨天 (-1 day)"", A1255-1, IF(D1255=""前天 (-2 days)"", A1255-2, IF(D1255=""明天 (+1 day)"", A1255+1, DATE(LEFT(D1255,4), MID(D1255,5,2), RIGHT(D1255,2))))))))"),45962.474574594904)</f>
        <v>45962.47457</v>
      </c>
      <c r="C1255" s="60">
        <f>IFERROR(__xludf.DUMMYFUNCTION("INDIRECT(""'收支紀錄'!C""&amp;TO_TEXT(ROW()-$C$72))"),6000.0)</f>
        <v>6000</v>
      </c>
      <c r="D1255" s="63" t="str">
        <f>IFERROR(__xludf.DUMMYFUNCTION("INDIRECT(""'收支紀錄'!D""&amp;TO_TEXT(ROW()-$C$72))"),"前天 (-2 days)")</f>
        <v>前天 (-2 days)</v>
      </c>
      <c r="E1255" s="61" t="str">
        <f>IFERROR(__xludf.DUMMYFUNCTION("INDIRECT(""'收支紀錄'!E""&amp;TO_TEXT(ROW()-$C$72))"),"其他業外")</f>
        <v>其他業外</v>
      </c>
      <c r="F1255" s="61" t="str">
        <f>IFERROR(__xludf.DUMMYFUNCTION("INDIRECT(""'收支紀錄'!F""&amp;TO_TEXT(ROW()-$C$72))"),"")</f>
        <v/>
      </c>
      <c r="G1255" s="61" t="str">
        <f>IFERROR(__xludf.DUMMYFUNCTION("INDIRECT(""'收支紀錄'!G""&amp;TO_TEXT(ROW()-$C$72))"),"房屋補貼")</f>
        <v>房屋補貼</v>
      </c>
      <c r="H1255" s="61" t="str">
        <f>IFERROR(__xludf.DUMMYFUNCTION("INDIRECT(""'收支紀錄'!H""&amp;TO_TEXT(ROW()-$C$72))"),"")</f>
        <v/>
      </c>
      <c r="I1255" s="61" t="str">
        <f>IFERROR(__xludf.DUMMYFUNCTION("INDIRECT(""'收支紀錄'!I""&amp;TO_TEXT(ROW()-$C$72))"),"")</f>
        <v/>
      </c>
      <c r="J1255" s="61" t="str">
        <f>IFERROR(__xludf.DUMMYFUNCTION("INDIRECT(""'收支紀錄'!J""&amp;TO_TEXT(ROW()-$C$72))"),"")</f>
        <v/>
      </c>
      <c r="K1255" s="61" t="str">
        <f>IFERROR(__xludf.DUMMYFUNCTION("INDIRECT(""'收支紀錄'!K""&amp;TO_TEXT(ROW()-$C$72))"),"")</f>
        <v/>
      </c>
      <c r="L1255" s="61" t="str">
        <f>IFERROR(__xludf.DUMMYFUNCTION("INDIRECT(""'收支紀錄'!L""&amp;TO_TEXT(ROW()-$C$72))"),"")</f>
        <v/>
      </c>
      <c r="M1255" s="61" t="str">
        <f>IFERROR(__xludf.DUMMYFUNCTION("INDIRECT(""'收支紀錄'!M""&amp;TO_TEXT(ROW()-$C$72))"),"")</f>
        <v/>
      </c>
      <c r="N1255" s="61" t="str">
        <f>IFERROR(__xludf.DUMMYFUNCTION("INDIRECT(""'收支紀錄'!N""&amp;TO_TEXT(ROW()-$C$72))"),"")</f>
        <v/>
      </c>
      <c r="O1255" s="61" t="str">
        <f>IFERROR(__xludf.DUMMYFUNCTION("INDIRECT(""'收支紀錄'!O""&amp;TO_TEXT(ROW()-$C$72))"),"")</f>
        <v/>
      </c>
      <c r="P1255" s="61" t="str">
        <f>IFERROR(__xludf.DUMMYFUNCTION("INDIRECT(""'收支紀錄'!P""&amp;TO_TEXT(ROW()-$C$72))"),"")</f>
        <v/>
      </c>
      <c r="Q1255" s="61" t="str">
        <f>IFERROR(__xludf.DUMMYFUNCTION("INDIRECT(""'收支紀錄'!Q""&amp;TO_TEXT(ROW()-$C$72))"),"")</f>
        <v/>
      </c>
      <c r="R1255" s="61" t="str">
        <f>IFERROR(__xludf.DUMMYFUNCTION("INDIRECT(""'收支紀錄'!R""&amp;TO_TEXT(ROW()-$C$72))"),"")</f>
        <v/>
      </c>
      <c r="S1255" s="61" t="str">
        <f>IFERROR(__xludf.DUMMYFUNCTION("INDIRECT(""'收支紀錄'!S""&amp;TO_TEXT(ROW()-$C$72))"),"")</f>
        <v/>
      </c>
      <c r="T1255" s="61" t="str">
        <f>IFERROR(__xludf.DUMMYFUNCTION("INDIRECT(""'收支紀錄'!T""&amp;TO_TEXT(ROW()-$C$72))"),"")</f>
        <v/>
      </c>
      <c r="U1255" s="62" t="str">
        <f>IFERROR(__xludf.DUMMYFUNCTION("IF(T1255=""是"",TEXTJOIN("""", TRUE, ""$"", TO_TEXT(C1255), S1255),"""")"),"")</f>
        <v/>
      </c>
    </row>
    <row r="1256">
      <c r="A1256" s="58">
        <f>IFERROR(__xludf.DUMMYFUNCTION("INDIRECT(""'收支紀錄'!A""&amp;TO_TEXT(ROW()-$C$72))"),45964.875132395835)</f>
        <v>45964.87513</v>
      </c>
      <c r="B1256" s="59">
        <f>IFERROR(__xludf.DUMMYFUNCTION("IF(ISBLANK(D1256), """", IF(ISDATE(D1256), D1256, IF(D1256=""今天"", A1256, IF(D1256=""昨天 (-1 day)"", A1256-1, IF(D1256=""前天 (-2 days)"", A1256-2, IF(D1256=""明天 (+1 day)"", A1256+1, DATE(LEFT(D1256,4), MID(D1256,5,2), RIGHT(D1256,2))))))))"),45964.875132395835)</f>
        <v>45964.87513</v>
      </c>
      <c r="C1256" s="60">
        <f>IFERROR(__xludf.DUMMYFUNCTION("INDIRECT(""'收支紀錄'!C""&amp;TO_TEXT(ROW()-$C$72))"),210.0)</f>
        <v>210</v>
      </c>
      <c r="D1256" s="63" t="str">
        <f>IFERROR(__xludf.DUMMYFUNCTION("INDIRECT(""'收支紀錄'!D""&amp;TO_TEXT(ROW()-$C$72))"),"今天")</f>
        <v>今天</v>
      </c>
      <c r="E1256" s="61" t="str">
        <f>IFERROR(__xludf.DUMMYFUNCTION("INDIRECT(""'收支紀錄'!E""&amp;TO_TEXT(ROW()-$C$72))"),"")</f>
        <v/>
      </c>
      <c r="F1256" s="61" t="str">
        <f>IFERROR(__xludf.DUMMYFUNCTION("INDIRECT(""'收支紀錄'!F""&amp;TO_TEXT(ROW()-$C$72))"),"")</f>
        <v/>
      </c>
      <c r="G1256" s="61" t="str">
        <f>IFERROR(__xludf.DUMMYFUNCTION("INDIRECT(""'收支紀錄'!G""&amp;TO_TEXT(ROW()-$C$72))"),"")</f>
        <v/>
      </c>
      <c r="H1256" s="61" t="str">
        <f>IFERROR(__xludf.DUMMYFUNCTION("INDIRECT(""'收支紀錄'!H""&amp;TO_TEXT(ROW()-$C$72))"),"食品酒水")</f>
        <v>食品酒水</v>
      </c>
      <c r="I1256" s="61" t="str">
        <f>IFERROR(__xludf.DUMMYFUNCTION("INDIRECT(""'收支紀錄'!I""&amp;TO_TEXT(ROW()-$C$72))"),"晚餐")</f>
        <v>晚餐</v>
      </c>
      <c r="J1256" s="61" t="str">
        <f>IFERROR(__xludf.DUMMYFUNCTION("INDIRECT(""'收支紀錄'!J""&amp;TO_TEXT(ROW()-$C$72))"),"")</f>
        <v/>
      </c>
      <c r="K1256" s="61" t="str">
        <f>IFERROR(__xludf.DUMMYFUNCTION("INDIRECT(""'收支紀錄'!K""&amp;TO_TEXT(ROW()-$C$72))"),"")</f>
        <v/>
      </c>
      <c r="L1256" s="61" t="str">
        <f>IFERROR(__xludf.DUMMYFUNCTION("INDIRECT(""'收支紀錄'!L""&amp;TO_TEXT(ROW()-$C$72))"),"")</f>
        <v/>
      </c>
      <c r="M1256" s="61" t="str">
        <f>IFERROR(__xludf.DUMMYFUNCTION("INDIRECT(""'收支紀錄'!M""&amp;TO_TEXT(ROW()-$C$72))"),"")</f>
        <v/>
      </c>
      <c r="N1256" s="61" t="str">
        <f>IFERROR(__xludf.DUMMYFUNCTION("INDIRECT(""'收支紀錄'!N""&amp;TO_TEXT(ROW()-$C$72))"),"")</f>
        <v/>
      </c>
      <c r="O1256" s="61" t="str">
        <f>IFERROR(__xludf.DUMMYFUNCTION("INDIRECT(""'收支紀錄'!O""&amp;TO_TEXT(ROW()-$C$72))"),"")</f>
        <v/>
      </c>
      <c r="P1256" s="61" t="str">
        <f>IFERROR(__xludf.DUMMYFUNCTION("INDIRECT(""'收支紀錄'!P""&amp;TO_TEXT(ROW()-$C$72))"),"")</f>
        <v/>
      </c>
      <c r="Q1256" s="61" t="str">
        <f>IFERROR(__xludf.DUMMYFUNCTION("INDIRECT(""'收支紀錄'!Q""&amp;TO_TEXT(ROW()-$C$72))"),"")</f>
        <v/>
      </c>
      <c r="R1256" s="61" t="str">
        <f>IFERROR(__xludf.DUMMYFUNCTION("INDIRECT(""'收支紀錄'!R""&amp;TO_TEXT(ROW()-$C$72))"),"")</f>
        <v/>
      </c>
      <c r="S1256" s="61" t="str">
        <f>IFERROR(__xludf.DUMMYFUNCTION("INDIRECT(""'收支紀錄'!S""&amp;TO_TEXT(ROW()-$C$72))"),"")</f>
        <v/>
      </c>
      <c r="T1256" s="61" t="str">
        <f>IFERROR(__xludf.DUMMYFUNCTION("INDIRECT(""'收支紀錄'!T""&amp;TO_TEXT(ROW()-$C$72))"),"")</f>
        <v/>
      </c>
      <c r="U1256" s="62" t="str">
        <f>IFERROR(__xludf.DUMMYFUNCTION("IF(T1256=""是"",TEXTJOIN("""", TRUE, ""$"", TO_TEXT(C1256), S1256),"""")"),"")</f>
        <v/>
      </c>
    </row>
    <row r="1257">
      <c r="A1257" s="58">
        <f>IFERROR(__xludf.DUMMYFUNCTION("INDIRECT(""'收支紀錄'!A""&amp;TO_TEXT(ROW()-$C$72))"),45965.5624690625)</f>
        <v>45965.56247</v>
      </c>
      <c r="B1257" s="59">
        <f>IFERROR(__xludf.DUMMYFUNCTION("IF(ISBLANK(D1257), """", IF(ISDATE(D1257), D1257, IF(D1257=""今天"", A1257, IF(D1257=""昨天 (-1 day)"", A1257-1, IF(D1257=""前天 (-2 days)"", A1257-2, IF(D1257=""明天 (+1 day)"", A1257+1, DATE(LEFT(D1257,4), MID(D1257,5,2), RIGHT(D1257,2))))))))"),45964.5624690625)</f>
        <v>45964.56247</v>
      </c>
      <c r="C1257" s="60">
        <f>IFERROR(__xludf.DUMMYFUNCTION("INDIRECT(""'收支紀錄'!C""&amp;TO_TEXT(ROW()-$C$72))"),58492.0)</f>
        <v>58492</v>
      </c>
      <c r="D1257" s="63" t="str">
        <f>IFERROR(__xludf.DUMMYFUNCTION("INDIRECT(""'收支紀錄'!D""&amp;TO_TEXT(ROW()-$C$72))"),"昨天 (-1 day)")</f>
        <v>昨天 (-1 day)</v>
      </c>
      <c r="E1257" s="61" t="str">
        <f>IFERROR(__xludf.DUMMYFUNCTION("INDIRECT(""'收支紀錄'!E""&amp;TO_TEXT(ROW()-$C$72))"),"")</f>
        <v/>
      </c>
      <c r="F1257" s="61" t="str">
        <f>IFERROR(__xludf.DUMMYFUNCTION("INDIRECT(""'收支紀錄'!F""&amp;TO_TEXT(ROW()-$C$72))"),"")</f>
        <v/>
      </c>
      <c r="G1257" s="61" t="str">
        <f>IFERROR(__xludf.DUMMYFUNCTION("INDIRECT(""'收支紀錄'!G""&amp;TO_TEXT(ROW()-$C$72))"),"")</f>
        <v/>
      </c>
      <c r="H1257" s="61" t="str">
        <f>IFERROR(__xludf.DUMMYFUNCTION("INDIRECT(""'收支紀錄'!H""&amp;TO_TEXT(ROW()-$C$72))"),"休閒娛樂")</f>
        <v>休閒娛樂</v>
      </c>
      <c r="I1257" s="61" t="str">
        <f>IFERROR(__xludf.DUMMYFUNCTION("INDIRECT(""'收支紀錄'!I""&amp;TO_TEXT(ROW()-$C$72))"),"")</f>
        <v/>
      </c>
      <c r="J1257" s="61" t="str">
        <f>IFERROR(__xludf.DUMMYFUNCTION("INDIRECT(""'收支紀錄'!J""&amp;TO_TEXT(ROW()-$C$72))"),"")</f>
        <v/>
      </c>
      <c r="K1257" s="61" t="str">
        <f>IFERROR(__xludf.DUMMYFUNCTION("INDIRECT(""'收支紀錄'!K""&amp;TO_TEXT(ROW()-$C$72))"),"")</f>
        <v/>
      </c>
      <c r="L1257" s="61" t="str">
        <f>IFERROR(__xludf.DUMMYFUNCTION("INDIRECT(""'收支紀錄'!L""&amp;TO_TEXT(ROW()-$C$72))"),"")</f>
        <v/>
      </c>
      <c r="M1257" s="61" t="str">
        <f>IFERROR(__xludf.DUMMYFUNCTION("INDIRECT(""'收支紀錄'!M""&amp;TO_TEXT(ROW()-$C$72))"),"旅遊度假")</f>
        <v>旅遊度假</v>
      </c>
      <c r="N1257" s="61" t="str">
        <f>IFERROR(__xludf.DUMMYFUNCTION("INDIRECT(""'收支紀錄'!N""&amp;TO_TEXT(ROW()-$C$72))"),"")</f>
        <v/>
      </c>
      <c r="O1257" s="61" t="str">
        <f>IFERROR(__xludf.DUMMYFUNCTION("INDIRECT(""'收支紀錄'!O""&amp;TO_TEXT(ROW()-$C$72))"),"")</f>
        <v/>
      </c>
      <c r="P1257" s="61" t="str">
        <f>IFERROR(__xludf.DUMMYFUNCTION("INDIRECT(""'收支紀錄'!P""&amp;TO_TEXT(ROW()-$C$72))"),"")</f>
        <v/>
      </c>
      <c r="Q1257" s="61" t="str">
        <f>IFERROR(__xludf.DUMMYFUNCTION("INDIRECT(""'收支紀錄'!Q""&amp;TO_TEXT(ROW()-$C$72))"),"")</f>
        <v/>
      </c>
      <c r="R1257" s="61" t="str">
        <f>IFERROR(__xludf.DUMMYFUNCTION("INDIRECT(""'收支紀錄'!R""&amp;TO_TEXT(ROW()-$C$72))"),"")</f>
        <v/>
      </c>
      <c r="S1257" s="61" t="str">
        <f>IFERROR(__xludf.DUMMYFUNCTION("INDIRECT(""'收支紀錄'!S""&amp;TO_TEXT(ROW()-$C$72))"),"日本大阪行")</f>
        <v>日本大阪行</v>
      </c>
      <c r="T1257" s="61" t="str">
        <f>IFERROR(__xludf.DUMMYFUNCTION("INDIRECT(""'收支紀錄'!T""&amp;TO_TEXT(ROW()-$C$72))"),"是")</f>
        <v>是</v>
      </c>
      <c r="U1257" s="62" t="str">
        <f>IFERROR(__xludf.DUMMYFUNCTION("IF(T1257=""是"",TEXTJOIN("""", TRUE, ""$"", TO_TEXT(C1257), S1257),"""")"),"$58492日本大阪行")</f>
        <v>$58492日本大阪行</v>
      </c>
    </row>
    <row r="1258">
      <c r="A1258" s="58">
        <f>IFERROR(__xludf.DUMMYFUNCTION("INDIRECT(""'收支紀錄'!A""&amp;TO_TEXT(ROW()-$C$72))"),45965.918612187495)</f>
        <v>45965.91861</v>
      </c>
      <c r="B1258" s="59">
        <f>IFERROR(__xludf.DUMMYFUNCTION("IF(ISBLANK(D1258), """", IF(ISDATE(D1258), D1258, IF(D1258=""今天"", A1258, IF(D1258=""昨天 (-1 day)"", A1258-1, IF(D1258=""前天 (-2 days)"", A1258-2, IF(D1258=""明天 (+1 day)"", A1258+1, DATE(LEFT(D1258,4), MID(D1258,5,2), RIGHT(D1258,2))))))))"),45965.918612187495)</f>
        <v>45965.91861</v>
      </c>
      <c r="C1258" s="60">
        <f>IFERROR(__xludf.DUMMYFUNCTION("INDIRECT(""'收支紀錄'!C""&amp;TO_TEXT(ROW()-$C$72))"),5900.0)</f>
        <v>5900</v>
      </c>
      <c r="D1258" s="63" t="str">
        <f>IFERROR(__xludf.DUMMYFUNCTION("INDIRECT(""'收支紀錄'!D""&amp;TO_TEXT(ROW()-$C$72))"),"今天")</f>
        <v>今天</v>
      </c>
      <c r="E1258" s="61" t="str">
        <f>IFERROR(__xludf.DUMMYFUNCTION("INDIRECT(""'收支紀錄'!E""&amp;TO_TEXT(ROW()-$C$72))"),"")</f>
        <v/>
      </c>
      <c r="F1258" s="61" t="str">
        <f>IFERROR(__xludf.DUMMYFUNCTION("INDIRECT(""'收支紀錄'!F""&amp;TO_TEXT(ROW()-$C$72))"),"")</f>
        <v/>
      </c>
      <c r="G1258" s="61" t="str">
        <f>IFERROR(__xludf.DUMMYFUNCTION("INDIRECT(""'收支紀錄'!G""&amp;TO_TEXT(ROW()-$C$72))"),"")</f>
        <v/>
      </c>
      <c r="H1258" s="61" t="str">
        <f>IFERROR(__xludf.DUMMYFUNCTION("INDIRECT(""'收支紀錄'!H""&amp;TO_TEXT(ROW()-$C$72))"),"日常生活")</f>
        <v>日常生活</v>
      </c>
      <c r="I1258" s="61" t="str">
        <f>IFERROR(__xludf.DUMMYFUNCTION("INDIRECT(""'收支紀錄'!I""&amp;TO_TEXT(ROW()-$C$72))"),"")</f>
        <v/>
      </c>
      <c r="J1258" s="61" t="str">
        <f>IFERROR(__xludf.DUMMYFUNCTION("INDIRECT(""'收支紀錄'!J""&amp;TO_TEXT(ROW()-$C$72))"),"日常用品")</f>
        <v>日常用品</v>
      </c>
      <c r="K1258" s="61" t="str">
        <f>IFERROR(__xludf.DUMMYFUNCTION("INDIRECT(""'收支紀錄'!K""&amp;TO_TEXT(ROW()-$C$72))"),"")</f>
        <v/>
      </c>
      <c r="L1258" s="61" t="str">
        <f>IFERROR(__xludf.DUMMYFUNCTION("INDIRECT(""'收支紀錄'!L""&amp;TO_TEXT(ROW()-$C$72))"),"")</f>
        <v/>
      </c>
      <c r="M1258" s="61" t="str">
        <f>IFERROR(__xludf.DUMMYFUNCTION("INDIRECT(""'收支紀錄'!M""&amp;TO_TEXT(ROW()-$C$72))"),"")</f>
        <v/>
      </c>
      <c r="N1258" s="61" t="str">
        <f>IFERROR(__xludf.DUMMYFUNCTION("INDIRECT(""'收支紀錄'!N""&amp;TO_TEXT(ROW()-$C$72))"),"")</f>
        <v/>
      </c>
      <c r="O1258" s="61" t="str">
        <f>IFERROR(__xludf.DUMMYFUNCTION("INDIRECT(""'收支紀錄'!O""&amp;TO_TEXT(ROW()-$C$72))"),"")</f>
        <v/>
      </c>
      <c r="P1258" s="61" t="str">
        <f>IFERROR(__xludf.DUMMYFUNCTION("INDIRECT(""'收支紀錄'!P""&amp;TO_TEXT(ROW()-$C$72))"),"")</f>
        <v/>
      </c>
      <c r="Q1258" s="61" t="str">
        <f>IFERROR(__xludf.DUMMYFUNCTION("INDIRECT(""'收支紀錄'!Q""&amp;TO_TEXT(ROW()-$C$72))"),"")</f>
        <v/>
      </c>
      <c r="R1258" s="61" t="str">
        <f>IFERROR(__xludf.DUMMYFUNCTION("INDIRECT(""'收支紀錄'!R""&amp;TO_TEXT(ROW()-$C$72))"),"")</f>
        <v/>
      </c>
      <c r="S1258" s="61" t="str">
        <f>IFERROR(__xludf.DUMMYFUNCTION("INDIRECT(""'收支紀錄'!S""&amp;TO_TEXT(ROW()-$C$72))"),"濾芯")</f>
        <v>濾芯</v>
      </c>
      <c r="T1258" s="61" t="str">
        <f>IFERROR(__xludf.DUMMYFUNCTION("INDIRECT(""'收支紀錄'!T""&amp;TO_TEXT(ROW()-$C$72))"),"是")</f>
        <v>是</v>
      </c>
      <c r="U1258" s="62" t="str">
        <f>IFERROR(__xludf.DUMMYFUNCTION("IF(T1258=""是"",TEXTJOIN("""", TRUE, ""$"", TO_TEXT(C1258), S1258),"""")"),"$5900濾芯")</f>
        <v>$5900濾芯</v>
      </c>
    </row>
    <row r="1259">
      <c r="A1259" s="58">
        <f>IFERROR(__xludf.DUMMYFUNCTION("INDIRECT(""'收支紀錄'!A""&amp;TO_TEXT(ROW()-$C$72))"),45966.89651715278)</f>
        <v>45966.89652</v>
      </c>
      <c r="B1259" s="59">
        <f>IFERROR(__xludf.DUMMYFUNCTION("IF(ISBLANK(D1259), """", IF(ISDATE(D1259), D1259, IF(D1259=""今天"", A1259, IF(D1259=""昨天 (-1 day)"", A1259-1, IF(D1259=""前天 (-2 days)"", A1259-2, IF(D1259=""明天 (+1 day)"", A1259+1, DATE(LEFT(D1259,4), MID(D1259,5,2), RIGHT(D1259,2))))))))"),45966.89651715278)</f>
        <v>45966.89652</v>
      </c>
      <c r="C1259" s="60">
        <f>IFERROR(__xludf.DUMMYFUNCTION("INDIRECT(""'收支紀錄'!C""&amp;TO_TEXT(ROW()-$C$72))"),25.0)</f>
        <v>25</v>
      </c>
      <c r="D1259" s="63" t="str">
        <f>IFERROR(__xludf.DUMMYFUNCTION("INDIRECT(""'收支紀錄'!D""&amp;TO_TEXT(ROW()-$C$72))"),"今天")</f>
        <v>今天</v>
      </c>
      <c r="E1259" s="61" t="str">
        <f>IFERROR(__xludf.DUMMYFUNCTION("INDIRECT(""'收支紀錄'!E""&amp;TO_TEXT(ROW()-$C$72))"),"")</f>
        <v/>
      </c>
      <c r="F1259" s="61" t="str">
        <f>IFERROR(__xludf.DUMMYFUNCTION("INDIRECT(""'收支紀錄'!F""&amp;TO_TEXT(ROW()-$C$72))"),"")</f>
        <v/>
      </c>
      <c r="G1259" s="61" t="str">
        <f>IFERROR(__xludf.DUMMYFUNCTION("INDIRECT(""'收支紀錄'!G""&amp;TO_TEXT(ROW()-$C$72))"),"")</f>
        <v/>
      </c>
      <c r="H1259" s="61" t="str">
        <f>IFERROR(__xludf.DUMMYFUNCTION("INDIRECT(""'收支紀錄'!H""&amp;TO_TEXT(ROW()-$C$72))"),"食品酒水")</f>
        <v>食品酒水</v>
      </c>
      <c r="I1259" s="61" t="str">
        <f>IFERROR(__xludf.DUMMYFUNCTION("INDIRECT(""'收支紀錄'!I""&amp;TO_TEXT(ROW()-$C$72))"),"飲料酒水")</f>
        <v>飲料酒水</v>
      </c>
      <c r="J1259" s="61" t="str">
        <f>IFERROR(__xludf.DUMMYFUNCTION("INDIRECT(""'收支紀錄'!J""&amp;TO_TEXT(ROW()-$C$72))"),"")</f>
        <v/>
      </c>
      <c r="K1259" s="61" t="str">
        <f>IFERROR(__xludf.DUMMYFUNCTION("INDIRECT(""'收支紀錄'!K""&amp;TO_TEXT(ROW()-$C$72))"),"")</f>
        <v/>
      </c>
      <c r="L1259" s="61" t="str">
        <f>IFERROR(__xludf.DUMMYFUNCTION("INDIRECT(""'收支紀錄'!L""&amp;TO_TEXT(ROW()-$C$72))"),"")</f>
        <v/>
      </c>
      <c r="M1259" s="61" t="str">
        <f>IFERROR(__xludf.DUMMYFUNCTION("INDIRECT(""'收支紀錄'!M""&amp;TO_TEXT(ROW()-$C$72))"),"")</f>
        <v/>
      </c>
      <c r="N1259" s="61" t="str">
        <f>IFERROR(__xludf.DUMMYFUNCTION("INDIRECT(""'收支紀錄'!N""&amp;TO_TEXT(ROW()-$C$72))"),"")</f>
        <v/>
      </c>
      <c r="O1259" s="61" t="str">
        <f>IFERROR(__xludf.DUMMYFUNCTION("INDIRECT(""'收支紀錄'!O""&amp;TO_TEXT(ROW()-$C$72))"),"")</f>
        <v/>
      </c>
      <c r="P1259" s="61" t="str">
        <f>IFERROR(__xludf.DUMMYFUNCTION("INDIRECT(""'收支紀錄'!P""&amp;TO_TEXT(ROW()-$C$72))"),"")</f>
        <v/>
      </c>
      <c r="Q1259" s="61" t="str">
        <f>IFERROR(__xludf.DUMMYFUNCTION("INDIRECT(""'收支紀錄'!Q""&amp;TO_TEXT(ROW()-$C$72))"),"")</f>
        <v/>
      </c>
      <c r="R1259" s="61" t="str">
        <f>IFERROR(__xludf.DUMMYFUNCTION("INDIRECT(""'收支紀錄'!R""&amp;TO_TEXT(ROW()-$C$72))"),"")</f>
        <v/>
      </c>
      <c r="S1259" s="61" t="str">
        <f>IFERROR(__xludf.DUMMYFUNCTION("INDIRECT(""'收支紀錄'!S""&amp;TO_TEXT(ROW()-$C$72))"),"")</f>
        <v/>
      </c>
      <c r="T1259" s="61" t="str">
        <f>IFERROR(__xludf.DUMMYFUNCTION("INDIRECT(""'收支紀錄'!T""&amp;TO_TEXT(ROW()-$C$72))"),"")</f>
        <v/>
      </c>
      <c r="U1259" s="62" t="str">
        <f>IFERROR(__xludf.DUMMYFUNCTION("IF(T1259=""是"",TEXTJOIN("""", TRUE, ""$"", TO_TEXT(C1259), S1259),"""")"),"")</f>
        <v/>
      </c>
    </row>
    <row r="1260">
      <c r="A1260" s="58">
        <f>IFERROR(__xludf.DUMMYFUNCTION("INDIRECT(""'收支紀錄'!A""&amp;TO_TEXT(ROW()-$C$72))"),45967.51155164352)</f>
        <v>45967.51155</v>
      </c>
      <c r="B1260" s="59">
        <f>IFERROR(__xludf.DUMMYFUNCTION("IF(ISBLANK(D1260), """", IF(ISDATE(D1260), D1260, IF(D1260=""今天"", A1260, IF(D1260=""昨天 (-1 day)"", A1260-1, IF(D1260=""前天 (-2 days)"", A1260-2, IF(D1260=""明天 (+1 day)"", A1260+1, DATE(LEFT(D1260,4), MID(D1260,5,2), RIGHT(D1260,2))))))))"),45961.0)</f>
        <v>45961</v>
      </c>
      <c r="C1260" s="60">
        <f>IFERROR(__xludf.DUMMYFUNCTION("INDIRECT(""'收支紀錄'!C""&amp;TO_TEXT(ROW()-$C$72))"),76000.0)</f>
        <v>76000</v>
      </c>
      <c r="D1260" s="63">
        <f>IFERROR(__xludf.DUMMYFUNCTION("INDIRECT(""'收支紀錄'!D""&amp;TO_TEXT(ROW()-$C$72))"),2.0251031E7)</f>
        <v>20251031</v>
      </c>
      <c r="E1260" s="61" t="str">
        <f>IFERROR(__xludf.DUMMYFUNCTION("INDIRECT(""'收支紀錄'!E""&amp;TO_TEXT(ROW()-$C$72))"),"工作")</f>
        <v>工作</v>
      </c>
      <c r="F1260" s="61" t="str">
        <f>IFERROR(__xludf.DUMMYFUNCTION("INDIRECT(""'收支紀錄'!F""&amp;TO_TEXT(ROW()-$C$72))"),"年終/績效")</f>
        <v>年終/績效</v>
      </c>
      <c r="G1260" s="61" t="str">
        <f>IFERROR(__xludf.DUMMYFUNCTION("INDIRECT(""'收支紀錄'!G""&amp;TO_TEXT(ROW()-$C$72))"),"")</f>
        <v/>
      </c>
      <c r="H1260" s="61" t="str">
        <f>IFERROR(__xludf.DUMMYFUNCTION("INDIRECT(""'收支紀錄'!H""&amp;TO_TEXT(ROW()-$C$72))"),"")</f>
        <v/>
      </c>
      <c r="I1260" s="61" t="str">
        <f>IFERROR(__xludf.DUMMYFUNCTION("INDIRECT(""'收支紀錄'!I""&amp;TO_TEXT(ROW()-$C$72))"),"")</f>
        <v/>
      </c>
      <c r="J1260" s="61" t="str">
        <f>IFERROR(__xludf.DUMMYFUNCTION("INDIRECT(""'收支紀錄'!J""&amp;TO_TEXT(ROW()-$C$72))"),"")</f>
        <v/>
      </c>
      <c r="K1260" s="61" t="str">
        <f>IFERROR(__xludf.DUMMYFUNCTION("INDIRECT(""'收支紀錄'!K""&amp;TO_TEXT(ROW()-$C$72))"),"")</f>
        <v/>
      </c>
      <c r="L1260" s="61" t="str">
        <f>IFERROR(__xludf.DUMMYFUNCTION("INDIRECT(""'收支紀錄'!L""&amp;TO_TEXT(ROW()-$C$72))"),"")</f>
        <v/>
      </c>
      <c r="M1260" s="61" t="str">
        <f>IFERROR(__xludf.DUMMYFUNCTION("INDIRECT(""'收支紀錄'!M""&amp;TO_TEXT(ROW()-$C$72))"),"")</f>
        <v/>
      </c>
      <c r="N1260" s="61" t="str">
        <f>IFERROR(__xludf.DUMMYFUNCTION("INDIRECT(""'收支紀錄'!N""&amp;TO_TEXT(ROW()-$C$72))"),"")</f>
        <v/>
      </c>
      <c r="O1260" s="61" t="str">
        <f>IFERROR(__xludf.DUMMYFUNCTION("INDIRECT(""'收支紀錄'!O""&amp;TO_TEXT(ROW()-$C$72))"),"")</f>
        <v/>
      </c>
      <c r="P1260" s="61" t="str">
        <f>IFERROR(__xludf.DUMMYFUNCTION("INDIRECT(""'收支紀錄'!P""&amp;TO_TEXT(ROW()-$C$72))"),"")</f>
        <v/>
      </c>
      <c r="Q1260" s="61" t="str">
        <f>IFERROR(__xludf.DUMMYFUNCTION("INDIRECT(""'收支紀錄'!Q""&amp;TO_TEXT(ROW()-$C$72))"),"")</f>
        <v/>
      </c>
      <c r="R1260" s="61" t="str">
        <f>IFERROR(__xludf.DUMMYFUNCTION("INDIRECT(""'收支紀錄'!R""&amp;TO_TEXT(ROW()-$C$72))"),"")</f>
        <v/>
      </c>
      <c r="S1260" s="61" t="str">
        <f>IFERROR(__xludf.DUMMYFUNCTION("INDIRECT(""'收支紀錄'!S""&amp;TO_TEXT(ROW()-$C$72))"),"績效")</f>
        <v>績效</v>
      </c>
      <c r="T1260" s="61" t="str">
        <f>IFERROR(__xludf.DUMMYFUNCTION("INDIRECT(""'收支紀錄'!T""&amp;TO_TEXT(ROW()-$C$72))"),"是")</f>
        <v>是</v>
      </c>
      <c r="U1260" s="62" t="str">
        <f>IFERROR(__xludf.DUMMYFUNCTION("IF(T1260=""是"",TEXTJOIN("""", TRUE, ""$"", TO_TEXT(C1260), S1260),"""")"),"$76000績效")</f>
        <v>$76000績效</v>
      </c>
    </row>
    <row r="1261">
      <c r="A1261" s="58">
        <f>IFERROR(__xludf.DUMMYFUNCTION("INDIRECT(""'收支紀錄'!A""&amp;TO_TEXT(ROW()-$C$72))"),45967.5119124537)</f>
        <v>45967.51191</v>
      </c>
      <c r="B1261" s="59">
        <f>IFERROR(__xludf.DUMMYFUNCTION("IF(ISBLANK(D1261), """", IF(ISDATE(D1261), D1261, IF(D1261=""今天"", A1261, IF(D1261=""昨天 (-1 day)"", A1261-1, IF(D1261=""前天 (-2 days)"", A1261-2, IF(D1261=""明天 (+1 day)"", A1261+1, DATE(LEFT(D1261,4), MID(D1261,5,2), RIGHT(D1261,2))))))))"),45688.0)</f>
        <v>45688</v>
      </c>
      <c r="C1261" s="60">
        <f>IFERROR(__xludf.DUMMYFUNCTION("INDIRECT(""'收支紀錄'!C""&amp;TO_TEXT(ROW()-$C$72))"),1604.0)</f>
        <v>1604</v>
      </c>
      <c r="D1261" s="63">
        <f>IFERROR(__xludf.DUMMYFUNCTION("INDIRECT(""'收支紀錄'!D""&amp;TO_TEXT(ROW()-$C$72))"),2.02501031E8)</f>
        <v>202501031</v>
      </c>
      <c r="E1261" s="61" t="str">
        <f>IFERROR(__xludf.DUMMYFUNCTION("INDIRECT(""'收支紀錄'!E""&amp;TO_TEXT(ROW()-$C$72))"),"")</f>
        <v/>
      </c>
      <c r="F1261" s="61" t="str">
        <f>IFERROR(__xludf.DUMMYFUNCTION("INDIRECT(""'收支紀錄'!F""&amp;TO_TEXT(ROW()-$C$72))"),"")</f>
        <v/>
      </c>
      <c r="G1261" s="61" t="str">
        <f>IFERROR(__xludf.DUMMYFUNCTION("INDIRECT(""'收支紀錄'!G""&amp;TO_TEXT(ROW()-$C$72))"),"")</f>
        <v/>
      </c>
      <c r="H1261" s="61" t="str">
        <f>IFERROR(__xludf.DUMMYFUNCTION("INDIRECT(""'收支紀錄'!H""&amp;TO_TEXT(ROW()-$C$72))"),"稅金保險")</f>
        <v>稅金保險</v>
      </c>
      <c r="I1261" s="61" t="str">
        <f>IFERROR(__xludf.DUMMYFUNCTION("INDIRECT(""'收支紀錄'!I""&amp;TO_TEXT(ROW()-$C$72))"),"")</f>
        <v/>
      </c>
      <c r="J1261" s="61" t="str">
        <f>IFERROR(__xludf.DUMMYFUNCTION("INDIRECT(""'收支紀錄'!J""&amp;TO_TEXT(ROW()-$C$72))"),"")</f>
        <v/>
      </c>
      <c r="K1261" s="61" t="str">
        <f>IFERROR(__xludf.DUMMYFUNCTION("INDIRECT(""'收支紀錄'!K""&amp;TO_TEXT(ROW()-$C$72))"),"")</f>
        <v/>
      </c>
      <c r="L1261" s="61" t="str">
        <f>IFERROR(__xludf.DUMMYFUNCTION("INDIRECT(""'收支紀錄'!L""&amp;TO_TEXT(ROW()-$C$72))"),"")</f>
        <v/>
      </c>
      <c r="M1261" s="61" t="str">
        <f>IFERROR(__xludf.DUMMYFUNCTION("INDIRECT(""'收支紀錄'!M""&amp;TO_TEXT(ROW()-$C$72))"),"")</f>
        <v/>
      </c>
      <c r="N1261" s="61" t="str">
        <f>IFERROR(__xludf.DUMMYFUNCTION("INDIRECT(""'收支紀錄'!N""&amp;TO_TEXT(ROW()-$C$72))"),"稅金")</f>
        <v>稅金</v>
      </c>
      <c r="O1261" s="61" t="str">
        <f>IFERROR(__xludf.DUMMYFUNCTION("INDIRECT(""'收支紀錄'!O""&amp;TO_TEXT(ROW()-$C$72))"),"")</f>
        <v/>
      </c>
      <c r="P1261" s="61" t="str">
        <f>IFERROR(__xludf.DUMMYFUNCTION("INDIRECT(""'收支紀錄'!P""&amp;TO_TEXT(ROW()-$C$72))"),"")</f>
        <v/>
      </c>
      <c r="Q1261" s="61" t="str">
        <f>IFERROR(__xludf.DUMMYFUNCTION("INDIRECT(""'收支紀錄'!Q""&amp;TO_TEXT(ROW()-$C$72))"),"")</f>
        <v/>
      </c>
      <c r="R1261" s="61" t="str">
        <f>IFERROR(__xludf.DUMMYFUNCTION("INDIRECT(""'收支紀錄'!R""&amp;TO_TEXT(ROW()-$C$72))"),"")</f>
        <v/>
      </c>
      <c r="S1261" s="61" t="str">
        <f>IFERROR(__xludf.DUMMYFUNCTION("INDIRECT(""'收支紀錄'!S""&amp;TO_TEXT(ROW()-$C$72))"),"")</f>
        <v/>
      </c>
      <c r="T1261" s="61" t="str">
        <f>IFERROR(__xludf.DUMMYFUNCTION("INDIRECT(""'收支紀錄'!T""&amp;TO_TEXT(ROW()-$C$72))"),"")</f>
        <v/>
      </c>
      <c r="U1261" s="62" t="str">
        <f>IFERROR(__xludf.DUMMYFUNCTION("IF(T1261=""是"",TEXTJOIN("""", TRUE, ""$"", TO_TEXT(C1261), S1261),"""")"),"")</f>
        <v/>
      </c>
    </row>
    <row r="1262">
      <c r="A1262" s="58">
        <f>IFERROR(__xludf.DUMMYFUNCTION("INDIRECT(""'收支紀錄'!A""&amp;TO_TEXT(ROW()-$C$72))"),45967.51235300926)</f>
        <v>45967.51235</v>
      </c>
      <c r="B1262" s="59">
        <f>IFERROR(__xludf.DUMMYFUNCTION("IF(ISBLANK(D1262), """", IF(ISDATE(D1262), D1262, IF(D1262=""今天"", A1262, IF(D1262=""昨天 (-1 day)"", A1262-1, IF(D1262=""前天 (-2 days)"", A1262-2, IF(D1262=""明天 (+1 day)"", A1262+1, DATE(LEFT(D1262,4), MID(D1262,5,2), RIGHT(D1262,2))))))))"),45966.51235300926)</f>
        <v>45966.51235</v>
      </c>
      <c r="C1262" s="60">
        <f>IFERROR(__xludf.DUMMYFUNCTION("INDIRECT(""'收支紀錄'!C""&amp;TO_TEXT(ROW()-$C$72))"),107300.0)</f>
        <v>107300</v>
      </c>
      <c r="D1262" s="63" t="str">
        <f>IFERROR(__xludf.DUMMYFUNCTION("INDIRECT(""'收支紀錄'!D""&amp;TO_TEXT(ROW()-$C$72))"),"昨天 (-1 day)")</f>
        <v>昨天 (-1 day)</v>
      </c>
      <c r="E1262" s="61" t="str">
        <f>IFERROR(__xludf.DUMMYFUNCTION("INDIRECT(""'收支紀錄'!E""&amp;TO_TEXT(ROW()-$C$72))"),"工作")</f>
        <v>工作</v>
      </c>
      <c r="F1262" s="61" t="str">
        <f>IFERROR(__xludf.DUMMYFUNCTION("INDIRECT(""'收支紀錄'!F""&amp;TO_TEXT(ROW()-$C$72))"),"底薪")</f>
        <v>底薪</v>
      </c>
      <c r="G1262" s="61" t="str">
        <f>IFERROR(__xludf.DUMMYFUNCTION("INDIRECT(""'收支紀錄'!G""&amp;TO_TEXT(ROW()-$C$72))"),"")</f>
        <v/>
      </c>
      <c r="H1262" s="61" t="str">
        <f>IFERROR(__xludf.DUMMYFUNCTION("INDIRECT(""'收支紀錄'!H""&amp;TO_TEXT(ROW()-$C$72))"),"")</f>
        <v/>
      </c>
      <c r="I1262" s="61" t="str">
        <f>IFERROR(__xludf.DUMMYFUNCTION("INDIRECT(""'收支紀錄'!I""&amp;TO_TEXT(ROW()-$C$72))"),"")</f>
        <v/>
      </c>
      <c r="J1262" s="61" t="str">
        <f>IFERROR(__xludf.DUMMYFUNCTION("INDIRECT(""'收支紀錄'!J""&amp;TO_TEXT(ROW()-$C$72))"),"")</f>
        <v/>
      </c>
      <c r="K1262" s="61" t="str">
        <f>IFERROR(__xludf.DUMMYFUNCTION("INDIRECT(""'收支紀錄'!K""&amp;TO_TEXT(ROW()-$C$72))"),"")</f>
        <v/>
      </c>
      <c r="L1262" s="61" t="str">
        <f>IFERROR(__xludf.DUMMYFUNCTION("INDIRECT(""'收支紀錄'!L""&amp;TO_TEXT(ROW()-$C$72))"),"")</f>
        <v/>
      </c>
      <c r="M1262" s="61" t="str">
        <f>IFERROR(__xludf.DUMMYFUNCTION("INDIRECT(""'收支紀錄'!M""&amp;TO_TEXT(ROW()-$C$72))"),"")</f>
        <v/>
      </c>
      <c r="N1262" s="61" t="str">
        <f>IFERROR(__xludf.DUMMYFUNCTION("INDIRECT(""'收支紀錄'!N""&amp;TO_TEXT(ROW()-$C$72))"),"")</f>
        <v/>
      </c>
      <c r="O1262" s="61" t="str">
        <f>IFERROR(__xludf.DUMMYFUNCTION("INDIRECT(""'收支紀錄'!O""&amp;TO_TEXT(ROW()-$C$72))"),"")</f>
        <v/>
      </c>
      <c r="P1262" s="61" t="str">
        <f>IFERROR(__xludf.DUMMYFUNCTION("INDIRECT(""'收支紀錄'!P""&amp;TO_TEXT(ROW()-$C$72))"),"")</f>
        <v/>
      </c>
      <c r="Q1262" s="61" t="str">
        <f>IFERROR(__xludf.DUMMYFUNCTION("INDIRECT(""'收支紀錄'!Q""&amp;TO_TEXT(ROW()-$C$72))"),"")</f>
        <v/>
      </c>
      <c r="R1262" s="61" t="str">
        <f>IFERROR(__xludf.DUMMYFUNCTION("INDIRECT(""'收支紀錄'!R""&amp;TO_TEXT(ROW()-$C$72))"),"")</f>
        <v/>
      </c>
      <c r="S1262" s="61" t="str">
        <f>IFERROR(__xludf.DUMMYFUNCTION("INDIRECT(""'收支紀錄'!S""&amp;TO_TEXT(ROW()-$C$72))"),"")</f>
        <v/>
      </c>
      <c r="T1262" s="61" t="str">
        <f>IFERROR(__xludf.DUMMYFUNCTION("INDIRECT(""'收支紀錄'!T""&amp;TO_TEXT(ROW()-$C$72))"),"")</f>
        <v/>
      </c>
      <c r="U1262" s="62" t="str">
        <f>IFERROR(__xludf.DUMMYFUNCTION("IF(T1262=""是"",TEXTJOIN("""", TRUE, ""$"", TO_TEXT(C1262), S1262),"""")"),"")</f>
        <v/>
      </c>
    </row>
    <row r="1263">
      <c r="A1263" s="58">
        <f>IFERROR(__xludf.DUMMYFUNCTION("INDIRECT(""'收支紀錄'!A""&amp;TO_TEXT(ROW()-$C$72))"),45967.51266917824)</f>
        <v>45967.51267</v>
      </c>
      <c r="B1263" s="59">
        <f>IFERROR(__xludf.DUMMYFUNCTION("IF(ISBLANK(D1263), """", IF(ISDATE(D1263), D1263, IF(D1263=""今天"", A1263, IF(D1263=""昨天 (-1 day)"", A1263-1, IF(D1263=""前天 (-2 days)"", A1263-2, IF(D1263=""明天 (+1 day)"", A1263+1, DATE(LEFT(D1263,4), MID(D1263,5,2), RIGHT(D1263,2))))))))"),45966.51266917824)</f>
        <v>45966.51267</v>
      </c>
      <c r="C1263" s="60">
        <f>IFERROR(__xludf.DUMMYFUNCTION("INDIRECT(""'收支紀錄'!C""&amp;TO_TEXT(ROW()-$C$72))"),1151.0)</f>
        <v>1151</v>
      </c>
      <c r="D1263" s="63" t="str">
        <f>IFERROR(__xludf.DUMMYFUNCTION("INDIRECT(""'收支紀錄'!D""&amp;TO_TEXT(ROW()-$C$72))"),"昨天 (-1 day)")</f>
        <v>昨天 (-1 day)</v>
      </c>
      <c r="E1263" s="61" t="str">
        <f>IFERROR(__xludf.DUMMYFUNCTION("INDIRECT(""'收支紀錄'!E""&amp;TO_TEXT(ROW()-$C$72))"),"")</f>
        <v/>
      </c>
      <c r="F1263" s="61" t="str">
        <f>IFERROR(__xludf.DUMMYFUNCTION("INDIRECT(""'收支紀錄'!F""&amp;TO_TEXT(ROW()-$C$72))"),"")</f>
        <v/>
      </c>
      <c r="G1263" s="61" t="str">
        <f>IFERROR(__xludf.DUMMYFUNCTION("INDIRECT(""'收支紀錄'!G""&amp;TO_TEXT(ROW()-$C$72))"),"")</f>
        <v/>
      </c>
      <c r="H1263" s="61" t="str">
        <f>IFERROR(__xludf.DUMMYFUNCTION("INDIRECT(""'收支紀錄'!H""&amp;TO_TEXT(ROW()-$C$72))"),"食品酒水")</f>
        <v>食品酒水</v>
      </c>
      <c r="I1263" s="61" t="str">
        <f>IFERROR(__xludf.DUMMYFUNCTION("INDIRECT(""'收支紀錄'!I""&amp;TO_TEXT(ROW()-$C$72))"),"前月公司餐費扣款")</f>
        <v>前月公司餐費扣款</v>
      </c>
      <c r="J1263" s="61" t="str">
        <f>IFERROR(__xludf.DUMMYFUNCTION("INDIRECT(""'收支紀錄'!J""&amp;TO_TEXT(ROW()-$C$72))"),"")</f>
        <v/>
      </c>
      <c r="K1263" s="61" t="str">
        <f>IFERROR(__xludf.DUMMYFUNCTION("INDIRECT(""'收支紀錄'!K""&amp;TO_TEXT(ROW()-$C$72))"),"")</f>
        <v/>
      </c>
      <c r="L1263" s="61" t="str">
        <f>IFERROR(__xludf.DUMMYFUNCTION("INDIRECT(""'收支紀錄'!L""&amp;TO_TEXT(ROW()-$C$72))"),"")</f>
        <v/>
      </c>
      <c r="M1263" s="61" t="str">
        <f>IFERROR(__xludf.DUMMYFUNCTION("INDIRECT(""'收支紀錄'!M""&amp;TO_TEXT(ROW()-$C$72))"),"")</f>
        <v/>
      </c>
      <c r="N1263" s="61" t="str">
        <f>IFERROR(__xludf.DUMMYFUNCTION("INDIRECT(""'收支紀錄'!N""&amp;TO_TEXT(ROW()-$C$72))"),"")</f>
        <v/>
      </c>
      <c r="O1263" s="61" t="str">
        <f>IFERROR(__xludf.DUMMYFUNCTION("INDIRECT(""'收支紀錄'!O""&amp;TO_TEXT(ROW()-$C$72))"),"")</f>
        <v/>
      </c>
      <c r="P1263" s="61" t="str">
        <f>IFERROR(__xludf.DUMMYFUNCTION("INDIRECT(""'收支紀錄'!P""&amp;TO_TEXT(ROW()-$C$72))"),"")</f>
        <v/>
      </c>
      <c r="Q1263" s="61" t="str">
        <f>IFERROR(__xludf.DUMMYFUNCTION("INDIRECT(""'收支紀錄'!Q""&amp;TO_TEXT(ROW()-$C$72))"),"")</f>
        <v/>
      </c>
      <c r="R1263" s="61" t="str">
        <f>IFERROR(__xludf.DUMMYFUNCTION("INDIRECT(""'收支紀錄'!R""&amp;TO_TEXT(ROW()-$C$72))"),"")</f>
        <v/>
      </c>
      <c r="S1263" s="61" t="str">
        <f>IFERROR(__xludf.DUMMYFUNCTION("INDIRECT(""'收支紀錄'!S""&amp;TO_TEXT(ROW()-$C$72))"),"")</f>
        <v/>
      </c>
      <c r="T1263" s="61" t="str">
        <f>IFERROR(__xludf.DUMMYFUNCTION("INDIRECT(""'收支紀錄'!T""&amp;TO_TEXT(ROW()-$C$72))"),"")</f>
        <v/>
      </c>
      <c r="U1263" s="62" t="str">
        <f>IFERROR(__xludf.DUMMYFUNCTION("IF(T1263=""是"",TEXTJOIN("""", TRUE, ""$"", TO_TEXT(C1263), S1263),"""")"),"")</f>
        <v/>
      </c>
    </row>
    <row r="1264">
      <c r="A1264" s="58">
        <f>IFERROR(__xludf.DUMMYFUNCTION("INDIRECT(""'收支紀錄'!A""&amp;TO_TEXT(ROW()-$C$72))"),45967.51329018519)</f>
        <v>45967.51329</v>
      </c>
      <c r="B1264" s="59">
        <f>IFERROR(__xludf.DUMMYFUNCTION("IF(ISBLANK(D1264), """", IF(ISDATE(D1264), D1264, IF(D1264=""今天"", A1264, IF(D1264=""昨天 (-1 day)"", A1264-1, IF(D1264=""前天 (-2 days)"", A1264-2, IF(D1264=""明天 (+1 day)"", A1264+1, DATE(LEFT(D1264,4), MID(D1264,5,2), RIGHT(D1264,2))))))))"),45966.51329018519)</f>
        <v>45966.51329</v>
      </c>
      <c r="C1264" s="60">
        <f>IFERROR(__xludf.DUMMYFUNCTION("INDIRECT(""'收支紀錄'!C""&amp;TO_TEXT(ROW()-$C$72))"),4292.0)</f>
        <v>4292</v>
      </c>
      <c r="D1264" s="63" t="str">
        <f>IFERROR(__xludf.DUMMYFUNCTION("INDIRECT(""'收支紀錄'!D""&amp;TO_TEXT(ROW()-$C$72))"),"昨天 (-1 day)")</f>
        <v>昨天 (-1 day)</v>
      </c>
      <c r="E1264" s="61" t="str">
        <f>IFERROR(__xludf.DUMMYFUNCTION("INDIRECT(""'收支紀錄'!E""&amp;TO_TEXT(ROW()-$C$72))"),"")</f>
        <v/>
      </c>
      <c r="F1264" s="61" t="str">
        <f>IFERROR(__xludf.DUMMYFUNCTION("INDIRECT(""'收支紀錄'!F""&amp;TO_TEXT(ROW()-$C$72))"),"")</f>
        <v/>
      </c>
      <c r="G1264" s="61" t="str">
        <f>IFERROR(__xludf.DUMMYFUNCTION("INDIRECT(""'收支紀錄'!G""&amp;TO_TEXT(ROW()-$C$72))"),"")</f>
        <v/>
      </c>
      <c r="H1264" s="61" t="str">
        <f>IFERROR(__xludf.DUMMYFUNCTION("INDIRECT(""'收支紀錄'!H""&amp;TO_TEXT(ROW()-$C$72))"),"投資及其他")</f>
        <v>投資及其他</v>
      </c>
      <c r="I1264" s="61" t="str">
        <f>IFERROR(__xludf.DUMMYFUNCTION("INDIRECT(""'收支紀錄'!I""&amp;TO_TEXT(ROW()-$C$72))"),"")</f>
        <v/>
      </c>
      <c r="J1264" s="61" t="str">
        <f>IFERROR(__xludf.DUMMYFUNCTION("INDIRECT(""'收支紀錄'!J""&amp;TO_TEXT(ROW()-$C$72))"),"")</f>
        <v/>
      </c>
      <c r="K1264" s="61" t="str">
        <f>IFERROR(__xludf.DUMMYFUNCTION("INDIRECT(""'收支紀錄'!K""&amp;TO_TEXT(ROW()-$C$72))"),"")</f>
        <v/>
      </c>
      <c r="L1264" s="61" t="str">
        <f>IFERROR(__xludf.DUMMYFUNCTION("INDIRECT(""'收支紀錄'!L""&amp;TO_TEXT(ROW()-$C$72))"),"")</f>
        <v/>
      </c>
      <c r="M1264" s="61" t="str">
        <f>IFERROR(__xludf.DUMMYFUNCTION("INDIRECT(""'收支紀錄'!M""&amp;TO_TEXT(ROW()-$C$72))"),"")</f>
        <v/>
      </c>
      <c r="N1264" s="61" t="str">
        <f>IFERROR(__xludf.DUMMYFUNCTION("INDIRECT(""'收支紀錄'!N""&amp;TO_TEXT(ROW()-$C$72))"),"")</f>
        <v/>
      </c>
      <c r="O1264" s="61" t="str">
        <f>IFERROR(__xludf.DUMMYFUNCTION("INDIRECT(""'收支紀錄'!O""&amp;TO_TEXT(ROW()-$C$72))"),"")</f>
        <v/>
      </c>
      <c r="P1264" s="61" t="str">
        <f>IFERROR(__xludf.DUMMYFUNCTION("INDIRECT(""'收支紀錄'!P""&amp;TO_TEXT(ROW()-$C$72))"),"")</f>
        <v/>
      </c>
      <c r="Q1264" s="61" t="str">
        <f>IFERROR(__xludf.DUMMYFUNCTION("INDIRECT(""'收支紀錄'!Q""&amp;TO_TEXT(ROW()-$C$72))"),"")</f>
        <v/>
      </c>
      <c r="R1264" s="61" t="str">
        <f>IFERROR(__xludf.DUMMYFUNCTION("INDIRECT(""'收支紀錄'!R""&amp;TO_TEXT(ROW()-$C$72))"),"公司認股")</f>
        <v>公司認股</v>
      </c>
      <c r="S1264" s="61" t="str">
        <f>IFERROR(__xludf.DUMMYFUNCTION("INDIRECT(""'收支紀錄'!S""&amp;TO_TEXT(ROW()-$C$72))"),"")</f>
        <v/>
      </c>
      <c r="T1264" s="61" t="str">
        <f>IFERROR(__xludf.DUMMYFUNCTION("INDIRECT(""'收支紀錄'!T""&amp;TO_TEXT(ROW()-$C$72))"),"")</f>
        <v/>
      </c>
      <c r="U1264" s="62" t="str">
        <f>IFERROR(__xludf.DUMMYFUNCTION("IF(T1264=""是"",TEXTJOIN("""", TRUE, ""$"", TO_TEXT(C1264), S1264),"""")"),"")</f>
        <v/>
      </c>
    </row>
    <row r="1265">
      <c r="A1265" s="58">
        <f>IFERROR(__xludf.DUMMYFUNCTION("INDIRECT(""'收支紀錄'!A""&amp;TO_TEXT(ROW()-$C$72))"),45967.51415707176)</f>
        <v>45967.51416</v>
      </c>
      <c r="B1265" s="59">
        <f>IFERROR(__xludf.DUMMYFUNCTION("IF(ISBLANK(D1265), """", IF(ISDATE(D1265), D1265, IF(D1265=""今天"", A1265, IF(D1265=""昨天 (-1 day)"", A1265-1, IF(D1265=""前天 (-2 days)"", A1265-2, IF(D1265=""明天 (+1 day)"", A1265+1, DATE(LEFT(D1265,4), MID(D1265,5,2), RIGHT(D1265,2))))))))"),45966.51415707176)</f>
        <v>45966.51416</v>
      </c>
      <c r="C1265" s="60">
        <f>IFERROR(__xludf.DUMMYFUNCTION("INDIRECT(""'收支紀錄'!C""&amp;TO_TEXT(ROW()-$C$72))"),6201.0)</f>
        <v>6201</v>
      </c>
      <c r="D1265" s="63" t="str">
        <f>IFERROR(__xludf.DUMMYFUNCTION("INDIRECT(""'收支紀錄'!D""&amp;TO_TEXT(ROW()-$C$72))"),"昨天 (-1 day)")</f>
        <v>昨天 (-1 day)</v>
      </c>
      <c r="E1265" s="61" t="str">
        <f>IFERROR(__xludf.DUMMYFUNCTION("INDIRECT(""'收支紀錄'!E""&amp;TO_TEXT(ROW()-$C$72))"),"")</f>
        <v/>
      </c>
      <c r="F1265" s="61" t="str">
        <f>IFERROR(__xludf.DUMMYFUNCTION("INDIRECT(""'收支紀錄'!F""&amp;TO_TEXT(ROW()-$C$72))"),"")</f>
        <v/>
      </c>
      <c r="G1265" s="61" t="str">
        <f>IFERROR(__xludf.DUMMYFUNCTION("INDIRECT(""'收支紀錄'!G""&amp;TO_TEXT(ROW()-$C$72))"),"")</f>
        <v/>
      </c>
      <c r="H1265" s="61" t="str">
        <f>IFERROR(__xludf.DUMMYFUNCTION("INDIRECT(""'收支紀錄'!H""&amp;TO_TEXT(ROW()-$C$72))"),"稅金保險")</f>
        <v>稅金保險</v>
      </c>
      <c r="I1265" s="61" t="str">
        <f>IFERROR(__xludf.DUMMYFUNCTION("INDIRECT(""'收支紀錄'!I""&amp;TO_TEXT(ROW()-$C$72))"),"")</f>
        <v/>
      </c>
      <c r="J1265" s="61" t="str">
        <f>IFERROR(__xludf.DUMMYFUNCTION("INDIRECT(""'收支紀錄'!J""&amp;TO_TEXT(ROW()-$C$72))"),"")</f>
        <v/>
      </c>
      <c r="K1265" s="61" t="str">
        <f>IFERROR(__xludf.DUMMYFUNCTION("INDIRECT(""'收支紀錄'!K""&amp;TO_TEXT(ROW()-$C$72))"),"")</f>
        <v/>
      </c>
      <c r="L1265" s="61" t="str">
        <f>IFERROR(__xludf.DUMMYFUNCTION("INDIRECT(""'收支紀錄'!L""&amp;TO_TEXT(ROW()-$C$72))"),"")</f>
        <v/>
      </c>
      <c r="M1265" s="61" t="str">
        <f>IFERROR(__xludf.DUMMYFUNCTION("INDIRECT(""'收支紀錄'!M""&amp;TO_TEXT(ROW()-$C$72))"),"")</f>
        <v/>
      </c>
      <c r="N1265" s="61" t="str">
        <f>IFERROR(__xludf.DUMMYFUNCTION("INDIRECT(""'收支紀錄'!N""&amp;TO_TEXT(ROW()-$C$72))"),"勞健保")</f>
        <v>勞健保</v>
      </c>
      <c r="O1265" s="61" t="str">
        <f>IFERROR(__xludf.DUMMYFUNCTION("INDIRECT(""'收支紀錄'!O""&amp;TO_TEXT(ROW()-$C$72))"),"")</f>
        <v/>
      </c>
      <c r="P1265" s="61" t="str">
        <f>IFERROR(__xludf.DUMMYFUNCTION("INDIRECT(""'收支紀錄'!P""&amp;TO_TEXT(ROW()-$C$72))"),"")</f>
        <v/>
      </c>
      <c r="Q1265" s="61" t="str">
        <f>IFERROR(__xludf.DUMMYFUNCTION("INDIRECT(""'收支紀錄'!Q""&amp;TO_TEXT(ROW()-$C$72))"),"")</f>
        <v/>
      </c>
      <c r="R1265" s="61" t="str">
        <f>IFERROR(__xludf.DUMMYFUNCTION("INDIRECT(""'收支紀錄'!R""&amp;TO_TEXT(ROW()-$C$72))"),"")</f>
        <v/>
      </c>
      <c r="S1265" s="61" t="str">
        <f>IFERROR(__xludf.DUMMYFUNCTION("INDIRECT(""'收支紀錄'!S""&amp;TO_TEXT(ROW()-$C$72))"),"")</f>
        <v/>
      </c>
      <c r="T1265" s="61" t="str">
        <f>IFERROR(__xludf.DUMMYFUNCTION("INDIRECT(""'收支紀錄'!T""&amp;TO_TEXT(ROW()-$C$72))"),"")</f>
        <v/>
      </c>
      <c r="U1265" s="62" t="str">
        <f>IFERROR(__xludf.DUMMYFUNCTION("IF(T1265=""是"",TEXTJOIN("""", TRUE, ""$"", TO_TEXT(C1265), S1265),"""")"),"")</f>
        <v/>
      </c>
    </row>
    <row r="1266">
      <c r="A1266" s="58">
        <f>IFERROR(__xludf.DUMMYFUNCTION("INDIRECT(""'收支紀錄'!A""&amp;TO_TEXT(ROW()-$C$72))"),45967.51440622685)</f>
        <v>45967.51441</v>
      </c>
      <c r="B1266" s="59">
        <f>IFERROR(__xludf.DUMMYFUNCTION("IF(ISBLANK(D1266), """", IF(ISDATE(D1266), D1266, IF(D1266=""今天"", A1266, IF(D1266=""昨天 (-1 day)"", A1266-1, IF(D1266=""前天 (-2 days)"", A1266-2, IF(D1266=""明天 (+1 day)"", A1266+1, DATE(LEFT(D1266,4), MID(D1266,5,2), RIGHT(D1266,2))))))))"),45966.51440622685)</f>
        <v>45966.51441</v>
      </c>
      <c r="C1266" s="60">
        <f>IFERROR(__xludf.DUMMYFUNCTION("INDIRECT(""'收支紀錄'!C""&amp;TO_TEXT(ROW()-$C$72))"),537.0)</f>
        <v>537</v>
      </c>
      <c r="D1266" s="63" t="str">
        <f>IFERROR(__xludf.DUMMYFUNCTION("INDIRECT(""'收支紀錄'!D""&amp;TO_TEXT(ROW()-$C$72))"),"昨天 (-1 day)")</f>
        <v>昨天 (-1 day)</v>
      </c>
      <c r="E1266" s="61" t="str">
        <f>IFERROR(__xludf.DUMMYFUNCTION("INDIRECT(""'收支紀錄'!E""&amp;TO_TEXT(ROW()-$C$72))"),"")</f>
        <v/>
      </c>
      <c r="F1266" s="61" t="str">
        <f>IFERROR(__xludf.DUMMYFUNCTION("INDIRECT(""'收支紀錄'!F""&amp;TO_TEXT(ROW()-$C$72))"),"")</f>
        <v/>
      </c>
      <c r="G1266" s="61" t="str">
        <f>IFERROR(__xludf.DUMMYFUNCTION("INDIRECT(""'收支紀錄'!G""&amp;TO_TEXT(ROW()-$C$72))"),"")</f>
        <v/>
      </c>
      <c r="H1266" s="61" t="str">
        <f>IFERROR(__xludf.DUMMYFUNCTION("INDIRECT(""'收支紀錄'!H""&amp;TO_TEXT(ROW()-$C$72))"),"休閒娛樂")</f>
        <v>休閒娛樂</v>
      </c>
      <c r="I1266" s="61" t="str">
        <f>IFERROR(__xludf.DUMMYFUNCTION("INDIRECT(""'收支紀錄'!I""&amp;TO_TEXT(ROW()-$C$72))"),"")</f>
        <v/>
      </c>
      <c r="J1266" s="61" t="str">
        <f>IFERROR(__xludf.DUMMYFUNCTION("INDIRECT(""'收支紀錄'!J""&amp;TO_TEXT(ROW()-$C$72))"),"")</f>
        <v/>
      </c>
      <c r="K1266" s="61" t="str">
        <f>IFERROR(__xludf.DUMMYFUNCTION("INDIRECT(""'收支紀錄'!K""&amp;TO_TEXT(ROW()-$C$72))"),"")</f>
        <v/>
      </c>
      <c r="L1266" s="61" t="str">
        <f>IFERROR(__xludf.DUMMYFUNCTION("INDIRECT(""'收支紀錄'!L""&amp;TO_TEXT(ROW()-$C$72))"),"")</f>
        <v/>
      </c>
      <c r="M1266" s="61" t="str">
        <f>IFERROR(__xludf.DUMMYFUNCTION("INDIRECT(""'收支紀錄'!M""&amp;TO_TEXT(ROW()-$C$72))"),"公司福利金")</f>
        <v>公司福利金</v>
      </c>
      <c r="N1266" s="61" t="str">
        <f>IFERROR(__xludf.DUMMYFUNCTION("INDIRECT(""'收支紀錄'!N""&amp;TO_TEXT(ROW()-$C$72))"),"")</f>
        <v/>
      </c>
      <c r="O1266" s="61" t="str">
        <f>IFERROR(__xludf.DUMMYFUNCTION("INDIRECT(""'收支紀錄'!O""&amp;TO_TEXT(ROW()-$C$72))"),"")</f>
        <v/>
      </c>
      <c r="P1266" s="61" t="str">
        <f>IFERROR(__xludf.DUMMYFUNCTION("INDIRECT(""'收支紀錄'!P""&amp;TO_TEXT(ROW()-$C$72))"),"")</f>
        <v/>
      </c>
      <c r="Q1266" s="61" t="str">
        <f>IFERROR(__xludf.DUMMYFUNCTION("INDIRECT(""'收支紀錄'!Q""&amp;TO_TEXT(ROW()-$C$72))"),"")</f>
        <v/>
      </c>
      <c r="R1266" s="61" t="str">
        <f>IFERROR(__xludf.DUMMYFUNCTION("INDIRECT(""'收支紀錄'!R""&amp;TO_TEXT(ROW()-$C$72))"),"")</f>
        <v/>
      </c>
      <c r="S1266" s="61" t="str">
        <f>IFERROR(__xludf.DUMMYFUNCTION("INDIRECT(""'收支紀錄'!S""&amp;TO_TEXT(ROW()-$C$72))"),"")</f>
        <v/>
      </c>
      <c r="T1266" s="61" t="str">
        <f>IFERROR(__xludf.DUMMYFUNCTION("INDIRECT(""'收支紀錄'!T""&amp;TO_TEXT(ROW()-$C$72))"),"")</f>
        <v/>
      </c>
      <c r="U1266" s="62" t="str">
        <f>IFERROR(__xludf.DUMMYFUNCTION("IF(T1266=""是"",TEXTJOIN("""", TRUE, ""$"", TO_TEXT(C1266), S1266),"""")"),"")</f>
        <v/>
      </c>
    </row>
    <row r="1267">
      <c r="A1267" s="58">
        <f>IFERROR(__xludf.DUMMYFUNCTION("INDIRECT(""'收支紀錄'!A""&amp;TO_TEXT(ROW()-$C$72))"),45967.514814027774)</f>
        <v>45967.51481</v>
      </c>
      <c r="B1267" s="59">
        <f>IFERROR(__xludf.DUMMYFUNCTION("IF(ISBLANK(D1267), """", IF(ISDATE(D1267), D1267, IF(D1267=""今天"", A1267, IF(D1267=""昨天 (-1 day)"", A1267-1, IF(D1267=""前天 (-2 days)"", A1267-2, IF(D1267=""明天 (+1 day)"", A1267+1, DATE(LEFT(D1267,4), MID(D1267,5,2), RIGHT(D1267,2))))))))"),45966.514814027774)</f>
        <v>45966.51481</v>
      </c>
      <c r="C1267" s="60">
        <f>IFERROR(__xludf.DUMMYFUNCTION("INDIRECT(""'收支紀錄'!C""&amp;TO_TEXT(ROW()-$C$72))"),3500.0)</f>
        <v>3500</v>
      </c>
      <c r="D1267" s="63" t="str">
        <f>IFERROR(__xludf.DUMMYFUNCTION("INDIRECT(""'收支紀錄'!D""&amp;TO_TEXT(ROW()-$C$72))"),"昨天 (-1 day)")</f>
        <v>昨天 (-1 day)</v>
      </c>
      <c r="E1267" s="61" t="str">
        <f>IFERROR(__xludf.DUMMYFUNCTION("INDIRECT(""'收支紀錄'!E""&amp;TO_TEXT(ROW()-$C$72))"),"")</f>
        <v/>
      </c>
      <c r="F1267" s="61" t="str">
        <f>IFERROR(__xludf.DUMMYFUNCTION("INDIRECT(""'收支紀錄'!F""&amp;TO_TEXT(ROW()-$C$72))"),"")</f>
        <v/>
      </c>
      <c r="G1267" s="61" t="str">
        <f>IFERROR(__xludf.DUMMYFUNCTION("INDIRECT(""'收支紀錄'!G""&amp;TO_TEXT(ROW()-$C$72))"),"")</f>
        <v/>
      </c>
      <c r="H1267" s="61" t="str">
        <f>IFERROR(__xludf.DUMMYFUNCTION("INDIRECT(""'收支紀錄'!H""&amp;TO_TEXT(ROW()-$C$72))"),"稅金保險")</f>
        <v>稅金保險</v>
      </c>
      <c r="I1267" s="61" t="str">
        <f>IFERROR(__xludf.DUMMYFUNCTION("INDIRECT(""'收支紀錄'!I""&amp;TO_TEXT(ROW()-$C$72))"),"")</f>
        <v/>
      </c>
      <c r="J1267" s="61" t="str">
        <f>IFERROR(__xludf.DUMMYFUNCTION("INDIRECT(""'收支紀錄'!J""&amp;TO_TEXT(ROW()-$C$72))"),"")</f>
        <v/>
      </c>
      <c r="K1267" s="61" t="str">
        <f>IFERROR(__xludf.DUMMYFUNCTION("INDIRECT(""'收支紀錄'!K""&amp;TO_TEXT(ROW()-$C$72))"),"")</f>
        <v/>
      </c>
      <c r="L1267" s="61" t="str">
        <f>IFERROR(__xludf.DUMMYFUNCTION("INDIRECT(""'收支紀錄'!L""&amp;TO_TEXT(ROW()-$C$72))"),"")</f>
        <v/>
      </c>
      <c r="M1267" s="61" t="str">
        <f>IFERROR(__xludf.DUMMYFUNCTION("INDIRECT(""'收支紀錄'!M""&amp;TO_TEXT(ROW()-$C$72))"),"")</f>
        <v/>
      </c>
      <c r="N1267" s="61" t="str">
        <f>IFERROR(__xludf.DUMMYFUNCTION("INDIRECT(""'收支紀錄'!N""&amp;TO_TEXT(ROW()-$C$72))"),"稅金")</f>
        <v>稅金</v>
      </c>
      <c r="O1267" s="61" t="str">
        <f>IFERROR(__xludf.DUMMYFUNCTION("INDIRECT(""'收支紀錄'!O""&amp;TO_TEXT(ROW()-$C$72))"),"")</f>
        <v/>
      </c>
      <c r="P1267" s="61" t="str">
        <f>IFERROR(__xludf.DUMMYFUNCTION("INDIRECT(""'收支紀錄'!P""&amp;TO_TEXT(ROW()-$C$72))"),"")</f>
        <v/>
      </c>
      <c r="Q1267" s="61" t="str">
        <f>IFERROR(__xludf.DUMMYFUNCTION("INDIRECT(""'收支紀錄'!Q""&amp;TO_TEXT(ROW()-$C$72))"),"")</f>
        <v/>
      </c>
      <c r="R1267" s="61" t="str">
        <f>IFERROR(__xludf.DUMMYFUNCTION("INDIRECT(""'收支紀錄'!R""&amp;TO_TEXT(ROW()-$C$72))"),"")</f>
        <v/>
      </c>
      <c r="S1267" s="61" t="str">
        <f>IFERROR(__xludf.DUMMYFUNCTION("INDIRECT(""'收支紀錄'!S""&amp;TO_TEXT(ROW()-$C$72))"),"")</f>
        <v/>
      </c>
      <c r="T1267" s="61" t="str">
        <f>IFERROR(__xludf.DUMMYFUNCTION("INDIRECT(""'收支紀錄'!T""&amp;TO_TEXT(ROW()-$C$72))"),"")</f>
        <v/>
      </c>
      <c r="U1267" s="62" t="str">
        <f>IFERROR(__xludf.DUMMYFUNCTION("IF(T1267=""是"",TEXTJOIN("""", TRUE, ""$"", TO_TEXT(C1267), S1267),"""")"),"")</f>
        <v/>
      </c>
    </row>
    <row r="1268">
      <c r="A1268" s="58">
        <f>IFERROR(__xludf.DUMMYFUNCTION("INDIRECT(""'收支紀錄'!A""&amp;TO_TEXT(ROW()-$C$72))"),45967.55355873842)</f>
        <v>45967.55356</v>
      </c>
      <c r="B1268" s="59">
        <f>IFERROR(__xludf.DUMMYFUNCTION("IF(ISBLANK(D1268), """", IF(ISDATE(D1268), D1268, IF(D1268=""今天"", A1268, IF(D1268=""昨天 (-1 day)"", A1268-1, IF(D1268=""前天 (-2 days)"", A1268-2, IF(D1268=""明天 (+1 day)"", A1268+1, DATE(LEFT(D1268,4), MID(D1268,5,2), RIGHT(D1268,2))))))))"),45945.0)</f>
        <v>45945</v>
      </c>
      <c r="C1268" s="60">
        <f>IFERROR(__xludf.DUMMYFUNCTION("INDIRECT(""'收支紀錄'!C""&amp;TO_TEXT(ROW()-$C$72))"),6960.0)</f>
        <v>6960</v>
      </c>
      <c r="D1268" s="63">
        <f>IFERROR(__xludf.DUMMYFUNCTION("INDIRECT(""'收支紀錄'!D""&amp;TO_TEXT(ROW()-$C$72))"),2.0251015E7)</f>
        <v>20251015</v>
      </c>
      <c r="E1268" s="61" t="str">
        <f>IFERROR(__xludf.DUMMYFUNCTION("INDIRECT(""'收支紀錄'!E""&amp;TO_TEXT(ROW()-$C$72))"),"其他業外")</f>
        <v>其他業外</v>
      </c>
      <c r="F1268" s="61" t="str">
        <f>IFERROR(__xludf.DUMMYFUNCTION("INDIRECT(""'收支紀錄'!F""&amp;TO_TEXT(ROW()-$C$72))"),"")</f>
        <v/>
      </c>
      <c r="G1268" s="61" t="str">
        <f>IFERROR(__xludf.DUMMYFUNCTION("INDIRECT(""'收支紀錄'!G""&amp;TO_TEXT(ROW()-$C$72))"),"股票配息")</f>
        <v>股票配息</v>
      </c>
      <c r="H1268" s="61" t="str">
        <f>IFERROR(__xludf.DUMMYFUNCTION("INDIRECT(""'收支紀錄'!H""&amp;TO_TEXT(ROW()-$C$72))"),"")</f>
        <v/>
      </c>
      <c r="I1268" s="61" t="str">
        <f>IFERROR(__xludf.DUMMYFUNCTION("INDIRECT(""'收支紀錄'!I""&amp;TO_TEXT(ROW()-$C$72))"),"")</f>
        <v/>
      </c>
      <c r="J1268" s="61" t="str">
        <f>IFERROR(__xludf.DUMMYFUNCTION("INDIRECT(""'收支紀錄'!J""&amp;TO_TEXT(ROW()-$C$72))"),"")</f>
        <v/>
      </c>
      <c r="K1268" s="61" t="str">
        <f>IFERROR(__xludf.DUMMYFUNCTION("INDIRECT(""'收支紀錄'!K""&amp;TO_TEXT(ROW()-$C$72))"),"")</f>
        <v/>
      </c>
      <c r="L1268" s="61" t="str">
        <f>IFERROR(__xludf.DUMMYFUNCTION("INDIRECT(""'收支紀錄'!L""&amp;TO_TEXT(ROW()-$C$72))"),"")</f>
        <v/>
      </c>
      <c r="M1268" s="61" t="str">
        <f>IFERROR(__xludf.DUMMYFUNCTION("INDIRECT(""'收支紀錄'!M""&amp;TO_TEXT(ROW()-$C$72))"),"")</f>
        <v/>
      </c>
      <c r="N1268" s="61" t="str">
        <f>IFERROR(__xludf.DUMMYFUNCTION("INDIRECT(""'收支紀錄'!N""&amp;TO_TEXT(ROW()-$C$72))"),"")</f>
        <v/>
      </c>
      <c r="O1268" s="61" t="str">
        <f>IFERROR(__xludf.DUMMYFUNCTION("INDIRECT(""'收支紀錄'!O""&amp;TO_TEXT(ROW()-$C$72))"),"")</f>
        <v/>
      </c>
      <c r="P1268" s="61" t="str">
        <f>IFERROR(__xludf.DUMMYFUNCTION("INDIRECT(""'收支紀錄'!P""&amp;TO_TEXT(ROW()-$C$72))"),"")</f>
        <v/>
      </c>
      <c r="Q1268" s="61" t="str">
        <f>IFERROR(__xludf.DUMMYFUNCTION("INDIRECT(""'收支紀錄'!Q""&amp;TO_TEXT(ROW()-$C$72))"),"")</f>
        <v/>
      </c>
      <c r="R1268" s="61" t="str">
        <f>IFERROR(__xludf.DUMMYFUNCTION("INDIRECT(""'收支紀錄'!R""&amp;TO_TEXT(ROW()-$C$72))"),"")</f>
        <v/>
      </c>
      <c r="S1268" s="61" t="str">
        <f>IFERROR(__xludf.DUMMYFUNCTION("INDIRECT(""'收支紀錄'!S""&amp;TO_TEXT(ROW()-$C$72))"),"元大A級")</f>
        <v>元大A級</v>
      </c>
      <c r="T1268" s="61" t="str">
        <f>IFERROR(__xludf.DUMMYFUNCTION("INDIRECT(""'收支紀錄'!T""&amp;TO_TEXT(ROW()-$C$72))"),"是")</f>
        <v>是</v>
      </c>
      <c r="U1268" s="62" t="str">
        <f>IFERROR(__xludf.DUMMYFUNCTION("IF(T1268=""是"",TEXTJOIN("""", TRUE, ""$"", TO_TEXT(C1268), S1268),"""")"),"$6960元大A級")</f>
        <v>$6960元大A級</v>
      </c>
    </row>
    <row r="1269">
      <c r="A1269" s="58">
        <f>IFERROR(__xludf.DUMMYFUNCTION("INDIRECT(""'收支紀錄'!A""&amp;TO_TEXT(ROW()-$C$72))"),45967.554220624996)</f>
        <v>45967.55422</v>
      </c>
      <c r="B1269" s="59">
        <f>IFERROR(__xludf.DUMMYFUNCTION("IF(ISBLANK(D1269), """", IF(ISDATE(D1269), D1269, IF(D1269=""今天"", A1269, IF(D1269=""昨天 (-1 day)"", A1269-1, IF(D1269=""前天 (-2 days)"", A1269-2, IF(D1269=""明天 (+1 day)"", A1269+1, DATE(LEFT(D1269,4), MID(D1269,5,2), RIGHT(D1269,2))))))))"),45945.0)</f>
        <v>45945</v>
      </c>
      <c r="C1269" s="60">
        <f>IFERROR(__xludf.DUMMYFUNCTION("INDIRECT(""'收支紀錄'!C""&amp;TO_TEXT(ROW()-$C$72))"),2520.0)</f>
        <v>2520</v>
      </c>
      <c r="D1269" s="63">
        <f>IFERROR(__xludf.DUMMYFUNCTION("INDIRECT(""'收支紀錄'!D""&amp;TO_TEXT(ROW()-$C$72))"),2.0251015E7)</f>
        <v>20251015</v>
      </c>
      <c r="E1269" s="61" t="str">
        <f>IFERROR(__xludf.DUMMYFUNCTION("INDIRECT(""'收支紀錄'!E""&amp;TO_TEXT(ROW()-$C$72))"),"其他業外")</f>
        <v>其他業外</v>
      </c>
      <c r="F1269" s="61" t="str">
        <f>IFERROR(__xludf.DUMMYFUNCTION("INDIRECT(""'收支紀錄'!F""&amp;TO_TEXT(ROW()-$C$72))"),"")</f>
        <v/>
      </c>
      <c r="G1269" s="61" t="str">
        <f>IFERROR(__xludf.DUMMYFUNCTION("INDIRECT(""'收支紀錄'!G""&amp;TO_TEXT(ROW()-$C$72))"),"股票配息")</f>
        <v>股票配息</v>
      </c>
      <c r="H1269" s="61" t="str">
        <f>IFERROR(__xludf.DUMMYFUNCTION("INDIRECT(""'收支紀錄'!H""&amp;TO_TEXT(ROW()-$C$72))"),"")</f>
        <v/>
      </c>
      <c r="I1269" s="61" t="str">
        <f>IFERROR(__xludf.DUMMYFUNCTION("INDIRECT(""'收支紀錄'!I""&amp;TO_TEXT(ROW()-$C$72))"),"")</f>
        <v/>
      </c>
      <c r="J1269" s="61" t="str">
        <f>IFERROR(__xludf.DUMMYFUNCTION("INDIRECT(""'收支紀錄'!J""&amp;TO_TEXT(ROW()-$C$72))"),"")</f>
        <v/>
      </c>
      <c r="K1269" s="61" t="str">
        <f>IFERROR(__xludf.DUMMYFUNCTION("INDIRECT(""'收支紀錄'!K""&amp;TO_TEXT(ROW()-$C$72))"),"")</f>
        <v/>
      </c>
      <c r="L1269" s="61" t="str">
        <f>IFERROR(__xludf.DUMMYFUNCTION("INDIRECT(""'收支紀錄'!L""&amp;TO_TEXT(ROW()-$C$72))"),"")</f>
        <v/>
      </c>
      <c r="M1269" s="61" t="str">
        <f>IFERROR(__xludf.DUMMYFUNCTION("INDIRECT(""'收支紀錄'!M""&amp;TO_TEXT(ROW()-$C$72))"),"")</f>
        <v/>
      </c>
      <c r="N1269" s="61" t="str">
        <f>IFERROR(__xludf.DUMMYFUNCTION("INDIRECT(""'收支紀錄'!N""&amp;TO_TEXT(ROW()-$C$72))"),"")</f>
        <v/>
      </c>
      <c r="O1269" s="61" t="str">
        <f>IFERROR(__xludf.DUMMYFUNCTION("INDIRECT(""'收支紀錄'!O""&amp;TO_TEXT(ROW()-$C$72))"),"")</f>
        <v/>
      </c>
      <c r="P1269" s="61" t="str">
        <f>IFERROR(__xludf.DUMMYFUNCTION("INDIRECT(""'收支紀錄'!P""&amp;TO_TEXT(ROW()-$C$72))"),"")</f>
        <v/>
      </c>
      <c r="Q1269" s="61" t="str">
        <f>IFERROR(__xludf.DUMMYFUNCTION("INDIRECT(""'收支紀錄'!Q""&amp;TO_TEXT(ROW()-$C$72))"),"")</f>
        <v/>
      </c>
      <c r="R1269" s="61" t="str">
        <f>IFERROR(__xludf.DUMMYFUNCTION("INDIRECT(""'收支紀錄'!R""&amp;TO_TEXT(ROW()-$C$72))"),"")</f>
        <v/>
      </c>
      <c r="S1269" s="61" t="str">
        <f>IFERROR(__xludf.DUMMYFUNCTION("INDIRECT(""'收支紀錄'!S""&amp;TO_TEXT(ROW()-$C$72))"),"中信優息")</f>
        <v>中信優息</v>
      </c>
      <c r="T1269" s="61" t="str">
        <f>IFERROR(__xludf.DUMMYFUNCTION("INDIRECT(""'收支紀錄'!T""&amp;TO_TEXT(ROW()-$C$72))"),"是")</f>
        <v>是</v>
      </c>
      <c r="U1269" s="62" t="str">
        <f>IFERROR(__xludf.DUMMYFUNCTION("IF(T1269=""是"",TEXTJOIN("""", TRUE, ""$"", TO_TEXT(C1269), S1269),"""")"),"$2520中信優息")</f>
        <v>$2520中信優息</v>
      </c>
    </row>
    <row r="1270">
      <c r="A1270" s="58">
        <f>IFERROR(__xludf.DUMMYFUNCTION("INDIRECT(""'收支紀錄'!A""&amp;TO_TEXT(ROW()-$C$72))"),45967.55470951389)</f>
        <v>45967.55471</v>
      </c>
      <c r="B1270" s="59">
        <f>IFERROR(__xludf.DUMMYFUNCTION("IF(ISBLANK(D1270), """", IF(ISDATE(D1270), D1270, IF(D1270=""今天"", A1270, IF(D1270=""昨天 (-1 day)"", A1270-1, IF(D1270=""前天 (-2 days)"", A1270-2, IF(D1270=""明天 (+1 day)"", A1270+1, DATE(LEFT(D1270,4), MID(D1270,5,2), RIGHT(D1270,2))))))))"),45961.0)</f>
        <v>45961</v>
      </c>
      <c r="C1270" s="60">
        <f>IFERROR(__xludf.DUMMYFUNCTION("INDIRECT(""'收支紀錄'!C""&amp;TO_TEXT(ROW()-$C$72))"),2190.0)</f>
        <v>2190</v>
      </c>
      <c r="D1270" s="63">
        <f>IFERROR(__xludf.DUMMYFUNCTION("INDIRECT(""'收支紀錄'!D""&amp;TO_TEXT(ROW()-$C$72))"),2.0251031E7)</f>
        <v>20251031</v>
      </c>
      <c r="E1270" s="61" t="str">
        <f>IFERROR(__xludf.DUMMYFUNCTION("INDIRECT(""'收支紀錄'!E""&amp;TO_TEXT(ROW()-$C$72))"),"其他業外")</f>
        <v>其他業外</v>
      </c>
      <c r="F1270" s="61" t="str">
        <f>IFERROR(__xludf.DUMMYFUNCTION("INDIRECT(""'收支紀錄'!F""&amp;TO_TEXT(ROW()-$C$72))"),"")</f>
        <v/>
      </c>
      <c r="G1270" s="61" t="str">
        <f>IFERROR(__xludf.DUMMYFUNCTION("INDIRECT(""'收支紀錄'!G""&amp;TO_TEXT(ROW()-$C$72))"),"股票配息")</f>
        <v>股票配息</v>
      </c>
      <c r="H1270" s="61" t="str">
        <f>IFERROR(__xludf.DUMMYFUNCTION("INDIRECT(""'收支紀錄'!H""&amp;TO_TEXT(ROW()-$C$72))"),"")</f>
        <v/>
      </c>
      <c r="I1270" s="61" t="str">
        <f>IFERROR(__xludf.DUMMYFUNCTION("INDIRECT(""'收支紀錄'!I""&amp;TO_TEXT(ROW()-$C$72))"),"")</f>
        <v/>
      </c>
      <c r="J1270" s="61" t="str">
        <f>IFERROR(__xludf.DUMMYFUNCTION("INDIRECT(""'收支紀錄'!J""&amp;TO_TEXT(ROW()-$C$72))"),"")</f>
        <v/>
      </c>
      <c r="K1270" s="61" t="str">
        <f>IFERROR(__xludf.DUMMYFUNCTION("INDIRECT(""'收支紀錄'!K""&amp;TO_TEXT(ROW()-$C$72))"),"")</f>
        <v/>
      </c>
      <c r="L1270" s="61" t="str">
        <f>IFERROR(__xludf.DUMMYFUNCTION("INDIRECT(""'收支紀錄'!L""&amp;TO_TEXT(ROW()-$C$72))"),"")</f>
        <v/>
      </c>
      <c r="M1270" s="61" t="str">
        <f>IFERROR(__xludf.DUMMYFUNCTION("INDIRECT(""'收支紀錄'!M""&amp;TO_TEXT(ROW()-$C$72))"),"")</f>
        <v/>
      </c>
      <c r="N1270" s="61" t="str">
        <f>IFERROR(__xludf.DUMMYFUNCTION("INDIRECT(""'收支紀錄'!N""&amp;TO_TEXT(ROW()-$C$72))"),"")</f>
        <v/>
      </c>
      <c r="O1270" s="61" t="str">
        <f>IFERROR(__xludf.DUMMYFUNCTION("INDIRECT(""'收支紀錄'!O""&amp;TO_TEXT(ROW()-$C$72))"),"")</f>
        <v/>
      </c>
      <c r="P1270" s="61" t="str">
        <f>IFERROR(__xludf.DUMMYFUNCTION("INDIRECT(""'收支紀錄'!P""&amp;TO_TEXT(ROW()-$C$72))"),"")</f>
        <v/>
      </c>
      <c r="Q1270" s="61" t="str">
        <f>IFERROR(__xludf.DUMMYFUNCTION("INDIRECT(""'收支紀錄'!Q""&amp;TO_TEXT(ROW()-$C$72))"),"")</f>
        <v/>
      </c>
      <c r="R1270" s="61" t="str">
        <f>IFERROR(__xludf.DUMMYFUNCTION("INDIRECT(""'收支紀錄'!R""&amp;TO_TEXT(ROW()-$C$72))"),"")</f>
        <v/>
      </c>
      <c r="S1270" s="61" t="str">
        <f>IFERROR(__xludf.DUMMYFUNCTION("INDIRECT(""'收支紀錄'!S""&amp;TO_TEXT(ROW()-$C$72))"),"興富發")</f>
        <v>興富發</v>
      </c>
      <c r="T1270" s="61" t="str">
        <f>IFERROR(__xludf.DUMMYFUNCTION("INDIRECT(""'收支紀錄'!T""&amp;TO_TEXT(ROW()-$C$72))"),"是")</f>
        <v>是</v>
      </c>
      <c r="U1270" s="62" t="str">
        <f>IFERROR(__xludf.DUMMYFUNCTION("IF(T1270=""是"",TEXTJOIN("""", TRUE, ""$"", TO_TEXT(C1270), S1270),"""")"),"$2190興富發")</f>
        <v>$2190興富發</v>
      </c>
    </row>
    <row r="1271">
      <c r="A1271" s="58">
        <f>IFERROR(__xludf.DUMMYFUNCTION("INDIRECT(""'收支紀錄'!A""&amp;TO_TEXT(ROW()-$C$72))"),45967.56491310185)</f>
        <v>45967.56491</v>
      </c>
      <c r="B1271" s="59">
        <f>IFERROR(__xludf.DUMMYFUNCTION("IF(ISBLANK(D1271), """", IF(ISDATE(D1271), D1271, IF(D1271=""今天"", A1271, IF(D1271=""昨天 (-1 day)"", A1271-1, IF(D1271=""前天 (-2 days)"", A1271-2, IF(D1271=""明天 (+1 day)"", A1271+1, DATE(LEFT(D1271,4), MID(D1271,5,2), RIGHT(D1271,2))))))))"),45967.56491310185)</f>
        <v>45967.56491</v>
      </c>
      <c r="C1271" s="60">
        <f>IFERROR(__xludf.DUMMYFUNCTION("INDIRECT(""'收支紀錄'!C""&amp;TO_TEXT(ROW()-$C$72))"),224.0)</f>
        <v>224</v>
      </c>
      <c r="D1271" s="63" t="str">
        <f>IFERROR(__xludf.DUMMYFUNCTION("INDIRECT(""'收支紀錄'!D""&amp;TO_TEXT(ROW()-$C$72))"),"今天")</f>
        <v>今天</v>
      </c>
      <c r="E1271" s="61" t="str">
        <f>IFERROR(__xludf.DUMMYFUNCTION("INDIRECT(""'收支紀錄'!E""&amp;TO_TEXT(ROW()-$C$72))"),"")</f>
        <v/>
      </c>
      <c r="F1271" s="61" t="str">
        <f>IFERROR(__xludf.DUMMYFUNCTION("INDIRECT(""'收支紀錄'!F""&amp;TO_TEXT(ROW()-$C$72))"),"")</f>
        <v/>
      </c>
      <c r="G1271" s="61" t="str">
        <f>IFERROR(__xludf.DUMMYFUNCTION("INDIRECT(""'收支紀錄'!G""&amp;TO_TEXT(ROW()-$C$72))"),"")</f>
        <v/>
      </c>
      <c r="H1271" s="61" t="str">
        <f>IFERROR(__xludf.DUMMYFUNCTION("INDIRECT(""'收支紀錄'!H""&amp;TO_TEXT(ROW()-$C$72))"),"日常生活")</f>
        <v>日常生活</v>
      </c>
      <c r="I1271" s="61" t="str">
        <f>IFERROR(__xludf.DUMMYFUNCTION("INDIRECT(""'收支紀錄'!I""&amp;TO_TEXT(ROW()-$C$72))"),"")</f>
        <v/>
      </c>
      <c r="J1271" s="61" t="str">
        <f>IFERROR(__xludf.DUMMYFUNCTION("INDIRECT(""'收支紀錄'!J""&amp;TO_TEXT(ROW()-$C$72))"),"日常用品")</f>
        <v>日常用品</v>
      </c>
      <c r="K1271" s="61" t="str">
        <f>IFERROR(__xludf.DUMMYFUNCTION("INDIRECT(""'收支紀錄'!K""&amp;TO_TEXT(ROW()-$C$72))"),"")</f>
        <v/>
      </c>
      <c r="L1271" s="61" t="str">
        <f>IFERROR(__xludf.DUMMYFUNCTION("INDIRECT(""'收支紀錄'!L""&amp;TO_TEXT(ROW()-$C$72))"),"")</f>
        <v/>
      </c>
      <c r="M1271" s="61" t="str">
        <f>IFERROR(__xludf.DUMMYFUNCTION("INDIRECT(""'收支紀錄'!M""&amp;TO_TEXT(ROW()-$C$72))"),"")</f>
        <v/>
      </c>
      <c r="N1271" s="61" t="str">
        <f>IFERROR(__xludf.DUMMYFUNCTION("INDIRECT(""'收支紀錄'!N""&amp;TO_TEXT(ROW()-$C$72))"),"")</f>
        <v/>
      </c>
      <c r="O1271" s="61" t="str">
        <f>IFERROR(__xludf.DUMMYFUNCTION("INDIRECT(""'收支紀錄'!O""&amp;TO_TEXT(ROW()-$C$72))"),"")</f>
        <v/>
      </c>
      <c r="P1271" s="61" t="str">
        <f>IFERROR(__xludf.DUMMYFUNCTION("INDIRECT(""'收支紀錄'!P""&amp;TO_TEXT(ROW()-$C$72))"),"")</f>
        <v/>
      </c>
      <c r="Q1271" s="61" t="str">
        <f>IFERROR(__xludf.DUMMYFUNCTION("INDIRECT(""'收支紀錄'!Q""&amp;TO_TEXT(ROW()-$C$72))"),"")</f>
        <v/>
      </c>
      <c r="R1271" s="61" t="str">
        <f>IFERROR(__xludf.DUMMYFUNCTION("INDIRECT(""'收支紀錄'!R""&amp;TO_TEXT(ROW()-$C$72))"),"")</f>
        <v/>
      </c>
      <c r="S1271" s="61" t="str">
        <f>IFERROR(__xludf.DUMMYFUNCTION("INDIRECT(""'收支紀錄'!S""&amp;TO_TEXT(ROW()-$C$72))"),"")</f>
        <v/>
      </c>
      <c r="T1271" s="61" t="str">
        <f>IFERROR(__xludf.DUMMYFUNCTION("INDIRECT(""'收支紀錄'!T""&amp;TO_TEXT(ROW()-$C$72))"),"")</f>
        <v/>
      </c>
      <c r="U1271" s="62" t="str">
        <f>IFERROR(__xludf.DUMMYFUNCTION("IF(T1271=""是"",TEXTJOIN("""", TRUE, ""$"", TO_TEXT(C1271), S1271),"""")"),"")</f>
        <v/>
      </c>
    </row>
    <row r="1272">
      <c r="A1272" s="58">
        <f>IFERROR(__xludf.DUMMYFUNCTION("INDIRECT(""'收支紀錄'!A""&amp;TO_TEXT(ROW()-$C$72))"),45969.00215115741)</f>
        <v>45969.00215</v>
      </c>
      <c r="B1272" s="59">
        <f>IFERROR(__xludf.DUMMYFUNCTION("IF(ISBLANK(D1272), """", IF(ISDATE(D1272), D1272, IF(D1272=""今天"", A1272, IF(D1272=""昨天 (-1 day)"", A1272-1, IF(D1272=""前天 (-2 days)"", A1272-2, IF(D1272=""明天 (+1 day)"", A1272+1, DATE(LEFT(D1272,4), MID(D1272,5,2), RIGHT(D1272,2))))))))"),45968.00215115741)</f>
        <v>45968.00215</v>
      </c>
      <c r="C1272" s="60">
        <f>IFERROR(__xludf.DUMMYFUNCTION("INDIRECT(""'收支紀錄'!C""&amp;TO_TEXT(ROW()-$C$72))"),150.0)</f>
        <v>150</v>
      </c>
      <c r="D1272" s="63" t="str">
        <f>IFERROR(__xludf.DUMMYFUNCTION("INDIRECT(""'收支紀錄'!D""&amp;TO_TEXT(ROW()-$C$72))"),"昨天 (-1 day)")</f>
        <v>昨天 (-1 day)</v>
      </c>
      <c r="E1272" s="61" t="str">
        <f>IFERROR(__xludf.DUMMYFUNCTION("INDIRECT(""'收支紀錄'!E""&amp;TO_TEXT(ROW()-$C$72))"),"")</f>
        <v/>
      </c>
      <c r="F1272" s="61" t="str">
        <f>IFERROR(__xludf.DUMMYFUNCTION("INDIRECT(""'收支紀錄'!F""&amp;TO_TEXT(ROW()-$C$72))"),"")</f>
        <v/>
      </c>
      <c r="G1272" s="61" t="str">
        <f>IFERROR(__xludf.DUMMYFUNCTION("INDIRECT(""'收支紀錄'!G""&amp;TO_TEXT(ROW()-$C$72))"),"")</f>
        <v/>
      </c>
      <c r="H1272" s="61" t="str">
        <f>IFERROR(__xludf.DUMMYFUNCTION("INDIRECT(""'收支紀錄'!H""&amp;TO_TEXT(ROW()-$C$72))"),"休閒娛樂")</f>
        <v>休閒娛樂</v>
      </c>
      <c r="I1272" s="61" t="str">
        <f>IFERROR(__xludf.DUMMYFUNCTION("INDIRECT(""'收支紀錄'!I""&amp;TO_TEXT(ROW()-$C$72))"),"")</f>
        <v/>
      </c>
      <c r="J1272" s="61" t="str">
        <f>IFERROR(__xludf.DUMMYFUNCTION("INDIRECT(""'收支紀錄'!J""&amp;TO_TEXT(ROW()-$C$72))"),"")</f>
        <v/>
      </c>
      <c r="K1272" s="61" t="str">
        <f>IFERROR(__xludf.DUMMYFUNCTION("INDIRECT(""'收支紀錄'!K""&amp;TO_TEXT(ROW()-$C$72))"),"")</f>
        <v/>
      </c>
      <c r="L1272" s="61" t="str">
        <f>IFERROR(__xludf.DUMMYFUNCTION("INDIRECT(""'收支紀錄'!L""&amp;TO_TEXT(ROW()-$C$72))"),"")</f>
        <v/>
      </c>
      <c r="M1272" s="61" t="str">
        <f>IFERROR(__xludf.DUMMYFUNCTION("INDIRECT(""'收支紀錄'!M""&amp;TO_TEXT(ROW()-$C$72))"),"運動健身")</f>
        <v>運動健身</v>
      </c>
      <c r="N1272" s="61" t="str">
        <f>IFERROR(__xludf.DUMMYFUNCTION("INDIRECT(""'收支紀錄'!N""&amp;TO_TEXT(ROW()-$C$72))"),"")</f>
        <v/>
      </c>
      <c r="O1272" s="61" t="str">
        <f>IFERROR(__xludf.DUMMYFUNCTION("INDIRECT(""'收支紀錄'!O""&amp;TO_TEXT(ROW()-$C$72))"),"")</f>
        <v/>
      </c>
      <c r="P1272" s="61" t="str">
        <f>IFERROR(__xludf.DUMMYFUNCTION("INDIRECT(""'收支紀錄'!P""&amp;TO_TEXT(ROW()-$C$72))"),"")</f>
        <v/>
      </c>
      <c r="Q1272" s="61" t="str">
        <f>IFERROR(__xludf.DUMMYFUNCTION("INDIRECT(""'收支紀錄'!Q""&amp;TO_TEXT(ROW()-$C$72))"),"")</f>
        <v/>
      </c>
      <c r="R1272" s="61" t="str">
        <f>IFERROR(__xludf.DUMMYFUNCTION("INDIRECT(""'收支紀錄'!R""&amp;TO_TEXT(ROW()-$C$72))"),"")</f>
        <v/>
      </c>
      <c r="S1272" s="61" t="str">
        <f>IFERROR(__xludf.DUMMYFUNCTION("INDIRECT(""'收支紀錄'!S""&amp;TO_TEXT(ROW()-$C$72))"),"")</f>
        <v/>
      </c>
      <c r="T1272" s="61" t="str">
        <f>IFERROR(__xludf.DUMMYFUNCTION("INDIRECT(""'收支紀錄'!T""&amp;TO_TEXT(ROW()-$C$72))"),"")</f>
        <v/>
      </c>
      <c r="U1272" s="62" t="str">
        <f>IFERROR(__xludf.DUMMYFUNCTION("IF(T1272=""是"",TEXTJOIN("""", TRUE, ""$"", TO_TEXT(C1272), S1272),"""")"),"")</f>
        <v/>
      </c>
    </row>
    <row r="1273">
      <c r="A1273" s="58">
        <f>IFERROR(__xludf.DUMMYFUNCTION("INDIRECT(""'收支紀錄'!A""&amp;TO_TEXT(ROW()-$C$72))"),45969.00234172454)</f>
        <v>45969.00234</v>
      </c>
      <c r="B1273" s="59">
        <f>IFERROR(__xludf.DUMMYFUNCTION("IF(ISBLANK(D1273), """", IF(ISDATE(D1273), D1273, IF(D1273=""今天"", A1273, IF(D1273=""昨天 (-1 day)"", A1273-1, IF(D1273=""前天 (-2 days)"", A1273-2, IF(D1273=""明天 (+1 day)"", A1273+1, DATE(LEFT(D1273,4), MID(D1273,5,2), RIGHT(D1273,2))))))))"),45968.00234172454)</f>
        <v>45968.00234</v>
      </c>
      <c r="C1273" s="60">
        <f>IFERROR(__xludf.DUMMYFUNCTION("INDIRECT(""'收支紀錄'!C""&amp;TO_TEXT(ROW()-$C$72))"),58.0)</f>
        <v>58</v>
      </c>
      <c r="D1273" s="63" t="str">
        <f>IFERROR(__xludf.DUMMYFUNCTION("INDIRECT(""'收支紀錄'!D""&amp;TO_TEXT(ROW()-$C$72))"),"昨天 (-1 day)")</f>
        <v>昨天 (-1 day)</v>
      </c>
      <c r="E1273" s="61" t="str">
        <f>IFERROR(__xludf.DUMMYFUNCTION("INDIRECT(""'收支紀錄'!E""&amp;TO_TEXT(ROW()-$C$72))"),"")</f>
        <v/>
      </c>
      <c r="F1273" s="61" t="str">
        <f>IFERROR(__xludf.DUMMYFUNCTION("INDIRECT(""'收支紀錄'!F""&amp;TO_TEXT(ROW()-$C$72))"),"")</f>
        <v/>
      </c>
      <c r="G1273" s="61" t="str">
        <f>IFERROR(__xludf.DUMMYFUNCTION("INDIRECT(""'收支紀錄'!G""&amp;TO_TEXT(ROW()-$C$72))"),"")</f>
        <v/>
      </c>
      <c r="H1273" s="61" t="str">
        <f>IFERROR(__xludf.DUMMYFUNCTION("INDIRECT(""'收支紀錄'!H""&amp;TO_TEXT(ROW()-$C$72))"),"食品酒水")</f>
        <v>食品酒水</v>
      </c>
      <c r="I1273" s="61" t="str">
        <f>IFERROR(__xludf.DUMMYFUNCTION("INDIRECT(""'收支紀錄'!I""&amp;TO_TEXT(ROW()-$C$72))"),"宵夜")</f>
        <v>宵夜</v>
      </c>
      <c r="J1273" s="61" t="str">
        <f>IFERROR(__xludf.DUMMYFUNCTION("INDIRECT(""'收支紀錄'!J""&amp;TO_TEXT(ROW()-$C$72))"),"")</f>
        <v/>
      </c>
      <c r="K1273" s="61" t="str">
        <f>IFERROR(__xludf.DUMMYFUNCTION("INDIRECT(""'收支紀錄'!K""&amp;TO_TEXT(ROW()-$C$72))"),"")</f>
        <v/>
      </c>
      <c r="L1273" s="61" t="str">
        <f>IFERROR(__xludf.DUMMYFUNCTION("INDIRECT(""'收支紀錄'!L""&amp;TO_TEXT(ROW()-$C$72))"),"")</f>
        <v/>
      </c>
      <c r="M1273" s="61" t="str">
        <f>IFERROR(__xludf.DUMMYFUNCTION("INDIRECT(""'收支紀錄'!M""&amp;TO_TEXT(ROW()-$C$72))"),"")</f>
        <v/>
      </c>
      <c r="N1273" s="61" t="str">
        <f>IFERROR(__xludf.DUMMYFUNCTION("INDIRECT(""'收支紀錄'!N""&amp;TO_TEXT(ROW()-$C$72))"),"")</f>
        <v/>
      </c>
      <c r="O1273" s="61" t="str">
        <f>IFERROR(__xludf.DUMMYFUNCTION("INDIRECT(""'收支紀錄'!O""&amp;TO_TEXT(ROW()-$C$72))"),"")</f>
        <v/>
      </c>
      <c r="P1273" s="61" t="str">
        <f>IFERROR(__xludf.DUMMYFUNCTION("INDIRECT(""'收支紀錄'!P""&amp;TO_TEXT(ROW()-$C$72))"),"")</f>
        <v/>
      </c>
      <c r="Q1273" s="61" t="str">
        <f>IFERROR(__xludf.DUMMYFUNCTION("INDIRECT(""'收支紀錄'!Q""&amp;TO_TEXT(ROW()-$C$72))"),"")</f>
        <v/>
      </c>
      <c r="R1273" s="61" t="str">
        <f>IFERROR(__xludf.DUMMYFUNCTION("INDIRECT(""'收支紀錄'!R""&amp;TO_TEXT(ROW()-$C$72))"),"")</f>
        <v/>
      </c>
      <c r="S1273" s="61" t="str">
        <f>IFERROR(__xludf.DUMMYFUNCTION("INDIRECT(""'收支紀錄'!S""&amp;TO_TEXT(ROW()-$C$72))"),"")</f>
        <v/>
      </c>
      <c r="T1273" s="61" t="str">
        <f>IFERROR(__xludf.DUMMYFUNCTION("INDIRECT(""'收支紀錄'!T""&amp;TO_TEXT(ROW()-$C$72))"),"")</f>
        <v/>
      </c>
      <c r="U1273" s="62" t="str">
        <f>IFERROR(__xludf.DUMMYFUNCTION("IF(T1273=""是"",TEXTJOIN("""", TRUE, ""$"", TO_TEXT(C1273), S1273),"""")"),"")</f>
        <v/>
      </c>
    </row>
    <row r="1274">
      <c r="A1274" s="58">
        <f>IFERROR(__xludf.DUMMYFUNCTION("INDIRECT(""'收支紀錄'!A""&amp;TO_TEXT(ROW()-$C$72))"),45969.397374479166)</f>
        <v>45969.39737</v>
      </c>
      <c r="B1274" s="59">
        <f>IFERROR(__xludf.DUMMYFUNCTION("IF(ISBLANK(D1274), """", IF(ISDATE(D1274), D1274, IF(D1274=""今天"", A1274, IF(D1274=""昨天 (-1 day)"", A1274-1, IF(D1274=""前天 (-2 days)"", A1274-2, IF(D1274=""明天 (+1 day)"", A1274+1, DATE(LEFT(D1274,4), MID(D1274,5,2), RIGHT(D1274,2))))))))"),45969.397374479166)</f>
        <v>45969.39737</v>
      </c>
      <c r="C1274" s="60">
        <f>IFERROR(__xludf.DUMMYFUNCTION("INDIRECT(""'收支紀錄'!C""&amp;TO_TEXT(ROW()-$C$72))"),7302.0)</f>
        <v>7302</v>
      </c>
      <c r="D1274" s="63" t="str">
        <f>IFERROR(__xludf.DUMMYFUNCTION("INDIRECT(""'收支紀錄'!D""&amp;TO_TEXT(ROW()-$C$72))"),"今天")</f>
        <v>今天</v>
      </c>
      <c r="E1274" s="61" t="str">
        <f>IFERROR(__xludf.DUMMYFUNCTION("INDIRECT(""'收支紀錄'!E""&amp;TO_TEXT(ROW()-$C$72))"),"")</f>
        <v/>
      </c>
      <c r="F1274" s="61" t="str">
        <f>IFERROR(__xludf.DUMMYFUNCTION("INDIRECT(""'收支紀錄'!F""&amp;TO_TEXT(ROW()-$C$72))"),"")</f>
        <v/>
      </c>
      <c r="G1274" s="61" t="str">
        <f>IFERROR(__xludf.DUMMYFUNCTION("INDIRECT(""'收支紀錄'!G""&amp;TO_TEXT(ROW()-$C$72))"),"")</f>
        <v/>
      </c>
      <c r="H1274" s="61" t="str">
        <f>IFERROR(__xludf.DUMMYFUNCTION("INDIRECT(""'收支紀錄'!H""&amp;TO_TEXT(ROW()-$C$72))"),"房屋支出")</f>
        <v>房屋支出</v>
      </c>
      <c r="I1274" s="61" t="str">
        <f>IFERROR(__xludf.DUMMYFUNCTION("INDIRECT(""'收支紀錄'!I""&amp;TO_TEXT(ROW()-$C$72))"),"")</f>
        <v/>
      </c>
      <c r="J1274" s="61" t="str">
        <f>IFERROR(__xludf.DUMMYFUNCTION("INDIRECT(""'收支紀錄'!J""&amp;TO_TEXT(ROW()-$C$72))"),"")</f>
        <v/>
      </c>
      <c r="K1274" s="61" t="str">
        <f>IFERROR(__xludf.DUMMYFUNCTION("INDIRECT(""'收支紀錄'!K""&amp;TO_TEXT(ROW()-$C$72))"),"管理費")</f>
        <v>管理費</v>
      </c>
      <c r="L1274" s="61" t="str">
        <f>IFERROR(__xludf.DUMMYFUNCTION("INDIRECT(""'收支紀錄'!L""&amp;TO_TEXT(ROW()-$C$72))"),"")</f>
        <v/>
      </c>
      <c r="M1274" s="61" t="str">
        <f>IFERROR(__xludf.DUMMYFUNCTION("INDIRECT(""'收支紀錄'!M""&amp;TO_TEXT(ROW()-$C$72))"),"")</f>
        <v/>
      </c>
      <c r="N1274" s="61" t="str">
        <f>IFERROR(__xludf.DUMMYFUNCTION("INDIRECT(""'收支紀錄'!N""&amp;TO_TEXT(ROW()-$C$72))"),"")</f>
        <v/>
      </c>
      <c r="O1274" s="61" t="str">
        <f>IFERROR(__xludf.DUMMYFUNCTION("INDIRECT(""'收支紀錄'!O""&amp;TO_TEXT(ROW()-$C$72))"),"")</f>
        <v/>
      </c>
      <c r="P1274" s="61" t="str">
        <f>IFERROR(__xludf.DUMMYFUNCTION("INDIRECT(""'收支紀錄'!P""&amp;TO_TEXT(ROW()-$C$72))"),"")</f>
        <v/>
      </c>
      <c r="Q1274" s="61" t="str">
        <f>IFERROR(__xludf.DUMMYFUNCTION("INDIRECT(""'收支紀錄'!Q""&amp;TO_TEXT(ROW()-$C$72))"),"")</f>
        <v/>
      </c>
      <c r="R1274" s="61" t="str">
        <f>IFERROR(__xludf.DUMMYFUNCTION("INDIRECT(""'收支紀錄'!R""&amp;TO_TEXT(ROW()-$C$72))"),"")</f>
        <v/>
      </c>
      <c r="S1274" s="61" t="str">
        <f>IFERROR(__xludf.DUMMYFUNCTION("INDIRECT(""'收支紀錄'!S""&amp;TO_TEXT(ROW()-$C$72))"),"")</f>
        <v/>
      </c>
      <c r="T1274" s="61" t="str">
        <f>IFERROR(__xludf.DUMMYFUNCTION("INDIRECT(""'收支紀錄'!T""&amp;TO_TEXT(ROW()-$C$72))"),"")</f>
        <v/>
      </c>
      <c r="U1274" s="62" t="str">
        <f>IFERROR(__xludf.DUMMYFUNCTION("IF(T1274=""是"",TEXTJOIN("""", TRUE, ""$"", TO_TEXT(C1274), S1274),"""")"),"")</f>
        <v/>
      </c>
    </row>
    <row r="1275">
      <c r="A1275" s="58">
        <f>IFERROR(__xludf.DUMMYFUNCTION("INDIRECT(""'收支紀錄'!A""&amp;TO_TEXT(ROW()-$C$72))"),45969.69147351852)</f>
        <v>45969.69147</v>
      </c>
      <c r="B1275" s="59">
        <f>IFERROR(__xludf.DUMMYFUNCTION("IF(ISBLANK(D1275), """", IF(ISDATE(D1275), D1275, IF(D1275=""今天"", A1275, IF(D1275=""昨天 (-1 day)"", A1275-1, IF(D1275=""前天 (-2 days)"", A1275-2, IF(D1275=""明天 (+1 day)"", A1275+1, DATE(LEFT(D1275,4), MID(D1275,5,2), RIGHT(D1275,2))))))))"),45969.69147351852)</f>
        <v>45969.69147</v>
      </c>
      <c r="C1275" s="60">
        <f>IFERROR(__xludf.DUMMYFUNCTION("INDIRECT(""'收支紀錄'!C""&amp;TO_TEXT(ROW()-$C$72))"),857.0)</f>
        <v>857</v>
      </c>
      <c r="D1275" s="63" t="str">
        <f>IFERROR(__xludf.DUMMYFUNCTION("INDIRECT(""'收支紀錄'!D""&amp;TO_TEXT(ROW()-$C$72))"),"今天")</f>
        <v>今天</v>
      </c>
      <c r="E1275" s="61" t="str">
        <f>IFERROR(__xludf.DUMMYFUNCTION("INDIRECT(""'收支紀錄'!E""&amp;TO_TEXT(ROW()-$C$72))"),"")</f>
        <v/>
      </c>
      <c r="F1275" s="61" t="str">
        <f>IFERROR(__xludf.DUMMYFUNCTION("INDIRECT(""'收支紀錄'!F""&amp;TO_TEXT(ROW()-$C$72))"),"")</f>
        <v/>
      </c>
      <c r="G1275" s="61" t="str">
        <f>IFERROR(__xludf.DUMMYFUNCTION("INDIRECT(""'收支紀錄'!G""&amp;TO_TEXT(ROW()-$C$72))"),"")</f>
        <v/>
      </c>
      <c r="H1275" s="61" t="str">
        <f>IFERROR(__xludf.DUMMYFUNCTION("INDIRECT(""'收支紀錄'!H""&amp;TO_TEXT(ROW()-$C$72))"),"行車交通")</f>
        <v>行車交通</v>
      </c>
      <c r="I1275" s="61" t="str">
        <f>IFERROR(__xludf.DUMMYFUNCTION("INDIRECT(""'收支紀錄'!I""&amp;TO_TEXT(ROW()-$C$72))"),"")</f>
        <v/>
      </c>
      <c r="J1275" s="61" t="str">
        <f>IFERROR(__xludf.DUMMYFUNCTION("INDIRECT(""'收支紀錄'!J""&amp;TO_TEXT(ROW()-$C$72))"),"")</f>
        <v/>
      </c>
      <c r="K1275" s="61" t="str">
        <f>IFERROR(__xludf.DUMMYFUNCTION("INDIRECT(""'收支紀錄'!K""&amp;TO_TEXT(ROW()-$C$72))"),"")</f>
        <v/>
      </c>
      <c r="L1275" s="61" t="str">
        <f>IFERROR(__xludf.DUMMYFUNCTION("INDIRECT(""'收支紀錄'!L""&amp;TO_TEXT(ROW()-$C$72))"),"加油")</f>
        <v>加油</v>
      </c>
      <c r="M1275" s="61" t="str">
        <f>IFERROR(__xludf.DUMMYFUNCTION("INDIRECT(""'收支紀錄'!M""&amp;TO_TEXT(ROW()-$C$72))"),"")</f>
        <v/>
      </c>
      <c r="N1275" s="61" t="str">
        <f>IFERROR(__xludf.DUMMYFUNCTION("INDIRECT(""'收支紀錄'!N""&amp;TO_TEXT(ROW()-$C$72))"),"")</f>
        <v/>
      </c>
      <c r="O1275" s="61" t="str">
        <f>IFERROR(__xludf.DUMMYFUNCTION("INDIRECT(""'收支紀錄'!O""&amp;TO_TEXT(ROW()-$C$72))"),"")</f>
        <v/>
      </c>
      <c r="P1275" s="61" t="str">
        <f>IFERROR(__xludf.DUMMYFUNCTION("INDIRECT(""'收支紀錄'!P""&amp;TO_TEXT(ROW()-$C$72))"),"")</f>
        <v/>
      </c>
      <c r="Q1275" s="61" t="str">
        <f>IFERROR(__xludf.DUMMYFUNCTION("INDIRECT(""'收支紀錄'!Q""&amp;TO_TEXT(ROW()-$C$72))"),"")</f>
        <v/>
      </c>
      <c r="R1275" s="61" t="str">
        <f>IFERROR(__xludf.DUMMYFUNCTION("INDIRECT(""'收支紀錄'!R""&amp;TO_TEXT(ROW()-$C$72))"),"")</f>
        <v/>
      </c>
      <c r="S1275" s="61" t="str">
        <f>IFERROR(__xludf.DUMMYFUNCTION("INDIRECT(""'收支紀錄'!S""&amp;TO_TEXT(ROW()-$C$72))"),"")</f>
        <v/>
      </c>
      <c r="T1275" s="61" t="str">
        <f>IFERROR(__xludf.DUMMYFUNCTION("INDIRECT(""'收支紀錄'!T""&amp;TO_TEXT(ROW()-$C$72))"),"")</f>
        <v/>
      </c>
      <c r="U1275" s="62" t="str">
        <f>IFERROR(__xludf.DUMMYFUNCTION("IF(T1275=""是"",TEXTJOIN("""", TRUE, ""$"", TO_TEXT(C1275), S1275),"""")"),"")</f>
        <v/>
      </c>
    </row>
    <row r="1276">
      <c r="A1276" s="58">
        <f>IFERROR(__xludf.DUMMYFUNCTION("INDIRECT(""'收支紀錄'!A""&amp;TO_TEXT(ROW()-$C$72))"),45969.69194875)</f>
        <v>45969.69195</v>
      </c>
      <c r="B1276" s="59">
        <f>IFERROR(__xludf.DUMMYFUNCTION("IF(ISBLANK(D1276), """", IF(ISDATE(D1276), D1276, IF(D1276=""今天"", A1276, IF(D1276=""昨天 (-1 day)"", A1276-1, IF(D1276=""前天 (-2 days)"", A1276-2, IF(D1276=""明天 (+1 day)"", A1276+1, DATE(LEFT(D1276,4), MID(D1276,5,2), RIGHT(D1276,2))))))))"),45969.69194875)</f>
        <v>45969.69195</v>
      </c>
      <c r="C1276" s="60">
        <f>IFERROR(__xludf.DUMMYFUNCTION("INDIRECT(""'收支紀錄'!C""&amp;TO_TEXT(ROW()-$C$72))"),8400.0)</f>
        <v>8400</v>
      </c>
      <c r="D1276" s="63" t="str">
        <f>IFERROR(__xludf.DUMMYFUNCTION("INDIRECT(""'收支紀錄'!D""&amp;TO_TEXT(ROW()-$C$72))"),"今天")</f>
        <v>今天</v>
      </c>
      <c r="E1276" s="61" t="str">
        <f>IFERROR(__xludf.DUMMYFUNCTION("INDIRECT(""'收支紀錄'!E""&amp;TO_TEXT(ROW()-$C$72))"),"")</f>
        <v/>
      </c>
      <c r="F1276" s="61" t="str">
        <f>IFERROR(__xludf.DUMMYFUNCTION("INDIRECT(""'收支紀錄'!F""&amp;TO_TEXT(ROW()-$C$72))"),"")</f>
        <v/>
      </c>
      <c r="G1276" s="61" t="str">
        <f>IFERROR(__xludf.DUMMYFUNCTION("INDIRECT(""'收支紀錄'!G""&amp;TO_TEXT(ROW()-$C$72))"),"")</f>
        <v/>
      </c>
      <c r="H1276" s="61" t="str">
        <f>IFERROR(__xludf.DUMMYFUNCTION("INDIRECT(""'收支紀錄'!H""&amp;TO_TEXT(ROW()-$C$72))"),"日常生活")</f>
        <v>日常生活</v>
      </c>
      <c r="I1276" s="61" t="str">
        <f>IFERROR(__xludf.DUMMYFUNCTION("INDIRECT(""'收支紀錄'!I""&amp;TO_TEXT(ROW()-$C$72))"),"")</f>
        <v/>
      </c>
      <c r="J1276" s="61" t="str">
        <f>IFERROR(__xludf.DUMMYFUNCTION("INDIRECT(""'收支紀錄'!J""&amp;TO_TEXT(ROW()-$C$72))"),"日常用品")</f>
        <v>日常用品</v>
      </c>
      <c r="K1276" s="61" t="str">
        <f>IFERROR(__xludf.DUMMYFUNCTION("INDIRECT(""'收支紀錄'!K""&amp;TO_TEXT(ROW()-$C$72))"),"")</f>
        <v/>
      </c>
      <c r="L1276" s="61" t="str">
        <f>IFERROR(__xludf.DUMMYFUNCTION("INDIRECT(""'收支紀錄'!L""&amp;TO_TEXT(ROW()-$C$72))"),"")</f>
        <v/>
      </c>
      <c r="M1276" s="61" t="str">
        <f>IFERROR(__xludf.DUMMYFUNCTION("INDIRECT(""'收支紀錄'!M""&amp;TO_TEXT(ROW()-$C$72))"),"")</f>
        <v/>
      </c>
      <c r="N1276" s="61" t="str">
        <f>IFERROR(__xludf.DUMMYFUNCTION("INDIRECT(""'收支紀錄'!N""&amp;TO_TEXT(ROW()-$C$72))"),"")</f>
        <v/>
      </c>
      <c r="O1276" s="61" t="str">
        <f>IFERROR(__xludf.DUMMYFUNCTION("INDIRECT(""'收支紀錄'!O""&amp;TO_TEXT(ROW()-$C$72))"),"")</f>
        <v/>
      </c>
      <c r="P1276" s="61" t="str">
        <f>IFERROR(__xludf.DUMMYFUNCTION("INDIRECT(""'收支紀錄'!P""&amp;TO_TEXT(ROW()-$C$72))"),"")</f>
        <v/>
      </c>
      <c r="Q1276" s="61" t="str">
        <f>IFERROR(__xludf.DUMMYFUNCTION("INDIRECT(""'收支紀錄'!Q""&amp;TO_TEXT(ROW()-$C$72))"),"")</f>
        <v/>
      </c>
      <c r="R1276" s="61" t="str">
        <f>IFERROR(__xludf.DUMMYFUNCTION("INDIRECT(""'收支紀錄'!R""&amp;TO_TEXT(ROW()-$C$72))"),"")</f>
        <v/>
      </c>
      <c r="S1276" s="61" t="str">
        <f>IFERROR(__xludf.DUMMYFUNCTION("INDIRECT(""'收支紀錄'!S""&amp;TO_TEXT(ROW()-$C$72))"),"速達通網路")</f>
        <v>速達通網路</v>
      </c>
      <c r="T1276" s="61" t="str">
        <f>IFERROR(__xludf.DUMMYFUNCTION("INDIRECT(""'收支紀錄'!T""&amp;TO_TEXT(ROW()-$C$72))"),"是")</f>
        <v>是</v>
      </c>
      <c r="U1276" s="62" t="str">
        <f>IFERROR(__xludf.DUMMYFUNCTION("IF(T1276=""是"",TEXTJOIN("""", TRUE, ""$"", TO_TEXT(C1276), S1276),"""")"),"$8400速達通網路")</f>
        <v>$8400速達通網路</v>
      </c>
    </row>
    <row r="1277">
      <c r="A1277" s="58">
        <f>IFERROR(__xludf.DUMMYFUNCTION("INDIRECT(""'收支紀錄'!A""&amp;TO_TEXT(ROW()-$C$72))"),45970.438414398144)</f>
        <v>45970.43841</v>
      </c>
      <c r="B1277" s="59">
        <f>IFERROR(__xludf.DUMMYFUNCTION("IF(ISBLANK(D1277), """", IF(ISDATE(D1277), D1277, IF(D1277=""今天"", A1277, IF(D1277=""昨天 (-1 day)"", A1277-1, IF(D1277=""前天 (-2 days)"", A1277-2, IF(D1277=""明天 (+1 day)"", A1277+1, DATE(LEFT(D1277,4), MID(D1277,5,2), RIGHT(D1277,2))))))))"),45970.438414398144)</f>
        <v>45970.43841</v>
      </c>
      <c r="C1277" s="60">
        <f>IFERROR(__xludf.DUMMYFUNCTION("INDIRECT(""'收支紀錄'!C""&amp;TO_TEXT(ROW()-$C$72))"),350.0)</f>
        <v>350</v>
      </c>
      <c r="D1277" s="63" t="str">
        <f>IFERROR(__xludf.DUMMYFUNCTION("INDIRECT(""'收支紀錄'!D""&amp;TO_TEXT(ROW()-$C$72))"),"今天")</f>
        <v>今天</v>
      </c>
      <c r="E1277" s="61" t="str">
        <f>IFERROR(__xludf.DUMMYFUNCTION("INDIRECT(""'收支紀錄'!E""&amp;TO_TEXT(ROW()-$C$72))"),"")</f>
        <v/>
      </c>
      <c r="F1277" s="61" t="str">
        <f>IFERROR(__xludf.DUMMYFUNCTION("INDIRECT(""'收支紀錄'!F""&amp;TO_TEXT(ROW()-$C$72))"),"")</f>
        <v/>
      </c>
      <c r="G1277" s="61" t="str">
        <f>IFERROR(__xludf.DUMMYFUNCTION("INDIRECT(""'收支紀錄'!G""&amp;TO_TEXT(ROW()-$C$72))"),"")</f>
        <v/>
      </c>
      <c r="H1277" s="61" t="str">
        <f>IFERROR(__xludf.DUMMYFUNCTION("INDIRECT(""'收支紀錄'!H""&amp;TO_TEXT(ROW()-$C$72))"),"食品酒水")</f>
        <v>食品酒水</v>
      </c>
      <c r="I1277" s="61" t="str">
        <f>IFERROR(__xludf.DUMMYFUNCTION("INDIRECT(""'收支紀錄'!I""&amp;TO_TEXT(ROW()-$C$72))"),"早餐")</f>
        <v>早餐</v>
      </c>
      <c r="J1277" s="61" t="str">
        <f>IFERROR(__xludf.DUMMYFUNCTION("INDIRECT(""'收支紀錄'!J""&amp;TO_TEXT(ROW()-$C$72))"),"")</f>
        <v/>
      </c>
      <c r="K1277" s="61" t="str">
        <f>IFERROR(__xludf.DUMMYFUNCTION("INDIRECT(""'收支紀錄'!K""&amp;TO_TEXT(ROW()-$C$72))"),"")</f>
        <v/>
      </c>
      <c r="L1277" s="61" t="str">
        <f>IFERROR(__xludf.DUMMYFUNCTION("INDIRECT(""'收支紀錄'!L""&amp;TO_TEXT(ROW()-$C$72))"),"")</f>
        <v/>
      </c>
      <c r="M1277" s="61" t="str">
        <f>IFERROR(__xludf.DUMMYFUNCTION("INDIRECT(""'收支紀錄'!M""&amp;TO_TEXT(ROW()-$C$72))"),"")</f>
        <v/>
      </c>
      <c r="N1277" s="61" t="str">
        <f>IFERROR(__xludf.DUMMYFUNCTION("INDIRECT(""'收支紀錄'!N""&amp;TO_TEXT(ROW()-$C$72))"),"")</f>
        <v/>
      </c>
      <c r="O1277" s="61" t="str">
        <f>IFERROR(__xludf.DUMMYFUNCTION("INDIRECT(""'收支紀錄'!O""&amp;TO_TEXT(ROW()-$C$72))"),"")</f>
        <v/>
      </c>
      <c r="P1277" s="61" t="str">
        <f>IFERROR(__xludf.DUMMYFUNCTION("INDIRECT(""'收支紀錄'!P""&amp;TO_TEXT(ROW()-$C$72))"),"")</f>
        <v/>
      </c>
      <c r="Q1277" s="61" t="str">
        <f>IFERROR(__xludf.DUMMYFUNCTION("INDIRECT(""'收支紀錄'!Q""&amp;TO_TEXT(ROW()-$C$72))"),"")</f>
        <v/>
      </c>
      <c r="R1277" s="61" t="str">
        <f>IFERROR(__xludf.DUMMYFUNCTION("INDIRECT(""'收支紀錄'!R""&amp;TO_TEXT(ROW()-$C$72))"),"")</f>
        <v/>
      </c>
      <c r="S1277" s="61" t="str">
        <f>IFERROR(__xludf.DUMMYFUNCTION("INDIRECT(""'收支紀錄'!S""&amp;TO_TEXT(ROW()-$C$72))"),"")</f>
        <v/>
      </c>
      <c r="T1277" s="61" t="str">
        <f>IFERROR(__xludf.DUMMYFUNCTION("INDIRECT(""'收支紀錄'!T""&amp;TO_TEXT(ROW()-$C$72))"),"")</f>
        <v/>
      </c>
      <c r="U1277" s="62" t="str">
        <f>IFERROR(__xludf.DUMMYFUNCTION("IF(T1277=""是"",TEXTJOIN("""", TRUE, ""$"", TO_TEXT(C1277), S1277),"""")"),"")</f>
        <v/>
      </c>
    </row>
    <row r="1278">
      <c r="A1278" s="58">
        <f>IFERROR(__xludf.DUMMYFUNCTION("INDIRECT(""'收支紀錄'!A""&amp;TO_TEXT(ROW()-$C$72))"),45970.861431157406)</f>
        <v>45970.86143</v>
      </c>
      <c r="B1278" s="59">
        <f>IFERROR(__xludf.DUMMYFUNCTION("IF(ISBLANK(D1278), """", IF(ISDATE(D1278), D1278, IF(D1278=""今天"", A1278, IF(D1278=""昨天 (-1 day)"", A1278-1, IF(D1278=""前天 (-2 days)"", A1278-2, IF(D1278=""明天 (+1 day)"", A1278+1, DATE(LEFT(D1278,4), MID(D1278,5,2), RIGHT(D1278,2))))))))"),45970.861431157406)</f>
        <v>45970.86143</v>
      </c>
      <c r="C1278" s="60">
        <f>IFERROR(__xludf.DUMMYFUNCTION("INDIRECT(""'收支紀錄'!C""&amp;TO_TEXT(ROW()-$C$72))"),919.0)</f>
        <v>919</v>
      </c>
      <c r="D1278" s="63" t="str">
        <f>IFERROR(__xludf.DUMMYFUNCTION("INDIRECT(""'收支紀錄'!D""&amp;TO_TEXT(ROW()-$C$72))"),"今天")</f>
        <v>今天</v>
      </c>
      <c r="E1278" s="61" t="str">
        <f>IFERROR(__xludf.DUMMYFUNCTION("INDIRECT(""'收支紀錄'!E""&amp;TO_TEXT(ROW()-$C$72))"),"")</f>
        <v/>
      </c>
      <c r="F1278" s="61" t="str">
        <f>IFERROR(__xludf.DUMMYFUNCTION("INDIRECT(""'收支紀錄'!F""&amp;TO_TEXT(ROW()-$C$72))"),"")</f>
        <v/>
      </c>
      <c r="G1278" s="61" t="str">
        <f>IFERROR(__xludf.DUMMYFUNCTION("INDIRECT(""'收支紀錄'!G""&amp;TO_TEXT(ROW()-$C$72))"),"")</f>
        <v/>
      </c>
      <c r="H1278" s="61" t="str">
        <f>IFERROR(__xludf.DUMMYFUNCTION("INDIRECT(""'收支紀錄'!H""&amp;TO_TEXT(ROW()-$C$72))"),"食品酒水")</f>
        <v>食品酒水</v>
      </c>
      <c r="I1278" s="61" t="str">
        <f>IFERROR(__xludf.DUMMYFUNCTION("INDIRECT(""'收支紀錄'!I""&amp;TO_TEXT(ROW()-$C$72))"),"食材")</f>
        <v>食材</v>
      </c>
      <c r="J1278" s="61" t="str">
        <f>IFERROR(__xludf.DUMMYFUNCTION("INDIRECT(""'收支紀錄'!J""&amp;TO_TEXT(ROW()-$C$72))"),"")</f>
        <v/>
      </c>
      <c r="K1278" s="61" t="str">
        <f>IFERROR(__xludf.DUMMYFUNCTION("INDIRECT(""'收支紀錄'!K""&amp;TO_TEXT(ROW()-$C$72))"),"")</f>
        <v/>
      </c>
      <c r="L1278" s="61" t="str">
        <f>IFERROR(__xludf.DUMMYFUNCTION("INDIRECT(""'收支紀錄'!L""&amp;TO_TEXT(ROW()-$C$72))"),"")</f>
        <v/>
      </c>
      <c r="M1278" s="61" t="str">
        <f>IFERROR(__xludf.DUMMYFUNCTION("INDIRECT(""'收支紀錄'!M""&amp;TO_TEXT(ROW()-$C$72))"),"")</f>
        <v/>
      </c>
      <c r="N1278" s="61" t="str">
        <f>IFERROR(__xludf.DUMMYFUNCTION("INDIRECT(""'收支紀錄'!N""&amp;TO_TEXT(ROW()-$C$72))"),"")</f>
        <v/>
      </c>
      <c r="O1278" s="61" t="str">
        <f>IFERROR(__xludf.DUMMYFUNCTION("INDIRECT(""'收支紀錄'!O""&amp;TO_TEXT(ROW()-$C$72))"),"")</f>
        <v/>
      </c>
      <c r="P1278" s="61" t="str">
        <f>IFERROR(__xludf.DUMMYFUNCTION("INDIRECT(""'收支紀錄'!P""&amp;TO_TEXT(ROW()-$C$72))"),"")</f>
        <v/>
      </c>
      <c r="Q1278" s="61" t="str">
        <f>IFERROR(__xludf.DUMMYFUNCTION("INDIRECT(""'收支紀錄'!Q""&amp;TO_TEXT(ROW()-$C$72))"),"")</f>
        <v/>
      </c>
      <c r="R1278" s="61" t="str">
        <f>IFERROR(__xludf.DUMMYFUNCTION("INDIRECT(""'收支紀錄'!R""&amp;TO_TEXT(ROW()-$C$72))"),"")</f>
        <v/>
      </c>
      <c r="S1278" s="61" t="str">
        <f>IFERROR(__xludf.DUMMYFUNCTION("INDIRECT(""'收支紀錄'!S""&amp;TO_TEXT(ROW()-$C$72))"),"")</f>
        <v/>
      </c>
      <c r="T1278" s="61" t="str">
        <f>IFERROR(__xludf.DUMMYFUNCTION("INDIRECT(""'收支紀錄'!T""&amp;TO_TEXT(ROW()-$C$72))"),"")</f>
        <v/>
      </c>
      <c r="U1278" s="62" t="str">
        <f>IFERROR(__xludf.DUMMYFUNCTION("IF(T1278=""是"",TEXTJOIN("""", TRUE, ""$"", TO_TEXT(C1278), S1278),"""")"),"")</f>
        <v/>
      </c>
    </row>
    <row r="1279">
      <c r="A1279" s="58">
        <f>IFERROR(__xludf.DUMMYFUNCTION("INDIRECT(""'收支紀錄'!A""&amp;TO_TEXT(ROW()-$C$72))"),45970.861589548615)</f>
        <v>45970.86159</v>
      </c>
      <c r="B1279" s="59">
        <f>IFERROR(__xludf.DUMMYFUNCTION("IF(ISBLANK(D1279), """", IF(ISDATE(D1279), D1279, IF(D1279=""今天"", A1279, IF(D1279=""昨天 (-1 day)"", A1279-1, IF(D1279=""前天 (-2 days)"", A1279-2, IF(D1279=""明天 (+1 day)"", A1279+1, DATE(LEFT(D1279,4), MID(D1279,5,2), RIGHT(D1279,2))))))))"),45970.861589548615)</f>
        <v>45970.86159</v>
      </c>
      <c r="C1279" s="60">
        <f>IFERROR(__xludf.DUMMYFUNCTION("INDIRECT(""'收支紀錄'!C""&amp;TO_TEXT(ROW()-$C$72))"),165.0)</f>
        <v>165</v>
      </c>
      <c r="D1279" s="63" t="str">
        <f>IFERROR(__xludf.DUMMYFUNCTION("INDIRECT(""'收支紀錄'!D""&amp;TO_TEXT(ROW()-$C$72))"),"今天")</f>
        <v>今天</v>
      </c>
      <c r="E1279" s="61" t="str">
        <f>IFERROR(__xludf.DUMMYFUNCTION("INDIRECT(""'收支紀錄'!E""&amp;TO_TEXT(ROW()-$C$72))"),"")</f>
        <v/>
      </c>
      <c r="F1279" s="61" t="str">
        <f>IFERROR(__xludf.DUMMYFUNCTION("INDIRECT(""'收支紀錄'!F""&amp;TO_TEXT(ROW()-$C$72))"),"")</f>
        <v/>
      </c>
      <c r="G1279" s="61" t="str">
        <f>IFERROR(__xludf.DUMMYFUNCTION("INDIRECT(""'收支紀錄'!G""&amp;TO_TEXT(ROW()-$C$72))"),"")</f>
        <v/>
      </c>
      <c r="H1279" s="61" t="str">
        <f>IFERROR(__xludf.DUMMYFUNCTION("INDIRECT(""'收支紀錄'!H""&amp;TO_TEXT(ROW()-$C$72))"),"食品酒水")</f>
        <v>食品酒水</v>
      </c>
      <c r="I1279" s="61" t="str">
        <f>IFERROR(__xludf.DUMMYFUNCTION("INDIRECT(""'收支紀錄'!I""&amp;TO_TEXT(ROW()-$C$72))"),"午餐")</f>
        <v>午餐</v>
      </c>
      <c r="J1279" s="61" t="str">
        <f>IFERROR(__xludf.DUMMYFUNCTION("INDIRECT(""'收支紀錄'!J""&amp;TO_TEXT(ROW()-$C$72))"),"")</f>
        <v/>
      </c>
      <c r="K1279" s="61" t="str">
        <f>IFERROR(__xludf.DUMMYFUNCTION("INDIRECT(""'收支紀錄'!K""&amp;TO_TEXT(ROW()-$C$72))"),"")</f>
        <v/>
      </c>
      <c r="L1279" s="61" t="str">
        <f>IFERROR(__xludf.DUMMYFUNCTION("INDIRECT(""'收支紀錄'!L""&amp;TO_TEXT(ROW()-$C$72))"),"")</f>
        <v/>
      </c>
      <c r="M1279" s="61" t="str">
        <f>IFERROR(__xludf.DUMMYFUNCTION("INDIRECT(""'收支紀錄'!M""&amp;TO_TEXT(ROW()-$C$72))"),"")</f>
        <v/>
      </c>
      <c r="N1279" s="61" t="str">
        <f>IFERROR(__xludf.DUMMYFUNCTION("INDIRECT(""'收支紀錄'!N""&amp;TO_TEXT(ROW()-$C$72))"),"")</f>
        <v/>
      </c>
      <c r="O1279" s="61" t="str">
        <f>IFERROR(__xludf.DUMMYFUNCTION("INDIRECT(""'收支紀錄'!O""&amp;TO_TEXT(ROW()-$C$72))"),"")</f>
        <v/>
      </c>
      <c r="P1279" s="61" t="str">
        <f>IFERROR(__xludf.DUMMYFUNCTION("INDIRECT(""'收支紀錄'!P""&amp;TO_TEXT(ROW()-$C$72))"),"")</f>
        <v/>
      </c>
      <c r="Q1279" s="61" t="str">
        <f>IFERROR(__xludf.DUMMYFUNCTION("INDIRECT(""'收支紀錄'!Q""&amp;TO_TEXT(ROW()-$C$72))"),"")</f>
        <v/>
      </c>
      <c r="R1279" s="61" t="str">
        <f>IFERROR(__xludf.DUMMYFUNCTION("INDIRECT(""'收支紀錄'!R""&amp;TO_TEXT(ROW()-$C$72))"),"")</f>
        <v/>
      </c>
      <c r="S1279" s="61" t="str">
        <f>IFERROR(__xludf.DUMMYFUNCTION("INDIRECT(""'收支紀錄'!S""&amp;TO_TEXT(ROW()-$C$72))"),"")</f>
        <v/>
      </c>
      <c r="T1279" s="61" t="str">
        <f>IFERROR(__xludf.DUMMYFUNCTION("INDIRECT(""'收支紀錄'!T""&amp;TO_TEXT(ROW()-$C$72))"),"")</f>
        <v/>
      </c>
      <c r="U1279" s="62" t="str">
        <f>IFERROR(__xludf.DUMMYFUNCTION("IF(T1279=""是"",TEXTJOIN("""", TRUE, ""$"", TO_TEXT(C1279), S1279),"""")"),"")</f>
        <v/>
      </c>
    </row>
    <row r="1280">
      <c r="A1280" s="58">
        <f>IFERROR(__xludf.DUMMYFUNCTION("INDIRECT(""'收支紀錄'!A""&amp;TO_TEXT(ROW()-$C$72))"),45971.52154103009)</f>
        <v>45971.52154</v>
      </c>
      <c r="B1280" s="59">
        <f>IFERROR(__xludf.DUMMYFUNCTION("IF(ISBLANK(D1280), """", IF(ISDATE(D1280), D1280, IF(D1280=""今天"", A1280, IF(D1280=""昨天 (-1 day)"", A1280-1, IF(D1280=""前天 (-2 days)"", A1280-2, IF(D1280=""明天 (+1 day)"", A1280+1, DATE(LEFT(D1280,4), MID(D1280,5,2), RIGHT(D1280,2))))))))"),45971.52154103009)</f>
        <v>45971.52154</v>
      </c>
      <c r="C1280" s="60">
        <f>IFERROR(__xludf.DUMMYFUNCTION("INDIRECT(""'收支紀錄'!C""&amp;TO_TEXT(ROW()-$C$72))"),220.0)</f>
        <v>220</v>
      </c>
      <c r="D1280" s="63" t="str">
        <f>IFERROR(__xludf.DUMMYFUNCTION("INDIRECT(""'收支紀錄'!D""&amp;TO_TEXT(ROW()-$C$72))"),"今天")</f>
        <v>今天</v>
      </c>
      <c r="E1280" s="61" t="str">
        <f>IFERROR(__xludf.DUMMYFUNCTION("INDIRECT(""'收支紀錄'!E""&amp;TO_TEXT(ROW()-$C$72))"),"")</f>
        <v/>
      </c>
      <c r="F1280" s="61" t="str">
        <f>IFERROR(__xludf.DUMMYFUNCTION("INDIRECT(""'收支紀錄'!F""&amp;TO_TEXT(ROW()-$C$72))"),"")</f>
        <v/>
      </c>
      <c r="G1280" s="61" t="str">
        <f>IFERROR(__xludf.DUMMYFUNCTION("INDIRECT(""'收支紀錄'!G""&amp;TO_TEXT(ROW()-$C$72))"),"")</f>
        <v/>
      </c>
      <c r="H1280" s="61" t="str">
        <f>IFERROR(__xludf.DUMMYFUNCTION("INDIRECT(""'收支紀錄'!H""&amp;TO_TEXT(ROW()-$C$72))"),"日常生活")</f>
        <v>日常生活</v>
      </c>
      <c r="I1280" s="61" t="str">
        <f>IFERROR(__xludf.DUMMYFUNCTION("INDIRECT(""'收支紀錄'!I""&amp;TO_TEXT(ROW()-$C$72))"),"")</f>
        <v/>
      </c>
      <c r="J1280" s="61" t="str">
        <f>IFERROR(__xludf.DUMMYFUNCTION("INDIRECT(""'收支紀錄'!J""&amp;TO_TEXT(ROW()-$C$72))"),"日常用品")</f>
        <v>日常用品</v>
      </c>
      <c r="K1280" s="61" t="str">
        <f>IFERROR(__xludf.DUMMYFUNCTION("INDIRECT(""'收支紀錄'!K""&amp;TO_TEXT(ROW()-$C$72))"),"")</f>
        <v/>
      </c>
      <c r="L1280" s="61" t="str">
        <f>IFERROR(__xludf.DUMMYFUNCTION("INDIRECT(""'收支紀錄'!L""&amp;TO_TEXT(ROW()-$C$72))"),"")</f>
        <v/>
      </c>
      <c r="M1280" s="61" t="str">
        <f>IFERROR(__xludf.DUMMYFUNCTION("INDIRECT(""'收支紀錄'!M""&amp;TO_TEXT(ROW()-$C$72))"),"")</f>
        <v/>
      </c>
      <c r="N1280" s="61" t="str">
        <f>IFERROR(__xludf.DUMMYFUNCTION("INDIRECT(""'收支紀錄'!N""&amp;TO_TEXT(ROW()-$C$72))"),"")</f>
        <v/>
      </c>
      <c r="O1280" s="61" t="str">
        <f>IFERROR(__xludf.DUMMYFUNCTION("INDIRECT(""'收支紀錄'!O""&amp;TO_TEXT(ROW()-$C$72))"),"")</f>
        <v/>
      </c>
      <c r="P1280" s="61" t="str">
        <f>IFERROR(__xludf.DUMMYFUNCTION("INDIRECT(""'收支紀錄'!P""&amp;TO_TEXT(ROW()-$C$72))"),"")</f>
        <v/>
      </c>
      <c r="Q1280" s="61" t="str">
        <f>IFERROR(__xludf.DUMMYFUNCTION("INDIRECT(""'收支紀錄'!Q""&amp;TO_TEXT(ROW()-$C$72))"),"")</f>
        <v/>
      </c>
      <c r="R1280" s="61" t="str">
        <f>IFERROR(__xludf.DUMMYFUNCTION("INDIRECT(""'收支紀錄'!R""&amp;TO_TEXT(ROW()-$C$72))"),"")</f>
        <v/>
      </c>
      <c r="S1280" s="61" t="str">
        <f>IFERROR(__xludf.DUMMYFUNCTION("INDIRECT(""'收支紀錄'!S""&amp;TO_TEXT(ROW()-$C$72))"),"")</f>
        <v/>
      </c>
      <c r="T1280" s="61" t="str">
        <f>IFERROR(__xludf.DUMMYFUNCTION("INDIRECT(""'收支紀錄'!T""&amp;TO_TEXT(ROW()-$C$72))"),"")</f>
        <v/>
      </c>
      <c r="U1280" s="62" t="str">
        <f>IFERROR(__xludf.DUMMYFUNCTION("IF(T1280=""是"",TEXTJOIN("""", TRUE, ""$"", TO_TEXT(C1280), S1280),"""")"),"")</f>
        <v/>
      </c>
    </row>
    <row r="1281">
      <c r="A1281" s="58">
        <f>IFERROR(__xludf.DUMMYFUNCTION("INDIRECT(""'收支紀錄'!A""&amp;TO_TEXT(ROW()-$C$72))"),45971.85133605324)</f>
        <v>45971.85134</v>
      </c>
      <c r="B1281" s="59">
        <f>IFERROR(__xludf.DUMMYFUNCTION("IF(ISBLANK(D1281), """", IF(ISDATE(D1281), D1281, IF(D1281=""今天"", A1281, IF(D1281=""昨天 (-1 day)"", A1281-1, IF(D1281=""前天 (-2 days)"", A1281-2, IF(D1281=""明天 (+1 day)"", A1281+1, DATE(LEFT(D1281,4), MID(D1281,5,2), RIGHT(D1281,2))))))))"),45971.85133605324)</f>
        <v>45971.85134</v>
      </c>
      <c r="C1281" s="60">
        <f>IFERROR(__xludf.DUMMYFUNCTION("INDIRECT(""'收支紀錄'!C""&amp;TO_TEXT(ROW()-$C$72))"),92.0)</f>
        <v>92</v>
      </c>
      <c r="D1281" s="63" t="str">
        <f>IFERROR(__xludf.DUMMYFUNCTION("INDIRECT(""'收支紀錄'!D""&amp;TO_TEXT(ROW()-$C$72))"),"今天")</f>
        <v>今天</v>
      </c>
      <c r="E1281" s="61" t="str">
        <f>IFERROR(__xludf.DUMMYFUNCTION("INDIRECT(""'收支紀錄'!E""&amp;TO_TEXT(ROW()-$C$72))"),"")</f>
        <v/>
      </c>
      <c r="F1281" s="61" t="str">
        <f>IFERROR(__xludf.DUMMYFUNCTION("INDIRECT(""'收支紀錄'!F""&amp;TO_TEXT(ROW()-$C$72))"),"")</f>
        <v/>
      </c>
      <c r="G1281" s="61" t="str">
        <f>IFERROR(__xludf.DUMMYFUNCTION("INDIRECT(""'收支紀錄'!G""&amp;TO_TEXT(ROW()-$C$72))"),"")</f>
        <v/>
      </c>
      <c r="H1281" s="61" t="str">
        <f>IFERROR(__xludf.DUMMYFUNCTION("INDIRECT(""'收支紀錄'!H""&amp;TO_TEXT(ROW()-$C$72))"),"行車交通")</f>
        <v>行車交通</v>
      </c>
      <c r="I1281" s="61" t="str">
        <f>IFERROR(__xludf.DUMMYFUNCTION("INDIRECT(""'收支紀錄'!I""&amp;TO_TEXT(ROW()-$C$72))"),"")</f>
        <v/>
      </c>
      <c r="J1281" s="61" t="str">
        <f>IFERROR(__xludf.DUMMYFUNCTION("INDIRECT(""'收支紀錄'!J""&amp;TO_TEXT(ROW()-$C$72))"),"")</f>
        <v/>
      </c>
      <c r="K1281" s="61" t="str">
        <f>IFERROR(__xludf.DUMMYFUNCTION("INDIRECT(""'收支紀錄'!K""&amp;TO_TEXT(ROW()-$C$72))"),"")</f>
        <v/>
      </c>
      <c r="L1281" s="61" t="str">
        <f>IFERROR(__xludf.DUMMYFUNCTION("INDIRECT(""'收支紀錄'!L""&amp;TO_TEXT(ROW()-$C$72))"),"加油")</f>
        <v>加油</v>
      </c>
      <c r="M1281" s="61" t="str">
        <f>IFERROR(__xludf.DUMMYFUNCTION("INDIRECT(""'收支紀錄'!M""&amp;TO_TEXT(ROW()-$C$72))"),"")</f>
        <v/>
      </c>
      <c r="N1281" s="61" t="str">
        <f>IFERROR(__xludf.DUMMYFUNCTION("INDIRECT(""'收支紀錄'!N""&amp;TO_TEXT(ROW()-$C$72))"),"")</f>
        <v/>
      </c>
      <c r="O1281" s="61" t="str">
        <f>IFERROR(__xludf.DUMMYFUNCTION("INDIRECT(""'收支紀錄'!O""&amp;TO_TEXT(ROW()-$C$72))"),"")</f>
        <v/>
      </c>
      <c r="P1281" s="61" t="str">
        <f>IFERROR(__xludf.DUMMYFUNCTION("INDIRECT(""'收支紀錄'!P""&amp;TO_TEXT(ROW()-$C$72))"),"")</f>
        <v/>
      </c>
      <c r="Q1281" s="61" t="str">
        <f>IFERROR(__xludf.DUMMYFUNCTION("INDIRECT(""'收支紀錄'!Q""&amp;TO_TEXT(ROW()-$C$72))"),"")</f>
        <v/>
      </c>
      <c r="R1281" s="61" t="str">
        <f>IFERROR(__xludf.DUMMYFUNCTION("INDIRECT(""'收支紀錄'!R""&amp;TO_TEXT(ROW()-$C$72))"),"")</f>
        <v/>
      </c>
      <c r="S1281" s="61" t="str">
        <f>IFERROR(__xludf.DUMMYFUNCTION("INDIRECT(""'收支紀錄'!S""&amp;TO_TEXT(ROW()-$C$72))"),"")</f>
        <v/>
      </c>
      <c r="T1281" s="61" t="str">
        <f>IFERROR(__xludf.DUMMYFUNCTION("INDIRECT(""'收支紀錄'!T""&amp;TO_TEXT(ROW()-$C$72))"),"")</f>
        <v/>
      </c>
      <c r="U1281" s="62" t="str">
        <f>IFERROR(__xludf.DUMMYFUNCTION("IF(T1281=""是"",TEXTJOIN("""", TRUE, ""$"", TO_TEXT(C1281), S1281),"""")"),"")</f>
        <v/>
      </c>
    </row>
    <row r="1282">
      <c r="A1282" s="58">
        <f>IFERROR(__xludf.DUMMYFUNCTION("INDIRECT(""'收支紀錄'!A""&amp;TO_TEXT(ROW()-$C$72))"),45971.89787759259)</f>
        <v>45971.89788</v>
      </c>
      <c r="B1282" s="59">
        <f>IFERROR(__xludf.DUMMYFUNCTION("IF(ISBLANK(D1282), """", IF(ISDATE(D1282), D1282, IF(D1282=""今天"", A1282, IF(D1282=""昨天 (-1 day)"", A1282-1, IF(D1282=""前天 (-2 days)"", A1282-2, IF(D1282=""明天 (+1 day)"", A1282+1, DATE(LEFT(D1282,4), MID(D1282,5,2), RIGHT(D1282,2))))))))"),45971.89787759259)</f>
        <v>45971.89788</v>
      </c>
      <c r="C1282" s="60">
        <f>IFERROR(__xludf.DUMMYFUNCTION("INDIRECT(""'收支紀錄'!C""&amp;TO_TEXT(ROW()-$C$72))"),223.0)</f>
        <v>223</v>
      </c>
      <c r="D1282" s="63" t="str">
        <f>IFERROR(__xludf.DUMMYFUNCTION("INDIRECT(""'收支紀錄'!D""&amp;TO_TEXT(ROW()-$C$72))"),"今天")</f>
        <v>今天</v>
      </c>
      <c r="E1282" s="61" t="str">
        <f>IFERROR(__xludf.DUMMYFUNCTION("INDIRECT(""'收支紀錄'!E""&amp;TO_TEXT(ROW()-$C$72))"),"")</f>
        <v/>
      </c>
      <c r="F1282" s="61" t="str">
        <f>IFERROR(__xludf.DUMMYFUNCTION("INDIRECT(""'收支紀錄'!F""&amp;TO_TEXT(ROW()-$C$72))"),"")</f>
        <v/>
      </c>
      <c r="G1282" s="61" t="str">
        <f>IFERROR(__xludf.DUMMYFUNCTION("INDIRECT(""'收支紀錄'!G""&amp;TO_TEXT(ROW()-$C$72))"),"")</f>
        <v/>
      </c>
      <c r="H1282" s="61" t="str">
        <f>IFERROR(__xludf.DUMMYFUNCTION("INDIRECT(""'收支紀錄'!H""&amp;TO_TEXT(ROW()-$C$72))"),"食品酒水")</f>
        <v>食品酒水</v>
      </c>
      <c r="I1282" s="61" t="str">
        <f>IFERROR(__xludf.DUMMYFUNCTION("INDIRECT(""'收支紀錄'!I""&amp;TO_TEXT(ROW()-$C$72))"),"食材")</f>
        <v>食材</v>
      </c>
      <c r="J1282" s="61" t="str">
        <f>IFERROR(__xludf.DUMMYFUNCTION("INDIRECT(""'收支紀錄'!J""&amp;TO_TEXT(ROW()-$C$72))"),"")</f>
        <v/>
      </c>
      <c r="K1282" s="61" t="str">
        <f>IFERROR(__xludf.DUMMYFUNCTION("INDIRECT(""'收支紀錄'!K""&amp;TO_TEXT(ROW()-$C$72))"),"")</f>
        <v/>
      </c>
      <c r="L1282" s="61" t="str">
        <f>IFERROR(__xludf.DUMMYFUNCTION("INDIRECT(""'收支紀錄'!L""&amp;TO_TEXT(ROW()-$C$72))"),"")</f>
        <v/>
      </c>
      <c r="M1282" s="61" t="str">
        <f>IFERROR(__xludf.DUMMYFUNCTION("INDIRECT(""'收支紀錄'!M""&amp;TO_TEXT(ROW()-$C$72))"),"")</f>
        <v/>
      </c>
      <c r="N1282" s="61" t="str">
        <f>IFERROR(__xludf.DUMMYFUNCTION("INDIRECT(""'收支紀錄'!N""&amp;TO_TEXT(ROW()-$C$72))"),"")</f>
        <v/>
      </c>
      <c r="O1282" s="61" t="str">
        <f>IFERROR(__xludf.DUMMYFUNCTION("INDIRECT(""'收支紀錄'!O""&amp;TO_TEXT(ROW()-$C$72))"),"")</f>
        <v/>
      </c>
      <c r="P1282" s="61" t="str">
        <f>IFERROR(__xludf.DUMMYFUNCTION("INDIRECT(""'收支紀錄'!P""&amp;TO_TEXT(ROW()-$C$72))"),"")</f>
        <v/>
      </c>
      <c r="Q1282" s="61" t="str">
        <f>IFERROR(__xludf.DUMMYFUNCTION("INDIRECT(""'收支紀錄'!Q""&amp;TO_TEXT(ROW()-$C$72))"),"")</f>
        <v/>
      </c>
      <c r="R1282" s="61" t="str">
        <f>IFERROR(__xludf.DUMMYFUNCTION("INDIRECT(""'收支紀錄'!R""&amp;TO_TEXT(ROW()-$C$72))"),"")</f>
        <v/>
      </c>
      <c r="S1282" s="61" t="str">
        <f>IFERROR(__xludf.DUMMYFUNCTION("INDIRECT(""'收支紀錄'!S""&amp;TO_TEXT(ROW()-$C$72))"),"")</f>
        <v/>
      </c>
      <c r="T1282" s="61" t="str">
        <f>IFERROR(__xludf.DUMMYFUNCTION("INDIRECT(""'收支紀錄'!T""&amp;TO_TEXT(ROW()-$C$72))"),"")</f>
        <v/>
      </c>
      <c r="U1282" s="62" t="str">
        <f>IFERROR(__xludf.DUMMYFUNCTION("IF(T1282=""是"",TEXTJOIN("""", TRUE, ""$"", TO_TEXT(C1282), S1282),"""")"),"")</f>
        <v/>
      </c>
    </row>
    <row r="1283">
      <c r="A1283" s="58">
        <f>IFERROR(__xludf.DUMMYFUNCTION("INDIRECT(""'收支紀錄'!A""&amp;TO_TEXT(ROW()-$C$72))"),45972.796830057865)</f>
        <v>45972.79683</v>
      </c>
      <c r="B1283" s="59">
        <f>IFERROR(__xludf.DUMMYFUNCTION("IF(ISBLANK(D1283), """", IF(ISDATE(D1283), D1283, IF(D1283=""今天"", A1283, IF(D1283=""昨天 (-1 day)"", A1283-1, IF(D1283=""前天 (-2 days)"", A1283-2, IF(D1283=""明天 (+1 day)"", A1283+1, DATE(LEFT(D1283,4), MID(D1283,5,2), RIGHT(D1283,2))))))))"),45972.796830057865)</f>
        <v>45972.79683</v>
      </c>
      <c r="C1283" s="60">
        <f>IFERROR(__xludf.DUMMYFUNCTION("INDIRECT(""'收支紀錄'!C""&amp;TO_TEXT(ROW()-$C$72))"),175.0)</f>
        <v>175</v>
      </c>
      <c r="D1283" s="63" t="str">
        <f>IFERROR(__xludf.DUMMYFUNCTION("INDIRECT(""'收支紀錄'!D""&amp;TO_TEXT(ROW()-$C$72))"),"今天")</f>
        <v>今天</v>
      </c>
      <c r="E1283" s="61" t="str">
        <f>IFERROR(__xludf.DUMMYFUNCTION("INDIRECT(""'收支紀錄'!E""&amp;TO_TEXT(ROW()-$C$72))"),"")</f>
        <v/>
      </c>
      <c r="F1283" s="61" t="str">
        <f>IFERROR(__xludf.DUMMYFUNCTION("INDIRECT(""'收支紀錄'!F""&amp;TO_TEXT(ROW()-$C$72))"),"")</f>
        <v/>
      </c>
      <c r="G1283" s="61" t="str">
        <f>IFERROR(__xludf.DUMMYFUNCTION("INDIRECT(""'收支紀錄'!G""&amp;TO_TEXT(ROW()-$C$72))"),"")</f>
        <v/>
      </c>
      <c r="H1283" s="61" t="str">
        <f>IFERROR(__xludf.DUMMYFUNCTION("INDIRECT(""'收支紀錄'!H""&amp;TO_TEXT(ROW()-$C$72))"),"食品酒水")</f>
        <v>食品酒水</v>
      </c>
      <c r="I1283" s="61" t="str">
        <f>IFERROR(__xludf.DUMMYFUNCTION("INDIRECT(""'收支紀錄'!I""&amp;TO_TEXT(ROW()-$C$72))"),"晚餐")</f>
        <v>晚餐</v>
      </c>
      <c r="J1283" s="61" t="str">
        <f>IFERROR(__xludf.DUMMYFUNCTION("INDIRECT(""'收支紀錄'!J""&amp;TO_TEXT(ROW()-$C$72))"),"")</f>
        <v/>
      </c>
      <c r="K1283" s="61" t="str">
        <f>IFERROR(__xludf.DUMMYFUNCTION("INDIRECT(""'收支紀錄'!K""&amp;TO_TEXT(ROW()-$C$72))"),"")</f>
        <v/>
      </c>
      <c r="L1283" s="61" t="str">
        <f>IFERROR(__xludf.DUMMYFUNCTION("INDIRECT(""'收支紀錄'!L""&amp;TO_TEXT(ROW()-$C$72))"),"")</f>
        <v/>
      </c>
      <c r="M1283" s="61" t="str">
        <f>IFERROR(__xludf.DUMMYFUNCTION("INDIRECT(""'收支紀錄'!M""&amp;TO_TEXT(ROW()-$C$72))"),"")</f>
        <v/>
      </c>
      <c r="N1283" s="61" t="str">
        <f>IFERROR(__xludf.DUMMYFUNCTION("INDIRECT(""'收支紀錄'!N""&amp;TO_TEXT(ROW()-$C$72))"),"")</f>
        <v/>
      </c>
      <c r="O1283" s="61" t="str">
        <f>IFERROR(__xludf.DUMMYFUNCTION("INDIRECT(""'收支紀錄'!O""&amp;TO_TEXT(ROW()-$C$72))"),"")</f>
        <v/>
      </c>
      <c r="P1283" s="61" t="str">
        <f>IFERROR(__xludf.DUMMYFUNCTION("INDIRECT(""'收支紀錄'!P""&amp;TO_TEXT(ROW()-$C$72))"),"")</f>
        <v/>
      </c>
      <c r="Q1283" s="61" t="str">
        <f>IFERROR(__xludf.DUMMYFUNCTION("INDIRECT(""'收支紀錄'!Q""&amp;TO_TEXT(ROW()-$C$72))"),"")</f>
        <v/>
      </c>
      <c r="R1283" s="61" t="str">
        <f>IFERROR(__xludf.DUMMYFUNCTION("INDIRECT(""'收支紀錄'!R""&amp;TO_TEXT(ROW()-$C$72))"),"")</f>
        <v/>
      </c>
      <c r="S1283" s="61" t="str">
        <f>IFERROR(__xludf.DUMMYFUNCTION("INDIRECT(""'收支紀錄'!S""&amp;TO_TEXT(ROW()-$C$72))"),"")</f>
        <v/>
      </c>
      <c r="T1283" s="61" t="str">
        <f>IFERROR(__xludf.DUMMYFUNCTION("INDIRECT(""'收支紀錄'!T""&amp;TO_TEXT(ROW()-$C$72))"),"")</f>
        <v/>
      </c>
      <c r="U1283" s="62" t="str">
        <f>IFERROR(__xludf.DUMMYFUNCTION("IF(T1283=""是"",TEXTJOIN("""", TRUE, ""$"", TO_TEXT(C1283), S1283),"""")"),"")</f>
        <v/>
      </c>
    </row>
    <row r="1284">
      <c r="A1284" s="58">
        <f>IFERROR(__xludf.DUMMYFUNCTION("INDIRECT(""'收支紀錄'!A""&amp;TO_TEXT(ROW()-$C$72))"),45972.974328275464)</f>
        <v>45972.97433</v>
      </c>
      <c r="B1284" s="59">
        <f>IFERROR(__xludf.DUMMYFUNCTION("IF(ISBLANK(D1284), """", IF(ISDATE(D1284), D1284, IF(D1284=""今天"", A1284, IF(D1284=""昨天 (-1 day)"", A1284-1, IF(D1284=""前天 (-2 days)"", A1284-2, IF(D1284=""明天 (+1 day)"", A1284+1, DATE(LEFT(D1284,4), MID(D1284,5,2), RIGHT(D1284,2))))))))"),45972.974328275464)</f>
        <v>45972.97433</v>
      </c>
      <c r="C1284" s="60">
        <f>IFERROR(__xludf.DUMMYFUNCTION("INDIRECT(""'收支紀錄'!C""&amp;TO_TEXT(ROW()-$C$72))"),699.0)</f>
        <v>699</v>
      </c>
      <c r="D1284" s="63" t="str">
        <f>IFERROR(__xludf.DUMMYFUNCTION("INDIRECT(""'收支紀錄'!D""&amp;TO_TEXT(ROW()-$C$72))"),"今天")</f>
        <v>今天</v>
      </c>
      <c r="E1284" s="61" t="str">
        <f>IFERROR(__xludf.DUMMYFUNCTION("INDIRECT(""'收支紀錄'!E""&amp;TO_TEXT(ROW()-$C$72))"),"")</f>
        <v/>
      </c>
      <c r="F1284" s="61" t="str">
        <f>IFERROR(__xludf.DUMMYFUNCTION("INDIRECT(""'收支紀錄'!F""&amp;TO_TEXT(ROW()-$C$72))"),"")</f>
        <v/>
      </c>
      <c r="G1284" s="61" t="str">
        <f>IFERROR(__xludf.DUMMYFUNCTION("INDIRECT(""'收支紀錄'!G""&amp;TO_TEXT(ROW()-$C$72))"),"")</f>
        <v/>
      </c>
      <c r="H1284" s="61" t="str">
        <f>IFERROR(__xludf.DUMMYFUNCTION("INDIRECT(""'收支紀錄'!H""&amp;TO_TEXT(ROW()-$C$72))"),"行車交通")</f>
        <v>行車交通</v>
      </c>
      <c r="I1284" s="61" t="str">
        <f>IFERROR(__xludf.DUMMYFUNCTION("INDIRECT(""'收支紀錄'!I""&amp;TO_TEXT(ROW()-$C$72))"),"")</f>
        <v/>
      </c>
      <c r="J1284" s="61" t="str">
        <f>IFERROR(__xludf.DUMMYFUNCTION("INDIRECT(""'收支紀錄'!J""&amp;TO_TEXT(ROW()-$C$72))"),"")</f>
        <v/>
      </c>
      <c r="K1284" s="61" t="str">
        <f>IFERROR(__xludf.DUMMYFUNCTION("INDIRECT(""'收支紀錄'!K""&amp;TO_TEXT(ROW()-$C$72))"),"")</f>
        <v/>
      </c>
      <c r="L1284" s="61" t="str">
        <f>IFERROR(__xludf.DUMMYFUNCTION("INDIRECT(""'收支紀錄'!L""&amp;TO_TEXT(ROW()-$C$72))"),"捷運費")</f>
        <v>捷運費</v>
      </c>
      <c r="M1284" s="61" t="str">
        <f>IFERROR(__xludf.DUMMYFUNCTION("INDIRECT(""'收支紀錄'!M""&amp;TO_TEXT(ROW()-$C$72))"),"")</f>
        <v/>
      </c>
      <c r="N1284" s="61" t="str">
        <f>IFERROR(__xludf.DUMMYFUNCTION("INDIRECT(""'收支紀錄'!N""&amp;TO_TEXT(ROW()-$C$72))"),"")</f>
        <v/>
      </c>
      <c r="O1284" s="61" t="str">
        <f>IFERROR(__xludf.DUMMYFUNCTION("INDIRECT(""'收支紀錄'!O""&amp;TO_TEXT(ROW()-$C$72))"),"")</f>
        <v/>
      </c>
      <c r="P1284" s="61" t="str">
        <f>IFERROR(__xludf.DUMMYFUNCTION("INDIRECT(""'收支紀錄'!P""&amp;TO_TEXT(ROW()-$C$72))"),"")</f>
        <v/>
      </c>
      <c r="Q1284" s="61" t="str">
        <f>IFERROR(__xludf.DUMMYFUNCTION("INDIRECT(""'收支紀錄'!Q""&amp;TO_TEXT(ROW()-$C$72))"),"")</f>
        <v/>
      </c>
      <c r="R1284" s="61" t="str">
        <f>IFERROR(__xludf.DUMMYFUNCTION("INDIRECT(""'收支紀錄'!R""&amp;TO_TEXT(ROW()-$C$72))"),"")</f>
        <v/>
      </c>
      <c r="S1284" s="61" t="str">
        <f>IFERROR(__xludf.DUMMYFUNCTION("INDIRECT(""'收支紀錄'!S""&amp;TO_TEXT(ROW()-$C$72))"),"")</f>
        <v/>
      </c>
      <c r="T1284" s="61" t="str">
        <f>IFERROR(__xludf.DUMMYFUNCTION("INDIRECT(""'收支紀錄'!T""&amp;TO_TEXT(ROW()-$C$72))"),"")</f>
        <v/>
      </c>
      <c r="U1284" s="62" t="str">
        <f>IFERROR(__xludf.DUMMYFUNCTION("IF(T1284=""是"",TEXTJOIN("""", TRUE, ""$"", TO_TEXT(C1284), S1284),"""")"),"")</f>
        <v/>
      </c>
    </row>
    <row r="1285">
      <c r="A1285" s="58">
        <f>IFERROR(__xludf.DUMMYFUNCTION("INDIRECT(""'收支紀錄'!A""&amp;TO_TEXT(ROW()-$C$72))"),45973.545735798616)</f>
        <v>45973.54574</v>
      </c>
      <c r="B1285" s="59">
        <f>IFERROR(__xludf.DUMMYFUNCTION("IF(ISBLANK(D1285), """", IF(ISDATE(D1285), D1285, IF(D1285=""今天"", A1285, IF(D1285=""昨天 (-1 day)"", A1285-1, IF(D1285=""前天 (-2 days)"", A1285-2, IF(D1285=""明天 (+1 day)"", A1285+1, DATE(LEFT(D1285,4), MID(D1285,5,2), RIGHT(D1285,2))))))))"),45973.545735798616)</f>
        <v>45973.54574</v>
      </c>
      <c r="C1285" s="60">
        <f>IFERROR(__xludf.DUMMYFUNCTION("INDIRECT(""'收支紀錄'!C""&amp;TO_TEXT(ROW()-$C$72))"),200.0)</f>
        <v>200</v>
      </c>
      <c r="D1285" s="63" t="str">
        <f>IFERROR(__xludf.DUMMYFUNCTION("INDIRECT(""'收支紀錄'!D""&amp;TO_TEXT(ROW()-$C$72))"),"今天")</f>
        <v>今天</v>
      </c>
      <c r="E1285" s="61" t="str">
        <f>IFERROR(__xludf.DUMMYFUNCTION("INDIRECT(""'收支紀錄'!E""&amp;TO_TEXT(ROW()-$C$72))"),"")</f>
        <v/>
      </c>
      <c r="F1285" s="61" t="str">
        <f>IFERROR(__xludf.DUMMYFUNCTION("INDIRECT(""'收支紀錄'!F""&amp;TO_TEXT(ROW()-$C$72))"),"")</f>
        <v/>
      </c>
      <c r="G1285" s="61" t="str">
        <f>IFERROR(__xludf.DUMMYFUNCTION("INDIRECT(""'收支紀錄'!G""&amp;TO_TEXT(ROW()-$C$72))"),"")</f>
        <v/>
      </c>
      <c r="H1285" s="61" t="str">
        <f>IFERROR(__xludf.DUMMYFUNCTION("INDIRECT(""'收支紀錄'!H""&amp;TO_TEXT(ROW()-$C$72))"),"食品酒水")</f>
        <v>食品酒水</v>
      </c>
      <c r="I1285" s="61" t="str">
        <f>IFERROR(__xludf.DUMMYFUNCTION("INDIRECT(""'收支紀錄'!I""&amp;TO_TEXT(ROW()-$C$72))"),"早餐")</f>
        <v>早餐</v>
      </c>
      <c r="J1285" s="61" t="str">
        <f>IFERROR(__xludf.DUMMYFUNCTION("INDIRECT(""'收支紀錄'!J""&amp;TO_TEXT(ROW()-$C$72))"),"")</f>
        <v/>
      </c>
      <c r="K1285" s="61" t="str">
        <f>IFERROR(__xludf.DUMMYFUNCTION("INDIRECT(""'收支紀錄'!K""&amp;TO_TEXT(ROW()-$C$72))"),"")</f>
        <v/>
      </c>
      <c r="L1285" s="61" t="str">
        <f>IFERROR(__xludf.DUMMYFUNCTION("INDIRECT(""'收支紀錄'!L""&amp;TO_TEXT(ROW()-$C$72))"),"")</f>
        <v/>
      </c>
      <c r="M1285" s="61" t="str">
        <f>IFERROR(__xludf.DUMMYFUNCTION("INDIRECT(""'收支紀錄'!M""&amp;TO_TEXT(ROW()-$C$72))"),"")</f>
        <v/>
      </c>
      <c r="N1285" s="61" t="str">
        <f>IFERROR(__xludf.DUMMYFUNCTION("INDIRECT(""'收支紀錄'!N""&amp;TO_TEXT(ROW()-$C$72))"),"")</f>
        <v/>
      </c>
      <c r="O1285" s="61" t="str">
        <f>IFERROR(__xludf.DUMMYFUNCTION("INDIRECT(""'收支紀錄'!O""&amp;TO_TEXT(ROW()-$C$72))"),"")</f>
        <v/>
      </c>
      <c r="P1285" s="61" t="str">
        <f>IFERROR(__xludf.DUMMYFUNCTION("INDIRECT(""'收支紀錄'!P""&amp;TO_TEXT(ROW()-$C$72))"),"")</f>
        <v/>
      </c>
      <c r="Q1285" s="61" t="str">
        <f>IFERROR(__xludf.DUMMYFUNCTION("INDIRECT(""'收支紀錄'!Q""&amp;TO_TEXT(ROW()-$C$72))"),"")</f>
        <v/>
      </c>
      <c r="R1285" s="61" t="str">
        <f>IFERROR(__xludf.DUMMYFUNCTION("INDIRECT(""'收支紀錄'!R""&amp;TO_TEXT(ROW()-$C$72))"),"")</f>
        <v/>
      </c>
      <c r="S1285" s="61" t="str">
        <f>IFERROR(__xludf.DUMMYFUNCTION("INDIRECT(""'收支紀錄'!S""&amp;TO_TEXT(ROW()-$C$72))"),"")</f>
        <v/>
      </c>
      <c r="T1285" s="61" t="str">
        <f>IFERROR(__xludf.DUMMYFUNCTION("INDIRECT(""'收支紀錄'!T""&amp;TO_TEXT(ROW()-$C$72))"),"")</f>
        <v/>
      </c>
      <c r="U1285" s="62" t="str">
        <f>IFERROR(__xludf.DUMMYFUNCTION("IF(T1285=""是"",TEXTJOIN("""", TRUE, ""$"", TO_TEXT(C1285), S1285),"""")"),"")</f>
        <v/>
      </c>
    </row>
    <row r="1286">
      <c r="A1286" s="58">
        <f>IFERROR(__xludf.DUMMYFUNCTION("INDIRECT(""'收支紀錄'!A""&amp;TO_TEXT(ROW()-$C$72))"),45974.32103741898)</f>
        <v>45974.32104</v>
      </c>
      <c r="B1286" s="59">
        <f>IFERROR(__xludf.DUMMYFUNCTION("IF(ISBLANK(D1286), """", IF(ISDATE(D1286), D1286, IF(D1286=""今天"", A1286, IF(D1286=""昨天 (-1 day)"", A1286-1, IF(D1286=""前天 (-2 days)"", A1286-2, IF(D1286=""明天 (+1 day)"", A1286+1, DATE(LEFT(D1286,4), MID(D1286,5,2), RIGHT(D1286,2))))))))"),45973.32103741898)</f>
        <v>45973.32104</v>
      </c>
      <c r="C1286" s="60">
        <f>IFERROR(__xludf.DUMMYFUNCTION("INDIRECT(""'收支紀錄'!C""&amp;TO_TEXT(ROW()-$C$72))"),145.0)</f>
        <v>145</v>
      </c>
      <c r="D1286" s="63" t="str">
        <f>IFERROR(__xludf.DUMMYFUNCTION("INDIRECT(""'收支紀錄'!D""&amp;TO_TEXT(ROW()-$C$72))"),"昨天 (-1 day)")</f>
        <v>昨天 (-1 day)</v>
      </c>
      <c r="E1286" s="61" t="str">
        <f>IFERROR(__xludf.DUMMYFUNCTION("INDIRECT(""'收支紀錄'!E""&amp;TO_TEXT(ROW()-$C$72))"),"")</f>
        <v/>
      </c>
      <c r="F1286" s="61" t="str">
        <f>IFERROR(__xludf.DUMMYFUNCTION("INDIRECT(""'收支紀錄'!F""&amp;TO_TEXT(ROW()-$C$72))"),"")</f>
        <v/>
      </c>
      <c r="G1286" s="61" t="str">
        <f>IFERROR(__xludf.DUMMYFUNCTION("INDIRECT(""'收支紀錄'!G""&amp;TO_TEXT(ROW()-$C$72))"),"")</f>
        <v/>
      </c>
      <c r="H1286" s="61" t="str">
        <f>IFERROR(__xludf.DUMMYFUNCTION("INDIRECT(""'收支紀錄'!H""&amp;TO_TEXT(ROW()-$C$72))"),"食品酒水")</f>
        <v>食品酒水</v>
      </c>
      <c r="I1286" s="61" t="str">
        <f>IFERROR(__xludf.DUMMYFUNCTION("INDIRECT(""'收支紀錄'!I""&amp;TO_TEXT(ROW()-$C$72))"),"飲料酒水")</f>
        <v>飲料酒水</v>
      </c>
      <c r="J1286" s="61" t="str">
        <f>IFERROR(__xludf.DUMMYFUNCTION("INDIRECT(""'收支紀錄'!J""&amp;TO_TEXT(ROW()-$C$72))"),"")</f>
        <v/>
      </c>
      <c r="K1286" s="61" t="str">
        <f>IFERROR(__xludf.DUMMYFUNCTION("INDIRECT(""'收支紀錄'!K""&amp;TO_TEXT(ROW()-$C$72))"),"")</f>
        <v/>
      </c>
      <c r="L1286" s="61" t="str">
        <f>IFERROR(__xludf.DUMMYFUNCTION("INDIRECT(""'收支紀錄'!L""&amp;TO_TEXT(ROW()-$C$72))"),"")</f>
        <v/>
      </c>
      <c r="M1286" s="61" t="str">
        <f>IFERROR(__xludf.DUMMYFUNCTION("INDIRECT(""'收支紀錄'!M""&amp;TO_TEXT(ROW()-$C$72))"),"")</f>
        <v/>
      </c>
      <c r="N1286" s="61" t="str">
        <f>IFERROR(__xludf.DUMMYFUNCTION("INDIRECT(""'收支紀錄'!N""&amp;TO_TEXT(ROW()-$C$72))"),"")</f>
        <v/>
      </c>
      <c r="O1286" s="61" t="str">
        <f>IFERROR(__xludf.DUMMYFUNCTION("INDIRECT(""'收支紀錄'!O""&amp;TO_TEXT(ROW()-$C$72))"),"")</f>
        <v/>
      </c>
      <c r="P1286" s="61" t="str">
        <f>IFERROR(__xludf.DUMMYFUNCTION("INDIRECT(""'收支紀錄'!P""&amp;TO_TEXT(ROW()-$C$72))"),"")</f>
        <v/>
      </c>
      <c r="Q1286" s="61" t="str">
        <f>IFERROR(__xludf.DUMMYFUNCTION("INDIRECT(""'收支紀錄'!Q""&amp;TO_TEXT(ROW()-$C$72))"),"")</f>
        <v/>
      </c>
      <c r="R1286" s="61" t="str">
        <f>IFERROR(__xludf.DUMMYFUNCTION("INDIRECT(""'收支紀錄'!R""&amp;TO_TEXT(ROW()-$C$72))"),"")</f>
        <v/>
      </c>
      <c r="S1286" s="61" t="str">
        <f>IFERROR(__xludf.DUMMYFUNCTION("INDIRECT(""'收支紀錄'!S""&amp;TO_TEXT(ROW()-$C$72))"),"")</f>
        <v/>
      </c>
      <c r="T1286" s="61" t="str">
        <f>IFERROR(__xludf.DUMMYFUNCTION("INDIRECT(""'收支紀錄'!T""&amp;TO_TEXT(ROW()-$C$72))"),"")</f>
        <v/>
      </c>
      <c r="U1286" s="62" t="str">
        <f>IFERROR(__xludf.DUMMYFUNCTION("IF(T1286=""是"",TEXTJOIN("""", TRUE, ""$"", TO_TEXT(C1286), S1286),"""")"),"")</f>
        <v/>
      </c>
    </row>
    <row r="1287">
      <c r="A1287" s="58">
        <f>IFERROR(__xludf.DUMMYFUNCTION("INDIRECT(""'收支紀錄'!A""&amp;TO_TEXT(ROW()-$C$72))"),45974.32163684028)</f>
        <v>45974.32164</v>
      </c>
      <c r="B1287" s="59">
        <f>IFERROR(__xludf.DUMMYFUNCTION("IF(ISBLANK(D1287), """", IF(ISDATE(D1287), D1287, IF(D1287=""今天"", A1287, IF(D1287=""昨天 (-1 day)"", A1287-1, IF(D1287=""前天 (-2 days)"", A1287-2, IF(D1287=""明天 (+1 day)"", A1287+1, DATE(LEFT(D1287,4), MID(D1287,5,2), RIGHT(D1287,2))))))))"),45974.32163684028)</f>
        <v>45974.32164</v>
      </c>
      <c r="C1287" s="60">
        <f>IFERROR(__xludf.DUMMYFUNCTION("INDIRECT(""'收支紀錄'!C""&amp;TO_TEXT(ROW()-$C$72))"),738.0)</f>
        <v>738</v>
      </c>
      <c r="D1287" s="63" t="str">
        <f>IFERROR(__xludf.DUMMYFUNCTION("INDIRECT(""'收支紀錄'!D""&amp;TO_TEXT(ROW()-$C$72))"),"今天")</f>
        <v>今天</v>
      </c>
      <c r="E1287" s="61" t="str">
        <f>IFERROR(__xludf.DUMMYFUNCTION("INDIRECT(""'收支紀錄'!E""&amp;TO_TEXT(ROW()-$C$72))"),"")</f>
        <v/>
      </c>
      <c r="F1287" s="61" t="str">
        <f>IFERROR(__xludf.DUMMYFUNCTION("INDIRECT(""'收支紀錄'!F""&amp;TO_TEXT(ROW()-$C$72))"),"")</f>
        <v/>
      </c>
      <c r="G1287" s="61" t="str">
        <f>IFERROR(__xludf.DUMMYFUNCTION("INDIRECT(""'收支紀錄'!G""&amp;TO_TEXT(ROW()-$C$72))"),"")</f>
        <v/>
      </c>
      <c r="H1287" s="61" t="str">
        <f>IFERROR(__xludf.DUMMYFUNCTION("INDIRECT(""'收支紀錄'!H""&amp;TO_TEXT(ROW()-$C$72))"),"食品酒水")</f>
        <v>食品酒水</v>
      </c>
      <c r="I1287" s="61" t="str">
        <f>IFERROR(__xludf.DUMMYFUNCTION("INDIRECT(""'收支紀錄'!I""&amp;TO_TEXT(ROW()-$C$72))"),"食材")</f>
        <v>食材</v>
      </c>
      <c r="J1287" s="61" t="str">
        <f>IFERROR(__xludf.DUMMYFUNCTION("INDIRECT(""'收支紀錄'!J""&amp;TO_TEXT(ROW()-$C$72))"),"")</f>
        <v/>
      </c>
      <c r="K1287" s="61" t="str">
        <f>IFERROR(__xludf.DUMMYFUNCTION("INDIRECT(""'收支紀錄'!K""&amp;TO_TEXT(ROW()-$C$72))"),"")</f>
        <v/>
      </c>
      <c r="L1287" s="61" t="str">
        <f>IFERROR(__xludf.DUMMYFUNCTION("INDIRECT(""'收支紀錄'!L""&amp;TO_TEXT(ROW()-$C$72))"),"")</f>
        <v/>
      </c>
      <c r="M1287" s="61" t="str">
        <f>IFERROR(__xludf.DUMMYFUNCTION("INDIRECT(""'收支紀錄'!M""&amp;TO_TEXT(ROW()-$C$72))"),"")</f>
        <v/>
      </c>
      <c r="N1287" s="61" t="str">
        <f>IFERROR(__xludf.DUMMYFUNCTION("INDIRECT(""'收支紀錄'!N""&amp;TO_TEXT(ROW()-$C$72))"),"")</f>
        <v/>
      </c>
      <c r="O1287" s="61" t="str">
        <f>IFERROR(__xludf.DUMMYFUNCTION("INDIRECT(""'收支紀錄'!O""&amp;TO_TEXT(ROW()-$C$72))"),"")</f>
        <v/>
      </c>
      <c r="P1287" s="61" t="str">
        <f>IFERROR(__xludf.DUMMYFUNCTION("INDIRECT(""'收支紀錄'!P""&amp;TO_TEXT(ROW()-$C$72))"),"")</f>
        <v/>
      </c>
      <c r="Q1287" s="61" t="str">
        <f>IFERROR(__xludf.DUMMYFUNCTION("INDIRECT(""'收支紀錄'!Q""&amp;TO_TEXT(ROW()-$C$72))"),"")</f>
        <v/>
      </c>
      <c r="R1287" s="61" t="str">
        <f>IFERROR(__xludf.DUMMYFUNCTION("INDIRECT(""'收支紀錄'!R""&amp;TO_TEXT(ROW()-$C$72))"),"")</f>
        <v/>
      </c>
      <c r="S1287" s="61" t="str">
        <f>IFERROR(__xludf.DUMMYFUNCTION("INDIRECT(""'收支紀錄'!S""&amp;TO_TEXT(ROW()-$C$72))"),"")</f>
        <v/>
      </c>
      <c r="T1287" s="61" t="str">
        <f>IFERROR(__xludf.DUMMYFUNCTION("INDIRECT(""'收支紀錄'!T""&amp;TO_TEXT(ROW()-$C$72))"),"")</f>
        <v/>
      </c>
      <c r="U1287" s="62" t="str">
        <f>IFERROR(__xludf.DUMMYFUNCTION("IF(T1287=""是"",TEXTJOIN("""", TRUE, ""$"", TO_TEXT(C1287), S1287),"""")"),"")</f>
        <v/>
      </c>
    </row>
    <row r="1288">
      <c r="A1288" s="58">
        <f>IFERROR(__xludf.DUMMYFUNCTION("INDIRECT(""'收支紀錄'!A""&amp;TO_TEXT(ROW()-$C$72))"),45976.66913123842)</f>
        <v>45976.66913</v>
      </c>
      <c r="B1288" s="59">
        <f>IFERROR(__xludf.DUMMYFUNCTION("IF(ISBLANK(D1288), """", IF(ISDATE(D1288), D1288, IF(D1288=""今天"", A1288, IF(D1288=""昨天 (-1 day)"", A1288-1, IF(D1288=""前天 (-2 days)"", A1288-2, IF(D1288=""明天 (+1 day)"", A1288+1, DATE(LEFT(D1288,4), MID(D1288,5,2), RIGHT(D1288,2))))))))"),45976.66913123842)</f>
        <v>45976.66913</v>
      </c>
      <c r="C1288" s="60">
        <f>IFERROR(__xludf.DUMMYFUNCTION("INDIRECT(""'收支紀錄'!C""&amp;TO_TEXT(ROW()-$C$72))"),275.0)</f>
        <v>275</v>
      </c>
      <c r="D1288" s="63" t="str">
        <f>IFERROR(__xludf.DUMMYFUNCTION("INDIRECT(""'收支紀錄'!D""&amp;TO_TEXT(ROW()-$C$72))"),"今天")</f>
        <v>今天</v>
      </c>
      <c r="E1288" s="61" t="str">
        <f>IFERROR(__xludf.DUMMYFUNCTION("INDIRECT(""'收支紀錄'!E""&amp;TO_TEXT(ROW()-$C$72))"),"")</f>
        <v/>
      </c>
      <c r="F1288" s="61" t="str">
        <f>IFERROR(__xludf.DUMMYFUNCTION("INDIRECT(""'收支紀錄'!F""&amp;TO_TEXT(ROW()-$C$72))"),"")</f>
        <v/>
      </c>
      <c r="G1288" s="61" t="str">
        <f>IFERROR(__xludf.DUMMYFUNCTION("INDIRECT(""'收支紀錄'!G""&amp;TO_TEXT(ROW()-$C$72))"),"")</f>
        <v/>
      </c>
      <c r="H1288" s="61" t="str">
        <f>IFERROR(__xludf.DUMMYFUNCTION("INDIRECT(""'收支紀錄'!H""&amp;TO_TEXT(ROW()-$C$72))"),"食品酒水")</f>
        <v>食品酒水</v>
      </c>
      <c r="I1288" s="61" t="str">
        <f>IFERROR(__xludf.DUMMYFUNCTION("INDIRECT(""'收支紀錄'!I""&amp;TO_TEXT(ROW()-$C$72))"),"午餐")</f>
        <v>午餐</v>
      </c>
      <c r="J1288" s="61" t="str">
        <f>IFERROR(__xludf.DUMMYFUNCTION("INDIRECT(""'收支紀錄'!J""&amp;TO_TEXT(ROW()-$C$72))"),"")</f>
        <v/>
      </c>
      <c r="K1288" s="61" t="str">
        <f>IFERROR(__xludf.DUMMYFUNCTION("INDIRECT(""'收支紀錄'!K""&amp;TO_TEXT(ROW()-$C$72))"),"")</f>
        <v/>
      </c>
      <c r="L1288" s="61" t="str">
        <f>IFERROR(__xludf.DUMMYFUNCTION("INDIRECT(""'收支紀錄'!L""&amp;TO_TEXT(ROW()-$C$72))"),"")</f>
        <v/>
      </c>
      <c r="M1288" s="61" t="str">
        <f>IFERROR(__xludf.DUMMYFUNCTION("INDIRECT(""'收支紀錄'!M""&amp;TO_TEXT(ROW()-$C$72))"),"")</f>
        <v/>
      </c>
      <c r="N1288" s="61" t="str">
        <f>IFERROR(__xludf.DUMMYFUNCTION("INDIRECT(""'收支紀錄'!N""&amp;TO_TEXT(ROW()-$C$72))"),"")</f>
        <v/>
      </c>
      <c r="O1288" s="61" t="str">
        <f>IFERROR(__xludf.DUMMYFUNCTION("INDIRECT(""'收支紀錄'!O""&amp;TO_TEXT(ROW()-$C$72))"),"")</f>
        <v/>
      </c>
      <c r="P1288" s="61" t="str">
        <f>IFERROR(__xludf.DUMMYFUNCTION("INDIRECT(""'收支紀錄'!P""&amp;TO_TEXT(ROW()-$C$72))"),"")</f>
        <v/>
      </c>
      <c r="Q1288" s="61" t="str">
        <f>IFERROR(__xludf.DUMMYFUNCTION("INDIRECT(""'收支紀錄'!Q""&amp;TO_TEXT(ROW()-$C$72))"),"")</f>
        <v/>
      </c>
      <c r="R1288" s="61" t="str">
        <f>IFERROR(__xludf.DUMMYFUNCTION("INDIRECT(""'收支紀錄'!R""&amp;TO_TEXT(ROW()-$C$72))"),"")</f>
        <v/>
      </c>
      <c r="S1288" s="61" t="str">
        <f>IFERROR(__xludf.DUMMYFUNCTION("INDIRECT(""'收支紀錄'!S""&amp;TO_TEXT(ROW()-$C$72))"),"")</f>
        <v/>
      </c>
      <c r="T1288" s="61" t="str">
        <f>IFERROR(__xludf.DUMMYFUNCTION("INDIRECT(""'收支紀錄'!T""&amp;TO_TEXT(ROW()-$C$72))"),"")</f>
        <v/>
      </c>
      <c r="U1288" s="62" t="str">
        <f>IFERROR(__xludf.DUMMYFUNCTION("IF(T1288=""是"",TEXTJOIN("""", TRUE, ""$"", TO_TEXT(C1288), S1288),"""")"),"")</f>
        <v/>
      </c>
    </row>
    <row r="1289">
      <c r="A1289" s="58">
        <f>IFERROR(__xludf.DUMMYFUNCTION("INDIRECT(""'收支紀錄'!A""&amp;TO_TEXT(ROW()-$C$72))"),45976.669482997684)</f>
        <v>45976.66948</v>
      </c>
      <c r="B1289" s="59">
        <f>IFERROR(__xludf.DUMMYFUNCTION("IF(ISBLANK(D1289), """", IF(ISDATE(D1289), D1289, IF(D1289=""今天"", A1289, IF(D1289=""昨天 (-1 day)"", A1289-1, IF(D1289=""前天 (-2 days)"", A1289-2, IF(D1289=""明天 (+1 day)"", A1289+1, DATE(LEFT(D1289,4), MID(D1289,5,2), RIGHT(D1289,2))))))))"),45976.669482997684)</f>
        <v>45976.66948</v>
      </c>
      <c r="C1289" s="60">
        <f>IFERROR(__xludf.DUMMYFUNCTION("INDIRECT(""'收支紀錄'!C""&amp;TO_TEXT(ROW()-$C$72))"),180.0)</f>
        <v>180</v>
      </c>
      <c r="D1289" s="63" t="str">
        <f>IFERROR(__xludf.DUMMYFUNCTION("INDIRECT(""'收支紀錄'!D""&amp;TO_TEXT(ROW()-$C$72))"),"今天")</f>
        <v>今天</v>
      </c>
      <c r="E1289" s="61" t="str">
        <f>IFERROR(__xludf.DUMMYFUNCTION("INDIRECT(""'收支紀錄'!E""&amp;TO_TEXT(ROW()-$C$72))"),"")</f>
        <v/>
      </c>
      <c r="F1289" s="61" t="str">
        <f>IFERROR(__xludf.DUMMYFUNCTION("INDIRECT(""'收支紀錄'!F""&amp;TO_TEXT(ROW()-$C$72))"),"")</f>
        <v/>
      </c>
      <c r="G1289" s="61" t="str">
        <f>IFERROR(__xludf.DUMMYFUNCTION("INDIRECT(""'收支紀錄'!G""&amp;TO_TEXT(ROW()-$C$72))"),"")</f>
        <v/>
      </c>
      <c r="H1289" s="61" t="str">
        <f>IFERROR(__xludf.DUMMYFUNCTION("INDIRECT(""'收支紀錄'!H""&amp;TO_TEXT(ROW()-$C$72))"),"行車交通")</f>
        <v>行車交通</v>
      </c>
      <c r="I1289" s="61" t="str">
        <f>IFERROR(__xludf.DUMMYFUNCTION("INDIRECT(""'收支紀錄'!I""&amp;TO_TEXT(ROW()-$C$72))"),"")</f>
        <v/>
      </c>
      <c r="J1289" s="61" t="str">
        <f>IFERROR(__xludf.DUMMYFUNCTION("INDIRECT(""'收支紀錄'!J""&amp;TO_TEXT(ROW()-$C$72))"),"")</f>
        <v/>
      </c>
      <c r="K1289" s="61" t="str">
        <f>IFERROR(__xludf.DUMMYFUNCTION("INDIRECT(""'收支紀錄'!K""&amp;TO_TEXT(ROW()-$C$72))"),"")</f>
        <v/>
      </c>
      <c r="L1289" s="61" t="str">
        <f>IFERROR(__xludf.DUMMYFUNCTION("INDIRECT(""'收支紀錄'!L""&amp;TO_TEXT(ROW()-$C$72))"),"其他(洗車,罰單,配件)")</f>
        <v>其他(洗車,罰單,配件)</v>
      </c>
      <c r="M1289" s="61" t="str">
        <f>IFERROR(__xludf.DUMMYFUNCTION("INDIRECT(""'收支紀錄'!M""&amp;TO_TEXT(ROW()-$C$72))"),"")</f>
        <v/>
      </c>
      <c r="N1289" s="61" t="str">
        <f>IFERROR(__xludf.DUMMYFUNCTION("INDIRECT(""'收支紀錄'!N""&amp;TO_TEXT(ROW()-$C$72))"),"")</f>
        <v/>
      </c>
      <c r="O1289" s="61" t="str">
        <f>IFERROR(__xludf.DUMMYFUNCTION("INDIRECT(""'收支紀錄'!O""&amp;TO_TEXT(ROW()-$C$72))"),"")</f>
        <v/>
      </c>
      <c r="P1289" s="61" t="str">
        <f>IFERROR(__xludf.DUMMYFUNCTION("INDIRECT(""'收支紀錄'!P""&amp;TO_TEXT(ROW()-$C$72))"),"")</f>
        <v/>
      </c>
      <c r="Q1289" s="61" t="str">
        <f>IFERROR(__xludf.DUMMYFUNCTION("INDIRECT(""'收支紀錄'!Q""&amp;TO_TEXT(ROW()-$C$72))"),"")</f>
        <v/>
      </c>
      <c r="R1289" s="61" t="str">
        <f>IFERROR(__xludf.DUMMYFUNCTION("INDIRECT(""'收支紀錄'!R""&amp;TO_TEXT(ROW()-$C$72))"),"")</f>
        <v/>
      </c>
      <c r="S1289" s="61" t="str">
        <f>IFERROR(__xludf.DUMMYFUNCTION("INDIRECT(""'收支紀錄'!S""&amp;TO_TEXT(ROW()-$C$72))"),"")</f>
        <v/>
      </c>
      <c r="T1289" s="61" t="str">
        <f>IFERROR(__xludf.DUMMYFUNCTION("INDIRECT(""'收支紀錄'!T""&amp;TO_TEXT(ROW()-$C$72))"),"")</f>
        <v/>
      </c>
      <c r="U1289" s="62" t="str">
        <f>IFERROR(__xludf.DUMMYFUNCTION("IF(T1289=""是"",TEXTJOIN("""", TRUE, ""$"", TO_TEXT(C1289), S1289),"""")"),"")</f>
        <v/>
      </c>
    </row>
    <row r="1290">
      <c r="A1290" s="58">
        <f>IFERROR(__xludf.DUMMYFUNCTION("INDIRECT(""'收支紀錄'!A""&amp;TO_TEXT(ROW()-$C$72))"),45978.35023145833)</f>
        <v>45978.35023</v>
      </c>
      <c r="B1290" s="59">
        <f>IFERROR(__xludf.DUMMYFUNCTION("IF(ISBLANK(D1290), """", IF(ISDATE(D1290), D1290, IF(D1290=""今天"", A1290, IF(D1290=""昨天 (-1 day)"", A1290-1, IF(D1290=""前天 (-2 days)"", A1290-2, IF(D1290=""明天 (+1 day)"", A1290+1, DATE(LEFT(D1290,4), MID(D1290,5,2), RIGHT(D1290,2))))))))"),45978.35023145833)</f>
        <v>45978.35023</v>
      </c>
      <c r="C1290" s="60">
        <f>IFERROR(__xludf.DUMMYFUNCTION("INDIRECT(""'收支紀錄'!C""&amp;TO_TEXT(ROW()-$C$72))"),1650.0)</f>
        <v>1650</v>
      </c>
      <c r="D1290" s="63" t="str">
        <f>IFERROR(__xludf.DUMMYFUNCTION("INDIRECT(""'收支紀錄'!D""&amp;TO_TEXT(ROW()-$C$72))"),"今天")</f>
        <v>今天</v>
      </c>
      <c r="E1290" s="61" t="str">
        <f>IFERROR(__xludf.DUMMYFUNCTION("INDIRECT(""'收支紀錄'!E""&amp;TO_TEXT(ROW()-$C$72))"),"")</f>
        <v/>
      </c>
      <c r="F1290" s="61" t="str">
        <f>IFERROR(__xludf.DUMMYFUNCTION("INDIRECT(""'收支紀錄'!F""&amp;TO_TEXT(ROW()-$C$72))"),"")</f>
        <v/>
      </c>
      <c r="G1290" s="61" t="str">
        <f>IFERROR(__xludf.DUMMYFUNCTION("INDIRECT(""'收支紀錄'!G""&amp;TO_TEXT(ROW()-$C$72))"),"")</f>
        <v/>
      </c>
      <c r="H1290" s="61" t="str">
        <f>IFERROR(__xludf.DUMMYFUNCTION("INDIRECT(""'收支紀錄'!H""&amp;TO_TEXT(ROW()-$C$72))"),"食品酒水")</f>
        <v>食品酒水</v>
      </c>
      <c r="I1290" s="61" t="str">
        <f>IFERROR(__xludf.DUMMYFUNCTION("INDIRECT(""'收支紀錄'!I""&amp;TO_TEXT(ROW()-$C$72))"),"食材")</f>
        <v>食材</v>
      </c>
      <c r="J1290" s="61" t="str">
        <f>IFERROR(__xludf.DUMMYFUNCTION("INDIRECT(""'收支紀錄'!J""&amp;TO_TEXT(ROW()-$C$72))"),"")</f>
        <v/>
      </c>
      <c r="K1290" s="61" t="str">
        <f>IFERROR(__xludf.DUMMYFUNCTION("INDIRECT(""'收支紀錄'!K""&amp;TO_TEXT(ROW()-$C$72))"),"")</f>
        <v/>
      </c>
      <c r="L1290" s="61" t="str">
        <f>IFERROR(__xludf.DUMMYFUNCTION("INDIRECT(""'收支紀錄'!L""&amp;TO_TEXT(ROW()-$C$72))"),"")</f>
        <v/>
      </c>
      <c r="M1290" s="61" t="str">
        <f>IFERROR(__xludf.DUMMYFUNCTION("INDIRECT(""'收支紀錄'!M""&amp;TO_TEXT(ROW()-$C$72))"),"")</f>
        <v/>
      </c>
      <c r="N1290" s="61" t="str">
        <f>IFERROR(__xludf.DUMMYFUNCTION("INDIRECT(""'收支紀錄'!N""&amp;TO_TEXT(ROW()-$C$72))"),"")</f>
        <v/>
      </c>
      <c r="O1290" s="61" t="str">
        <f>IFERROR(__xludf.DUMMYFUNCTION("INDIRECT(""'收支紀錄'!O""&amp;TO_TEXT(ROW()-$C$72))"),"")</f>
        <v/>
      </c>
      <c r="P1290" s="61" t="str">
        <f>IFERROR(__xludf.DUMMYFUNCTION("INDIRECT(""'收支紀錄'!P""&amp;TO_TEXT(ROW()-$C$72))"),"")</f>
        <v/>
      </c>
      <c r="Q1290" s="61" t="str">
        <f>IFERROR(__xludf.DUMMYFUNCTION("INDIRECT(""'收支紀錄'!Q""&amp;TO_TEXT(ROW()-$C$72))"),"")</f>
        <v/>
      </c>
      <c r="R1290" s="61" t="str">
        <f>IFERROR(__xludf.DUMMYFUNCTION("INDIRECT(""'收支紀錄'!R""&amp;TO_TEXT(ROW()-$C$72))"),"")</f>
        <v/>
      </c>
      <c r="S1290" s="61" t="str">
        <f>IFERROR(__xludf.DUMMYFUNCTION("INDIRECT(""'收支紀錄'!S""&amp;TO_TEXT(ROW()-$C$72))"),"")</f>
        <v/>
      </c>
      <c r="T1290" s="61" t="str">
        <f>IFERROR(__xludf.DUMMYFUNCTION("INDIRECT(""'收支紀錄'!T""&amp;TO_TEXT(ROW()-$C$72))"),"")</f>
        <v/>
      </c>
      <c r="U1290" s="62" t="str">
        <f>IFERROR(__xludf.DUMMYFUNCTION("IF(T1290=""是"",TEXTJOIN("""", TRUE, ""$"", TO_TEXT(C1290), S1290),"""")"),"")</f>
        <v/>
      </c>
    </row>
    <row r="1291">
      <c r="A1291" s="58">
        <f>IFERROR(__xludf.DUMMYFUNCTION("INDIRECT(""'收支紀錄'!A""&amp;TO_TEXT(ROW()-$C$72))"),45979.86489268519)</f>
        <v>45979.86489</v>
      </c>
      <c r="B1291" s="59">
        <f>IFERROR(__xludf.DUMMYFUNCTION("IF(ISBLANK(D1291), """", IF(ISDATE(D1291), D1291, IF(D1291=""今天"", A1291, IF(D1291=""昨天 (-1 day)"", A1291-1, IF(D1291=""前天 (-2 days)"", A1291-2, IF(D1291=""明天 (+1 day)"", A1291+1, DATE(LEFT(D1291,4), MID(D1291,5,2), RIGHT(D1291,2))))))))"),45979.86489268519)</f>
        <v>45979.86489</v>
      </c>
      <c r="C1291" s="60">
        <f>IFERROR(__xludf.DUMMYFUNCTION("INDIRECT(""'收支紀錄'!C""&amp;TO_TEXT(ROW()-$C$72))"),433.0)</f>
        <v>433</v>
      </c>
      <c r="D1291" s="63" t="str">
        <f>IFERROR(__xludf.DUMMYFUNCTION("INDIRECT(""'收支紀錄'!D""&amp;TO_TEXT(ROW()-$C$72))"),"今天")</f>
        <v>今天</v>
      </c>
      <c r="E1291" s="61" t="str">
        <f>IFERROR(__xludf.DUMMYFUNCTION("INDIRECT(""'收支紀錄'!E""&amp;TO_TEXT(ROW()-$C$72))"),"")</f>
        <v/>
      </c>
      <c r="F1291" s="61" t="str">
        <f>IFERROR(__xludf.DUMMYFUNCTION("INDIRECT(""'收支紀錄'!F""&amp;TO_TEXT(ROW()-$C$72))"),"")</f>
        <v/>
      </c>
      <c r="G1291" s="61" t="str">
        <f>IFERROR(__xludf.DUMMYFUNCTION("INDIRECT(""'收支紀錄'!G""&amp;TO_TEXT(ROW()-$C$72))"),"")</f>
        <v/>
      </c>
      <c r="H1291" s="61" t="str">
        <f>IFERROR(__xludf.DUMMYFUNCTION("INDIRECT(""'收支紀錄'!H""&amp;TO_TEXT(ROW()-$C$72))"),"房屋支出")</f>
        <v>房屋支出</v>
      </c>
      <c r="I1291" s="61" t="str">
        <f>IFERROR(__xludf.DUMMYFUNCTION("INDIRECT(""'收支紀錄'!I""&amp;TO_TEXT(ROW()-$C$72))"),"")</f>
        <v/>
      </c>
      <c r="J1291" s="61" t="str">
        <f>IFERROR(__xludf.DUMMYFUNCTION("INDIRECT(""'收支紀錄'!J""&amp;TO_TEXT(ROW()-$C$72))"),"")</f>
        <v/>
      </c>
      <c r="K1291" s="61" t="str">
        <f>IFERROR(__xludf.DUMMYFUNCTION("INDIRECT(""'收支紀錄'!K""&amp;TO_TEXT(ROW()-$C$72))"),"瓦斯費")</f>
        <v>瓦斯費</v>
      </c>
      <c r="L1291" s="61" t="str">
        <f>IFERROR(__xludf.DUMMYFUNCTION("INDIRECT(""'收支紀錄'!L""&amp;TO_TEXT(ROW()-$C$72))"),"")</f>
        <v/>
      </c>
      <c r="M1291" s="61" t="str">
        <f>IFERROR(__xludf.DUMMYFUNCTION("INDIRECT(""'收支紀錄'!M""&amp;TO_TEXT(ROW()-$C$72))"),"")</f>
        <v/>
      </c>
      <c r="N1291" s="61" t="str">
        <f>IFERROR(__xludf.DUMMYFUNCTION("INDIRECT(""'收支紀錄'!N""&amp;TO_TEXT(ROW()-$C$72))"),"")</f>
        <v/>
      </c>
      <c r="O1291" s="61" t="str">
        <f>IFERROR(__xludf.DUMMYFUNCTION("INDIRECT(""'收支紀錄'!O""&amp;TO_TEXT(ROW()-$C$72))"),"")</f>
        <v/>
      </c>
      <c r="P1291" s="61" t="str">
        <f>IFERROR(__xludf.DUMMYFUNCTION("INDIRECT(""'收支紀錄'!P""&amp;TO_TEXT(ROW()-$C$72))"),"")</f>
        <v/>
      </c>
      <c r="Q1291" s="61" t="str">
        <f>IFERROR(__xludf.DUMMYFUNCTION("INDIRECT(""'收支紀錄'!Q""&amp;TO_TEXT(ROW()-$C$72))"),"")</f>
        <v/>
      </c>
      <c r="R1291" s="61" t="str">
        <f>IFERROR(__xludf.DUMMYFUNCTION("INDIRECT(""'收支紀錄'!R""&amp;TO_TEXT(ROW()-$C$72))"),"")</f>
        <v/>
      </c>
      <c r="S1291" s="61" t="str">
        <f>IFERROR(__xludf.DUMMYFUNCTION("INDIRECT(""'收支紀錄'!S""&amp;TO_TEXT(ROW()-$C$72))"),"")</f>
        <v/>
      </c>
      <c r="T1291" s="61" t="str">
        <f>IFERROR(__xludf.DUMMYFUNCTION("INDIRECT(""'收支紀錄'!T""&amp;TO_TEXT(ROW()-$C$72))"),"")</f>
        <v/>
      </c>
      <c r="U1291" s="62" t="str">
        <f>IFERROR(__xludf.DUMMYFUNCTION("IF(T1291=""是"",TEXTJOIN("""", TRUE, ""$"", TO_TEXT(C1291), S1291),"""")"),"")</f>
        <v/>
      </c>
    </row>
    <row r="1292">
      <c r="A1292" s="58">
        <f>IFERROR(__xludf.DUMMYFUNCTION("INDIRECT(""'收支紀錄'!A""&amp;TO_TEXT(ROW()-$C$72))"),45980.35151315972)</f>
        <v>45980.35151</v>
      </c>
      <c r="B1292" s="59">
        <f>IFERROR(__xludf.DUMMYFUNCTION("IF(ISBLANK(D1292), """", IF(ISDATE(D1292), D1292, IF(D1292=""今天"", A1292, IF(D1292=""昨天 (-1 day)"", A1292-1, IF(D1292=""前天 (-2 days)"", A1292-2, IF(D1292=""明天 (+1 day)"", A1292+1, DATE(LEFT(D1292,4), MID(D1292,5,2), RIGHT(D1292,2))))))))"),45979.35151315972)</f>
        <v>45979.35151</v>
      </c>
      <c r="C1292" s="60">
        <f>IFERROR(__xludf.DUMMYFUNCTION("INDIRECT(""'收支紀錄'!C""&amp;TO_TEXT(ROW()-$C$72))"),35.0)</f>
        <v>35</v>
      </c>
      <c r="D1292" s="63" t="str">
        <f>IFERROR(__xludf.DUMMYFUNCTION("INDIRECT(""'收支紀錄'!D""&amp;TO_TEXT(ROW()-$C$72))"),"昨天 (-1 day)")</f>
        <v>昨天 (-1 day)</v>
      </c>
      <c r="E1292" s="61" t="str">
        <f>IFERROR(__xludf.DUMMYFUNCTION("INDIRECT(""'收支紀錄'!E""&amp;TO_TEXT(ROW()-$C$72))"),"")</f>
        <v/>
      </c>
      <c r="F1292" s="61" t="str">
        <f>IFERROR(__xludf.DUMMYFUNCTION("INDIRECT(""'收支紀錄'!F""&amp;TO_TEXT(ROW()-$C$72))"),"")</f>
        <v/>
      </c>
      <c r="G1292" s="61" t="str">
        <f>IFERROR(__xludf.DUMMYFUNCTION("INDIRECT(""'收支紀錄'!G""&amp;TO_TEXT(ROW()-$C$72))"),"")</f>
        <v/>
      </c>
      <c r="H1292" s="61" t="str">
        <f>IFERROR(__xludf.DUMMYFUNCTION("INDIRECT(""'收支紀錄'!H""&amp;TO_TEXT(ROW()-$C$72))"),"行車交通")</f>
        <v>行車交通</v>
      </c>
      <c r="I1292" s="61" t="str">
        <f>IFERROR(__xludf.DUMMYFUNCTION("INDIRECT(""'收支紀錄'!I""&amp;TO_TEXT(ROW()-$C$72))"),"")</f>
        <v/>
      </c>
      <c r="J1292" s="61" t="str">
        <f>IFERROR(__xludf.DUMMYFUNCTION("INDIRECT(""'收支紀錄'!J""&amp;TO_TEXT(ROW()-$C$72))"),"")</f>
        <v/>
      </c>
      <c r="K1292" s="61" t="str">
        <f>IFERROR(__xludf.DUMMYFUNCTION("INDIRECT(""'收支紀錄'!K""&amp;TO_TEXT(ROW()-$C$72))"),"")</f>
        <v/>
      </c>
      <c r="L1292" s="61" t="str">
        <f>IFERROR(__xludf.DUMMYFUNCTION("INDIRECT(""'收支紀錄'!L""&amp;TO_TEXT(ROW()-$C$72))"),"捷運費")</f>
        <v>捷運費</v>
      </c>
      <c r="M1292" s="61" t="str">
        <f>IFERROR(__xludf.DUMMYFUNCTION("INDIRECT(""'收支紀錄'!M""&amp;TO_TEXT(ROW()-$C$72))"),"")</f>
        <v/>
      </c>
      <c r="N1292" s="61" t="str">
        <f>IFERROR(__xludf.DUMMYFUNCTION("INDIRECT(""'收支紀錄'!N""&amp;TO_TEXT(ROW()-$C$72))"),"")</f>
        <v/>
      </c>
      <c r="O1292" s="61" t="str">
        <f>IFERROR(__xludf.DUMMYFUNCTION("INDIRECT(""'收支紀錄'!O""&amp;TO_TEXT(ROW()-$C$72))"),"")</f>
        <v/>
      </c>
      <c r="P1292" s="61" t="str">
        <f>IFERROR(__xludf.DUMMYFUNCTION("INDIRECT(""'收支紀錄'!P""&amp;TO_TEXT(ROW()-$C$72))"),"")</f>
        <v/>
      </c>
      <c r="Q1292" s="61" t="str">
        <f>IFERROR(__xludf.DUMMYFUNCTION("INDIRECT(""'收支紀錄'!Q""&amp;TO_TEXT(ROW()-$C$72))"),"")</f>
        <v/>
      </c>
      <c r="R1292" s="61" t="str">
        <f>IFERROR(__xludf.DUMMYFUNCTION("INDIRECT(""'收支紀錄'!R""&amp;TO_TEXT(ROW()-$C$72))"),"")</f>
        <v/>
      </c>
      <c r="S1292" s="61" t="str">
        <f>IFERROR(__xludf.DUMMYFUNCTION("INDIRECT(""'收支紀錄'!S""&amp;TO_TEXT(ROW()-$C$72))"),"")</f>
        <v/>
      </c>
      <c r="T1292" s="61" t="str">
        <f>IFERROR(__xludf.DUMMYFUNCTION("INDIRECT(""'收支紀錄'!T""&amp;TO_TEXT(ROW()-$C$72))"),"")</f>
        <v/>
      </c>
      <c r="U1292" s="62" t="str">
        <f>IFERROR(__xludf.DUMMYFUNCTION("IF(T1292=""是"",TEXTJOIN("""", TRUE, ""$"", TO_TEXT(C1292), S1292),"""")"),"")</f>
        <v/>
      </c>
    </row>
    <row r="1293">
      <c r="A1293" s="58">
        <f>IFERROR(__xludf.DUMMYFUNCTION("INDIRECT(""'收支紀錄'!A""&amp;TO_TEXT(ROW()-$C$72))"),45981.85217886574)</f>
        <v>45981.85218</v>
      </c>
      <c r="B1293" s="59">
        <f>IFERROR(__xludf.DUMMYFUNCTION("IF(ISBLANK(D1293), """", IF(ISDATE(D1293), D1293, IF(D1293=""今天"", A1293, IF(D1293=""昨天 (-1 day)"", A1293-1, IF(D1293=""前天 (-2 days)"", A1293-2, IF(D1293=""明天 (+1 day)"", A1293+1, DATE(LEFT(D1293,4), MID(D1293,5,2), RIGHT(D1293,2))))))))"),45981.85217886574)</f>
        <v>45981.85218</v>
      </c>
      <c r="C1293" s="60">
        <f>IFERROR(__xludf.DUMMYFUNCTION("INDIRECT(""'收支紀錄'!C""&amp;TO_TEXT(ROW()-$C$72))"),150.0)</f>
        <v>150</v>
      </c>
      <c r="D1293" s="63" t="str">
        <f>IFERROR(__xludf.DUMMYFUNCTION("INDIRECT(""'收支紀錄'!D""&amp;TO_TEXT(ROW()-$C$72))"),"今天")</f>
        <v>今天</v>
      </c>
      <c r="E1293" s="61" t="str">
        <f>IFERROR(__xludf.DUMMYFUNCTION("INDIRECT(""'收支紀錄'!E""&amp;TO_TEXT(ROW()-$C$72))"),"")</f>
        <v/>
      </c>
      <c r="F1293" s="61" t="str">
        <f>IFERROR(__xludf.DUMMYFUNCTION("INDIRECT(""'收支紀錄'!F""&amp;TO_TEXT(ROW()-$C$72))"),"")</f>
        <v/>
      </c>
      <c r="G1293" s="61" t="str">
        <f>IFERROR(__xludf.DUMMYFUNCTION("INDIRECT(""'收支紀錄'!G""&amp;TO_TEXT(ROW()-$C$72))"),"")</f>
        <v/>
      </c>
      <c r="H1293" s="61" t="str">
        <f>IFERROR(__xludf.DUMMYFUNCTION("INDIRECT(""'收支紀錄'!H""&amp;TO_TEXT(ROW()-$C$72))"),"日常生活")</f>
        <v>日常生活</v>
      </c>
      <c r="I1293" s="61" t="str">
        <f>IFERROR(__xludf.DUMMYFUNCTION("INDIRECT(""'收支紀錄'!I""&amp;TO_TEXT(ROW()-$C$72))"),"")</f>
        <v/>
      </c>
      <c r="J1293" s="61" t="str">
        <f>IFERROR(__xludf.DUMMYFUNCTION("INDIRECT(""'收支紀錄'!J""&amp;TO_TEXT(ROW()-$C$72))"),"日常用品")</f>
        <v>日常用品</v>
      </c>
      <c r="K1293" s="61" t="str">
        <f>IFERROR(__xludf.DUMMYFUNCTION("INDIRECT(""'收支紀錄'!K""&amp;TO_TEXT(ROW()-$C$72))"),"")</f>
        <v/>
      </c>
      <c r="L1293" s="61" t="str">
        <f>IFERROR(__xludf.DUMMYFUNCTION("INDIRECT(""'收支紀錄'!L""&amp;TO_TEXT(ROW()-$C$72))"),"")</f>
        <v/>
      </c>
      <c r="M1293" s="61" t="str">
        <f>IFERROR(__xludf.DUMMYFUNCTION("INDIRECT(""'收支紀錄'!M""&amp;TO_TEXT(ROW()-$C$72))"),"")</f>
        <v/>
      </c>
      <c r="N1293" s="61" t="str">
        <f>IFERROR(__xludf.DUMMYFUNCTION("INDIRECT(""'收支紀錄'!N""&amp;TO_TEXT(ROW()-$C$72))"),"")</f>
        <v/>
      </c>
      <c r="O1293" s="61" t="str">
        <f>IFERROR(__xludf.DUMMYFUNCTION("INDIRECT(""'收支紀錄'!O""&amp;TO_TEXT(ROW()-$C$72))"),"")</f>
        <v/>
      </c>
      <c r="P1293" s="61" t="str">
        <f>IFERROR(__xludf.DUMMYFUNCTION("INDIRECT(""'收支紀錄'!P""&amp;TO_TEXT(ROW()-$C$72))"),"")</f>
        <v/>
      </c>
      <c r="Q1293" s="61" t="str">
        <f>IFERROR(__xludf.DUMMYFUNCTION("INDIRECT(""'收支紀錄'!Q""&amp;TO_TEXT(ROW()-$C$72))"),"")</f>
        <v/>
      </c>
      <c r="R1293" s="61" t="str">
        <f>IFERROR(__xludf.DUMMYFUNCTION("INDIRECT(""'收支紀錄'!R""&amp;TO_TEXT(ROW()-$C$72))"),"")</f>
        <v/>
      </c>
      <c r="S1293" s="61" t="str">
        <f>IFERROR(__xludf.DUMMYFUNCTION("INDIRECT(""'收支紀錄'!S""&amp;TO_TEXT(ROW()-$C$72))"),"")</f>
        <v/>
      </c>
      <c r="T1293" s="61" t="str">
        <f>IFERROR(__xludf.DUMMYFUNCTION("INDIRECT(""'收支紀錄'!T""&amp;TO_TEXT(ROW()-$C$72))"),"")</f>
        <v/>
      </c>
      <c r="U1293" s="62" t="str">
        <f>IFERROR(__xludf.DUMMYFUNCTION("IF(T1293=""是"",TEXTJOIN("""", TRUE, ""$"", TO_TEXT(C1293), S1293),"""")"),"")</f>
        <v/>
      </c>
    </row>
    <row r="1294">
      <c r="A1294" s="58">
        <f>IFERROR(__xludf.DUMMYFUNCTION("INDIRECT(""'收支紀錄'!A""&amp;TO_TEXT(ROW()-$C$72))"),45981.85232457176)</f>
        <v>45981.85232</v>
      </c>
      <c r="B1294" s="59">
        <f>IFERROR(__xludf.DUMMYFUNCTION("IF(ISBLANK(D1294), """", IF(ISDATE(D1294), D1294, IF(D1294=""今天"", A1294, IF(D1294=""昨天 (-1 day)"", A1294-1, IF(D1294=""前天 (-2 days)"", A1294-2, IF(D1294=""明天 (+1 day)"", A1294+1, DATE(LEFT(D1294,4), MID(D1294,5,2), RIGHT(D1294,2))))))))"),45981.85232457176)</f>
        <v>45981.85232</v>
      </c>
      <c r="C1294" s="60">
        <f>IFERROR(__xludf.DUMMYFUNCTION("INDIRECT(""'收支紀錄'!C""&amp;TO_TEXT(ROW()-$C$72))"),137.0)</f>
        <v>137</v>
      </c>
      <c r="D1294" s="63" t="str">
        <f>IFERROR(__xludf.DUMMYFUNCTION("INDIRECT(""'收支紀錄'!D""&amp;TO_TEXT(ROW()-$C$72))"),"今天")</f>
        <v>今天</v>
      </c>
      <c r="E1294" s="61" t="str">
        <f>IFERROR(__xludf.DUMMYFUNCTION("INDIRECT(""'收支紀錄'!E""&amp;TO_TEXT(ROW()-$C$72))"),"")</f>
        <v/>
      </c>
      <c r="F1294" s="61" t="str">
        <f>IFERROR(__xludf.DUMMYFUNCTION("INDIRECT(""'收支紀錄'!F""&amp;TO_TEXT(ROW()-$C$72))"),"")</f>
        <v/>
      </c>
      <c r="G1294" s="61" t="str">
        <f>IFERROR(__xludf.DUMMYFUNCTION("INDIRECT(""'收支紀錄'!G""&amp;TO_TEXT(ROW()-$C$72))"),"")</f>
        <v/>
      </c>
      <c r="H1294" s="61" t="str">
        <f>IFERROR(__xludf.DUMMYFUNCTION("INDIRECT(""'收支紀錄'!H""&amp;TO_TEXT(ROW()-$C$72))"),"食品酒水")</f>
        <v>食品酒水</v>
      </c>
      <c r="I1294" s="61" t="str">
        <f>IFERROR(__xludf.DUMMYFUNCTION("INDIRECT(""'收支紀錄'!I""&amp;TO_TEXT(ROW()-$C$72))"),"晚餐")</f>
        <v>晚餐</v>
      </c>
      <c r="J1294" s="61" t="str">
        <f>IFERROR(__xludf.DUMMYFUNCTION("INDIRECT(""'收支紀錄'!J""&amp;TO_TEXT(ROW()-$C$72))"),"")</f>
        <v/>
      </c>
      <c r="K1294" s="61" t="str">
        <f>IFERROR(__xludf.DUMMYFUNCTION("INDIRECT(""'收支紀錄'!K""&amp;TO_TEXT(ROW()-$C$72))"),"")</f>
        <v/>
      </c>
      <c r="L1294" s="61" t="str">
        <f>IFERROR(__xludf.DUMMYFUNCTION("INDIRECT(""'收支紀錄'!L""&amp;TO_TEXT(ROW()-$C$72))"),"")</f>
        <v/>
      </c>
      <c r="M1294" s="61" t="str">
        <f>IFERROR(__xludf.DUMMYFUNCTION("INDIRECT(""'收支紀錄'!M""&amp;TO_TEXT(ROW()-$C$72))"),"")</f>
        <v/>
      </c>
      <c r="N1294" s="61" t="str">
        <f>IFERROR(__xludf.DUMMYFUNCTION("INDIRECT(""'收支紀錄'!N""&amp;TO_TEXT(ROW()-$C$72))"),"")</f>
        <v/>
      </c>
      <c r="O1294" s="61" t="str">
        <f>IFERROR(__xludf.DUMMYFUNCTION("INDIRECT(""'收支紀錄'!O""&amp;TO_TEXT(ROW()-$C$72))"),"")</f>
        <v/>
      </c>
      <c r="P1294" s="61" t="str">
        <f>IFERROR(__xludf.DUMMYFUNCTION("INDIRECT(""'收支紀錄'!P""&amp;TO_TEXT(ROW()-$C$72))"),"")</f>
        <v/>
      </c>
      <c r="Q1294" s="61" t="str">
        <f>IFERROR(__xludf.DUMMYFUNCTION("INDIRECT(""'收支紀錄'!Q""&amp;TO_TEXT(ROW()-$C$72))"),"")</f>
        <v/>
      </c>
      <c r="R1294" s="61" t="str">
        <f>IFERROR(__xludf.DUMMYFUNCTION("INDIRECT(""'收支紀錄'!R""&amp;TO_TEXT(ROW()-$C$72))"),"")</f>
        <v/>
      </c>
      <c r="S1294" s="61" t="str">
        <f>IFERROR(__xludf.DUMMYFUNCTION("INDIRECT(""'收支紀錄'!S""&amp;TO_TEXT(ROW()-$C$72))"),"")</f>
        <v/>
      </c>
      <c r="T1294" s="61" t="str">
        <f>IFERROR(__xludf.DUMMYFUNCTION("INDIRECT(""'收支紀錄'!T""&amp;TO_TEXT(ROW()-$C$72))"),"")</f>
        <v/>
      </c>
      <c r="U1294" s="62" t="str">
        <f>IFERROR(__xludf.DUMMYFUNCTION("IF(T1294=""是"",TEXTJOIN("""", TRUE, ""$"", TO_TEXT(C1294), S1294),"""")"),"")</f>
        <v/>
      </c>
    </row>
    <row r="1295">
      <c r="A1295" s="58">
        <f>IFERROR(__xludf.DUMMYFUNCTION("INDIRECT(""'收支紀錄'!A""&amp;TO_TEXT(ROW()-$C$72))"),45982.98923811343)</f>
        <v>45982.98924</v>
      </c>
      <c r="B1295" s="59">
        <f>IFERROR(__xludf.DUMMYFUNCTION("IF(ISBLANK(D1295), """", IF(ISDATE(D1295), D1295, IF(D1295=""今天"", A1295, IF(D1295=""昨天 (-1 day)"", A1295-1, IF(D1295=""前天 (-2 days)"", A1295-2, IF(D1295=""明天 (+1 day)"", A1295+1, DATE(LEFT(D1295,4), MID(D1295,5,2), RIGHT(D1295,2))))))))"),45982.98923811343)</f>
        <v>45982.98924</v>
      </c>
      <c r="C1295" s="60">
        <f>IFERROR(__xludf.DUMMYFUNCTION("INDIRECT(""'收支紀錄'!C""&amp;TO_TEXT(ROW()-$C$72))"),1100.0)</f>
        <v>1100</v>
      </c>
      <c r="D1295" s="63" t="str">
        <f>IFERROR(__xludf.DUMMYFUNCTION("INDIRECT(""'收支紀錄'!D""&amp;TO_TEXT(ROW()-$C$72))"),"今天")</f>
        <v>今天</v>
      </c>
      <c r="E1295" s="61" t="str">
        <f>IFERROR(__xludf.DUMMYFUNCTION("INDIRECT(""'收支紀錄'!E""&amp;TO_TEXT(ROW()-$C$72))"),"")</f>
        <v/>
      </c>
      <c r="F1295" s="61" t="str">
        <f>IFERROR(__xludf.DUMMYFUNCTION("INDIRECT(""'收支紀錄'!F""&amp;TO_TEXT(ROW()-$C$72))"),"")</f>
        <v/>
      </c>
      <c r="G1295" s="61" t="str">
        <f>IFERROR(__xludf.DUMMYFUNCTION("INDIRECT(""'收支紀錄'!G""&amp;TO_TEXT(ROW()-$C$72))"),"")</f>
        <v/>
      </c>
      <c r="H1295" s="61" t="str">
        <f>IFERROR(__xludf.DUMMYFUNCTION("INDIRECT(""'收支紀錄'!H""&amp;TO_TEXT(ROW()-$C$72))"),"食品酒水")</f>
        <v>食品酒水</v>
      </c>
      <c r="I1295" s="61" t="str">
        <f>IFERROR(__xludf.DUMMYFUNCTION("INDIRECT(""'收支紀錄'!I""&amp;TO_TEXT(ROW()-$C$72))"),"宵夜")</f>
        <v>宵夜</v>
      </c>
      <c r="J1295" s="61" t="str">
        <f>IFERROR(__xludf.DUMMYFUNCTION("INDIRECT(""'收支紀錄'!J""&amp;TO_TEXT(ROW()-$C$72))"),"")</f>
        <v/>
      </c>
      <c r="K1295" s="61" t="str">
        <f>IFERROR(__xludf.DUMMYFUNCTION("INDIRECT(""'收支紀錄'!K""&amp;TO_TEXT(ROW()-$C$72))"),"")</f>
        <v/>
      </c>
      <c r="L1295" s="61" t="str">
        <f>IFERROR(__xludf.DUMMYFUNCTION("INDIRECT(""'收支紀錄'!L""&amp;TO_TEXT(ROW()-$C$72))"),"")</f>
        <v/>
      </c>
      <c r="M1295" s="61" t="str">
        <f>IFERROR(__xludf.DUMMYFUNCTION("INDIRECT(""'收支紀錄'!M""&amp;TO_TEXT(ROW()-$C$72))"),"")</f>
        <v/>
      </c>
      <c r="N1295" s="61" t="str">
        <f>IFERROR(__xludf.DUMMYFUNCTION("INDIRECT(""'收支紀錄'!N""&amp;TO_TEXT(ROW()-$C$72))"),"")</f>
        <v/>
      </c>
      <c r="O1295" s="61" t="str">
        <f>IFERROR(__xludf.DUMMYFUNCTION("INDIRECT(""'收支紀錄'!O""&amp;TO_TEXT(ROW()-$C$72))"),"")</f>
        <v/>
      </c>
      <c r="P1295" s="61" t="str">
        <f>IFERROR(__xludf.DUMMYFUNCTION("INDIRECT(""'收支紀錄'!P""&amp;TO_TEXT(ROW()-$C$72))"),"")</f>
        <v/>
      </c>
      <c r="Q1295" s="61" t="str">
        <f>IFERROR(__xludf.DUMMYFUNCTION("INDIRECT(""'收支紀錄'!Q""&amp;TO_TEXT(ROW()-$C$72))"),"")</f>
        <v/>
      </c>
      <c r="R1295" s="61" t="str">
        <f>IFERROR(__xludf.DUMMYFUNCTION("INDIRECT(""'收支紀錄'!R""&amp;TO_TEXT(ROW()-$C$72))"),"")</f>
        <v/>
      </c>
      <c r="S1295" s="61" t="str">
        <f>IFERROR(__xludf.DUMMYFUNCTION("INDIRECT(""'收支紀錄'!S""&amp;TO_TEXT(ROW()-$C$72))"),"")</f>
        <v/>
      </c>
      <c r="T1295" s="61" t="str">
        <f>IFERROR(__xludf.DUMMYFUNCTION("INDIRECT(""'收支紀錄'!T""&amp;TO_TEXT(ROW()-$C$72))"),"")</f>
        <v/>
      </c>
      <c r="U1295" s="62" t="str">
        <f>IFERROR(__xludf.DUMMYFUNCTION("IF(T1295=""是"",TEXTJOIN("""", TRUE, ""$"", TO_TEXT(C1295), S1295),"""")"),"")</f>
        <v/>
      </c>
    </row>
    <row r="1296">
      <c r="A1296" s="58">
        <f>IFERROR(__xludf.DUMMYFUNCTION("INDIRECT(""'收支紀錄'!A""&amp;TO_TEXT(ROW()-$C$72))"),45984.37525167824)</f>
        <v>45984.37525</v>
      </c>
      <c r="B1296" s="59">
        <f>IFERROR(__xludf.DUMMYFUNCTION("IF(ISBLANK(D1296), """", IF(ISDATE(D1296), D1296, IF(D1296=""今天"", A1296, IF(D1296=""昨天 (-1 day)"", A1296-1, IF(D1296=""前天 (-2 days)"", A1296-2, IF(D1296=""明天 (+1 day)"", A1296+1, DATE(LEFT(D1296,4), MID(D1296,5,2), RIGHT(D1296,2))))))))"),45984.37525167824)</f>
        <v>45984.37525</v>
      </c>
      <c r="C1296" s="60">
        <f>IFERROR(__xludf.DUMMYFUNCTION("INDIRECT(""'收支紀錄'!C""&amp;TO_TEXT(ROW()-$C$72))"),134.0)</f>
        <v>134</v>
      </c>
      <c r="D1296" s="63" t="str">
        <f>IFERROR(__xludf.DUMMYFUNCTION("INDIRECT(""'收支紀錄'!D""&amp;TO_TEXT(ROW()-$C$72))"),"今天")</f>
        <v>今天</v>
      </c>
      <c r="E1296" s="61" t="str">
        <f>IFERROR(__xludf.DUMMYFUNCTION("INDIRECT(""'收支紀錄'!E""&amp;TO_TEXT(ROW()-$C$72))"),"")</f>
        <v/>
      </c>
      <c r="F1296" s="61" t="str">
        <f>IFERROR(__xludf.DUMMYFUNCTION("INDIRECT(""'收支紀錄'!F""&amp;TO_TEXT(ROW()-$C$72))"),"")</f>
        <v/>
      </c>
      <c r="G1296" s="61" t="str">
        <f>IFERROR(__xludf.DUMMYFUNCTION("INDIRECT(""'收支紀錄'!G""&amp;TO_TEXT(ROW()-$C$72))"),"")</f>
        <v/>
      </c>
      <c r="H1296" s="61" t="str">
        <f>IFERROR(__xludf.DUMMYFUNCTION("INDIRECT(""'收支紀錄'!H""&amp;TO_TEXT(ROW()-$C$72))"),"食品酒水")</f>
        <v>食品酒水</v>
      </c>
      <c r="I1296" s="61" t="str">
        <f>IFERROR(__xludf.DUMMYFUNCTION("INDIRECT(""'收支紀錄'!I""&amp;TO_TEXT(ROW()-$C$72))"),"早餐")</f>
        <v>早餐</v>
      </c>
      <c r="J1296" s="61" t="str">
        <f>IFERROR(__xludf.DUMMYFUNCTION("INDIRECT(""'收支紀錄'!J""&amp;TO_TEXT(ROW()-$C$72))"),"")</f>
        <v/>
      </c>
      <c r="K1296" s="61" t="str">
        <f>IFERROR(__xludf.DUMMYFUNCTION("INDIRECT(""'收支紀錄'!K""&amp;TO_TEXT(ROW()-$C$72))"),"")</f>
        <v/>
      </c>
      <c r="L1296" s="61" t="str">
        <f>IFERROR(__xludf.DUMMYFUNCTION("INDIRECT(""'收支紀錄'!L""&amp;TO_TEXT(ROW()-$C$72))"),"")</f>
        <v/>
      </c>
      <c r="M1296" s="61" t="str">
        <f>IFERROR(__xludf.DUMMYFUNCTION("INDIRECT(""'收支紀錄'!M""&amp;TO_TEXT(ROW()-$C$72))"),"")</f>
        <v/>
      </c>
      <c r="N1296" s="61" t="str">
        <f>IFERROR(__xludf.DUMMYFUNCTION("INDIRECT(""'收支紀錄'!N""&amp;TO_TEXT(ROW()-$C$72))"),"")</f>
        <v/>
      </c>
      <c r="O1296" s="61" t="str">
        <f>IFERROR(__xludf.DUMMYFUNCTION("INDIRECT(""'收支紀錄'!O""&amp;TO_TEXT(ROW()-$C$72))"),"")</f>
        <v/>
      </c>
      <c r="P1296" s="61" t="str">
        <f>IFERROR(__xludf.DUMMYFUNCTION("INDIRECT(""'收支紀錄'!P""&amp;TO_TEXT(ROW()-$C$72))"),"")</f>
        <v/>
      </c>
      <c r="Q1296" s="61" t="str">
        <f>IFERROR(__xludf.DUMMYFUNCTION("INDIRECT(""'收支紀錄'!Q""&amp;TO_TEXT(ROW()-$C$72))"),"")</f>
        <v/>
      </c>
      <c r="R1296" s="61" t="str">
        <f>IFERROR(__xludf.DUMMYFUNCTION("INDIRECT(""'收支紀錄'!R""&amp;TO_TEXT(ROW()-$C$72))"),"")</f>
        <v/>
      </c>
      <c r="S1296" s="61" t="str">
        <f>IFERROR(__xludf.DUMMYFUNCTION("INDIRECT(""'收支紀錄'!S""&amp;TO_TEXT(ROW()-$C$72))"),"")</f>
        <v/>
      </c>
      <c r="T1296" s="61" t="str">
        <f>IFERROR(__xludf.DUMMYFUNCTION("INDIRECT(""'收支紀錄'!T""&amp;TO_TEXT(ROW()-$C$72))"),"")</f>
        <v/>
      </c>
      <c r="U1296" s="62" t="str">
        <f>IFERROR(__xludf.DUMMYFUNCTION("IF(T1296=""是"",TEXTJOIN("""", TRUE, ""$"", TO_TEXT(C1296), S1296),"""")"),"")</f>
        <v/>
      </c>
    </row>
    <row r="1297">
      <c r="A1297" s="58">
        <f>IFERROR(__xludf.DUMMYFUNCTION("INDIRECT(""'收支紀錄'!A""&amp;TO_TEXT(ROW()-$C$72))"),45984.37573891204)</f>
        <v>45984.37574</v>
      </c>
      <c r="B1297" s="59">
        <f>IFERROR(__xludf.DUMMYFUNCTION("IF(ISBLANK(D1297), """", IF(ISDATE(D1297), D1297, IF(D1297=""今天"", A1297, IF(D1297=""昨天 (-1 day)"", A1297-1, IF(D1297=""前天 (-2 days)"", A1297-2, IF(D1297=""明天 (+1 day)"", A1297+1, DATE(LEFT(D1297,4), MID(D1297,5,2), RIGHT(D1297,2))))))))"),45983.37573891204)</f>
        <v>45983.37574</v>
      </c>
      <c r="C1297" s="60">
        <f>IFERROR(__xludf.DUMMYFUNCTION("INDIRECT(""'收支紀錄'!C""&amp;TO_TEXT(ROW()-$C$72))"),35.0)</f>
        <v>35</v>
      </c>
      <c r="D1297" s="63" t="str">
        <f>IFERROR(__xludf.DUMMYFUNCTION("INDIRECT(""'收支紀錄'!D""&amp;TO_TEXT(ROW()-$C$72))"),"昨天 (-1 day)")</f>
        <v>昨天 (-1 day)</v>
      </c>
      <c r="E1297" s="61" t="str">
        <f>IFERROR(__xludf.DUMMYFUNCTION("INDIRECT(""'收支紀錄'!E""&amp;TO_TEXT(ROW()-$C$72))"),"")</f>
        <v/>
      </c>
      <c r="F1297" s="61" t="str">
        <f>IFERROR(__xludf.DUMMYFUNCTION("INDIRECT(""'收支紀錄'!F""&amp;TO_TEXT(ROW()-$C$72))"),"")</f>
        <v/>
      </c>
      <c r="G1297" s="61" t="str">
        <f>IFERROR(__xludf.DUMMYFUNCTION("INDIRECT(""'收支紀錄'!G""&amp;TO_TEXT(ROW()-$C$72))"),"")</f>
        <v/>
      </c>
      <c r="H1297" s="61" t="str">
        <f>IFERROR(__xludf.DUMMYFUNCTION("INDIRECT(""'收支紀錄'!H""&amp;TO_TEXT(ROW()-$C$72))"),"行車交通")</f>
        <v>行車交通</v>
      </c>
      <c r="I1297" s="61" t="str">
        <f>IFERROR(__xludf.DUMMYFUNCTION("INDIRECT(""'收支紀錄'!I""&amp;TO_TEXT(ROW()-$C$72))"),"")</f>
        <v/>
      </c>
      <c r="J1297" s="61" t="str">
        <f>IFERROR(__xludf.DUMMYFUNCTION("INDIRECT(""'收支紀錄'!J""&amp;TO_TEXT(ROW()-$C$72))"),"")</f>
        <v/>
      </c>
      <c r="K1297" s="61" t="str">
        <f>IFERROR(__xludf.DUMMYFUNCTION("INDIRECT(""'收支紀錄'!K""&amp;TO_TEXT(ROW()-$C$72))"),"")</f>
        <v/>
      </c>
      <c r="L1297" s="61" t="str">
        <f>IFERROR(__xludf.DUMMYFUNCTION("INDIRECT(""'收支紀錄'!L""&amp;TO_TEXT(ROW()-$C$72))"),"捷運費")</f>
        <v>捷運費</v>
      </c>
      <c r="M1297" s="61" t="str">
        <f>IFERROR(__xludf.DUMMYFUNCTION("INDIRECT(""'收支紀錄'!M""&amp;TO_TEXT(ROW()-$C$72))"),"")</f>
        <v/>
      </c>
      <c r="N1297" s="61" t="str">
        <f>IFERROR(__xludf.DUMMYFUNCTION("INDIRECT(""'收支紀錄'!N""&amp;TO_TEXT(ROW()-$C$72))"),"")</f>
        <v/>
      </c>
      <c r="O1297" s="61" t="str">
        <f>IFERROR(__xludf.DUMMYFUNCTION("INDIRECT(""'收支紀錄'!O""&amp;TO_TEXT(ROW()-$C$72))"),"")</f>
        <v/>
      </c>
      <c r="P1297" s="61" t="str">
        <f>IFERROR(__xludf.DUMMYFUNCTION("INDIRECT(""'收支紀錄'!P""&amp;TO_TEXT(ROW()-$C$72))"),"")</f>
        <v/>
      </c>
      <c r="Q1297" s="61" t="str">
        <f>IFERROR(__xludf.DUMMYFUNCTION("INDIRECT(""'收支紀錄'!Q""&amp;TO_TEXT(ROW()-$C$72))"),"")</f>
        <v/>
      </c>
      <c r="R1297" s="61" t="str">
        <f>IFERROR(__xludf.DUMMYFUNCTION("INDIRECT(""'收支紀錄'!R""&amp;TO_TEXT(ROW()-$C$72))"),"")</f>
        <v/>
      </c>
      <c r="S1297" s="61" t="str">
        <f>IFERROR(__xludf.DUMMYFUNCTION("INDIRECT(""'收支紀錄'!S""&amp;TO_TEXT(ROW()-$C$72))"),"")</f>
        <v/>
      </c>
      <c r="T1297" s="61" t="str">
        <f>IFERROR(__xludf.DUMMYFUNCTION("INDIRECT(""'收支紀錄'!T""&amp;TO_TEXT(ROW()-$C$72))"),"")</f>
        <v/>
      </c>
      <c r="U1297" s="62" t="str">
        <f>IFERROR(__xludf.DUMMYFUNCTION("IF(T1297=""是"",TEXTJOIN("""", TRUE, ""$"", TO_TEXT(C1297), S1297),"""")"),"")</f>
        <v/>
      </c>
    </row>
    <row r="1298">
      <c r="A1298" s="58">
        <f>IFERROR(__xludf.DUMMYFUNCTION("INDIRECT(""'收支紀錄'!A""&amp;TO_TEXT(ROW()-$C$72))"),45984.376152048615)</f>
        <v>45984.37615</v>
      </c>
      <c r="B1298" s="59">
        <f>IFERROR(__xludf.DUMMYFUNCTION("IF(ISBLANK(D1298), """", IF(ISDATE(D1298), D1298, IF(D1298=""今天"", A1298, IF(D1298=""昨天 (-1 day)"", A1298-1, IF(D1298=""前天 (-2 days)"", A1298-2, IF(D1298=""明天 (+1 day)"", A1298+1, DATE(LEFT(D1298,4), MID(D1298,5,2), RIGHT(D1298,2))))))))"),45983.376152048615)</f>
        <v>45983.37615</v>
      </c>
      <c r="C1298" s="60">
        <f>IFERROR(__xludf.DUMMYFUNCTION("INDIRECT(""'收支紀錄'!C""&amp;TO_TEXT(ROW()-$C$72))"),765.0)</f>
        <v>765</v>
      </c>
      <c r="D1298" s="63" t="str">
        <f>IFERROR(__xludf.DUMMYFUNCTION("INDIRECT(""'收支紀錄'!D""&amp;TO_TEXT(ROW()-$C$72))"),"昨天 (-1 day)")</f>
        <v>昨天 (-1 day)</v>
      </c>
      <c r="E1298" s="61" t="str">
        <f>IFERROR(__xludf.DUMMYFUNCTION("INDIRECT(""'收支紀錄'!E""&amp;TO_TEXT(ROW()-$C$72))"),"")</f>
        <v/>
      </c>
      <c r="F1298" s="61" t="str">
        <f>IFERROR(__xludf.DUMMYFUNCTION("INDIRECT(""'收支紀錄'!F""&amp;TO_TEXT(ROW()-$C$72))"),"")</f>
        <v/>
      </c>
      <c r="G1298" s="61" t="str">
        <f>IFERROR(__xludf.DUMMYFUNCTION("INDIRECT(""'收支紀錄'!G""&amp;TO_TEXT(ROW()-$C$72))"),"")</f>
        <v/>
      </c>
      <c r="H1298" s="61" t="str">
        <f>IFERROR(__xludf.DUMMYFUNCTION("INDIRECT(""'收支紀錄'!H""&amp;TO_TEXT(ROW()-$C$72))"),"行車交通")</f>
        <v>行車交通</v>
      </c>
      <c r="I1298" s="61" t="str">
        <f>IFERROR(__xludf.DUMMYFUNCTION("INDIRECT(""'收支紀錄'!I""&amp;TO_TEXT(ROW()-$C$72))"),"")</f>
        <v/>
      </c>
      <c r="J1298" s="61" t="str">
        <f>IFERROR(__xludf.DUMMYFUNCTION("INDIRECT(""'收支紀錄'!J""&amp;TO_TEXT(ROW()-$C$72))"),"")</f>
        <v/>
      </c>
      <c r="K1298" s="61" t="str">
        <f>IFERROR(__xludf.DUMMYFUNCTION("INDIRECT(""'收支紀錄'!K""&amp;TO_TEXT(ROW()-$C$72))"),"")</f>
        <v/>
      </c>
      <c r="L1298" s="61" t="str">
        <f>IFERROR(__xludf.DUMMYFUNCTION("INDIRECT(""'收支紀錄'!L""&amp;TO_TEXT(ROW()-$C$72))"),"高鐵")</f>
        <v>高鐵</v>
      </c>
      <c r="M1298" s="61" t="str">
        <f>IFERROR(__xludf.DUMMYFUNCTION("INDIRECT(""'收支紀錄'!M""&amp;TO_TEXT(ROW()-$C$72))"),"")</f>
        <v/>
      </c>
      <c r="N1298" s="61" t="str">
        <f>IFERROR(__xludf.DUMMYFUNCTION("INDIRECT(""'收支紀錄'!N""&amp;TO_TEXT(ROW()-$C$72))"),"")</f>
        <v/>
      </c>
      <c r="O1298" s="61" t="str">
        <f>IFERROR(__xludf.DUMMYFUNCTION("INDIRECT(""'收支紀錄'!O""&amp;TO_TEXT(ROW()-$C$72))"),"")</f>
        <v/>
      </c>
      <c r="P1298" s="61" t="str">
        <f>IFERROR(__xludf.DUMMYFUNCTION("INDIRECT(""'收支紀錄'!P""&amp;TO_TEXT(ROW()-$C$72))"),"")</f>
        <v/>
      </c>
      <c r="Q1298" s="61" t="str">
        <f>IFERROR(__xludf.DUMMYFUNCTION("INDIRECT(""'收支紀錄'!Q""&amp;TO_TEXT(ROW()-$C$72))"),"")</f>
        <v/>
      </c>
      <c r="R1298" s="61" t="str">
        <f>IFERROR(__xludf.DUMMYFUNCTION("INDIRECT(""'收支紀錄'!R""&amp;TO_TEXT(ROW()-$C$72))"),"")</f>
        <v/>
      </c>
      <c r="S1298" s="61" t="str">
        <f>IFERROR(__xludf.DUMMYFUNCTION("INDIRECT(""'收支紀錄'!S""&amp;TO_TEXT(ROW()-$C$72))"),"")</f>
        <v/>
      </c>
      <c r="T1298" s="61" t="str">
        <f>IFERROR(__xludf.DUMMYFUNCTION("INDIRECT(""'收支紀錄'!T""&amp;TO_TEXT(ROW()-$C$72))"),"")</f>
        <v/>
      </c>
      <c r="U1298" s="62" t="str">
        <f>IFERROR(__xludf.DUMMYFUNCTION("IF(T1298=""是"",TEXTJOIN("""", TRUE, ""$"", TO_TEXT(C1298), S1298),"""")"),"")</f>
        <v/>
      </c>
    </row>
    <row r="1299">
      <c r="A1299" s="58">
        <f>IFERROR(__xludf.DUMMYFUNCTION("INDIRECT(""'收支紀錄'!A""&amp;TO_TEXT(ROW()-$C$72))"),45984.3763444213)</f>
        <v>45984.37634</v>
      </c>
      <c r="B1299" s="59">
        <f>IFERROR(__xludf.DUMMYFUNCTION("IF(ISBLANK(D1299), """", IF(ISDATE(D1299), D1299, IF(D1299=""今天"", A1299, IF(D1299=""昨天 (-1 day)"", A1299-1, IF(D1299=""前天 (-2 days)"", A1299-2, IF(D1299=""明天 (+1 day)"", A1299+1, DATE(LEFT(D1299,4), MID(D1299,5,2), RIGHT(D1299,2))))))))"),45983.3763444213)</f>
        <v>45983.37634</v>
      </c>
      <c r="C1299" s="60">
        <f>IFERROR(__xludf.DUMMYFUNCTION("INDIRECT(""'收支紀錄'!C""&amp;TO_TEXT(ROW()-$C$72))"),945.0)</f>
        <v>945</v>
      </c>
      <c r="D1299" s="63" t="str">
        <f>IFERROR(__xludf.DUMMYFUNCTION("INDIRECT(""'收支紀錄'!D""&amp;TO_TEXT(ROW()-$C$72))"),"昨天 (-1 day)")</f>
        <v>昨天 (-1 day)</v>
      </c>
      <c r="E1299" s="61" t="str">
        <f>IFERROR(__xludf.DUMMYFUNCTION("INDIRECT(""'收支紀錄'!E""&amp;TO_TEXT(ROW()-$C$72))"),"")</f>
        <v/>
      </c>
      <c r="F1299" s="61" t="str">
        <f>IFERROR(__xludf.DUMMYFUNCTION("INDIRECT(""'收支紀錄'!F""&amp;TO_TEXT(ROW()-$C$72))"),"")</f>
        <v/>
      </c>
      <c r="G1299" s="61" t="str">
        <f>IFERROR(__xludf.DUMMYFUNCTION("INDIRECT(""'收支紀錄'!G""&amp;TO_TEXT(ROW()-$C$72))"),"")</f>
        <v/>
      </c>
      <c r="H1299" s="61" t="str">
        <f>IFERROR(__xludf.DUMMYFUNCTION("INDIRECT(""'收支紀錄'!H""&amp;TO_TEXT(ROW()-$C$72))"),"食品酒水")</f>
        <v>食品酒水</v>
      </c>
      <c r="I1299" s="61" t="str">
        <f>IFERROR(__xludf.DUMMYFUNCTION("INDIRECT(""'收支紀錄'!I""&amp;TO_TEXT(ROW()-$C$72))"),"午餐")</f>
        <v>午餐</v>
      </c>
      <c r="J1299" s="61" t="str">
        <f>IFERROR(__xludf.DUMMYFUNCTION("INDIRECT(""'收支紀錄'!J""&amp;TO_TEXT(ROW()-$C$72))"),"")</f>
        <v/>
      </c>
      <c r="K1299" s="61" t="str">
        <f>IFERROR(__xludf.DUMMYFUNCTION("INDIRECT(""'收支紀錄'!K""&amp;TO_TEXT(ROW()-$C$72))"),"")</f>
        <v/>
      </c>
      <c r="L1299" s="61" t="str">
        <f>IFERROR(__xludf.DUMMYFUNCTION("INDIRECT(""'收支紀錄'!L""&amp;TO_TEXT(ROW()-$C$72))"),"")</f>
        <v/>
      </c>
      <c r="M1299" s="61" t="str">
        <f>IFERROR(__xludf.DUMMYFUNCTION("INDIRECT(""'收支紀錄'!M""&amp;TO_TEXT(ROW()-$C$72))"),"")</f>
        <v/>
      </c>
      <c r="N1299" s="61" t="str">
        <f>IFERROR(__xludf.DUMMYFUNCTION("INDIRECT(""'收支紀錄'!N""&amp;TO_TEXT(ROW()-$C$72))"),"")</f>
        <v/>
      </c>
      <c r="O1299" s="61" t="str">
        <f>IFERROR(__xludf.DUMMYFUNCTION("INDIRECT(""'收支紀錄'!O""&amp;TO_TEXT(ROW()-$C$72))"),"")</f>
        <v/>
      </c>
      <c r="P1299" s="61" t="str">
        <f>IFERROR(__xludf.DUMMYFUNCTION("INDIRECT(""'收支紀錄'!P""&amp;TO_TEXT(ROW()-$C$72))"),"")</f>
        <v/>
      </c>
      <c r="Q1299" s="61" t="str">
        <f>IFERROR(__xludf.DUMMYFUNCTION("INDIRECT(""'收支紀錄'!Q""&amp;TO_TEXT(ROW()-$C$72))"),"")</f>
        <v/>
      </c>
      <c r="R1299" s="61" t="str">
        <f>IFERROR(__xludf.DUMMYFUNCTION("INDIRECT(""'收支紀錄'!R""&amp;TO_TEXT(ROW()-$C$72))"),"")</f>
        <v/>
      </c>
      <c r="S1299" s="61" t="str">
        <f>IFERROR(__xludf.DUMMYFUNCTION("INDIRECT(""'收支紀錄'!S""&amp;TO_TEXT(ROW()-$C$72))"),"")</f>
        <v/>
      </c>
      <c r="T1299" s="61" t="str">
        <f>IFERROR(__xludf.DUMMYFUNCTION("INDIRECT(""'收支紀錄'!T""&amp;TO_TEXT(ROW()-$C$72))"),"")</f>
        <v/>
      </c>
      <c r="U1299" s="62" t="str">
        <f>IFERROR(__xludf.DUMMYFUNCTION("IF(T1299=""是"",TEXTJOIN("""", TRUE, ""$"", TO_TEXT(C1299), S1299),"""")"),"")</f>
        <v/>
      </c>
    </row>
    <row r="1300">
      <c r="A1300" s="58">
        <f>IFERROR(__xludf.DUMMYFUNCTION("INDIRECT(""'收支紀錄'!A""&amp;TO_TEXT(ROW()-$C$72))"),45988.90046633102)</f>
        <v>45988.90047</v>
      </c>
      <c r="B1300" s="59">
        <f>IFERROR(__xludf.DUMMYFUNCTION("IF(ISBLANK(D1300), """", IF(ISDATE(D1300), D1300, IF(D1300=""今天"", A1300, IF(D1300=""昨天 (-1 day)"", A1300-1, IF(D1300=""前天 (-2 days)"", A1300-2, IF(D1300=""明天 (+1 day)"", A1300+1, DATE(LEFT(D1300,4), MID(D1300,5,2), RIGHT(D1300,2))))))))"),45987.90046633102)</f>
        <v>45987.90047</v>
      </c>
      <c r="C1300" s="60">
        <f>IFERROR(__xludf.DUMMYFUNCTION("INDIRECT(""'收支紀錄'!C""&amp;TO_TEXT(ROW()-$C$72))"),250.0)</f>
        <v>250</v>
      </c>
      <c r="D1300" s="63" t="str">
        <f>IFERROR(__xludf.DUMMYFUNCTION("INDIRECT(""'收支紀錄'!D""&amp;TO_TEXT(ROW()-$C$72))"),"昨天 (-1 day)")</f>
        <v>昨天 (-1 day)</v>
      </c>
      <c r="E1300" s="61" t="str">
        <f>IFERROR(__xludf.DUMMYFUNCTION("INDIRECT(""'收支紀錄'!E""&amp;TO_TEXT(ROW()-$C$72))"),"")</f>
        <v/>
      </c>
      <c r="F1300" s="61" t="str">
        <f>IFERROR(__xludf.DUMMYFUNCTION("INDIRECT(""'收支紀錄'!F""&amp;TO_TEXT(ROW()-$C$72))"),"")</f>
        <v/>
      </c>
      <c r="G1300" s="61" t="str">
        <f>IFERROR(__xludf.DUMMYFUNCTION("INDIRECT(""'收支紀錄'!G""&amp;TO_TEXT(ROW()-$C$72))"),"")</f>
        <v/>
      </c>
      <c r="H1300" s="61" t="str">
        <f>IFERROR(__xludf.DUMMYFUNCTION("INDIRECT(""'收支紀錄'!H""&amp;TO_TEXT(ROW()-$C$72))"),"醫療費用")</f>
        <v>醫療費用</v>
      </c>
      <c r="I1300" s="61" t="str">
        <f>IFERROR(__xludf.DUMMYFUNCTION("INDIRECT(""'收支紀錄'!I""&amp;TO_TEXT(ROW()-$C$72))"),"")</f>
        <v/>
      </c>
      <c r="J1300" s="61" t="str">
        <f>IFERROR(__xludf.DUMMYFUNCTION("INDIRECT(""'收支紀錄'!J""&amp;TO_TEXT(ROW()-$C$72))"),"")</f>
        <v/>
      </c>
      <c r="K1300" s="61" t="str">
        <f>IFERROR(__xludf.DUMMYFUNCTION("INDIRECT(""'收支紀錄'!K""&amp;TO_TEXT(ROW()-$C$72))"),"")</f>
        <v/>
      </c>
      <c r="L1300" s="61" t="str">
        <f>IFERROR(__xludf.DUMMYFUNCTION("INDIRECT(""'收支紀錄'!L""&amp;TO_TEXT(ROW()-$C$72))"),"")</f>
        <v/>
      </c>
      <c r="M1300" s="61" t="str">
        <f>IFERROR(__xludf.DUMMYFUNCTION("INDIRECT(""'收支紀錄'!M""&amp;TO_TEXT(ROW()-$C$72))"),"")</f>
        <v/>
      </c>
      <c r="N1300" s="61" t="str">
        <f>IFERROR(__xludf.DUMMYFUNCTION("INDIRECT(""'收支紀錄'!N""&amp;TO_TEXT(ROW()-$C$72))"),"")</f>
        <v/>
      </c>
      <c r="O1300" s="61" t="str">
        <f>IFERROR(__xludf.DUMMYFUNCTION("INDIRECT(""'收支紀錄'!O""&amp;TO_TEXT(ROW()-$C$72))"),"生病醫療")</f>
        <v>生病醫療</v>
      </c>
      <c r="P1300" s="61" t="str">
        <f>IFERROR(__xludf.DUMMYFUNCTION("INDIRECT(""'收支紀錄'!P""&amp;TO_TEXT(ROW()-$C$72))"),"")</f>
        <v/>
      </c>
      <c r="Q1300" s="61" t="str">
        <f>IFERROR(__xludf.DUMMYFUNCTION("INDIRECT(""'收支紀錄'!Q""&amp;TO_TEXT(ROW()-$C$72))"),"")</f>
        <v/>
      </c>
      <c r="R1300" s="61" t="str">
        <f>IFERROR(__xludf.DUMMYFUNCTION("INDIRECT(""'收支紀錄'!R""&amp;TO_TEXT(ROW()-$C$72))"),"")</f>
        <v/>
      </c>
      <c r="S1300" s="61" t="str">
        <f>IFERROR(__xludf.DUMMYFUNCTION("INDIRECT(""'收支紀錄'!S""&amp;TO_TEXT(ROW()-$C$72))"),"")</f>
        <v/>
      </c>
      <c r="T1300" s="61" t="str">
        <f>IFERROR(__xludf.DUMMYFUNCTION("INDIRECT(""'收支紀錄'!T""&amp;TO_TEXT(ROW()-$C$72))"),"")</f>
        <v/>
      </c>
      <c r="U1300" s="62" t="str">
        <f>IFERROR(__xludf.DUMMYFUNCTION("IF(T1300=""是"",TEXTJOIN("""", TRUE, ""$"", TO_TEXT(C1300), S1300),"""")"),"")</f>
        <v/>
      </c>
    </row>
    <row r="1301">
      <c r="A1301" s="58">
        <f>IFERROR(__xludf.DUMMYFUNCTION("INDIRECT(""'收支紀錄'!A""&amp;TO_TEXT(ROW()-$C$72))"),45989.76200391204)</f>
        <v>45989.762</v>
      </c>
      <c r="B1301" s="59">
        <f>IFERROR(__xludf.DUMMYFUNCTION("IF(ISBLANK(D1301), """", IF(ISDATE(D1301), D1301, IF(D1301=""今天"", A1301, IF(D1301=""昨天 (-1 day)"", A1301-1, IF(D1301=""前天 (-2 days)"", A1301-2, IF(D1301=""明天 (+1 day)"", A1301+1, DATE(LEFT(D1301,4), MID(D1301,5,2), RIGHT(D1301,2))))))))"),45989.76200391204)</f>
        <v>45989.762</v>
      </c>
      <c r="C1301" s="60">
        <f>IFERROR(__xludf.DUMMYFUNCTION("INDIRECT(""'收支紀錄'!C""&amp;TO_TEXT(ROW()-$C$72))"),14900.0)</f>
        <v>14900</v>
      </c>
      <c r="D1301" s="63" t="str">
        <f>IFERROR(__xludf.DUMMYFUNCTION("INDIRECT(""'收支紀錄'!D""&amp;TO_TEXT(ROW()-$C$72))"),"今天")</f>
        <v>今天</v>
      </c>
      <c r="E1301" s="61" t="str">
        <f>IFERROR(__xludf.DUMMYFUNCTION("INDIRECT(""'收支紀錄'!E""&amp;TO_TEXT(ROW()-$C$72))"),"")</f>
        <v/>
      </c>
      <c r="F1301" s="61" t="str">
        <f>IFERROR(__xludf.DUMMYFUNCTION("INDIRECT(""'收支紀錄'!F""&amp;TO_TEXT(ROW()-$C$72))"),"")</f>
        <v/>
      </c>
      <c r="G1301" s="61" t="str">
        <f>IFERROR(__xludf.DUMMYFUNCTION("INDIRECT(""'收支紀錄'!G""&amp;TO_TEXT(ROW()-$C$72))"),"")</f>
        <v/>
      </c>
      <c r="H1301" s="61" t="str">
        <f>IFERROR(__xludf.DUMMYFUNCTION("INDIRECT(""'收支紀錄'!H""&amp;TO_TEXT(ROW()-$C$72))"),"日常生活")</f>
        <v>日常生活</v>
      </c>
      <c r="I1301" s="61" t="str">
        <f>IFERROR(__xludf.DUMMYFUNCTION("INDIRECT(""'收支紀錄'!I""&amp;TO_TEXT(ROW()-$C$72))"),"")</f>
        <v/>
      </c>
      <c r="J1301" s="61" t="str">
        <f>IFERROR(__xludf.DUMMYFUNCTION("INDIRECT(""'收支紀錄'!J""&amp;TO_TEXT(ROW()-$C$72))"),"日常用品")</f>
        <v>日常用品</v>
      </c>
      <c r="K1301" s="61" t="str">
        <f>IFERROR(__xludf.DUMMYFUNCTION("INDIRECT(""'收支紀錄'!K""&amp;TO_TEXT(ROW()-$C$72))"),"")</f>
        <v/>
      </c>
      <c r="L1301" s="61" t="str">
        <f>IFERROR(__xludf.DUMMYFUNCTION("INDIRECT(""'收支紀錄'!L""&amp;TO_TEXT(ROW()-$C$72))"),"")</f>
        <v/>
      </c>
      <c r="M1301" s="61" t="str">
        <f>IFERROR(__xludf.DUMMYFUNCTION("INDIRECT(""'收支紀錄'!M""&amp;TO_TEXT(ROW()-$C$72))"),"")</f>
        <v/>
      </c>
      <c r="N1301" s="61" t="str">
        <f>IFERROR(__xludf.DUMMYFUNCTION("INDIRECT(""'收支紀錄'!N""&amp;TO_TEXT(ROW()-$C$72))"),"")</f>
        <v/>
      </c>
      <c r="O1301" s="61" t="str">
        <f>IFERROR(__xludf.DUMMYFUNCTION("INDIRECT(""'收支紀錄'!O""&amp;TO_TEXT(ROW()-$C$72))"),"")</f>
        <v/>
      </c>
      <c r="P1301" s="61" t="str">
        <f>IFERROR(__xludf.DUMMYFUNCTION("INDIRECT(""'收支紀錄'!P""&amp;TO_TEXT(ROW()-$C$72))"),"")</f>
        <v/>
      </c>
      <c r="Q1301" s="61" t="str">
        <f>IFERROR(__xludf.DUMMYFUNCTION("INDIRECT(""'收支紀錄'!Q""&amp;TO_TEXT(ROW()-$C$72))"),"")</f>
        <v/>
      </c>
      <c r="R1301" s="61" t="str">
        <f>IFERROR(__xludf.DUMMYFUNCTION("INDIRECT(""'收支紀錄'!R""&amp;TO_TEXT(ROW()-$C$72))"),"")</f>
        <v/>
      </c>
      <c r="S1301" s="61" t="str">
        <f>IFERROR(__xludf.DUMMYFUNCTION("INDIRECT(""'收支紀錄'!S""&amp;TO_TEXT(ROW()-$C$72))"),"除濕機")</f>
        <v>除濕機</v>
      </c>
      <c r="T1301" s="61" t="str">
        <f>IFERROR(__xludf.DUMMYFUNCTION("INDIRECT(""'收支紀錄'!T""&amp;TO_TEXT(ROW()-$C$72))"),"是")</f>
        <v>是</v>
      </c>
      <c r="U1301" s="62" t="str">
        <f>IFERROR(__xludf.DUMMYFUNCTION("IF(T1301=""是"",TEXTJOIN("""", TRUE, ""$"", TO_TEXT(C1301), S1301),"""")"),"$14900除濕機")</f>
        <v>$14900除濕機</v>
      </c>
    </row>
    <row r="1302">
      <c r="A1302" s="58">
        <f>IFERROR(__xludf.DUMMYFUNCTION("INDIRECT(""'收支紀錄'!A""&amp;TO_TEXT(ROW()-$C$72))"),45989.90232179398)</f>
        <v>45989.90232</v>
      </c>
      <c r="B1302" s="59">
        <f>IFERROR(__xludf.DUMMYFUNCTION("IF(ISBLANK(D1302), """", IF(ISDATE(D1302), D1302, IF(D1302=""今天"", A1302, IF(D1302=""昨天 (-1 day)"", A1302-1, IF(D1302=""前天 (-2 days)"", A1302-2, IF(D1302=""明天 (+1 day)"", A1302+1, DATE(LEFT(D1302,4), MID(D1302,5,2), RIGHT(D1302,2))))))))"),45989.90232179398)</f>
        <v>45989.90232</v>
      </c>
      <c r="C1302" s="60">
        <f>IFERROR(__xludf.DUMMYFUNCTION("INDIRECT(""'收支紀錄'!C""&amp;TO_TEXT(ROW()-$C$72))"),99.0)</f>
        <v>99</v>
      </c>
      <c r="D1302" s="63" t="str">
        <f>IFERROR(__xludf.DUMMYFUNCTION("INDIRECT(""'收支紀錄'!D""&amp;TO_TEXT(ROW()-$C$72))"),"今天")</f>
        <v>今天</v>
      </c>
      <c r="E1302" s="61" t="str">
        <f>IFERROR(__xludf.DUMMYFUNCTION("INDIRECT(""'收支紀錄'!E""&amp;TO_TEXT(ROW()-$C$72))"),"")</f>
        <v/>
      </c>
      <c r="F1302" s="61" t="str">
        <f>IFERROR(__xludf.DUMMYFUNCTION("INDIRECT(""'收支紀錄'!F""&amp;TO_TEXT(ROW()-$C$72))"),"")</f>
        <v/>
      </c>
      <c r="G1302" s="61" t="str">
        <f>IFERROR(__xludf.DUMMYFUNCTION("INDIRECT(""'收支紀錄'!G""&amp;TO_TEXT(ROW()-$C$72))"),"")</f>
        <v/>
      </c>
      <c r="H1302" s="61" t="str">
        <f>IFERROR(__xludf.DUMMYFUNCTION("INDIRECT(""'收支紀錄'!H""&amp;TO_TEXT(ROW()-$C$72))"),"食品酒水")</f>
        <v>食品酒水</v>
      </c>
      <c r="I1302" s="61" t="str">
        <f>IFERROR(__xludf.DUMMYFUNCTION("INDIRECT(""'收支紀錄'!I""&amp;TO_TEXT(ROW()-$C$72))"),"晚餐")</f>
        <v>晚餐</v>
      </c>
      <c r="J1302" s="61" t="str">
        <f>IFERROR(__xludf.DUMMYFUNCTION("INDIRECT(""'收支紀錄'!J""&amp;TO_TEXT(ROW()-$C$72))"),"")</f>
        <v/>
      </c>
      <c r="K1302" s="61" t="str">
        <f>IFERROR(__xludf.DUMMYFUNCTION("INDIRECT(""'收支紀錄'!K""&amp;TO_TEXT(ROW()-$C$72))"),"")</f>
        <v/>
      </c>
      <c r="L1302" s="61" t="str">
        <f>IFERROR(__xludf.DUMMYFUNCTION("INDIRECT(""'收支紀錄'!L""&amp;TO_TEXT(ROW()-$C$72))"),"")</f>
        <v/>
      </c>
      <c r="M1302" s="61" t="str">
        <f>IFERROR(__xludf.DUMMYFUNCTION("INDIRECT(""'收支紀錄'!M""&amp;TO_TEXT(ROW()-$C$72))"),"")</f>
        <v/>
      </c>
      <c r="N1302" s="61" t="str">
        <f>IFERROR(__xludf.DUMMYFUNCTION("INDIRECT(""'收支紀錄'!N""&amp;TO_TEXT(ROW()-$C$72))"),"")</f>
        <v/>
      </c>
      <c r="O1302" s="61" t="str">
        <f>IFERROR(__xludf.DUMMYFUNCTION("INDIRECT(""'收支紀錄'!O""&amp;TO_TEXT(ROW()-$C$72))"),"")</f>
        <v/>
      </c>
      <c r="P1302" s="61" t="str">
        <f>IFERROR(__xludf.DUMMYFUNCTION("INDIRECT(""'收支紀錄'!P""&amp;TO_TEXT(ROW()-$C$72))"),"")</f>
        <v/>
      </c>
      <c r="Q1302" s="61" t="str">
        <f>IFERROR(__xludf.DUMMYFUNCTION("INDIRECT(""'收支紀錄'!Q""&amp;TO_TEXT(ROW()-$C$72))"),"")</f>
        <v/>
      </c>
      <c r="R1302" s="61" t="str">
        <f>IFERROR(__xludf.DUMMYFUNCTION("INDIRECT(""'收支紀錄'!R""&amp;TO_TEXT(ROW()-$C$72))"),"")</f>
        <v/>
      </c>
      <c r="S1302" s="61" t="str">
        <f>IFERROR(__xludf.DUMMYFUNCTION("INDIRECT(""'收支紀錄'!S""&amp;TO_TEXT(ROW()-$C$72))"),"")</f>
        <v/>
      </c>
      <c r="T1302" s="61" t="str">
        <f>IFERROR(__xludf.DUMMYFUNCTION("INDIRECT(""'收支紀錄'!T""&amp;TO_TEXT(ROW()-$C$72))"),"")</f>
        <v/>
      </c>
      <c r="U1302" s="62" t="str">
        <f>IFERROR(__xludf.DUMMYFUNCTION("IF(T1302=""是"",TEXTJOIN("""", TRUE, ""$"", TO_TEXT(C1302), S1302),"""")"),"")</f>
        <v/>
      </c>
    </row>
    <row r="1303">
      <c r="A1303" s="58">
        <f>IFERROR(__xludf.DUMMYFUNCTION("INDIRECT(""'收支紀錄'!A""&amp;TO_TEXT(ROW()-$C$72))"),45989.93426555555)</f>
        <v>45989.93427</v>
      </c>
      <c r="B1303" s="59">
        <f>IFERROR(__xludf.DUMMYFUNCTION("IF(ISBLANK(D1303), """", IF(ISDATE(D1303), D1303, IF(D1303=""今天"", A1303, IF(D1303=""昨天 (-1 day)"", A1303-1, IF(D1303=""前天 (-2 days)"", A1303-2, IF(D1303=""明天 (+1 day)"", A1303+1, DATE(LEFT(D1303,4), MID(D1303,5,2), RIGHT(D1303,2))))))))"),45989.93426555555)</f>
        <v>45989.93427</v>
      </c>
      <c r="C1303" s="60">
        <f>IFERROR(__xludf.DUMMYFUNCTION("INDIRECT(""'收支紀錄'!C""&amp;TO_TEXT(ROW()-$C$72))"),842.0)</f>
        <v>842</v>
      </c>
      <c r="D1303" s="63" t="str">
        <f>IFERROR(__xludf.DUMMYFUNCTION("INDIRECT(""'收支紀錄'!D""&amp;TO_TEXT(ROW()-$C$72))"),"今天")</f>
        <v>今天</v>
      </c>
      <c r="E1303" s="61" t="str">
        <f>IFERROR(__xludf.DUMMYFUNCTION("INDIRECT(""'收支紀錄'!E""&amp;TO_TEXT(ROW()-$C$72))"),"")</f>
        <v/>
      </c>
      <c r="F1303" s="61" t="str">
        <f>IFERROR(__xludf.DUMMYFUNCTION("INDIRECT(""'收支紀錄'!F""&amp;TO_TEXT(ROW()-$C$72))"),"")</f>
        <v/>
      </c>
      <c r="G1303" s="61" t="str">
        <f>IFERROR(__xludf.DUMMYFUNCTION("INDIRECT(""'收支紀錄'!G""&amp;TO_TEXT(ROW()-$C$72))"),"")</f>
        <v/>
      </c>
      <c r="H1303" s="61" t="str">
        <f>IFERROR(__xludf.DUMMYFUNCTION("INDIRECT(""'收支紀錄'!H""&amp;TO_TEXT(ROW()-$C$72))"),"進修學習")</f>
        <v>進修學習</v>
      </c>
      <c r="I1303" s="61" t="str">
        <f>IFERROR(__xludf.DUMMYFUNCTION("INDIRECT(""'收支紀錄'!I""&amp;TO_TEXT(ROW()-$C$72))"),"")</f>
        <v/>
      </c>
      <c r="J1303" s="61" t="str">
        <f>IFERROR(__xludf.DUMMYFUNCTION("INDIRECT(""'收支紀錄'!J""&amp;TO_TEXT(ROW()-$C$72))"),"")</f>
        <v/>
      </c>
      <c r="K1303" s="61" t="str">
        <f>IFERROR(__xludf.DUMMYFUNCTION("INDIRECT(""'收支紀錄'!K""&amp;TO_TEXT(ROW()-$C$72))"),"")</f>
        <v/>
      </c>
      <c r="L1303" s="61" t="str">
        <f>IFERROR(__xludf.DUMMYFUNCTION("INDIRECT(""'收支紀錄'!L""&amp;TO_TEXT(ROW()-$C$72))"),"")</f>
        <v/>
      </c>
      <c r="M1303" s="61" t="str">
        <f>IFERROR(__xludf.DUMMYFUNCTION("INDIRECT(""'收支紀錄'!M""&amp;TO_TEXT(ROW()-$C$72))"),"")</f>
        <v/>
      </c>
      <c r="N1303" s="61" t="str">
        <f>IFERROR(__xludf.DUMMYFUNCTION("INDIRECT(""'收支紀錄'!N""&amp;TO_TEXT(ROW()-$C$72))"),"")</f>
        <v/>
      </c>
      <c r="O1303" s="61" t="str">
        <f>IFERROR(__xludf.DUMMYFUNCTION("INDIRECT(""'收支紀錄'!O""&amp;TO_TEXT(ROW()-$C$72))"),"")</f>
        <v/>
      </c>
      <c r="P1303" s="61" t="str">
        <f>IFERROR(__xludf.DUMMYFUNCTION("INDIRECT(""'收支紀錄'!P""&amp;TO_TEXT(ROW()-$C$72))"),"書報雜誌")</f>
        <v>書報雜誌</v>
      </c>
      <c r="Q1303" s="61" t="str">
        <f>IFERROR(__xludf.DUMMYFUNCTION("INDIRECT(""'收支紀錄'!Q""&amp;TO_TEXT(ROW()-$C$72))"),"")</f>
        <v/>
      </c>
      <c r="R1303" s="61" t="str">
        <f>IFERROR(__xludf.DUMMYFUNCTION("INDIRECT(""'收支紀錄'!R""&amp;TO_TEXT(ROW()-$C$72))"),"")</f>
        <v/>
      </c>
      <c r="S1303" s="61" t="str">
        <f>IFERROR(__xludf.DUMMYFUNCTION("INDIRECT(""'收支紀錄'!S""&amp;TO_TEXT(ROW()-$C$72))"),"")</f>
        <v/>
      </c>
      <c r="T1303" s="61" t="str">
        <f>IFERROR(__xludf.DUMMYFUNCTION("INDIRECT(""'收支紀錄'!T""&amp;TO_TEXT(ROW()-$C$72))"),"")</f>
        <v/>
      </c>
      <c r="U1303" s="62" t="str">
        <f>IFERROR(__xludf.DUMMYFUNCTION("IF(T1303=""是"",TEXTJOIN("""", TRUE, ""$"", TO_TEXT(C1303), S1303),"""")"),"")</f>
        <v/>
      </c>
    </row>
    <row r="1304">
      <c r="A1304" s="58">
        <f>IFERROR(__xludf.DUMMYFUNCTION("INDIRECT(""'收支紀錄'!A""&amp;TO_TEXT(ROW()-$C$72))"),45990.664816539356)</f>
        <v>45990.66482</v>
      </c>
      <c r="B1304" s="59">
        <f>IFERROR(__xludf.DUMMYFUNCTION("IF(ISBLANK(D1304), """", IF(ISDATE(D1304), D1304, IF(D1304=""今天"", A1304, IF(D1304=""昨天 (-1 day)"", A1304-1, IF(D1304=""前天 (-2 days)"", A1304-2, IF(D1304=""明天 (+1 day)"", A1304+1, DATE(LEFT(D1304,4), MID(D1304,5,2), RIGHT(D1304,2))))))))"),45990.664816539356)</f>
        <v>45990.66482</v>
      </c>
      <c r="C1304" s="60">
        <f>IFERROR(__xludf.DUMMYFUNCTION("INDIRECT(""'收支紀錄'!C""&amp;TO_TEXT(ROW()-$C$72))"),765.0)</f>
        <v>765</v>
      </c>
      <c r="D1304" s="63" t="str">
        <f>IFERROR(__xludf.DUMMYFUNCTION("INDIRECT(""'收支紀錄'!D""&amp;TO_TEXT(ROW()-$C$72))"),"今天")</f>
        <v>今天</v>
      </c>
      <c r="E1304" s="61" t="str">
        <f>IFERROR(__xludf.DUMMYFUNCTION("INDIRECT(""'收支紀錄'!E""&amp;TO_TEXT(ROW()-$C$72))"),"")</f>
        <v/>
      </c>
      <c r="F1304" s="61" t="str">
        <f>IFERROR(__xludf.DUMMYFUNCTION("INDIRECT(""'收支紀錄'!F""&amp;TO_TEXT(ROW()-$C$72))"),"")</f>
        <v/>
      </c>
      <c r="G1304" s="61" t="str">
        <f>IFERROR(__xludf.DUMMYFUNCTION("INDIRECT(""'收支紀錄'!G""&amp;TO_TEXT(ROW()-$C$72))"),"")</f>
        <v/>
      </c>
      <c r="H1304" s="61" t="str">
        <f>IFERROR(__xludf.DUMMYFUNCTION("INDIRECT(""'收支紀錄'!H""&amp;TO_TEXT(ROW()-$C$72))"),"行車交通")</f>
        <v>行車交通</v>
      </c>
      <c r="I1304" s="61" t="str">
        <f>IFERROR(__xludf.DUMMYFUNCTION("INDIRECT(""'收支紀錄'!I""&amp;TO_TEXT(ROW()-$C$72))"),"")</f>
        <v/>
      </c>
      <c r="J1304" s="61" t="str">
        <f>IFERROR(__xludf.DUMMYFUNCTION("INDIRECT(""'收支紀錄'!J""&amp;TO_TEXT(ROW()-$C$72))"),"")</f>
        <v/>
      </c>
      <c r="K1304" s="61" t="str">
        <f>IFERROR(__xludf.DUMMYFUNCTION("INDIRECT(""'收支紀錄'!K""&amp;TO_TEXT(ROW()-$C$72))"),"")</f>
        <v/>
      </c>
      <c r="L1304" s="61" t="str">
        <f>IFERROR(__xludf.DUMMYFUNCTION("INDIRECT(""'收支紀錄'!L""&amp;TO_TEXT(ROW()-$C$72))"),"加油")</f>
        <v>加油</v>
      </c>
      <c r="M1304" s="61" t="str">
        <f>IFERROR(__xludf.DUMMYFUNCTION("INDIRECT(""'收支紀錄'!M""&amp;TO_TEXT(ROW()-$C$72))"),"")</f>
        <v/>
      </c>
      <c r="N1304" s="61" t="str">
        <f>IFERROR(__xludf.DUMMYFUNCTION("INDIRECT(""'收支紀錄'!N""&amp;TO_TEXT(ROW()-$C$72))"),"")</f>
        <v/>
      </c>
      <c r="O1304" s="61" t="str">
        <f>IFERROR(__xludf.DUMMYFUNCTION("INDIRECT(""'收支紀錄'!O""&amp;TO_TEXT(ROW()-$C$72))"),"")</f>
        <v/>
      </c>
      <c r="P1304" s="61" t="str">
        <f>IFERROR(__xludf.DUMMYFUNCTION("INDIRECT(""'收支紀錄'!P""&amp;TO_TEXT(ROW()-$C$72))"),"")</f>
        <v/>
      </c>
      <c r="Q1304" s="61" t="str">
        <f>IFERROR(__xludf.DUMMYFUNCTION("INDIRECT(""'收支紀錄'!Q""&amp;TO_TEXT(ROW()-$C$72))"),"")</f>
        <v/>
      </c>
      <c r="R1304" s="61" t="str">
        <f>IFERROR(__xludf.DUMMYFUNCTION("INDIRECT(""'收支紀錄'!R""&amp;TO_TEXT(ROW()-$C$72))"),"")</f>
        <v/>
      </c>
      <c r="S1304" s="61" t="str">
        <f>IFERROR(__xludf.DUMMYFUNCTION("INDIRECT(""'收支紀錄'!S""&amp;TO_TEXT(ROW()-$C$72))"),"")</f>
        <v/>
      </c>
      <c r="T1304" s="61" t="str">
        <f>IFERROR(__xludf.DUMMYFUNCTION("INDIRECT(""'收支紀錄'!T""&amp;TO_TEXT(ROW()-$C$72))"),"")</f>
        <v/>
      </c>
      <c r="U1304" s="62" t="str">
        <f>IFERROR(__xludf.DUMMYFUNCTION("IF(T1304=""是"",TEXTJOIN("""", TRUE, ""$"", TO_TEXT(C1304), S1304),"""")"),"")</f>
        <v/>
      </c>
    </row>
    <row r="1305">
      <c r="A1305" s="58">
        <f>IFERROR(__xludf.DUMMYFUNCTION("INDIRECT(""'收支紀錄'!A""&amp;TO_TEXT(ROW()-$C$72))"),45991.500577569444)</f>
        <v>45991.50058</v>
      </c>
      <c r="B1305" s="59">
        <f>IFERROR(__xludf.DUMMYFUNCTION("IF(ISBLANK(D1305), """", IF(ISDATE(D1305), D1305, IF(D1305=""今天"", A1305, IF(D1305=""昨天 (-1 day)"", A1305-1, IF(D1305=""前天 (-2 days)"", A1305-2, IF(D1305=""明天 (+1 day)"", A1305+1, DATE(LEFT(D1305,4), MID(D1305,5,2), RIGHT(D1305,2))))))))"),45991.500577569444)</f>
        <v>45991.50058</v>
      </c>
      <c r="C1305" s="60">
        <f>IFERROR(__xludf.DUMMYFUNCTION("INDIRECT(""'收支紀錄'!C""&amp;TO_TEXT(ROW()-$C$72))"),1081.0)</f>
        <v>1081</v>
      </c>
      <c r="D1305" s="63" t="str">
        <f>IFERROR(__xludf.DUMMYFUNCTION("INDIRECT(""'收支紀錄'!D""&amp;TO_TEXT(ROW()-$C$72))"),"今天")</f>
        <v>今天</v>
      </c>
      <c r="E1305" s="61" t="str">
        <f>IFERROR(__xludf.DUMMYFUNCTION("INDIRECT(""'收支紀錄'!E""&amp;TO_TEXT(ROW()-$C$72))"),"")</f>
        <v/>
      </c>
      <c r="F1305" s="61" t="str">
        <f>IFERROR(__xludf.DUMMYFUNCTION("INDIRECT(""'收支紀錄'!F""&amp;TO_TEXT(ROW()-$C$72))"),"")</f>
        <v/>
      </c>
      <c r="G1305" s="61" t="str">
        <f>IFERROR(__xludf.DUMMYFUNCTION("INDIRECT(""'收支紀錄'!G""&amp;TO_TEXT(ROW()-$C$72))"),"")</f>
        <v/>
      </c>
      <c r="H1305" s="61" t="str">
        <f>IFERROR(__xludf.DUMMYFUNCTION("INDIRECT(""'收支紀錄'!H""&amp;TO_TEXT(ROW()-$C$72))"),"日常生活")</f>
        <v>日常生活</v>
      </c>
      <c r="I1305" s="61" t="str">
        <f>IFERROR(__xludf.DUMMYFUNCTION("INDIRECT(""'收支紀錄'!I""&amp;TO_TEXT(ROW()-$C$72))"),"")</f>
        <v/>
      </c>
      <c r="J1305" s="61" t="str">
        <f>IFERROR(__xludf.DUMMYFUNCTION("INDIRECT(""'收支紀錄'!J""&amp;TO_TEXT(ROW()-$C$72))"),"日常用品")</f>
        <v>日常用品</v>
      </c>
      <c r="K1305" s="61" t="str">
        <f>IFERROR(__xludf.DUMMYFUNCTION("INDIRECT(""'收支紀錄'!K""&amp;TO_TEXT(ROW()-$C$72))"),"")</f>
        <v/>
      </c>
      <c r="L1305" s="61" t="str">
        <f>IFERROR(__xludf.DUMMYFUNCTION("INDIRECT(""'收支紀錄'!L""&amp;TO_TEXT(ROW()-$C$72))"),"")</f>
        <v/>
      </c>
      <c r="M1305" s="61" t="str">
        <f>IFERROR(__xludf.DUMMYFUNCTION("INDIRECT(""'收支紀錄'!M""&amp;TO_TEXT(ROW()-$C$72))"),"")</f>
        <v/>
      </c>
      <c r="N1305" s="61" t="str">
        <f>IFERROR(__xludf.DUMMYFUNCTION("INDIRECT(""'收支紀錄'!N""&amp;TO_TEXT(ROW()-$C$72))"),"")</f>
        <v/>
      </c>
      <c r="O1305" s="61" t="str">
        <f>IFERROR(__xludf.DUMMYFUNCTION("INDIRECT(""'收支紀錄'!O""&amp;TO_TEXT(ROW()-$C$72))"),"")</f>
        <v/>
      </c>
      <c r="P1305" s="61" t="str">
        <f>IFERROR(__xludf.DUMMYFUNCTION("INDIRECT(""'收支紀錄'!P""&amp;TO_TEXT(ROW()-$C$72))"),"")</f>
        <v/>
      </c>
      <c r="Q1305" s="61" t="str">
        <f>IFERROR(__xludf.DUMMYFUNCTION("INDIRECT(""'收支紀錄'!Q""&amp;TO_TEXT(ROW()-$C$72))"),"")</f>
        <v/>
      </c>
      <c r="R1305" s="61" t="str">
        <f>IFERROR(__xludf.DUMMYFUNCTION("INDIRECT(""'收支紀錄'!R""&amp;TO_TEXT(ROW()-$C$72))"),"")</f>
        <v/>
      </c>
      <c r="S1305" s="61" t="str">
        <f>IFERROR(__xludf.DUMMYFUNCTION("INDIRECT(""'收支紀錄'!S""&amp;TO_TEXT(ROW()-$C$72))"),"")</f>
        <v/>
      </c>
      <c r="T1305" s="61" t="str">
        <f>IFERROR(__xludf.DUMMYFUNCTION("INDIRECT(""'收支紀錄'!T""&amp;TO_TEXT(ROW()-$C$72))"),"")</f>
        <v/>
      </c>
      <c r="U1305" s="62" t="str">
        <f>IFERROR(__xludf.DUMMYFUNCTION("IF(T1305=""是"",TEXTJOIN("""", TRUE, ""$"", TO_TEXT(C1305), S1305),"""")"),"")</f>
        <v/>
      </c>
    </row>
    <row r="1306">
      <c r="A1306" s="58">
        <f>IFERROR(__xludf.DUMMYFUNCTION("INDIRECT(""'收支紀錄'!A""&amp;TO_TEXT(ROW()-$C$72))"),45991.85670682871)</f>
        <v>45991.85671</v>
      </c>
      <c r="B1306" s="59">
        <f>IFERROR(__xludf.DUMMYFUNCTION("IF(ISBLANK(D1306), """", IF(ISDATE(D1306), D1306, IF(D1306=""今天"", A1306, IF(D1306=""昨天 (-1 day)"", A1306-1, IF(D1306=""前天 (-2 days)"", A1306-2, IF(D1306=""明天 (+1 day)"", A1306+1, DATE(LEFT(D1306,4), MID(D1306,5,2), RIGHT(D1306,2))))))))"),45991.85670682871)</f>
        <v>45991.85671</v>
      </c>
      <c r="C1306" s="60">
        <f>IFERROR(__xludf.DUMMYFUNCTION("INDIRECT(""'收支紀錄'!C""&amp;TO_TEXT(ROW()-$C$72))"),480.0)</f>
        <v>480</v>
      </c>
      <c r="D1306" s="63" t="str">
        <f>IFERROR(__xludf.DUMMYFUNCTION("INDIRECT(""'收支紀錄'!D""&amp;TO_TEXT(ROW()-$C$72))"),"今天")</f>
        <v>今天</v>
      </c>
      <c r="E1306" s="61" t="str">
        <f>IFERROR(__xludf.DUMMYFUNCTION("INDIRECT(""'收支紀錄'!E""&amp;TO_TEXT(ROW()-$C$72))"),"")</f>
        <v/>
      </c>
      <c r="F1306" s="61" t="str">
        <f>IFERROR(__xludf.DUMMYFUNCTION("INDIRECT(""'收支紀錄'!F""&amp;TO_TEXT(ROW()-$C$72))"),"")</f>
        <v/>
      </c>
      <c r="G1306" s="61" t="str">
        <f>IFERROR(__xludf.DUMMYFUNCTION("INDIRECT(""'收支紀錄'!G""&amp;TO_TEXT(ROW()-$C$72))"),"")</f>
        <v/>
      </c>
      <c r="H1306" s="61" t="str">
        <f>IFERROR(__xludf.DUMMYFUNCTION("INDIRECT(""'收支紀錄'!H""&amp;TO_TEXT(ROW()-$C$72))"),"房屋支出")</f>
        <v>房屋支出</v>
      </c>
      <c r="I1306" s="61" t="str">
        <f>IFERROR(__xludf.DUMMYFUNCTION("INDIRECT(""'收支紀錄'!I""&amp;TO_TEXT(ROW()-$C$72))"),"")</f>
        <v/>
      </c>
      <c r="J1306" s="61" t="str">
        <f>IFERROR(__xludf.DUMMYFUNCTION("INDIRECT(""'收支紀錄'!J""&amp;TO_TEXT(ROW()-$C$72))"),"")</f>
        <v/>
      </c>
      <c r="K1306" s="61" t="str">
        <f>IFERROR(__xludf.DUMMYFUNCTION("INDIRECT(""'收支紀錄'!K""&amp;TO_TEXT(ROW()-$C$72))"),"租屋電費")</f>
        <v>租屋電費</v>
      </c>
      <c r="L1306" s="61" t="str">
        <f>IFERROR(__xludf.DUMMYFUNCTION("INDIRECT(""'收支紀錄'!L""&amp;TO_TEXT(ROW()-$C$72))"),"")</f>
        <v/>
      </c>
      <c r="M1306" s="61" t="str">
        <f>IFERROR(__xludf.DUMMYFUNCTION("INDIRECT(""'收支紀錄'!M""&amp;TO_TEXT(ROW()-$C$72))"),"")</f>
        <v/>
      </c>
      <c r="N1306" s="61" t="str">
        <f>IFERROR(__xludf.DUMMYFUNCTION("INDIRECT(""'收支紀錄'!N""&amp;TO_TEXT(ROW()-$C$72))"),"")</f>
        <v/>
      </c>
      <c r="O1306" s="61" t="str">
        <f>IFERROR(__xludf.DUMMYFUNCTION("INDIRECT(""'收支紀錄'!O""&amp;TO_TEXT(ROW()-$C$72))"),"")</f>
        <v/>
      </c>
      <c r="P1306" s="61" t="str">
        <f>IFERROR(__xludf.DUMMYFUNCTION("INDIRECT(""'收支紀錄'!P""&amp;TO_TEXT(ROW()-$C$72))"),"")</f>
        <v/>
      </c>
      <c r="Q1306" s="61" t="str">
        <f>IFERROR(__xludf.DUMMYFUNCTION("INDIRECT(""'收支紀錄'!Q""&amp;TO_TEXT(ROW()-$C$72))"),"")</f>
        <v/>
      </c>
      <c r="R1306" s="61" t="str">
        <f>IFERROR(__xludf.DUMMYFUNCTION("INDIRECT(""'收支紀錄'!R""&amp;TO_TEXT(ROW()-$C$72))"),"")</f>
        <v/>
      </c>
      <c r="S1306" s="61" t="str">
        <f>IFERROR(__xludf.DUMMYFUNCTION("INDIRECT(""'收支紀錄'!S""&amp;TO_TEXT(ROW()-$C$72))"),"")</f>
        <v/>
      </c>
      <c r="T1306" s="61" t="str">
        <f>IFERROR(__xludf.DUMMYFUNCTION("INDIRECT(""'收支紀錄'!T""&amp;TO_TEXT(ROW()-$C$72))"),"")</f>
        <v/>
      </c>
      <c r="U1306" s="62" t="str">
        <f>IFERROR(__xludf.DUMMYFUNCTION("IF(T1306=""是"",TEXTJOIN("""", TRUE, ""$"", TO_TEXT(C1306), S1306),"""")"),"")</f>
        <v/>
      </c>
    </row>
    <row r="1307">
      <c r="A1307" s="58">
        <f>IFERROR(__xludf.DUMMYFUNCTION("INDIRECT(""'收支紀錄'!A""&amp;TO_TEXT(ROW()-$C$72))"),45992.31617582176)</f>
        <v>45992.31618</v>
      </c>
      <c r="B1307" s="59">
        <f>IFERROR(__xludf.DUMMYFUNCTION("IF(ISBLANK(D1307), """", IF(ISDATE(D1307), D1307, IF(D1307=""今天"", A1307, IF(D1307=""昨天 (-1 day)"", A1307-1, IF(D1307=""前天 (-2 days)"", A1307-2, IF(D1307=""明天 (+1 day)"", A1307+1, DATE(LEFT(D1307,4), MID(D1307,5,2), RIGHT(D1307,2))))))))"),45992.31617582176)</f>
        <v>45992.31618</v>
      </c>
      <c r="C1307" s="60">
        <f>IFERROR(__xludf.DUMMYFUNCTION("INDIRECT(""'收支紀錄'!C""&amp;TO_TEXT(ROW()-$C$72))"),6000.0)</f>
        <v>6000</v>
      </c>
      <c r="D1307" s="63" t="str">
        <f>IFERROR(__xludf.DUMMYFUNCTION("INDIRECT(""'收支紀錄'!D""&amp;TO_TEXT(ROW()-$C$72))"),"今天")</f>
        <v>今天</v>
      </c>
      <c r="E1307" s="61" t="str">
        <f>IFERROR(__xludf.DUMMYFUNCTION("INDIRECT(""'收支紀錄'!E""&amp;TO_TEXT(ROW()-$C$72))"),"")</f>
        <v/>
      </c>
      <c r="F1307" s="61" t="str">
        <f>IFERROR(__xludf.DUMMYFUNCTION("INDIRECT(""'收支紀錄'!F""&amp;TO_TEXT(ROW()-$C$72))"),"")</f>
        <v/>
      </c>
      <c r="G1307" s="61" t="str">
        <f>IFERROR(__xludf.DUMMYFUNCTION("INDIRECT(""'收支紀錄'!G""&amp;TO_TEXT(ROW()-$C$72))"),"")</f>
        <v/>
      </c>
      <c r="H1307" s="61" t="str">
        <f>IFERROR(__xludf.DUMMYFUNCTION("INDIRECT(""'收支紀錄'!H""&amp;TO_TEXT(ROW()-$C$72))"),"房屋支出")</f>
        <v>房屋支出</v>
      </c>
      <c r="I1307" s="61" t="str">
        <f>IFERROR(__xludf.DUMMYFUNCTION("INDIRECT(""'收支紀錄'!I""&amp;TO_TEXT(ROW()-$C$72))"),"")</f>
        <v/>
      </c>
      <c r="J1307" s="61" t="str">
        <f>IFERROR(__xludf.DUMMYFUNCTION("INDIRECT(""'收支紀錄'!J""&amp;TO_TEXT(ROW()-$C$72))"),"")</f>
        <v/>
      </c>
      <c r="K1307" s="61" t="str">
        <f>IFERROR(__xludf.DUMMYFUNCTION("INDIRECT(""'收支紀錄'!K""&amp;TO_TEXT(ROW()-$C$72))"),"租屋")</f>
        <v>租屋</v>
      </c>
      <c r="L1307" s="61" t="str">
        <f>IFERROR(__xludf.DUMMYFUNCTION("INDIRECT(""'收支紀錄'!L""&amp;TO_TEXT(ROW()-$C$72))"),"")</f>
        <v/>
      </c>
      <c r="M1307" s="61" t="str">
        <f>IFERROR(__xludf.DUMMYFUNCTION("INDIRECT(""'收支紀錄'!M""&amp;TO_TEXT(ROW()-$C$72))"),"")</f>
        <v/>
      </c>
      <c r="N1307" s="61" t="str">
        <f>IFERROR(__xludf.DUMMYFUNCTION("INDIRECT(""'收支紀錄'!N""&amp;TO_TEXT(ROW()-$C$72))"),"")</f>
        <v/>
      </c>
      <c r="O1307" s="61" t="str">
        <f>IFERROR(__xludf.DUMMYFUNCTION("INDIRECT(""'收支紀錄'!O""&amp;TO_TEXT(ROW()-$C$72))"),"")</f>
        <v/>
      </c>
      <c r="P1307" s="61" t="str">
        <f>IFERROR(__xludf.DUMMYFUNCTION("INDIRECT(""'收支紀錄'!P""&amp;TO_TEXT(ROW()-$C$72))"),"")</f>
        <v/>
      </c>
      <c r="Q1307" s="61" t="str">
        <f>IFERROR(__xludf.DUMMYFUNCTION("INDIRECT(""'收支紀錄'!Q""&amp;TO_TEXT(ROW()-$C$72))"),"")</f>
        <v/>
      </c>
      <c r="R1307" s="61" t="str">
        <f>IFERROR(__xludf.DUMMYFUNCTION("INDIRECT(""'收支紀錄'!R""&amp;TO_TEXT(ROW()-$C$72))"),"")</f>
        <v/>
      </c>
      <c r="S1307" s="61" t="str">
        <f>IFERROR(__xludf.DUMMYFUNCTION("INDIRECT(""'收支紀錄'!S""&amp;TO_TEXT(ROW()-$C$72))"),"")</f>
        <v/>
      </c>
      <c r="T1307" s="61" t="str">
        <f>IFERROR(__xludf.DUMMYFUNCTION("INDIRECT(""'收支紀錄'!T""&amp;TO_TEXT(ROW()-$C$72))"),"")</f>
        <v/>
      </c>
      <c r="U1307" s="62" t="str">
        <f>IFERROR(__xludf.DUMMYFUNCTION("IF(T1307=""是"",TEXTJOIN("""", TRUE, ""$"", TO_TEXT(C1307), S1307),"""")"),"")</f>
        <v/>
      </c>
    </row>
    <row r="1308">
      <c r="A1308" s="58">
        <f>IFERROR(__xludf.DUMMYFUNCTION("INDIRECT(""'收支紀錄'!A""&amp;TO_TEXT(ROW()-$C$72))"),45992.31633930556)</f>
        <v>45992.31634</v>
      </c>
      <c r="B1308" s="59">
        <f>IFERROR(__xludf.DUMMYFUNCTION("IF(ISBLANK(D1308), """", IF(ISDATE(D1308), D1308, IF(D1308=""今天"", A1308, IF(D1308=""昨天 (-1 day)"", A1308-1, IF(D1308=""前天 (-2 days)"", A1308-2, IF(D1308=""明天 (+1 day)"", A1308+1, DATE(LEFT(D1308,4), MID(D1308,5,2), RIGHT(D1308,2))))))))"),45992.31633930556)</f>
        <v>45992.31634</v>
      </c>
      <c r="C1308" s="60">
        <f>IFERROR(__xludf.DUMMYFUNCTION("INDIRECT(""'收支紀錄'!C""&amp;TO_TEXT(ROW()-$C$72))"),20000.0)</f>
        <v>20000</v>
      </c>
      <c r="D1308" s="63" t="str">
        <f>IFERROR(__xludf.DUMMYFUNCTION("INDIRECT(""'收支紀錄'!D""&amp;TO_TEXT(ROW()-$C$72))"),"今天")</f>
        <v>今天</v>
      </c>
      <c r="E1308" s="61" t="str">
        <f>IFERROR(__xludf.DUMMYFUNCTION("INDIRECT(""'收支紀錄'!E""&amp;TO_TEXT(ROW()-$C$72))"),"")</f>
        <v/>
      </c>
      <c r="F1308" s="61" t="str">
        <f>IFERROR(__xludf.DUMMYFUNCTION("INDIRECT(""'收支紀錄'!F""&amp;TO_TEXT(ROW()-$C$72))"),"")</f>
        <v/>
      </c>
      <c r="G1308" s="61" t="str">
        <f>IFERROR(__xludf.DUMMYFUNCTION("INDIRECT(""'收支紀錄'!G""&amp;TO_TEXT(ROW()-$C$72))"),"")</f>
        <v/>
      </c>
      <c r="H1308" s="61" t="str">
        <f>IFERROR(__xludf.DUMMYFUNCTION("INDIRECT(""'收支紀錄'!H""&amp;TO_TEXT(ROW()-$C$72))"),"房屋支出")</f>
        <v>房屋支出</v>
      </c>
      <c r="I1308" s="61" t="str">
        <f>IFERROR(__xludf.DUMMYFUNCTION("INDIRECT(""'收支紀錄'!I""&amp;TO_TEXT(ROW()-$C$72))"),"")</f>
        <v/>
      </c>
      <c r="J1308" s="61" t="str">
        <f>IFERROR(__xludf.DUMMYFUNCTION("INDIRECT(""'收支紀錄'!J""&amp;TO_TEXT(ROW()-$C$72))"),"")</f>
        <v/>
      </c>
      <c r="K1308" s="61" t="str">
        <f>IFERROR(__xludf.DUMMYFUNCTION("INDIRECT(""'收支紀錄'!K""&amp;TO_TEXT(ROW()-$C$72))"),"文心1房貸代繳")</f>
        <v>文心1房貸代繳</v>
      </c>
      <c r="L1308" s="61" t="str">
        <f>IFERROR(__xludf.DUMMYFUNCTION("INDIRECT(""'收支紀錄'!L""&amp;TO_TEXT(ROW()-$C$72))"),"")</f>
        <v/>
      </c>
      <c r="M1308" s="61" t="str">
        <f>IFERROR(__xludf.DUMMYFUNCTION("INDIRECT(""'收支紀錄'!M""&amp;TO_TEXT(ROW()-$C$72))"),"")</f>
        <v/>
      </c>
      <c r="N1308" s="61" t="str">
        <f>IFERROR(__xludf.DUMMYFUNCTION("INDIRECT(""'收支紀錄'!N""&amp;TO_TEXT(ROW()-$C$72))"),"")</f>
        <v/>
      </c>
      <c r="O1308" s="61" t="str">
        <f>IFERROR(__xludf.DUMMYFUNCTION("INDIRECT(""'收支紀錄'!O""&amp;TO_TEXT(ROW()-$C$72))"),"")</f>
        <v/>
      </c>
      <c r="P1308" s="61" t="str">
        <f>IFERROR(__xludf.DUMMYFUNCTION("INDIRECT(""'收支紀錄'!P""&amp;TO_TEXT(ROW()-$C$72))"),"")</f>
        <v/>
      </c>
      <c r="Q1308" s="61" t="str">
        <f>IFERROR(__xludf.DUMMYFUNCTION("INDIRECT(""'收支紀錄'!Q""&amp;TO_TEXT(ROW()-$C$72))"),"")</f>
        <v/>
      </c>
      <c r="R1308" s="61" t="str">
        <f>IFERROR(__xludf.DUMMYFUNCTION("INDIRECT(""'收支紀錄'!R""&amp;TO_TEXT(ROW()-$C$72))"),"")</f>
        <v/>
      </c>
      <c r="S1308" s="61" t="str">
        <f>IFERROR(__xludf.DUMMYFUNCTION("INDIRECT(""'收支紀錄'!S""&amp;TO_TEXT(ROW()-$C$72))"),"")</f>
        <v/>
      </c>
      <c r="T1308" s="61" t="str">
        <f>IFERROR(__xludf.DUMMYFUNCTION("INDIRECT(""'收支紀錄'!T""&amp;TO_TEXT(ROW()-$C$72))"),"")</f>
        <v/>
      </c>
      <c r="U1308" s="62" t="str">
        <f>IFERROR(__xludf.DUMMYFUNCTION("IF(T1308=""是"",TEXTJOIN("""", TRUE, ""$"", TO_TEXT(C1308), S1308),"""")"),"")</f>
        <v/>
      </c>
    </row>
    <row r="1309">
      <c r="A1309" s="58">
        <f>IFERROR(__xludf.DUMMYFUNCTION("INDIRECT(""'收支紀錄'!A""&amp;TO_TEXT(ROW()-$C$72))"),45992.31650888889)</f>
        <v>45992.31651</v>
      </c>
      <c r="B1309" s="59">
        <f>IFERROR(__xludf.DUMMYFUNCTION("IF(ISBLANK(D1309), """", IF(ISDATE(D1309), D1309, IF(D1309=""今天"", A1309, IF(D1309=""昨天 (-1 day)"", A1309-1, IF(D1309=""前天 (-2 days)"", A1309-2, IF(D1309=""明天 (+1 day)"", A1309+1, DATE(LEFT(D1309,4), MID(D1309,5,2), RIGHT(D1309,2))))))))"),45992.31650888889)</f>
        <v>45992.31651</v>
      </c>
      <c r="C1309" s="60">
        <f>IFERROR(__xludf.DUMMYFUNCTION("INDIRECT(""'收支紀錄'!C""&amp;TO_TEXT(ROW()-$C$72))"),6000.0)</f>
        <v>6000</v>
      </c>
      <c r="D1309" s="63" t="str">
        <f>IFERROR(__xludf.DUMMYFUNCTION("INDIRECT(""'收支紀錄'!D""&amp;TO_TEXT(ROW()-$C$72))"),"今天")</f>
        <v>今天</v>
      </c>
      <c r="E1309" s="61" t="str">
        <f>IFERROR(__xludf.DUMMYFUNCTION("INDIRECT(""'收支紀錄'!E""&amp;TO_TEXT(ROW()-$C$72))"),"其他業外")</f>
        <v>其他業外</v>
      </c>
      <c r="F1309" s="61" t="str">
        <f>IFERROR(__xludf.DUMMYFUNCTION("INDIRECT(""'收支紀錄'!F""&amp;TO_TEXT(ROW()-$C$72))"),"")</f>
        <v/>
      </c>
      <c r="G1309" s="61" t="str">
        <f>IFERROR(__xludf.DUMMYFUNCTION("INDIRECT(""'收支紀錄'!G""&amp;TO_TEXT(ROW()-$C$72))"),"房屋補貼")</f>
        <v>房屋補貼</v>
      </c>
      <c r="H1309" s="61" t="str">
        <f>IFERROR(__xludf.DUMMYFUNCTION("INDIRECT(""'收支紀錄'!H""&amp;TO_TEXT(ROW()-$C$72))"),"")</f>
        <v/>
      </c>
      <c r="I1309" s="61" t="str">
        <f>IFERROR(__xludf.DUMMYFUNCTION("INDIRECT(""'收支紀錄'!I""&amp;TO_TEXT(ROW()-$C$72))"),"")</f>
        <v/>
      </c>
      <c r="J1309" s="61" t="str">
        <f>IFERROR(__xludf.DUMMYFUNCTION("INDIRECT(""'收支紀錄'!J""&amp;TO_TEXT(ROW()-$C$72))"),"")</f>
        <v/>
      </c>
      <c r="K1309" s="61" t="str">
        <f>IFERROR(__xludf.DUMMYFUNCTION("INDIRECT(""'收支紀錄'!K""&amp;TO_TEXT(ROW()-$C$72))"),"")</f>
        <v/>
      </c>
      <c r="L1309" s="61" t="str">
        <f>IFERROR(__xludf.DUMMYFUNCTION("INDIRECT(""'收支紀錄'!L""&amp;TO_TEXT(ROW()-$C$72))"),"")</f>
        <v/>
      </c>
      <c r="M1309" s="61" t="str">
        <f>IFERROR(__xludf.DUMMYFUNCTION("INDIRECT(""'收支紀錄'!M""&amp;TO_TEXT(ROW()-$C$72))"),"")</f>
        <v/>
      </c>
      <c r="N1309" s="61" t="str">
        <f>IFERROR(__xludf.DUMMYFUNCTION("INDIRECT(""'收支紀錄'!N""&amp;TO_TEXT(ROW()-$C$72))"),"")</f>
        <v/>
      </c>
      <c r="O1309" s="61" t="str">
        <f>IFERROR(__xludf.DUMMYFUNCTION("INDIRECT(""'收支紀錄'!O""&amp;TO_TEXT(ROW()-$C$72))"),"")</f>
        <v/>
      </c>
      <c r="P1309" s="61" t="str">
        <f>IFERROR(__xludf.DUMMYFUNCTION("INDIRECT(""'收支紀錄'!P""&amp;TO_TEXT(ROW()-$C$72))"),"")</f>
        <v/>
      </c>
      <c r="Q1309" s="61" t="str">
        <f>IFERROR(__xludf.DUMMYFUNCTION("INDIRECT(""'收支紀錄'!Q""&amp;TO_TEXT(ROW()-$C$72))"),"")</f>
        <v/>
      </c>
      <c r="R1309" s="61" t="str">
        <f>IFERROR(__xludf.DUMMYFUNCTION("INDIRECT(""'收支紀錄'!R""&amp;TO_TEXT(ROW()-$C$72))"),"")</f>
        <v/>
      </c>
      <c r="S1309" s="61" t="str">
        <f>IFERROR(__xludf.DUMMYFUNCTION("INDIRECT(""'收支紀錄'!S""&amp;TO_TEXT(ROW()-$C$72))"),"")</f>
        <v/>
      </c>
      <c r="T1309" s="61" t="str">
        <f>IFERROR(__xludf.DUMMYFUNCTION("INDIRECT(""'收支紀錄'!T""&amp;TO_TEXT(ROW()-$C$72))"),"")</f>
        <v/>
      </c>
      <c r="U1309" s="62" t="str">
        <f>IFERROR(__xludf.DUMMYFUNCTION("IF(T1309=""是"",TEXTJOIN("""", TRUE, ""$"", TO_TEXT(C1309), S1309),"""")"),"")</f>
        <v/>
      </c>
    </row>
    <row r="1310">
      <c r="A1310" s="58">
        <f>IFERROR(__xludf.DUMMYFUNCTION("INDIRECT(""'收支紀錄'!A""&amp;TO_TEXT(ROW()-$C$72))"),45992.31689623842)</f>
        <v>45992.3169</v>
      </c>
      <c r="B1310" s="59">
        <f>IFERROR(__xludf.DUMMYFUNCTION("IF(ISBLANK(D1310), """", IF(ISDATE(D1310), D1310, IF(D1310=""今天"", A1310, IF(D1310=""昨天 (-1 day)"", A1310-1, IF(D1310=""前天 (-2 days)"", A1310-2, IF(D1310=""明天 (+1 day)"", A1310+1, DATE(LEFT(D1310,4), MID(D1310,5,2), RIGHT(D1310,2))))))))"),45991.31689623842)</f>
        <v>45991.3169</v>
      </c>
      <c r="C1310" s="60">
        <f>IFERROR(__xludf.DUMMYFUNCTION("INDIRECT(""'收支紀錄'!C""&amp;TO_TEXT(ROW()-$C$72))"),100.0)</f>
        <v>100</v>
      </c>
      <c r="D1310" s="63" t="str">
        <f>IFERROR(__xludf.DUMMYFUNCTION("INDIRECT(""'收支紀錄'!D""&amp;TO_TEXT(ROW()-$C$72))"),"昨天 (-1 day)")</f>
        <v>昨天 (-1 day)</v>
      </c>
      <c r="E1310" s="61" t="str">
        <f>IFERROR(__xludf.DUMMYFUNCTION("INDIRECT(""'收支紀錄'!E""&amp;TO_TEXT(ROW()-$C$72))"),"")</f>
        <v/>
      </c>
      <c r="F1310" s="61" t="str">
        <f>IFERROR(__xludf.DUMMYFUNCTION("INDIRECT(""'收支紀錄'!F""&amp;TO_TEXT(ROW()-$C$72))"),"")</f>
        <v/>
      </c>
      <c r="G1310" s="61" t="str">
        <f>IFERROR(__xludf.DUMMYFUNCTION("INDIRECT(""'收支紀錄'!G""&amp;TO_TEXT(ROW()-$C$72))"),"")</f>
        <v/>
      </c>
      <c r="H1310" s="61" t="str">
        <f>IFERROR(__xludf.DUMMYFUNCTION("INDIRECT(""'收支紀錄'!H""&amp;TO_TEXT(ROW()-$C$72))"),"休閒娛樂")</f>
        <v>休閒娛樂</v>
      </c>
      <c r="I1310" s="61" t="str">
        <f>IFERROR(__xludf.DUMMYFUNCTION("INDIRECT(""'收支紀錄'!I""&amp;TO_TEXT(ROW()-$C$72))"),"")</f>
        <v/>
      </c>
      <c r="J1310" s="61" t="str">
        <f>IFERROR(__xludf.DUMMYFUNCTION("INDIRECT(""'收支紀錄'!J""&amp;TO_TEXT(ROW()-$C$72))"),"")</f>
        <v/>
      </c>
      <c r="K1310" s="61" t="str">
        <f>IFERROR(__xludf.DUMMYFUNCTION("INDIRECT(""'收支紀錄'!K""&amp;TO_TEXT(ROW()-$C$72))"),"")</f>
        <v/>
      </c>
      <c r="L1310" s="61" t="str">
        <f>IFERROR(__xludf.DUMMYFUNCTION("INDIRECT(""'收支紀錄'!L""&amp;TO_TEXT(ROW()-$C$72))"),"")</f>
        <v/>
      </c>
      <c r="M1310" s="61" t="str">
        <f>IFERROR(__xludf.DUMMYFUNCTION("INDIRECT(""'收支紀錄'!M""&amp;TO_TEXT(ROW()-$C$72))"),"運動健身")</f>
        <v>運動健身</v>
      </c>
      <c r="N1310" s="61" t="str">
        <f>IFERROR(__xludf.DUMMYFUNCTION("INDIRECT(""'收支紀錄'!N""&amp;TO_TEXT(ROW()-$C$72))"),"")</f>
        <v/>
      </c>
      <c r="O1310" s="61" t="str">
        <f>IFERROR(__xludf.DUMMYFUNCTION("INDIRECT(""'收支紀錄'!O""&amp;TO_TEXT(ROW()-$C$72))"),"")</f>
        <v/>
      </c>
      <c r="P1310" s="61" t="str">
        <f>IFERROR(__xludf.DUMMYFUNCTION("INDIRECT(""'收支紀錄'!P""&amp;TO_TEXT(ROW()-$C$72))"),"")</f>
        <v/>
      </c>
      <c r="Q1310" s="61" t="str">
        <f>IFERROR(__xludf.DUMMYFUNCTION("INDIRECT(""'收支紀錄'!Q""&amp;TO_TEXT(ROW()-$C$72))"),"")</f>
        <v/>
      </c>
      <c r="R1310" s="61" t="str">
        <f>IFERROR(__xludf.DUMMYFUNCTION("INDIRECT(""'收支紀錄'!R""&amp;TO_TEXT(ROW()-$C$72))"),"")</f>
        <v/>
      </c>
      <c r="S1310" s="61" t="str">
        <f>IFERROR(__xludf.DUMMYFUNCTION("INDIRECT(""'收支紀錄'!S""&amp;TO_TEXT(ROW()-$C$72))"),"")</f>
        <v/>
      </c>
      <c r="T1310" s="61" t="str">
        <f>IFERROR(__xludf.DUMMYFUNCTION("INDIRECT(""'收支紀錄'!T""&amp;TO_TEXT(ROW()-$C$72))"),"")</f>
        <v/>
      </c>
      <c r="U1310" s="62" t="str">
        <f>IFERROR(__xludf.DUMMYFUNCTION("IF(T1310=""是"",TEXTJOIN("""", TRUE, ""$"", TO_TEXT(C1310), S1310),"""")"),"")</f>
        <v/>
      </c>
    </row>
    <row r="1311">
      <c r="A1311" s="58">
        <f>IFERROR(__xludf.DUMMYFUNCTION("INDIRECT(""'收支紀錄'!A""&amp;TO_TEXT(ROW()-$C$72))"),45992.320623611115)</f>
        <v>45992.32062</v>
      </c>
      <c r="B1311" s="59">
        <f>IFERROR(__xludf.DUMMYFUNCTION("IF(ISBLANK(D1311), """", IF(ISDATE(D1311), D1311, IF(D1311=""今天"", A1311, IF(D1311=""昨天 (-1 day)"", A1311-1, IF(D1311=""前天 (-2 days)"", A1311-2, IF(D1311=""明天 (+1 day)"", A1311+1, DATE(LEFT(D1311,4), MID(D1311,5,2), RIGHT(D1311,2))))))))"),45990.320623611115)</f>
        <v>45990.32062</v>
      </c>
      <c r="C1311" s="60">
        <f>IFERROR(__xludf.DUMMYFUNCTION("INDIRECT(""'收支紀錄'!C""&amp;TO_TEXT(ROW()-$C$72))"),794.0)</f>
        <v>794</v>
      </c>
      <c r="D1311" s="63" t="str">
        <f>IFERROR(__xludf.DUMMYFUNCTION("INDIRECT(""'收支紀錄'!D""&amp;TO_TEXT(ROW()-$C$72))"),"前天 (-2 days)")</f>
        <v>前天 (-2 days)</v>
      </c>
      <c r="E1311" s="61" t="str">
        <f>IFERROR(__xludf.DUMMYFUNCTION("INDIRECT(""'收支紀錄'!E""&amp;TO_TEXT(ROW()-$C$72))"),"")</f>
        <v/>
      </c>
      <c r="F1311" s="61" t="str">
        <f>IFERROR(__xludf.DUMMYFUNCTION("INDIRECT(""'收支紀錄'!F""&amp;TO_TEXT(ROW()-$C$72))"),"")</f>
        <v/>
      </c>
      <c r="G1311" s="61" t="str">
        <f>IFERROR(__xludf.DUMMYFUNCTION("INDIRECT(""'收支紀錄'!G""&amp;TO_TEXT(ROW()-$C$72))"),"")</f>
        <v/>
      </c>
      <c r="H1311" s="61" t="str">
        <f>IFERROR(__xludf.DUMMYFUNCTION("INDIRECT(""'收支紀錄'!H""&amp;TO_TEXT(ROW()-$C$72))"),"日常生活")</f>
        <v>日常生活</v>
      </c>
      <c r="I1311" s="61" t="str">
        <f>IFERROR(__xludf.DUMMYFUNCTION("INDIRECT(""'收支紀錄'!I""&amp;TO_TEXT(ROW()-$C$72))"),"")</f>
        <v/>
      </c>
      <c r="J1311" s="61" t="str">
        <f>IFERROR(__xludf.DUMMYFUNCTION("INDIRECT(""'收支紀錄'!J""&amp;TO_TEXT(ROW()-$C$72))"),"電話費")</f>
        <v>電話費</v>
      </c>
      <c r="K1311" s="61" t="str">
        <f>IFERROR(__xludf.DUMMYFUNCTION("INDIRECT(""'收支紀錄'!K""&amp;TO_TEXT(ROW()-$C$72))"),"")</f>
        <v/>
      </c>
      <c r="L1311" s="61" t="str">
        <f>IFERROR(__xludf.DUMMYFUNCTION("INDIRECT(""'收支紀錄'!L""&amp;TO_TEXT(ROW()-$C$72))"),"")</f>
        <v/>
      </c>
      <c r="M1311" s="61" t="str">
        <f>IFERROR(__xludf.DUMMYFUNCTION("INDIRECT(""'收支紀錄'!M""&amp;TO_TEXT(ROW()-$C$72))"),"")</f>
        <v/>
      </c>
      <c r="N1311" s="61" t="str">
        <f>IFERROR(__xludf.DUMMYFUNCTION("INDIRECT(""'收支紀錄'!N""&amp;TO_TEXT(ROW()-$C$72))"),"")</f>
        <v/>
      </c>
      <c r="O1311" s="61" t="str">
        <f>IFERROR(__xludf.DUMMYFUNCTION("INDIRECT(""'收支紀錄'!O""&amp;TO_TEXT(ROW()-$C$72))"),"")</f>
        <v/>
      </c>
      <c r="P1311" s="61" t="str">
        <f>IFERROR(__xludf.DUMMYFUNCTION("INDIRECT(""'收支紀錄'!P""&amp;TO_TEXT(ROW()-$C$72))"),"")</f>
        <v/>
      </c>
      <c r="Q1311" s="61" t="str">
        <f>IFERROR(__xludf.DUMMYFUNCTION("INDIRECT(""'收支紀錄'!Q""&amp;TO_TEXT(ROW()-$C$72))"),"")</f>
        <v/>
      </c>
      <c r="R1311" s="61" t="str">
        <f>IFERROR(__xludf.DUMMYFUNCTION("INDIRECT(""'收支紀錄'!R""&amp;TO_TEXT(ROW()-$C$72))"),"")</f>
        <v/>
      </c>
      <c r="S1311" s="61" t="str">
        <f>IFERROR(__xludf.DUMMYFUNCTION("INDIRECT(""'收支紀錄'!S""&amp;TO_TEXT(ROW()-$C$72))"),"")</f>
        <v/>
      </c>
      <c r="T1311" s="61" t="str">
        <f>IFERROR(__xludf.DUMMYFUNCTION("INDIRECT(""'收支紀錄'!T""&amp;TO_TEXT(ROW()-$C$72))"),"")</f>
        <v/>
      </c>
      <c r="U1311" s="62" t="str">
        <f>IFERROR(__xludf.DUMMYFUNCTION("IF(T1311=""是"",TEXTJOIN("""", TRUE, ""$"", TO_TEXT(C1311), S1311),"""")"),"")</f>
        <v/>
      </c>
    </row>
    <row r="1312">
      <c r="A1312" s="58">
        <f>IFERROR(__xludf.DUMMYFUNCTION("INDIRECT(""'收支紀錄'!A""&amp;TO_TEXT(ROW()-$C$72))"),45993.904973310186)</f>
        <v>45993.90497</v>
      </c>
      <c r="B1312" s="59">
        <f>IFERROR(__xludf.DUMMYFUNCTION("IF(ISBLANK(D1312), """", IF(ISDATE(D1312), D1312, IF(D1312=""今天"", A1312, IF(D1312=""昨天 (-1 day)"", A1312-1, IF(D1312=""前天 (-2 days)"", A1312-2, IF(D1312=""明天 (+1 day)"", A1312+1, DATE(LEFT(D1312,4), MID(D1312,5,2), RIGHT(D1312,2))))))))"),45993.904973310186)</f>
        <v>45993.90497</v>
      </c>
      <c r="C1312" s="60">
        <f>IFERROR(__xludf.DUMMYFUNCTION("INDIRECT(""'收支紀錄'!C""&amp;TO_TEXT(ROW()-$C$72))"),123.0)</f>
        <v>123</v>
      </c>
      <c r="D1312" s="63" t="str">
        <f>IFERROR(__xludf.DUMMYFUNCTION("INDIRECT(""'收支紀錄'!D""&amp;TO_TEXT(ROW()-$C$72))"),"今天")</f>
        <v>今天</v>
      </c>
      <c r="E1312" s="61" t="str">
        <f>IFERROR(__xludf.DUMMYFUNCTION("INDIRECT(""'收支紀錄'!E""&amp;TO_TEXT(ROW()-$C$72))"),"")</f>
        <v/>
      </c>
      <c r="F1312" s="61" t="str">
        <f>IFERROR(__xludf.DUMMYFUNCTION("INDIRECT(""'收支紀錄'!F""&amp;TO_TEXT(ROW()-$C$72))"),"")</f>
        <v/>
      </c>
      <c r="G1312" s="61" t="str">
        <f>IFERROR(__xludf.DUMMYFUNCTION("INDIRECT(""'收支紀錄'!G""&amp;TO_TEXT(ROW()-$C$72))"),"")</f>
        <v/>
      </c>
      <c r="H1312" s="61" t="str">
        <f>IFERROR(__xludf.DUMMYFUNCTION("INDIRECT(""'收支紀錄'!H""&amp;TO_TEXT(ROW()-$C$72))"),"行車交通")</f>
        <v>行車交通</v>
      </c>
      <c r="I1312" s="61" t="str">
        <f>IFERROR(__xludf.DUMMYFUNCTION("INDIRECT(""'收支紀錄'!I""&amp;TO_TEXT(ROW()-$C$72))"),"")</f>
        <v/>
      </c>
      <c r="J1312" s="61" t="str">
        <f>IFERROR(__xludf.DUMMYFUNCTION("INDIRECT(""'收支紀錄'!J""&amp;TO_TEXT(ROW()-$C$72))"),"")</f>
        <v/>
      </c>
      <c r="K1312" s="61" t="str">
        <f>IFERROR(__xludf.DUMMYFUNCTION("INDIRECT(""'收支紀錄'!K""&amp;TO_TEXT(ROW()-$C$72))"),"")</f>
        <v/>
      </c>
      <c r="L1312" s="61" t="str">
        <f>IFERROR(__xludf.DUMMYFUNCTION("INDIRECT(""'收支紀錄'!L""&amp;TO_TEXT(ROW()-$C$72))"),"加油")</f>
        <v>加油</v>
      </c>
      <c r="M1312" s="61" t="str">
        <f>IFERROR(__xludf.DUMMYFUNCTION("INDIRECT(""'收支紀錄'!M""&amp;TO_TEXT(ROW()-$C$72))"),"")</f>
        <v/>
      </c>
      <c r="N1312" s="61" t="str">
        <f>IFERROR(__xludf.DUMMYFUNCTION("INDIRECT(""'收支紀錄'!N""&amp;TO_TEXT(ROW()-$C$72))"),"")</f>
        <v/>
      </c>
      <c r="O1312" s="61" t="str">
        <f>IFERROR(__xludf.DUMMYFUNCTION("INDIRECT(""'收支紀錄'!O""&amp;TO_TEXT(ROW()-$C$72))"),"")</f>
        <v/>
      </c>
      <c r="P1312" s="61" t="str">
        <f>IFERROR(__xludf.DUMMYFUNCTION("INDIRECT(""'收支紀錄'!P""&amp;TO_TEXT(ROW()-$C$72))"),"")</f>
        <v/>
      </c>
      <c r="Q1312" s="61" t="str">
        <f>IFERROR(__xludf.DUMMYFUNCTION("INDIRECT(""'收支紀錄'!Q""&amp;TO_TEXT(ROW()-$C$72))"),"")</f>
        <v/>
      </c>
      <c r="R1312" s="61" t="str">
        <f>IFERROR(__xludf.DUMMYFUNCTION("INDIRECT(""'收支紀錄'!R""&amp;TO_TEXT(ROW()-$C$72))"),"")</f>
        <v/>
      </c>
      <c r="S1312" s="61" t="str">
        <f>IFERROR(__xludf.DUMMYFUNCTION("INDIRECT(""'收支紀錄'!S""&amp;TO_TEXT(ROW()-$C$72))"),"")</f>
        <v/>
      </c>
      <c r="T1312" s="61" t="str">
        <f>IFERROR(__xludf.DUMMYFUNCTION("INDIRECT(""'收支紀錄'!T""&amp;TO_TEXT(ROW()-$C$72))"),"")</f>
        <v/>
      </c>
      <c r="U1312" s="62" t="str">
        <f>IFERROR(__xludf.DUMMYFUNCTION("IF(T1312=""是"",TEXTJOIN("""", TRUE, ""$"", TO_TEXT(C1312), S1312),"""")"),"")</f>
        <v/>
      </c>
    </row>
    <row r="1313">
      <c r="A1313" s="58">
        <f>IFERROR(__xludf.DUMMYFUNCTION("INDIRECT(""'收支紀錄'!A""&amp;TO_TEXT(ROW()-$C$72))"),45993.9051135301)</f>
        <v>45993.90511</v>
      </c>
      <c r="B1313" s="59">
        <f>IFERROR(__xludf.DUMMYFUNCTION("IF(ISBLANK(D1313), """", IF(ISDATE(D1313), D1313, IF(D1313=""今天"", A1313, IF(D1313=""昨天 (-1 day)"", A1313-1, IF(D1313=""前天 (-2 days)"", A1313-2, IF(D1313=""明天 (+1 day)"", A1313+1, DATE(LEFT(D1313,4), MID(D1313,5,2), RIGHT(D1313,2))))))))"),45993.9051135301)</f>
        <v>45993.90511</v>
      </c>
      <c r="C1313" s="60">
        <f>IFERROR(__xludf.DUMMYFUNCTION("INDIRECT(""'收支紀錄'!C""&amp;TO_TEXT(ROW()-$C$72))"),32.0)</f>
        <v>32</v>
      </c>
      <c r="D1313" s="63" t="str">
        <f>IFERROR(__xludf.DUMMYFUNCTION("INDIRECT(""'收支紀錄'!D""&amp;TO_TEXT(ROW()-$C$72))"),"今天")</f>
        <v>今天</v>
      </c>
      <c r="E1313" s="61" t="str">
        <f>IFERROR(__xludf.DUMMYFUNCTION("INDIRECT(""'收支紀錄'!E""&amp;TO_TEXT(ROW()-$C$72))"),"")</f>
        <v/>
      </c>
      <c r="F1313" s="61" t="str">
        <f>IFERROR(__xludf.DUMMYFUNCTION("INDIRECT(""'收支紀錄'!F""&amp;TO_TEXT(ROW()-$C$72))"),"")</f>
        <v/>
      </c>
      <c r="G1313" s="61" t="str">
        <f>IFERROR(__xludf.DUMMYFUNCTION("INDIRECT(""'收支紀錄'!G""&amp;TO_TEXT(ROW()-$C$72))"),"")</f>
        <v/>
      </c>
      <c r="H1313" s="61" t="str">
        <f>IFERROR(__xludf.DUMMYFUNCTION("INDIRECT(""'收支紀錄'!H""&amp;TO_TEXT(ROW()-$C$72))"),"食品酒水")</f>
        <v>食品酒水</v>
      </c>
      <c r="I1313" s="61" t="str">
        <f>IFERROR(__xludf.DUMMYFUNCTION("INDIRECT(""'收支紀錄'!I""&amp;TO_TEXT(ROW()-$C$72))"),"宵夜")</f>
        <v>宵夜</v>
      </c>
      <c r="J1313" s="61" t="str">
        <f>IFERROR(__xludf.DUMMYFUNCTION("INDIRECT(""'收支紀錄'!J""&amp;TO_TEXT(ROW()-$C$72))"),"")</f>
        <v/>
      </c>
      <c r="K1313" s="61" t="str">
        <f>IFERROR(__xludf.DUMMYFUNCTION("INDIRECT(""'收支紀錄'!K""&amp;TO_TEXT(ROW()-$C$72))"),"")</f>
        <v/>
      </c>
      <c r="L1313" s="61" t="str">
        <f>IFERROR(__xludf.DUMMYFUNCTION("INDIRECT(""'收支紀錄'!L""&amp;TO_TEXT(ROW()-$C$72))"),"")</f>
        <v/>
      </c>
      <c r="M1313" s="61" t="str">
        <f>IFERROR(__xludf.DUMMYFUNCTION("INDIRECT(""'收支紀錄'!M""&amp;TO_TEXT(ROW()-$C$72))"),"")</f>
        <v/>
      </c>
      <c r="N1313" s="61" t="str">
        <f>IFERROR(__xludf.DUMMYFUNCTION("INDIRECT(""'收支紀錄'!N""&amp;TO_TEXT(ROW()-$C$72))"),"")</f>
        <v/>
      </c>
      <c r="O1313" s="61" t="str">
        <f>IFERROR(__xludf.DUMMYFUNCTION("INDIRECT(""'收支紀錄'!O""&amp;TO_TEXT(ROW()-$C$72))"),"")</f>
        <v/>
      </c>
      <c r="P1313" s="61" t="str">
        <f>IFERROR(__xludf.DUMMYFUNCTION("INDIRECT(""'收支紀錄'!P""&amp;TO_TEXT(ROW()-$C$72))"),"")</f>
        <v/>
      </c>
      <c r="Q1313" s="61" t="str">
        <f>IFERROR(__xludf.DUMMYFUNCTION("INDIRECT(""'收支紀錄'!Q""&amp;TO_TEXT(ROW()-$C$72))"),"")</f>
        <v/>
      </c>
      <c r="R1313" s="61" t="str">
        <f>IFERROR(__xludf.DUMMYFUNCTION("INDIRECT(""'收支紀錄'!R""&amp;TO_TEXT(ROW()-$C$72))"),"")</f>
        <v/>
      </c>
      <c r="S1313" s="61" t="str">
        <f>IFERROR(__xludf.DUMMYFUNCTION("INDIRECT(""'收支紀錄'!S""&amp;TO_TEXT(ROW()-$C$72))"),"")</f>
        <v/>
      </c>
      <c r="T1313" s="61" t="str">
        <f>IFERROR(__xludf.DUMMYFUNCTION("INDIRECT(""'收支紀錄'!T""&amp;TO_TEXT(ROW()-$C$72))"),"")</f>
        <v/>
      </c>
      <c r="U1313" s="62" t="str">
        <f>IFERROR(__xludf.DUMMYFUNCTION("IF(T1313=""是"",TEXTJOIN("""", TRUE, ""$"", TO_TEXT(C1313), S1313),"""")"),"")</f>
        <v/>
      </c>
    </row>
    <row r="1314">
      <c r="A1314" s="58">
        <f>IFERROR(__xludf.DUMMYFUNCTION("INDIRECT(""'收支紀錄'!A""&amp;TO_TEXT(ROW()-$C$72))"),45994.77449885417)</f>
        <v>45994.7745</v>
      </c>
      <c r="B1314" s="59">
        <f>IFERROR(__xludf.DUMMYFUNCTION("IF(ISBLANK(D1314), """", IF(ISDATE(D1314), D1314, IF(D1314=""今天"", A1314, IF(D1314=""昨天 (-1 day)"", A1314-1, IF(D1314=""前天 (-2 days)"", A1314-2, IF(D1314=""明天 (+1 day)"", A1314+1, DATE(LEFT(D1314,4), MID(D1314,5,2), RIGHT(D1314,2))))))))"),45994.77449885417)</f>
        <v>45994.7745</v>
      </c>
      <c r="C1314" s="60">
        <f>IFERROR(__xludf.DUMMYFUNCTION("INDIRECT(""'收支紀錄'!C""&amp;TO_TEXT(ROW()-$C$72))"),169.0)</f>
        <v>169</v>
      </c>
      <c r="D1314" s="63" t="str">
        <f>IFERROR(__xludf.DUMMYFUNCTION("INDIRECT(""'收支紀錄'!D""&amp;TO_TEXT(ROW()-$C$72))"),"今天")</f>
        <v>今天</v>
      </c>
      <c r="E1314" s="61" t="str">
        <f>IFERROR(__xludf.DUMMYFUNCTION("INDIRECT(""'收支紀錄'!E""&amp;TO_TEXT(ROW()-$C$72))"),"")</f>
        <v/>
      </c>
      <c r="F1314" s="61" t="str">
        <f>IFERROR(__xludf.DUMMYFUNCTION("INDIRECT(""'收支紀錄'!F""&amp;TO_TEXT(ROW()-$C$72))"),"")</f>
        <v/>
      </c>
      <c r="G1314" s="61" t="str">
        <f>IFERROR(__xludf.DUMMYFUNCTION("INDIRECT(""'收支紀錄'!G""&amp;TO_TEXT(ROW()-$C$72))"),"")</f>
        <v/>
      </c>
      <c r="H1314" s="61" t="str">
        <f>IFERROR(__xludf.DUMMYFUNCTION("INDIRECT(""'收支紀錄'!H""&amp;TO_TEXT(ROW()-$C$72))"),"食品酒水")</f>
        <v>食品酒水</v>
      </c>
      <c r="I1314" s="61" t="str">
        <f>IFERROR(__xludf.DUMMYFUNCTION("INDIRECT(""'收支紀錄'!I""&amp;TO_TEXT(ROW()-$C$72))"),"晚餐")</f>
        <v>晚餐</v>
      </c>
      <c r="J1314" s="61" t="str">
        <f>IFERROR(__xludf.DUMMYFUNCTION("INDIRECT(""'收支紀錄'!J""&amp;TO_TEXT(ROW()-$C$72))"),"")</f>
        <v/>
      </c>
      <c r="K1314" s="61" t="str">
        <f>IFERROR(__xludf.DUMMYFUNCTION("INDIRECT(""'收支紀錄'!K""&amp;TO_TEXT(ROW()-$C$72))"),"")</f>
        <v/>
      </c>
      <c r="L1314" s="61" t="str">
        <f>IFERROR(__xludf.DUMMYFUNCTION("INDIRECT(""'收支紀錄'!L""&amp;TO_TEXT(ROW()-$C$72))"),"")</f>
        <v/>
      </c>
      <c r="M1314" s="61" t="str">
        <f>IFERROR(__xludf.DUMMYFUNCTION("INDIRECT(""'收支紀錄'!M""&amp;TO_TEXT(ROW()-$C$72))"),"")</f>
        <v/>
      </c>
      <c r="N1314" s="61" t="str">
        <f>IFERROR(__xludf.DUMMYFUNCTION("INDIRECT(""'收支紀錄'!N""&amp;TO_TEXT(ROW()-$C$72))"),"")</f>
        <v/>
      </c>
      <c r="O1314" s="61" t="str">
        <f>IFERROR(__xludf.DUMMYFUNCTION("INDIRECT(""'收支紀錄'!O""&amp;TO_TEXT(ROW()-$C$72))"),"")</f>
        <v/>
      </c>
      <c r="P1314" s="61" t="str">
        <f>IFERROR(__xludf.DUMMYFUNCTION("INDIRECT(""'收支紀錄'!P""&amp;TO_TEXT(ROW()-$C$72))"),"")</f>
        <v/>
      </c>
      <c r="Q1314" s="61" t="str">
        <f>IFERROR(__xludf.DUMMYFUNCTION("INDIRECT(""'收支紀錄'!Q""&amp;TO_TEXT(ROW()-$C$72))"),"")</f>
        <v/>
      </c>
      <c r="R1314" s="61" t="str">
        <f>IFERROR(__xludf.DUMMYFUNCTION("INDIRECT(""'收支紀錄'!R""&amp;TO_TEXT(ROW()-$C$72))"),"")</f>
        <v/>
      </c>
      <c r="S1314" s="61" t="str">
        <f>IFERROR(__xludf.DUMMYFUNCTION("INDIRECT(""'收支紀錄'!S""&amp;TO_TEXT(ROW()-$C$72))"),"")</f>
        <v/>
      </c>
      <c r="T1314" s="61" t="str">
        <f>IFERROR(__xludf.DUMMYFUNCTION("INDIRECT(""'收支紀錄'!T""&amp;TO_TEXT(ROW()-$C$72))"),"")</f>
        <v/>
      </c>
      <c r="U1314" s="62" t="str">
        <f>IFERROR(__xludf.DUMMYFUNCTION("IF(T1314=""是"",TEXTJOIN("""", TRUE, ""$"", TO_TEXT(C1314), S1314),"""")"),"")</f>
        <v/>
      </c>
    </row>
    <row r="1315">
      <c r="A1315" s="58">
        <f>IFERROR(__xludf.DUMMYFUNCTION("INDIRECT(""'收支紀錄'!A""&amp;TO_TEXT(ROW()-$C$72))"),45998.36816802083)</f>
        <v>45998.36817</v>
      </c>
      <c r="B1315" s="59">
        <f>IFERROR(__xludf.DUMMYFUNCTION("IF(ISBLANK(D1315), """", IF(ISDATE(D1315), D1315, IF(D1315=""今天"", A1315, IF(D1315=""昨天 (-1 day)"", A1315-1, IF(D1315=""前天 (-2 days)"", A1315-2, IF(D1315=""明天 (+1 day)"", A1315+1, DATE(LEFT(D1315,4), MID(D1315,5,2), RIGHT(D1315,2))))))))"),45996.36816802083)</f>
        <v>45996.36817</v>
      </c>
      <c r="C1315" s="60">
        <f>IFERROR(__xludf.DUMMYFUNCTION("INDIRECT(""'收支紀錄'!C""&amp;TO_TEXT(ROW()-$C$72))"),110.0)</f>
        <v>110</v>
      </c>
      <c r="D1315" s="63" t="str">
        <f>IFERROR(__xludf.DUMMYFUNCTION("INDIRECT(""'收支紀錄'!D""&amp;TO_TEXT(ROW()-$C$72))"),"前天 (-2 days)")</f>
        <v>前天 (-2 days)</v>
      </c>
      <c r="E1315" s="61" t="str">
        <f>IFERROR(__xludf.DUMMYFUNCTION("INDIRECT(""'收支紀錄'!E""&amp;TO_TEXT(ROW()-$C$72))"),"")</f>
        <v/>
      </c>
      <c r="F1315" s="61" t="str">
        <f>IFERROR(__xludf.DUMMYFUNCTION("INDIRECT(""'收支紀錄'!F""&amp;TO_TEXT(ROW()-$C$72))"),"")</f>
        <v/>
      </c>
      <c r="G1315" s="61" t="str">
        <f>IFERROR(__xludf.DUMMYFUNCTION("INDIRECT(""'收支紀錄'!G""&amp;TO_TEXT(ROW()-$C$72))"),"")</f>
        <v/>
      </c>
      <c r="H1315" s="61" t="str">
        <f>IFERROR(__xludf.DUMMYFUNCTION("INDIRECT(""'收支紀錄'!H""&amp;TO_TEXT(ROW()-$C$72))"),"休閒娛樂")</f>
        <v>休閒娛樂</v>
      </c>
      <c r="I1315" s="61" t="str">
        <f>IFERROR(__xludf.DUMMYFUNCTION("INDIRECT(""'收支紀錄'!I""&amp;TO_TEXT(ROW()-$C$72))"),"")</f>
        <v/>
      </c>
      <c r="J1315" s="61" t="str">
        <f>IFERROR(__xludf.DUMMYFUNCTION("INDIRECT(""'收支紀錄'!J""&amp;TO_TEXT(ROW()-$C$72))"),"")</f>
        <v/>
      </c>
      <c r="K1315" s="61" t="str">
        <f>IFERROR(__xludf.DUMMYFUNCTION("INDIRECT(""'收支紀錄'!K""&amp;TO_TEXT(ROW()-$C$72))"),"")</f>
        <v/>
      </c>
      <c r="L1315" s="61" t="str">
        <f>IFERROR(__xludf.DUMMYFUNCTION("INDIRECT(""'收支紀錄'!L""&amp;TO_TEXT(ROW()-$C$72))"),"")</f>
        <v/>
      </c>
      <c r="M1315" s="61" t="str">
        <f>IFERROR(__xludf.DUMMYFUNCTION("INDIRECT(""'收支紀錄'!M""&amp;TO_TEXT(ROW()-$C$72))"),"運動健身")</f>
        <v>運動健身</v>
      </c>
      <c r="N1315" s="61" t="str">
        <f>IFERROR(__xludf.DUMMYFUNCTION("INDIRECT(""'收支紀錄'!N""&amp;TO_TEXT(ROW()-$C$72))"),"")</f>
        <v/>
      </c>
      <c r="O1315" s="61" t="str">
        <f>IFERROR(__xludf.DUMMYFUNCTION("INDIRECT(""'收支紀錄'!O""&amp;TO_TEXT(ROW()-$C$72))"),"")</f>
        <v/>
      </c>
      <c r="P1315" s="61" t="str">
        <f>IFERROR(__xludf.DUMMYFUNCTION("INDIRECT(""'收支紀錄'!P""&amp;TO_TEXT(ROW()-$C$72))"),"")</f>
        <v/>
      </c>
      <c r="Q1315" s="61" t="str">
        <f>IFERROR(__xludf.DUMMYFUNCTION("INDIRECT(""'收支紀錄'!Q""&amp;TO_TEXT(ROW()-$C$72))"),"")</f>
        <v/>
      </c>
      <c r="R1315" s="61" t="str">
        <f>IFERROR(__xludf.DUMMYFUNCTION("INDIRECT(""'收支紀錄'!R""&amp;TO_TEXT(ROW()-$C$72))"),"")</f>
        <v/>
      </c>
      <c r="S1315" s="61" t="str">
        <f>IFERROR(__xludf.DUMMYFUNCTION("INDIRECT(""'收支紀錄'!S""&amp;TO_TEXT(ROW()-$C$72))"),"")</f>
        <v/>
      </c>
      <c r="T1315" s="61" t="str">
        <f>IFERROR(__xludf.DUMMYFUNCTION("INDIRECT(""'收支紀錄'!T""&amp;TO_TEXT(ROW()-$C$72))"),"")</f>
        <v/>
      </c>
      <c r="U1315" s="62" t="str">
        <f>IFERROR(__xludf.DUMMYFUNCTION("IF(T1315=""是"",TEXTJOIN("""", TRUE, ""$"", TO_TEXT(C1315), S1315),"""")"),"")</f>
        <v/>
      </c>
    </row>
    <row r="1316">
      <c r="A1316" s="58">
        <f>IFERROR(__xludf.DUMMYFUNCTION("INDIRECT(""'收支紀錄'!A""&amp;TO_TEXT(ROW()-$C$72))"),45998.36840634259)</f>
        <v>45998.36841</v>
      </c>
      <c r="B1316" s="59">
        <f>IFERROR(__xludf.DUMMYFUNCTION("IF(ISBLANK(D1316), """", IF(ISDATE(D1316), D1316, IF(D1316=""今天"", A1316, IF(D1316=""昨天 (-1 day)"", A1316-1, IF(D1316=""前天 (-2 days)"", A1316-2, IF(D1316=""明天 (+1 day)"", A1316+1, DATE(LEFT(D1316,4), MID(D1316,5,2), RIGHT(D1316,2))))))))"),45997.36840634259)</f>
        <v>45997.36841</v>
      </c>
      <c r="C1316" s="60">
        <f>IFERROR(__xludf.DUMMYFUNCTION("INDIRECT(""'收支紀錄'!C""&amp;TO_TEXT(ROW()-$C$72))"),288.0)</f>
        <v>288</v>
      </c>
      <c r="D1316" s="63" t="str">
        <f>IFERROR(__xludf.DUMMYFUNCTION("INDIRECT(""'收支紀錄'!D""&amp;TO_TEXT(ROW()-$C$72))"),"昨天 (-1 day)")</f>
        <v>昨天 (-1 day)</v>
      </c>
      <c r="E1316" s="61" t="str">
        <f>IFERROR(__xludf.DUMMYFUNCTION("INDIRECT(""'收支紀錄'!E""&amp;TO_TEXT(ROW()-$C$72))"),"")</f>
        <v/>
      </c>
      <c r="F1316" s="61" t="str">
        <f>IFERROR(__xludf.DUMMYFUNCTION("INDIRECT(""'收支紀錄'!F""&amp;TO_TEXT(ROW()-$C$72))"),"")</f>
        <v/>
      </c>
      <c r="G1316" s="61" t="str">
        <f>IFERROR(__xludf.DUMMYFUNCTION("INDIRECT(""'收支紀錄'!G""&amp;TO_TEXT(ROW()-$C$72))"),"")</f>
        <v/>
      </c>
      <c r="H1316" s="61" t="str">
        <f>IFERROR(__xludf.DUMMYFUNCTION("INDIRECT(""'收支紀錄'!H""&amp;TO_TEXT(ROW()-$C$72))"),"食品酒水")</f>
        <v>食品酒水</v>
      </c>
      <c r="I1316" s="61" t="str">
        <f>IFERROR(__xludf.DUMMYFUNCTION("INDIRECT(""'收支紀錄'!I""&amp;TO_TEXT(ROW()-$C$72))"),"晚餐")</f>
        <v>晚餐</v>
      </c>
      <c r="J1316" s="61" t="str">
        <f>IFERROR(__xludf.DUMMYFUNCTION("INDIRECT(""'收支紀錄'!J""&amp;TO_TEXT(ROW()-$C$72))"),"")</f>
        <v/>
      </c>
      <c r="K1316" s="61" t="str">
        <f>IFERROR(__xludf.DUMMYFUNCTION("INDIRECT(""'收支紀錄'!K""&amp;TO_TEXT(ROW()-$C$72))"),"")</f>
        <v/>
      </c>
      <c r="L1316" s="61" t="str">
        <f>IFERROR(__xludf.DUMMYFUNCTION("INDIRECT(""'收支紀錄'!L""&amp;TO_TEXT(ROW()-$C$72))"),"")</f>
        <v/>
      </c>
      <c r="M1316" s="61" t="str">
        <f>IFERROR(__xludf.DUMMYFUNCTION("INDIRECT(""'收支紀錄'!M""&amp;TO_TEXT(ROW()-$C$72))"),"")</f>
        <v/>
      </c>
      <c r="N1316" s="61" t="str">
        <f>IFERROR(__xludf.DUMMYFUNCTION("INDIRECT(""'收支紀錄'!N""&amp;TO_TEXT(ROW()-$C$72))"),"")</f>
        <v/>
      </c>
      <c r="O1316" s="61" t="str">
        <f>IFERROR(__xludf.DUMMYFUNCTION("INDIRECT(""'收支紀錄'!O""&amp;TO_TEXT(ROW()-$C$72))"),"")</f>
        <v/>
      </c>
      <c r="P1316" s="61" t="str">
        <f>IFERROR(__xludf.DUMMYFUNCTION("INDIRECT(""'收支紀錄'!P""&amp;TO_TEXT(ROW()-$C$72))"),"")</f>
        <v/>
      </c>
      <c r="Q1316" s="61" t="str">
        <f>IFERROR(__xludf.DUMMYFUNCTION("INDIRECT(""'收支紀錄'!Q""&amp;TO_TEXT(ROW()-$C$72))"),"")</f>
        <v/>
      </c>
      <c r="R1316" s="61" t="str">
        <f>IFERROR(__xludf.DUMMYFUNCTION("INDIRECT(""'收支紀錄'!R""&amp;TO_TEXT(ROW()-$C$72))"),"")</f>
        <v/>
      </c>
      <c r="S1316" s="61" t="str">
        <f>IFERROR(__xludf.DUMMYFUNCTION("INDIRECT(""'收支紀錄'!S""&amp;TO_TEXT(ROW()-$C$72))"),"")</f>
        <v/>
      </c>
      <c r="T1316" s="61" t="str">
        <f>IFERROR(__xludf.DUMMYFUNCTION("INDIRECT(""'收支紀錄'!T""&amp;TO_TEXT(ROW()-$C$72))"),"")</f>
        <v/>
      </c>
      <c r="U1316" s="62" t="str">
        <f>IFERROR(__xludf.DUMMYFUNCTION("IF(T1316=""是"",TEXTJOIN("""", TRUE, ""$"", TO_TEXT(C1316), S1316),"""")"),"")</f>
        <v/>
      </c>
    </row>
    <row r="1317">
      <c r="A1317" s="58">
        <f>IFERROR(__xludf.DUMMYFUNCTION("INDIRECT(""'收支紀錄'!A""&amp;TO_TEXT(ROW()-$C$72))"),45998.606510972226)</f>
        <v>45998.60651</v>
      </c>
      <c r="B1317" s="59">
        <f>IFERROR(__xludf.DUMMYFUNCTION("IF(ISBLANK(D1317), """", IF(ISDATE(D1317), D1317, IF(D1317=""今天"", A1317, IF(D1317=""昨天 (-1 day)"", A1317-1, IF(D1317=""前天 (-2 days)"", A1317-2, IF(D1317=""明天 (+1 day)"", A1317+1, DATE(LEFT(D1317,4), MID(D1317,5,2), RIGHT(D1317,2))))))))"),45998.606510972226)</f>
        <v>45998.60651</v>
      </c>
      <c r="C1317" s="60">
        <f>IFERROR(__xludf.DUMMYFUNCTION("INDIRECT(""'收支紀錄'!C""&amp;TO_TEXT(ROW()-$C$72))"),2845.0)</f>
        <v>2845</v>
      </c>
      <c r="D1317" s="63" t="str">
        <f>IFERROR(__xludf.DUMMYFUNCTION("INDIRECT(""'收支紀錄'!D""&amp;TO_TEXT(ROW()-$C$72))"),"今天")</f>
        <v>今天</v>
      </c>
      <c r="E1317" s="61" t="str">
        <f>IFERROR(__xludf.DUMMYFUNCTION("INDIRECT(""'收支紀錄'!E""&amp;TO_TEXT(ROW()-$C$72))"),"")</f>
        <v/>
      </c>
      <c r="F1317" s="61" t="str">
        <f>IFERROR(__xludf.DUMMYFUNCTION("INDIRECT(""'收支紀錄'!F""&amp;TO_TEXT(ROW()-$C$72))"),"")</f>
        <v/>
      </c>
      <c r="G1317" s="61" t="str">
        <f>IFERROR(__xludf.DUMMYFUNCTION("INDIRECT(""'收支紀錄'!G""&amp;TO_TEXT(ROW()-$C$72))"),"")</f>
        <v/>
      </c>
      <c r="H1317" s="61" t="str">
        <f>IFERROR(__xludf.DUMMYFUNCTION("INDIRECT(""'收支紀錄'!H""&amp;TO_TEXT(ROW()-$C$72))"),"食品酒水")</f>
        <v>食品酒水</v>
      </c>
      <c r="I1317" s="61" t="str">
        <f>IFERROR(__xludf.DUMMYFUNCTION("INDIRECT(""'收支紀錄'!I""&amp;TO_TEXT(ROW()-$C$72))"),"午餐")</f>
        <v>午餐</v>
      </c>
      <c r="J1317" s="61" t="str">
        <f>IFERROR(__xludf.DUMMYFUNCTION("INDIRECT(""'收支紀錄'!J""&amp;TO_TEXT(ROW()-$C$72))"),"")</f>
        <v/>
      </c>
      <c r="K1317" s="61" t="str">
        <f>IFERROR(__xludf.DUMMYFUNCTION("INDIRECT(""'收支紀錄'!K""&amp;TO_TEXT(ROW()-$C$72))"),"")</f>
        <v/>
      </c>
      <c r="L1317" s="61" t="str">
        <f>IFERROR(__xludf.DUMMYFUNCTION("INDIRECT(""'收支紀錄'!L""&amp;TO_TEXT(ROW()-$C$72))"),"")</f>
        <v/>
      </c>
      <c r="M1317" s="61" t="str">
        <f>IFERROR(__xludf.DUMMYFUNCTION("INDIRECT(""'收支紀錄'!M""&amp;TO_TEXT(ROW()-$C$72))"),"")</f>
        <v/>
      </c>
      <c r="N1317" s="61" t="str">
        <f>IFERROR(__xludf.DUMMYFUNCTION("INDIRECT(""'收支紀錄'!N""&amp;TO_TEXT(ROW()-$C$72))"),"")</f>
        <v/>
      </c>
      <c r="O1317" s="61" t="str">
        <f>IFERROR(__xludf.DUMMYFUNCTION("INDIRECT(""'收支紀錄'!O""&amp;TO_TEXT(ROW()-$C$72))"),"")</f>
        <v/>
      </c>
      <c r="P1317" s="61" t="str">
        <f>IFERROR(__xludf.DUMMYFUNCTION("INDIRECT(""'收支紀錄'!P""&amp;TO_TEXT(ROW()-$C$72))"),"")</f>
        <v/>
      </c>
      <c r="Q1317" s="61" t="str">
        <f>IFERROR(__xludf.DUMMYFUNCTION("INDIRECT(""'收支紀錄'!Q""&amp;TO_TEXT(ROW()-$C$72))"),"")</f>
        <v/>
      </c>
      <c r="R1317" s="61" t="str">
        <f>IFERROR(__xludf.DUMMYFUNCTION("INDIRECT(""'收支紀錄'!R""&amp;TO_TEXT(ROW()-$C$72))"),"")</f>
        <v/>
      </c>
      <c r="S1317" s="61" t="str">
        <f>IFERROR(__xludf.DUMMYFUNCTION("INDIRECT(""'收支紀錄'!S""&amp;TO_TEXT(ROW()-$C$72))"),"")</f>
        <v/>
      </c>
      <c r="T1317" s="61" t="str">
        <f>IFERROR(__xludf.DUMMYFUNCTION("INDIRECT(""'收支紀錄'!T""&amp;TO_TEXT(ROW()-$C$72))"),"")</f>
        <v/>
      </c>
      <c r="U1317" s="62" t="str">
        <f>IFERROR(__xludf.DUMMYFUNCTION("IF(T1317=""是"",TEXTJOIN("""", TRUE, ""$"", TO_TEXT(C1317), S1317),"""")"),"")</f>
        <v/>
      </c>
    </row>
    <row r="1318">
      <c r="A1318" s="58">
        <f>IFERROR(__xludf.DUMMYFUNCTION("INDIRECT(""'收支紀錄'!A""&amp;TO_TEXT(ROW()-$C$72))"),45998.606762118055)</f>
        <v>45998.60676</v>
      </c>
      <c r="B1318" s="59">
        <f>IFERROR(__xludf.DUMMYFUNCTION("IF(ISBLANK(D1318), """", IF(ISDATE(D1318), D1318, IF(D1318=""今天"", A1318, IF(D1318=""昨天 (-1 day)"", A1318-1, IF(D1318=""前天 (-2 days)"", A1318-2, IF(D1318=""明天 (+1 day)"", A1318+1, DATE(LEFT(D1318,4), MID(D1318,5,2), RIGHT(D1318,2))))))))"),45998.606762118055)</f>
        <v>45998.60676</v>
      </c>
      <c r="C1318" s="60">
        <f>IFERROR(__xludf.DUMMYFUNCTION("INDIRECT(""'收支紀錄'!C""&amp;TO_TEXT(ROW()-$C$72))"),150.0)</f>
        <v>150</v>
      </c>
      <c r="D1318" s="63" t="str">
        <f>IFERROR(__xludf.DUMMYFUNCTION("INDIRECT(""'收支紀錄'!D""&amp;TO_TEXT(ROW()-$C$72))"),"今天")</f>
        <v>今天</v>
      </c>
      <c r="E1318" s="61" t="str">
        <f>IFERROR(__xludf.DUMMYFUNCTION("INDIRECT(""'收支紀錄'!E""&amp;TO_TEXT(ROW()-$C$72))"),"")</f>
        <v/>
      </c>
      <c r="F1318" s="61" t="str">
        <f>IFERROR(__xludf.DUMMYFUNCTION("INDIRECT(""'收支紀錄'!F""&amp;TO_TEXT(ROW()-$C$72))"),"")</f>
        <v/>
      </c>
      <c r="G1318" s="61" t="str">
        <f>IFERROR(__xludf.DUMMYFUNCTION("INDIRECT(""'收支紀錄'!G""&amp;TO_TEXT(ROW()-$C$72))"),"")</f>
        <v/>
      </c>
      <c r="H1318" s="61" t="str">
        <f>IFERROR(__xludf.DUMMYFUNCTION("INDIRECT(""'收支紀錄'!H""&amp;TO_TEXT(ROW()-$C$72))"),"行車交通")</f>
        <v>行車交通</v>
      </c>
      <c r="I1318" s="61" t="str">
        <f>IFERROR(__xludf.DUMMYFUNCTION("INDIRECT(""'收支紀錄'!I""&amp;TO_TEXT(ROW()-$C$72))"),"")</f>
        <v/>
      </c>
      <c r="J1318" s="61" t="str">
        <f>IFERROR(__xludf.DUMMYFUNCTION("INDIRECT(""'收支紀錄'!J""&amp;TO_TEXT(ROW()-$C$72))"),"")</f>
        <v/>
      </c>
      <c r="K1318" s="61" t="str">
        <f>IFERROR(__xludf.DUMMYFUNCTION("INDIRECT(""'收支紀錄'!K""&amp;TO_TEXT(ROW()-$C$72))"),"")</f>
        <v/>
      </c>
      <c r="L1318" s="61" t="str">
        <f>IFERROR(__xludf.DUMMYFUNCTION("INDIRECT(""'收支紀錄'!L""&amp;TO_TEXT(ROW()-$C$72))"),"停車")</f>
        <v>停車</v>
      </c>
      <c r="M1318" s="61" t="str">
        <f>IFERROR(__xludf.DUMMYFUNCTION("INDIRECT(""'收支紀錄'!M""&amp;TO_TEXT(ROW()-$C$72))"),"")</f>
        <v/>
      </c>
      <c r="N1318" s="61" t="str">
        <f>IFERROR(__xludf.DUMMYFUNCTION("INDIRECT(""'收支紀錄'!N""&amp;TO_TEXT(ROW()-$C$72))"),"")</f>
        <v/>
      </c>
      <c r="O1318" s="61" t="str">
        <f>IFERROR(__xludf.DUMMYFUNCTION("INDIRECT(""'收支紀錄'!O""&amp;TO_TEXT(ROW()-$C$72))"),"")</f>
        <v/>
      </c>
      <c r="P1318" s="61" t="str">
        <f>IFERROR(__xludf.DUMMYFUNCTION("INDIRECT(""'收支紀錄'!P""&amp;TO_TEXT(ROW()-$C$72))"),"")</f>
        <v/>
      </c>
      <c r="Q1318" s="61" t="str">
        <f>IFERROR(__xludf.DUMMYFUNCTION("INDIRECT(""'收支紀錄'!Q""&amp;TO_TEXT(ROW()-$C$72))"),"")</f>
        <v/>
      </c>
      <c r="R1318" s="61" t="str">
        <f>IFERROR(__xludf.DUMMYFUNCTION("INDIRECT(""'收支紀錄'!R""&amp;TO_TEXT(ROW()-$C$72))"),"")</f>
        <v/>
      </c>
      <c r="S1318" s="61" t="str">
        <f>IFERROR(__xludf.DUMMYFUNCTION("INDIRECT(""'收支紀錄'!S""&amp;TO_TEXT(ROW()-$C$72))"),"")</f>
        <v/>
      </c>
      <c r="T1318" s="61" t="str">
        <f>IFERROR(__xludf.DUMMYFUNCTION("INDIRECT(""'收支紀錄'!T""&amp;TO_TEXT(ROW()-$C$72))"),"")</f>
        <v/>
      </c>
      <c r="U1318" s="62" t="str">
        <f>IFERROR(__xludf.DUMMYFUNCTION("IF(T1318=""是"",TEXTJOIN("""", TRUE, ""$"", TO_TEXT(C1318), S1318),"""")"),"")</f>
        <v/>
      </c>
    </row>
    <row r="1319">
      <c r="A1319" s="58">
        <f>IFERROR(__xludf.DUMMYFUNCTION("INDIRECT(""'收支紀錄'!A""&amp;TO_TEXT(ROW()-$C$72))"),45998.87978318287)</f>
        <v>45998.87978</v>
      </c>
      <c r="B1319" s="59">
        <f>IFERROR(__xludf.DUMMYFUNCTION("IF(ISBLANK(D1319), """", IF(ISDATE(D1319), D1319, IF(D1319=""今天"", A1319, IF(D1319=""昨天 (-1 day)"", A1319-1, IF(D1319=""前天 (-2 days)"", A1319-2, IF(D1319=""明天 (+1 day)"", A1319+1, DATE(LEFT(D1319,4), MID(D1319,5,2), RIGHT(D1319,2))))))))"),45998.87978318287)</f>
        <v>45998.87978</v>
      </c>
      <c r="C1319" s="60">
        <f>IFERROR(__xludf.DUMMYFUNCTION("INDIRECT(""'收支紀錄'!C""&amp;TO_TEXT(ROW()-$C$72))"),55.0)</f>
        <v>55</v>
      </c>
      <c r="D1319" s="63" t="str">
        <f>IFERROR(__xludf.DUMMYFUNCTION("INDIRECT(""'收支紀錄'!D""&amp;TO_TEXT(ROW()-$C$72))"),"今天")</f>
        <v>今天</v>
      </c>
      <c r="E1319" s="61" t="str">
        <f>IFERROR(__xludf.DUMMYFUNCTION("INDIRECT(""'收支紀錄'!E""&amp;TO_TEXT(ROW()-$C$72))"),"")</f>
        <v/>
      </c>
      <c r="F1319" s="61" t="str">
        <f>IFERROR(__xludf.DUMMYFUNCTION("INDIRECT(""'收支紀錄'!F""&amp;TO_TEXT(ROW()-$C$72))"),"")</f>
        <v/>
      </c>
      <c r="G1319" s="61" t="str">
        <f>IFERROR(__xludf.DUMMYFUNCTION("INDIRECT(""'收支紀錄'!G""&amp;TO_TEXT(ROW()-$C$72))"),"")</f>
        <v/>
      </c>
      <c r="H1319" s="61" t="str">
        <f>IFERROR(__xludf.DUMMYFUNCTION("INDIRECT(""'收支紀錄'!H""&amp;TO_TEXT(ROW()-$C$72))"),"食品酒水")</f>
        <v>食品酒水</v>
      </c>
      <c r="I1319" s="61" t="str">
        <f>IFERROR(__xludf.DUMMYFUNCTION("INDIRECT(""'收支紀錄'!I""&amp;TO_TEXT(ROW()-$C$72))"),"飲料酒水")</f>
        <v>飲料酒水</v>
      </c>
      <c r="J1319" s="61" t="str">
        <f>IFERROR(__xludf.DUMMYFUNCTION("INDIRECT(""'收支紀錄'!J""&amp;TO_TEXT(ROW()-$C$72))"),"")</f>
        <v/>
      </c>
      <c r="K1319" s="61" t="str">
        <f>IFERROR(__xludf.DUMMYFUNCTION("INDIRECT(""'收支紀錄'!K""&amp;TO_TEXT(ROW()-$C$72))"),"")</f>
        <v/>
      </c>
      <c r="L1319" s="61" t="str">
        <f>IFERROR(__xludf.DUMMYFUNCTION("INDIRECT(""'收支紀錄'!L""&amp;TO_TEXT(ROW()-$C$72))"),"")</f>
        <v/>
      </c>
      <c r="M1319" s="61" t="str">
        <f>IFERROR(__xludf.DUMMYFUNCTION("INDIRECT(""'收支紀錄'!M""&amp;TO_TEXT(ROW()-$C$72))"),"")</f>
        <v/>
      </c>
      <c r="N1319" s="61" t="str">
        <f>IFERROR(__xludf.DUMMYFUNCTION("INDIRECT(""'收支紀錄'!N""&amp;TO_TEXT(ROW()-$C$72))"),"")</f>
        <v/>
      </c>
      <c r="O1319" s="61" t="str">
        <f>IFERROR(__xludf.DUMMYFUNCTION("INDIRECT(""'收支紀錄'!O""&amp;TO_TEXT(ROW()-$C$72))"),"")</f>
        <v/>
      </c>
      <c r="P1319" s="61" t="str">
        <f>IFERROR(__xludf.DUMMYFUNCTION("INDIRECT(""'收支紀錄'!P""&amp;TO_TEXT(ROW()-$C$72))"),"")</f>
        <v/>
      </c>
      <c r="Q1319" s="61" t="str">
        <f>IFERROR(__xludf.DUMMYFUNCTION("INDIRECT(""'收支紀錄'!Q""&amp;TO_TEXT(ROW()-$C$72))"),"")</f>
        <v/>
      </c>
      <c r="R1319" s="61" t="str">
        <f>IFERROR(__xludf.DUMMYFUNCTION("INDIRECT(""'收支紀錄'!R""&amp;TO_TEXT(ROW()-$C$72))"),"")</f>
        <v/>
      </c>
      <c r="S1319" s="61" t="str">
        <f>IFERROR(__xludf.DUMMYFUNCTION("INDIRECT(""'收支紀錄'!S""&amp;TO_TEXT(ROW()-$C$72))"),"")</f>
        <v/>
      </c>
      <c r="T1319" s="61" t="str">
        <f>IFERROR(__xludf.DUMMYFUNCTION("INDIRECT(""'收支紀錄'!T""&amp;TO_TEXT(ROW()-$C$72))"),"")</f>
        <v/>
      </c>
      <c r="U1319" s="62" t="str">
        <f>IFERROR(__xludf.DUMMYFUNCTION("IF(T1319=""是"",TEXTJOIN("""", TRUE, ""$"", TO_TEXT(C1319), S1319),"""")"),"")</f>
        <v/>
      </c>
    </row>
    <row r="1320">
      <c r="A1320" s="58">
        <f>IFERROR(__xludf.DUMMYFUNCTION("INDIRECT(""'收支紀錄'!A""&amp;TO_TEXT(ROW()-$C$72))"),45998.8800034375)</f>
        <v>45998.88</v>
      </c>
      <c r="B1320" s="59">
        <f>IFERROR(__xludf.DUMMYFUNCTION("IF(ISBLANK(D1320), """", IF(ISDATE(D1320), D1320, IF(D1320=""今天"", A1320, IF(D1320=""昨天 (-1 day)"", A1320-1, IF(D1320=""前天 (-2 days)"", A1320-2, IF(D1320=""明天 (+1 day)"", A1320+1, DATE(LEFT(D1320,4), MID(D1320,5,2), RIGHT(D1320,2))))))))"),45998.8800034375)</f>
        <v>45998.88</v>
      </c>
      <c r="C1320" s="60">
        <f>IFERROR(__xludf.DUMMYFUNCTION("INDIRECT(""'收支紀錄'!C""&amp;TO_TEXT(ROW()-$C$72))"),580.0)</f>
        <v>580</v>
      </c>
      <c r="D1320" s="63" t="str">
        <f>IFERROR(__xludf.DUMMYFUNCTION("INDIRECT(""'收支紀錄'!D""&amp;TO_TEXT(ROW()-$C$72))"),"今天")</f>
        <v>今天</v>
      </c>
      <c r="E1320" s="61" t="str">
        <f>IFERROR(__xludf.DUMMYFUNCTION("INDIRECT(""'收支紀錄'!E""&amp;TO_TEXT(ROW()-$C$72))"),"")</f>
        <v/>
      </c>
      <c r="F1320" s="61" t="str">
        <f>IFERROR(__xludf.DUMMYFUNCTION("INDIRECT(""'收支紀錄'!F""&amp;TO_TEXT(ROW()-$C$72))"),"")</f>
        <v/>
      </c>
      <c r="G1320" s="61" t="str">
        <f>IFERROR(__xludf.DUMMYFUNCTION("INDIRECT(""'收支紀錄'!G""&amp;TO_TEXT(ROW()-$C$72))"),"")</f>
        <v/>
      </c>
      <c r="H1320" s="61" t="str">
        <f>IFERROR(__xludf.DUMMYFUNCTION("INDIRECT(""'收支紀錄'!H""&amp;TO_TEXT(ROW()-$C$72))"),"行車交通")</f>
        <v>行車交通</v>
      </c>
      <c r="I1320" s="61" t="str">
        <f>IFERROR(__xludf.DUMMYFUNCTION("INDIRECT(""'收支紀錄'!I""&amp;TO_TEXT(ROW()-$C$72))"),"")</f>
        <v/>
      </c>
      <c r="J1320" s="61" t="str">
        <f>IFERROR(__xludf.DUMMYFUNCTION("INDIRECT(""'收支紀錄'!J""&amp;TO_TEXT(ROW()-$C$72))"),"")</f>
        <v/>
      </c>
      <c r="K1320" s="61" t="str">
        <f>IFERROR(__xludf.DUMMYFUNCTION("INDIRECT(""'收支紀錄'!K""&amp;TO_TEXT(ROW()-$C$72))"),"")</f>
        <v/>
      </c>
      <c r="L1320" s="61" t="str">
        <f>IFERROR(__xludf.DUMMYFUNCTION("INDIRECT(""'收支紀錄'!L""&amp;TO_TEXT(ROW()-$C$72))"),"加油")</f>
        <v>加油</v>
      </c>
      <c r="M1320" s="61" t="str">
        <f>IFERROR(__xludf.DUMMYFUNCTION("INDIRECT(""'收支紀錄'!M""&amp;TO_TEXT(ROW()-$C$72))"),"")</f>
        <v/>
      </c>
      <c r="N1320" s="61" t="str">
        <f>IFERROR(__xludf.DUMMYFUNCTION("INDIRECT(""'收支紀錄'!N""&amp;TO_TEXT(ROW()-$C$72))"),"")</f>
        <v/>
      </c>
      <c r="O1320" s="61" t="str">
        <f>IFERROR(__xludf.DUMMYFUNCTION("INDIRECT(""'收支紀錄'!O""&amp;TO_TEXT(ROW()-$C$72))"),"")</f>
        <v/>
      </c>
      <c r="P1320" s="61" t="str">
        <f>IFERROR(__xludf.DUMMYFUNCTION("INDIRECT(""'收支紀錄'!P""&amp;TO_TEXT(ROW()-$C$72))"),"")</f>
        <v/>
      </c>
      <c r="Q1320" s="61" t="str">
        <f>IFERROR(__xludf.DUMMYFUNCTION("INDIRECT(""'收支紀錄'!Q""&amp;TO_TEXT(ROW()-$C$72))"),"")</f>
        <v/>
      </c>
      <c r="R1320" s="61" t="str">
        <f>IFERROR(__xludf.DUMMYFUNCTION("INDIRECT(""'收支紀錄'!R""&amp;TO_TEXT(ROW()-$C$72))"),"")</f>
        <v/>
      </c>
      <c r="S1320" s="61" t="str">
        <f>IFERROR(__xludf.DUMMYFUNCTION("INDIRECT(""'收支紀錄'!S""&amp;TO_TEXT(ROW()-$C$72))"),"")</f>
        <v/>
      </c>
      <c r="T1320" s="61" t="str">
        <f>IFERROR(__xludf.DUMMYFUNCTION("INDIRECT(""'收支紀錄'!T""&amp;TO_TEXT(ROW()-$C$72))"),"")</f>
        <v/>
      </c>
      <c r="U1320" s="62" t="str">
        <f>IFERROR(__xludf.DUMMYFUNCTION("IF(T1320=""是"",TEXTJOIN("""", TRUE, ""$"", TO_TEXT(C1320), S1320),"""")"),"")</f>
        <v/>
      </c>
    </row>
    <row r="1321">
      <c r="A1321" s="58">
        <f>IFERROR(__xludf.DUMMYFUNCTION("INDIRECT(""'收支紀錄'!A""&amp;TO_TEXT(ROW()-$C$72))"),45999.950583067126)</f>
        <v>45999.95058</v>
      </c>
      <c r="B1321" s="59">
        <f>IFERROR(__xludf.DUMMYFUNCTION("IF(ISBLANK(D1321), """", IF(ISDATE(D1321), D1321, IF(D1321=""今天"", A1321, IF(D1321=""昨天 (-1 day)"", A1321-1, IF(D1321=""前天 (-2 days)"", A1321-2, IF(D1321=""明天 (+1 day)"", A1321+1, DATE(LEFT(D1321,4), MID(D1321,5,2), RIGHT(D1321,2))))))))"),45999.950583067126)</f>
        <v>45999.95058</v>
      </c>
      <c r="C1321" s="60">
        <f>IFERROR(__xludf.DUMMYFUNCTION("INDIRECT(""'收支紀錄'!C""&amp;TO_TEXT(ROW()-$C$72))"),107300.0)</f>
        <v>107300</v>
      </c>
      <c r="D1321" s="63" t="str">
        <f>IFERROR(__xludf.DUMMYFUNCTION("INDIRECT(""'收支紀錄'!D""&amp;TO_TEXT(ROW()-$C$72))"),"今天")</f>
        <v>今天</v>
      </c>
      <c r="E1321" s="61" t="str">
        <f>IFERROR(__xludf.DUMMYFUNCTION("INDIRECT(""'收支紀錄'!E""&amp;TO_TEXT(ROW()-$C$72))"),"工作")</f>
        <v>工作</v>
      </c>
      <c r="F1321" s="61" t="str">
        <f>IFERROR(__xludf.DUMMYFUNCTION("INDIRECT(""'收支紀錄'!F""&amp;TO_TEXT(ROW()-$C$72))"),"底薪")</f>
        <v>底薪</v>
      </c>
      <c r="G1321" s="61" t="str">
        <f>IFERROR(__xludf.DUMMYFUNCTION("INDIRECT(""'收支紀錄'!G""&amp;TO_TEXT(ROW()-$C$72))"),"")</f>
        <v/>
      </c>
      <c r="H1321" s="61" t="str">
        <f>IFERROR(__xludf.DUMMYFUNCTION("INDIRECT(""'收支紀錄'!H""&amp;TO_TEXT(ROW()-$C$72))"),"")</f>
        <v/>
      </c>
      <c r="I1321" s="61" t="str">
        <f>IFERROR(__xludf.DUMMYFUNCTION("INDIRECT(""'收支紀錄'!I""&amp;TO_TEXT(ROW()-$C$72))"),"")</f>
        <v/>
      </c>
      <c r="J1321" s="61" t="str">
        <f>IFERROR(__xludf.DUMMYFUNCTION("INDIRECT(""'收支紀錄'!J""&amp;TO_TEXT(ROW()-$C$72))"),"")</f>
        <v/>
      </c>
      <c r="K1321" s="61" t="str">
        <f>IFERROR(__xludf.DUMMYFUNCTION("INDIRECT(""'收支紀錄'!K""&amp;TO_TEXT(ROW()-$C$72))"),"")</f>
        <v/>
      </c>
      <c r="L1321" s="61" t="str">
        <f>IFERROR(__xludf.DUMMYFUNCTION("INDIRECT(""'收支紀錄'!L""&amp;TO_TEXT(ROW()-$C$72))"),"")</f>
        <v/>
      </c>
      <c r="M1321" s="61" t="str">
        <f>IFERROR(__xludf.DUMMYFUNCTION("INDIRECT(""'收支紀錄'!M""&amp;TO_TEXT(ROW()-$C$72))"),"")</f>
        <v/>
      </c>
      <c r="N1321" s="61" t="str">
        <f>IFERROR(__xludf.DUMMYFUNCTION("INDIRECT(""'收支紀錄'!N""&amp;TO_TEXT(ROW()-$C$72))"),"")</f>
        <v/>
      </c>
      <c r="O1321" s="61" t="str">
        <f>IFERROR(__xludf.DUMMYFUNCTION("INDIRECT(""'收支紀錄'!O""&amp;TO_TEXT(ROW()-$C$72))"),"")</f>
        <v/>
      </c>
      <c r="P1321" s="61" t="str">
        <f>IFERROR(__xludf.DUMMYFUNCTION("INDIRECT(""'收支紀錄'!P""&amp;TO_TEXT(ROW()-$C$72))"),"")</f>
        <v/>
      </c>
      <c r="Q1321" s="61" t="str">
        <f>IFERROR(__xludf.DUMMYFUNCTION("INDIRECT(""'收支紀錄'!Q""&amp;TO_TEXT(ROW()-$C$72))"),"")</f>
        <v/>
      </c>
      <c r="R1321" s="61" t="str">
        <f>IFERROR(__xludf.DUMMYFUNCTION("INDIRECT(""'收支紀錄'!R""&amp;TO_TEXT(ROW()-$C$72))"),"")</f>
        <v/>
      </c>
      <c r="S1321" s="61" t="str">
        <f>IFERROR(__xludf.DUMMYFUNCTION("INDIRECT(""'收支紀錄'!S""&amp;TO_TEXT(ROW()-$C$72))"),"")</f>
        <v/>
      </c>
      <c r="T1321" s="61" t="str">
        <f>IFERROR(__xludf.DUMMYFUNCTION("INDIRECT(""'收支紀錄'!T""&amp;TO_TEXT(ROW()-$C$72))"),"")</f>
        <v/>
      </c>
      <c r="U1321" s="62" t="str">
        <f>IFERROR(__xludf.DUMMYFUNCTION("IF(T1321=""是"",TEXTJOIN("""", TRUE, ""$"", TO_TEXT(C1321), S1321),"""")"),"")</f>
        <v/>
      </c>
    </row>
    <row r="1322">
      <c r="A1322" s="58">
        <f>IFERROR(__xludf.DUMMYFUNCTION("INDIRECT(""'收支紀錄'!A""&amp;TO_TEXT(ROW()-$C$72))"),45999.95089694444)</f>
        <v>45999.9509</v>
      </c>
      <c r="B1322" s="59">
        <f>IFERROR(__xludf.DUMMYFUNCTION("IF(ISBLANK(D1322), """", IF(ISDATE(D1322), D1322, IF(D1322=""今天"", A1322, IF(D1322=""昨天 (-1 day)"", A1322-1, IF(D1322=""前天 (-2 days)"", A1322-2, IF(D1322=""明天 (+1 day)"", A1322+1, DATE(LEFT(D1322,4), MID(D1322,5,2), RIGHT(D1322,2))))))))"),45999.95089694444)</f>
        <v>45999.9509</v>
      </c>
      <c r="C1322" s="60">
        <f>IFERROR(__xludf.DUMMYFUNCTION("INDIRECT(""'收支紀錄'!C""&amp;TO_TEXT(ROW()-$C$72))"),25000.0)</f>
        <v>25000</v>
      </c>
      <c r="D1322" s="63" t="str">
        <f>IFERROR(__xludf.DUMMYFUNCTION("INDIRECT(""'收支紀錄'!D""&amp;TO_TEXT(ROW()-$C$72))"),"今天")</f>
        <v>今天</v>
      </c>
      <c r="E1322" s="61" t="str">
        <f>IFERROR(__xludf.DUMMYFUNCTION("INDIRECT(""'收支紀錄'!E""&amp;TO_TEXT(ROW()-$C$72))"),"工作")</f>
        <v>工作</v>
      </c>
      <c r="F1322" s="61" t="str">
        <f>IFERROR(__xludf.DUMMYFUNCTION("INDIRECT(""'收支紀錄'!F""&amp;TO_TEXT(ROW()-$C$72))"),"加班/津貼")</f>
        <v>加班/津貼</v>
      </c>
      <c r="G1322" s="61" t="str">
        <f>IFERROR(__xludf.DUMMYFUNCTION("INDIRECT(""'收支紀錄'!G""&amp;TO_TEXT(ROW()-$C$72))"),"")</f>
        <v/>
      </c>
      <c r="H1322" s="61" t="str">
        <f>IFERROR(__xludf.DUMMYFUNCTION("INDIRECT(""'收支紀錄'!H""&amp;TO_TEXT(ROW()-$C$72))"),"")</f>
        <v/>
      </c>
      <c r="I1322" s="61" t="str">
        <f>IFERROR(__xludf.DUMMYFUNCTION("INDIRECT(""'收支紀錄'!I""&amp;TO_TEXT(ROW()-$C$72))"),"")</f>
        <v/>
      </c>
      <c r="J1322" s="61" t="str">
        <f>IFERROR(__xludf.DUMMYFUNCTION("INDIRECT(""'收支紀錄'!J""&amp;TO_TEXT(ROW()-$C$72))"),"")</f>
        <v/>
      </c>
      <c r="K1322" s="61" t="str">
        <f>IFERROR(__xludf.DUMMYFUNCTION("INDIRECT(""'收支紀錄'!K""&amp;TO_TEXT(ROW()-$C$72))"),"")</f>
        <v/>
      </c>
      <c r="L1322" s="61" t="str">
        <f>IFERROR(__xludf.DUMMYFUNCTION("INDIRECT(""'收支紀錄'!L""&amp;TO_TEXT(ROW()-$C$72))"),"")</f>
        <v/>
      </c>
      <c r="M1322" s="61" t="str">
        <f>IFERROR(__xludf.DUMMYFUNCTION("INDIRECT(""'收支紀錄'!M""&amp;TO_TEXT(ROW()-$C$72))"),"")</f>
        <v/>
      </c>
      <c r="N1322" s="61" t="str">
        <f>IFERROR(__xludf.DUMMYFUNCTION("INDIRECT(""'收支紀錄'!N""&amp;TO_TEXT(ROW()-$C$72))"),"")</f>
        <v/>
      </c>
      <c r="O1322" s="61" t="str">
        <f>IFERROR(__xludf.DUMMYFUNCTION("INDIRECT(""'收支紀錄'!O""&amp;TO_TEXT(ROW()-$C$72))"),"")</f>
        <v/>
      </c>
      <c r="P1322" s="61" t="str">
        <f>IFERROR(__xludf.DUMMYFUNCTION("INDIRECT(""'收支紀錄'!P""&amp;TO_TEXT(ROW()-$C$72))"),"")</f>
        <v/>
      </c>
      <c r="Q1322" s="61" t="str">
        <f>IFERROR(__xludf.DUMMYFUNCTION("INDIRECT(""'收支紀錄'!Q""&amp;TO_TEXT(ROW()-$C$72))"),"")</f>
        <v/>
      </c>
      <c r="R1322" s="61" t="str">
        <f>IFERROR(__xludf.DUMMYFUNCTION("INDIRECT(""'收支紀錄'!R""&amp;TO_TEXT(ROW()-$C$72))"),"")</f>
        <v/>
      </c>
      <c r="S1322" s="61" t="str">
        <f>IFERROR(__xludf.DUMMYFUNCTION("INDIRECT(""'收支紀錄'!S""&amp;TO_TEXT(ROW()-$C$72))"),"家庭日")</f>
        <v>家庭日</v>
      </c>
      <c r="T1322" s="61" t="str">
        <f>IFERROR(__xludf.DUMMYFUNCTION("INDIRECT(""'收支紀錄'!T""&amp;TO_TEXT(ROW()-$C$72))"),"是")</f>
        <v>是</v>
      </c>
      <c r="U1322" s="62" t="str">
        <f>IFERROR(__xludf.DUMMYFUNCTION("IF(T1322=""是"",TEXTJOIN("""", TRUE, ""$"", TO_TEXT(C1322), S1322),"""")"),"$25000家庭日")</f>
        <v>$25000家庭日</v>
      </c>
    </row>
    <row r="1323">
      <c r="A1323" s="58">
        <f>IFERROR(__xludf.DUMMYFUNCTION("INDIRECT(""'收支紀錄'!A""&amp;TO_TEXT(ROW()-$C$72))"),45999.95140508102)</f>
        <v>45999.95141</v>
      </c>
      <c r="B1323" s="59">
        <f>IFERROR(__xludf.DUMMYFUNCTION("IF(ISBLANK(D1323), """", IF(ISDATE(D1323), D1323, IF(D1323=""今天"", A1323, IF(D1323=""昨天 (-1 day)"", A1323-1, IF(D1323=""前天 (-2 days)"", A1323-2, IF(D1323=""明天 (+1 day)"", A1323+1, DATE(LEFT(D1323,4), MID(D1323,5,2), RIGHT(D1323,2))))))))"),45999.95140508102)</f>
        <v>45999.95141</v>
      </c>
      <c r="C1323" s="60">
        <f>IFERROR(__xludf.DUMMYFUNCTION("INDIRECT(""'收支紀錄'!C""&amp;TO_TEXT(ROW()-$C$72))"),4292.0)</f>
        <v>4292</v>
      </c>
      <c r="D1323" s="63" t="str">
        <f>IFERROR(__xludf.DUMMYFUNCTION("INDIRECT(""'收支紀錄'!D""&amp;TO_TEXT(ROW()-$C$72))"),"今天")</f>
        <v>今天</v>
      </c>
      <c r="E1323" s="61" t="str">
        <f>IFERROR(__xludf.DUMMYFUNCTION("INDIRECT(""'收支紀錄'!E""&amp;TO_TEXT(ROW()-$C$72))"),"")</f>
        <v/>
      </c>
      <c r="F1323" s="61" t="str">
        <f>IFERROR(__xludf.DUMMYFUNCTION("INDIRECT(""'收支紀錄'!F""&amp;TO_TEXT(ROW()-$C$72))"),"")</f>
        <v/>
      </c>
      <c r="G1323" s="61" t="str">
        <f>IFERROR(__xludf.DUMMYFUNCTION("INDIRECT(""'收支紀錄'!G""&amp;TO_TEXT(ROW()-$C$72))"),"")</f>
        <v/>
      </c>
      <c r="H1323" s="61" t="str">
        <f>IFERROR(__xludf.DUMMYFUNCTION("INDIRECT(""'收支紀錄'!H""&amp;TO_TEXT(ROW()-$C$72))"),"投資及其他")</f>
        <v>投資及其他</v>
      </c>
      <c r="I1323" s="61" t="str">
        <f>IFERROR(__xludf.DUMMYFUNCTION("INDIRECT(""'收支紀錄'!I""&amp;TO_TEXT(ROW()-$C$72))"),"")</f>
        <v/>
      </c>
      <c r="J1323" s="61" t="str">
        <f>IFERROR(__xludf.DUMMYFUNCTION("INDIRECT(""'收支紀錄'!J""&amp;TO_TEXT(ROW()-$C$72))"),"")</f>
        <v/>
      </c>
      <c r="K1323" s="61" t="str">
        <f>IFERROR(__xludf.DUMMYFUNCTION("INDIRECT(""'收支紀錄'!K""&amp;TO_TEXT(ROW()-$C$72))"),"")</f>
        <v/>
      </c>
      <c r="L1323" s="61" t="str">
        <f>IFERROR(__xludf.DUMMYFUNCTION("INDIRECT(""'收支紀錄'!L""&amp;TO_TEXT(ROW()-$C$72))"),"")</f>
        <v/>
      </c>
      <c r="M1323" s="61" t="str">
        <f>IFERROR(__xludf.DUMMYFUNCTION("INDIRECT(""'收支紀錄'!M""&amp;TO_TEXT(ROW()-$C$72))"),"")</f>
        <v/>
      </c>
      <c r="N1323" s="61" t="str">
        <f>IFERROR(__xludf.DUMMYFUNCTION("INDIRECT(""'收支紀錄'!N""&amp;TO_TEXT(ROW()-$C$72))"),"")</f>
        <v/>
      </c>
      <c r="O1323" s="61" t="str">
        <f>IFERROR(__xludf.DUMMYFUNCTION("INDIRECT(""'收支紀錄'!O""&amp;TO_TEXT(ROW()-$C$72))"),"")</f>
        <v/>
      </c>
      <c r="P1323" s="61" t="str">
        <f>IFERROR(__xludf.DUMMYFUNCTION("INDIRECT(""'收支紀錄'!P""&amp;TO_TEXT(ROW()-$C$72))"),"")</f>
        <v/>
      </c>
      <c r="Q1323" s="61" t="str">
        <f>IFERROR(__xludf.DUMMYFUNCTION("INDIRECT(""'收支紀錄'!Q""&amp;TO_TEXT(ROW()-$C$72))"),"")</f>
        <v/>
      </c>
      <c r="R1323" s="61" t="str">
        <f>IFERROR(__xludf.DUMMYFUNCTION("INDIRECT(""'收支紀錄'!R""&amp;TO_TEXT(ROW()-$C$72))"),"公司認股")</f>
        <v>公司認股</v>
      </c>
      <c r="S1323" s="61" t="str">
        <f>IFERROR(__xludf.DUMMYFUNCTION("INDIRECT(""'收支紀錄'!S""&amp;TO_TEXT(ROW()-$C$72))"),"")</f>
        <v/>
      </c>
      <c r="T1323" s="61" t="str">
        <f>IFERROR(__xludf.DUMMYFUNCTION("INDIRECT(""'收支紀錄'!T""&amp;TO_TEXT(ROW()-$C$72))"),"")</f>
        <v/>
      </c>
      <c r="U1323" s="62" t="str">
        <f>IFERROR(__xludf.DUMMYFUNCTION("IF(T1323=""是"",TEXTJOIN("""", TRUE, ""$"", TO_TEXT(C1323), S1323),"""")"),"")</f>
        <v/>
      </c>
    </row>
    <row r="1324">
      <c r="A1324" s="58">
        <f>IFERROR(__xludf.DUMMYFUNCTION("INDIRECT(""'收支紀錄'!A""&amp;TO_TEXT(ROW()-$C$72))"),45999.9517083449)</f>
        <v>45999.95171</v>
      </c>
      <c r="B1324" s="59">
        <f>IFERROR(__xludf.DUMMYFUNCTION("IF(ISBLANK(D1324), """", IF(ISDATE(D1324), D1324, IF(D1324=""今天"", A1324, IF(D1324=""昨天 (-1 day)"", A1324-1, IF(D1324=""前天 (-2 days)"", A1324-2, IF(D1324=""明天 (+1 day)"", A1324+1, DATE(LEFT(D1324,4), MID(D1324,5,2), RIGHT(D1324,2))))))))"),45999.9517083449)</f>
        <v>45999.95171</v>
      </c>
      <c r="C1324" s="60">
        <f>IFERROR(__xludf.DUMMYFUNCTION("INDIRECT(""'收支紀錄'!C""&amp;TO_TEXT(ROW()-$C$72))"),1179.0)</f>
        <v>1179</v>
      </c>
      <c r="D1324" s="63" t="str">
        <f>IFERROR(__xludf.DUMMYFUNCTION("INDIRECT(""'收支紀錄'!D""&amp;TO_TEXT(ROW()-$C$72))"),"今天")</f>
        <v>今天</v>
      </c>
      <c r="E1324" s="61" t="str">
        <f>IFERROR(__xludf.DUMMYFUNCTION("INDIRECT(""'收支紀錄'!E""&amp;TO_TEXT(ROW()-$C$72))"),"")</f>
        <v/>
      </c>
      <c r="F1324" s="61" t="str">
        <f>IFERROR(__xludf.DUMMYFUNCTION("INDIRECT(""'收支紀錄'!F""&amp;TO_TEXT(ROW()-$C$72))"),"")</f>
        <v/>
      </c>
      <c r="G1324" s="61" t="str">
        <f>IFERROR(__xludf.DUMMYFUNCTION("INDIRECT(""'收支紀錄'!G""&amp;TO_TEXT(ROW()-$C$72))"),"")</f>
        <v/>
      </c>
      <c r="H1324" s="61" t="str">
        <f>IFERROR(__xludf.DUMMYFUNCTION("INDIRECT(""'收支紀錄'!H""&amp;TO_TEXT(ROW()-$C$72))"),"食品酒水")</f>
        <v>食品酒水</v>
      </c>
      <c r="I1324" s="61" t="str">
        <f>IFERROR(__xludf.DUMMYFUNCTION("INDIRECT(""'收支紀錄'!I""&amp;TO_TEXT(ROW()-$C$72))"),"前月公司餐費扣款")</f>
        <v>前月公司餐費扣款</v>
      </c>
      <c r="J1324" s="61" t="str">
        <f>IFERROR(__xludf.DUMMYFUNCTION("INDIRECT(""'收支紀錄'!J""&amp;TO_TEXT(ROW()-$C$72))"),"")</f>
        <v/>
      </c>
      <c r="K1324" s="61" t="str">
        <f>IFERROR(__xludf.DUMMYFUNCTION("INDIRECT(""'收支紀錄'!K""&amp;TO_TEXT(ROW()-$C$72))"),"")</f>
        <v/>
      </c>
      <c r="L1324" s="61" t="str">
        <f>IFERROR(__xludf.DUMMYFUNCTION("INDIRECT(""'收支紀錄'!L""&amp;TO_TEXT(ROW()-$C$72))"),"")</f>
        <v/>
      </c>
      <c r="M1324" s="61" t="str">
        <f>IFERROR(__xludf.DUMMYFUNCTION("INDIRECT(""'收支紀錄'!M""&amp;TO_TEXT(ROW()-$C$72))"),"")</f>
        <v/>
      </c>
      <c r="N1324" s="61" t="str">
        <f>IFERROR(__xludf.DUMMYFUNCTION("INDIRECT(""'收支紀錄'!N""&amp;TO_TEXT(ROW()-$C$72))"),"")</f>
        <v/>
      </c>
      <c r="O1324" s="61" t="str">
        <f>IFERROR(__xludf.DUMMYFUNCTION("INDIRECT(""'收支紀錄'!O""&amp;TO_TEXT(ROW()-$C$72))"),"")</f>
        <v/>
      </c>
      <c r="P1324" s="61" t="str">
        <f>IFERROR(__xludf.DUMMYFUNCTION("INDIRECT(""'收支紀錄'!P""&amp;TO_TEXT(ROW()-$C$72))"),"")</f>
        <v/>
      </c>
      <c r="Q1324" s="61" t="str">
        <f>IFERROR(__xludf.DUMMYFUNCTION("INDIRECT(""'收支紀錄'!Q""&amp;TO_TEXT(ROW()-$C$72))"),"")</f>
        <v/>
      </c>
      <c r="R1324" s="61" t="str">
        <f>IFERROR(__xludf.DUMMYFUNCTION("INDIRECT(""'收支紀錄'!R""&amp;TO_TEXT(ROW()-$C$72))"),"")</f>
        <v/>
      </c>
      <c r="S1324" s="61" t="str">
        <f>IFERROR(__xludf.DUMMYFUNCTION("INDIRECT(""'收支紀錄'!S""&amp;TO_TEXT(ROW()-$C$72))"),"")</f>
        <v/>
      </c>
      <c r="T1324" s="61" t="str">
        <f>IFERROR(__xludf.DUMMYFUNCTION("INDIRECT(""'收支紀錄'!T""&amp;TO_TEXT(ROW()-$C$72))"),"")</f>
        <v/>
      </c>
      <c r="U1324" s="62" t="str">
        <f>IFERROR(__xludf.DUMMYFUNCTION("IF(T1324=""是"",TEXTJOIN("""", TRUE, ""$"", TO_TEXT(C1324), S1324),"""")"),"")</f>
        <v/>
      </c>
    </row>
    <row r="1325">
      <c r="A1325" s="58">
        <f>IFERROR(__xludf.DUMMYFUNCTION("INDIRECT(""'收支紀錄'!A""&amp;TO_TEXT(ROW()-$C$72))"),45999.9522407176)</f>
        <v>45999.95224</v>
      </c>
      <c r="B1325" s="59">
        <f>IFERROR(__xludf.DUMMYFUNCTION("IF(ISBLANK(D1325), """", IF(ISDATE(D1325), D1325, IF(D1325=""今天"", A1325, IF(D1325=""昨天 (-1 day)"", A1325-1, IF(D1325=""前天 (-2 days)"", A1325-2, IF(D1325=""明天 (+1 day)"", A1325+1, DATE(LEFT(D1325,4), MID(D1325,5,2), RIGHT(D1325,2))))))))"),45999.9522407176)</f>
        <v>45999.95224</v>
      </c>
      <c r="C1325" s="60">
        <f>IFERROR(__xludf.DUMMYFUNCTION("INDIRECT(""'收支紀錄'!C""&amp;TO_TEXT(ROW()-$C$72))"),6729.0)</f>
        <v>6729</v>
      </c>
      <c r="D1325" s="63" t="str">
        <f>IFERROR(__xludf.DUMMYFUNCTION("INDIRECT(""'收支紀錄'!D""&amp;TO_TEXT(ROW()-$C$72))"),"今天")</f>
        <v>今天</v>
      </c>
      <c r="E1325" s="61" t="str">
        <f>IFERROR(__xludf.DUMMYFUNCTION("INDIRECT(""'收支紀錄'!E""&amp;TO_TEXT(ROW()-$C$72))"),"")</f>
        <v/>
      </c>
      <c r="F1325" s="61" t="str">
        <f>IFERROR(__xludf.DUMMYFUNCTION("INDIRECT(""'收支紀錄'!F""&amp;TO_TEXT(ROW()-$C$72))"),"")</f>
        <v/>
      </c>
      <c r="G1325" s="61" t="str">
        <f>IFERROR(__xludf.DUMMYFUNCTION("INDIRECT(""'收支紀錄'!G""&amp;TO_TEXT(ROW()-$C$72))"),"")</f>
        <v/>
      </c>
      <c r="H1325" s="61" t="str">
        <f>IFERROR(__xludf.DUMMYFUNCTION("INDIRECT(""'收支紀錄'!H""&amp;TO_TEXT(ROW()-$C$72))"),"稅金保險")</f>
        <v>稅金保險</v>
      </c>
      <c r="I1325" s="61" t="str">
        <f>IFERROR(__xludf.DUMMYFUNCTION("INDIRECT(""'收支紀錄'!I""&amp;TO_TEXT(ROW()-$C$72))"),"")</f>
        <v/>
      </c>
      <c r="J1325" s="61" t="str">
        <f>IFERROR(__xludf.DUMMYFUNCTION("INDIRECT(""'收支紀錄'!J""&amp;TO_TEXT(ROW()-$C$72))"),"")</f>
        <v/>
      </c>
      <c r="K1325" s="61" t="str">
        <f>IFERROR(__xludf.DUMMYFUNCTION("INDIRECT(""'收支紀錄'!K""&amp;TO_TEXT(ROW()-$C$72))"),"")</f>
        <v/>
      </c>
      <c r="L1325" s="61" t="str">
        <f>IFERROR(__xludf.DUMMYFUNCTION("INDIRECT(""'收支紀錄'!L""&amp;TO_TEXT(ROW()-$C$72))"),"")</f>
        <v/>
      </c>
      <c r="M1325" s="61" t="str">
        <f>IFERROR(__xludf.DUMMYFUNCTION("INDIRECT(""'收支紀錄'!M""&amp;TO_TEXT(ROW()-$C$72))"),"")</f>
        <v/>
      </c>
      <c r="N1325" s="61" t="str">
        <f>IFERROR(__xludf.DUMMYFUNCTION("INDIRECT(""'收支紀錄'!N""&amp;TO_TEXT(ROW()-$C$72))"),"勞健保")</f>
        <v>勞健保</v>
      </c>
      <c r="O1325" s="61" t="str">
        <f>IFERROR(__xludf.DUMMYFUNCTION("INDIRECT(""'收支紀錄'!O""&amp;TO_TEXT(ROW()-$C$72))"),"")</f>
        <v/>
      </c>
      <c r="P1325" s="61" t="str">
        <f>IFERROR(__xludf.DUMMYFUNCTION("INDIRECT(""'收支紀錄'!P""&amp;TO_TEXT(ROW()-$C$72))"),"")</f>
        <v/>
      </c>
      <c r="Q1325" s="61" t="str">
        <f>IFERROR(__xludf.DUMMYFUNCTION("INDIRECT(""'收支紀錄'!Q""&amp;TO_TEXT(ROW()-$C$72))"),"")</f>
        <v/>
      </c>
      <c r="R1325" s="61" t="str">
        <f>IFERROR(__xludf.DUMMYFUNCTION("INDIRECT(""'收支紀錄'!R""&amp;TO_TEXT(ROW()-$C$72))"),"")</f>
        <v/>
      </c>
      <c r="S1325" s="61" t="str">
        <f>IFERROR(__xludf.DUMMYFUNCTION("INDIRECT(""'收支紀錄'!S""&amp;TO_TEXT(ROW()-$C$72))"),"")</f>
        <v/>
      </c>
      <c r="T1325" s="61" t="str">
        <f>IFERROR(__xludf.DUMMYFUNCTION("INDIRECT(""'收支紀錄'!T""&amp;TO_TEXT(ROW()-$C$72))"),"")</f>
        <v/>
      </c>
      <c r="U1325" s="62" t="str">
        <f>IFERROR(__xludf.DUMMYFUNCTION("IF(T1325=""是"",TEXTJOIN("""", TRUE, ""$"", TO_TEXT(C1325), S1325),"""")"),"")</f>
        <v/>
      </c>
    </row>
    <row r="1326">
      <c r="A1326" s="58">
        <f>IFERROR(__xludf.DUMMYFUNCTION("INDIRECT(""'收支紀錄'!A""&amp;TO_TEXT(ROW()-$C$72))"),45999.95254532408)</f>
        <v>45999.95255</v>
      </c>
      <c r="B1326" s="59">
        <f>IFERROR(__xludf.DUMMYFUNCTION("IF(ISBLANK(D1326), """", IF(ISDATE(D1326), D1326, IF(D1326=""今天"", A1326, IF(D1326=""昨天 (-1 day)"", A1326-1, IF(D1326=""前天 (-2 days)"", A1326-2, IF(D1326=""明天 (+1 day)"", A1326+1, DATE(LEFT(D1326,4), MID(D1326,5,2), RIGHT(D1326,2))))))))"),45999.95254532408)</f>
        <v>45999.95255</v>
      </c>
      <c r="C1326" s="60">
        <f>IFERROR(__xludf.DUMMYFUNCTION("INDIRECT(""'收支紀錄'!C""&amp;TO_TEXT(ROW()-$C$72))"),537.0)</f>
        <v>537</v>
      </c>
      <c r="D1326" s="63" t="str">
        <f>IFERROR(__xludf.DUMMYFUNCTION("INDIRECT(""'收支紀錄'!D""&amp;TO_TEXT(ROW()-$C$72))"),"今天")</f>
        <v>今天</v>
      </c>
      <c r="E1326" s="61" t="str">
        <f>IFERROR(__xludf.DUMMYFUNCTION("INDIRECT(""'收支紀錄'!E""&amp;TO_TEXT(ROW()-$C$72))"),"")</f>
        <v/>
      </c>
      <c r="F1326" s="61" t="str">
        <f>IFERROR(__xludf.DUMMYFUNCTION("INDIRECT(""'收支紀錄'!F""&amp;TO_TEXT(ROW()-$C$72))"),"")</f>
        <v/>
      </c>
      <c r="G1326" s="61" t="str">
        <f>IFERROR(__xludf.DUMMYFUNCTION("INDIRECT(""'收支紀錄'!G""&amp;TO_TEXT(ROW()-$C$72))"),"")</f>
        <v/>
      </c>
      <c r="H1326" s="61" t="str">
        <f>IFERROR(__xludf.DUMMYFUNCTION("INDIRECT(""'收支紀錄'!H""&amp;TO_TEXT(ROW()-$C$72))"),"休閒娛樂")</f>
        <v>休閒娛樂</v>
      </c>
      <c r="I1326" s="61" t="str">
        <f>IFERROR(__xludf.DUMMYFUNCTION("INDIRECT(""'收支紀錄'!I""&amp;TO_TEXT(ROW()-$C$72))"),"")</f>
        <v/>
      </c>
      <c r="J1326" s="61" t="str">
        <f>IFERROR(__xludf.DUMMYFUNCTION("INDIRECT(""'收支紀錄'!J""&amp;TO_TEXT(ROW()-$C$72))"),"")</f>
        <v/>
      </c>
      <c r="K1326" s="61" t="str">
        <f>IFERROR(__xludf.DUMMYFUNCTION("INDIRECT(""'收支紀錄'!K""&amp;TO_TEXT(ROW()-$C$72))"),"")</f>
        <v/>
      </c>
      <c r="L1326" s="61" t="str">
        <f>IFERROR(__xludf.DUMMYFUNCTION("INDIRECT(""'收支紀錄'!L""&amp;TO_TEXT(ROW()-$C$72))"),"")</f>
        <v/>
      </c>
      <c r="M1326" s="61" t="str">
        <f>IFERROR(__xludf.DUMMYFUNCTION("INDIRECT(""'收支紀錄'!M""&amp;TO_TEXT(ROW()-$C$72))"),"公司福利金")</f>
        <v>公司福利金</v>
      </c>
      <c r="N1326" s="61" t="str">
        <f>IFERROR(__xludf.DUMMYFUNCTION("INDIRECT(""'收支紀錄'!N""&amp;TO_TEXT(ROW()-$C$72))"),"")</f>
        <v/>
      </c>
      <c r="O1326" s="61" t="str">
        <f>IFERROR(__xludf.DUMMYFUNCTION("INDIRECT(""'收支紀錄'!O""&amp;TO_TEXT(ROW()-$C$72))"),"")</f>
        <v/>
      </c>
      <c r="P1326" s="61" t="str">
        <f>IFERROR(__xludf.DUMMYFUNCTION("INDIRECT(""'收支紀錄'!P""&amp;TO_TEXT(ROW()-$C$72))"),"")</f>
        <v/>
      </c>
      <c r="Q1326" s="61" t="str">
        <f>IFERROR(__xludf.DUMMYFUNCTION("INDIRECT(""'收支紀錄'!Q""&amp;TO_TEXT(ROW()-$C$72))"),"")</f>
        <v/>
      </c>
      <c r="R1326" s="61" t="str">
        <f>IFERROR(__xludf.DUMMYFUNCTION("INDIRECT(""'收支紀錄'!R""&amp;TO_TEXT(ROW()-$C$72))"),"")</f>
        <v/>
      </c>
      <c r="S1326" s="61" t="str">
        <f>IFERROR(__xludf.DUMMYFUNCTION("INDIRECT(""'收支紀錄'!S""&amp;TO_TEXT(ROW()-$C$72))"),"")</f>
        <v/>
      </c>
      <c r="T1326" s="61" t="str">
        <f>IFERROR(__xludf.DUMMYFUNCTION("INDIRECT(""'收支紀錄'!T""&amp;TO_TEXT(ROW()-$C$72))"),"")</f>
        <v/>
      </c>
      <c r="U1326" s="62" t="str">
        <f>IFERROR(__xludf.DUMMYFUNCTION("IF(T1326=""是"",TEXTJOIN("""", TRUE, ""$"", TO_TEXT(C1326), S1326),"""")"),"")</f>
        <v/>
      </c>
    </row>
    <row r="1327">
      <c r="A1327" s="58">
        <f>IFERROR(__xludf.DUMMYFUNCTION("INDIRECT(""'收支紀錄'!A""&amp;TO_TEXT(ROW()-$C$72))"),45999.95277079861)</f>
        <v>45999.95277</v>
      </c>
      <c r="B1327" s="59">
        <f>IFERROR(__xludf.DUMMYFUNCTION("IF(ISBLANK(D1327), """", IF(ISDATE(D1327), D1327, IF(D1327=""今天"", A1327, IF(D1327=""昨天 (-1 day)"", A1327-1, IF(D1327=""前天 (-2 days)"", A1327-2, IF(D1327=""明天 (+1 day)"", A1327+1, DATE(LEFT(D1327,4), MID(D1327,5,2), RIGHT(D1327,2))))))))"),45999.95277079861)</f>
        <v>45999.95277</v>
      </c>
      <c r="C1327" s="60">
        <f>IFERROR(__xludf.DUMMYFUNCTION("INDIRECT(""'收支紀錄'!C""&amp;TO_TEXT(ROW()-$C$72))"),3500.0)</f>
        <v>3500</v>
      </c>
      <c r="D1327" s="63" t="str">
        <f>IFERROR(__xludf.DUMMYFUNCTION("INDIRECT(""'收支紀錄'!D""&amp;TO_TEXT(ROW()-$C$72))"),"今天")</f>
        <v>今天</v>
      </c>
      <c r="E1327" s="61" t="str">
        <f>IFERROR(__xludf.DUMMYFUNCTION("INDIRECT(""'收支紀錄'!E""&amp;TO_TEXT(ROW()-$C$72))"),"")</f>
        <v/>
      </c>
      <c r="F1327" s="61" t="str">
        <f>IFERROR(__xludf.DUMMYFUNCTION("INDIRECT(""'收支紀錄'!F""&amp;TO_TEXT(ROW()-$C$72))"),"")</f>
        <v/>
      </c>
      <c r="G1327" s="61" t="str">
        <f>IFERROR(__xludf.DUMMYFUNCTION("INDIRECT(""'收支紀錄'!G""&amp;TO_TEXT(ROW()-$C$72))"),"")</f>
        <v/>
      </c>
      <c r="H1327" s="61" t="str">
        <f>IFERROR(__xludf.DUMMYFUNCTION("INDIRECT(""'收支紀錄'!H""&amp;TO_TEXT(ROW()-$C$72))"),"稅金保險")</f>
        <v>稅金保險</v>
      </c>
      <c r="I1327" s="61" t="str">
        <f>IFERROR(__xludf.DUMMYFUNCTION("INDIRECT(""'收支紀錄'!I""&amp;TO_TEXT(ROW()-$C$72))"),"")</f>
        <v/>
      </c>
      <c r="J1327" s="61" t="str">
        <f>IFERROR(__xludf.DUMMYFUNCTION("INDIRECT(""'收支紀錄'!J""&amp;TO_TEXT(ROW()-$C$72))"),"")</f>
        <v/>
      </c>
      <c r="K1327" s="61" t="str">
        <f>IFERROR(__xludf.DUMMYFUNCTION("INDIRECT(""'收支紀錄'!K""&amp;TO_TEXT(ROW()-$C$72))"),"")</f>
        <v/>
      </c>
      <c r="L1327" s="61" t="str">
        <f>IFERROR(__xludf.DUMMYFUNCTION("INDIRECT(""'收支紀錄'!L""&amp;TO_TEXT(ROW()-$C$72))"),"")</f>
        <v/>
      </c>
      <c r="M1327" s="61" t="str">
        <f>IFERROR(__xludf.DUMMYFUNCTION("INDIRECT(""'收支紀錄'!M""&amp;TO_TEXT(ROW()-$C$72))"),"")</f>
        <v/>
      </c>
      <c r="N1327" s="61" t="str">
        <f>IFERROR(__xludf.DUMMYFUNCTION("INDIRECT(""'收支紀錄'!N""&amp;TO_TEXT(ROW()-$C$72))"),"稅金")</f>
        <v>稅金</v>
      </c>
      <c r="O1327" s="61" t="str">
        <f>IFERROR(__xludf.DUMMYFUNCTION("INDIRECT(""'收支紀錄'!O""&amp;TO_TEXT(ROW()-$C$72))"),"")</f>
        <v/>
      </c>
      <c r="P1327" s="61" t="str">
        <f>IFERROR(__xludf.DUMMYFUNCTION("INDIRECT(""'收支紀錄'!P""&amp;TO_TEXT(ROW()-$C$72))"),"")</f>
        <v/>
      </c>
      <c r="Q1327" s="61" t="str">
        <f>IFERROR(__xludf.DUMMYFUNCTION("INDIRECT(""'收支紀錄'!Q""&amp;TO_TEXT(ROW()-$C$72))"),"")</f>
        <v/>
      </c>
      <c r="R1327" s="61" t="str">
        <f>IFERROR(__xludf.DUMMYFUNCTION("INDIRECT(""'收支紀錄'!R""&amp;TO_TEXT(ROW()-$C$72))"),"")</f>
        <v/>
      </c>
      <c r="S1327" s="61" t="str">
        <f>IFERROR(__xludf.DUMMYFUNCTION("INDIRECT(""'收支紀錄'!S""&amp;TO_TEXT(ROW()-$C$72))"),"")</f>
        <v/>
      </c>
      <c r="T1327" s="61" t="str">
        <f>IFERROR(__xludf.DUMMYFUNCTION("INDIRECT(""'收支紀錄'!T""&amp;TO_TEXT(ROW()-$C$72))"),"")</f>
        <v/>
      </c>
      <c r="U1327" s="62" t="str">
        <f>IFERROR(__xludf.DUMMYFUNCTION("IF(T1327=""是"",TEXTJOIN("""", TRUE, ""$"", TO_TEXT(C1327), S1327),"""")"),"")</f>
        <v/>
      </c>
    </row>
    <row r="1328">
      <c r="A1328" s="58">
        <f>IFERROR(__xludf.DUMMYFUNCTION("INDIRECT(""'收支紀錄'!A""&amp;TO_TEXT(ROW()-$C$72))"),45999.9538478125)</f>
        <v>45999.95385</v>
      </c>
      <c r="B1328" s="59">
        <f>IFERROR(__xludf.DUMMYFUNCTION("IF(ISBLANK(D1328), """", IF(ISDATE(D1328), D1328, IF(D1328=""今天"", A1328, IF(D1328=""昨天 (-1 day)"", A1328-1, IF(D1328=""前天 (-2 days)"", A1328-2, IF(D1328=""明天 (+1 day)"", A1328+1, DATE(LEFT(D1328,4), MID(D1328,5,2), RIGHT(D1328,2))))))))"),45991.0)</f>
        <v>45991</v>
      </c>
      <c r="C1328" s="60">
        <f>IFERROR(__xludf.DUMMYFUNCTION("INDIRECT(""'收支紀錄'!C""&amp;TO_TEXT(ROW()-$C$72))"),95.0)</f>
        <v>95</v>
      </c>
      <c r="D1328" s="63">
        <f>IFERROR(__xludf.DUMMYFUNCTION("INDIRECT(""'收支紀錄'!D""&amp;TO_TEXT(ROW()-$C$72))"),2.025113E7)</f>
        <v>20251130</v>
      </c>
      <c r="E1328" s="61" t="str">
        <f>IFERROR(__xludf.DUMMYFUNCTION("INDIRECT(""'收支紀錄'!E""&amp;TO_TEXT(ROW()-$C$72))"),"")</f>
        <v/>
      </c>
      <c r="F1328" s="61" t="str">
        <f>IFERROR(__xludf.DUMMYFUNCTION("INDIRECT(""'收支紀錄'!F""&amp;TO_TEXT(ROW()-$C$72))"),"")</f>
        <v/>
      </c>
      <c r="G1328" s="61" t="str">
        <f>IFERROR(__xludf.DUMMYFUNCTION("INDIRECT(""'收支紀錄'!G""&amp;TO_TEXT(ROW()-$C$72))"),"")</f>
        <v/>
      </c>
      <c r="H1328" s="61" t="str">
        <f>IFERROR(__xludf.DUMMYFUNCTION("INDIRECT(""'收支紀錄'!H""&amp;TO_TEXT(ROW()-$C$72))"),"行車交通")</f>
        <v>行車交通</v>
      </c>
      <c r="I1328" s="61" t="str">
        <f>IFERROR(__xludf.DUMMYFUNCTION("INDIRECT(""'收支紀錄'!I""&amp;TO_TEXT(ROW()-$C$72))"),"")</f>
        <v/>
      </c>
      <c r="J1328" s="61" t="str">
        <f>IFERROR(__xludf.DUMMYFUNCTION("INDIRECT(""'收支紀錄'!J""&amp;TO_TEXT(ROW()-$C$72))"),"")</f>
        <v/>
      </c>
      <c r="K1328" s="61" t="str">
        <f>IFERROR(__xludf.DUMMYFUNCTION("INDIRECT(""'收支紀錄'!K""&amp;TO_TEXT(ROW()-$C$72))"),"")</f>
        <v/>
      </c>
      <c r="L1328" s="61" t="str">
        <f>IFERROR(__xludf.DUMMYFUNCTION("INDIRECT(""'收支紀錄'!L""&amp;TO_TEXT(ROW()-$C$72))"),"停車")</f>
        <v>停車</v>
      </c>
      <c r="M1328" s="61" t="str">
        <f>IFERROR(__xludf.DUMMYFUNCTION("INDIRECT(""'收支紀錄'!M""&amp;TO_TEXT(ROW()-$C$72))"),"")</f>
        <v/>
      </c>
      <c r="N1328" s="61" t="str">
        <f>IFERROR(__xludf.DUMMYFUNCTION("INDIRECT(""'收支紀錄'!N""&amp;TO_TEXT(ROW()-$C$72))"),"")</f>
        <v/>
      </c>
      <c r="O1328" s="61" t="str">
        <f>IFERROR(__xludf.DUMMYFUNCTION("INDIRECT(""'收支紀錄'!O""&amp;TO_TEXT(ROW()-$C$72))"),"")</f>
        <v/>
      </c>
      <c r="P1328" s="61" t="str">
        <f>IFERROR(__xludf.DUMMYFUNCTION("INDIRECT(""'收支紀錄'!P""&amp;TO_TEXT(ROW()-$C$72))"),"")</f>
        <v/>
      </c>
      <c r="Q1328" s="61" t="str">
        <f>IFERROR(__xludf.DUMMYFUNCTION("INDIRECT(""'收支紀錄'!Q""&amp;TO_TEXT(ROW()-$C$72))"),"")</f>
        <v/>
      </c>
      <c r="R1328" s="61" t="str">
        <f>IFERROR(__xludf.DUMMYFUNCTION("INDIRECT(""'收支紀錄'!R""&amp;TO_TEXT(ROW()-$C$72))"),"")</f>
        <v/>
      </c>
      <c r="S1328" s="61" t="str">
        <f>IFERROR(__xludf.DUMMYFUNCTION("INDIRECT(""'收支紀錄'!S""&amp;TO_TEXT(ROW()-$C$72))"),"")</f>
        <v/>
      </c>
      <c r="T1328" s="61" t="str">
        <f>IFERROR(__xludf.DUMMYFUNCTION("INDIRECT(""'收支紀錄'!T""&amp;TO_TEXT(ROW()-$C$72))"),"")</f>
        <v/>
      </c>
      <c r="U1328" s="62" t="str">
        <f>IFERROR(__xludf.DUMMYFUNCTION("IF(T1328=""是"",TEXTJOIN("""", TRUE, ""$"", TO_TEXT(C1328), S1328),"""")"),"")</f>
        <v/>
      </c>
    </row>
    <row r="1329">
      <c r="A1329" s="58">
        <f>IFERROR(__xludf.DUMMYFUNCTION("INDIRECT(""'收支紀錄'!A""&amp;TO_TEXT(ROW()-$C$72))"),45999.95454773148)</f>
        <v>45999.95455</v>
      </c>
      <c r="B1329" s="59">
        <f>IFERROR(__xludf.DUMMYFUNCTION("IF(ISBLANK(D1329), """", IF(ISDATE(D1329), D1329, IF(D1329=""今天"", A1329, IF(D1329=""昨天 (-1 day)"", A1329-1, IF(D1329=""前天 (-2 days)"", A1329-2, IF(D1329=""明天 (+1 day)"", A1329+1, DATE(LEFT(D1329,4), MID(D1329,5,2), RIGHT(D1329,2))))))))"),45975.0)</f>
        <v>45975</v>
      </c>
      <c r="C1329" s="60">
        <f>IFERROR(__xludf.DUMMYFUNCTION("INDIRECT(""'收支紀錄'!C""&amp;TO_TEXT(ROW()-$C$72))"),2520.0)</f>
        <v>2520</v>
      </c>
      <c r="D1329" s="63">
        <f>IFERROR(__xludf.DUMMYFUNCTION("INDIRECT(""'收支紀錄'!D""&amp;TO_TEXT(ROW()-$C$72))"),2.0251114E7)</f>
        <v>20251114</v>
      </c>
      <c r="E1329" s="61" t="str">
        <f>IFERROR(__xludf.DUMMYFUNCTION("INDIRECT(""'收支紀錄'!E""&amp;TO_TEXT(ROW()-$C$72))"),"其他業外")</f>
        <v>其他業外</v>
      </c>
      <c r="F1329" s="61" t="str">
        <f>IFERROR(__xludf.DUMMYFUNCTION("INDIRECT(""'收支紀錄'!F""&amp;TO_TEXT(ROW()-$C$72))"),"")</f>
        <v/>
      </c>
      <c r="G1329" s="61" t="str">
        <f>IFERROR(__xludf.DUMMYFUNCTION("INDIRECT(""'收支紀錄'!G""&amp;TO_TEXT(ROW()-$C$72))"),"股票配息")</f>
        <v>股票配息</v>
      </c>
      <c r="H1329" s="61" t="str">
        <f>IFERROR(__xludf.DUMMYFUNCTION("INDIRECT(""'收支紀錄'!H""&amp;TO_TEXT(ROW()-$C$72))"),"")</f>
        <v/>
      </c>
      <c r="I1329" s="61" t="str">
        <f>IFERROR(__xludf.DUMMYFUNCTION("INDIRECT(""'收支紀錄'!I""&amp;TO_TEXT(ROW()-$C$72))"),"")</f>
        <v/>
      </c>
      <c r="J1329" s="61" t="str">
        <f>IFERROR(__xludf.DUMMYFUNCTION("INDIRECT(""'收支紀錄'!J""&amp;TO_TEXT(ROW()-$C$72))"),"")</f>
        <v/>
      </c>
      <c r="K1329" s="61" t="str">
        <f>IFERROR(__xludf.DUMMYFUNCTION("INDIRECT(""'收支紀錄'!K""&amp;TO_TEXT(ROW()-$C$72))"),"")</f>
        <v/>
      </c>
      <c r="L1329" s="61" t="str">
        <f>IFERROR(__xludf.DUMMYFUNCTION("INDIRECT(""'收支紀錄'!L""&amp;TO_TEXT(ROW()-$C$72))"),"")</f>
        <v/>
      </c>
      <c r="M1329" s="61" t="str">
        <f>IFERROR(__xludf.DUMMYFUNCTION("INDIRECT(""'收支紀錄'!M""&amp;TO_TEXT(ROW()-$C$72))"),"")</f>
        <v/>
      </c>
      <c r="N1329" s="61" t="str">
        <f>IFERROR(__xludf.DUMMYFUNCTION("INDIRECT(""'收支紀錄'!N""&amp;TO_TEXT(ROW()-$C$72))"),"")</f>
        <v/>
      </c>
      <c r="O1329" s="61" t="str">
        <f>IFERROR(__xludf.DUMMYFUNCTION("INDIRECT(""'收支紀錄'!O""&amp;TO_TEXT(ROW()-$C$72))"),"")</f>
        <v/>
      </c>
      <c r="P1329" s="61" t="str">
        <f>IFERROR(__xludf.DUMMYFUNCTION("INDIRECT(""'收支紀錄'!P""&amp;TO_TEXT(ROW()-$C$72))"),"")</f>
        <v/>
      </c>
      <c r="Q1329" s="61" t="str">
        <f>IFERROR(__xludf.DUMMYFUNCTION("INDIRECT(""'收支紀錄'!Q""&amp;TO_TEXT(ROW()-$C$72))"),"")</f>
        <v/>
      </c>
      <c r="R1329" s="61" t="str">
        <f>IFERROR(__xludf.DUMMYFUNCTION("INDIRECT(""'收支紀錄'!R""&amp;TO_TEXT(ROW()-$C$72))"),"")</f>
        <v/>
      </c>
      <c r="S1329" s="61" t="str">
        <f>IFERROR(__xludf.DUMMYFUNCTION("INDIRECT(""'收支紀錄'!S""&amp;TO_TEXT(ROW()-$C$72))"),"中信優息")</f>
        <v>中信優息</v>
      </c>
      <c r="T1329" s="61" t="str">
        <f>IFERROR(__xludf.DUMMYFUNCTION("INDIRECT(""'收支紀錄'!T""&amp;TO_TEXT(ROW()-$C$72))"),"是")</f>
        <v>是</v>
      </c>
      <c r="U1329" s="62" t="str">
        <f>IFERROR(__xludf.DUMMYFUNCTION("IF(T1329=""是"",TEXTJOIN("""", TRUE, ""$"", TO_TEXT(C1329), S1329),"""")"),"$2520中信優息")</f>
        <v>$2520中信優息</v>
      </c>
    </row>
    <row r="1330">
      <c r="A1330" s="58">
        <f>IFERROR(__xludf.DUMMYFUNCTION("INDIRECT(""'收支紀錄'!A""&amp;TO_TEXT(ROW()-$C$72))"),46000.95591655093)</f>
        <v>46000.95592</v>
      </c>
      <c r="B1330" s="59">
        <f>IFERROR(__xludf.DUMMYFUNCTION("IF(ISBLANK(D1330), """", IF(ISDATE(D1330), D1330, IF(D1330=""今天"", A1330, IF(D1330=""昨天 (-1 day)"", A1330-1, IF(D1330=""前天 (-2 days)"", A1330-2, IF(D1330=""明天 (+1 day)"", A1330+1, DATE(LEFT(D1330,4), MID(D1330,5,2), RIGHT(D1330,2))))))))"),46000.95591655093)</f>
        <v>46000.95592</v>
      </c>
      <c r="C1330" s="60">
        <f>IFERROR(__xludf.DUMMYFUNCTION("INDIRECT(""'收支紀錄'!C""&amp;TO_TEXT(ROW()-$C$72))"),32.0)</f>
        <v>32</v>
      </c>
      <c r="D1330" s="63" t="str">
        <f>IFERROR(__xludf.DUMMYFUNCTION("INDIRECT(""'收支紀錄'!D""&amp;TO_TEXT(ROW()-$C$72))"),"今天")</f>
        <v>今天</v>
      </c>
      <c r="E1330" s="61" t="str">
        <f>IFERROR(__xludf.DUMMYFUNCTION("INDIRECT(""'收支紀錄'!E""&amp;TO_TEXT(ROW()-$C$72))"),"")</f>
        <v/>
      </c>
      <c r="F1330" s="61" t="str">
        <f>IFERROR(__xludf.DUMMYFUNCTION("INDIRECT(""'收支紀錄'!F""&amp;TO_TEXT(ROW()-$C$72))"),"")</f>
        <v/>
      </c>
      <c r="G1330" s="61" t="str">
        <f>IFERROR(__xludf.DUMMYFUNCTION("INDIRECT(""'收支紀錄'!G""&amp;TO_TEXT(ROW()-$C$72))"),"")</f>
        <v/>
      </c>
      <c r="H1330" s="61" t="str">
        <f>IFERROR(__xludf.DUMMYFUNCTION("INDIRECT(""'收支紀錄'!H""&amp;TO_TEXT(ROW()-$C$72))"),"食品酒水")</f>
        <v>食品酒水</v>
      </c>
      <c r="I1330" s="61" t="str">
        <f>IFERROR(__xludf.DUMMYFUNCTION("INDIRECT(""'收支紀錄'!I""&amp;TO_TEXT(ROW()-$C$72))"),"宵夜")</f>
        <v>宵夜</v>
      </c>
      <c r="J1330" s="61" t="str">
        <f>IFERROR(__xludf.DUMMYFUNCTION("INDIRECT(""'收支紀錄'!J""&amp;TO_TEXT(ROW()-$C$72))"),"")</f>
        <v/>
      </c>
      <c r="K1330" s="61" t="str">
        <f>IFERROR(__xludf.DUMMYFUNCTION("INDIRECT(""'收支紀錄'!K""&amp;TO_TEXT(ROW()-$C$72))"),"")</f>
        <v/>
      </c>
      <c r="L1330" s="61" t="str">
        <f>IFERROR(__xludf.DUMMYFUNCTION("INDIRECT(""'收支紀錄'!L""&amp;TO_TEXT(ROW()-$C$72))"),"")</f>
        <v/>
      </c>
      <c r="M1330" s="61" t="str">
        <f>IFERROR(__xludf.DUMMYFUNCTION("INDIRECT(""'收支紀錄'!M""&amp;TO_TEXT(ROW()-$C$72))"),"")</f>
        <v/>
      </c>
      <c r="N1330" s="61" t="str">
        <f>IFERROR(__xludf.DUMMYFUNCTION("INDIRECT(""'收支紀錄'!N""&amp;TO_TEXT(ROW()-$C$72))"),"")</f>
        <v/>
      </c>
      <c r="O1330" s="61" t="str">
        <f>IFERROR(__xludf.DUMMYFUNCTION("INDIRECT(""'收支紀錄'!O""&amp;TO_TEXT(ROW()-$C$72))"),"")</f>
        <v/>
      </c>
      <c r="P1330" s="61" t="str">
        <f>IFERROR(__xludf.DUMMYFUNCTION("INDIRECT(""'收支紀錄'!P""&amp;TO_TEXT(ROW()-$C$72))"),"")</f>
        <v/>
      </c>
      <c r="Q1330" s="61" t="str">
        <f>IFERROR(__xludf.DUMMYFUNCTION("INDIRECT(""'收支紀錄'!Q""&amp;TO_TEXT(ROW()-$C$72))"),"")</f>
        <v/>
      </c>
      <c r="R1330" s="61" t="str">
        <f>IFERROR(__xludf.DUMMYFUNCTION("INDIRECT(""'收支紀錄'!R""&amp;TO_TEXT(ROW()-$C$72))"),"")</f>
        <v/>
      </c>
      <c r="S1330" s="61" t="str">
        <f>IFERROR(__xludf.DUMMYFUNCTION("INDIRECT(""'收支紀錄'!S""&amp;TO_TEXT(ROW()-$C$72))"),"")</f>
        <v/>
      </c>
      <c r="T1330" s="61" t="str">
        <f>IFERROR(__xludf.DUMMYFUNCTION("INDIRECT(""'收支紀錄'!T""&amp;TO_TEXT(ROW()-$C$72))"),"")</f>
        <v/>
      </c>
      <c r="U1330" s="62" t="str">
        <f>IFERROR(__xludf.DUMMYFUNCTION("IF(T1330=""是"",TEXTJOIN("""", TRUE, ""$"", TO_TEXT(C1330), S1330),"""")"),"")</f>
        <v/>
      </c>
    </row>
    <row r="1331">
      <c r="A1331" s="58">
        <f>IFERROR(__xludf.DUMMYFUNCTION("INDIRECT(""'收支紀錄'!A""&amp;TO_TEXT(ROW()-$C$72))"),46001.89044166666)</f>
        <v>46001.89044</v>
      </c>
      <c r="B1331" s="59">
        <f>IFERROR(__xludf.DUMMYFUNCTION("IF(ISBLANK(D1331), """", IF(ISDATE(D1331), D1331, IF(D1331=""今天"", A1331, IF(D1331=""昨天 (-1 day)"", A1331-1, IF(D1331=""前天 (-2 days)"", A1331-2, IF(D1331=""明天 (+1 day)"", A1331+1, DATE(LEFT(D1331,4), MID(D1331,5,2), RIGHT(D1331,2))))))))"),46001.89044166666)</f>
        <v>46001.89044</v>
      </c>
      <c r="C1331" s="60">
        <f>IFERROR(__xludf.DUMMYFUNCTION("INDIRECT(""'收支紀錄'!C""&amp;TO_TEXT(ROW()-$C$72))"),98.0)</f>
        <v>98</v>
      </c>
      <c r="D1331" s="63" t="str">
        <f>IFERROR(__xludf.DUMMYFUNCTION("INDIRECT(""'收支紀錄'!D""&amp;TO_TEXT(ROW()-$C$72))"),"今天")</f>
        <v>今天</v>
      </c>
      <c r="E1331" s="61" t="str">
        <f>IFERROR(__xludf.DUMMYFUNCTION("INDIRECT(""'收支紀錄'!E""&amp;TO_TEXT(ROW()-$C$72))"),"")</f>
        <v/>
      </c>
      <c r="F1331" s="61" t="str">
        <f>IFERROR(__xludf.DUMMYFUNCTION("INDIRECT(""'收支紀錄'!F""&amp;TO_TEXT(ROW()-$C$72))"),"")</f>
        <v/>
      </c>
      <c r="G1331" s="61" t="str">
        <f>IFERROR(__xludf.DUMMYFUNCTION("INDIRECT(""'收支紀錄'!G""&amp;TO_TEXT(ROW()-$C$72))"),"")</f>
        <v/>
      </c>
      <c r="H1331" s="61" t="str">
        <f>IFERROR(__xludf.DUMMYFUNCTION("INDIRECT(""'收支紀錄'!H""&amp;TO_TEXT(ROW()-$C$72))"),"食品酒水")</f>
        <v>食品酒水</v>
      </c>
      <c r="I1331" s="61" t="str">
        <f>IFERROR(__xludf.DUMMYFUNCTION("INDIRECT(""'收支紀錄'!I""&amp;TO_TEXT(ROW()-$C$72))"),"宵夜")</f>
        <v>宵夜</v>
      </c>
      <c r="J1331" s="61" t="str">
        <f>IFERROR(__xludf.DUMMYFUNCTION("INDIRECT(""'收支紀錄'!J""&amp;TO_TEXT(ROW()-$C$72))"),"")</f>
        <v/>
      </c>
      <c r="K1331" s="61" t="str">
        <f>IFERROR(__xludf.DUMMYFUNCTION("INDIRECT(""'收支紀錄'!K""&amp;TO_TEXT(ROW()-$C$72))"),"")</f>
        <v/>
      </c>
      <c r="L1331" s="61" t="str">
        <f>IFERROR(__xludf.DUMMYFUNCTION("INDIRECT(""'收支紀錄'!L""&amp;TO_TEXT(ROW()-$C$72))"),"")</f>
        <v/>
      </c>
      <c r="M1331" s="61" t="str">
        <f>IFERROR(__xludf.DUMMYFUNCTION("INDIRECT(""'收支紀錄'!M""&amp;TO_TEXT(ROW()-$C$72))"),"")</f>
        <v/>
      </c>
      <c r="N1331" s="61" t="str">
        <f>IFERROR(__xludf.DUMMYFUNCTION("INDIRECT(""'收支紀錄'!N""&amp;TO_TEXT(ROW()-$C$72))"),"")</f>
        <v/>
      </c>
      <c r="O1331" s="61" t="str">
        <f>IFERROR(__xludf.DUMMYFUNCTION("INDIRECT(""'收支紀錄'!O""&amp;TO_TEXT(ROW()-$C$72))"),"")</f>
        <v/>
      </c>
      <c r="P1331" s="61" t="str">
        <f>IFERROR(__xludf.DUMMYFUNCTION("INDIRECT(""'收支紀錄'!P""&amp;TO_TEXT(ROW()-$C$72))"),"")</f>
        <v/>
      </c>
      <c r="Q1331" s="61" t="str">
        <f>IFERROR(__xludf.DUMMYFUNCTION("INDIRECT(""'收支紀錄'!Q""&amp;TO_TEXT(ROW()-$C$72))"),"")</f>
        <v/>
      </c>
      <c r="R1331" s="61" t="str">
        <f>IFERROR(__xludf.DUMMYFUNCTION("INDIRECT(""'收支紀錄'!R""&amp;TO_TEXT(ROW()-$C$72))"),"")</f>
        <v/>
      </c>
      <c r="S1331" s="61" t="str">
        <f>IFERROR(__xludf.DUMMYFUNCTION("INDIRECT(""'收支紀錄'!S""&amp;TO_TEXT(ROW()-$C$72))"),"")</f>
        <v/>
      </c>
      <c r="T1331" s="61" t="str">
        <f>IFERROR(__xludf.DUMMYFUNCTION("INDIRECT(""'收支紀錄'!T""&amp;TO_TEXT(ROW()-$C$72))"),"")</f>
        <v/>
      </c>
      <c r="U1331" s="62" t="str">
        <f>IFERROR(__xludf.DUMMYFUNCTION("IF(T1331=""是"",TEXTJOIN("""", TRUE, ""$"", TO_TEXT(C1331), S1331),"""")"),"")</f>
        <v/>
      </c>
    </row>
    <row r="1332">
      <c r="A1332" s="58">
        <f>IFERROR(__xludf.DUMMYFUNCTION("INDIRECT(""'收支紀錄'!A""&amp;TO_TEXT(ROW()-$C$72))"),46002.87516329861)</f>
        <v>46002.87516</v>
      </c>
      <c r="B1332" s="59">
        <f>IFERROR(__xludf.DUMMYFUNCTION("IF(ISBLANK(D1332), """", IF(ISDATE(D1332), D1332, IF(D1332=""今天"", A1332, IF(D1332=""昨天 (-1 day)"", A1332-1, IF(D1332=""前天 (-2 days)"", A1332-2, IF(D1332=""明天 (+1 day)"", A1332+1, DATE(LEFT(D1332,4), MID(D1332,5,2), RIGHT(D1332,2))))))))"),46002.87516329861)</f>
        <v>46002.87516</v>
      </c>
      <c r="C1332" s="60">
        <f>IFERROR(__xludf.DUMMYFUNCTION("INDIRECT(""'收支紀錄'!C""&amp;TO_TEXT(ROW()-$C$72))"),50.0)</f>
        <v>50</v>
      </c>
      <c r="D1332" s="63" t="str">
        <f>IFERROR(__xludf.DUMMYFUNCTION("INDIRECT(""'收支紀錄'!D""&amp;TO_TEXT(ROW()-$C$72))"),"今天")</f>
        <v>今天</v>
      </c>
      <c r="E1332" s="61" t="str">
        <f>IFERROR(__xludf.DUMMYFUNCTION("INDIRECT(""'收支紀錄'!E""&amp;TO_TEXT(ROW()-$C$72))"),"")</f>
        <v/>
      </c>
      <c r="F1332" s="61" t="str">
        <f>IFERROR(__xludf.DUMMYFUNCTION("INDIRECT(""'收支紀錄'!F""&amp;TO_TEXT(ROW()-$C$72))"),"")</f>
        <v/>
      </c>
      <c r="G1332" s="61" t="str">
        <f>IFERROR(__xludf.DUMMYFUNCTION("INDIRECT(""'收支紀錄'!G""&amp;TO_TEXT(ROW()-$C$72))"),"")</f>
        <v/>
      </c>
      <c r="H1332" s="61" t="str">
        <f>IFERROR(__xludf.DUMMYFUNCTION("INDIRECT(""'收支紀錄'!H""&amp;TO_TEXT(ROW()-$C$72))"),"食品酒水")</f>
        <v>食品酒水</v>
      </c>
      <c r="I1332" s="61" t="str">
        <f>IFERROR(__xludf.DUMMYFUNCTION("INDIRECT(""'收支紀錄'!I""&amp;TO_TEXT(ROW()-$C$72))"),"宵夜")</f>
        <v>宵夜</v>
      </c>
      <c r="J1332" s="61" t="str">
        <f>IFERROR(__xludf.DUMMYFUNCTION("INDIRECT(""'收支紀錄'!J""&amp;TO_TEXT(ROW()-$C$72))"),"")</f>
        <v/>
      </c>
      <c r="K1332" s="61" t="str">
        <f>IFERROR(__xludf.DUMMYFUNCTION("INDIRECT(""'收支紀錄'!K""&amp;TO_TEXT(ROW()-$C$72))"),"")</f>
        <v/>
      </c>
      <c r="L1332" s="61" t="str">
        <f>IFERROR(__xludf.DUMMYFUNCTION("INDIRECT(""'收支紀錄'!L""&amp;TO_TEXT(ROW()-$C$72))"),"")</f>
        <v/>
      </c>
      <c r="M1332" s="61" t="str">
        <f>IFERROR(__xludf.DUMMYFUNCTION("INDIRECT(""'收支紀錄'!M""&amp;TO_TEXT(ROW()-$C$72))"),"")</f>
        <v/>
      </c>
      <c r="N1332" s="61" t="str">
        <f>IFERROR(__xludf.DUMMYFUNCTION("INDIRECT(""'收支紀錄'!N""&amp;TO_TEXT(ROW()-$C$72))"),"")</f>
        <v/>
      </c>
      <c r="O1332" s="61" t="str">
        <f>IFERROR(__xludf.DUMMYFUNCTION("INDIRECT(""'收支紀錄'!O""&amp;TO_TEXT(ROW()-$C$72))"),"")</f>
        <v/>
      </c>
      <c r="P1332" s="61" t="str">
        <f>IFERROR(__xludf.DUMMYFUNCTION("INDIRECT(""'收支紀錄'!P""&amp;TO_TEXT(ROW()-$C$72))"),"")</f>
        <v/>
      </c>
      <c r="Q1332" s="61" t="str">
        <f>IFERROR(__xludf.DUMMYFUNCTION("INDIRECT(""'收支紀錄'!Q""&amp;TO_TEXT(ROW()-$C$72))"),"")</f>
        <v/>
      </c>
      <c r="R1332" s="61" t="str">
        <f>IFERROR(__xludf.DUMMYFUNCTION("INDIRECT(""'收支紀錄'!R""&amp;TO_TEXT(ROW()-$C$72))"),"")</f>
        <v/>
      </c>
      <c r="S1332" s="61" t="str">
        <f>IFERROR(__xludf.DUMMYFUNCTION("INDIRECT(""'收支紀錄'!S""&amp;TO_TEXT(ROW()-$C$72))"),"")</f>
        <v/>
      </c>
      <c r="T1332" s="61" t="str">
        <f>IFERROR(__xludf.DUMMYFUNCTION("INDIRECT(""'收支紀錄'!T""&amp;TO_TEXT(ROW()-$C$72))"),"")</f>
        <v/>
      </c>
      <c r="U1332" s="62" t="str">
        <f>IFERROR(__xludf.DUMMYFUNCTION("IF(T1332=""是"",TEXTJOIN("""", TRUE, ""$"", TO_TEXT(C1332), S1332),"""")"),"")</f>
        <v/>
      </c>
    </row>
    <row r="1333">
      <c r="A1333" s="58">
        <f>IFERROR(__xludf.DUMMYFUNCTION("INDIRECT(""'收支紀錄'!A""&amp;TO_TEXT(ROW()-$C$72))"),46004.948056875)</f>
        <v>46004.94806</v>
      </c>
      <c r="B1333" s="59">
        <f>IFERROR(__xludf.DUMMYFUNCTION("IF(ISBLANK(D1333), """", IF(ISDATE(D1333), D1333, IF(D1333=""今天"", A1333, IF(D1333=""昨天 (-1 day)"", A1333-1, IF(D1333=""前天 (-2 days)"", A1333-2, IF(D1333=""明天 (+1 day)"", A1333+1, DATE(LEFT(D1333,4), MID(D1333,5,2), RIGHT(D1333,2))))))))"),46004.948056875)</f>
        <v>46004.94806</v>
      </c>
      <c r="C1333" s="60">
        <f>IFERROR(__xludf.DUMMYFUNCTION("INDIRECT(""'收支紀錄'!C""&amp;TO_TEXT(ROW()-$C$72))"),60.0)</f>
        <v>60</v>
      </c>
      <c r="D1333" s="63" t="str">
        <f>IFERROR(__xludf.DUMMYFUNCTION("INDIRECT(""'收支紀錄'!D""&amp;TO_TEXT(ROW()-$C$72))"),"今天")</f>
        <v>今天</v>
      </c>
      <c r="E1333" s="61" t="str">
        <f>IFERROR(__xludf.DUMMYFUNCTION("INDIRECT(""'收支紀錄'!E""&amp;TO_TEXT(ROW()-$C$72))"),"")</f>
        <v/>
      </c>
      <c r="F1333" s="61" t="str">
        <f>IFERROR(__xludf.DUMMYFUNCTION("INDIRECT(""'收支紀錄'!F""&amp;TO_TEXT(ROW()-$C$72))"),"")</f>
        <v/>
      </c>
      <c r="G1333" s="61" t="str">
        <f>IFERROR(__xludf.DUMMYFUNCTION("INDIRECT(""'收支紀錄'!G""&amp;TO_TEXT(ROW()-$C$72))"),"")</f>
        <v/>
      </c>
      <c r="H1333" s="61" t="str">
        <f>IFERROR(__xludf.DUMMYFUNCTION("INDIRECT(""'收支紀錄'!H""&amp;TO_TEXT(ROW()-$C$72))"),"食品酒水")</f>
        <v>食品酒水</v>
      </c>
      <c r="I1333" s="61" t="str">
        <f>IFERROR(__xludf.DUMMYFUNCTION("INDIRECT(""'收支紀錄'!I""&amp;TO_TEXT(ROW()-$C$72))"),"早餐")</f>
        <v>早餐</v>
      </c>
      <c r="J1333" s="61" t="str">
        <f>IFERROR(__xludf.DUMMYFUNCTION("INDIRECT(""'收支紀錄'!J""&amp;TO_TEXT(ROW()-$C$72))"),"")</f>
        <v/>
      </c>
      <c r="K1333" s="61" t="str">
        <f>IFERROR(__xludf.DUMMYFUNCTION("INDIRECT(""'收支紀錄'!K""&amp;TO_TEXT(ROW()-$C$72))"),"")</f>
        <v/>
      </c>
      <c r="L1333" s="61" t="str">
        <f>IFERROR(__xludf.DUMMYFUNCTION("INDIRECT(""'收支紀錄'!L""&amp;TO_TEXT(ROW()-$C$72))"),"")</f>
        <v/>
      </c>
      <c r="M1333" s="61" t="str">
        <f>IFERROR(__xludf.DUMMYFUNCTION("INDIRECT(""'收支紀錄'!M""&amp;TO_TEXT(ROW()-$C$72))"),"")</f>
        <v/>
      </c>
      <c r="N1333" s="61" t="str">
        <f>IFERROR(__xludf.DUMMYFUNCTION("INDIRECT(""'收支紀錄'!N""&amp;TO_TEXT(ROW()-$C$72))"),"")</f>
        <v/>
      </c>
      <c r="O1333" s="61" t="str">
        <f>IFERROR(__xludf.DUMMYFUNCTION("INDIRECT(""'收支紀錄'!O""&amp;TO_TEXT(ROW()-$C$72))"),"")</f>
        <v/>
      </c>
      <c r="P1333" s="61" t="str">
        <f>IFERROR(__xludf.DUMMYFUNCTION("INDIRECT(""'收支紀錄'!P""&amp;TO_TEXT(ROW()-$C$72))"),"")</f>
        <v/>
      </c>
      <c r="Q1333" s="61" t="str">
        <f>IFERROR(__xludf.DUMMYFUNCTION("INDIRECT(""'收支紀錄'!Q""&amp;TO_TEXT(ROW()-$C$72))"),"")</f>
        <v/>
      </c>
      <c r="R1333" s="61" t="str">
        <f>IFERROR(__xludf.DUMMYFUNCTION("INDIRECT(""'收支紀錄'!R""&amp;TO_TEXT(ROW()-$C$72))"),"")</f>
        <v/>
      </c>
      <c r="S1333" s="61" t="str">
        <f>IFERROR(__xludf.DUMMYFUNCTION("INDIRECT(""'收支紀錄'!S""&amp;TO_TEXT(ROW()-$C$72))"),"")</f>
        <v/>
      </c>
      <c r="T1333" s="61" t="str">
        <f>IFERROR(__xludf.DUMMYFUNCTION("INDIRECT(""'收支紀錄'!T""&amp;TO_TEXT(ROW()-$C$72))"),"")</f>
        <v/>
      </c>
      <c r="U1333" s="62" t="str">
        <f>IFERROR(__xludf.DUMMYFUNCTION("IF(T1333=""是"",TEXTJOIN("""", TRUE, ""$"", TO_TEXT(C1333), S1333),"""")"),"")</f>
        <v/>
      </c>
    </row>
    <row r="1334">
      <c r="A1334" s="58">
        <f>IFERROR(__xludf.DUMMYFUNCTION("INDIRECT(""'收支紀錄'!A""&amp;TO_TEXT(ROW()-$C$72))"),46004.94822564815)</f>
        <v>46004.94823</v>
      </c>
      <c r="B1334" s="59">
        <f>IFERROR(__xludf.DUMMYFUNCTION("IF(ISBLANK(D1334), """", IF(ISDATE(D1334), D1334, IF(D1334=""今天"", A1334, IF(D1334=""昨天 (-1 day)"", A1334-1, IF(D1334=""前天 (-2 days)"", A1334-2, IF(D1334=""明天 (+1 day)"", A1334+1, DATE(LEFT(D1334,4), MID(D1334,5,2), RIGHT(D1334,2))))))))"),46004.94822564815)</f>
        <v>46004.94823</v>
      </c>
      <c r="C1334" s="60">
        <f>IFERROR(__xludf.DUMMYFUNCTION("INDIRECT(""'收支紀錄'!C""&amp;TO_TEXT(ROW()-$C$72))"),2000.0)</f>
        <v>2000</v>
      </c>
      <c r="D1334" s="63" t="str">
        <f>IFERROR(__xludf.DUMMYFUNCTION("INDIRECT(""'收支紀錄'!D""&amp;TO_TEXT(ROW()-$C$72))"),"今天")</f>
        <v>今天</v>
      </c>
      <c r="E1334" s="61" t="str">
        <f>IFERROR(__xludf.DUMMYFUNCTION("INDIRECT(""'收支紀錄'!E""&amp;TO_TEXT(ROW()-$C$72))"),"")</f>
        <v/>
      </c>
      <c r="F1334" s="61" t="str">
        <f>IFERROR(__xludf.DUMMYFUNCTION("INDIRECT(""'收支紀錄'!F""&amp;TO_TEXT(ROW()-$C$72))"),"")</f>
        <v/>
      </c>
      <c r="G1334" s="61" t="str">
        <f>IFERROR(__xludf.DUMMYFUNCTION("INDIRECT(""'收支紀錄'!G""&amp;TO_TEXT(ROW()-$C$72))"),"")</f>
        <v/>
      </c>
      <c r="H1334" s="61" t="str">
        <f>IFERROR(__xludf.DUMMYFUNCTION("INDIRECT(""'收支紀錄'!H""&amp;TO_TEXT(ROW()-$C$72))"),"休閒娛樂")</f>
        <v>休閒娛樂</v>
      </c>
      <c r="I1334" s="61" t="str">
        <f>IFERROR(__xludf.DUMMYFUNCTION("INDIRECT(""'收支紀錄'!I""&amp;TO_TEXT(ROW()-$C$72))"),"")</f>
        <v/>
      </c>
      <c r="J1334" s="61" t="str">
        <f>IFERROR(__xludf.DUMMYFUNCTION("INDIRECT(""'收支紀錄'!J""&amp;TO_TEXT(ROW()-$C$72))"),"")</f>
        <v/>
      </c>
      <c r="K1334" s="61" t="str">
        <f>IFERROR(__xludf.DUMMYFUNCTION("INDIRECT(""'收支紀錄'!K""&amp;TO_TEXT(ROW()-$C$72))"),"")</f>
        <v/>
      </c>
      <c r="L1334" s="61" t="str">
        <f>IFERROR(__xludf.DUMMYFUNCTION("INDIRECT(""'收支紀錄'!L""&amp;TO_TEXT(ROW()-$C$72))"),"")</f>
        <v/>
      </c>
      <c r="M1334" s="61" t="str">
        <f>IFERROR(__xludf.DUMMYFUNCTION("INDIRECT(""'收支紀錄'!M""&amp;TO_TEXT(ROW()-$C$72))"),"剪髮")</f>
        <v>剪髮</v>
      </c>
      <c r="N1334" s="61" t="str">
        <f>IFERROR(__xludf.DUMMYFUNCTION("INDIRECT(""'收支紀錄'!N""&amp;TO_TEXT(ROW()-$C$72))"),"")</f>
        <v/>
      </c>
      <c r="O1334" s="61" t="str">
        <f>IFERROR(__xludf.DUMMYFUNCTION("INDIRECT(""'收支紀錄'!O""&amp;TO_TEXT(ROW()-$C$72))"),"")</f>
        <v/>
      </c>
      <c r="P1334" s="61" t="str">
        <f>IFERROR(__xludf.DUMMYFUNCTION("INDIRECT(""'收支紀錄'!P""&amp;TO_TEXT(ROW()-$C$72))"),"")</f>
        <v/>
      </c>
      <c r="Q1334" s="61" t="str">
        <f>IFERROR(__xludf.DUMMYFUNCTION("INDIRECT(""'收支紀錄'!Q""&amp;TO_TEXT(ROW()-$C$72))"),"")</f>
        <v/>
      </c>
      <c r="R1334" s="61" t="str">
        <f>IFERROR(__xludf.DUMMYFUNCTION("INDIRECT(""'收支紀錄'!R""&amp;TO_TEXT(ROW()-$C$72))"),"")</f>
        <v/>
      </c>
      <c r="S1334" s="61" t="str">
        <f>IFERROR(__xludf.DUMMYFUNCTION("INDIRECT(""'收支紀錄'!S""&amp;TO_TEXT(ROW()-$C$72))"),"")</f>
        <v/>
      </c>
      <c r="T1334" s="61" t="str">
        <f>IFERROR(__xludf.DUMMYFUNCTION("INDIRECT(""'收支紀錄'!T""&amp;TO_TEXT(ROW()-$C$72))"),"")</f>
        <v/>
      </c>
      <c r="U1334" s="62" t="str">
        <f>IFERROR(__xludf.DUMMYFUNCTION("IF(T1334=""是"",TEXTJOIN("""", TRUE, ""$"", TO_TEXT(C1334), S1334),"""")"),"")</f>
        <v/>
      </c>
    </row>
    <row r="1335">
      <c r="A1335" s="58">
        <f>IFERROR(__xludf.DUMMYFUNCTION("INDIRECT(""'收支紀錄'!A""&amp;TO_TEXT(ROW()-$C$72))"),46004.952116064815)</f>
        <v>46004.95212</v>
      </c>
      <c r="B1335" s="59">
        <f>IFERROR(__xludf.DUMMYFUNCTION("IF(ISBLANK(D1335), """", IF(ISDATE(D1335), D1335, IF(D1335=""今天"", A1335, IF(D1335=""昨天 (-1 day)"", A1335-1, IF(D1335=""前天 (-2 days)"", A1335-2, IF(D1335=""明天 (+1 day)"", A1335+1, DATE(LEFT(D1335,4), MID(D1335,5,2), RIGHT(D1335,2))))))))"),46004.952116064815)</f>
        <v>46004.95212</v>
      </c>
      <c r="C1335" s="60">
        <f>IFERROR(__xludf.DUMMYFUNCTION("INDIRECT(""'收支紀錄'!C""&amp;TO_TEXT(ROW()-$C$72))"),86.0)</f>
        <v>86</v>
      </c>
      <c r="D1335" s="63" t="str">
        <f>IFERROR(__xludf.DUMMYFUNCTION("INDIRECT(""'收支紀錄'!D""&amp;TO_TEXT(ROW()-$C$72))"),"今天")</f>
        <v>今天</v>
      </c>
      <c r="E1335" s="61" t="str">
        <f>IFERROR(__xludf.DUMMYFUNCTION("INDIRECT(""'收支紀錄'!E""&amp;TO_TEXT(ROW()-$C$72))"),"")</f>
        <v/>
      </c>
      <c r="F1335" s="61" t="str">
        <f>IFERROR(__xludf.DUMMYFUNCTION("INDIRECT(""'收支紀錄'!F""&amp;TO_TEXT(ROW()-$C$72))"),"")</f>
        <v/>
      </c>
      <c r="G1335" s="61" t="str">
        <f>IFERROR(__xludf.DUMMYFUNCTION("INDIRECT(""'收支紀錄'!G""&amp;TO_TEXT(ROW()-$C$72))"),"")</f>
        <v/>
      </c>
      <c r="H1335" s="61" t="str">
        <f>IFERROR(__xludf.DUMMYFUNCTION("INDIRECT(""'收支紀錄'!H""&amp;TO_TEXT(ROW()-$C$72))"),"行車交通")</f>
        <v>行車交通</v>
      </c>
      <c r="I1335" s="61" t="str">
        <f>IFERROR(__xludf.DUMMYFUNCTION("INDIRECT(""'收支紀錄'!I""&amp;TO_TEXT(ROW()-$C$72))"),"")</f>
        <v/>
      </c>
      <c r="J1335" s="61" t="str">
        <f>IFERROR(__xludf.DUMMYFUNCTION("INDIRECT(""'收支紀錄'!J""&amp;TO_TEXT(ROW()-$C$72))"),"")</f>
        <v/>
      </c>
      <c r="K1335" s="61" t="str">
        <f>IFERROR(__xludf.DUMMYFUNCTION("INDIRECT(""'收支紀錄'!K""&amp;TO_TEXT(ROW()-$C$72))"),"")</f>
        <v/>
      </c>
      <c r="L1335" s="61" t="str">
        <f>IFERROR(__xludf.DUMMYFUNCTION("INDIRECT(""'收支紀錄'!L""&amp;TO_TEXT(ROW()-$C$72))"),"停車")</f>
        <v>停車</v>
      </c>
      <c r="M1335" s="61" t="str">
        <f>IFERROR(__xludf.DUMMYFUNCTION("INDIRECT(""'收支紀錄'!M""&amp;TO_TEXT(ROW()-$C$72))"),"")</f>
        <v/>
      </c>
      <c r="N1335" s="61" t="str">
        <f>IFERROR(__xludf.DUMMYFUNCTION("INDIRECT(""'收支紀錄'!N""&amp;TO_TEXT(ROW()-$C$72))"),"")</f>
        <v/>
      </c>
      <c r="O1335" s="61" t="str">
        <f>IFERROR(__xludf.DUMMYFUNCTION("INDIRECT(""'收支紀錄'!O""&amp;TO_TEXT(ROW()-$C$72))"),"")</f>
        <v/>
      </c>
      <c r="P1335" s="61" t="str">
        <f>IFERROR(__xludf.DUMMYFUNCTION("INDIRECT(""'收支紀錄'!P""&amp;TO_TEXT(ROW()-$C$72))"),"")</f>
        <v/>
      </c>
      <c r="Q1335" s="61" t="str">
        <f>IFERROR(__xludf.DUMMYFUNCTION("INDIRECT(""'收支紀錄'!Q""&amp;TO_TEXT(ROW()-$C$72))"),"")</f>
        <v/>
      </c>
      <c r="R1335" s="61" t="str">
        <f>IFERROR(__xludf.DUMMYFUNCTION("INDIRECT(""'收支紀錄'!R""&amp;TO_TEXT(ROW()-$C$72))"),"")</f>
        <v/>
      </c>
      <c r="S1335" s="61" t="str">
        <f>IFERROR(__xludf.DUMMYFUNCTION("INDIRECT(""'收支紀錄'!S""&amp;TO_TEXT(ROW()-$C$72))"),"")</f>
        <v/>
      </c>
      <c r="T1335" s="61" t="str">
        <f>IFERROR(__xludf.DUMMYFUNCTION("INDIRECT(""'收支紀錄'!T""&amp;TO_TEXT(ROW()-$C$72))"),"")</f>
        <v/>
      </c>
      <c r="U1335" s="62" t="str">
        <f>IFERROR(__xludf.DUMMYFUNCTION("IF(T1335=""是"",TEXTJOIN("""", TRUE, ""$"", TO_TEXT(C1335), S1335),"""")"),"")</f>
        <v/>
      </c>
    </row>
    <row r="1336">
      <c r="A1336" s="58">
        <f>IFERROR(__xludf.DUMMYFUNCTION("INDIRECT(""'收支紀錄'!A""&amp;TO_TEXT(ROW()-$C$72))"),46005.40384371528)</f>
        <v>46005.40384</v>
      </c>
      <c r="B1336" s="59">
        <f>IFERROR(__xludf.DUMMYFUNCTION("IF(ISBLANK(D1336), """", IF(ISDATE(D1336), D1336, IF(D1336=""今天"", A1336, IF(D1336=""昨天 (-1 day)"", A1336-1, IF(D1336=""前天 (-2 days)"", A1336-2, IF(D1336=""明天 (+1 day)"", A1336+1, DATE(LEFT(D1336,4), MID(D1336,5,2), RIGHT(D1336,2))))))))"),46005.40384371528)</f>
        <v>46005.40384</v>
      </c>
      <c r="C1336" s="60">
        <f>IFERROR(__xludf.DUMMYFUNCTION("INDIRECT(""'收支紀錄'!C""&amp;TO_TEXT(ROW()-$C$72))"),6723.0)</f>
        <v>6723</v>
      </c>
      <c r="D1336" s="63" t="str">
        <f>IFERROR(__xludf.DUMMYFUNCTION("INDIRECT(""'收支紀錄'!D""&amp;TO_TEXT(ROW()-$C$72))"),"今天")</f>
        <v>今天</v>
      </c>
      <c r="E1336" s="61" t="str">
        <f>IFERROR(__xludf.DUMMYFUNCTION("INDIRECT(""'收支紀錄'!E""&amp;TO_TEXT(ROW()-$C$72))"),"")</f>
        <v/>
      </c>
      <c r="F1336" s="61" t="str">
        <f>IFERROR(__xludf.DUMMYFUNCTION("INDIRECT(""'收支紀錄'!F""&amp;TO_TEXT(ROW()-$C$72))"),"")</f>
        <v/>
      </c>
      <c r="G1336" s="61" t="str">
        <f>IFERROR(__xludf.DUMMYFUNCTION("INDIRECT(""'收支紀錄'!G""&amp;TO_TEXT(ROW()-$C$72))"),"")</f>
        <v/>
      </c>
      <c r="H1336" s="61" t="str">
        <f>IFERROR(__xludf.DUMMYFUNCTION("INDIRECT(""'收支紀錄'!H""&amp;TO_TEXT(ROW()-$C$72))"),"日常生活")</f>
        <v>日常生活</v>
      </c>
      <c r="I1336" s="61" t="str">
        <f>IFERROR(__xludf.DUMMYFUNCTION("INDIRECT(""'收支紀錄'!I""&amp;TO_TEXT(ROW()-$C$72))"),"")</f>
        <v/>
      </c>
      <c r="J1336" s="61" t="str">
        <f>IFERROR(__xludf.DUMMYFUNCTION("INDIRECT(""'收支紀錄'!J""&amp;TO_TEXT(ROW()-$C$72))"),"日常用品")</f>
        <v>日常用品</v>
      </c>
      <c r="K1336" s="61" t="str">
        <f>IFERROR(__xludf.DUMMYFUNCTION("INDIRECT(""'收支紀錄'!K""&amp;TO_TEXT(ROW()-$C$72))"),"")</f>
        <v/>
      </c>
      <c r="L1336" s="61" t="str">
        <f>IFERROR(__xludf.DUMMYFUNCTION("INDIRECT(""'收支紀錄'!L""&amp;TO_TEXT(ROW()-$C$72))"),"")</f>
        <v/>
      </c>
      <c r="M1336" s="61" t="str">
        <f>IFERROR(__xludf.DUMMYFUNCTION("INDIRECT(""'收支紀錄'!M""&amp;TO_TEXT(ROW()-$C$72))"),"")</f>
        <v/>
      </c>
      <c r="N1336" s="61" t="str">
        <f>IFERROR(__xludf.DUMMYFUNCTION("INDIRECT(""'收支紀錄'!N""&amp;TO_TEXT(ROW()-$C$72))"),"")</f>
        <v/>
      </c>
      <c r="O1336" s="61" t="str">
        <f>IFERROR(__xludf.DUMMYFUNCTION("INDIRECT(""'收支紀錄'!O""&amp;TO_TEXT(ROW()-$C$72))"),"")</f>
        <v/>
      </c>
      <c r="P1336" s="61" t="str">
        <f>IFERROR(__xludf.DUMMYFUNCTION("INDIRECT(""'收支紀錄'!P""&amp;TO_TEXT(ROW()-$C$72))"),"")</f>
        <v/>
      </c>
      <c r="Q1336" s="61" t="str">
        <f>IFERROR(__xludf.DUMMYFUNCTION("INDIRECT(""'收支紀錄'!Q""&amp;TO_TEXT(ROW()-$C$72))"),"")</f>
        <v/>
      </c>
      <c r="R1336" s="61" t="str">
        <f>IFERROR(__xludf.DUMMYFUNCTION("INDIRECT(""'收支紀錄'!R""&amp;TO_TEXT(ROW()-$C$72))"),"")</f>
        <v/>
      </c>
      <c r="S1336" s="61" t="str">
        <f>IFERROR(__xludf.DUMMYFUNCTION("INDIRECT(""'收支紀錄'!S""&amp;TO_TEXT(ROW()-$C$72))"),"好市多哥代買")</f>
        <v>好市多哥代買</v>
      </c>
      <c r="T1336" s="61" t="str">
        <f>IFERROR(__xludf.DUMMYFUNCTION("INDIRECT(""'收支紀錄'!T""&amp;TO_TEXT(ROW()-$C$72))"),"否")</f>
        <v>否</v>
      </c>
      <c r="U1336" s="62" t="str">
        <f>IFERROR(__xludf.DUMMYFUNCTION("IF(T1336=""是"",TEXTJOIN("""", TRUE, ""$"", TO_TEXT(C1336), S1336),"""")"),"")</f>
        <v/>
      </c>
    </row>
    <row r="1337">
      <c r="A1337" s="58">
        <f>IFERROR(__xludf.DUMMYFUNCTION("INDIRECT(""'收支紀錄'!A""&amp;TO_TEXT(ROW()-$C$72))"),46005.495151967596)</f>
        <v>46005.49515</v>
      </c>
      <c r="B1337" s="59">
        <f>IFERROR(__xludf.DUMMYFUNCTION("IF(ISBLANK(D1337), """", IF(ISDATE(D1337), D1337, IF(D1337=""今天"", A1337, IF(D1337=""昨天 (-1 day)"", A1337-1, IF(D1337=""前天 (-2 days)"", A1337-2, IF(D1337=""明天 (+1 day)"", A1337+1, DATE(LEFT(D1337,4), MID(D1337,5,2), RIGHT(D1337,2))))))))"),46005.495151967596)</f>
        <v>46005.49515</v>
      </c>
      <c r="C1337" s="60">
        <f>IFERROR(__xludf.DUMMYFUNCTION("INDIRECT(""'收支紀錄'!C""&amp;TO_TEXT(ROW()-$C$72))"),84.0)</f>
        <v>84</v>
      </c>
      <c r="D1337" s="63" t="str">
        <f>IFERROR(__xludf.DUMMYFUNCTION("INDIRECT(""'收支紀錄'!D""&amp;TO_TEXT(ROW()-$C$72))"),"今天")</f>
        <v>今天</v>
      </c>
      <c r="E1337" s="61" t="str">
        <f>IFERROR(__xludf.DUMMYFUNCTION("INDIRECT(""'收支紀錄'!E""&amp;TO_TEXT(ROW()-$C$72))"),"")</f>
        <v/>
      </c>
      <c r="F1337" s="61" t="str">
        <f>IFERROR(__xludf.DUMMYFUNCTION("INDIRECT(""'收支紀錄'!F""&amp;TO_TEXT(ROW()-$C$72))"),"")</f>
        <v/>
      </c>
      <c r="G1337" s="61" t="str">
        <f>IFERROR(__xludf.DUMMYFUNCTION("INDIRECT(""'收支紀錄'!G""&amp;TO_TEXT(ROW()-$C$72))"),"")</f>
        <v/>
      </c>
      <c r="H1337" s="61" t="str">
        <f>IFERROR(__xludf.DUMMYFUNCTION("INDIRECT(""'收支紀錄'!H""&amp;TO_TEXT(ROW()-$C$72))"),"食品酒水")</f>
        <v>食品酒水</v>
      </c>
      <c r="I1337" s="61" t="str">
        <f>IFERROR(__xludf.DUMMYFUNCTION("INDIRECT(""'收支紀錄'!I""&amp;TO_TEXT(ROW()-$C$72))"),"午餐")</f>
        <v>午餐</v>
      </c>
      <c r="J1337" s="61" t="str">
        <f>IFERROR(__xludf.DUMMYFUNCTION("INDIRECT(""'收支紀錄'!J""&amp;TO_TEXT(ROW()-$C$72))"),"")</f>
        <v/>
      </c>
      <c r="K1337" s="61" t="str">
        <f>IFERROR(__xludf.DUMMYFUNCTION("INDIRECT(""'收支紀錄'!K""&amp;TO_TEXT(ROW()-$C$72))"),"")</f>
        <v/>
      </c>
      <c r="L1337" s="61" t="str">
        <f>IFERROR(__xludf.DUMMYFUNCTION("INDIRECT(""'收支紀錄'!L""&amp;TO_TEXT(ROW()-$C$72))"),"")</f>
        <v/>
      </c>
      <c r="M1337" s="61" t="str">
        <f>IFERROR(__xludf.DUMMYFUNCTION("INDIRECT(""'收支紀錄'!M""&amp;TO_TEXT(ROW()-$C$72))"),"")</f>
        <v/>
      </c>
      <c r="N1337" s="61" t="str">
        <f>IFERROR(__xludf.DUMMYFUNCTION("INDIRECT(""'收支紀錄'!N""&amp;TO_TEXT(ROW()-$C$72))"),"")</f>
        <v/>
      </c>
      <c r="O1337" s="61" t="str">
        <f>IFERROR(__xludf.DUMMYFUNCTION("INDIRECT(""'收支紀錄'!O""&amp;TO_TEXT(ROW()-$C$72))"),"")</f>
        <v/>
      </c>
      <c r="P1337" s="61" t="str">
        <f>IFERROR(__xludf.DUMMYFUNCTION("INDIRECT(""'收支紀錄'!P""&amp;TO_TEXT(ROW()-$C$72))"),"")</f>
        <v/>
      </c>
      <c r="Q1337" s="61" t="str">
        <f>IFERROR(__xludf.DUMMYFUNCTION("INDIRECT(""'收支紀錄'!Q""&amp;TO_TEXT(ROW()-$C$72))"),"")</f>
        <v/>
      </c>
      <c r="R1337" s="61" t="str">
        <f>IFERROR(__xludf.DUMMYFUNCTION("INDIRECT(""'收支紀錄'!R""&amp;TO_TEXT(ROW()-$C$72))"),"")</f>
        <v/>
      </c>
      <c r="S1337" s="61" t="str">
        <f>IFERROR(__xludf.DUMMYFUNCTION("INDIRECT(""'收支紀錄'!S""&amp;TO_TEXT(ROW()-$C$72))"),"")</f>
        <v/>
      </c>
      <c r="T1337" s="61" t="str">
        <f>IFERROR(__xludf.DUMMYFUNCTION("INDIRECT(""'收支紀錄'!T""&amp;TO_TEXT(ROW()-$C$72))"),"")</f>
        <v/>
      </c>
      <c r="U1337" s="62" t="str">
        <f>IFERROR(__xludf.DUMMYFUNCTION("IF(T1337=""是"",TEXTJOIN("""", TRUE, ""$"", TO_TEXT(C1337), S1337),"""")"),"")</f>
        <v/>
      </c>
    </row>
    <row r="1338">
      <c r="A1338" s="58">
        <f>IFERROR(__xludf.DUMMYFUNCTION("INDIRECT(""'收支紀錄'!A""&amp;TO_TEXT(ROW()-$C$72))"),46006.30510828704)</f>
        <v>46006.30511</v>
      </c>
      <c r="B1338" s="59">
        <f>IFERROR(__xludf.DUMMYFUNCTION("IF(ISBLANK(D1338), """", IF(ISDATE(D1338), D1338, IF(D1338=""今天"", A1338, IF(D1338=""昨天 (-1 day)"", A1338-1, IF(D1338=""前天 (-2 days)"", A1338-2, IF(D1338=""明天 (+1 day)"", A1338+1, DATE(LEFT(D1338,4), MID(D1338,5,2), RIGHT(D1338,2))))))))"),46006.30510828704)</f>
        <v>46006.30511</v>
      </c>
      <c r="C1338" s="60">
        <f>IFERROR(__xludf.DUMMYFUNCTION("INDIRECT(""'收支紀錄'!C""&amp;TO_TEXT(ROW()-$C$72))"),699.0)</f>
        <v>699</v>
      </c>
      <c r="D1338" s="63" t="str">
        <f>IFERROR(__xludf.DUMMYFUNCTION("INDIRECT(""'收支紀錄'!D""&amp;TO_TEXT(ROW()-$C$72))"),"今天")</f>
        <v>今天</v>
      </c>
      <c r="E1338" s="61" t="str">
        <f>IFERROR(__xludf.DUMMYFUNCTION("INDIRECT(""'收支紀錄'!E""&amp;TO_TEXT(ROW()-$C$72))"),"")</f>
        <v/>
      </c>
      <c r="F1338" s="61" t="str">
        <f>IFERROR(__xludf.DUMMYFUNCTION("INDIRECT(""'收支紀錄'!F""&amp;TO_TEXT(ROW()-$C$72))"),"")</f>
        <v/>
      </c>
      <c r="G1338" s="61" t="str">
        <f>IFERROR(__xludf.DUMMYFUNCTION("INDIRECT(""'收支紀錄'!G""&amp;TO_TEXT(ROW()-$C$72))"),"")</f>
        <v/>
      </c>
      <c r="H1338" s="61" t="str">
        <f>IFERROR(__xludf.DUMMYFUNCTION("INDIRECT(""'收支紀錄'!H""&amp;TO_TEXT(ROW()-$C$72))"),"行車交通")</f>
        <v>行車交通</v>
      </c>
      <c r="I1338" s="61" t="str">
        <f>IFERROR(__xludf.DUMMYFUNCTION("INDIRECT(""'收支紀錄'!I""&amp;TO_TEXT(ROW()-$C$72))"),"")</f>
        <v/>
      </c>
      <c r="J1338" s="61" t="str">
        <f>IFERROR(__xludf.DUMMYFUNCTION("INDIRECT(""'收支紀錄'!J""&amp;TO_TEXT(ROW()-$C$72))"),"")</f>
        <v/>
      </c>
      <c r="K1338" s="61" t="str">
        <f>IFERROR(__xludf.DUMMYFUNCTION("INDIRECT(""'收支紀錄'!K""&amp;TO_TEXT(ROW()-$C$72))"),"")</f>
        <v/>
      </c>
      <c r="L1338" s="61" t="str">
        <f>IFERROR(__xludf.DUMMYFUNCTION("INDIRECT(""'收支紀錄'!L""&amp;TO_TEXT(ROW()-$C$72))"),"捷運費")</f>
        <v>捷運費</v>
      </c>
      <c r="M1338" s="61" t="str">
        <f>IFERROR(__xludf.DUMMYFUNCTION("INDIRECT(""'收支紀錄'!M""&amp;TO_TEXT(ROW()-$C$72))"),"")</f>
        <v/>
      </c>
      <c r="N1338" s="61" t="str">
        <f>IFERROR(__xludf.DUMMYFUNCTION("INDIRECT(""'收支紀錄'!N""&amp;TO_TEXT(ROW()-$C$72))"),"")</f>
        <v/>
      </c>
      <c r="O1338" s="61" t="str">
        <f>IFERROR(__xludf.DUMMYFUNCTION("INDIRECT(""'收支紀錄'!O""&amp;TO_TEXT(ROW()-$C$72))"),"")</f>
        <v/>
      </c>
      <c r="P1338" s="61" t="str">
        <f>IFERROR(__xludf.DUMMYFUNCTION("INDIRECT(""'收支紀錄'!P""&amp;TO_TEXT(ROW()-$C$72))"),"")</f>
        <v/>
      </c>
      <c r="Q1338" s="61" t="str">
        <f>IFERROR(__xludf.DUMMYFUNCTION("INDIRECT(""'收支紀錄'!Q""&amp;TO_TEXT(ROW()-$C$72))"),"")</f>
        <v/>
      </c>
      <c r="R1338" s="61" t="str">
        <f>IFERROR(__xludf.DUMMYFUNCTION("INDIRECT(""'收支紀錄'!R""&amp;TO_TEXT(ROW()-$C$72))"),"")</f>
        <v/>
      </c>
      <c r="S1338" s="61" t="str">
        <f>IFERROR(__xludf.DUMMYFUNCTION("INDIRECT(""'收支紀錄'!S""&amp;TO_TEXT(ROW()-$C$72))"),"")</f>
        <v/>
      </c>
      <c r="T1338" s="61" t="str">
        <f>IFERROR(__xludf.DUMMYFUNCTION("INDIRECT(""'收支紀錄'!T""&amp;TO_TEXT(ROW()-$C$72))"),"")</f>
        <v/>
      </c>
      <c r="U1338" s="62" t="str">
        <f>IFERROR(__xludf.DUMMYFUNCTION("IF(T1338=""是"",TEXTJOIN("""", TRUE, ""$"", TO_TEXT(C1338), S1338),"""")"),"")</f>
        <v/>
      </c>
    </row>
    <row r="1339">
      <c r="A1339" s="58">
        <f>IFERROR(__xludf.DUMMYFUNCTION("INDIRECT(""'收支紀錄'!A""&amp;TO_TEXT(ROW()-$C$72))"),46006.30692607639)</f>
        <v>46006.30693</v>
      </c>
      <c r="B1339" s="59">
        <f>IFERROR(__xludf.DUMMYFUNCTION("IF(ISBLANK(D1339), """", IF(ISDATE(D1339), D1339, IF(D1339=""今天"", A1339, IF(D1339=""昨天 (-1 day)"", A1339-1, IF(D1339=""前天 (-2 days)"", A1339-2, IF(D1339=""明天 (+1 day)"", A1339+1, DATE(LEFT(D1339,4), MID(D1339,5,2), RIGHT(D1339,2))))))))"),46005.30692607639)</f>
        <v>46005.30693</v>
      </c>
      <c r="C1339" s="60">
        <f>IFERROR(__xludf.DUMMYFUNCTION("INDIRECT(""'收支紀錄'!C""&amp;TO_TEXT(ROW()-$C$72))"),280.0)</f>
        <v>280</v>
      </c>
      <c r="D1339" s="63" t="str">
        <f>IFERROR(__xludf.DUMMYFUNCTION("INDIRECT(""'收支紀錄'!D""&amp;TO_TEXT(ROW()-$C$72))"),"昨天 (-1 day)")</f>
        <v>昨天 (-1 day)</v>
      </c>
      <c r="E1339" s="61" t="str">
        <f>IFERROR(__xludf.DUMMYFUNCTION("INDIRECT(""'收支紀錄'!E""&amp;TO_TEXT(ROW()-$C$72))"),"")</f>
        <v/>
      </c>
      <c r="F1339" s="61" t="str">
        <f>IFERROR(__xludf.DUMMYFUNCTION("INDIRECT(""'收支紀錄'!F""&amp;TO_TEXT(ROW()-$C$72))"),"")</f>
        <v/>
      </c>
      <c r="G1339" s="61" t="str">
        <f>IFERROR(__xludf.DUMMYFUNCTION("INDIRECT(""'收支紀錄'!G""&amp;TO_TEXT(ROW()-$C$72))"),"")</f>
        <v/>
      </c>
      <c r="H1339" s="61" t="str">
        <f>IFERROR(__xludf.DUMMYFUNCTION("INDIRECT(""'收支紀錄'!H""&amp;TO_TEXT(ROW()-$C$72))"),"行車交通")</f>
        <v>行車交通</v>
      </c>
      <c r="I1339" s="61" t="str">
        <f>IFERROR(__xludf.DUMMYFUNCTION("INDIRECT(""'收支紀錄'!I""&amp;TO_TEXT(ROW()-$C$72))"),"")</f>
        <v/>
      </c>
      <c r="J1339" s="61" t="str">
        <f>IFERROR(__xludf.DUMMYFUNCTION("INDIRECT(""'收支紀錄'!J""&amp;TO_TEXT(ROW()-$C$72))"),"")</f>
        <v/>
      </c>
      <c r="K1339" s="61" t="str">
        <f>IFERROR(__xludf.DUMMYFUNCTION("INDIRECT(""'收支紀錄'!K""&amp;TO_TEXT(ROW()-$C$72))"),"")</f>
        <v/>
      </c>
      <c r="L1339" s="61" t="str">
        <f>IFERROR(__xludf.DUMMYFUNCTION("INDIRECT(""'收支紀錄'!L""&amp;TO_TEXT(ROW()-$C$72))"),"加油")</f>
        <v>加油</v>
      </c>
      <c r="M1339" s="61" t="str">
        <f>IFERROR(__xludf.DUMMYFUNCTION("INDIRECT(""'收支紀錄'!M""&amp;TO_TEXT(ROW()-$C$72))"),"")</f>
        <v/>
      </c>
      <c r="N1339" s="61" t="str">
        <f>IFERROR(__xludf.DUMMYFUNCTION("INDIRECT(""'收支紀錄'!N""&amp;TO_TEXT(ROW()-$C$72))"),"")</f>
        <v/>
      </c>
      <c r="O1339" s="61" t="str">
        <f>IFERROR(__xludf.DUMMYFUNCTION("INDIRECT(""'收支紀錄'!O""&amp;TO_TEXT(ROW()-$C$72))"),"")</f>
        <v/>
      </c>
      <c r="P1339" s="61" t="str">
        <f>IFERROR(__xludf.DUMMYFUNCTION("INDIRECT(""'收支紀錄'!P""&amp;TO_TEXT(ROW()-$C$72))"),"")</f>
        <v/>
      </c>
      <c r="Q1339" s="61" t="str">
        <f>IFERROR(__xludf.DUMMYFUNCTION("INDIRECT(""'收支紀錄'!Q""&amp;TO_TEXT(ROW()-$C$72))"),"")</f>
        <v/>
      </c>
      <c r="R1339" s="61" t="str">
        <f>IFERROR(__xludf.DUMMYFUNCTION("INDIRECT(""'收支紀錄'!R""&amp;TO_TEXT(ROW()-$C$72))"),"")</f>
        <v/>
      </c>
      <c r="S1339" s="61" t="str">
        <f>IFERROR(__xludf.DUMMYFUNCTION("INDIRECT(""'收支紀錄'!S""&amp;TO_TEXT(ROW()-$C$72))"),"")</f>
        <v/>
      </c>
      <c r="T1339" s="61" t="str">
        <f>IFERROR(__xludf.DUMMYFUNCTION("INDIRECT(""'收支紀錄'!T""&amp;TO_TEXT(ROW()-$C$72))"),"")</f>
        <v/>
      </c>
      <c r="U1339" s="62" t="str">
        <f>IFERROR(__xludf.DUMMYFUNCTION("IF(T1339=""是"",TEXTJOIN("""", TRUE, ""$"", TO_TEXT(C1339), S1339),"""")"),"")</f>
        <v/>
      </c>
    </row>
    <row r="1340">
      <c r="A1340" s="58">
        <f>IFERROR(__xludf.DUMMYFUNCTION("INDIRECT(""'收支紀錄'!A""&amp;TO_TEXT(ROW()-$C$72))"),46006.30709530093)</f>
        <v>46006.3071</v>
      </c>
      <c r="B1340" s="59">
        <f>IFERROR(__xludf.DUMMYFUNCTION("IF(ISBLANK(D1340), """", IF(ISDATE(D1340), D1340, IF(D1340=""今天"", A1340, IF(D1340=""昨天 (-1 day)"", A1340-1, IF(D1340=""前天 (-2 days)"", A1340-2, IF(D1340=""明天 (+1 day)"", A1340+1, DATE(LEFT(D1340,4), MID(D1340,5,2), RIGHT(D1340,2))))))))"),46005.30709530093)</f>
        <v>46005.3071</v>
      </c>
      <c r="C1340" s="60">
        <f>IFERROR(__xludf.DUMMYFUNCTION("INDIRECT(""'收支紀錄'!C""&amp;TO_TEXT(ROW()-$C$72))"),350.0)</f>
        <v>350</v>
      </c>
      <c r="D1340" s="63" t="str">
        <f>IFERROR(__xludf.DUMMYFUNCTION("INDIRECT(""'收支紀錄'!D""&amp;TO_TEXT(ROW()-$C$72))"),"昨天 (-1 day)")</f>
        <v>昨天 (-1 day)</v>
      </c>
      <c r="E1340" s="61" t="str">
        <f>IFERROR(__xludf.DUMMYFUNCTION("INDIRECT(""'收支紀錄'!E""&amp;TO_TEXT(ROW()-$C$72))"),"")</f>
        <v/>
      </c>
      <c r="F1340" s="61" t="str">
        <f>IFERROR(__xludf.DUMMYFUNCTION("INDIRECT(""'收支紀錄'!F""&amp;TO_TEXT(ROW()-$C$72))"),"")</f>
        <v/>
      </c>
      <c r="G1340" s="61" t="str">
        <f>IFERROR(__xludf.DUMMYFUNCTION("INDIRECT(""'收支紀錄'!G""&amp;TO_TEXT(ROW()-$C$72))"),"")</f>
        <v/>
      </c>
      <c r="H1340" s="61" t="str">
        <f>IFERROR(__xludf.DUMMYFUNCTION("INDIRECT(""'收支紀錄'!H""&amp;TO_TEXT(ROW()-$C$72))"),"食品酒水")</f>
        <v>食品酒水</v>
      </c>
      <c r="I1340" s="61" t="str">
        <f>IFERROR(__xludf.DUMMYFUNCTION("INDIRECT(""'收支紀錄'!I""&amp;TO_TEXT(ROW()-$C$72))"),"食材")</f>
        <v>食材</v>
      </c>
      <c r="J1340" s="61" t="str">
        <f>IFERROR(__xludf.DUMMYFUNCTION("INDIRECT(""'收支紀錄'!J""&amp;TO_TEXT(ROW()-$C$72))"),"")</f>
        <v/>
      </c>
      <c r="K1340" s="61" t="str">
        <f>IFERROR(__xludf.DUMMYFUNCTION("INDIRECT(""'收支紀錄'!K""&amp;TO_TEXT(ROW()-$C$72))"),"")</f>
        <v/>
      </c>
      <c r="L1340" s="61" t="str">
        <f>IFERROR(__xludf.DUMMYFUNCTION("INDIRECT(""'收支紀錄'!L""&amp;TO_TEXT(ROW()-$C$72))"),"")</f>
        <v/>
      </c>
      <c r="M1340" s="61" t="str">
        <f>IFERROR(__xludf.DUMMYFUNCTION("INDIRECT(""'收支紀錄'!M""&amp;TO_TEXT(ROW()-$C$72))"),"")</f>
        <v/>
      </c>
      <c r="N1340" s="61" t="str">
        <f>IFERROR(__xludf.DUMMYFUNCTION("INDIRECT(""'收支紀錄'!N""&amp;TO_TEXT(ROW()-$C$72))"),"")</f>
        <v/>
      </c>
      <c r="O1340" s="61" t="str">
        <f>IFERROR(__xludf.DUMMYFUNCTION("INDIRECT(""'收支紀錄'!O""&amp;TO_TEXT(ROW()-$C$72))"),"")</f>
        <v/>
      </c>
      <c r="P1340" s="61" t="str">
        <f>IFERROR(__xludf.DUMMYFUNCTION("INDIRECT(""'收支紀錄'!P""&amp;TO_TEXT(ROW()-$C$72))"),"")</f>
        <v/>
      </c>
      <c r="Q1340" s="61" t="str">
        <f>IFERROR(__xludf.DUMMYFUNCTION("INDIRECT(""'收支紀錄'!Q""&amp;TO_TEXT(ROW()-$C$72))"),"")</f>
        <v/>
      </c>
      <c r="R1340" s="61" t="str">
        <f>IFERROR(__xludf.DUMMYFUNCTION("INDIRECT(""'收支紀錄'!R""&amp;TO_TEXT(ROW()-$C$72))"),"")</f>
        <v/>
      </c>
      <c r="S1340" s="61" t="str">
        <f>IFERROR(__xludf.DUMMYFUNCTION("INDIRECT(""'收支紀錄'!S""&amp;TO_TEXT(ROW()-$C$72))"),"")</f>
        <v/>
      </c>
      <c r="T1340" s="61" t="str">
        <f>IFERROR(__xludf.DUMMYFUNCTION("INDIRECT(""'收支紀錄'!T""&amp;TO_TEXT(ROW()-$C$72))"),"")</f>
        <v/>
      </c>
      <c r="U1340" s="62" t="str">
        <f>IFERROR(__xludf.DUMMYFUNCTION("IF(T1340=""是"",TEXTJOIN("""", TRUE, ""$"", TO_TEXT(C1340), S1340),"""")"),"")</f>
        <v/>
      </c>
    </row>
    <row r="1341">
      <c r="A1341" s="58">
        <f>IFERROR(__xludf.DUMMYFUNCTION("INDIRECT(""'收支紀錄'!A""&amp;TO_TEXT(ROW()-$C$72))"),46006.30730670139)</f>
        <v>46006.30731</v>
      </c>
      <c r="B1341" s="59">
        <f>IFERROR(__xludf.DUMMYFUNCTION("IF(ISBLANK(D1341), """", IF(ISDATE(D1341), D1341, IF(D1341=""今天"", A1341, IF(D1341=""昨天 (-1 day)"", A1341-1, IF(D1341=""前天 (-2 days)"", A1341-2, IF(D1341=""明天 (+1 day)"", A1341+1, DATE(LEFT(D1341,4), MID(D1341,5,2), RIGHT(D1341,2))))))))"),46005.30730670139)</f>
        <v>46005.30731</v>
      </c>
      <c r="C1341" s="60">
        <f>IFERROR(__xludf.DUMMYFUNCTION("INDIRECT(""'收支紀錄'!C""&amp;TO_TEXT(ROW()-$C$72))"),702.0)</f>
        <v>702</v>
      </c>
      <c r="D1341" s="63" t="str">
        <f>IFERROR(__xludf.DUMMYFUNCTION("INDIRECT(""'收支紀錄'!D""&amp;TO_TEXT(ROW()-$C$72))"),"昨天 (-1 day)")</f>
        <v>昨天 (-1 day)</v>
      </c>
      <c r="E1341" s="61" t="str">
        <f>IFERROR(__xludf.DUMMYFUNCTION("INDIRECT(""'收支紀錄'!E""&amp;TO_TEXT(ROW()-$C$72))"),"")</f>
        <v/>
      </c>
      <c r="F1341" s="61" t="str">
        <f>IFERROR(__xludf.DUMMYFUNCTION("INDIRECT(""'收支紀錄'!F""&amp;TO_TEXT(ROW()-$C$72))"),"")</f>
        <v/>
      </c>
      <c r="G1341" s="61" t="str">
        <f>IFERROR(__xludf.DUMMYFUNCTION("INDIRECT(""'收支紀錄'!G""&amp;TO_TEXT(ROW()-$C$72))"),"")</f>
        <v/>
      </c>
      <c r="H1341" s="61" t="str">
        <f>IFERROR(__xludf.DUMMYFUNCTION("INDIRECT(""'收支紀錄'!H""&amp;TO_TEXT(ROW()-$C$72))"),"行車交通")</f>
        <v>行車交通</v>
      </c>
      <c r="I1341" s="61" t="str">
        <f>IFERROR(__xludf.DUMMYFUNCTION("INDIRECT(""'收支紀錄'!I""&amp;TO_TEXT(ROW()-$C$72))"),"")</f>
        <v/>
      </c>
      <c r="J1341" s="61" t="str">
        <f>IFERROR(__xludf.DUMMYFUNCTION("INDIRECT(""'收支紀錄'!J""&amp;TO_TEXT(ROW()-$C$72))"),"")</f>
        <v/>
      </c>
      <c r="K1341" s="61" t="str">
        <f>IFERROR(__xludf.DUMMYFUNCTION("INDIRECT(""'收支紀錄'!K""&amp;TO_TEXT(ROW()-$C$72))"),"")</f>
        <v/>
      </c>
      <c r="L1341" s="61" t="str">
        <f>IFERROR(__xludf.DUMMYFUNCTION("INDIRECT(""'收支紀錄'!L""&amp;TO_TEXT(ROW()-$C$72))"),"加油")</f>
        <v>加油</v>
      </c>
      <c r="M1341" s="61" t="str">
        <f>IFERROR(__xludf.DUMMYFUNCTION("INDIRECT(""'收支紀錄'!M""&amp;TO_TEXT(ROW()-$C$72))"),"")</f>
        <v/>
      </c>
      <c r="N1341" s="61" t="str">
        <f>IFERROR(__xludf.DUMMYFUNCTION("INDIRECT(""'收支紀錄'!N""&amp;TO_TEXT(ROW()-$C$72))"),"")</f>
        <v/>
      </c>
      <c r="O1341" s="61" t="str">
        <f>IFERROR(__xludf.DUMMYFUNCTION("INDIRECT(""'收支紀錄'!O""&amp;TO_TEXT(ROW()-$C$72))"),"")</f>
        <v/>
      </c>
      <c r="P1341" s="61" t="str">
        <f>IFERROR(__xludf.DUMMYFUNCTION("INDIRECT(""'收支紀錄'!P""&amp;TO_TEXT(ROW()-$C$72))"),"")</f>
        <v/>
      </c>
      <c r="Q1341" s="61" t="str">
        <f>IFERROR(__xludf.DUMMYFUNCTION("INDIRECT(""'收支紀錄'!Q""&amp;TO_TEXT(ROW()-$C$72))"),"")</f>
        <v/>
      </c>
      <c r="R1341" s="61" t="str">
        <f>IFERROR(__xludf.DUMMYFUNCTION("INDIRECT(""'收支紀錄'!R""&amp;TO_TEXT(ROW()-$C$72))"),"")</f>
        <v/>
      </c>
      <c r="S1341" s="61" t="str">
        <f>IFERROR(__xludf.DUMMYFUNCTION("INDIRECT(""'收支紀錄'!S""&amp;TO_TEXT(ROW()-$C$72))"),"")</f>
        <v/>
      </c>
      <c r="T1341" s="61" t="str">
        <f>IFERROR(__xludf.DUMMYFUNCTION("INDIRECT(""'收支紀錄'!T""&amp;TO_TEXT(ROW()-$C$72))"),"")</f>
        <v/>
      </c>
      <c r="U1341" s="62" t="str">
        <f>IFERROR(__xludf.DUMMYFUNCTION("IF(T1341=""是"",TEXTJOIN("""", TRUE, ""$"", TO_TEXT(C1341), S1341),"""")"),"")</f>
        <v/>
      </c>
    </row>
    <row r="1342">
      <c r="A1342" s="58">
        <f>IFERROR(__xludf.DUMMYFUNCTION("INDIRECT(""'收支紀錄'!A""&amp;TO_TEXT(ROW()-$C$72))"),46006.30748510417)</f>
        <v>46006.30749</v>
      </c>
      <c r="B1342" s="59">
        <f>IFERROR(__xludf.DUMMYFUNCTION("IF(ISBLANK(D1342), """", IF(ISDATE(D1342), D1342, IF(D1342=""今天"", A1342, IF(D1342=""昨天 (-1 day)"", A1342-1, IF(D1342=""前天 (-2 days)"", A1342-2, IF(D1342=""明天 (+1 day)"", A1342+1, DATE(LEFT(D1342,4), MID(D1342,5,2), RIGHT(D1342,2))))))))"),46005.30748510417)</f>
        <v>46005.30749</v>
      </c>
      <c r="C1342" s="60">
        <f>IFERROR(__xludf.DUMMYFUNCTION("INDIRECT(""'收支紀錄'!C""&amp;TO_TEXT(ROW()-$C$72))"),84.0)</f>
        <v>84</v>
      </c>
      <c r="D1342" s="63" t="str">
        <f>IFERROR(__xludf.DUMMYFUNCTION("INDIRECT(""'收支紀錄'!D""&amp;TO_TEXT(ROW()-$C$72))"),"昨天 (-1 day)")</f>
        <v>昨天 (-1 day)</v>
      </c>
      <c r="E1342" s="61" t="str">
        <f>IFERROR(__xludf.DUMMYFUNCTION("INDIRECT(""'收支紀錄'!E""&amp;TO_TEXT(ROW()-$C$72))"),"")</f>
        <v/>
      </c>
      <c r="F1342" s="61" t="str">
        <f>IFERROR(__xludf.DUMMYFUNCTION("INDIRECT(""'收支紀錄'!F""&amp;TO_TEXT(ROW()-$C$72))"),"")</f>
        <v/>
      </c>
      <c r="G1342" s="61" t="str">
        <f>IFERROR(__xludf.DUMMYFUNCTION("INDIRECT(""'收支紀錄'!G""&amp;TO_TEXT(ROW()-$C$72))"),"")</f>
        <v/>
      </c>
      <c r="H1342" s="61" t="str">
        <f>IFERROR(__xludf.DUMMYFUNCTION("INDIRECT(""'收支紀錄'!H""&amp;TO_TEXT(ROW()-$C$72))"),"食品酒水")</f>
        <v>食品酒水</v>
      </c>
      <c r="I1342" s="61" t="str">
        <f>IFERROR(__xludf.DUMMYFUNCTION("INDIRECT(""'收支紀錄'!I""&amp;TO_TEXT(ROW()-$C$72))"),"晚餐")</f>
        <v>晚餐</v>
      </c>
      <c r="J1342" s="61" t="str">
        <f>IFERROR(__xludf.DUMMYFUNCTION("INDIRECT(""'收支紀錄'!J""&amp;TO_TEXT(ROW()-$C$72))"),"")</f>
        <v/>
      </c>
      <c r="K1342" s="61" t="str">
        <f>IFERROR(__xludf.DUMMYFUNCTION("INDIRECT(""'收支紀錄'!K""&amp;TO_TEXT(ROW()-$C$72))"),"")</f>
        <v/>
      </c>
      <c r="L1342" s="61" t="str">
        <f>IFERROR(__xludf.DUMMYFUNCTION("INDIRECT(""'收支紀錄'!L""&amp;TO_TEXT(ROW()-$C$72))"),"")</f>
        <v/>
      </c>
      <c r="M1342" s="61" t="str">
        <f>IFERROR(__xludf.DUMMYFUNCTION("INDIRECT(""'收支紀錄'!M""&amp;TO_TEXT(ROW()-$C$72))"),"")</f>
        <v/>
      </c>
      <c r="N1342" s="61" t="str">
        <f>IFERROR(__xludf.DUMMYFUNCTION("INDIRECT(""'收支紀錄'!N""&amp;TO_TEXT(ROW()-$C$72))"),"")</f>
        <v/>
      </c>
      <c r="O1342" s="61" t="str">
        <f>IFERROR(__xludf.DUMMYFUNCTION("INDIRECT(""'收支紀錄'!O""&amp;TO_TEXT(ROW()-$C$72))"),"")</f>
        <v/>
      </c>
      <c r="P1342" s="61" t="str">
        <f>IFERROR(__xludf.DUMMYFUNCTION("INDIRECT(""'收支紀錄'!P""&amp;TO_TEXT(ROW()-$C$72))"),"")</f>
        <v/>
      </c>
      <c r="Q1342" s="61" t="str">
        <f>IFERROR(__xludf.DUMMYFUNCTION("INDIRECT(""'收支紀錄'!Q""&amp;TO_TEXT(ROW()-$C$72))"),"")</f>
        <v/>
      </c>
      <c r="R1342" s="61" t="str">
        <f>IFERROR(__xludf.DUMMYFUNCTION("INDIRECT(""'收支紀錄'!R""&amp;TO_TEXT(ROW()-$C$72))"),"")</f>
        <v/>
      </c>
      <c r="S1342" s="61" t="str">
        <f>IFERROR(__xludf.DUMMYFUNCTION("INDIRECT(""'收支紀錄'!S""&amp;TO_TEXT(ROW()-$C$72))"),"")</f>
        <v/>
      </c>
      <c r="T1342" s="61" t="str">
        <f>IFERROR(__xludf.DUMMYFUNCTION("INDIRECT(""'收支紀錄'!T""&amp;TO_TEXT(ROW()-$C$72))"),"")</f>
        <v/>
      </c>
      <c r="U1342" s="62" t="str">
        <f>IFERROR(__xludf.DUMMYFUNCTION("IF(T1342=""是"",TEXTJOIN("""", TRUE, ""$"", TO_TEXT(C1342), S1342),"""")"),"")</f>
        <v/>
      </c>
    </row>
    <row r="1343">
      <c r="A1343" s="58">
        <f>IFERROR(__xludf.DUMMYFUNCTION("INDIRECT(""'收支紀錄'!A""&amp;TO_TEXT(ROW()-$C$72))"),46009.889535821756)</f>
        <v>46009.88954</v>
      </c>
      <c r="B1343" s="59">
        <f>IFERROR(__xludf.DUMMYFUNCTION("IF(ISBLANK(D1343), """", IF(ISDATE(D1343), D1343, IF(D1343=""今天"", A1343, IF(D1343=""昨天 (-1 day)"", A1343-1, IF(D1343=""前天 (-2 days)"", A1343-2, IF(D1343=""明天 (+1 day)"", A1343+1, DATE(LEFT(D1343,4), MID(D1343,5,2), RIGHT(D1343,2))))))))"),46009.889535821756)</f>
        <v>46009.88954</v>
      </c>
      <c r="C1343" s="60">
        <f>IFERROR(__xludf.DUMMYFUNCTION("INDIRECT(""'收支紀錄'!C""&amp;TO_TEXT(ROW()-$C$72))"),117.0)</f>
        <v>117</v>
      </c>
      <c r="D1343" s="63" t="str">
        <f>IFERROR(__xludf.DUMMYFUNCTION("INDIRECT(""'收支紀錄'!D""&amp;TO_TEXT(ROW()-$C$72))"),"今天")</f>
        <v>今天</v>
      </c>
      <c r="E1343" s="61" t="str">
        <f>IFERROR(__xludf.DUMMYFUNCTION("INDIRECT(""'收支紀錄'!E""&amp;TO_TEXT(ROW()-$C$72))"),"")</f>
        <v/>
      </c>
      <c r="F1343" s="61" t="str">
        <f>IFERROR(__xludf.DUMMYFUNCTION("INDIRECT(""'收支紀錄'!F""&amp;TO_TEXT(ROW()-$C$72))"),"")</f>
        <v/>
      </c>
      <c r="G1343" s="61" t="str">
        <f>IFERROR(__xludf.DUMMYFUNCTION("INDIRECT(""'收支紀錄'!G""&amp;TO_TEXT(ROW()-$C$72))"),"")</f>
        <v/>
      </c>
      <c r="H1343" s="61" t="str">
        <f>IFERROR(__xludf.DUMMYFUNCTION("INDIRECT(""'收支紀錄'!H""&amp;TO_TEXT(ROW()-$C$72))"),"行車交通")</f>
        <v>行車交通</v>
      </c>
      <c r="I1343" s="61" t="str">
        <f>IFERROR(__xludf.DUMMYFUNCTION("INDIRECT(""'收支紀錄'!I""&amp;TO_TEXT(ROW()-$C$72))"),"")</f>
        <v/>
      </c>
      <c r="J1343" s="61" t="str">
        <f>IFERROR(__xludf.DUMMYFUNCTION("INDIRECT(""'收支紀錄'!J""&amp;TO_TEXT(ROW()-$C$72))"),"")</f>
        <v/>
      </c>
      <c r="K1343" s="61" t="str">
        <f>IFERROR(__xludf.DUMMYFUNCTION("INDIRECT(""'收支紀錄'!K""&amp;TO_TEXT(ROW()-$C$72))"),"")</f>
        <v/>
      </c>
      <c r="L1343" s="61" t="str">
        <f>IFERROR(__xludf.DUMMYFUNCTION("INDIRECT(""'收支紀錄'!L""&amp;TO_TEXT(ROW()-$C$72))"),"加油")</f>
        <v>加油</v>
      </c>
      <c r="M1343" s="61" t="str">
        <f>IFERROR(__xludf.DUMMYFUNCTION("INDIRECT(""'收支紀錄'!M""&amp;TO_TEXT(ROW()-$C$72))"),"")</f>
        <v/>
      </c>
      <c r="N1343" s="61" t="str">
        <f>IFERROR(__xludf.DUMMYFUNCTION("INDIRECT(""'收支紀錄'!N""&amp;TO_TEXT(ROW()-$C$72))"),"")</f>
        <v/>
      </c>
      <c r="O1343" s="61" t="str">
        <f>IFERROR(__xludf.DUMMYFUNCTION("INDIRECT(""'收支紀錄'!O""&amp;TO_TEXT(ROW()-$C$72))"),"")</f>
        <v/>
      </c>
      <c r="P1343" s="61" t="str">
        <f>IFERROR(__xludf.DUMMYFUNCTION("INDIRECT(""'收支紀錄'!P""&amp;TO_TEXT(ROW()-$C$72))"),"")</f>
        <v/>
      </c>
      <c r="Q1343" s="61" t="str">
        <f>IFERROR(__xludf.DUMMYFUNCTION("INDIRECT(""'收支紀錄'!Q""&amp;TO_TEXT(ROW()-$C$72))"),"")</f>
        <v/>
      </c>
      <c r="R1343" s="61" t="str">
        <f>IFERROR(__xludf.DUMMYFUNCTION("INDIRECT(""'收支紀錄'!R""&amp;TO_TEXT(ROW()-$C$72))"),"")</f>
        <v/>
      </c>
      <c r="S1343" s="61" t="str">
        <f>IFERROR(__xludf.DUMMYFUNCTION("INDIRECT(""'收支紀錄'!S""&amp;TO_TEXT(ROW()-$C$72))"),"")</f>
        <v/>
      </c>
      <c r="T1343" s="61" t="str">
        <f>IFERROR(__xludf.DUMMYFUNCTION("INDIRECT(""'收支紀錄'!T""&amp;TO_TEXT(ROW()-$C$72))"),"")</f>
        <v/>
      </c>
      <c r="U1343" s="62" t="str">
        <f>IFERROR(__xludf.DUMMYFUNCTION("IF(T1343=""是"",TEXTJOIN("""", TRUE, ""$"", TO_TEXT(C1343), S1343),"""")"),"")</f>
        <v/>
      </c>
    </row>
    <row r="1344">
      <c r="A1344" s="58">
        <f>IFERROR(__xludf.DUMMYFUNCTION("INDIRECT(""'收支紀錄'!A""&amp;TO_TEXT(ROW()-$C$72))"),46010.8116577662)</f>
        <v>46010.81166</v>
      </c>
      <c r="B1344" s="59">
        <f>IFERROR(__xludf.DUMMYFUNCTION("IF(ISBLANK(D1344), """", IF(ISDATE(D1344), D1344, IF(D1344=""今天"", A1344, IF(D1344=""昨天 (-1 day)"", A1344-1, IF(D1344=""前天 (-2 days)"", A1344-2, IF(D1344=""明天 (+1 day)"", A1344+1, DATE(LEFT(D1344,4), MID(D1344,5,2), RIGHT(D1344,2))))))))"),46010.8116577662)</f>
        <v>46010.81166</v>
      </c>
      <c r="C1344" s="60">
        <f>IFERROR(__xludf.DUMMYFUNCTION("INDIRECT(""'收支紀錄'!C""&amp;TO_TEXT(ROW()-$C$72))"),958.0)</f>
        <v>958</v>
      </c>
      <c r="D1344" s="63" t="str">
        <f>IFERROR(__xludf.DUMMYFUNCTION("INDIRECT(""'收支紀錄'!D""&amp;TO_TEXT(ROW()-$C$72))"),"今天")</f>
        <v>今天</v>
      </c>
      <c r="E1344" s="61" t="str">
        <f>IFERROR(__xludf.DUMMYFUNCTION("INDIRECT(""'收支紀錄'!E""&amp;TO_TEXT(ROW()-$C$72))"),"")</f>
        <v/>
      </c>
      <c r="F1344" s="61" t="str">
        <f>IFERROR(__xludf.DUMMYFUNCTION("INDIRECT(""'收支紀錄'!F""&amp;TO_TEXT(ROW()-$C$72))"),"")</f>
        <v/>
      </c>
      <c r="G1344" s="61" t="str">
        <f>IFERROR(__xludf.DUMMYFUNCTION("INDIRECT(""'收支紀錄'!G""&amp;TO_TEXT(ROW()-$C$72))"),"")</f>
        <v/>
      </c>
      <c r="H1344" s="61" t="str">
        <f>IFERROR(__xludf.DUMMYFUNCTION("INDIRECT(""'收支紀錄'!H""&amp;TO_TEXT(ROW()-$C$72))"),"休閒娛樂")</f>
        <v>休閒娛樂</v>
      </c>
      <c r="I1344" s="61" t="str">
        <f>IFERROR(__xludf.DUMMYFUNCTION("INDIRECT(""'收支紀錄'!I""&amp;TO_TEXT(ROW()-$C$72))"),"")</f>
        <v/>
      </c>
      <c r="J1344" s="61" t="str">
        <f>IFERROR(__xludf.DUMMYFUNCTION("INDIRECT(""'收支紀錄'!J""&amp;TO_TEXT(ROW()-$C$72))"),"")</f>
        <v/>
      </c>
      <c r="K1344" s="61" t="str">
        <f>IFERROR(__xludf.DUMMYFUNCTION("INDIRECT(""'收支紀錄'!K""&amp;TO_TEXT(ROW()-$C$72))"),"")</f>
        <v/>
      </c>
      <c r="L1344" s="61" t="str">
        <f>IFERROR(__xludf.DUMMYFUNCTION("INDIRECT(""'收支紀錄'!L""&amp;TO_TEXT(ROW()-$C$72))"),"")</f>
        <v/>
      </c>
      <c r="M1344" s="61" t="str">
        <f>IFERROR(__xludf.DUMMYFUNCTION("INDIRECT(""'收支紀錄'!M""&amp;TO_TEXT(ROW()-$C$72))"),"休閒玩樂")</f>
        <v>休閒玩樂</v>
      </c>
      <c r="N1344" s="61" t="str">
        <f>IFERROR(__xludf.DUMMYFUNCTION("INDIRECT(""'收支紀錄'!N""&amp;TO_TEXT(ROW()-$C$72))"),"")</f>
        <v/>
      </c>
      <c r="O1344" s="61" t="str">
        <f>IFERROR(__xludf.DUMMYFUNCTION("INDIRECT(""'收支紀錄'!O""&amp;TO_TEXT(ROW()-$C$72))"),"")</f>
        <v/>
      </c>
      <c r="P1344" s="61" t="str">
        <f>IFERROR(__xludf.DUMMYFUNCTION("INDIRECT(""'收支紀錄'!P""&amp;TO_TEXT(ROW()-$C$72))"),"")</f>
        <v/>
      </c>
      <c r="Q1344" s="61" t="str">
        <f>IFERROR(__xludf.DUMMYFUNCTION("INDIRECT(""'收支紀錄'!Q""&amp;TO_TEXT(ROW()-$C$72))"),"")</f>
        <v/>
      </c>
      <c r="R1344" s="61" t="str">
        <f>IFERROR(__xludf.DUMMYFUNCTION("INDIRECT(""'收支紀錄'!R""&amp;TO_TEXT(ROW()-$C$72))"),"")</f>
        <v/>
      </c>
      <c r="S1344" s="61" t="str">
        <f>IFERROR(__xludf.DUMMYFUNCTION("INDIRECT(""'收支紀錄'!S""&amp;TO_TEXT(ROW()-$C$72))"),"寶youtube premium ")</f>
        <v>寶youtube premium </v>
      </c>
      <c r="T1344" s="61" t="str">
        <f>IFERROR(__xludf.DUMMYFUNCTION("INDIRECT(""'收支紀錄'!T""&amp;TO_TEXT(ROW()-$C$72))"),"")</f>
        <v/>
      </c>
      <c r="U1344" s="62" t="str">
        <f>IFERROR(__xludf.DUMMYFUNCTION("IF(T1344=""是"",TEXTJOIN("""", TRUE, ""$"", TO_TEXT(C1344), S1344),"""")"),"")</f>
        <v/>
      </c>
    </row>
    <row r="1345">
      <c r="A1345" s="58">
        <f>IFERROR(__xludf.DUMMYFUNCTION("INDIRECT(""'收支紀錄'!A""&amp;TO_TEXT(ROW()-$C$72))"),46013.73590932871)</f>
        <v>46013.73591</v>
      </c>
      <c r="B1345" s="59">
        <f>IFERROR(__xludf.DUMMYFUNCTION("IF(ISBLANK(D1345), """", IF(ISDATE(D1345), D1345, IF(D1345=""今天"", A1345, IF(D1345=""昨天 (-1 day)"", A1345-1, IF(D1345=""前天 (-2 days)"", A1345-2, IF(D1345=""明天 (+1 day)"", A1345+1, DATE(LEFT(D1345,4), MID(D1345,5,2), RIGHT(D1345,2))))))))"),46013.73590932871)</f>
        <v>46013.73591</v>
      </c>
      <c r="C1345" s="60">
        <f>IFERROR(__xludf.DUMMYFUNCTION("INDIRECT(""'收支紀錄'!C""&amp;TO_TEXT(ROW()-$C$72))"),189.0)</f>
        <v>189</v>
      </c>
      <c r="D1345" s="63" t="str">
        <f>IFERROR(__xludf.DUMMYFUNCTION("INDIRECT(""'收支紀錄'!D""&amp;TO_TEXT(ROW()-$C$72))"),"今天")</f>
        <v>今天</v>
      </c>
      <c r="E1345" s="61" t="str">
        <f>IFERROR(__xludf.DUMMYFUNCTION("INDIRECT(""'收支紀錄'!E""&amp;TO_TEXT(ROW()-$C$72))"),"")</f>
        <v/>
      </c>
      <c r="F1345" s="61" t="str">
        <f>IFERROR(__xludf.DUMMYFUNCTION("INDIRECT(""'收支紀錄'!F""&amp;TO_TEXT(ROW()-$C$72))"),"")</f>
        <v/>
      </c>
      <c r="G1345" s="61" t="str">
        <f>IFERROR(__xludf.DUMMYFUNCTION("INDIRECT(""'收支紀錄'!G""&amp;TO_TEXT(ROW()-$C$72))"),"")</f>
        <v/>
      </c>
      <c r="H1345" s="61" t="str">
        <f>IFERROR(__xludf.DUMMYFUNCTION("INDIRECT(""'收支紀錄'!H""&amp;TO_TEXT(ROW()-$C$72))"),"食品酒水")</f>
        <v>食品酒水</v>
      </c>
      <c r="I1345" s="61" t="str">
        <f>IFERROR(__xludf.DUMMYFUNCTION("INDIRECT(""'收支紀錄'!I""&amp;TO_TEXT(ROW()-$C$72))"),"飲料酒水")</f>
        <v>飲料酒水</v>
      </c>
      <c r="J1345" s="61" t="str">
        <f>IFERROR(__xludf.DUMMYFUNCTION("INDIRECT(""'收支紀錄'!J""&amp;TO_TEXT(ROW()-$C$72))"),"")</f>
        <v/>
      </c>
      <c r="K1345" s="61" t="str">
        <f>IFERROR(__xludf.DUMMYFUNCTION("INDIRECT(""'收支紀錄'!K""&amp;TO_TEXT(ROW()-$C$72))"),"")</f>
        <v/>
      </c>
      <c r="L1345" s="61" t="str">
        <f>IFERROR(__xludf.DUMMYFUNCTION("INDIRECT(""'收支紀錄'!L""&amp;TO_TEXT(ROW()-$C$72))"),"")</f>
        <v/>
      </c>
      <c r="M1345" s="61" t="str">
        <f>IFERROR(__xludf.DUMMYFUNCTION("INDIRECT(""'收支紀錄'!M""&amp;TO_TEXT(ROW()-$C$72))"),"")</f>
        <v/>
      </c>
      <c r="N1345" s="61" t="str">
        <f>IFERROR(__xludf.DUMMYFUNCTION("INDIRECT(""'收支紀錄'!N""&amp;TO_TEXT(ROW()-$C$72))"),"")</f>
        <v/>
      </c>
      <c r="O1345" s="61" t="str">
        <f>IFERROR(__xludf.DUMMYFUNCTION("INDIRECT(""'收支紀錄'!O""&amp;TO_TEXT(ROW()-$C$72))"),"")</f>
        <v/>
      </c>
      <c r="P1345" s="61" t="str">
        <f>IFERROR(__xludf.DUMMYFUNCTION("INDIRECT(""'收支紀錄'!P""&amp;TO_TEXT(ROW()-$C$72))"),"")</f>
        <v/>
      </c>
      <c r="Q1345" s="61" t="str">
        <f>IFERROR(__xludf.DUMMYFUNCTION("INDIRECT(""'收支紀錄'!Q""&amp;TO_TEXT(ROW()-$C$72))"),"")</f>
        <v/>
      </c>
      <c r="R1345" s="61" t="str">
        <f>IFERROR(__xludf.DUMMYFUNCTION("INDIRECT(""'收支紀錄'!R""&amp;TO_TEXT(ROW()-$C$72))"),"")</f>
        <v/>
      </c>
      <c r="S1345" s="61" t="str">
        <f>IFERROR(__xludf.DUMMYFUNCTION("INDIRECT(""'收支紀錄'!S""&amp;TO_TEXT(ROW()-$C$72))"),"")</f>
        <v/>
      </c>
      <c r="T1345" s="61" t="str">
        <f>IFERROR(__xludf.DUMMYFUNCTION("INDIRECT(""'收支紀錄'!T""&amp;TO_TEXT(ROW()-$C$72))"),"")</f>
        <v/>
      </c>
      <c r="U1345" s="62" t="str">
        <f>IFERROR(__xludf.DUMMYFUNCTION("IF(T1345=""是"",TEXTJOIN("""", TRUE, ""$"", TO_TEXT(C1345), S1345),"""")"),"")</f>
        <v/>
      </c>
    </row>
    <row r="1346">
      <c r="A1346" s="58">
        <f>IFERROR(__xludf.DUMMYFUNCTION("INDIRECT(""'收支紀錄'!A""&amp;TO_TEXT(ROW()-$C$72))"),46013.73608070602)</f>
        <v>46013.73608</v>
      </c>
      <c r="B1346" s="59">
        <f>IFERROR(__xludf.DUMMYFUNCTION("IF(ISBLANK(D1346), """", IF(ISDATE(D1346), D1346, IF(D1346=""今天"", A1346, IF(D1346=""昨天 (-1 day)"", A1346-1, IF(D1346=""前天 (-2 days)"", A1346-2, IF(D1346=""明天 (+1 day)"", A1346+1, DATE(LEFT(D1346,4), MID(D1346,5,2), RIGHT(D1346,2))))))))"),46013.73608070602)</f>
        <v>46013.73608</v>
      </c>
      <c r="C1346" s="60">
        <f>IFERROR(__xludf.DUMMYFUNCTION("INDIRECT(""'收支紀錄'!C""&amp;TO_TEXT(ROW()-$C$72))"),486.0)</f>
        <v>486</v>
      </c>
      <c r="D1346" s="63" t="str">
        <f>IFERROR(__xludf.DUMMYFUNCTION("INDIRECT(""'收支紀錄'!D""&amp;TO_TEXT(ROW()-$C$72))"),"今天")</f>
        <v>今天</v>
      </c>
      <c r="E1346" s="61" t="str">
        <f>IFERROR(__xludf.DUMMYFUNCTION("INDIRECT(""'收支紀錄'!E""&amp;TO_TEXT(ROW()-$C$72))"),"")</f>
        <v/>
      </c>
      <c r="F1346" s="61" t="str">
        <f>IFERROR(__xludf.DUMMYFUNCTION("INDIRECT(""'收支紀錄'!F""&amp;TO_TEXT(ROW()-$C$72))"),"")</f>
        <v/>
      </c>
      <c r="G1346" s="61" t="str">
        <f>IFERROR(__xludf.DUMMYFUNCTION("INDIRECT(""'收支紀錄'!G""&amp;TO_TEXT(ROW()-$C$72))"),"")</f>
        <v/>
      </c>
      <c r="H1346" s="61" t="str">
        <f>IFERROR(__xludf.DUMMYFUNCTION("INDIRECT(""'收支紀錄'!H""&amp;TO_TEXT(ROW()-$C$72))"),"行車交通")</f>
        <v>行車交通</v>
      </c>
      <c r="I1346" s="61" t="str">
        <f>IFERROR(__xludf.DUMMYFUNCTION("INDIRECT(""'收支紀錄'!I""&amp;TO_TEXT(ROW()-$C$72))"),"")</f>
        <v/>
      </c>
      <c r="J1346" s="61" t="str">
        <f>IFERROR(__xludf.DUMMYFUNCTION("INDIRECT(""'收支紀錄'!J""&amp;TO_TEXT(ROW()-$C$72))"),"")</f>
        <v/>
      </c>
      <c r="K1346" s="61" t="str">
        <f>IFERROR(__xludf.DUMMYFUNCTION("INDIRECT(""'收支紀錄'!K""&amp;TO_TEXT(ROW()-$C$72))"),"")</f>
        <v/>
      </c>
      <c r="L1346" s="61" t="str">
        <f>IFERROR(__xludf.DUMMYFUNCTION("INDIRECT(""'收支紀錄'!L""&amp;TO_TEXT(ROW()-$C$72))"),"加油")</f>
        <v>加油</v>
      </c>
      <c r="M1346" s="61" t="str">
        <f>IFERROR(__xludf.DUMMYFUNCTION("INDIRECT(""'收支紀錄'!M""&amp;TO_TEXT(ROW()-$C$72))"),"")</f>
        <v/>
      </c>
      <c r="N1346" s="61" t="str">
        <f>IFERROR(__xludf.DUMMYFUNCTION("INDIRECT(""'收支紀錄'!N""&amp;TO_TEXT(ROW()-$C$72))"),"")</f>
        <v/>
      </c>
      <c r="O1346" s="61" t="str">
        <f>IFERROR(__xludf.DUMMYFUNCTION("INDIRECT(""'收支紀錄'!O""&amp;TO_TEXT(ROW()-$C$72))"),"")</f>
        <v/>
      </c>
      <c r="P1346" s="61" t="str">
        <f>IFERROR(__xludf.DUMMYFUNCTION("INDIRECT(""'收支紀錄'!P""&amp;TO_TEXT(ROW()-$C$72))"),"")</f>
        <v/>
      </c>
      <c r="Q1346" s="61" t="str">
        <f>IFERROR(__xludf.DUMMYFUNCTION("INDIRECT(""'收支紀錄'!Q""&amp;TO_TEXT(ROW()-$C$72))"),"")</f>
        <v/>
      </c>
      <c r="R1346" s="61" t="str">
        <f>IFERROR(__xludf.DUMMYFUNCTION("INDIRECT(""'收支紀錄'!R""&amp;TO_TEXT(ROW()-$C$72))"),"")</f>
        <v/>
      </c>
      <c r="S1346" s="61" t="str">
        <f>IFERROR(__xludf.DUMMYFUNCTION("INDIRECT(""'收支紀錄'!S""&amp;TO_TEXT(ROW()-$C$72))"),"")</f>
        <v/>
      </c>
      <c r="T1346" s="61" t="str">
        <f>IFERROR(__xludf.DUMMYFUNCTION("INDIRECT(""'收支紀錄'!T""&amp;TO_TEXT(ROW()-$C$72))"),"")</f>
        <v/>
      </c>
      <c r="U1346" s="62" t="str">
        <f>IFERROR(__xludf.DUMMYFUNCTION("IF(T1346=""是"",TEXTJOIN("""", TRUE, ""$"", TO_TEXT(C1346), S1346),"""")"),"")</f>
        <v/>
      </c>
    </row>
    <row r="1347">
      <c r="A1347" s="58">
        <f>IFERROR(__xludf.DUMMYFUNCTION("INDIRECT(""'收支紀錄'!A""&amp;TO_TEXT(ROW()-$C$72))"),46013.73653028935)</f>
        <v>46013.73653</v>
      </c>
      <c r="B1347" s="59">
        <f>IFERROR(__xludf.DUMMYFUNCTION("IF(ISBLANK(D1347), """", IF(ISDATE(D1347), D1347, IF(D1347=""今天"", A1347, IF(D1347=""昨天 (-1 day)"", A1347-1, IF(D1347=""前天 (-2 days)"", A1347-2, IF(D1347=""明天 (+1 day)"", A1347+1, DATE(LEFT(D1347,4), MID(D1347,5,2), RIGHT(D1347,2))))))))"),46012.73653028935)</f>
        <v>46012.73653</v>
      </c>
      <c r="C1347" s="60">
        <f>IFERROR(__xludf.DUMMYFUNCTION("INDIRECT(""'收支紀錄'!C""&amp;TO_TEXT(ROW()-$C$72))"),2000.0)</f>
        <v>2000</v>
      </c>
      <c r="D1347" s="63" t="str">
        <f>IFERROR(__xludf.DUMMYFUNCTION("INDIRECT(""'收支紀錄'!D""&amp;TO_TEXT(ROW()-$C$72))"),"昨天 (-1 day)")</f>
        <v>昨天 (-1 day)</v>
      </c>
      <c r="E1347" s="61" t="str">
        <f>IFERROR(__xludf.DUMMYFUNCTION("INDIRECT(""'收支紀錄'!E""&amp;TO_TEXT(ROW()-$C$72))"),"")</f>
        <v/>
      </c>
      <c r="F1347" s="61" t="str">
        <f>IFERROR(__xludf.DUMMYFUNCTION("INDIRECT(""'收支紀錄'!F""&amp;TO_TEXT(ROW()-$C$72))"),"")</f>
        <v/>
      </c>
      <c r="G1347" s="61" t="str">
        <f>IFERROR(__xludf.DUMMYFUNCTION("INDIRECT(""'收支紀錄'!G""&amp;TO_TEXT(ROW()-$C$72))"),"")</f>
        <v/>
      </c>
      <c r="H1347" s="61" t="str">
        <f>IFERROR(__xludf.DUMMYFUNCTION("INDIRECT(""'收支紀錄'!H""&amp;TO_TEXT(ROW()-$C$72))"),"休閒娛樂")</f>
        <v>休閒娛樂</v>
      </c>
      <c r="I1347" s="61" t="str">
        <f>IFERROR(__xludf.DUMMYFUNCTION("INDIRECT(""'收支紀錄'!I""&amp;TO_TEXT(ROW()-$C$72))"),"")</f>
        <v/>
      </c>
      <c r="J1347" s="61" t="str">
        <f>IFERROR(__xludf.DUMMYFUNCTION("INDIRECT(""'收支紀錄'!J""&amp;TO_TEXT(ROW()-$C$72))"),"")</f>
        <v/>
      </c>
      <c r="K1347" s="61" t="str">
        <f>IFERROR(__xludf.DUMMYFUNCTION("INDIRECT(""'收支紀錄'!K""&amp;TO_TEXT(ROW()-$C$72))"),"")</f>
        <v/>
      </c>
      <c r="L1347" s="61" t="str">
        <f>IFERROR(__xludf.DUMMYFUNCTION("INDIRECT(""'收支紀錄'!L""&amp;TO_TEXT(ROW()-$C$72))"),"")</f>
        <v/>
      </c>
      <c r="M1347" s="61" t="str">
        <f>IFERROR(__xludf.DUMMYFUNCTION("INDIRECT(""'收支紀錄'!M""&amp;TO_TEXT(ROW()-$C$72))"),"衣物鞋帽")</f>
        <v>衣物鞋帽</v>
      </c>
      <c r="N1347" s="61" t="str">
        <f>IFERROR(__xludf.DUMMYFUNCTION("INDIRECT(""'收支紀錄'!N""&amp;TO_TEXT(ROW()-$C$72))"),"")</f>
        <v/>
      </c>
      <c r="O1347" s="61" t="str">
        <f>IFERROR(__xludf.DUMMYFUNCTION("INDIRECT(""'收支紀錄'!O""&amp;TO_TEXT(ROW()-$C$72))"),"")</f>
        <v/>
      </c>
      <c r="P1347" s="61" t="str">
        <f>IFERROR(__xludf.DUMMYFUNCTION("INDIRECT(""'收支紀錄'!P""&amp;TO_TEXT(ROW()-$C$72))"),"")</f>
        <v/>
      </c>
      <c r="Q1347" s="61" t="str">
        <f>IFERROR(__xludf.DUMMYFUNCTION("INDIRECT(""'收支紀錄'!Q""&amp;TO_TEXT(ROW()-$C$72))"),"")</f>
        <v/>
      </c>
      <c r="R1347" s="61" t="str">
        <f>IFERROR(__xludf.DUMMYFUNCTION("INDIRECT(""'收支紀錄'!R""&amp;TO_TEXT(ROW()-$C$72))"),"")</f>
        <v/>
      </c>
      <c r="S1347" s="61" t="str">
        <f>IFERROR(__xludf.DUMMYFUNCTION("INDIRECT(""'收支紀錄'!S""&amp;TO_TEXT(ROW()-$C$72))"),"華泰名品城鞋")</f>
        <v>華泰名品城鞋</v>
      </c>
      <c r="T1347" s="61" t="str">
        <f>IFERROR(__xludf.DUMMYFUNCTION("INDIRECT(""'收支紀錄'!T""&amp;TO_TEXT(ROW()-$C$72))"),"否")</f>
        <v>否</v>
      </c>
      <c r="U1347" s="62" t="str">
        <f>IFERROR(__xludf.DUMMYFUNCTION("IF(T1347=""是"",TEXTJOIN("""", TRUE, ""$"", TO_TEXT(C1347), S1347),"""")"),"")</f>
        <v/>
      </c>
    </row>
    <row r="1348">
      <c r="A1348" s="58">
        <f>IFERROR(__xludf.DUMMYFUNCTION("INDIRECT(""'收支紀錄'!A""&amp;TO_TEXT(ROW()-$C$72))"),46013.73670105324)</f>
        <v>46013.7367</v>
      </c>
      <c r="B1348" s="59">
        <f>IFERROR(__xludf.DUMMYFUNCTION("IF(ISBLANK(D1348), """", IF(ISDATE(D1348), D1348, IF(D1348=""今天"", A1348, IF(D1348=""昨天 (-1 day)"", A1348-1, IF(D1348=""前天 (-2 days)"", A1348-2, IF(D1348=""明天 (+1 day)"", A1348+1, DATE(LEFT(D1348,4), MID(D1348,5,2), RIGHT(D1348,2))))))))"),46012.73670105324)</f>
        <v>46012.7367</v>
      </c>
      <c r="C1348" s="60">
        <f>IFERROR(__xludf.DUMMYFUNCTION("INDIRECT(""'收支紀錄'!C""&amp;TO_TEXT(ROW()-$C$72))"),200.0)</f>
        <v>200</v>
      </c>
      <c r="D1348" s="63" t="str">
        <f>IFERROR(__xludf.DUMMYFUNCTION("INDIRECT(""'收支紀錄'!D""&amp;TO_TEXT(ROW()-$C$72))"),"昨天 (-1 day)")</f>
        <v>昨天 (-1 day)</v>
      </c>
      <c r="E1348" s="61" t="str">
        <f>IFERROR(__xludf.DUMMYFUNCTION("INDIRECT(""'收支紀錄'!E""&amp;TO_TEXT(ROW()-$C$72))"),"")</f>
        <v/>
      </c>
      <c r="F1348" s="61" t="str">
        <f>IFERROR(__xludf.DUMMYFUNCTION("INDIRECT(""'收支紀錄'!F""&amp;TO_TEXT(ROW()-$C$72))"),"")</f>
        <v/>
      </c>
      <c r="G1348" s="61" t="str">
        <f>IFERROR(__xludf.DUMMYFUNCTION("INDIRECT(""'收支紀錄'!G""&amp;TO_TEXT(ROW()-$C$72))"),"")</f>
        <v/>
      </c>
      <c r="H1348" s="61" t="str">
        <f>IFERROR(__xludf.DUMMYFUNCTION("INDIRECT(""'收支紀錄'!H""&amp;TO_TEXT(ROW()-$C$72))"),"休閒娛樂")</f>
        <v>休閒娛樂</v>
      </c>
      <c r="I1348" s="61" t="str">
        <f>IFERROR(__xludf.DUMMYFUNCTION("INDIRECT(""'收支紀錄'!I""&amp;TO_TEXT(ROW()-$C$72))"),"")</f>
        <v/>
      </c>
      <c r="J1348" s="61" t="str">
        <f>IFERROR(__xludf.DUMMYFUNCTION("INDIRECT(""'收支紀錄'!J""&amp;TO_TEXT(ROW()-$C$72))"),"")</f>
        <v/>
      </c>
      <c r="K1348" s="61" t="str">
        <f>IFERROR(__xludf.DUMMYFUNCTION("INDIRECT(""'收支紀錄'!K""&amp;TO_TEXT(ROW()-$C$72))"),"")</f>
        <v/>
      </c>
      <c r="L1348" s="61" t="str">
        <f>IFERROR(__xludf.DUMMYFUNCTION("INDIRECT(""'收支紀錄'!L""&amp;TO_TEXT(ROW()-$C$72))"),"")</f>
        <v/>
      </c>
      <c r="M1348" s="61" t="str">
        <f>IFERROR(__xludf.DUMMYFUNCTION("INDIRECT(""'收支紀錄'!M""&amp;TO_TEXT(ROW()-$C$72))"),"旅遊度假")</f>
        <v>旅遊度假</v>
      </c>
      <c r="N1348" s="61" t="str">
        <f>IFERROR(__xludf.DUMMYFUNCTION("INDIRECT(""'收支紀錄'!N""&amp;TO_TEXT(ROW()-$C$72))"),"")</f>
        <v/>
      </c>
      <c r="O1348" s="61" t="str">
        <f>IFERROR(__xludf.DUMMYFUNCTION("INDIRECT(""'收支紀錄'!O""&amp;TO_TEXT(ROW()-$C$72))"),"")</f>
        <v/>
      </c>
      <c r="P1348" s="61" t="str">
        <f>IFERROR(__xludf.DUMMYFUNCTION("INDIRECT(""'收支紀錄'!P""&amp;TO_TEXT(ROW()-$C$72))"),"")</f>
        <v/>
      </c>
      <c r="Q1348" s="61" t="str">
        <f>IFERROR(__xludf.DUMMYFUNCTION("INDIRECT(""'收支紀錄'!Q""&amp;TO_TEXT(ROW()-$C$72))"),"")</f>
        <v/>
      </c>
      <c r="R1348" s="61" t="str">
        <f>IFERROR(__xludf.DUMMYFUNCTION("INDIRECT(""'收支紀錄'!R""&amp;TO_TEXT(ROW()-$C$72))"),"")</f>
        <v/>
      </c>
      <c r="S1348" s="61" t="str">
        <f>IFERROR(__xludf.DUMMYFUNCTION("INDIRECT(""'收支紀錄'!S""&amp;TO_TEXT(ROW()-$C$72))"),"")</f>
        <v/>
      </c>
      <c r="T1348" s="61" t="str">
        <f>IFERROR(__xludf.DUMMYFUNCTION("INDIRECT(""'收支紀錄'!T""&amp;TO_TEXT(ROW()-$C$72))"),"")</f>
        <v/>
      </c>
      <c r="U1348" s="62" t="str">
        <f>IFERROR(__xludf.DUMMYFUNCTION("IF(T1348=""是"",TEXTJOIN("""", TRUE, ""$"", TO_TEXT(C1348), S1348),"""")"),"")</f>
        <v/>
      </c>
    </row>
    <row r="1349">
      <c r="A1349" s="58">
        <f>IFERROR(__xludf.DUMMYFUNCTION("INDIRECT(""'收支紀錄'!A""&amp;TO_TEXT(ROW()-$C$72))"),46013.73706849537)</f>
        <v>46013.73707</v>
      </c>
      <c r="B1349" s="59">
        <f>IFERROR(__xludf.DUMMYFUNCTION("IF(ISBLANK(D1349), """", IF(ISDATE(D1349), D1349, IF(D1349=""今天"", A1349, IF(D1349=""昨天 (-1 day)"", A1349-1, IF(D1349=""前天 (-2 days)"", A1349-2, IF(D1349=""明天 (+1 day)"", A1349+1, DATE(LEFT(D1349,4), MID(D1349,5,2), RIGHT(D1349,2))))))))"),46012.73706849537)</f>
        <v>46012.73707</v>
      </c>
      <c r="C1349" s="60">
        <f>IFERROR(__xludf.DUMMYFUNCTION("INDIRECT(""'收支紀錄'!C""&amp;TO_TEXT(ROW()-$C$72))"),4400.0)</f>
        <v>4400</v>
      </c>
      <c r="D1349" s="63" t="str">
        <f>IFERROR(__xludf.DUMMYFUNCTION("INDIRECT(""'收支紀錄'!D""&amp;TO_TEXT(ROW()-$C$72))"),"昨天 (-1 day)")</f>
        <v>昨天 (-1 day)</v>
      </c>
      <c r="E1349" s="61" t="str">
        <f>IFERROR(__xludf.DUMMYFUNCTION("INDIRECT(""'收支紀錄'!E""&amp;TO_TEXT(ROW()-$C$72))"),"")</f>
        <v/>
      </c>
      <c r="F1349" s="61" t="str">
        <f>IFERROR(__xludf.DUMMYFUNCTION("INDIRECT(""'收支紀錄'!F""&amp;TO_TEXT(ROW()-$C$72))"),"")</f>
        <v/>
      </c>
      <c r="G1349" s="61" t="str">
        <f>IFERROR(__xludf.DUMMYFUNCTION("INDIRECT(""'收支紀錄'!G""&amp;TO_TEXT(ROW()-$C$72))"),"")</f>
        <v/>
      </c>
      <c r="H1349" s="61" t="str">
        <f>IFERROR(__xludf.DUMMYFUNCTION("INDIRECT(""'收支紀錄'!H""&amp;TO_TEXT(ROW()-$C$72))"),"人情往來")</f>
        <v>人情往來</v>
      </c>
      <c r="I1349" s="61" t="str">
        <f>IFERROR(__xludf.DUMMYFUNCTION("INDIRECT(""'收支紀錄'!I""&amp;TO_TEXT(ROW()-$C$72))"),"")</f>
        <v/>
      </c>
      <c r="J1349" s="61" t="str">
        <f>IFERROR(__xludf.DUMMYFUNCTION("INDIRECT(""'收支紀錄'!J""&amp;TO_TEXT(ROW()-$C$72))"),"")</f>
        <v/>
      </c>
      <c r="K1349" s="61" t="str">
        <f>IFERROR(__xludf.DUMMYFUNCTION("INDIRECT(""'收支紀錄'!K""&amp;TO_TEXT(ROW()-$C$72))"),"")</f>
        <v/>
      </c>
      <c r="L1349" s="61" t="str">
        <f>IFERROR(__xludf.DUMMYFUNCTION("INDIRECT(""'收支紀錄'!L""&amp;TO_TEXT(ROW()-$C$72))"),"")</f>
        <v/>
      </c>
      <c r="M1349" s="61" t="str">
        <f>IFERROR(__xludf.DUMMYFUNCTION("INDIRECT(""'收支紀錄'!M""&amp;TO_TEXT(ROW()-$C$72))"),"")</f>
        <v/>
      </c>
      <c r="N1349" s="61" t="str">
        <f>IFERROR(__xludf.DUMMYFUNCTION("INDIRECT(""'收支紀錄'!N""&amp;TO_TEXT(ROW()-$C$72))"),"")</f>
        <v/>
      </c>
      <c r="O1349" s="61" t="str">
        <f>IFERROR(__xludf.DUMMYFUNCTION("INDIRECT(""'收支紀錄'!O""&amp;TO_TEXT(ROW()-$C$72))"),"")</f>
        <v/>
      </c>
      <c r="P1349" s="61" t="str">
        <f>IFERROR(__xludf.DUMMYFUNCTION("INDIRECT(""'收支紀錄'!P""&amp;TO_TEXT(ROW()-$C$72))"),"")</f>
        <v/>
      </c>
      <c r="Q1349" s="61" t="str">
        <f>IFERROR(__xludf.DUMMYFUNCTION("INDIRECT(""'收支紀錄'!Q""&amp;TO_TEXT(ROW()-$C$72))"),"送禮請客")</f>
        <v>送禮請客</v>
      </c>
      <c r="R1349" s="61" t="str">
        <f>IFERROR(__xludf.DUMMYFUNCTION("INDIRECT(""'收支紀錄'!R""&amp;TO_TEXT(ROW()-$C$72))"),"")</f>
        <v/>
      </c>
      <c r="S1349" s="61" t="str">
        <f>IFERROR(__xludf.DUMMYFUNCTION("INDIRECT(""'收支紀錄'!S""&amp;TO_TEXT(ROW()-$C$72))"),"冠州新公司")</f>
        <v>冠州新公司</v>
      </c>
      <c r="T1349" s="61" t="str">
        <f>IFERROR(__xludf.DUMMYFUNCTION("INDIRECT(""'收支紀錄'!T""&amp;TO_TEXT(ROW()-$C$72))"),"是")</f>
        <v>是</v>
      </c>
      <c r="U1349" s="62" t="str">
        <f>IFERROR(__xludf.DUMMYFUNCTION("IF(T1349=""是"",TEXTJOIN("""", TRUE, ""$"", TO_TEXT(C1349), S1349),"""")"),"$4400冠州新公司")</f>
        <v>$4400冠州新公司</v>
      </c>
    </row>
    <row r="1350">
      <c r="A1350" s="58">
        <f>IFERROR(__xludf.DUMMYFUNCTION("INDIRECT(""'收支紀錄'!A""&amp;TO_TEXT(ROW()-$C$72))"),46013.73731966435)</f>
        <v>46013.73732</v>
      </c>
      <c r="B1350" s="59">
        <f>IFERROR(__xludf.DUMMYFUNCTION("IF(ISBLANK(D1350), """", IF(ISDATE(D1350), D1350, IF(D1350=""今天"", A1350, IF(D1350=""昨天 (-1 day)"", A1350-1, IF(D1350=""前天 (-2 days)"", A1350-2, IF(D1350=""明天 (+1 day)"", A1350+1, DATE(LEFT(D1350,4), MID(D1350,5,2), RIGHT(D1350,2))))))))"),46012.73731966435)</f>
        <v>46012.73732</v>
      </c>
      <c r="C1350" s="60">
        <f>IFERROR(__xludf.DUMMYFUNCTION("INDIRECT(""'收支紀錄'!C""&amp;TO_TEXT(ROW()-$C$72))"),1015.0)</f>
        <v>1015</v>
      </c>
      <c r="D1350" s="63" t="str">
        <f>IFERROR(__xludf.DUMMYFUNCTION("INDIRECT(""'收支紀錄'!D""&amp;TO_TEXT(ROW()-$C$72))"),"昨天 (-1 day)")</f>
        <v>昨天 (-1 day)</v>
      </c>
      <c r="E1350" s="61" t="str">
        <f>IFERROR(__xludf.DUMMYFUNCTION("INDIRECT(""'收支紀錄'!E""&amp;TO_TEXT(ROW()-$C$72))"),"")</f>
        <v/>
      </c>
      <c r="F1350" s="61" t="str">
        <f>IFERROR(__xludf.DUMMYFUNCTION("INDIRECT(""'收支紀錄'!F""&amp;TO_TEXT(ROW()-$C$72))"),"")</f>
        <v/>
      </c>
      <c r="G1350" s="61" t="str">
        <f>IFERROR(__xludf.DUMMYFUNCTION("INDIRECT(""'收支紀錄'!G""&amp;TO_TEXT(ROW()-$C$72))"),"")</f>
        <v/>
      </c>
      <c r="H1350" s="61" t="str">
        <f>IFERROR(__xludf.DUMMYFUNCTION("INDIRECT(""'收支紀錄'!H""&amp;TO_TEXT(ROW()-$C$72))"),"食品酒水")</f>
        <v>食品酒水</v>
      </c>
      <c r="I1350" s="61" t="str">
        <f>IFERROR(__xludf.DUMMYFUNCTION("INDIRECT(""'收支紀錄'!I""&amp;TO_TEXT(ROW()-$C$72))"),"午餐")</f>
        <v>午餐</v>
      </c>
      <c r="J1350" s="61" t="str">
        <f>IFERROR(__xludf.DUMMYFUNCTION("INDIRECT(""'收支紀錄'!J""&amp;TO_TEXT(ROW()-$C$72))"),"")</f>
        <v/>
      </c>
      <c r="K1350" s="61" t="str">
        <f>IFERROR(__xludf.DUMMYFUNCTION("INDIRECT(""'收支紀錄'!K""&amp;TO_TEXT(ROW()-$C$72))"),"")</f>
        <v/>
      </c>
      <c r="L1350" s="61" t="str">
        <f>IFERROR(__xludf.DUMMYFUNCTION("INDIRECT(""'收支紀錄'!L""&amp;TO_TEXT(ROW()-$C$72))"),"")</f>
        <v/>
      </c>
      <c r="M1350" s="61" t="str">
        <f>IFERROR(__xludf.DUMMYFUNCTION("INDIRECT(""'收支紀錄'!M""&amp;TO_TEXT(ROW()-$C$72))"),"")</f>
        <v/>
      </c>
      <c r="N1350" s="61" t="str">
        <f>IFERROR(__xludf.DUMMYFUNCTION("INDIRECT(""'收支紀錄'!N""&amp;TO_TEXT(ROW()-$C$72))"),"")</f>
        <v/>
      </c>
      <c r="O1350" s="61" t="str">
        <f>IFERROR(__xludf.DUMMYFUNCTION("INDIRECT(""'收支紀錄'!O""&amp;TO_TEXT(ROW()-$C$72))"),"")</f>
        <v/>
      </c>
      <c r="P1350" s="61" t="str">
        <f>IFERROR(__xludf.DUMMYFUNCTION("INDIRECT(""'收支紀錄'!P""&amp;TO_TEXT(ROW()-$C$72))"),"")</f>
        <v/>
      </c>
      <c r="Q1350" s="61" t="str">
        <f>IFERROR(__xludf.DUMMYFUNCTION("INDIRECT(""'收支紀錄'!Q""&amp;TO_TEXT(ROW()-$C$72))"),"")</f>
        <v/>
      </c>
      <c r="R1350" s="61" t="str">
        <f>IFERROR(__xludf.DUMMYFUNCTION("INDIRECT(""'收支紀錄'!R""&amp;TO_TEXT(ROW()-$C$72))"),"")</f>
        <v/>
      </c>
      <c r="S1350" s="61" t="str">
        <f>IFERROR(__xludf.DUMMYFUNCTION("INDIRECT(""'收支紀錄'!S""&amp;TO_TEXT(ROW()-$C$72))"),"")</f>
        <v/>
      </c>
      <c r="T1350" s="61" t="str">
        <f>IFERROR(__xludf.DUMMYFUNCTION("INDIRECT(""'收支紀錄'!T""&amp;TO_TEXT(ROW()-$C$72))"),"")</f>
        <v/>
      </c>
      <c r="U1350" s="62" t="str">
        <f>IFERROR(__xludf.DUMMYFUNCTION("IF(T1350=""是"",TEXTJOIN("""", TRUE, ""$"", TO_TEXT(C1350), S1350),"""")"),"")</f>
        <v/>
      </c>
    </row>
    <row r="1351">
      <c r="A1351" s="58">
        <f>IFERROR(__xludf.DUMMYFUNCTION("INDIRECT(""'收支紀錄'!A""&amp;TO_TEXT(ROW()-$C$72))"),46013.921824907404)</f>
        <v>46013.92182</v>
      </c>
      <c r="B1351" s="59">
        <f>IFERROR(__xludf.DUMMYFUNCTION("IF(ISBLANK(D1351), """", IF(ISDATE(D1351), D1351, IF(D1351=""今天"", A1351, IF(D1351=""昨天 (-1 day)"", A1351-1, IF(D1351=""前天 (-2 days)"", A1351-2, IF(D1351=""明天 (+1 day)"", A1351+1, DATE(LEFT(D1351,4), MID(D1351,5,2), RIGHT(D1351,2))))))))"),46013.921824907404)</f>
        <v>46013.92182</v>
      </c>
      <c r="C1351" s="60">
        <f>IFERROR(__xludf.DUMMYFUNCTION("INDIRECT(""'收支紀錄'!C""&amp;TO_TEXT(ROW()-$C$72))"),1932.0)</f>
        <v>1932</v>
      </c>
      <c r="D1351" s="63" t="str">
        <f>IFERROR(__xludf.DUMMYFUNCTION("INDIRECT(""'收支紀錄'!D""&amp;TO_TEXT(ROW()-$C$72))"),"今天")</f>
        <v>今天</v>
      </c>
      <c r="E1351" s="61" t="str">
        <f>IFERROR(__xludf.DUMMYFUNCTION("INDIRECT(""'收支紀錄'!E""&amp;TO_TEXT(ROW()-$C$72))"),"")</f>
        <v/>
      </c>
      <c r="F1351" s="61" t="str">
        <f>IFERROR(__xludf.DUMMYFUNCTION("INDIRECT(""'收支紀錄'!F""&amp;TO_TEXT(ROW()-$C$72))"),"")</f>
        <v/>
      </c>
      <c r="G1351" s="61" t="str">
        <f>IFERROR(__xludf.DUMMYFUNCTION("INDIRECT(""'收支紀錄'!G""&amp;TO_TEXT(ROW()-$C$72))"),"")</f>
        <v/>
      </c>
      <c r="H1351" s="61" t="str">
        <f>IFERROR(__xludf.DUMMYFUNCTION("INDIRECT(""'收支紀錄'!H""&amp;TO_TEXT(ROW()-$C$72))"),"食品酒水")</f>
        <v>食品酒水</v>
      </c>
      <c r="I1351" s="61" t="str">
        <f>IFERROR(__xludf.DUMMYFUNCTION("INDIRECT(""'收支紀錄'!I""&amp;TO_TEXT(ROW()-$C$72))"),"晚餐")</f>
        <v>晚餐</v>
      </c>
      <c r="J1351" s="61" t="str">
        <f>IFERROR(__xludf.DUMMYFUNCTION("INDIRECT(""'收支紀錄'!J""&amp;TO_TEXT(ROW()-$C$72))"),"")</f>
        <v/>
      </c>
      <c r="K1351" s="61" t="str">
        <f>IFERROR(__xludf.DUMMYFUNCTION("INDIRECT(""'收支紀錄'!K""&amp;TO_TEXT(ROW()-$C$72))"),"")</f>
        <v/>
      </c>
      <c r="L1351" s="61" t="str">
        <f>IFERROR(__xludf.DUMMYFUNCTION("INDIRECT(""'收支紀錄'!L""&amp;TO_TEXT(ROW()-$C$72))"),"")</f>
        <v/>
      </c>
      <c r="M1351" s="61" t="str">
        <f>IFERROR(__xludf.DUMMYFUNCTION("INDIRECT(""'收支紀錄'!M""&amp;TO_TEXT(ROW()-$C$72))"),"")</f>
        <v/>
      </c>
      <c r="N1351" s="61" t="str">
        <f>IFERROR(__xludf.DUMMYFUNCTION("INDIRECT(""'收支紀錄'!N""&amp;TO_TEXT(ROW()-$C$72))"),"")</f>
        <v/>
      </c>
      <c r="O1351" s="61" t="str">
        <f>IFERROR(__xludf.DUMMYFUNCTION("INDIRECT(""'收支紀錄'!O""&amp;TO_TEXT(ROW()-$C$72))"),"")</f>
        <v/>
      </c>
      <c r="P1351" s="61" t="str">
        <f>IFERROR(__xludf.DUMMYFUNCTION("INDIRECT(""'收支紀錄'!P""&amp;TO_TEXT(ROW()-$C$72))"),"")</f>
        <v/>
      </c>
      <c r="Q1351" s="61" t="str">
        <f>IFERROR(__xludf.DUMMYFUNCTION("INDIRECT(""'收支紀錄'!Q""&amp;TO_TEXT(ROW()-$C$72))"),"")</f>
        <v/>
      </c>
      <c r="R1351" s="61" t="str">
        <f>IFERROR(__xludf.DUMMYFUNCTION("INDIRECT(""'收支紀錄'!R""&amp;TO_TEXT(ROW()-$C$72))"),"")</f>
        <v/>
      </c>
      <c r="S1351" s="61" t="str">
        <f>IFERROR(__xludf.DUMMYFUNCTION("INDIRECT(""'收支紀錄'!S""&amp;TO_TEXT(ROW()-$C$72))"),"")</f>
        <v/>
      </c>
      <c r="T1351" s="61" t="str">
        <f>IFERROR(__xludf.DUMMYFUNCTION("INDIRECT(""'收支紀錄'!T""&amp;TO_TEXT(ROW()-$C$72))"),"")</f>
        <v/>
      </c>
      <c r="U1351" s="62" t="str">
        <f>IFERROR(__xludf.DUMMYFUNCTION("IF(T1351=""是"",TEXTJOIN("""", TRUE, ""$"", TO_TEXT(C1351), S1351),"""")"),"")</f>
        <v/>
      </c>
    </row>
    <row r="1352">
      <c r="A1352" s="58">
        <f>IFERROR(__xludf.DUMMYFUNCTION("INDIRECT(""'收支紀錄'!A""&amp;TO_TEXT(ROW()-$C$72))"),46015.853098865744)</f>
        <v>46015.8531</v>
      </c>
      <c r="B1352" s="59">
        <f>IFERROR(__xludf.DUMMYFUNCTION("IF(ISBLANK(D1352), """", IF(ISDATE(D1352), D1352, IF(D1352=""今天"", A1352, IF(D1352=""昨天 (-1 day)"", A1352-1, IF(D1352=""前天 (-2 days)"", A1352-2, IF(D1352=""明天 (+1 day)"", A1352+1, DATE(LEFT(D1352,4), MID(D1352,5,2), RIGHT(D1352,2))))))))"),46015.853098865744)</f>
        <v>46015.8531</v>
      </c>
      <c r="C1352" s="60">
        <f>IFERROR(__xludf.DUMMYFUNCTION("INDIRECT(""'收支紀錄'!C""&amp;TO_TEXT(ROW()-$C$72))"),87.0)</f>
        <v>87</v>
      </c>
      <c r="D1352" s="63" t="str">
        <f>IFERROR(__xludf.DUMMYFUNCTION("INDIRECT(""'收支紀錄'!D""&amp;TO_TEXT(ROW()-$C$72))"),"今天")</f>
        <v>今天</v>
      </c>
      <c r="E1352" s="61" t="str">
        <f>IFERROR(__xludf.DUMMYFUNCTION("INDIRECT(""'收支紀錄'!E""&amp;TO_TEXT(ROW()-$C$72))"),"")</f>
        <v/>
      </c>
      <c r="F1352" s="61" t="str">
        <f>IFERROR(__xludf.DUMMYFUNCTION("INDIRECT(""'收支紀錄'!F""&amp;TO_TEXT(ROW()-$C$72))"),"")</f>
        <v/>
      </c>
      <c r="G1352" s="61" t="str">
        <f>IFERROR(__xludf.DUMMYFUNCTION("INDIRECT(""'收支紀錄'!G""&amp;TO_TEXT(ROW()-$C$72))"),"")</f>
        <v/>
      </c>
      <c r="H1352" s="61" t="str">
        <f>IFERROR(__xludf.DUMMYFUNCTION("INDIRECT(""'收支紀錄'!H""&amp;TO_TEXT(ROW()-$C$72))"),"食品酒水")</f>
        <v>食品酒水</v>
      </c>
      <c r="I1352" s="61" t="str">
        <f>IFERROR(__xludf.DUMMYFUNCTION("INDIRECT(""'收支紀錄'!I""&amp;TO_TEXT(ROW()-$C$72))"),"午餐")</f>
        <v>午餐</v>
      </c>
      <c r="J1352" s="61" t="str">
        <f>IFERROR(__xludf.DUMMYFUNCTION("INDIRECT(""'收支紀錄'!J""&amp;TO_TEXT(ROW()-$C$72))"),"")</f>
        <v/>
      </c>
      <c r="K1352" s="61" t="str">
        <f>IFERROR(__xludf.DUMMYFUNCTION("INDIRECT(""'收支紀錄'!K""&amp;TO_TEXT(ROW()-$C$72))"),"")</f>
        <v/>
      </c>
      <c r="L1352" s="61" t="str">
        <f>IFERROR(__xludf.DUMMYFUNCTION("INDIRECT(""'收支紀錄'!L""&amp;TO_TEXT(ROW()-$C$72))"),"")</f>
        <v/>
      </c>
      <c r="M1352" s="61" t="str">
        <f>IFERROR(__xludf.DUMMYFUNCTION("INDIRECT(""'收支紀錄'!M""&amp;TO_TEXT(ROW()-$C$72))"),"")</f>
        <v/>
      </c>
      <c r="N1352" s="61" t="str">
        <f>IFERROR(__xludf.DUMMYFUNCTION("INDIRECT(""'收支紀錄'!N""&amp;TO_TEXT(ROW()-$C$72))"),"")</f>
        <v/>
      </c>
      <c r="O1352" s="61" t="str">
        <f>IFERROR(__xludf.DUMMYFUNCTION("INDIRECT(""'收支紀錄'!O""&amp;TO_TEXT(ROW()-$C$72))"),"")</f>
        <v/>
      </c>
      <c r="P1352" s="61" t="str">
        <f>IFERROR(__xludf.DUMMYFUNCTION("INDIRECT(""'收支紀錄'!P""&amp;TO_TEXT(ROW()-$C$72))"),"")</f>
        <v/>
      </c>
      <c r="Q1352" s="61" t="str">
        <f>IFERROR(__xludf.DUMMYFUNCTION("INDIRECT(""'收支紀錄'!Q""&amp;TO_TEXT(ROW()-$C$72))"),"")</f>
        <v/>
      </c>
      <c r="R1352" s="61" t="str">
        <f>IFERROR(__xludf.DUMMYFUNCTION("INDIRECT(""'收支紀錄'!R""&amp;TO_TEXT(ROW()-$C$72))"),"")</f>
        <v/>
      </c>
      <c r="S1352" s="61" t="str">
        <f>IFERROR(__xludf.DUMMYFUNCTION("INDIRECT(""'收支紀錄'!S""&amp;TO_TEXT(ROW()-$C$72))"),"")</f>
        <v/>
      </c>
      <c r="T1352" s="61" t="str">
        <f>IFERROR(__xludf.DUMMYFUNCTION("INDIRECT(""'收支紀錄'!T""&amp;TO_TEXT(ROW()-$C$72))"),"")</f>
        <v/>
      </c>
      <c r="U1352" s="62" t="str">
        <f>IFERROR(__xludf.DUMMYFUNCTION("IF(T1352=""是"",TEXTJOIN("""", TRUE, ""$"", TO_TEXT(C1352), S1352),"""")"),"")</f>
        <v/>
      </c>
    </row>
    <row r="1353">
      <c r="A1353" s="58">
        <f>IFERROR(__xludf.DUMMYFUNCTION("INDIRECT(""'收支紀錄'!A""&amp;TO_TEXT(ROW()-$C$72))"),46016.935537893514)</f>
        <v>46016.93554</v>
      </c>
      <c r="B1353" s="59">
        <f>IFERROR(__xludf.DUMMYFUNCTION("IF(ISBLANK(D1353), """", IF(ISDATE(D1353), D1353, IF(D1353=""今天"", A1353, IF(D1353=""昨天 (-1 day)"", A1353-1, IF(D1353=""前天 (-2 days)"", A1353-2, IF(D1353=""明天 (+1 day)"", A1353+1, DATE(LEFT(D1353,4), MID(D1353,5,2), RIGHT(D1353,2))))))))"),46016.935537893514)</f>
        <v>46016.93554</v>
      </c>
      <c r="C1353" s="60">
        <f>IFERROR(__xludf.DUMMYFUNCTION("INDIRECT(""'收支紀錄'!C""&amp;TO_TEXT(ROW()-$C$72))"),802.0)</f>
        <v>802</v>
      </c>
      <c r="D1353" s="63" t="str">
        <f>IFERROR(__xludf.DUMMYFUNCTION("INDIRECT(""'收支紀錄'!D""&amp;TO_TEXT(ROW()-$C$72))"),"今天")</f>
        <v>今天</v>
      </c>
      <c r="E1353" s="61" t="str">
        <f>IFERROR(__xludf.DUMMYFUNCTION("INDIRECT(""'收支紀錄'!E""&amp;TO_TEXT(ROW()-$C$72))"),"")</f>
        <v/>
      </c>
      <c r="F1353" s="61" t="str">
        <f>IFERROR(__xludf.DUMMYFUNCTION("INDIRECT(""'收支紀錄'!F""&amp;TO_TEXT(ROW()-$C$72))"),"")</f>
        <v/>
      </c>
      <c r="G1353" s="61" t="str">
        <f>IFERROR(__xludf.DUMMYFUNCTION("INDIRECT(""'收支紀錄'!G""&amp;TO_TEXT(ROW()-$C$72))"),"")</f>
        <v/>
      </c>
      <c r="H1353" s="61" t="str">
        <f>IFERROR(__xludf.DUMMYFUNCTION("INDIRECT(""'收支紀錄'!H""&amp;TO_TEXT(ROW()-$C$72))"),"行車交通")</f>
        <v>行車交通</v>
      </c>
      <c r="I1353" s="61" t="str">
        <f>IFERROR(__xludf.DUMMYFUNCTION("INDIRECT(""'收支紀錄'!I""&amp;TO_TEXT(ROW()-$C$72))"),"")</f>
        <v/>
      </c>
      <c r="J1353" s="61" t="str">
        <f>IFERROR(__xludf.DUMMYFUNCTION("INDIRECT(""'收支紀錄'!J""&amp;TO_TEXT(ROW()-$C$72))"),"")</f>
        <v/>
      </c>
      <c r="K1353" s="61" t="str">
        <f>IFERROR(__xludf.DUMMYFUNCTION("INDIRECT(""'收支紀錄'!K""&amp;TO_TEXT(ROW()-$C$72))"),"")</f>
        <v/>
      </c>
      <c r="L1353" s="61" t="str">
        <f>IFERROR(__xludf.DUMMYFUNCTION("INDIRECT(""'收支紀錄'!L""&amp;TO_TEXT(ROW()-$C$72))"),"加油")</f>
        <v>加油</v>
      </c>
      <c r="M1353" s="61" t="str">
        <f>IFERROR(__xludf.DUMMYFUNCTION("INDIRECT(""'收支紀錄'!M""&amp;TO_TEXT(ROW()-$C$72))"),"")</f>
        <v/>
      </c>
      <c r="N1353" s="61" t="str">
        <f>IFERROR(__xludf.DUMMYFUNCTION("INDIRECT(""'收支紀錄'!N""&amp;TO_TEXT(ROW()-$C$72))"),"")</f>
        <v/>
      </c>
      <c r="O1353" s="61" t="str">
        <f>IFERROR(__xludf.DUMMYFUNCTION("INDIRECT(""'收支紀錄'!O""&amp;TO_TEXT(ROW()-$C$72))"),"")</f>
        <v/>
      </c>
      <c r="P1353" s="61" t="str">
        <f>IFERROR(__xludf.DUMMYFUNCTION("INDIRECT(""'收支紀錄'!P""&amp;TO_TEXT(ROW()-$C$72))"),"")</f>
        <v/>
      </c>
      <c r="Q1353" s="61" t="str">
        <f>IFERROR(__xludf.DUMMYFUNCTION("INDIRECT(""'收支紀錄'!Q""&amp;TO_TEXT(ROW()-$C$72))"),"")</f>
        <v/>
      </c>
      <c r="R1353" s="61" t="str">
        <f>IFERROR(__xludf.DUMMYFUNCTION("INDIRECT(""'收支紀錄'!R""&amp;TO_TEXT(ROW()-$C$72))"),"")</f>
        <v/>
      </c>
      <c r="S1353" s="61" t="str">
        <f>IFERROR(__xludf.DUMMYFUNCTION("INDIRECT(""'收支紀錄'!S""&amp;TO_TEXT(ROW()-$C$72))"),"")</f>
        <v/>
      </c>
      <c r="T1353" s="61" t="str">
        <f>IFERROR(__xludf.DUMMYFUNCTION("INDIRECT(""'收支紀錄'!T""&amp;TO_TEXT(ROW()-$C$72))"),"")</f>
        <v/>
      </c>
      <c r="U1353" s="62" t="str">
        <f>IFERROR(__xludf.DUMMYFUNCTION("IF(T1353=""是"",TEXTJOIN("""", TRUE, ""$"", TO_TEXT(C1353), S1353),"""")"),"")</f>
        <v/>
      </c>
    </row>
    <row r="1354">
      <c r="A1354" s="58">
        <f>IFERROR(__xludf.DUMMYFUNCTION("INDIRECT(""'收支紀錄'!A""&amp;TO_TEXT(ROW()-$C$72))"),46018.00293162037)</f>
        <v>46018.00293</v>
      </c>
      <c r="B1354" s="59">
        <f>IFERROR(__xludf.DUMMYFUNCTION("IF(ISBLANK(D1354), """", IF(ISDATE(D1354), D1354, IF(D1354=""今天"", A1354, IF(D1354=""昨天 (-1 day)"", A1354-1, IF(D1354=""前天 (-2 days)"", A1354-2, IF(D1354=""明天 (+1 day)"", A1354+1, DATE(LEFT(D1354,4), MID(D1354,5,2), RIGHT(D1354,2))))))))"),46017.00293162037)</f>
        <v>46017.00293</v>
      </c>
      <c r="C1354" s="60">
        <f>IFERROR(__xludf.DUMMYFUNCTION("INDIRECT(""'收支紀錄'!C""&amp;TO_TEXT(ROW()-$C$72))"),732.0)</f>
        <v>732</v>
      </c>
      <c r="D1354" s="63" t="str">
        <f>IFERROR(__xludf.DUMMYFUNCTION("INDIRECT(""'收支紀錄'!D""&amp;TO_TEXT(ROW()-$C$72))"),"昨天 (-1 day)")</f>
        <v>昨天 (-1 day)</v>
      </c>
      <c r="E1354" s="61" t="str">
        <f>IFERROR(__xludf.DUMMYFUNCTION("INDIRECT(""'收支紀錄'!E""&amp;TO_TEXT(ROW()-$C$72))"),"")</f>
        <v/>
      </c>
      <c r="F1354" s="61" t="str">
        <f>IFERROR(__xludf.DUMMYFUNCTION("INDIRECT(""'收支紀錄'!F""&amp;TO_TEXT(ROW()-$C$72))"),"")</f>
        <v/>
      </c>
      <c r="G1354" s="61" t="str">
        <f>IFERROR(__xludf.DUMMYFUNCTION("INDIRECT(""'收支紀錄'!G""&amp;TO_TEXT(ROW()-$C$72))"),"")</f>
        <v/>
      </c>
      <c r="H1354" s="61" t="str">
        <f>IFERROR(__xludf.DUMMYFUNCTION("INDIRECT(""'收支紀錄'!H""&amp;TO_TEXT(ROW()-$C$72))"),"食品酒水")</f>
        <v>食品酒水</v>
      </c>
      <c r="I1354" s="61" t="str">
        <f>IFERROR(__xludf.DUMMYFUNCTION("INDIRECT(""'收支紀錄'!I""&amp;TO_TEXT(ROW()-$C$72))"),"晚餐")</f>
        <v>晚餐</v>
      </c>
      <c r="J1354" s="61" t="str">
        <f>IFERROR(__xludf.DUMMYFUNCTION("INDIRECT(""'收支紀錄'!J""&amp;TO_TEXT(ROW()-$C$72))"),"")</f>
        <v/>
      </c>
      <c r="K1354" s="61" t="str">
        <f>IFERROR(__xludf.DUMMYFUNCTION("INDIRECT(""'收支紀錄'!K""&amp;TO_TEXT(ROW()-$C$72))"),"")</f>
        <v/>
      </c>
      <c r="L1354" s="61" t="str">
        <f>IFERROR(__xludf.DUMMYFUNCTION("INDIRECT(""'收支紀錄'!L""&amp;TO_TEXT(ROW()-$C$72))"),"")</f>
        <v/>
      </c>
      <c r="M1354" s="61" t="str">
        <f>IFERROR(__xludf.DUMMYFUNCTION("INDIRECT(""'收支紀錄'!M""&amp;TO_TEXT(ROW()-$C$72))"),"")</f>
        <v/>
      </c>
      <c r="N1354" s="61" t="str">
        <f>IFERROR(__xludf.DUMMYFUNCTION("INDIRECT(""'收支紀錄'!N""&amp;TO_TEXT(ROW()-$C$72))"),"")</f>
        <v/>
      </c>
      <c r="O1354" s="61" t="str">
        <f>IFERROR(__xludf.DUMMYFUNCTION("INDIRECT(""'收支紀錄'!O""&amp;TO_TEXT(ROW()-$C$72))"),"")</f>
        <v/>
      </c>
      <c r="P1354" s="61" t="str">
        <f>IFERROR(__xludf.DUMMYFUNCTION("INDIRECT(""'收支紀錄'!P""&amp;TO_TEXT(ROW()-$C$72))"),"")</f>
        <v/>
      </c>
      <c r="Q1354" s="61" t="str">
        <f>IFERROR(__xludf.DUMMYFUNCTION("INDIRECT(""'收支紀錄'!Q""&amp;TO_TEXT(ROW()-$C$72))"),"")</f>
        <v/>
      </c>
      <c r="R1354" s="61" t="str">
        <f>IFERROR(__xludf.DUMMYFUNCTION("INDIRECT(""'收支紀錄'!R""&amp;TO_TEXT(ROW()-$C$72))"),"")</f>
        <v/>
      </c>
      <c r="S1354" s="61" t="str">
        <f>IFERROR(__xludf.DUMMYFUNCTION("INDIRECT(""'收支紀錄'!S""&amp;TO_TEXT(ROW()-$C$72))"),"")</f>
        <v/>
      </c>
      <c r="T1354" s="61" t="str">
        <f>IFERROR(__xludf.DUMMYFUNCTION("INDIRECT(""'收支紀錄'!T""&amp;TO_TEXT(ROW()-$C$72))"),"")</f>
        <v/>
      </c>
      <c r="U1354" s="62" t="str">
        <f>IFERROR(__xludf.DUMMYFUNCTION("IF(T1354=""是"",TEXTJOIN("""", TRUE, ""$"", TO_TEXT(C1354), S1354),"""")"),"")</f>
        <v/>
      </c>
    </row>
    <row r="1355">
      <c r="A1355" s="58">
        <f>IFERROR(__xludf.DUMMYFUNCTION("INDIRECT(""'收支紀錄'!A""&amp;TO_TEXT(ROW()-$C$72))"),46018.00422765047)</f>
        <v>46018.00423</v>
      </c>
      <c r="B1355" s="59">
        <f>IFERROR(__xludf.DUMMYFUNCTION("IF(ISBLANK(D1355), """", IF(ISDATE(D1355), D1355, IF(D1355=""今天"", A1355, IF(D1355=""昨天 (-1 day)"", A1355-1, IF(D1355=""前天 (-2 days)"", A1355-2, IF(D1355=""明天 (+1 day)"", A1355+1, DATE(LEFT(D1355,4), MID(D1355,5,2), RIGHT(D1355,2))))))))"),46018.00422765047)</f>
        <v>46018.00423</v>
      </c>
      <c r="C1355" s="60">
        <f>IFERROR(__xludf.DUMMYFUNCTION("INDIRECT(""'收支紀錄'!C""&amp;TO_TEXT(ROW()-$C$72))"),2000.0)</f>
        <v>2000</v>
      </c>
      <c r="D1355" s="63" t="str">
        <f>IFERROR(__xludf.DUMMYFUNCTION("INDIRECT(""'收支紀錄'!D""&amp;TO_TEXT(ROW()-$C$72))"),"今天")</f>
        <v>今天</v>
      </c>
      <c r="E1355" s="61" t="str">
        <f>IFERROR(__xludf.DUMMYFUNCTION("INDIRECT(""'收支紀錄'!E""&amp;TO_TEXT(ROW()-$C$72))"),"")</f>
        <v/>
      </c>
      <c r="F1355" s="61" t="str">
        <f>IFERROR(__xludf.DUMMYFUNCTION("INDIRECT(""'收支紀錄'!F""&amp;TO_TEXT(ROW()-$C$72))"),"")</f>
        <v/>
      </c>
      <c r="G1355" s="61" t="str">
        <f>IFERROR(__xludf.DUMMYFUNCTION("INDIRECT(""'收支紀錄'!G""&amp;TO_TEXT(ROW()-$C$72))"),"")</f>
        <v/>
      </c>
      <c r="H1355" s="61" t="str">
        <f>IFERROR(__xludf.DUMMYFUNCTION("INDIRECT(""'收支紀錄'!H""&amp;TO_TEXT(ROW()-$C$72))"),"人情往來")</f>
        <v>人情往來</v>
      </c>
      <c r="I1355" s="61" t="str">
        <f>IFERROR(__xludf.DUMMYFUNCTION("INDIRECT(""'收支紀錄'!I""&amp;TO_TEXT(ROW()-$C$72))"),"")</f>
        <v/>
      </c>
      <c r="J1355" s="61" t="str">
        <f>IFERROR(__xludf.DUMMYFUNCTION("INDIRECT(""'收支紀錄'!J""&amp;TO_TEXT(ROW()-$C$72))"),"")</f>
        <v/>
      </c>
      <c r="K1355" s="61" t="str">
        <f>IFERROR(__xludf.DUMMYFUNCTION("INDIRECT(""'收支紀錄'!K""&amp;TO_TEXT(ROW()-$C$72))"),"")</f>
        <v/>
      </c>
      <c r="L1355" s="61" t="str">
        <f>IFERROR(__xludf.DUMMYFUNCTION("INDIRECT(""'收支紀錄'!L""&amp;TO_TEXT(ROW()-$C$72))"),"")</f>
        <v/>
      </c>
      <c r="M1355" s="61" t="str">
        <f>IFERROR(__xludf.DUMMYFUNCTION("INDIRECT(""'收支紀錄'!M""&amp;TO_TEXT(ROW()-$C$72))"),"")</f>
        <v/>
      </c>
      <c r="N1355" s="61" t="str">
        <f>IFERROR(__xludf.DUMMYFUNCTION("INDIRECT(""'收支紀錄'!N""&amp;TO_TEXT(ROW()-$C$72))"),"")</f>
        <v/>
      </c>
      <c r="O1355" s="61" t="str">
        <f>IFERROR(__xludf.DUMMYFUNCTION("INDIRECT(""'收支紀錄'!O""&amp;TO_TEXT(ROW()-$C$72))"),"")</f>
        <v/>
      </c>
      <c r="P1355" s="61" t="str">
        <f>IFERROR(__xludf.DUMMYFUNCTION("INDIRECT(""'收支紀錄'!P""&amp;TO_TEXT(ROW()-$C$72))"),"")</f>
        <v/>
      </c>
      <c r="Q1355" s="61" t="str">
        <f>IFERROR(__xludf.DUMMYFUNCTION("INDIRECT(""'收支紀錄'!Q""&amp;TO_TEXT(ROW()-$C$72))"),"送禮請客")</f>
        <v>送禮請客</v>
      </c>
      <c r="R1355" s="61" t="str">
        <f>IFERROR(__xludf.DUMMYFUNCTION("INDIRECT(""'收支紀錄'!R""&amp;TO_TEXT(ROW()-$C$72))"),"")</f>
        <v/>
      </c>
      <c r="S1355" s="61" t="str">
        <f>IFERROR(__xludf.DUMMYFUNCTION("INDIRECT(""'收支紀錄'!S""&amp;TO_TEXT(ROW()-$C$72))"),"施教練送禮")</f>
        <v>施教練送禮</v>
      </c>
      <c r="T1355" s="61" t="str">
        <f>IFERROR(__xludf.DUMMYFUNCTION("INDIRECT(""'收支紀錄'!T""&amp;TO_TEXT(ROW()-$C$72))"),"")</f>
        <v/>
      </c>
      <c r="U1355" s="62" t="str">
        <f>IFERROR(__xludf.DUMMYFUNCTION("IF(T1355=""是"",TEXTJOIN("""", TRUE, ""$"", TO_TEXT(C1355), S1355),"""")"),"")</f>
        <v/>
      </c>
    </row>
    <row r="1356">
      <c r="A1356" s="58">
        <f>IFERROR(__xludf.DUMMYFUNCTION("INDIRECT(""'收支紀錄'!A""&amp;TO_TEXT(ROW()-$C$72))"),46018.92364407408)</f>
        <v>46018.92364</v>
      </c>
      <c r="B1356" s="59">
        <f>IFERROR(__xludf.DUMMYFUNCTION("IF(ISBLANK(D1356), """", IF(ISDATE(D1356), D1356, IF(D1356=""今天"", A1356, IF(D1356=""昨天 (-1 day)"", A1356-1, IF(D1356=""前天 (-2 days)"", A1356-2, IF(D1356=""明天 (+1 day)"", A1356+1, DATE(LEFT(D1356,4), MID(D1356,5,2), RIGHT(D1356,2))))))))"),46018.92364407408)</f>
        <v>46018.92364</v>
      </c>
      <c r="C1356" s="60">
        <f>IFERROR(__xludf.DUMMYFUNCTION("INDIRECT(""'收支紀錄'!C""&amp;TO_TEXT(ROW()-$C$72))"),500.0)</f>
        <v>500</v>
      </c>
      <c r="D1356" s="63" t="str">
        <f>IFERROR(__xludf.DUMMYFUNCTION("INDIRECT(""'收支紀錄'!D""&amp;TO_TEXT(ROW()-$C$72))"),"今天")</f>
        <v>今天</v>
      </c>
      <c r="E1356" s="61" t="str">
        <f>IFERROR(__xludf.DUMMYFUNCTION("INDIRECT(""'收支紀錄'!E""&amp;TO_TEXT(ROW()-$C$72))"),"")</f>
        <v/>
      </c>
      <c r="F1356" s="61" t="str">
        <f>IFERROR(__xludf.DUMMYFUNCTION("INDIRECT(""'收支紀錄'!F""&amp;TO_TEXT(ROW()-$C$72))"),"")</f>
        <v/>
      </c>
      <c r="G1356" s="61" t="str">
        <f>IFERROR(__xludf.DUMMYFUNCTION("INDIRECT(""'收支紀錄'!G""&amp;TO_TEXT(ROW()-$C$72))"),"")</f>
        <v/>
      </c>
      <c r="H1356" s="61" t="str">
        <f>IFERROR(__xludf.DUMMYFUNCTION("INDIRECT(""'收支紀錄'!H""&amp;TO_TEXT(ROW()-$C$72))"),"食品酒水")</f>
        <v>食品酒水</v>
      </c>
      <c r="I1356" s="61" t="str">
        <f>IFERROR(__xludf.DUMMYFUNCTION("INDIRECT(""'收支紀錄'!I""&amp;TO_TEXT(ROW()-$C$72))"),"食材")</f>
        <v>食材</v>
      </c>
      <c r="J1356" s="61" t="str">
        <f>IFERROR(__xludf.DUMMYFUNCTION("INDIRECT(""'收支紀錄'!J""&amp;TO_TEXT(ROW()-$C$72))"),"")</f>
        <v/>
      </c>
      <c r="K1356" s="61" t="str">
        <f>IFERROR(__xludf.DUMMYFUNCTION("INDIRECT(""'收支紀錄'!K""&amp;TO_TEXT(ROW()-$C$72))"),"")</f>
        <v/>
      </c>
      <c r="L1356" s="61" t="str">
        <f>IFERROR(__xludf.DUMMYFUNCTION("INDIRECT(""'收支紀錄'!L""&amp;TO_TEXT(ROW()-$C$72))"),"")</f>
        <v/>
      </c>
      <c r="M1356" s="61" t="str">
        <f>IFERROR(__xludf.DUMMYFUNCTION("INDIRECT(""'收支紀錄'!M""&amp;TO_TEXT(ROW()-$C$72))"),"")</f>
        <v/>
      </c>
      <c r="N1356" s="61" t="str">
        <f>IFERROR(__xludf.DUMMYFUNCTION("INDIRECT(""'收支紀錄'!N""&amp;TO_TEXT(ROW()-$C$72))"),"")</f>
        <v/>
      </c>
      <c r="O1356" s="61" t="str">
        <f>IFERROR(__xludf.DUMMYFUNCTION("INDIRECT(""'收支紀錄'!O""&amp;TO_TEXT(ROW()-$C$72))"),"")</f>
        <v/>
      </c>
      <c r="P1356" s="61" t="str">
        <f>IFERROR(__xludf.DUMMYFUNCTION("INDIRECT(""'收支紀錄'!P""&amp;TO_TEXT(ROW()-$C$72))"),"")</f>
        <v/>
      </c>
      <c r="Q1356" s="61" t="str">
        <f>IFERROR(__xludf.DUMMYFUNCTION("INDIRECT(""'收支紀錄'!Q""&amp;TO_TEXT(ROW()-$C$72))"),"")</f>
        <v/>
      </c>
      <c r="R1356" s="61" t="str">
        <f>IFERROR(__xludf.DUMMYFUNCTION("INDIRECT(""'收支紀錄'!R""&amp;TO_TEXT(ROW()-$C$72))"),"")</f>
        <v/>
      </c>
      <c r="S1356" s="61" t="str">
        <f>IFERROR(__xludf.DUMMYFUNCTION("INDIRECT(""'收支紀錄'!S""&amp;TO_TEXT(ROW()-$C$72))"),"")</f>
        <v/>
      </c>
      <c r="T1356" s="61" t="str">
        <f>IFERROR(__xludf.DUMMYFUNCTION("INDIRECT(""'收支紀錄'!T""&amp;TO_TEXT(ROW()-$C$72))"),"")</f>
        <v/>
      </c>
      <c r="U1356" s="62" t="str">
        <f>IFERROR(__xludf.DUMMYFUNCTION("IF(T1356=""是"",TEXTJOIN("""", TRUE, ""$"", TO_TEXT(C1356), S1356),"""")"),"")</f>
        <v/>
      </c>
    </row>
    <row r="1357">
      <c r="A1357" s="58">
        <f>IFERROR(__xludf.DUMMYFUNCTION("INDIRECT(""'收支紀錄'!A""&amp;TO_TEXT(ROW()-$C$72))"),46018.92380347222)</f>
        <v>46018.9238</v>
      </c>
      <c r="B1357" s="59">
        <f>IFERROR(__xludf.DUMMYFUNCTION("IF(ISBLANK(D1357), """", IF(ISDATE(D1357), D1357, IF(D1357=""今天"", A1357, IF(D1357=""昨天 (-1 day)"", A1357-1, IF(D1357=""前天 (-2 days)"", A1357-2, IF(D1357=""明天 (+1 day)"", A1357+1, DATE(LEFT(D1357,4), MID(D1357,5,2), RIGHT(D1357,2))))))))"),46018.92380347222)</f>
        <v>46018.9238</v>
      </c>
      <c r="C1357" s="60">
        <f>IFERROR(__xludf.DUMMYFUNCTION("INDIRECT(""'收支紀錄'!C""&amp;TO_TEXT(ROW()-$C$72))"),108.0)</f>
        <v>108</v>
      </c>
      <c r="D1357" s="63" t="str">
        <f>IFERROR(__xludf.DUMMYFUNCTION("INDIRECT(""'收支紀錄'!D""&amp;TO_TEXT(ROW()-$C$72))"),"今天")</f>
        <v>今天</v>
      </c>
      <c r="E1357" s="61" t="str">
        <f>IFERROR(__xludf.DUMMYFUNCTION("INDIRECT(""'收支紀錄'!E""&amp;TO_TEXT(ROW()-$C$72))"),"")</f>
        <v/>
      </c>
      <c r="F1357" s="61" t="str">
        <f>IFERROR(__xludf.DUMMYFUNCTION("INDIRECT(""'收支紀錄'!F""&amp;TO_TEXT(ROW()-$C$72))"),"")</f>
        <v/>
      </c>
      <c r="G1357" s="61" t="str">
        <f>IFERROR(__xludf.DUMMYFUNCTION("INDIRECT(""'收支紀錄'!G""&amp;TO_TEXT(ROW()-$C$72))"),"")</f>
        <v/>
      </c>
      <c r="H1357" s="61" t="str">
        <f>IFERROR(__xludf.DUMMYFUNCTION("INDIRECT(""'收支紀錄'!H""&amp;TO_TEXT(ROW()-$C$72))"),"食品酒水")</f>
        <v>食品酒水</v>
      </c>
      <c r="I1357" s="61" t="str">
        <f>IFERROR(__xludf.DUMMYFUNCTION("INDIRECT(""'收支紀錄'!I""&amp;TO_TEXT(ROW()-$C$72))"),"飲料酒水")</f>
        <v>飲料酒水</v>
      </c>
      <c r="J1357" s="61" t="str">
        <f>IFERROR(__xludf.DUMMYFUNCTION("INDIRECT(""'收支紀錄'!J""&amp;TO_TEXT(ROW()-$C$72))"),"")</f>
        <v/>
      </c>
      <c r="K1357" s="61" t="str">
        <f>IFERROR(__xludf.DUMMYFUNCTION("INDIRECT(""'收支紀錄'!K""&amp;TO_TEXT(ROW()-$C$72))"),"")</f>
        <v/>
      </c>
      <c r="L1357" s="61" t="str">
        <f>IFERROR(__xludf.DUMMYFUNCTION("INDIRECT(""'收支紀錄'!L""&amp;TO_TEXT(ROW()-$C$72))"),"")</f>
        <v/>
      </c>
      <c r="M1357" s="61" t="str">
        <f>IFERROR(__xludf.DUMMYFUNCTION("INDIRECT(""'收支紀錄'!M""&amp;TO_TEXT(ROW()-$C$72))"),"")</f>
        <v/>
      </c>
      <c r="N1357" s="61" t="str">
        <f>IFERROR(__xludf.DUMMYFUNCTION("INDIRECT(""'收支紀錄'!N""&amp;TO_TEXT(ROW()-$C$72))"),"")</f>
        <v/>
      </c>
      <c r="O1357" s="61" t="str">
        <f>IFERROR(__xludf.DUMMYFUNCTION("INDIRECT(""'收支紀錄'!O""&amp;TO_TEXT(ROW()-$C$72))"),"")</f>
        <v/>
      </c>
      <c r="P1357" s="61" t="str">
        <f>IFERROR(__xludf.DUMMYFUNCTION("INDIRECT(""'收支紀錄'!P""&amp;TO_TEXT(ROW()-$C$72))"),"")</f>
        <v/>
      </c>
      <c r="Q1357" s="61" t="str">
        <f>IFERROR(__xludf.DUMMYFUNCTION("INDIRECT(""'收支紀錄'!Q""&amp;TO_TEXT(ROW()-$C$72))"),"")</f>
        <v/>
      </c>
      <c r="R1357" s="61" t="str">
        <f>IFERROR(__xludf.DUMMYFUNCTION("INDIRECT(""'收支紀錄'!R""&amp;TO_TEXT(ROW()-$C$72))"),"")</f>
        <v/>
      </c>
      <c r="S1357" s="61" t="str">
        <f>IFERROR(__xludf.DUMMYFUNCTION("INDIRECT(""'收支紀錄'!S""&amp;TO_TEXT(ROW()-$C$72))"),"")</f>
        <v/>
      </c>
      <c r="T1357" s="61" t="str">
        <f>IFERROR(__xludf.DUMMYFUNCTION("INDIRECT(""'收支紀錄'!T""&amp;TO_TEXT(ROW()-$C$72))"),"")</f>
        <v/>
      </c>
      <c r="U1357" s="62" t="str">
        <f>IFERROR(__xludf.DUMMYFUNCTION("IF(T1357=""是"",TEXTJOIN("""", TRUE, ""$"", TO_TEXT(C1357), S1357),"""")"),"")</f>
        <v/>
      </c>
    </row>
    <row r="1358">
      <c r="A1358" s="58">
        <f>IFERROR(__xludf.DUMMYFUNCTION("INDIRECT(""'收支紀錄'!A""&amp;TO_TEXT(ROW()-$C$72))"),46018.92405403935)</f>
        <v>46018.92405</v>
      </c>
      <c r="B1358" s="59">
        <f>IFERROR(__xludf.DUMMYFUNCTION("IF(ISBLANK(D1358), """", IF(ISDATE(D1358), D1358, IF(D1358=""今天"", A1358, IF(D1358=""昨天 (-1 day)"", A1358-1, IF(D1358=""前天 (-2 days)"", A1358-2, IF(D1358=""明天 (+1 day)"", A1358+1, DATE(LEFT(D1358,4), MID(D1358,5,2), RIGHT(D1358,2))))))))"),46018.92405403935)</f>
        <v>46018.92405</v>
      </c>
      <c r="C1358" s="60">
        <f>IFERROR(__xludf.DUMMYFUNCTION("INDIRECT(""'收支紀錄'!C""&amp;TO_TEXT(ROW()-$C$72))"),180.0)</f>
        <v>180</v>
      </c>
      <c r="D1358" s="63" t="str">
        <f>IFERROR(__xludf.DUMMYFUNCTION("INDIRECT(""'收支紀錄'!D""&amp;TO_TEXT(ROW()-$C$72))"),"今天")</f>
        <v>今天</v>
      </c>
      <c r="E1358" s="61" t="str">
        <f>IFERROR(__xludf.DUMMYFUNCTION("INDIRECT(""'收支紀錄'!E""&amp;TO_TEXT(ROW()-$C$72))"),"")</f>
        <v/>
      </c>
      <c r="F1358" s="61" t="str">
        <f>IFERROR(__xludf.DUMMYFUNCTION("INDIRECT(""'收支紀錄'!F""&amp;TO_TEXT(ROW()-$C$72))"),"")</f>
        <v/>
      </c>
      <c r="G1358" s="61" t="str">
        <f>IFERROR(__xludf.DUMMYFUNCTION("INDIRECT(""'收支紀錄'!G""&amp;TO_TEXT(ROW()-$C$72))"),"")</f>
        <v/>
      </c>
      <c r="H1358" s="61" t="str">
        <f>IFERROR(__xludf.DUMMYFUNCTION("INDIRECT(""'收支紀錄'!H""&amp;TO_TEXT(ROW()-$C$72))"),"行車交通")</f>
        <v>行車交通</v>
      </c>
      <c r="I1358" s="61" t="str">
        <f>IFERROR(__xludf.DUMMYFUNCTION("INDIRECT(""'收支紀錄'!I""&amp;TO_TEXT(ROW()-$C$72))"),"")</f>
        <v/>
      </c>
      <c r="J1358" s="61" t="str">
        <f>IFERROR(__xludf.DUMMYFUNCTION("INDIRECT(""'收支紀錄'!J""&amp;TO_TEXT(ROW()-$C$72))"),"")</f>
        <v/>
      </c>
      <c r="K1358" s="61" t="str">
        <f>IFERROR(__xludf.DUMMYFUNCTION("INDIRECT(""'收支紀錄'!K""&amp;TO_TEXT(ROW()-$C$72))"),"")</f>
        <v/>
      </c>
      <c r="L1358" s="61" t="str">
        <f>IFERROR(__xludf.DUMMYFUNCTION("INDIRECT(""'收支紀錄'!L""&amp;TO_TEXT(ROW()-$C$72))"),"停車")</f>
        <v>停車</v>
      </c>
      <c r="M1358" s="61" t="str">
        <f>IFERROR(__xludf.DUMMYFUNCTION("INDIRECT(""'收支紀錄'!M""&amp;TO_TEXT(ROW()-$C$72))"),"")</f>
        <v/>
      </c>
      <c r="N1358" s="61" t="str">
        <f>IFERROR(__xludf.DUMMYFUNCTION("INDIRECT(""'收支紀錄'!N""&amp;TO_TEXT(ROW()-$C$72))"),"")</f>
        <v/>
      </c>
      <c r="O1358" s="61" t="str">
        <f>IFERROR(__xludf.DUMMYFUNCTION("INDIRECT(""'收支紀錄'!O""&amp;TO_TEXT(ROW()-$C$72))"),"")</f>
        <v/>
      </c>
      <c r="P1358" s="61" t="str">
        <f>IFERROR(__xludf.DUMMYFUNCTION("INDIRECT(""'收支紀錄'!P""&amp;TO_TEXT(ROW()-$C$72))"),"")</f>
        <v/>
      </c>
      <c r="Q1358" s="61" t="str">
        <f>IFERROR(__xludf.DUMMYFUNCTION("INDIRECT(""'收支紀錄'!Q""&amp;TO_TEXT(ROW()-$C$72))"),"")</f>
        <v/>
      </c>
      <c r="R1358" s="61" t="str">
        <f>IFERROR(__xludf.DUMMYFUNCTION("INDIRECT(""'收支紀錄'!R""&amp;TO_TEXT(ROW()-$C$72))"),"")</f>
        <v/>
      </c>
      <c r="S1358" s="61" t="str">
        <f>IFERROR(__xludf.DUMMYFUNCTION("INDIRECT(""'收支紀錄'!S""&amp;TO_TEXT(ROW()-$C$72))"),"")</f>
        <v/>
      </c>
      <c r="T1358" s="61" t="str">
        <f>IFERROR(__xludf.DUMMYFUNCTION("INDIRECT(""'收支紀錄'!T""&amp;TO_TEXT(ROW()-$C$72))"),"")</f>
        <v/>
      </c>
      <c r="U1358" s="62" t="str">
        <f>IFERROR(__xludf.DUMMYFUNCTION("IF(T1358=""是"",TEXTJOIN("""", TRUE, ""$"", TO_TEXT(C1358), S1358),"""")"),"")</f>
        <v/>
      </c>
    </row>
    <row r="1359">
      <c r="A1359" s="58">
        <f>IFERROR(__xludf.DUMMYFUNCTION("INDIRECT(""'收支紀錄'!A""&amp;TO_TEXT(ROW()-$C$72))"),46018.92421538194)</f>
        <v>46018.92422</v>
      </c>
      <c r="B1359" s="59">
        <f>IFERROR(__xludf.DUMMYFUNCTION("IF(ISBLANK(D1359), """", IF(ISDATE(D1359), D1359, IF(D1359=""今天"", A1359, IF(D1359=""昨天 (-1 day)"", A1359-1, IF(D1359=""前天 (-2 days)"", A1359-2, IF(D1359=""明天 (+1 day)"", A1359+1, DATE(LEFT(D1359,4), MID(D1359,5,2), RIGHT(D1359,2))))))))"),46018.92421538194)</f>
        <v>46018.92422</v>
      </c>
      <c r="C1359" s="60">
        <f>IFERROR(__xludf.DUMMYFUNCTION("INDIRECT(""'收支紀錄'!C""&amp;TO_TEXT(ROW()-$C$72))"),230.0)</f>
        <v>230</v>
      </c>
      <c r="D1359" s="63" t="str">
        <f>IFERROR(__xludf.DUMMYFUNCTION("INDIRECT(""'收支紀錄'!D""&amp;TO_TEXT(ROW()-$C$72))"),"今天")</f>
        <v>今天</v>
      </c>
      <c r="E1359" s="61" t="str">
        <f>IFERROR(__xludf.DUMMYFUNCTION("INDIRECT(""'收支紀錄'!E""&amp;TO_TEXT(ROW()-$C$72))"),"")</f>
        <v/>
      </c>
      <c r="F1359" s="61" t="str">
        <f>IFERROR(__xludf.DUMMYFUNCTION("INDIRECT(""'收支紀錄'!F""&amp;TO_TEXT(ROW()-$C$72))"),"")</f>
        <v/>
      </c>
      <c r="G1359" s="61" t="str">
        <f>IFERROR(__xludf.DUMMYFUNCTION("INDIRECT(""'收支紀錄'!G""&amp;TO_TEXT(ROW()-$C$72))"),"")</f>
        <v/>
      </c>
      <c r="H1359" s="61" t="str">
        <f>IFERROR(__xludf.DUMMYFUNCTION("INDIRECT(""'收支紀錄'!H""&amp;TO_TEXT(ROW()-$C$72))"),"食品酒水")</f>
        <v>食品酒水</v>
      </c>
      <c r="I1359" s="61" t="str">
        <f>IFERROR(__xludf.DUMMYFUNCTION("INDIRECT(""'收支紀錄'!I""&amp;TO_TEXT(ROW()-$C$72))"),"晚餐")</f>
        <v>晚餐</v>
      </c>
      <c r="J1359" s="61" t="str">
        <f>IFERROR(__xludf.DUMMYFUNCTION("INDIRECT(""'收支紀錄'!J""&amp;TO_TEXT(ROW()-$C$72))"),"")</f>
        <v/>
      </c>
      <c r="K1359" s="61" t="str">
        <f>IFERROR(__xludf.DUMMYFUNCTION("INDIRECT(""'收支紀錄'!K""&amp;TO_TEXT(ROW()-$C$72))"),"")</f>
        <v/>
      </c>
      <c r="L1359" s="61" t="str">
        <f>IFERROR(__xludf.DUMMYFUNCTION("INDIRECT(""'收支紀錄'!L""&amp;TO_TEXT(ROW()-$C$72))"),"")</f>
        <v/>
      </c>
      <c r="M1359" s="61" t="str">
        <f>IFERROR(__xludf.DUMMYFUNCTION("INDIRECT(""'收支紀錄'!M""&amp;TO_TEXT(ROW()-$C$72))"),"")</f>
        <v/>
      </c>
      <c r="N1359" s="61" t="str">
        <f>IFERROR(__xludf.DUMMYFUNCTION("INDIRECT(""'收支紀錄'!N""&amp;TO_TEXT(ROW()-$C$72))"),"")</f>
        <v/>
      </c>
      <c r="O1359" s="61" t="str">
        <f>IFERROR(__xludf.DUMMYFUNCTION("INDIRECT(""'收支紀錄'!O""&amp;TO_TEXT(ROW()-$C$72))"),"")</f>
        <v/>
      </c>
      <c r="P1359" s="61" t="str">
        <f>IFERROR(__xludf.DUMMYFUNCTION("INDIRECT(""'收支紀錄'!P""&amp;TO_TEXT(ROW()-$C$72))"),"")</f>
        <v/>
      </c>
      <c r="Q1359" s="61" t="str">
        <f>IFERROR(__xludf.DUMMYFUNCTION("INDIRECT(""'收支紀錄'!Q""&amp;TO_TEXT(ROW()-$C$72))"),"")</f>
        <v/>
      </c>
      <c r="R1359" s="61" t="str">
        <f>IFERROR(__xludf.DUMMYFUNCTION("INDIRECT(""'收支紀錄'!R""&amp;TO_TEXT(ROW()-$C$72))"),"")</f>
        <v/>
      </c>
      <c r="S1359" s="61" t="str">
        <f>IFERROR(__xludf.DUMMYFUNCTION("INDIRECT(""'收支紀錄'!S""&amp;TO_TEXT(ROW()-$C$72))"),"")</f>
        <v/>
      </c>
      <c r="T1359" s="61" t="str">
        <f>IFERROR(__xludf.DUMMYFUNCTION("INDIRECT(""'收支紀錄'!T""&amp;TO_TEXT(ROW()-$C$72))"),"")</f>
        <v/>
      </c>
      <c r="U1359" s="62" t="str">
        <f>IFERROR(__xludf.DUMMYFUNCTION("IF(T1359=""是"",TEXTJOIN("""", TRUE, ""$"", TO_TEXT(C1359), S1359),"""")"),"")</f>
        <v/>
      </c>
    </row>
    <row r="1360">
      <c r="A1360" s="58">
        <f>IFERROR(__xludf.DUMMYFUNCTION("INDIRECT(""'收支紀錄'!A""&amp;TO_TEXT(ROW()-$C$72))"),46019.08378217593)</f>
        <v>46019.08378</v>
      </c>
      <c r="B1360" s="59">
        <f>IFERROR(__xludf.DUMMYFUNCTION("IF(ISBLANK(D1360), """", IF(ISDATE(D1360), D1360, IF(D1360=""今天"", A1360, IF(D1360=""昨天 (-1 day)"", A1360-1, IF(D1360=""前天 (-2 days)"", A1360-2, IF(D1360=""明天 (+1 day)"", A1360+1, DATE(LEFT(D1360,4), MID(D1360,5,2), RIGHT(D1360,2))))))))"),46019.08378217593)</f>
        <v>46019.08378</v>
      </c>
      <c r="C1360" s="60">
        <f>IFERROR(__xludf.DUMMYFUNCTION("INDIRECT(""'收支紀錄'!C""&amp;TO_TEXT(ROW()-$C$72))"),66.0)</f>
        <v>66</v>
      </c>
      <c r="D1360" s="63" t="str">
        <f>IFERROR(__xludf.DUMMYFUNCTION("INDIRECT(""'收支紀錄'!D""&amp;TO_TEXT(ROW()-$C$72))"),"今天")</f>
        <v>今天</v>
      </c>
      <c r="E1360" s="61" t="str">
        <f>IFERROR(__xludf.DUMMYFUNCTION("INDIRECT(""'收支紀錄'!E""&amp;TO_TEXT(ROW()-$C$72))"),"")</f>
        <v/>
      </c>
      <c r="F1360" s="61" t="str">
        <f>IFERROR(__xludf.DUMMYFUNCTION("INDIRECT(""'收支紀錄'!F""&amp;TO_TEXT(ROW()-$C$72))"),"")</f>
        <v/>
      </c>
      <c r="G1360" s="61" t="str">
        <f>IFERROR(__xludf.DUMMYFUNCTION("INDIRECT(""'收支紀錄'!G""&amp;TO_TEXT(ROW()-$C$72))"),"")</f>
        <v/>
      </c>
      <c r="H1360" s="61" t="str">
        <f>IFERROR(__xludf.DUMMYFUNCTION("INDIRECT(""'收支紀錄'!H""&amp;TO_TEXT(ROW()-$C$72))"),"食品酒水")</f>
        <v>食品酒水</v>
      </c>
      <c r="I1360" s="61" t="str">
        <f>IFERROR(__xludf.DUMMYFUNCTION("INDIRECT(""'收支紀錄'!I""&amp;TO_TEXT(ROW()-$C$72))"),"宵夜")</f>
        <v>宵夜</v>
      </c>
      <c r="J1360" s="61" t="str">
        <f>IFERROR(__xludf.DUMMYFUNCTION("INDIRECT(""'收支紀錄'!J""&amp;TO_TEXT(ROW()-$C$72))"),"")</f>
        <v/>
      </c>
      <c r="K1360" s="61" t="str">
        <f>IFERROR(__xludf.DUMMYFUNCTION("INDIRECT(""'收支紀錄'!K""&amp;TO_TEXT(ROW()-$C$72))"),"")</f>
        <v/>
      </c>
      <c r="L1360" s="61" t="str">
        <f>IFERROR(__xludf.DUMMYFUNCTION("INDIRECT(""'收支紀錄'!L""&amp;TO_TEXT(ROW()-$C$72))"),"")</f>
        <v/>
      </c>
      <c r="M1360" s="61" t="str">
        <f>IFERROR(__xludf.DUMMYFUNCTION("INDIRECT(""'收支紀錄'!M""&amp;TO_TEXT(ROW()-$C$72))"),"")</f>
        <v/>
      </c>
      <c r="N1360" s="61" t="str">
        <f>IFERROR(__xludf.DUMMYFUNCTION("INDIRECT(""'收支紀錄'!N""&amp;TO_TEXT(ROW()-$C$72))"),"")</f>
        <v/>
      </c>
      <c r="O1360" s="61" t="str">
        <f>IFERROR(__xludf.DUMMYFUNCTION("INDIRECT(""'收支紀錄'!O""&amp;TO_TEXT(ROW()-$C$72))"),"")</f>
        <v/>
      </c>
      <c r="P1360" s="61" t="str">
        <f>IFERROR(__xludf.DUMMYFUNCTION("INDIRECT(""'收支紀錄'!P""&amp;TO_TEXT(ROW()-$C$72))"),"")</f>
        <v/>
      </c>
      <c r="Q1360" s="61" t="str">
        <f>IFERROR(__xludf.DUMMYFUNCTION("INDIRECT(""'收支紀錄'!Q""&amp;TO_TEXT(ROW()-$C$72))"),"")</f>
        <v/>
      </c>
      <c r="R1360" s="61" t="str">
        <f>IFERROR(__xludf.DUMMYFUNCTION("INDIRECT(""'收支紀錄'!R""&amp;TO_TEXT(ROW()-$C$72))"),"")</f>
        <v/>
      </c>
      <c r="S1360" s="61" t="str">
        <f>IFERROR(__xludf.DUMMYFUNCTION("INDIRECT(""'收支紀錄'!S""&amp;TO_TEXT(ROW()-$C$72))"),"")</f>
        <v/>
      </c>
      <c r="T1360" s="61" t="str">
        <f>IFERROR(__xludf.DUMMYFUNCTION("INDIRECT(""'收支紀錄'!T""&amp;TO_TEXT(ROW()-$C$72))"),"")</f>
        <v/>
      </c>
      <c r="U1360" s="62" t="str">
        <f>IFERROR(__xludf.DUMMYFUNCTION("IF(T1360=""是"",TEXTJOIN("""", TRUE, ""$"", TO_TEXT(C1360), S1360),"""")"),"")</f>
        <v/>
      </c>
    </row>
    <row r="1361">
      <c r="A1361" s="58">
        <f>IFERROR(__xludf.DUMMYFUNCTION("INDIRECT(""'收支紀錄'!A""&amp;TO_TEXT(ROW()-$C$72))"),46019.40011798611)</f>
        <v>46019.40012</v>
      </c>
      <c r="B1361" s="59">
        <f>IFERROR(__xludf.DUMMYFUNCTION("IF(ISBLANK(D1361), """", IF(ISDATE(D1361), D1361, IF(D1361=""今天"", A1361, IF(D1361=""昨天 (-1 day)"", A1361-1, IF(D1361=""前天 (-2 days)"", A1361-2, IF(D1361=""明天 (+1 day)"", A1361+1, DATE(LEFT(D1361,4), MID(D1361,5,2), RIGHT(D1361,2))))))))"),46019.40011798611)</f>
        <v>46019.40012</v>
      </c>
      <c r="C1361" s="60">
        <f>IFERROR(__xludf.DUMMYFUNCTION("INDIRECT(""'收支紀錄'!C""&amp;TO_TEXT(ROW()-$C$72))"),772.0)</f>
        <v>772</v>
      </c>
      <c r="D1361" s="63" t="str">
        <f>IFERROR(__xludf.DUMMYFUNCTION("INDIRECT(""'收支紀錄'!D""&amp;TO_TEXT(ROW()-$C$72))"),"今天")</f>
        <v>今天</v>
      </c>
      <c r="E1361" s="61" t="str">
        <f>IFERROR(__xludf.DUMMYFUNCTION("INDIRECT(""'收支紀錄'!E""&amp;TO_TEXT(ROW()-$C$72))"),"")</f>
        <v/>
      </c>
      <c r="F1361" s="61" t="str">
        <f>IFERROR(__xludf.DUMMYFUNCTION("INDIRECT(""'收支紀錄'!F""&amp;TO_TEXT(ROW()-$C$72))"),"")</f>
        <v/>
      </c>
      <c r="G1361" s="61" t="str">
        <f>IFERROR(__xludf.DUMMYFUNCTION("INDIRECT(""'收支紀錄'!G""&amp;TO_TEXT(ROW()-$C$72))"),"")</f>
        <v/>
      </c>
      <c r="H1361" s="61" t="str">
        <f>IFERROR(__xludf.DUMMYFUNCTION("INDIRECT(""'收支紀錄'!H""&amp;TO_TEXT(ROW()-$C$72))"),"日常生活")</f>
        <v>日常生活</v>
      </c>
      <c r="I1361" s="61" t="str">
        <f>IFERROR(__xludf.DUMMYFUNCTION("INDIRECT(""'收支紀錄'!I""&amp;TO_TEXT(ROW()-$C$72))"),"")</f>
        <v/>
      </c>
      <c r="J1361" s="61" t="str">
        <f>IFERROR(__xludf.DUMMYFUNCTION("INDIRECT(""'收支紀錄'!J""&amp;TO_TEXT(ROW()-$C$72))"),"日常用品")</f>
        <v>日常用品</v>
      </c>
      <c r="K1361" s="61" t="str">
        <f>IFERROR(__xludf.DUMMYFUNCTION("INDIRECT(""'收支紀錄'!K""&amp;TO_TEXT(ROW()-$C$72))"),"")</f>
        <v/>
      </c>
      <c r="L1361" s="61" t="str">
        <f>IFERROR(__xludf.DUMMYFUNCTION("INDIRECT(""'收支紀錄'!L""&amp;TO_TEXT(ROW()-$C$72))"),"")</f>
        <v/>
      </c>
      <c r="M1361" s="61" t="str">
        <f>IFERROR(__xludf.DUMMYFUNCTION("INDIRECT(""'收支紀錄'!M""&amp;TO_TEXT(ROW()-$C$72))"),"")</f>
        <v/>
      </c>
      <c r="N1361" s="61" t="str">
        <f>IFERROR(__xludf.DUMMYFUNCTION("INDIRECT(""'收支紀錄'!N""&amp;TO_TEXT(ROW()-$C$72))"),"")</f>
        <v/>
      </c>
      <c r="O1361" s="61" t="str">
        <f>IFERROR(__xludf.DUMMYFUNCTION("INDIRECT(""'收支紀錄'!O""&amp;TO_TEXT(ROW()-$C$72))"),"")</f>
        <v/>
      </c>
      <c r="P1361" s="61" t="str">
        <f>IFERROR(__xludf.DUMMYFUNCTION("INDIRECT(""'收支紀錄'!P""&amp;TO_TEXT(ROW()-$C$72))"),"")</f>
        <v/>
      </c>
      <c r="Q1361" s="61" t="str">
        <f>IFERROR(__xludf.DUMMYFUNCTION("INDIRECT(""'收支紀錄'!Q""&amp;TO_TEXT(ROW()-$C$72))"),"")</f>
        <v/>
      </c>
      <c r="R1361" s="61" t="str">
        <f>IFERROR(__xludf.DUMMYFUNCTION("INDIRECT(""'收支紀錄'!R""&amp;TO_TEXT(ROW()-$C$72))"),"")</f>
        <v/>
      </c>
      <c r="S1361" s="61" t="str">
        <f>IFERROR(__xludf.DUMMYFUNCTION("INDIRECT(""'收支紀錄'!S""&amp;TO_TEXT(ROW()-$C$72))"),"")</f>
        <v/>
      </c>
      <c r="T1361" s="61" t="str">
        <f>IFERROR(__xludf.DUMMYFUNCTION("INDIRECT(""'收支紀錄'!T""&amp;TO_TEXT(ROW()-$C$72))"),"")</f>
        <v/>
      </c>
      <c r="U1361" s="62" t="str">
        <f>IFERROR(__xludf.DUMMYFUNCTION("IF(T1361=""是"",TEXTJOIN("""", TRUE, ""$"", TO_TEXT(C1361), S1361),"""")"),"")</f>
        <v/>
      </c>
    </row>
    <row r="1362">
      <c r="A1362" s="58">
        <f>IFERROR(__xludf.DUMMYFUNCTION("INDIRECT(""'收支紀錄'!A""&amp;TO_TEXT(ROW()-$C$72))"),46020.32061255787)</f>
        <v>46020.32061</v>
      </c>
      <c r="B1362" s="59">
        <f>IFERROR(__xludf.DUMMYFUNCTION("IF(ISBLANK(D1362), """", IF(ISDATE(D1362), D1362, IF(D1362=""今天"", A1362, IF(D1362=""昨天 (-1 day)"", A1362-1, IF(D1362=""前天 (-2 days)"", A1362-2, IF(D1362=""明天 (+1 day)"", A1362+1, DATE(LEFT(D1362,4), MID(D1362,5,2), RIGHT(D1362,2))))))))"),46019.32061255787)</f>
        <v>46019.32061</v>
      </c>
      <c r="C1362" s="60">
        <f>IFERROR(__xludf.DUMMYFUNCTION("INDIRECT(""'收支紀錄'!C""&amp;TO_TEXT(ROW()-$C$72))"),407.0)</f>
        <v>407</v>
      </c>
      <c r="D1362" s="63" t="str">
        <f>IFERROR(__xludf.DUMMYFUNCTION("INDIRECT(""'收支紀錄'!D""&amp;TO_TEXT(ROW()-$C$72))"),"昨天 (-1 day)")</f>
        <v>昨天 (-1 day)</v>
      </c>
      <c r="E1362" s="61" t="str">
        <f>IFERROR(__xludf.DUMMYFUNCTION("INDIRECT(""'收支紀錄'!E""&amp;TO_TEXT(ROW()-$C$72))"),"")</f>
        <v/>
      </c>
      <c r="F1362" s="61" t="str">
        <f>IFERROR(__xludf.DUMMYFUNCTION("INDIRECT(""'收支紀錄'!F""&amp;TO_TEXT(ROW()-$C$72))"),"")</f>
        <v/>
      </c>
      <c r="G1362" s="61" t="str">
        <f>IFERROR(__xludf.DUMMYFUNCTION("INDIRECT(""'收支紀錄'!G""&amp;TO_TEXT(ROW()-$C$72))"),"")</f>
        <v/>
      </c>
      <c r="H1362" s="61" t="str">
        <f>IFERROR(__xludf.DUMMYFUNCTION("INDIRECT(""'收支紀錄'!H""&amp;TO_TEXT(ROW()-$C$72))"),"食品酒水")</f>
        <v>食品酒水</v>
      </c>
      <c r="I1362" s="61" t="str">
        <f>IFERROR(__xludf.DUMMYFUNCTION("INDIRECT(""'收支紀錄'!I""&amp;TO_TEXT(ROW()-$C$72))"),"午餐")</f>
        <v>午餐</v>
      </c>
      <c r="J1362" s="61" t="str">
        <f>IFERROR(__xludf.DUMMYFUNCTION("INDIRECT(""'收支紀錄'!J""&amp;TO_TEXT(ROW()-$C$72))"),"")</f>
        <v/>
      </c>
      <c r="K1362" s="61" t="str">
        <f>IFERROR(__xludf.DUMMYFUNCTION("INDIRECT(""'收支紀錄'!K""&amp;TO_TEXT(ROW()-$C$72))"),"")</f>
        <v/>
      </c>
      <c r="L1362" s="61" t="str">
        <f>IFERROR(__xludf.DUMMYFUNCTION("INDIRECT(""'收支紀錄'!L""&amp;TO_TEXT(ROW()-$C$72))"),"")</f>
        <v/>
      </c>
      <c r="M1362" s="61" t="str">
        <f>IFERROR(__xludf.DUMMYFUNCTION("INDIRECT(""'收支紀錄'!M""&amp;TO_TEXT(ROW()-$C$72))"),"")</f>
        <v/>
      </c>
      <c r="N1362" s="61" t="str">
        <f>IFERROR(__xludf.DUMMYFUNCTION("INDIRECT(""'收支紀錄'!N""&amp;TO_TEXT(ROW()-$C$72))"),"")</f>
        <v/>
      </c>
      <c r="O1362" s="61" t="str">
        <f>IFERROR(__xludf.DUMMYFUNCTION("INDIRECT(""'收支紀錄'!O""&amp;TO_TEXT(ROW()-$C$72))"),"")</f>
        <v/>
      </c>
      <c r="P1362" s="61" t="str">
        <f>IFERROR(__xludf.DUMMYFUNCTION("INDIRECT(""'收支紀錄'!P""&amp;TO_TEXT(ROW()-$C$72))"),"")</f>
        <v/>
      </c>
      <c r="Q1362" s="61" t="str">
        <f>IFERROR(__xludf.DUMMYFUNCTION("INDIRECT(""'收支紀錄'!Q""&amp;TO_TEXT(ROW()-$C$72))"),"")</f>
        <v/>
      </c>
      <c r="R1362" s="61" t="str">
        <f>IFERROR(__xludf.DUMMYFUNCTION("INDIRECT(""'收支紀錄'!R""&amp;TO_TEXT(ROW()-$C$72))"),"")</f>
        <v/>
      </c>
      <c r="S1362" s="61" t="str">
        <f>IFERROR(__xludf.DUMMYFUNCTION("INDIRECT(""'收支紀錄'!S""&amp;TO_TEXT(ROW()-$C$72))"),"")</f>
        <v/>
      </c>
      <c r="T1362" s="61" t="str">
        <f>IFERROR(__xludf.DUMMYFUNCTION("INDIRECT(""'收支紀錄'!T""&amp;TO_TEXT(ROW()-$C$72))"),"")</f>
        <v/>
      </c>
      <c r="U1362" s="62" t="str">
        <f>IFERROR(__xludf.DUMMYFUNCTION("IF(T1362=""是"",TEXTJOIN("""", TRUE, ""$"", TO_TEXT(C1362), S1362),"""")"),"")</f>
        <v/>
      </c>
    </row>
    <row r="1363">
      <c r="A1363" s="58">
        <f>IFERROR(__xludf.DUMMYFUNCTION("INDIRECT(""'收支紀錄'!A""&amp;TO_TEXT(ROW()-$C$72))"),46020.32087821759)</f>
        <v>46020.32088</v>
      </c>
      <c r="B1363" s="59">
        <f>IFERROR(__xludf.DUMMYFUNCTION("IF(ISBLANK(D1363), """", IF(ISDATE(D1363), D1363, IF(D1363=""今天"", A1363, IF(D1363=""昨天 (-1 day)"", A1363-1, IF(D1363=""前天 (-2 days)"", A1363-2, IF(D1363=""明天 (+1 day)"", A1363+1, DATE(LEFT(D1363,4), MID(D1363,5,2), RIGHT(D1363,2))))))))"),46019.32087821759)</f>
        <v>46019.32088</v>
      </c>
      <c r="C1363" s="60">
        <f>IFERROR(__xludf.DUMMYFUNCTION("INDIRECT(""'收支紀錄'!C""&amp;TO_TEXT(ROW()-$C$72))"),4404.0)</f>
        <v>4404</v>
      </c>
      <c r="D1363" s="63" t="str">
        <f>IFERROR(__xludf.DUMMYFUNCTION("INDIRECT(""'收支紀錄'!D""&amp;TO_TEXT(ROW()-$C$72))"),"昨天 (-1 day)")</f>
        <v>昨天 (-1 day)</v>
      </c>
      <c r="E1363" s="61" t="str">
        <f>IFERROR(__xludf.DUMMYFUNCTION("INDIRECT(""'收支紀錄'!E""&amp;TO_TEXT(ROW()-$C$72))"),"")</f>
        <v/>
      </c>
      <c r="F1363" s="61" t="str">
        <f>IFERROR(__xludf.DUMMYFUNCTION("INDIRECT(""'收支紀錄'!F""&amp;TO_TEXT(ROW()-$C$72))"),"")</f>
        <v/>
      </c>
      <c r="G1363" s="61" t="str">
        <f>IFERROR(__xludf.DUMMYFUNCTION("INDIRECT(""'收支紀錄'!G""&amp;TO_TEXT(ROW()-$C$72))"),"")</f>
        <v/>
      </c>
      <c r="H1363" s="61" t="str">
        <f>IFERROR(__xludf.DUMMYFUNCTION("INDIRECT(""'收支紀錄'!H""&amp;TO_TEXT(ROW()-$C$72))"),"食品酒水")</f>
        <v>食品酒水</v>
      </c>
      <c r="I1363" s="61" t="str">
        <f>IFERROR(__xludf.DUMMYFUNCTION("INDIRECT(""'收支紀錄'!I""&amp;TO_TEXT(ROW()-$C$72))"),"食材")</f>
        <v>食材</v>
      </c>
      <c r="J1363" s="61" t="str">
        <f>IFERROR(__xludf.DUMMYFUNCTION("INDIRECT(""'收支紀錄'!J""&amp;TO_TEXT(ROW()-$C$72))"),"")</f>
        <v/>
      </c>
      <c r="K1363" s="61" t="str">
        <f>IFERROR(__xludf.DUMMYFUNCTION("INDIRECT(""'收支紀錄'!K""&amp;TO_TEXT(ROW()-$C$72))"),"")</f>
        <v/>
      </c>
      <c r="L1363" s="61" t="str">
        <f>IFERROR(__xludf.DUMMYFUNCTION("INDIRECT(""'收支紀錄'!L""&amp;TO_TEXT(ROW()-$C$72))"),"")</f>
        <v/>
      </c>
      <c r="M1363" s="61" t="str">
        <f>IFERROR(__xludf.DUMMYFUNCTION("INDIRECT(""'收支紀錄'!M""&amp;TO_TEXT(ROW()-$C$72))"),"")</f>
        <v/>
      </c>
      <c r="N1363" s="61" t="str">
        <f>IFERROR(__xludf.DUMMYFUNCTION("INDIRECT(""'收支紀錄'!N""&amp;TO_TEXT(ROW()-$C$72))"),"")</f>
        <v/>
      </c>
      <c r="O1363" s="61" t="str">
        <f>IFERROR(__xludf.DUMMYFUNCTION("INDIRECT(""'收支紀錄'!O""&amp;TO_TEXT(ROW()-$C$72))"),"")</f>
        <v/>
      </c>
      <c r="P1363" s="61" t="str">
        <f>IFERROR(__xludf.DUMMYFUNCTION("INDIRECT(""'收支紀錄'!P""&amp;TO_TEXT(ROW()-$C$72))"),"")</f>
        <v/>
      </c>
      <c r="Q1363" s="61" t="str">
        <f>IFERROR(__xludf.DUMMYFUNCTION("INDIRECT(""'收支紀錄'!Q""&amp;TO_TEXT(ROW()-$C$72))"),"")</f>
        <v/>
      </c>
      <c r="R1363" s="61" t="str">
        <f>IFERROR(__xludf.DUMMYFUNCTION("INDIRECT(""'收支紀錄'!R""&amp;TO_TEXT(ROW()-$C$72))"),"")</f>
        <v/>
      </c>
      <c r="S1363" s="61" t="str">
        <f>IFERROR(__xludf.DUMMYFUNCTION("INDIRECT(""'收支紀錄'!S""&amp;TO_TEXT(ROW()-$C$72))"),"")</f>
        <v/>
      </c>
      <c r="T1363" s="61" t="str">
        <f>IFERROR(__xludf.DUMMYFUNCTION("INDIRECT(""'收支紀錄'!T""&amp;TO_TEXT(ROW()-$C$72))"),"")</f>
        <v/>
      </c>
      <c r="U1363" s="62" t="str">
        <f>IFERROR(__xludf.DUMMYFUNCTION("IF(T1363=""是"",TEXTJOIN("""", TRUE, ""$"", TO_TEXT(C1363), S1363),"""")"),"")</f>
        <v/>
      </c>
    </row>
    <row r="1364">
      <c r="A1364" s="58">
        <f>IFERROR(__xludf.DUMMYFUNCTION("INDIRECT(""'收支紀錄'!A""&amp;TO_TEXT(ROW()-$C$72))"),46022.80498219907)</f>
        <v>46022.80498</v>
      </c>
      <c r="B1364" s="59">
        <f>IFERROR(__xludf.DUMMYFUNCTION("IF(ISBLANK(D1364), """", IF(ISDATE(D1364), D1364, IF(D1364=""今天"", A1364, IF(D1364=""昨天 (-1 day)"", A1364-1, IF(D1364=""前天 (-2 days)"", A1364-2, IF(D1364=""明天 (+1 day)"", A1364+1, DATE(LEFT(D1364,4), MID(D1364,5,2), RIGHT(D1364,2))))))))"),46022.80498219907)</f>
        <v>46022.80498</v>
      </c>
      <c r="C1364" s="60">
        <f>IFERROR(__xludf.DUMMYFUNCTION("INDIRECT(""'收支紀錄'!C""&amp;TO_TEXT(ROW()-$C$72))"),500.0)</f>
        <v>500</v>
      </c>
      <c r="D1364" s="63" t="str">
        <f>IFERROR(__xludf.DUMMYFUNCTION("INDIRECT(""'收支紀錄'!D""&amp;TO_TEXT(ROW()-$C$72))"),"今天")</f>
        <v>今天</v>
      </c>
      <c r="E1364" s="61" t="str">
        <f>IFERROR(__xludf.DUMMYFUNCTION("INDIRECT(""'收支紀錄'!E""&amp;TO_TEXT(ROW()-$C$72))"),"")</f>
        <v/>
      </c>
      <c r="F1364" s="61" t="str">
        <f>IFERROR(__xludf.DUMMYFUNCTION("INDIRECT(""'收支紀錄'!F""&amp;TO_TEXT(ROW()-$C$72))"),"")</f>
        <v/>
      </c>
      <c r="G1364" s="61" t="str">
        <f>IFERROR(__xludf.DUMMYFUNCTION("INDIRECT(""'收支紀錄'!G""&amp;TO_TEXT(ROW()-$C$72))"),"")</f>
        <v/>
      </c>
      <c r="H1364" s="61" t="str">
        <f>IFERROR(__xludf.DUMMYFUNCTION("INDIRECT(""'收支紀錄'!H""&amp;TO_TEXT(ROW()-$C$72))"),"食品酒水")</f>
        <v>食品酒水</v>
      </c>
      <c r="I1364" s="61" t="str">
        <f>IFERROR(__xludf.DUMMYFUNCTION("INDIRECT(""'收支紀錄'!I""&amp;TO_TEXT(ROW()-$C$72))"),"晚餐")</f>
        <v>晚餐</v>
      </c>
      <c r="J1364" s="61" t="str">
        <f>IFERROR(__xludf.DUMMYFUNCTION("INDIRECT(""'收支紀錄'!J""&amp;TO_TEXT(ROW()-$C$72))"),"")</f>
        <v/>
      </c>
      <c r="K1364" s="61" t="str">
        <f>IFERROR(__xludf.DUMMYFUNCTION("INDIRECT(""'收支紀錄'!K""&amp;TO_TEXT(ROW()-$C$72))"),"")</f>
        <v/>
      </c>
      <c r="L1364" s="61" t="str">
        <f>IFERROR(__xludf.DUMMYFUNCTION("INDIRECT(""'收支紀錄'!L""&amp;TO_TEXT(ROW()-$C$72))"),"")</f>
        <v/>
      </c>
      <c r="M1364" s="61" t="str">
        <f>IFERROR(__xludf.DUMMYFUNCTION("INDIRECT(""'收支紀錄'!M""&amp;TO_TEXT(ROW()-$C$72))"),"")</f>
        <v/>
      </c>
      <c r="N1364" s="61" t="str">
        <f>IFERROR(__xludf.DUMMYFUNCTION("INDIRECT(""'收支紀錄'!N""&amp;TO_TEXT(ROW()-$C$72))"),"")</f>
        <v/>
      </c>
      <c r="O1364" s="61" t="str">
        <f>IFERROR(__xludf.DUMMYFUNCTION("INDIRECT(""'收支紀錄'!O""&amp;TO_TEXT(ROW()-$C$72))"),"")</f>
        <v/>
      </c>
      <c r="P1364" s="61" t="str">
        <f>IFERROR(__xludf.DUMMYFUNCTION("INDIRECT(""'收支紀錄'!P""&amp;TO_TEXT(ROW()-$C$72))"),"")</f>
        <v/>
      </c>
      <c r="Q1364" s="61" t="str">
        <f>IFERROR(__xludf.DUMMYFUNCTION("INDIRECT(""'收支紀錄'!Q""&amp;TO_TEXT(ROW()-$C$72))"),"")</f>
        <v/>
      </c>
      <c r="R1364" s="61" t="str">
        <f>IFERROR(__xludf.DUMMYFUNCTION("INDIRECT(""'收支紀錄'!R""&amp;TO_TEXT(ROW()-$C$72))"),"")</f>
        <v/>
      </c>
      <c r="S1364" s="61" t="str">
        <f>IFERROR(__xludf.DUMMYFUNCTION("INDIRECT(""'收支紀錄'!S""&amp;TO_TEXT(ROW()-$C$72))"),"")</f>
        <v/>
      </c>
      <c r="T1364" s="61" t="str">
        <f>IFERROR(__xludf.DUMMYFUNCTION("INDIRECT(""'收支紀錄'!T""&amp;TO_TEXT(ROW()-$C$72))"),"")</f>
        <v/>
      </c>
      <c r="U1364" s="62" t="str">
        <f>IFERROR(__xludf.DUMMYFUNCTION("IF(T1364=""是"",TEXTJOIN("""", TRUE, ""$"", TO_TEXT(C1364), S1364),"""")"),"")</f>
        <v/>
      </c>
    </row>
    <row r="1365">
      <c r="A1365" s="58">
        <f>IFERROR(__xludf.DUMMYFUNCTION("INDIRECT(""'收支紀錄'!A""&amp;TO_TEXT(ROW()-$C$72))"),46023.95125237269)</f>
        <v>46023.95125</v>
      </c>
      <c r="B1365" s="59">
        <f>IFERROR(__xludf.DUMMYFUNCTION("IF(ISBLANK(D1365), """", IF(ISDATE(D1365), D1365, IF(D1365=""今天"", A1365, IF(D1365=""昨天 (-1 day)"", A1365-1, IF(D1365=""前天 (-2 days)"", A1365-2, IF(D1365=""明天 (+1 day)"", A1365+1, DATE(LEFT(D1365,4), MID(D1365,5,2), RIGHT(D1365,2))))))))"),46023.95125237269)</f>
        <v>46023.95125</v>
      </c>
      <c r="C1365" s="60">
        <f>IFERROR(__xludf.DUMMYFUNCTION("INDIRECT(""'收支紀錄'!C""&amp;TO_TEXT(ROW()-$C$72))"),20000.0)</f>
        <v>20000</v>
      </c>
      <c r="D1365" s="63" t="str">
        <f>IFERROR(__xludf.DUMMYFUNCTION("INDIRECT(""'收支紀錄'!D""&amp;TO_TEXT(ROW()-$C$72))"),"今天")</f>
        <v>今天</v>
      </c>
      <c r="E1365" s="61" t="str">
        <f>IFERROR(__xludf.DUMMYFUNCTION("INDIRECT(""'收支紀錄'!E""&amp;TO_TEXT(ROW()-$C$72))"),"")</f>
        <v/>
      </c>
      <c r="F1365" s="61" t="str">
        <f>IFERROR(__xludf.DUMMYFUNCTION("INDIRECT(""'收支紀錄'!F""&amp;TO_TEXT(ROW()-$C$72))"),"")</f>
        <v/>
      </c>
      <c r="G1365" s="61" t="str">
        <f>IFERROR(__xludf.DUMMYFUNCTION("INDIRECT(""'收支紀錄'!G""&amp;TO_TEXT(ROW()-$C$72))"),"")</f>
        <v/>
      </c>
      <c r="H1365" s="61" t="str">
        <f>IFERROR(__xludf.DUMMYFUNCTION("INDIRECT(""'收支紀錄'!H""&amp;TO_TEXT(ROW()-$C$72))"),"房屋支出")</f>
        <v>房屋支出</v>
      </c>
      <c r="I1365" s="61" t="str">
        <f>IFERROR(__xludf.DUMMYFUNCTION("INDIRECT(""'收支紀錄'!I""&amp;TO_TEXT(ROW()-$C$72))"),"")</f>
        <v/>
      </c>
      <c r="J1365" s="61" t="str">
        <f>IFERROR(__xludf.DUMMYFUNCTION("INDIRECT(""'收支紀錄'!J""&amp;TO_TEXT(ROW()-$C$72))"),"")</f>
        <v/>
      </c>
      <c r="K1365" s="61" t="str">
        <f>IFERROR(__xludf.DUMMYFUNCTION("INDIRECT(""'收支紀錄'!K""&amp;TO_TEXT(ROW()-$C$72))"),"文心1房貸代繳")</f>
        <v>文心1房貸代繳</v>
      </c>
      <c r="L1365" s="61" t="str">
        <f>IFERROR(__xludf.DUMMYFUNCTION("INDIRECT(""'收支紀錄'!L""&amp;TO_TEXT(ROW()-$C$72))"),"")</f>
        <v/>
      </c>
      <c r="M1365" s="61" t="str">
        <f>IFERROR(__xludf.DUMMYFUNCTION("INDIRECT(""'收支紀錄'!M""&amp;TO_TEXT(ROW()-$C$72))"),"")</f>
        <v/>
      </c>
      <c r="N1365" s="61" t="str">
        <f>IFERROR(__xludf.DUMMYFUNCTION("INDIRECT(""'收支紀錄'!N""&amp;TO_TEXT(ROW()-$C$72))"),"")</f>
        <v/>
      </c>
      <c r="O1365" s="61" t="str">
        <f>IFERROR(__xludf.DUMMYFUNCTION("INDIRECT(""'收支紀錄'!O""&amp;TO_TEXT(ROW()-$C$72))"),"")</f>
        <v/>
      </c>
      <c r="P1365" s="61" t="str">
        <f>IFERROR(__xludf.DUMMYFUNCTION("INDIRECT(""'收支紀錄'!P""&amp;TO_TEXT(ROW()-$C$72))"),"")</f>
        <v/>
      </c>
      <c r="Q1365" s="61" t="str">
        <f>IFERROR(__xludf.DUMMYFUNCTION("INDIRECT(""'收支紀錄'!Q""&amp;TO_TEXT(ROW()-$C$72))"),"")</f>
        <v/>
      </c>
      <c r="R1365" s="61" t="str">
        <f>IFERROR(__xludf.DUMMYFUNCTION("INDIRECT(""'收支紀錄'!R""&amp;TO_TEXT(ROW()-$C$72))"),"")</f>
        <v/>
      </c>
      <c r="S1365" s="61" t="str">
        <f>IFERROR(__xludf.DUMMYFUNCTION("INDIRECT(""'收支紀錄'!S""&amp;TO_TEXT(ROW()-$C$72))"),"")</f>
        <v/>
      </c>
      <c r="T1365" s="61" t="str">
        <f>IFERROR(__xludf.DUMMYFUNCTION("INDIRECT(""'收支紀錄'!T""&amp;TO_TEXT(ROW()-$C$72))"),"")</f>
        <v/>
      </c>
      <c r="U1365" s="62" t="str">
        <f>IFERROR(__xludf.DUMMYFUNCTION("IF(T1365=""是"",TEXTJOIN("""", TRUE, ""$"", TO_TEXT(C1365), S1365),"""")"),"")</f>
        <v/>
      </c>
    </row>
    <row r="1366">
      <c r="A1366" s="58">
        <f>IFERROR(__xludf.DUMMYFUNCTION("INDIRECT(""'收支紀錄'!A""&amp;TO_TEXT(ROW()-$C$72))"),46023.95140939815)</f>
        <v>46023.95141</v>
      </c>
      <c r="B1366" s="59">
        <f>IFERROR(__xludf.DUMMYFUNCTION("IF(ISBLANK(D1366), """", IF(ISDATE(D1366), D1366, IF(D1366=""今天"", A1366, IF(D1366=""昨天 (-1 day)"", A1366-1, IF(D1366=""前天 (-2 days)"", A1366-2, IF(D1366=""明天 (+1 day)"", A1366+1, DATE(LEFT(D1366,4), MID(D1366,5,2), RIGHT(D1366,2))))))))"),46023.95140939815)</f>
        <v>46023.95141</v>
      </c>
      <c r="C1366" s="60">
        <f>IFERROR(__xludf.DUMMYFUNCTION("INDIRECT(""'收支紀錄'!C""&amp;TO_TEXT(ROW()-$C$72))"),6000.0)</f>
        <v>6000</v>
      </c>
      <c r="D1366" s="63" t="str">
        <f>IFERROR(__xludf.DUMMYFUNCTION("INDIRECT(""'收支紀錄'!D""&amp;TO_TEXT(ROW()-$C$72))"),"今天")</f>
        <v>今天</v>
      </c>
      <c r="E1366" s="61" t="str">
        <f>IFERROR(__xludf.DUMMYFUNCTION("INDIRECT(""'收支紀錄'!E""&amp;TO_TEXT(ROW()-$C$72))"),"")</f>
        <v/>
      </c>
      <c r="F1366" s="61" t="str">
        <f>IFERROR(__xludf.DUMMYFUNCTION("INDIRECT(""'收支紀錄'!F""&amp;TO_TEXT(ROW()-$C$72))"),"")</f>
        <v/>
      </c>
      <c r="G1366" s="61" t="str">
        <f>IFERROR(__xludf.DUMMYFUNCTION("INDIRECT(""'收支紀錄'!G""&amp;TO_TEXT(ROW()-$C$72))"),"")</f>
        <v/>
      </c>
      <c r="H1366" s="61" t="str">
        <f>IFERROR(__xludf.DUMMYFUNCTION("INDIRECT(""'收支紀錄'!H""&amp;TO_TEXT(ROW()-$C$72))"),"房屋支出")</f>
        <v>房屋支出</v>
      </c>
      <c r="I1366" s="61" t="str">
        <f>IFERROR(__xludf.DUMMYFUNCTION("INDIRECT(""'收支紀錄'!I""&amp;TO_TEXT(ROW()-$C$72))"),"")</f>
        <v/>
      </c>
      <c r="J1366" s="61" t="str">
        <f>IFERROR(__xludf.DUMMYFUNCTION("INDIRECT(""'收支紀錄'!J""&amp;TO_TEXT(ROW()-$C$72))"),"")</f>
        <v/>
      </c>
      <c r="K1366" s="61" t="str">
        <f>IFERROR(__xludf.DUMMYFUNCTION("INDIRECT(""'收支紀錄'!K""&amp;TO_TEXT(ROW()-$C$72))"),"租屋")</f>
        <v>租屋</v>
      </c>
      <c r="L1366" s="61" t="str">
        <f>IFERROR(__xludf.DUMMYFUNCTION("INDIRECT(""'收支紀錄'!L""&amp;TO_TEXT(ROW()-$C$72))"),"")</f>
        <v/>
      </c>
      <c r="M1366" s="61" t="str">
        <f>IFERROR(__xludf.DUMMYFUNCTION("INDIRECT(""'收支紀錄'!M""&amp;TO_TEXT(ROW()-$C$72))"),"")</f>
        <v/>
      </c>
      <c r="N1366" s="61" t="str">
        <f>IFERROR(__xludf.DUMMYFUNCTION("INDIRECT(""'收支紀錄'!N""&amp;TO_TEXT(ROW()-$C$72))"),"")</f>
        <v/>
      </c>
      <c r="O1366" s="61" t="str">
        <f>IFERROR(__xludf.DUMMYFUNCTION("INDIRECT(""'收支紀錄'!O""&amp;TO_TEXT(ROW()-$C$72))"),"")</f>
        <v/>
      </c>
      <c r="P1366" s="61" t="str">
        <f>IFERROR(__xludf.DUMMYFUNCTION("INDIRECT(""'收支紀錄'!P""&amp;TO_TEXT(ROW()-$C$72))"),"")</f>
        <v/>
      </c>
      <c r="Q1366" s="61" t="str">
        <f>IFERROR(__xludf.DUMMYFUNCTION("INDIRECT(""'收支紀錄'!Q""&amp;TO_TEXT(ROW()-$C$72))"),"")</f>
        <v/>
      </c>
      <c r="R1366" s="61" t="str">
        <f>IFERROR(__xludf.DUMMYFUNCTION("INDIRECT(""'收支紀錄'!R""&amp;TO_TEXT(ROW()-$C$72))"),"")</f>
        <v/>
      </c>
      <c r="S1366" s="61" t="str">
        <f>IFERROR(__xludf.DUMMYFUNCTION("INDIRECT(""'收支紀錄'!S""&amp;TO_TEXT(ROW()-$C$72))"),"")</f>
        <v/>
      </c>
      <c r="T1366" s="61" t="str">
        <f>IFERROR(__xludf.DUMMYFUNCTION("INDIRECT(""'收支紀錄'!T""&amp;TO_TEXT(ROW()-$C$72))"),"")</f>
        <v/>
      </c>
      <c r="U1366" s="62" t="str">
        <f>IFERROR(__xludf.DUMMYFUNCTION("IF(T1366=""是"",TEXTJOIN("""", TRUE, ""$"", TO_TEXT(C1366), S1366),"""")"),"")</f>
        <v/>
      </c>
    </row>
    <row r="1367">
      <c r="A1367" s="58">
        <f>IFERROR(__xludf.DUMMYFUNCTION("INDIRECT(""'收支紀錄'!A""&amp;TO_TEXT(ROW()-$C$72))"),46023.951630682874)</f>
        <v>46023.95163</v>
      </c>
      <c r="B1367" s="59">
        <f>IFERROR(__xludf.DUMMYFUNCTION("IF(ISBLANK(D1367), """", IF(ISDATE(D1367), D1367, IF(D1367=""今天"", A1367, IF(D1367=""昨天 (-1 day)"", A1367-1, IF(D1367=""前天 (-2 days)"", A1367-2, IF(D1367=""明天 (+1 day)"", A1367+1, DATE(LEFT(D1367,4), MID(D1367,5,2), RIGHT(D1367,2))))))))"),46023.951630682874)</f>
        <v>46023.95163</v>
      </c>
      <c r="C1367" s="60">
        <f>IFERROR(__xludf.DUMMYFUNCTION("INDIRECT(""'收支紀錄'!C""&amp;TO_TEXT(ROW()-$C$72))"),6000.0)</f>
        <v>6000</v>
      </c>
      <c r="D1367" s="63" t="str">
        <f>IFERROR(__xludf.DUMMYFUNCTION("INDIRECT(""'收支紀錄'!D""&amp;TO_TEXT(ROW()-$C$72))"),"今天")</f>
        <v>今天</v>
      </c>
      <c r="E1367" s="61" t="str">
        <f>IFERROR(__xludf.DUMMYFUNCTION("INDIRECT(""'收支紀錄'!E""&amp;TO_TEXT(ROW()-$C$72))"),"其他業外")</f>
        <v>其他業外</v>
      </c>
      <c r="F1367" s="61" t="str">
        <f>IFERROR(__xludf.DUMMYFUNCTION("INDIRECT(""'收支紀錄'!F""&amp;TO_TEXT(ROW()-$C$72))"),"")</f>
        <v/>
      </c>
      <c r="G1367" s="61" t="str">
        <f>IFERROR(__xludf.DUMMYFUNCTION("INDIRECT(""'收支紀錄'!G""&amp;TO_TEXT(ROW()-$C$72))"),"房屋補貼")</f>
        <v>房屋補貼</v>
      </c>
      <c r="H1367" s="61" t="str">
        <f>IFERROR(__xludf.DUMMYFUNCTION("INDIRECT(""'收支紀錄'!H""&amp;TO_TEXT(ROW()-$C$72))"),"")</f>
        <v/>
      </c>
      <c r="I1367" s="61" t="str">
        <f>IFERROR(__xludf.DUMMYFUNCTION("INDIRECT(""'收支紀錄'!I""&amp;TO_TEXT(ROW()-$C$72))"),"")</f>
        <v/>
      </c>
      <c r="J1367" s="61" t="str">
        <f>IFERROR(__xludf.DUMMYFUNCTION("INDIRECT(""'收支紀錄'!J""&amp;TO_TEXT(ROW()-$C$72))"),"")</f>
        <v/>
      </c>
      <c r="K1367" s="61" t="str">
        <f>IFERROR(__xludf.DUMMYFUNCTION("INDIRECT(""'收支紀錄'!K""&amp;TO_TEXT(ROW()-$C$72))"),"")</f>
        <v/>
      </c>
      <c r="L1367" s="61" t="str">
        <f>IFERROR(__xludf.DUMMYFUNCTION("INDIRECT(""'收支紀錄'!L""&amp;TO_TEXT(ROW()-$C$72))"),"")</f>
        <v/>
      </c>
      <c r="M1367" s="61" t="str">
        <f>IFERROR(__xludf.DUMMYFUNCTION("INDIRECT(""'收支紀錄'!M""&amp;TO_TEXT(ROW()-$C$72))"),"")</f>
        <v/>
      </c>
      <c r="N1367" s="61" t="str">
        <f>IFERROR(__xludf.DUMMYFUNCTION("INDIRECT(""'收支紀錄'!N""&amp;TO_TEXT(ROW()-$C$72))"),"")</f>
        <v/>
      </c>
      <c r="O1367" s="61" t="str">
        <f>IFERROR(__xludf.DUMMYFUNCTION("INDIRECT(""'收支紀錄'!O""&amp;TO_TEXT(ROW()-$C$72))"),"")</f>
        <v/>
      </c>
      <c r="P1367" s="61" t="str">
        <f>IFERROR(__xludf.DUMMYFUNCTION("INDIRECT(""'收支紀錄'!P""&amp;TO_TEXT(ROW()-$C$72))"),"")</f>
        <v/>
      </c>
      <c r="Q1367" s="61" t="str">
        <f>IFERROR(__xludf.DUMMYFUNCTION("INDIRECT(""'收支紀錄'!Q""&amp;TO_TEXT(ROW()-$C$72))"),"")</f>
        <v/>
      </c>
      <c r="R1367" s="61" t="str">
        <f>IFERROR(__xludf.DUMMYFUNCTION("INDIRECT(""'收支紀錄'!R""&amp;TO_TEXT(ROW()-$C$72))"),"")</f>
        <v/>
      </c>
      <c r="S1367" s="61" t="str">
        <f>IFERROR(__xludf.DUMMYFUNCTION("INDIRECT(""'收支紀錄'!S""&amp;TO_TEXT(ROW()-$C$72))"),"")</f>
        <v/>
      </c>
      <c r="T1367" s="61" t="str">
        <f>IFERROR(__xludf.DUMMYFUNCTION("INDIRECT(""'收支紀錄'!T""&amp;TO_TEXT(ROW()-$C$72))"),"")</f>
        <v/>
      </c>
      <c r="U1367" s="62" t="str">
        <f>IFERROR(__xludf.DUMMYFUNCTION("IF(T1367=""是"",TEXTJOIN("""", TRUE, ""$"", TO_TEXT(C1367), S1367),"""")"),"")</f>
        <v/>
      </c>
    </row>
    <row r="1368">
      <c r="A1368" s="58">
        <f>IFERROR(__xludf.DUMMYFUNCTION("INDIRECT(""'收支紀錄'!A""&amp;TO_TEXT(ROW()-$C$72))"),46023.95205165509)</f>
        <v>46023.95205</v>
      </c>
      <c r="B1368" s="59">
        <f>IFERROR(__xludf.DUMMYFUNCTION("IF(ISBLANK(D1368), """", IF(ISDATE(D1368), D1368, IF(D1368=""今天"", A1368, IF(D1368=""昨天 (-1 day)"", A1368-1, IF(D1368=""前天 (-2 days)"", A1368-2, IF(D1368=""明天 (+1 day)"", A1368+1, DATE(LEFT(D1368,4), MID(D1368,5,2), RIGHT(D1368,2))))))))"),46023.95205165509)</f>
        <v>46023.95205</v>
      </c>
      <c r="C1368" s="60">
        <f>IFERROR(__xludf.DUMMYFUNCTION("INDIRECT(""'收支紀錄'!C""&amp;TO_TEXT(ROW()-$C$72))"),3560.0)</f>
        <v>3560</v>
      </c>
      <c r="D1368" s="63" t="str">
        <f>IFERROR(__xludf.DUMMYFUNCTION("INDIRECT(""'收支紀錄'!D""&amp;TO_TEXT(ROW()-$C$72))"),"今天")</f>
        <v>今天</v>
      </c>
      <c r="E1368" s="61" t="str">
        <f>IFERROR(__xludf.DUMMYFUNCTION("INDIRECT(""'收支紀錄'!E""&amp;TO_TEXT(ROW()-$C$72))"),"")</f>
        <v/>
      </c>
      <c r="F1368" s="61" t="str">
        <f>IFERROR(__xludf.DUMMYFUNCTION("INDIRECT(""'收支紀錄'!F""&amp;TO_TEXT(ROW()-$C$72))"),"")</f>
        <v/>
      </c>
      <c r="G1368" s="61" t="str">
        <f>IFERROR(__xludf.DUMMYFUNCTION("INDIRECT(""'收支紀錄'!G""&amp;TO_TEXT(ROW()-$C$72))"),"")</f>
        <v/>
      </c>
      <c r="H1368" s="61" t="str">
        <f>IFERROR(__xludf.DUMMYFUNCTION("INDIRECT(""'收支紀錄'!H""&amp;TO_TEXT(ROW()-$C$72))"),"食品酒水")</f>
        <v>食品酒水</v>
      </c>
      <c r="I1368" s="61" t="str">
        <f>IFERROR(__xludf.DUMMYFUNCTION("INDIRECT(""'收支紀錄'!I""&amp;TO_TEXT(ROW()-$C$72))"),"食材")</f>
        <v>食材</v>
      </c>
      <c r="J1368" s="61" t="str">
        <f>IFERROR(__xludf.DUMMYFUNCTION("INDIRECT(""'收支紀錄'!J""&amp;TO_TEXT(ROW()-$C$72))"),"")</f>
        <v/>
      </c>
      <c r="K1368" s="61" t="str">
        <f>IFERROR(__xludf.DUMMYFUNCTION("INDIRECT(""'收支紀錄'!K""&amp;TO_TEXT(ROW()-$C$72))"),"")</f>
        <v/>
      </c>
      <c r="L1368" s="61" t="str">
        <f>IFERROR(__xludf.DUMMYFUNCTION("INDIRECT(""'收支紀錄'!L""&amp;TO_TEXT(ROW()-$C$72))"),"")</f>
        <v/>
      </c>
      <c r="M1368" s="61" t="str">
        <f>IFERROR(__xludf.DUMMYFUNCTION("INDIRECT(""'收支紀錄'!M""&amp;TO_TEXT(ROW()-$C$72))"),"")</f>
        <v/>
      </c>
      <c r="N1368" s="61" t="str">
        <f>IFERROR(__xludf.DUMMYFUNCTION("INDIRECT(""'收支紀錄'!N""&amp;TO_TEXT(ROW()-$C$72))"),"")</f>
        <v/>
      </c>
      <c r="O1368" s="61" t="str">
        <f>IFERROR(__xludf.DUMMYFUNCTION("INDIRECT(""'收支紀錄'!O""&amp;TO_TEXT(ROW()-$C$72))"),"")</f>
        <v/>
      </c>
      <c r="P1368" s="61" t="str">
        <f>IFERROR(__xludf.DUMMYFUNCTION("INDIRECT(""'收支紀錄'!P""&amp;TO_TEXT(ROW()-$C$72))"),"")</f>
        <v/>
      </c>
      <c r="Q1368" s="61" t="str">
        <f>IFERROR(__xludf.DUMMYFUNCTION("INDIRECT(""'收支紀錄'!Q""&amp;TO_TEXT(ROW()-$C$72))"),"")</f>
        <v/>
      </c>
      <c r="R1368" s="61" t="str">
        <f>IFERROR(__xludf.DUMMYFUNCTION("INDIRECT(""'收支紀錄'!R""&amp;TO_TEXT(ROW()-$C$72))"),"")</f>
        <v/>
      </c>
      <c r="S1368" s="61" t="str">
        <f>IFERROR(__xludf.DUMMYFUNCTION("INDIRECT(""'收支紀錄'!S""&amp;TO_TEXT(ROW()-$C$72))"),"")</f>
        <v/>
      </c>
      <c r="T1368" s="61" t="str">
        <f>IFERROR(__xludf.DUMMYFUNCTION("INDIRECT(""'收支紀錄'!T""&amp;TO_TEXT(ROW()-$C$72))"),"")</f>
        <v/>
      </c>
      <c r="U1368" s="62" t="str">
        <f>IFERROR(__xludf.DUMMYFUNCTION("IF(T1368=""是"",TEXTJOIN("""", TRUE, ""$"", TO_TEXT(C1368), S1368),"""")"),"")</f>
        <v/>
      </c>
    </row>
    <row r="1369">
      <c r="A1369" s="58">
        <f>IFERROR(__xludf.DUMMYFUNCTION("INDIRECT(""'收支紀錄'!A""&amp;TO_TEXT(ROW()-$C$72))"),46025.50075527778)</f>
        <v>46025.50076</v>
      </c>
      <c r="B1369" s="59">
        <f>IFERROR(__xludf.DUMMYFUNCTION("IF(ISBLANK(D1369), """", IF(ISDATE(D1369), D1369, IF(D1369=""今天"", A1369, IF(D1369=""昨天 (-1 day)"", A1369-1, IF(D1369=""前天 (-2 days)"", A1369-2, IF(D1369=""明天 (+1 day)"", A1369+1, DATE(LEFT(D1369,4), MID(D1369,5,2), RIGHT(D1369,2))))))))"),46025.50075527778)</f>
        <v>46025.50076</v>
      </c>
      <c r="C1369" s="60">
        <f>IFERROR(__xludf.DUMMYFUNCTION("INDIRECT(""'收支紀錄'!C""&amp;TO_TEXT(ROW()-$C$72))"),145.0)</f>
        <v>145</v>
      </c>
      <c r="D1369" s="63" t="str">
        <f>IFERROR(__xludf.DUMMYFUNCTION("INDIRECT(""'收支紀錄'!D""&amp;TO_TEXT(ROW()-$C$72))"),"今天")</f>
        <v>今天</v>
      </c>
      <c r="E1369" s="61" t="str">
        <f>IFERROR(__xludf.DUMMYFUNCTION("INDIRECT(""'收支紀錄'!E""&amp;TO_TEXT(ROW()-$C$72))"),"")</f>
        <v/>
      </c>
      <c r="F1369" s="61" t="str">
        <f>IFERROR(__xludf.DUMMYFUNCTION("INDIRECT(""'收支紀錄'!F""&amp;TO_TEXT(ROW()-$C$72))"),"")</f>
        <v/>
      </c>
      <c r="G1369" s="61" t="str">
        <f>IFERROR(__xludf.DUMMYFUNCTION("INDIRECT(""'收支紀錄'!G""&amp;TO_TEXT(ROW()-$C$72))"),"")</f>
        <v/>
      </c>
      <c r="H1369" s="61" t="str">
        <f>IFERROR(__xludf.DUMMYFUNCTION("INDIRECT(""'收支紀錄'!H""&amp;TO_TEXT(ROW()-$C$72))"),"食品酒水")</f>
        <v>食品酒水</v>
      </c>
      <c r="I1369" s="61" t="str">
        <f>IFERROR(__xludf.DUMMYFUNCTION("INDIRECT(""'收支紀錄'!I""&amp;TO_TEXT(ROW()-$C$72))"),"早餐")</f>
        <v>早餐</v>
      </c>
      <c r="J1369" s="61" t="str">
        <f>IFERROR(__xludf.DUMMYFUNCTION("INDIRECT(""'收支紀錄'!J""&amp;TO_TEXT(ROW()-$C$72))"),"")</f>
        <v/>
      </c>
      <c r="K1369" s="61" t="str">
        <f>IFERROR(__xludf.DUMMYFUNCTION("INDIRECT(""'收支紀錄'!K""&amp;TO_TEXT(ROW()-$C$72))"),"")</f>
        <v/>
      </c>
      <c r="L1369" s="61" t="str">
        <f>IFERROR(__xludf.DUMMYFUNCTION("INDIRECT(""'收支紀錄'!L""&amp;TO_TEXT(ROW()-$C$72))"),"")</f>
        <v/>
      </c>
      <c r="M1369" s="61" t="str">
        <f>IFERROR(__xludf.DUMMYFUNCTION("INDIRECT(""'收支紀錄'!M""&amp;TO_TEXT(ROW()-$C$72))"),"")</f>
        <v/>
      </c>
      <c r="N1369" s="61" t="str">
        <f>IFERROR(__xludf.DUMMYFUNCTION("INDIRECT(""'收支紀錄'!N""&amp;TO_TEXT(ROW()-$C$72))"),"")</f>
        <v/>
      </c>
      <c r="O1369" s="61" t="str">
        <f>IFERROR(__xludf.DUMMYFUNCTION("INDIRECT(""'收支紀錄'!O""&amp;TO_TEXT(ROW()-$C$72))"),"")</f>
        <v/>
      </c>
      <c r="P1369" s="61" t="str">
        <f>IFERROR(__xludf.DUMMYFUNCTION("INDIRECT(""'收支紀錄'!P""&amp;TO_TEXT(ROW()-$C$72))"),"")</f>
        <v/>
      </c>
      <c r="Q1369" s="61" t="str">
        <f>IFERROR(__xludf.DUMMYFUNCTION("INDIRECT(""'收支紀錄'!Q""&amp;TO_TEXT(ROW()-$C$72))"),"")</f>
        <v/>
      </c>
      <c r="R1369" s="61" t="str">
        <f>IFERROR(__xludf.DUMMYFUNCTION("INDIRECT(""'收支紀錄'!R""&amp;TO_TEXT(ROW()-$C$72))"),"")</f>
        <v/>
      </c>
      <c r="S1369" s="61" t="str">
        <f>IFERROR(__xludf.DUMMYFUNCTION("INDIRECT(""'收支紀錄'!S""&amp;TO_TEXT(ROW()-$C$72))"),"")</f>
        <v/>
      </c>
      <c r="T1369" s="61" t="str">
        <f>IFERROR(__xludf.DUMMYFUNCTION("INDIRECT(""'收支紀錄'!T""&amp;TO_TEXT(ROW()-$C$72))"),"")</f>
        <v/>
      </c>
      <c r="U1369" s="62" t="str">
        <f>IFERROR(__xludf.DUMMYFUNCTION("IF(T1369=""是"",TEXTJOIN("""", TRUE, ""$"", TO_TEXT(C1369), S1369),"""")"),"")</f>
        <v/>
      </c>
    </row>
    <row r="1370">
      <c r="A1370" s="58">
        <f>IFERROR(__xludf.DUMMYFUNCTION("INDIRECT(""'收支紀錄'!A""&amp;TO_TEXT(ROW()-$C$72))"),46025.50088568287)</f>
        <v>46025.50089</v>
      </c>
      <c r="B1370" s="59">
        <f>IFERROR(__xludf.DUMMYFUNCTION("IF(ISBLANK(D1370), """", IF(ISDATE(D1370), D1370, IF(D1370=""今天"", A1370, IF(D1370=""昨天 (-1 day)"", A1370-1, IF(D1370=""前天 (-2 days)"", A1370-2, IF(D1370=""明天 (+1 day)"", A1370+1, DATE(LEFT(D1370,4), MID(D1370,5,2), RIGHT(D1370,2))))))))"),46025.50088568287)</f>
        <v>46025.50089</v>
      </c>
      <c r="C1370" s="60">
        <f>IFERROR(__xludf.DUMMYFUNCTION("INDIRECT(""'收支紀錄'!C""&amp;TO_TEXT(ROW()-$C$72))"),400.0)</f>
        <v>400</v>
      </c>
      <c r="D1370" s="63" t="str">
        <f>IFERROR(__xludf.DUMMYFUNCTION("INDIRECT(""'收支紀錄'!D""&amp;TO_TEXT(ROW()-$C$72))"),"今天")</f>
        <v>今天</v>
      </c>
      <c r="E1370" s="61" t="str">
        <f>IFERROR(__xludf.DUMMYFUNCTION("INDIRECT(""'收支紀錄'!E""&amp;TO_TEXT(ROW()-$C$72))"),"")</f>
        <v/>
      </c>
      <c r="F1370" s="61" t="str">
        <f>IFERROR(__xludf.DUMMYFUNCTION("INDIRECT(""'收支紀錄'!F""&amp;TO_TEXT(ROW()-$C$72))"),"")</f>
        <v/>
      </c>
      <c r="G1370" s="61" t="str">
        <f>IFERROR(__xludf.DUMMYFUNCTION("INDIRECT(""'收支紀錄'!G""&amp;TO_TEXT(ROW()-$C$72))"),"")</f>
        <v/>
      </c>
      <c r="H1370" s="61" t="str">
        <f>IFERROR(__xludf.DUMMYFUNCTION("INDIRECT(""'收支紀錄'!H""&amp;TO_TEXT(ROW()-$C$72))"),"食品酒水")</f>
        <v>食品酒水</v>
      </c>
      <c r="I1370" s="61" t="str">
        <f>IFERROR(__xludf.DUMMYFUNCTION("INDIRECT(""'收支紀錄'!I""&amp;TO_TEXT(ROW()-$C$72))"),"食材")</f>
        <v>食材</v>
      </c>
      <c r="J1370" s="61" t="str">
        <f>IFERROR(__xludf.DUMMYFUNCTION("INDIRECT(""'收支紀錄'!J""&amp;TO_TEXT(ROW()-$C$72))"),"")</f>
        <v/>
      </c>
      <c r="K1370" s="61" t="str">
        <f>IFERROR(__xludf.DUMMYFUNCTION("INDIRECT(""'收支紀錄'!K""&amp;TO_TEXT(ROW()-$C$72))"),"")</f>
        <v/>
      </c>
      <c r="L1370" s="61" t="str">
        <f>IFERROR(__xludf.DUMMYFUNCTION("INDIRECT(""'收支紀錄'!L""&amp;TO_TEXT(ROW()-$C$72))"),"")</f>
        <v/>
      </c>
      <c r="M1370" s="61" t="str">
        <f>IFERROR(__xludf.DUMMYFUNCTION("INDIRECT(""'收支紀錄'!M""&amp;TO_TEXT(ROW()-$C$72))"),"")</f>
        <v/>
      </c>
      <c r="N1370" s="61" t="str">
        <f>IFERROR(__xludf.DUMMYFUNCTION("INDIRECT(""'收支紀錄'!N""&amp;TO_TEXT(ROW()-$C$72))"),"")</f>
        <v/>
      </c>
      <c r="O1370" s="61" t="str">
        <f>IFERROR(__xludf.DUMMYFUNCTION("INDIRECT(""'收支紀錄'!O""&amp;TO_TEXT(ROW()-$C$72))"),"")</f>
        <v/>
      </c>
      <c r="P1370" s="61" t="str">
        <f>IFERROR(__xludf.DUMMYFUNCTION("INDIRECT(""'收支紀錄'!P""&amp;TO_TEXT(ROW()-$C$72))"),"")</f>
        <v/>
      </c>
      <c r="Q1370" s="61" t="str">
        <f>IFERROR(__xludf.DUMMYFUNCTION("INDIRECT(""'收支紀錄'!Q""&amp;TO_TEXT(ROW()-$C$72))"),"")</f>
        <v/>
      </c>
      <c r="R1370" s="61" t="str">
        <f>IFERROR(__xludf.DUMMYFUNCTION("INDIRECT(""'收支紀錄'!R""&amp;TO_TEXT(ROW()-$C$72))"),"")</f>
        <v/>
      </c>
      <c r="S1370" s="61" t="str">
        <f>IFERROR(__xludf.DUMMYFUNCTION("INDIRECT(""'收支紀錄'!S""&amp;TO_TEXT(ROW()-$C$72))"),"")</f>
        <v/>
      </c>
      <c r="T1370" s="61" t="str">
        <f>IFERROR(__xludf.DUMMYFUNCTION("INDIRECT(""'收支紀錄'!T""&amp;TO_TEXT(ROW()-$C$72))"),"")</f>
        <v/>
      </c>
      <c r="U1370" s="62" t="str">
        <f>IFERROR(__xludf.DUMMYFUNCTION("IF(T1370=""是"",TEXTJOIN("""", TRUE, ""$"", TO_TEXT(C1370), S1370),"""")"),"")</f>
        <v/>
      </c>
    </row>
    <row r="1371">
      <c r="A1371" s="58">
        <f>IFERROR(__xludf.DUMMYFUNCTION("INDIRECT(""'收支紀錄'!A""&amp;TO_TEXT(ROW()-$C$72))"),46025.68480766204)</f>
        <v>46025.68481</v>
      </c>
      <c r="B1371" s="59">
        <f>IFERROR(__xludf.DUMMYFUNCTION("IF(ISBLANK(D1371), """", IF(ISDATE(D1371), D1371, IF(D1371=""今天"", A1371, IF(D1371=""昨天 (-1 day)"", A1371-1, IF(D1371=""前天 (-2 days)"", A1371-2, IF(D1371=""明天 (+1 day)"", A1371+1, DATE(LEFT(D1371,4), MID(D1371,5,2), RIGHT(D1371,2))))))))"),46025.68480766204)</f>
        <v>46025.68481</v>
      </c>
      <c r="C1371" s="60">
        <f>IFERROR(__xludf.DUMMYFUNCTION("INDIRECT(""'收支紀錄'!C""&amp;TO_TEXT(ROW()-$C$72))"),589.0)</f>
        <v>589</v>
      </c>
      <c r="D1371" s="63" t="str">
        <f>IFERROR(__xludf.DUMMYFUNCTION("INDIRECT(""'收支紀錄'!D""&amp;TO_TEXT(ROW()-$C$72))"),"今天")</f>
        <v>今天</v>
      </c>
      <c r="E1371" s="61" t="str">
        <f>IFERROR(__xludf.DUMMYFUNCTION("INDIRECT(""'收支紀錄'!E""&amp;TO_TEXT(ROW()-$C$72))"),"")</f>
        <v/>
      </c>
      <c r="F1371" s="61" t="str">
        <f>IFERROR(__xludf.DUMMYFUNCTION("INDIRECT(""'收支紀錄'!F""&amp;TO_TEXT(ROW()-$C$72))"),"")</f>
        <v/>
      </c>
      <c r="G1371" s="61" t="str">
        <f>IFERROR(__xludf.DUMMYFUNCTION("INDIRECT(""'收支紀錄'!G""&amp;TO_TEXT(ROW()-$C$72))"),"")</f>
        <v/>
      </c>
      <c r="H1371" s="61" t="str">
        <f>IFERROR(__xludf.DUMMYFUNCTION("INDIRECT(""'收支紀錄'!H""&amp;TO_TEXT(ROW()-$C$72))"),"行車交通")</f>
        <v>行車交通</v>
      </c>
      <c r="I1371" s="61" t="str">
        <f>IFERROR(__xludf.DUMMYFUNCTION("INDIRECT(""'收支紀錄'!I""&amp;TO_TEXT(ROW()-$C$72))"),"")</f>
        <v/>
      </c>
      <c r="J1371" s="61" t="str">
        <f>IFERROR(__xludf.DUMMYFUNCTION("INDIRECT(""'收支紀錄'!J""&amp;TO_TEXT(ROW()-$C$72))"),"")</f>
        <v/>
      </c>
      <c r="K1371" s="61" t="str">
        <f>IFERROR(__xludf.DUMMYFUNCTION("INDIRECT(""'收支紀錄'!K""&amp;TO_TEXT(ROW()-$C$72))"),"")</f>
        <v/>
      </c>
      <c r="L1371" s="61" t="str">
        <f>IFERROR(__xludf.DUMMYFUNCTION("INDIRECT(""'收支紀錄'!L""&amp;TO_TEXT(ROW()-$C$72))"),"加油")</f>
        <v>加油</v>
      </c>
      <c r="M1371" s="61" t="str">
        <f>IFERROR(__xludf.DUMMYFUNCTION("INDIRECT(""'收支紀錄'!M""&amp;TO_TEXT(ROW()-$C$72))"),"")</f>
        <v/>
      </c>
      <c r="N1371" s="61" t="str">
        <f>IFERROR(__xludf.DUMMYFUNCTION("INDIRECT(""'收支紀錄'!N""&amp;TO_TEXT(ROW()-$C$72))"),"")</f>
        <v/>
      </c>
      <c r="O1371" s="61" t="str">
        <f>IFERROR(__xludf.DUMMYFUNCTION("INDIRECT(""'收支紀錄'!O""&amp;TO_TEXT(ROW()-$C$72))"),"")</f>
        <v/>
      </c>
      <c r="P1371" s="61" t="str">
        <f>IFERROR(__xludf.DUMMYFUNCTION("INDIRECT(""'收支紀錄'!P""&amp;TO_TEXT(ROW()-$C$72))"),"")</f>
        <v/>
      </c>
      <c r="Q1371" s="61" t="str">
        <f>IFERROR(__xludf.DUMMYFUNCTION("INDIRECT(""'收支紀錄'!Q""&amp;TO_TEXT(ROW()-$C$72))"),"")</f>
        <v/>
      </c>
      <c r="R1371" s="61" t="str">
        <f>IFERROR(__xludf.DUMMYFUNCTION("INDIRECT(""'收支紀錄'!R""&amp;TO_TEXT(ROW()-$C$72))"),"")</f>
        <v/>
      </c>
      <c r="S1371" s="61" t="str">
        <f>IFERROR(__xludf.DUMMYFUNCTION("INDIRECT(""'收支紀錄'!S""&amp;TO_TEXT(ROW()-$C$72))"),"")</f>
        <v/>
      </c>
      <c r="T1371" s="61" t="str">
        <f>IFERROR(__xludf.DUMMYFUNCTION("INDIRECT(""'收支紀錄'!T""&amp;TO_TEXT(ROW()-$C$72))"),"")</f>
        <v/>
      </c>
      <c r="U1371" s="62" t="str">
        <f>IFERROR(__xludf.DUMMYFUNCTION("IF(T1371=""是"",TEXTJOIN("""", TRUE, ""$"", TO_TEXT(C1371), S1371),"""")"),"")</f>
        <v/>
      </c>
    </row>
    <row r="1372">
      <c r="A1372" s="58">
        <f>IFERROR(__xludf.DUMMYFUNCTION("INDIRECT(""'收支紀錄'!A""&amp;TO_TEXT(ROW()-$C$72))"),46025.782589317125)</f>
        <v>46025.78259</v>
      </c>
      <c r="B1372" s="59">
        <f>IFERROR(__xludf.DUMMYFUNCTION("IF(ISBLANK(D1372), """", IF(ISDATE(D1372), D1372, IF(D1372=""今天"", A1372, IF(D1372=""昨天 (-1 day)"", A1372-1, IF(D1372=""前天 (-2 days)"", A1372-2, IF(D1372=""明天 (+1 day)"", A1372+1, DATE(LEFT(D1372,4), MID(D1372,5,2), RIGHT(D1372,2))))))))"),46024.782589317125)</f>
        <v>46024.78259</v>
      </c>
      <c r="C1372" s="60">
        <f>IFERROR(__xludf.DUMMYFUNCTION("INDIRECT(""'收支紀錄'!C""&amp;TO_TEXT(ROW()-$C$72))"),174.0)</f>
        <v>174</v>
      </c>
      <c r="D1372" s="63" t="str">
        <f>IFERROR(__xludf.DUMMYFUNCTION("INDIRECT(""'收支紀錄'!D""&amp;TO_TEXT(ROW()-$C$72))"),"昨天 (-1 day)")</f>
        <v>昨天 (-1 day)</v>
      </c>
      <c r="E1372" s="61" t="str">
        <f>IFERROR(__xludf.DUMMYFUNCTION("INDIRECT(""'收支紀錄'!E""&amp;TO_TEXT(ROW()-$C$72))"),"")</f>
        <v/>
      </c>
      <c r="F1372" s="61" t="str">
        <f>IFERROR(__xludf.DUMMYFUNCTION("INDIRECT(""'收支紀錄'!F""&amp;TO_TEXT(ROW()-$C$72))"),"")</f>
        <v/>
      </c>
      <c r="G1372" s="61" t="str">
        <f>IFERROR(__xludf.DUMMYFUNCTION("INDIRECT(""'收支紀錄'!G""&amp;TO_TEXT(ROW()-$C$72))"),"")</f>
        <v/>
      </c>
      <c r="H1372" s="61" t="str">
        <f>IFERROR(__xludf.DUMMYFUNCTION("INDIRECT(""'收支紀錄'!H""&amp;TO_TEXT(ROW()-$C$72))"),"休閒娛樂")</f>
        <v>休閒娛樂</v>
      </c>
      <c r="I1372" s="61" t="str">
        <f>IFERROR(__xludf.DUMMYFUNCTION("INDIRECT(""'收支紀錄'!I""&amp;TO_TEXT(ROW()-$C$72))"),"")</f>
        <v/>
      </c>
      <c r="J1372" s="61" t="str">
        <f>IFERROR(__xludf.DUMMYFUNCTION("INDIRECT(""'收支紀錄'!J""&amp;TO_TEXT(ROW()-$C$72))"),"")</f>
        <v/>
      </c>
      <c r="K1372" s="61" t="str">
        <f>IFERROR(__xludf.DUMMYFUNCTION("INDIRECT(""'收支紀錄'!K""&amp;TO_TEXT(ROW()-$C$72))"),"")</f>
        <v/>
      </c>
      <c r="L1372" s="61" t="str">
        <f>IFERROR(__xludf.DUMMYFUNCTION("INDIRECT(""'收支紀錄'!L""&amp;TO_TEXT(ROW()-$C$72))"),"")</f>
        <v/>
      </c>
      <c r="M1372" s="61" t="str">
        <f>IFERROR(__xludf.DUMMYFUNCTION("INDIRECT(""'收支紀錄'!M""&amp;TO_TEXT(ROW()-$C$72))"),"運動健身")</f>
        <v>運動健身</v>
      </c>
      <c r="N1372" s="61" t="str">
        <f>IFERROR(__xludf.DUMMYFUNCTION("INDIRECT(""'收支紀錄'!N""&amp;TO_TEXT(ROW()-$C$72))"),"")</f>
        <v/>
      </c>
      <c r="O1372" s="61" t="str">
        <f>IFERROR(__xludf.DUMMYFUNCTION("INDIRECT(""'收支紀錄'!O""&amp;TO_TEXT(ROW()-$C$72))"),"")</f>
        <v/>
      </c>
      <c r="P1372" s="61" t="str">
        <f>IFERROR(__xludf.DUMMYFUNCTION("INDIRECT(""'收支紀錄'!P""&amp;TO_TEXT(ROW()-$C$72))"),"")</f>
        <v/>
      </c>
      <c r="Q1372" s="61" t="str">
        <f>IFERROR(__xludf.DUMMYFUNCTION("INDIRECT(""'收支紀錄'!Q""&amp;TO_TEXT(ROW()-$C$72))"),"")</f>
        <v/>
      </c>
      <c r="R1372" s="61" t="str">
        <f>IFERROR(__xludf.DUMMYFUNCTION("INDIRECT(""'收支紀錄'!R""&amp;TO_TEXT(ROW()-$C$72))"),"")</f>
        <v/>
      </c>
      <c r="S1372" s="61" t="str">
        <f>IFERROR(__xludf.DUMMYFUNCTION("INDIRECT(""'收支紀錄'!S""&amp;TO_TEXT(ROW()-$C$72))"),"")</f>
        <v/>
      </c>
      <c r="T1372" s="61" t="str">
        <f>IFERROR(__xludf.DUMMYFUNCTION("INDIRECT(""'收支紀錄'!T""&amp;TO_TEXT(ROW()-$C$72))"),"")</f>
        <v/>
      </c>
      <c r="U1372" s="62" t="str">
        <f>IFERROR(__xludf.DUMMYFUNCTION("IF(T1372=""是"",TEXTJOIN("""", TRUE, ""$"", TO_TEXT(C1372), S1372),"""")"),"")</f>
        <v/>
      </c>
    </row>
    <row r="1373">
      <c r="A1373" s="58">
        <f>IFERROR(__xludf.DUMMYFUNCTION("INDIRECT(""'收支紀錄'!A""&amp;TO_TEXT(ROW()-$C$72))"),46025.782872407406)</f>
        <v>46025.78287</v>
      </c>
      <c r="B1373" s="59">
        <f>IFERROR(__xludf.DUMMYFUNCTION("IF(ISBLANK(D1373), """", IF(ISDATE(D1373), D1373, IF(D1373=""今天"", A1373, IF(D1373=""昨天 (-1 day)"", A1373-1, IF(D1373=""前天 (-2 days)"", A1373-2, IF(D1373=""明天 (+1 day)"", A1373+1, DATE(LEFT(D1373,4), MID(D1373,5,2), RIGHT(D1373,2))))))))"),46024.782872407406)</f>
        <v>46024.78287</v>
      </c>
      <c r="C1373" s="60">
        <f>IFERROR(__xludf.DUMMYFUNCTION("INDIRECT(""'收支紀錄'!C""&amp;TO_TEXT(ROW()-$C$72))"),468.0)</f>
        <v>468</v>
      </c>
      <c r="D1373" s="63" t="str">
        <f>IFERROR(__xludf.DUMMYFUNCTION("INDIRECT(""'收支紀錄'!D""&amp;TO_TEXT(ROW()-$C$72))"),"昨天 (-1 day)")</f>
        <v>昨天 (-1 day)</v>
      </c>
      <c r="E1373" s="61" t="str">
        <f>IFERROR(__xludf.DUMMYFUNCTION("INDIRECT(""'收支紀錄'!E""&amp;TO_TEXT(ROW()-$C$72))"),"")</f>
        <v/>
      </c>
      <c r="F1373" s="61" t="str">
        <f>IFERROR(__xludf.DUMMYFUNCTION("INDIRECT(""'收支紀錄'!F""&amp;TO_TEXT(ROW()-$C$72))"),"")</f>
        <v/>
      </c>
      <c r="G1373" s="61" t="str">
        <f>IFERROR(__xludf.DUMMYFUNCTION("INDIRECT(""'收支紀錄'!G""&amp;TO_TEXT(ROW()-$C$72))"),"")</f>
        <v/>
      </c>
      <c r="H1373" s="61" t="str">
        <f>IFERROR(__xludf.DUMMYFUNCTION("INDIRECT(""'收支紀錄'!H""&amp;TO_TEXT(ROW()-$C$72))"),"食品酒水")</f>
        <v>食品酒水</v>
      </c>
      <c r="I1373" s="61" t="str">
        <f>IFERROR(__xludf.DUMMYFUNCTION("INDIRECT(""'收支紀錄'!I""&amp;TO_TEXT(ROW()-$C$72))"),"晚餐")</f>
        <v>晚餐</v>
      </c>
      <c r="J1373" s="61" t="str">
        <f>IFERROR(__xludf.DUMMYFUNCTION("INDIRECT(""'收支紀錄'!J""&amp;TO_TEXT(ROW()-$C$72))"),"")</f>
        <v/>
      </c>
      <c r="K1373" s="61" t="str">
        <f>IFERROR(__xludf.DUMMYFUNCTION("INDIRECT(""'收支紀錄'!K""&amp;TO_TEXT(ROW()-$C$72))"),"")</f>
        <v/>
      </c>
      <c r="L1373" s="61" t="str">
        <f>IFERROR(__xludf.DUMMYFUNCTION("INDIRECT(""'收支紀錄'!L""&amp;TO_TEXT(ROW()-$C$72))"),"")</f>
        <v/>
      </c>
      <c r="M1373" s="61" t="str">
        <f>IFERROR(__xludf.DUMMYFUNCTION("INDIRECT(""'收支紀錄'!M""&amp;TO_TEXT(ROW()-$C$72))"),"")</f>
        <v/>
      </c>
      <c r="N1373" s="61" t="str">
        <f>IFERROR(__xludf.DUMMYFUNCTION("INDIRECT(""'收支紀錄'!N""&amp;TO_TEXT(ROW()-$C$72))"),"")</f>
        <v/>
      </c>
      <c r="O1373" s="61" t="str">
        <f>IFERROR(__xludf.DUMMYFUNCTION("INDIRECT(""'收支紀錄'!O""&amp;TO_TEXT(ROW()-$C$72))"),"")</f>
        <v/>
      </c>
      <c r="P1373" s="61" t="str">
        <f>IFERROR(__xludf.DUMMYFUNCTION("INDIRECT(""'收支紀錄'!P""&amp;TO_TEXT(ROW()-$C$72))"),"")</f>
        <v/>
      </c>
      <c r="Q1373" s="61" t="str">
        <f>IFERROR(__xludf.DUMMYFUNCTION("INDIRECT(""'收支紀錄'!Q""&amp;TO_TEXT(ROW()-$C$72))"),"")</f>
        <v/>
      </c>
      <c r="R1373" s="61" t="str">
        <f>IFERROR(__xludf.DUMMYFUNCTION("INDIRECT(""'收支紀錄'!R""&amp;TO_TEXT(ROW()-$C$72))"),"")</f>
        <v/>
      </c>
      <c r="S1373" s="61" t="str">
        <f>IFERROR(__xludf.DUMMYFUNCTION("INDIRECT(""'收支紀錄'!S""&amp;TO_TEXT(ROW()-$C$72))"),"")</f>
        <v/>
      </c>
      <c r="T1373" s="61" t="str">
        <f>IFERROR(__xludf.DUMMYFUNCTION("INDIRECT(""'收支紀錄'!T""&amp;TO_TEXT(ROW()-$C$72))"),"")</f>
        <v/>
      </c>
      <c r="U1373" s="62" t="str">
        <f>IFERROR(__xludf.DUMMYFUNCTION("IF(T1373=""是"",TEXTJOIN("""", TRUE, ""$"", TO_TEXT(C1373), S1373),"""")"),"")</f>
        <v/>
      </c>
    </row>
    <row r="1374">
      <c r="A1374" s="58">
        <f>IFERROR(__xludf.DUMMYFUNCTION("INDIRECT(""'收支紀錄'!A""&amp;TO_TEXT(ROW()-$C$72))"),46025.78346532407)</f>
        <v>46025.78347</v>
      </c>
      <c r="B1374" s="59">
        <f>IFERROR(__xludf.DUMMYFUNCTION("IF(ISBLANK(D1374), """", IF(ISDATE(D1374), D1374, IF(D1374=""今天"", A1374, IF(D1374=""昨天 (-1 day)"", A1374-1, IF(D1374=""前天 (-2 days)"", A1374-2, IF(D1374=""明天 (+1 day)"", A1374+1, DATE(LEFT(D1374,4), MID(D1374,5,2), RIGHT(D1374,2))))))))"),46025.78346532407)</f>
        <v>46025.78347</v>
      </c>
      <c r="C1374" s="60">
        <f>IFERROR(__xludf.DUMMYFUNCTION("INDIRECT(""'收支紀錄'!C""&amp;TO_TEXT(ROW()-$C$72))"),7802.0)</f>
        <v>7802</v>
      </c>
      <c r="D1374" s="63" t="str">
        <f>IFERROR(__xludf.DUMMYFUNCTION("INDIRECT(""'收支紀錄'!D""&amp;TO_TEXT(ROW()-$C$72))"),"今天")</f>
        <v>今天</v>
      </c>
      <c r="E1374" s="61" t="str">
        <f>IFERROR(__xludf.DUMMYFUNCTION("INDIRECT(""'收支紀錄'!E""&amp;TO_TEXT(ROW()-$C$72))"),"")</f>
        <v/>
      </c>
      <c r="F1374" s="61" t="str">
        <f>IFERROR(__xludf.DUMMYFUNCTION("INDIRECT(""'收支紀錄'!F""&amp;TO_TEXT(ROW()-$C$72))"),"")</f>
        <v/>
      </c>
      <c r="G1374" s="61" t="str">
        <f>IFERROR(__xludf.DUMMYFUNCTION("INDIRECT(""'收支紀錄'!G""&amp;TO_TEXT(ROW()-$C$72))"),"")</f>
        <v/>
      </c>
      <c r="H1374" s="61" t="str">
        <f>IFERROR(__xludf.DUMMYFUNCTION("INDIRECT(""'收支紀錄'!H""&amp;TO_TEXT(ROW()-$C$72))"),"房屋支出")</f>
        <v>房屋支出</v>
      </c>
      <c r="I1374" s="61" t="str">
        <f>IFERROR(__xludf.DUMMYFUNCTION("INDIRECT(""'收支紀錄'!I""&amp;TO_TEXT(ROW()-$C$72))"),"")</f>
        <v/>
      </c>
      <c r="J1374" s="61" t="str">
        <f>IFERROR(__xludf.DUMMYFUNCTION("INDIRECT(""'收支紀錄'!J""&amp;TO_TEXT(ROW()-$C$72))"),"")</f>
        <v/>
      </c>
      <c r="K1374" s="61" t="str">
        <f>IFERROR(__xludf.DUMMYFUNCTION("INDIRECT(""'收支紀錄'!K""&amp;TO_TEXT(ROW()-$C$72))"),"管理費")</f>
        <v>管理費</v>
      </c>
      <c r="L1374" s="61" t="str">
        <f>IFERROR(__xludf.DUMMYFUNCTION("INDIRECT(""'收支紀錄'!L""&amp;TO_TEXT(ROW()-$C$72))"),"")</f>
        <v/>
      </c>
      <c r="M1374" s="61" t="str">
        <f>IFERROR(__xludf.DUMMYFUNCTION("INDIRECT(""'收支紀錄'!M""&amp;TO_TEXT(ROW()-$C$72))"),"")</f>
        <v/>
      </c>
      <c r="N1374" s="61" t="str">
        <f>IFERROR(__xludf.DUMMYFUNCTION("INDIRECT(""'收支紀錄'!N""&amp;TO_TEXT(ROW()-$C$72))"),"")</f>
        <v/>
      </c>
      <c r="O1374" s="61" t="str">
        <f>IFERROR(__xludf.DUMMYFUNCTION("INDIRECT(""'收支紀錄'!O""&amp;TO_TEXT(ROW()-$C$72))"),"")</f>
        <v/>
      </c>
      <c r="P1374" s="61" t="str">
        <f>IFERROR(__xludf.DUMMYFUNCTION("INDIRECT(""'收支紀錄'!P""&amp;TO_TEXT(ROW()-$C$72))"),"")</f>
        <v/>
      </c>
      <c r="Q1374" s="61" t="str">
        <f>IFERROR(__xludf.DUMMYFUNCTION("INDIRECT(""'收支紀錄'!Q""&amp;TO_TEXT(ROW()-$C$72))"),"")</f>
        <v/>
      </c>
      <c r="R1374" s="61" t="str">
        <f>IFERROR(__xludf.DUMMYFUNCTION("INDIRECT(""'收支紀錄'!R""&amp;TO_TEXT(ROW()-$C$72))"),"")</f>
        <v/>
      </c>
      <c r="S1374" s="61" t="str">
        <f>IFERROR(__xludf.DUMMYFUNCTION("INDIRECT(""'收支紀錄'!S""&amp;TO_TEXT(ROW()-$C$72))"),"")</f>
        <v/>
      </c>
      <c r="T1374" s="61" t="str">
        <f>IFERROR(__xludf.DUMMYFUNCTION("INDIRECT(""'收支紀錄'!T""&amp;TO_TEXT(ROW()-$C$72))"),"")</f>
        <v/>
      </c>
      <c r="U1374" s="62" t="str">
        <f>IFERROR(__xludf.DUMMYFUNCTION("IF(T1374=""是"",TEXTJOIN("""", TRUE, ""$"", TO_TEXT(C1374), S1374),"""")"),"")</f>
        <v/>
      </c>
    </row>
    <row r="1375">
      <c r="A1375" s="58">
        <f>IFERROR(__xludf.DUMMYFUNCTION("INDIRECT(""'收支紀錄'!A""&amp;TO_TEXT(ROW()-$C$72))"),46025.9954235301)</f>
        <v>46025.99542</v>
      </c>
      <c r="B1375" s="59">
        <f>IFERROR(__xludf.DUMMYFUNCTION("IF(ISBLANK(D1375), """", IF(ISDATE(D1375), D1375, IF(D1375=""今天"", A1375, IF(D1375=""昨天 (-1 day)"", A1375-1, IF(D1375=""前天 (-2 days)"", A1375-2, IF(D1375=""明天 (+1 day)"", A1375+1, DATE(LEFT(D1375,4), MID(D1375,5,2), RIGHT(D1375,2))))))))"),46025.9954235301)</f>
        <v>46025.99542</v>
      </c>
      <c r="C1375" s="60">
        <f>IFERROR(__xludf.DUMMYFUNCTION("INDIRECT(""'收支紀錄'!C""&amp;TO_TEXT(ROW()-$C$72))"),248.0)</f>
        <v>248</v>
      </c>
      <c r="D1375" s="63" t="str">
        <f>IFERROR(__xludf.DUMMYFUNCTION("INDIRECT(""'收支紀錄'!D""&amp;TO_TEXT(ROW()-$C$72))"),"今天")</f>
        <v>今天</v>
      </c>
      <c r="E1375" s="61" t="str">
        <f>IFERROR(__xludf.DUMMYFUNCTION("INDIRECT(""'收支紀錄'!E""&amp;TO_TEXT(ROW()-$C$72))"),"")</f>
        <v/>
      </c>
      <c r="F1375" s="61" t="str">
        <f>IFERROR(__xludf.DUMMYFUNCTION("INDIRECT(""'收支紀錄'!F""&amp;TO_TEXT(ROW()-$C$72))"),"")</f>
        <v/>
      </c>
      <c r="G1375" s="61" t="str">
        <f>IFERROR(__xludf.DUMMYFUNCTION("INDIRECT(""'收支紀錄'!G""&amp;TO_TEXT(ROW()-$C$72))"),"")</f>
        <v/>
      </c>
      <c r="H1375" s="61" t="str">
        <f>IFERROR(__xludf.DUMMYFUNCTION("INDIRECT(""'收支紀錄'!H""&amp;TO_TEXT(ROW()-$C$72))"),"食品酒水")</f>
        <v>食品酒水</v>
      </c>
      <c r="I1375" s="61" t="str">
        <f>IFERROR(__xludf.DUMMYFUNCTION("INDIRECT(""'收支紀錄'!I""&amp;TO_TEXT(ROW()-$C$72))"),"晚餐")</f>
        <v>晚餐</v>
      </c>
      <c r="J1375" s="61" t="str">
        <f>IFERROR(__xludf.DUMMYFUNCTION("INDIRECT(""'收支紀錄'!J""&amp;TO_TEXT(ROW()-$C$72))"),"")</f>
        <v/>
      </c>
      <c r="K1375" s="61" t="str">
        <f>IFERROR(__xludf.DUMMYFUNCTION("INDIRECT(""'收支紀錄'!K""&amp;TO_TEXT(ROW()-$C$72))"),"")</f>
        <v/>
      </c>
      <c r="L1375" s="61" t="str">
        <f>IFERROR(__xludf.DUMMYFUNCTION("INDIRECT(""'收支紀錄'!L""&amp;TO_TEXT(ROW()-$C$72))"),"")</f>
        <v/>
      </c>
      <c r="M1375" s="61" t="str">
        <f>IFERROR(__xludf.DUMMYFUNCTION("INDIRECT(""'收支紀錄'!M""&amp;TO_TEXT(ROW()-$C$72))"),"")</f>
        <v/>
      </c>
      <c r="N1375" s="61" t="str">
        <f>IFERROR(__xludf.DUMMYFUNCTION("INDIRECT(""'收支紀錄'!N""&amp;TO_TEXT(ROW()-$C$72))"),"")</f>
        <v/>
      </c>
      <c r="O1375" s="61" t="str">
        <f>IFERROR(__xludf.DUMMYFUNCTION("INDIRECT(""'收支紀錄'!O""&amp;TO_TEXT(ROW()-$C$72))"),"")</f>
        <v/>
      </c>
      <c r="P1375" s="61" t="str">
        <f>IFERROR(__xludf.DUMMYFUNCTION("INDIRECT(""'收支紀錄'!P""&amp;TO_TEXT(ROW()-$C$72))"),"")</f>
        <v/>
      </c>
      <c r="Q1375" s="61" t="str">
        <f>IFERROR(__xludf.DUMMYFUNCTION("INDIRECT(""'收支紀錄'!Q""&amp;TO_TEXT(ROW()-$C$72))"),"")</f>
        <v/>
      </c>
      <c r="R1375" s="61" t="str">
        <f>IFERROR(__xludf.DUMMYFUNCTION("INDIRECT(""'收支紀錄'!R""&amp;TO_TEXT(ROW()-$C$72))"),"")</f>
        <v/>
      </c>
      <c r="S1375" s="61" t="str">
        <f>IFERROR(__xludf.DUMMYFUNCTION("INDIRECT(""'收支紀錄'!S""&amp;TO_TEXT(ROW()-$C$72))"),"")</f>
        <v/>
      </c>
      <c r="T1375" s="61" t="str">
        <f>IFERROR(__xludf.DUMMYFUNCTION("INDIRECT(""'收支紀錄'!T""&amp;TO_TEXT(ROW()-$C$72))"),"")</f>
        <v/>
      </c>
      <c r="U1375" s="62" t="str">
        <f>IFERROR(__xludf.DUMMYFUNCTION("IF(T1375=""是"",TEXTJOIN("""", TRUE, ""$"", TO_TEXT(C1375), S1375),"""")"),"")</f>
        <v/>
      </c>
    </row>
    <row r="1376">
      <c r="A1376" s="58">
        <f>IFERROR(__xludf.DUMMYFUNCTION("INDIRECT(""'收支紀錄'!A""&amp;TO_TEXT(ROW()-$C$72))"),46026.80504008102)</f>
        <v>46026.80504</v>
      </c>
      <c r="B1376" s="59">
        <f>IFERROR(__xludf.DUMMYFUNCTION("IF(ISBLANK(D1376), """", IF(ISDATE(D1376), D1376, IF(D1376=""今天"", A1376, IF(D1376=""昨天 (-1 day)"", A1376-1, IF(D1376=""前天 (-2 days)"", A1376-2, IF(D1376=""明天 (+1 day)"", A1376+1, DATE(LEFT(D1376,4), MID(D1376,5,2), RIGHT(D1376,2))))))))"),46026.80504008102)</f>
        <v>46026.80504</v>
      </c>
      <c r="C1376" s="60">
        <f>IFERROR(__xludf.DUMMYFUNCTION("INDIRECT(""'收支紀錄'!C""&amp;TO_TEXT(ROW()-$C$72))"),26583.0)</f>
        <v>26583</v>
      </c>
      <c r="D1376" s="63" t="str">
        <f>IFERROR(__xludf.DUMMYFUNCTION("INDIRECT(""'收支紀錄'!D""&amp;TO_TEXT(ROW()-$C$72))"),"今天")</f>
        <v>今天</v>
      </c>
      <c r="E1376" s="61" t="str">
        <f>IFERROR(__xludf.DUMMYFUNCTION("INDIRECT(""'收支紀錄'!E""&amp;TO_TEXT(ROW()-$C$72))"),"")</f>
        <v/>
      </c>
      <c r="F1376" s="61" t="str">
        <f>IFERROR(__xludf.DUMMYFUNCTION("INDIRECT(""'收支紀錄'!F""&amp;TO_TEXT(ROW()-$C$72))"),"")</f>
        <v/>
      </c>
      <c r="G1376" s="61" t="str">
        <f>IFERROR(__xludf.DUMMYFUNCTION("INDIRECT(""'收支紀錄'!G""&amp;TO_TEXT(ROW()-$C$72))"),"")</f>
        <v/>
      </c>
      <c r="H1376" s="61" t="str">
        <f>IFERROR(__xludf.DUMMYFUNCTION("INDIRECT(""'收支紀錄'!H""&amp;TO_TEXT(ROW()-$C$72))"),"行車交通")</f>
        <v>行車交通</v>
      </c>
      <c r="I1376" s="61" t="str">
        <f>IFERROR(__xludf.DUMMYFUNCTION("INDIRECT(""'收支紀錄'!I""&amp;TO_TEXT(ROW()-$C$72))"),"")</f>
        <v/>
      </c>
      <c r="J1376" s="61" t="str">
        <f>IFERROR(__xludf.DUMMYFUNCTION("INDIRECT(""'收支紀錄'!J""&amp;TO_TEXT(ROW()-$C$72))"),"")</f>
        <v/>
      </c>
      <c r="K1376" s="61" t="str">
        <f>IFERROR(__xludf.DUMMYFUNCTION("INDIRECT(""'收支紀錄'!K""&amp;TO_TEXT(ROW()-$C$72))"),"")</f>
        <v/>
      </c>
      <c r="L1376" s="61" t="str">
        <f>IFERROR(__xludf.DUMMYFUNCTION("INDIRECT(""'收支紀錄'!L""&amp;TO_TEXT(ROW()-$C$72))"),"車-保險稅金")</f>
        <v>車-保險稅金</v>
      </c>
      <c r="M1376" s="61" t="str">
        <f>IFERROR(__xludf.DUMMYFUNCTION("INDIRECT(""'收支紀錄'!M""&amp;TO_TEXT(ROW()-$C$72))"),"")</f>
        <v/>
      </c>
      <c r="N1376" s="61" t="str">
        <f>IFERROR(__xludf.DUMMYFUNCTION("INDIRECT(""'收支紀錄'!N""&amp;TO_TEXT(ROW()-$C$72))"),"")</f>
        <v/>
      </c>
      <c r="O1376" s="61" t="str">
        <f>IFERROR(__xludf.DUMMYFUNCTION("INDIRECT(""'收支紀錄'!O""&amp;TO_TEXT(ROW()-$C$72))"),"")</f>
        <v/>
      </c>
      <c r="P1376" s="61" t="str">
        <f>IFERROR(__xludf.DUMMYFUNCTION("INDIRECT(""'收支紀錄'!P""&amp;TO_TEXT(ROW()-$C$72))"),"")</f>
        <v/>
      </c>
      <c r="Q1376" s="61" t="str">
        <f>IFERROR(__xludf.DUMMYFUNCTION("INDIRECT(""'收支紀錄'!Q""&amp;TO_TEXT(ROW()-$C$72))"),"")</f>
        <v/>
      </c>
      <c r="R1376" s="61" t="str">
        <f>IFERROR(__xludf.DUMMYFUNCTION("INDIRECT(""'收支紀錄'!R""&amp;TO_TEXT(ROW()-$C$72))"),"")</f>
        <v/>
      </c>
      <c r="S1376" s="61" t="str">
        <f>IFERROR(__xludf.DUMMYFUNCTION("INDIRECT(""'收支紀錄'!S""&amp;TO_TEXT(ROW()-$C$72))"),"汽車乙式保險")</f>
        <v>汽車乙式保險</v>
      </c>
      <c r="T1376" s="61" t="str">
        <f>IFERROR(__xludf.DUMMYFUNCTION("INDIRECT(""'收支紀錄'!T""&amp;TO_TEXT(ROW()-$C$72))"),"是")</f>
        <v>是</v>
      </c>
      <c r="U1376" s="62" t="str">
        <f>IFERROR(__xludf.DUMMYFUNCTION("IF(T1376=""是"",TEXTJOIN("""", TRUE, ""$"", TO_TEXT(C1376), S1376),"""")"),"$26583汽車乙式保險")</f>
        <v>$26583汽車乙式保險</v>
      </c>
    </row>
    <row r="1377">
      <c r="A1377" s="58">
        <f>IFERROR(__xludf.DUMMYFUNCTION("INDIRECT(""'收支紀錄'!A""&amp;TO_TEXT(ROW()-$C$72))"),46030.803489224534)</f>
        <v>46030.80349</v>
      </c>
      <c r="B1377" s="59">
        <f>IFERROR(__xludf.DUMMYFUNCTION("IF(ISBLANK(D1377), """", IF(ISDATE(D1377), D1377, IF(D1377=""今天"", A1377, IF(D1377=""昨天 (-1 day)"", A1377-1, IF(D1377=""前天 (-2 days)"", A1377-2, IF(D1377=""明天 (+1 day)"", A1377+1, DATE(LEFT(D1377,4), MID(D1377,5,2), RIGHT(D1377,2))))))))"),46029.803489224534)</f>
        <v>46029.80349</v>
      </c>
      <c r="C1377" s="60">
        <f>IFERROR(__xludf.DUMMYFUNCTION("INDIRECT(""'收支紀錄'!C""&amp;TO_TEXT(ROW()-$C$72))"),104.0)</f>
        <v>104</v>
      </c>
      <c r="D1377" s="63" t="str">
        <f>IFERROR(__xludf.DUMMYFUNCTION("INDIRECT(""'收支紀錄'!D""&amp;TO_TEXT(ROW()-$C$72))"),"昨天 (-1 day)")</f>
        <v>昨天 (-1 day)</v>
      </c>
      <c r="E1377" s="61" t="str">
        <f>IFERROR(__xludf.DUMMYFUNCTION("INDIRECT(""'收支紀錄'!E""&amp;TO_TEXT(ROW()-$C$72))"),"")</f>
        <v/>
      </c>
      <c r="F1377" s="61" t="str">
        <f>IFERROR(__xludf.DUMMYFUNCTION("INDIRECT(""'收支紀錄'!F""&amp;TO_TEXT(ROW()-$C$72))"),"")</f>
        <v/>
      </c>
      <c r="G1377" s="61" t="str">
        <f>IFERROR(__xludf.DUMMYFUNCTION("INDIRECT(""'收支紀錄'!G""&amp;TO_TEXT(ROW()-$C$72))"),"")</f>
        <v/>
      </c>
      <c r="H1377" s="61" t="str">
        <f>IFERROR(__xludf.DUMMYFUNCTION("INDIRECT(""'收支紀錄'!H""&amp;TO_TEXT(ROW()-$C$72))"),"行車交通")</f>
        <v>行車交通</v>
      </c>
      <c r="I1377" s="61" t="str">
        <f>IFERROR(__xludf.DUMMYFUNCTION("INDIRECT(""'收支紀錄'!I""&amp;TO_TEXT(ROW()-$C$72))"),"")</f>
        <v/>
      </c>
      <c r="J1377" s="61" t="str">
        <f>IFERROR(__xludf.DUMMYFUNCTION("INDIRECT(""'收支紀錄'!J""&amp;TO_TEXT(ROW()-$C$72))"),"")</f>
        <v/>
      </c>
      <c r="K1377" s="61" t="str">
        <f>IFERROR(__xludf.DUMMYFUNCTION("INDIRECT(""'收支紀錄'!K""&amp;TO_TEXT(ROW()-$C$72))"),"")</f>
        <v/>
      </c>
      <c r="L1377" s="61" t="str">
        <f>IFERROR(__xludf.DUMMYFUNCTION("INDIRECT(""'收支紀錄'!L""&amp;TO_TEXT(ROW()-$C$72))"),"加油")</f>
        <v>加油</v>
      </c>
      <c r="M1377" s="61" t="str">
        <f>IFERROR(__xludf.DUMMYFUNCTION("INDIRECT(""'收支紀錄'!M""&amp;TO_TEXT(ROW()-$C$72))"),"")</f>
        <v/>
      </c>
      <c r="N1377" s="61" t="str">
        <f>IFERROR(__xludf.DUMMYFUNCTION("INDIRECT(""'收支紀錄'!N""&amp;TO_TEXT(ROW()-$C$72))"),"")</f>
        <v/>
      </c>
      <c r="O1377" s="61" t="str">
        <f>IFERROR(__xludf.DUMMYFUNCTION("INDIRECT(""'收支紀錄'!O""&amp;TO_TEXT(ROW()-$C$72))"),"")</f>
        <v/>
      </c>
      <c r="P1377" s="61" t="str">
        <f>IFERROR(__xludf.DUMMYFUNCTION("INDIRECT(""'收支紀錄'!P""&amp;TO_TEXT(ROW()-$C$72))"),"")</f>
        <v/>
      </c>
      <c r="Q1377" s="61" t="str">
        <f>IFERROR(__xludf.DUMMYFUNCTION("INDIRECT(""'收支紀錄'!Q""&amp;TO_TEXT(ROW()-$C$72))"),"")</f>
        <v/>
      </c>
      <c r="R1377" s="61" t="str">
        <f>IFERROR(__xludf.DUMMYFUNCTION("INDIRECT(""'收支紀錄'!R""&amp;TO_TEXT(ROW()-$C$72))"),"")</f>
        <v/>
      </c>
      <c r="S1377" s="61" t="str">
        <f>IFERROR(__xludf.DUMMYFUNCTION("INDIRECT(""'收支紀錄'!S""&amp;TO_TEXT(ROW()-$C$72))"),"")</f>
        <v/>
      </c>
      <c r="T1377" s="61" t="str">
        <f>IFERROR(__xludf.DUMMYFUNCTION("INDIRECT(""'收支紀錄'!T""&amp;TO_TEXT(ROW()-$C$72))"),"")</f>
        <v/>
      </c>
      <c r="U1377" s="62" t="str">
        <f>IFERROR(__xludf.DUMMYFUNCTION("IF(T1377=""是"",TEXTJOIN("""", TRUE, ""$"", TO_TEXT(C1377), S1377),"""")"),"")</f>
        <v/>
      </c>
    </row>
    <row r="1378">
      <c r="A1378" s="58">
        <f>IFERROR(__xludf.DUMMYFUNCTION("INDIRECT(""'收支紀錄'!A""&amp;TO_TEXT(ROW()-$C$72))"),46030.80396318287)</f>
        <v>46030.80396</v>
      </c>
      <c r="B1378" s="59">
        <f>IFERROR(__xludf.DUMMYFUNCTION("IF(ISBLANK(D1378), """", IF(ISDATE(D1378), D1378, IF(D1378=""今天"", A1378, IF(D1378=""昨天 (-1 day)"", A1378-1, IF(D1378=""前天 (-2 days)"", A1378-2, IF(D1378=""明天 (+1 day)"", A1378+1, DATE(LEFT(D1378,4), MID(D1378,5,2), RIGHT(D1378,2))))))))"),46029.80396318287)</f>
        <v>46029.80396</v>
      </c>
      <c r="C1378" s="60">
        <f>IFERROR(__xludf.DUMMYFUNCTION("INDIRECT(""'收支紀錄'!C""&amp;TO_TEXT(ROW()-$C$72))"),350.0)</f>
        <v>350</v>
      </c>
      <c r="D1378" s="63" t="str">
        <f>IFERROR(__xludf.DUMMYFUNCTION("INDIRECT(""'收支紀錄'!D""&amp;TO_TEXT(ROW()-$C$72))"),"昨天 (-1 day)")</f>
        <v>昨天 (-1 day)</v>
      </c>
      <c r="E1378" s="61" t="str">
        <f>IFERROR(__xludf.DUMMYFUNCTION("INDIRECT(""'收支紀錄'!E""&amp;TO_TEXT(ROW()-$C$72))"),"")</f>
        <v/>
      </c>
      <c r="F1378" s="61" t="str">
        <f>IFERROR(__xludf.DUMMYFUNCTION("INDIRECT(""'收支紀錄'!F""&amp;TO_TEXT(ROW()-$C$72))"),"")</f>
        <v/>
      </c>
      <c r="G1378" s="61" t="str">
        <f>IFERROR(__xludf.DUMMYFUNCTION("INDIRECT(""'收支紀錄'!G""&amp;TO_TEXT(ROW()-$C$72))"),"")</f>
        <v/>
      </c>
      <c r="H1378" s="61" t="str">
        <f>IFERROR(__xludf.DUMMYFUNCTION("INDIRECT(""'收支紀錄'!H""&amp;TO_TEXT(ROW()-$C$72))"),"行車交通")</f>
        <v>行車交通</v>
      </c>
      <c r="I1378" s="61" t="str">
        <f>IFERROR(__xludf.DUMMYFUNCTION("INDIRECT(""'收支紀錄'!I""&amp;TO_TEXT(ROW()-$C$72))"),"")</f>
        <v/>
      </c>
      <c r="J1378" s="61" t="str">
        <f>IFERROR(__xludf.DUMMYFUNCTION("INDIRECT(""'收支紀錄'!J""&amp;TO_TEXT(ROW()-$C$72))"),"")</f>
        <v/>
      </c>
      <c r="K1378" s="61" t="str">
        <f>IFERROR(__xludf.DUMMYFUNCTION("INDIRECT(""'收支紀錄'!K""&amp;TO_TEXT(ROW()-$C$72))"),"")</f>
        <v/>
      </c>
      <c r="L1378" s="61" t="str">
        <f>IFERROR(__xludf.DUMMYFUNCTION("INDIRECT(""'收支紀錄'!L""&amp;TO_TEXT(ROW()-$C$72))"),"機油")</f>
        <v>機油</v>
      </c>
      <c r="M1378" s="61" t="str">
        <f>IFERROR(__xludf.DUMMYFUNCTION("INDIRECT(""'收支紀錄'!M""&amp;TO_TEXT(ROW()-$C$72))"),"")</f>
        <v/>
      </c>
      <c r="N1378" s="61" t="str">
        <f>IFERROR(__xludf.DUMMYFUNCTION("INDIRECT(""'收支紀錄'!N""&amp;TO_TEXT(ROW()-$C$72))"),"")</f>
        <v/>
      </c>
      <c r="O1378" s="61" t="str">
        <f>IFERROR(__xludf.DUMMYFUNCTION("INDIRECT(""'收支紀錄'!O""&amp;TO_TEXT(ROW()-$C$72))"),"")</f>
        <v/>
      </c>
      <c r="P1378" s="61" t="str">
        <f>IFERROR(__xludf.DUMMYFUNCTION("INDIRECT(""'收支紀錄'!P""&amp;TO_TEXT(ROW()-$C$72))"),"")</f>
        <v/>
      </c>
      <c r="Q1378" s="61" t="str">
        <f>IFERROR(__xludf.DUMMYFUNCTION("INDIRECT(""'收支紀錄'!Q""&amp;TO_TEXT(ROW()-$C$72))"),"")</f>
        <v/>
      </c>
      <c r="R1378" s="61" t="str">
        <f>IFERROR(__xludf.DUMMYFUNCTION("INDIRECT(""'收支紀錄'!R""&amp;TO_TEXT(ROW()-$C$72))"),"")</f>
        <v/>
      </c>
      <c r="S1378" s="61" t="str">
        <f>IFERROR(__xludf.DUMMYFUNCTION("INDIRECT(""'收支紀錄'!S""&amp;TO_TEXT(ROW()-$C$72))"),"")</f>
        <v/>
      </c>
      <c r="T1378" s="61" t="str">
        <f>IFERROR(__xludf.DUMMYFUNCTION("INDIRECT(""'收支紀錄'!T""&amp;TO_TEXT(ROW()-$C$72))"),"")</f>
        <v/>
      </c>
      <c r="U1378" s="62" t="str">
        <f>IFERROR(__xludf.DUMMYFUNCTION("IF(T1378=""是"",TEXTJOIN("""", TRUE, ""$"", TO_TEXT(C1378), S1378),"""")"),"")</f>
        <v/>
      </c>
    </row>
    <row r="1379">
      <c r="A1379" s="58">
        <f>IFERROR(__xludf.DUMMYFUNCTION("INDIRECT(""'收支紀錄'!A""&amp;TO_TEXT(ROW()-$C$72))"),46032.43559355324)</f>
        <v>46032.43559</v>
      </c>
      <c r="B1379" s="59">
        <f>IFERROR(__xludf.DUMMYFUNCTION("IF(ISBLANK(D1379), """", IF(ISDATE(D1379), D1379, IF(D1379=""今天"", A1379, IF(D1379=""昨天 (-1 day)"", A1379-1, IF(D1379=""前天 (-2 days)"", A1379-2, IF(D1379=""明天 (+1 day)"", A1379+1, DATE(LEFT(D1379,4), MID(D1379,5,2), RIGHT(D1379,2))))))))"),46032.43559355324)</f>
        <v>46032.43559</v>
      </c>
      <c r="C1379" s="60">
        <f>IFERROR(__xludf.DUMMYFUNCTION("INDIRECT(""'收支紀錄'!C""&amp;TO_TEXT(ROW()-$C$72))"),162.0)</f>
        <v>162</v>
      </c>
      <c r="D1379" s="63" t="str">
        <f>IFERROR(__xludf.DUMMYFUNCTION("INDIRECT(""'收支紀錄'!D""&amp;TO_TEXT(ROW()-$C$72))"),"今天")</f>
        <v>今天</v>
      </c>
      <c r="E1379" s="61" t="str">
        <f>IFERROR(__xludf.DUMMYFUNCTION("INDIRECT(""'收支紀錄'!E""&amp;TO_TEXT(ROW()-$C$72))"),"")</f>
        <v/>
      </c>
      <c r="F1379" s="61" t="str">
        <f>IFERROR(__xludf.DUMMYFUNCTION("INDIRECT(""'收支紀錄'!F""&amp;TO_TEXT(ROW()-$C$72))"),"")</f>
        <v/>
      </c>
      <c r="G1379" s="61" t="str">
        <f>IFERROR(__xludf.DUMMYFUNCTION("INDIRECT(""'收支紀錄'!G""&amp;TO_TEXT(ROW()-$C$72))"),"")</f>
        <v/>
      </c>
      <c r="H1379" s="61" t="str">
        <f>IFERROR(__xludf.DUMMYFUNCTION("INDIRECT(""'收支紀錄'!H""&amp;TO_TEXT(ROW()-$C$72))"),"食品酒水")</f>
        <v>食品酒水</v>
      </c>
      <c r="I1379" s="61" t="str">
        <f>IFERROR(__xludf.DUMMYFUNCTION("INDIRECT(""'收支紀錄'!I""&amp;TO_TEXT(ROW()-$C$72))"),"早餐")</f>
        <v>早餐</v>
      </c>
      <c r="J1379" s="61" t="str">
        <f>IFERROR(__xludf.DUMMYFUNCTION("INDIRECT(""'收支紀錄'!J""&amp;TO_TEXT(ROW()-$C$72))"),"")</f>
        <v/>
      </c>
      <c r="K1379" s="61" t="str">
        <f>IFERROR(__xludf.DUMMYFUNCTION("INDIRECT(""'收支紀錄'!K""&amp;TO_TEXT(ROW()-$C$72))"),"")</f>
        <v/>
      </c>
      <c r="L1379" s="61" t="str">
        <f>IFERROR(__xludf.DUMMYFUNCTION("INDIRECT(""'收支紀錄'!L""&amp;TO_TEXT(ROW()-$C$72))"),"")</f>
        <v/>
      </c>
      <c r="M1379" s="61" t="str">
        <f>IFERROR(__xludf.DUMMYFUNCTION("INDIRECT(""'收支紀錄'!M""&amp;TO_TEXT(ROW()-$C$72))"),"")</f>
        <v/>
      </c>
      <c r="N1379" s="61" t="str">
        <f>IFERROR(__xludf.DUMMYFUNCTION("INDIRECT(""'收支紀錄'!N""&amp;TO_TEXT(ROW()-$C$72))"),"")</f>
        <v/>
      </c>
      <c r="O1379" s="61" t="str">
        <f>IFERROR(__xludf.DUMMYFUNCTION("INDIRECT(""'收支紀錄'!O""&amp;TO_TEXT(ROW()-$C$72))"),"")</f>
        <v/>
      </c>
      <c r="P1379" s="61" t="str">
        <f>IFERROR(__xludf.DUMMYFUNCTION("INDIRECT(""'收支紀錄'!P""&amp;TO_TEXT(ROW()-$C$72))"),"")</f>
        <v/>
      </c>
      <c r="Q1379" s="61" t="str">
        <f>IFERROR(__xludf.DUMMYFUNCTION("INDIRECT(""'收支紀錄'!Q""&amp;TO_TEXT(ROW()-$C$72))"),"")</f>
        <v/>
      </c>
      <c r="R1379" s="61" t="str">
        <f>IFERROR(__xludf.DUMMYFUNCTION("INDIRECT(""'收支紀錄'!R""&amp;TO_TEXT(ROW()-$C$72))"),"")</f>
        <v/>
      </c>
      <c r="S1379" s="61" t="str">
        <f>IFERROR(__xludf.DUMMYFUNCTION("INDIRECT(""'收支紀錄'!S""&amp;TO_TEXT(ROW()-$C$72))"),"")</f>
        <v/>
      </c>
      <c r="T1379" s="61" t="str">
        <f>IFERROR(__xludf.DUMMYFUNCTION("INDIRECT(""'收支紀錄'!T""&amp;TO_TEXT(ROW()-$C$72))"),"")</f>
        <v/>
      </c>
      <c r="U1379" s="62" t="str">
        <f>IFERROR(__xludf.DUMMYFUNCTION("IF(T1379=""是"",TEXTJOIN("""", TRUE, ""$"", TO_TEXT(C1379), S1379),"""")"),"")</f>
        <v/>
      </c>
    </row>
    <row r="1380">
      <c r="A1380" s="58">
        <f>IFERROR(__xludf.DUMMYFUNCTION("INDIRECT(""'收支紀錄'!A""&amp;TO_TEXT(ROW()-$C$72))"),46032.435753645834)</f>
        <v>46032.43575</v>
      </c>
      <c r="B1380" s="59">
        <f>IFERROR(__xludf.DUMMYFUNCTION("IF(ISBLANK(D1380), """", IF(ISDATE(D1380), D1380, IF(D1380=""今天"", A1380, IF(D1380=""昨天 (-1 day)"", A1380-1, IF(D1380=""前天 (-2 days)"", A1380-2, IF(D1380=""明天 (+1 day)"", A1380+1, DATE(LEFT(D1380,4), MID(D1380,5,2), RIGHT(D1380,2))))))))"),46032.435753645834)</f>
        <v>46032.43575</v>
      </c>
      <c r="C1380" s="60">
        <f>IFERROR(__xludf.DUMMYFUNCTION("INDIRECT(""'收支紀錄'!C""&amp;TO_TEXT(ROW()-$C$72))"),80.0)</f>
        <v>80</v>
      </c>
      <c r="D1380" s="63" t="str">
        <f>IFERROR(__xludf.DUMMYFUNCTION("INDIRECT(""'收支紀錄'!D""&amp;TO_TEXT(ROW()-$C$72))"),"今天")</f>
        <v>今天</v>
      </c>
      <c r="E1380" s="61" t="str">
        <f>IFERROR(__xludf.DUMMYFUNCTION("INDIRECT(""'收支紀錄'!E""&amp;TO_TEXT(ROW()-$C$72))"),"")</f>
        <v/>
      </c>
      <c r="F1380" s="61" t="str">
        <f>IFERROR(__xludf.DUMMYFUNCTION("INDIRECT(""'收支紀錄'!F""&amp;TO_TEXT(ROW()-$C$72))"),"")</f>
        <v/>
      </c>
      <c r="G1380" s="61" t="str">
        <f>IFERROR(__xludf.DUMMYFUNCTION("INDIRECT(""'收支紀錄'!G""&amp;TO_TEXT(ROW()-$C$72))"),"")</f>
        <v/>
      </c>
      <c r="H1380" s="61" t="str">
        <f>IFERROR(__xludf.DUMMYFUNCTION("INDIRECT(""'收支紀錄'!H""&amp;TO_TEXT(ROW()-$C$72))"),"食品酒水")</f>
        <v>食品酒水</v>
      </c>
      <c r="I1380" s="61" t="str">
        <f>IFERROR(__xludf.DUMMYFUNCTION("INDIRECT(""'收支紀錄'!I""&amp;TO_TEXT(ROW()-$C$72))"),"早餐")</f>
        <v>早餐</v>
      </c>
      <c r="J1380" s="61" t="str">
        <f>IFERROR(__xludf.DUMMYFUNCTION("INDIRECT(""'收支紀錄'!J""&amp;TO_TEXT(ROW()-$C$72))"),"")</f>
        <v/>
      </c>
      <c r="K1380" s="61" t="str">
        <f>IFERROR(__xludf.DUMMYFUNCTION("INDIRECT(""'收支紀錄'!K""&amp;TO_TEXT(ROW()-$C$72))"),"")</f>
        <v/>
      </c>
      <c r="L1380" s="61" t="str">
        <f>IFERROR(__xludf.DUMMYFUNCTION("INDIRECT(""'收支紀錄'!L""&amp;TO_TEXT(ROW()-$C$72))"),"")</f>
        <v/>
      </c>
      <c r="M1380" s="61" t="str">
        <f>IFERROR(__xludf.DUMMYFUNCTION("INDIRECT(""'收支紀錄'!M""&amp;TO_TEXT(ROW()-$C$72))"),"")</f>
        <v/>
      </c>
      <c r="N1380" s="61" t="str">
        <f>IFERROR(__xludf.DUMMYFUNCTION("INDIRECT(""'收支紀錄'!N""&amp;TO_TEXT(ROW()-$C$72))"),"")</f>
        <v/>
      </c>
      <c r="O1380" s="61" t="str">
        <f>IFERROR(__xludf.DUMMYFUNCTION("INDIRECT(""'收支紀錄'!O""&amp;TO_TEXT(ROW()-$C$72))"),"")</f>
        <v/>
      </c>
      <c r="P1380" s="61" t="str">
        <f>IFERROR(__xludf.DUMMYFUNCTION("INDIRECT(""'收支紀錄'!P""&amp;TO_TEXT(ROW()-$C$72))"),"")</f>
        <v/>
      </c>
      <c r="Q1380" s="61" t="str">
        <f>IFERROR(__xludf.DUMMYFUNCTION("INDIRECT(""'收支紀錄'!Q""&amp;TO_TEXT(ROW()-$C$72))"),"")</f>
        <v/>
      </c>
      <c r="R1380" s="61" t="str">
        <f>IFERROR(__xludf.DUMMYFUNCTION("INDIRECT(""'收支紀錄'!R""&amp;TO_TEXT(ROW()-$C$72))"),"")</f>
        <v/>
      </c>
      <c r="S1380" s="61" t="str">
        <f>IFERROR(__xludf.DUMMYFUNCTION("INDIRECT(""'收支紀錄'!S""&amp;TO_TEXT(ROW()-$C$72))"),"")</f>
        <v/>
      </c>
      <c r="T1380" s="61" t="str">
        <f>IFERROR(__xludf.DUMMYFUNCTION("INDIRECT(""'收支紀錄'!T""&amp;TO_TEXT(ROW()-$C$72))"),"")</f>
        <v/>
      </c>
      <c r="U1380" s="62" t="str">
        <f>IFERROR(__xludf.DUMMYFUNCTION("IF(T1380=""是"",TEXTJOIN("""", TRUE, ""$"", TO_TEXT(C1380), S1380),"""")"),"")</f>
        <v/>
      </c>
    </row>
    <row r="1381">
      <c r="A1381" s="58">
        <f>IFERROR(__xludf.DUMMYFUNCTION("INDIRECT(""'收支紀錄'!A""&amp;TO_TEXT(ROW()-$C$72))"),46032.93518659723)</f>
        <v>46032.93519</v>
      </c>
      <c r="B1381" s="59">
        <f>IFERROR(__xludf.DUMMYFUNCTION("IF(ISBLANK(D1381), """", IF(ISDATE(D1381), D1381, IF(D1381=""今天"", A1381, IF(D1381=""昨天 (-1 day)"", A1381-1, IF(D1381=""前天 (-2 days)"", A1381-2, IF(D1381=""明天 (+1 day)"", A1381+1, DATE(LEFT(D1381,4), MID(D1381,5,2), RIGHT(D1381,2))))))))"),46032.93518659723)</f>
        <v>46032.93519</v>
      </c>
      <c r="C1381" s="60">
        <f>IFERROR(__xludf.DUMMYFUNCTION("INDIRECT(""'收支紀錄'!C""&amp;TO_TEXT(ROW()-$C$72))"),140.0)</f>
        <v>140</v>
      </c>
      <c r="D1381" s="63" t="str">
        <f>IFERROR(__xludf.DUMMYFUNCTION("INDIRECT(""'收支紀錄'!D""&amp;TO_TEXT(ROW()-$C$72))"),"今天")</f>
        <v>今天</v>
      </c>
      <c r="E1381" s="61" t="str">
        <f>IFERROR(__xludf.DUMMYFUNCTION("INDIRECT(""'收支紀錄'!E""&amp;TO_TEXT(ROW()-$C$72))"),"")</f>
        <v/>
      </c>
      <c r="F1381" s="61" t="str">
        <f>IFERROR(__xludf.DUMMYFUNCTION("INDIRECT(""'收支紀錄'!F""&amp;TO_TEXT(ROW()-$C$72))"),"")</f>
        <v/>
      </c>
      <c r="G1381" s="61" t="str">
        <f>IFERROR(__xludf.DUMMYFUNCTION("INDIRECT(""'收支紀錄'!G""&amp;TO_TEXT(ROW()-$C$72))"),"")</f>
        <v/>
      </c>
      <c r="H1381" s="61" t="str">
        <f>IFERROR(__xludf.DUMMYFUNCTION("INDIRECT(""'收支紀錄'!H""&amp;TO_TEXT(ROW()-$C$72))"),"食品酒水")</f>
        <v>食品酒水</v>
      </c>
      <c r="I1381" s="61" t="str">
        <f>IFERROR(__xludf.DUMMYFUNCTION("INDIRECT(""'收支紀錄'!I""&amp;TO_TEXT(ROW()-$C$72))"),"飲料酒水")</f>
        <v>飲料酒水</v>
      </c>
      <c r="J1381" s="61" t="str">
        <f>IFERROR(__xludf.DUMMYFUNCTION("INDIRECT(""'收支紀錄'!J""&amp;TO_TEXT(ROW()-$C$72))"),"")</f>
        <v/>
      </c>
      <c r="K1381" s="61" t="str">
        <f>IFERROR(__xludf.DUMMYFUNCTION("INDIRECT(""'收支紀錄'!K""&amp;TO_TEXT(ROW()-$C$72))"),"")</f>
        <v/>
      </c>
      <c r="L1381" s="61" t="str">
        <f>IFERROR(__xludf.DUMMYFUNCTION("INDIRECT(""'收支紀錄'!L""&amp;TO_TEXT(ROW()-$C$72))"),"")</f>
        <v/>
      </c>
      <c r="M1381" s="61" t="str">
        <f>IFERROR(__xludf.DUMMYFUNCTION("INDIRECT(""'收支紀錄'!M""&amp;TO_TEXT(ROW()-$C$72))"),"")</f>
        <v/>
      </c>
      <c r="N1381" s="61" t="str">
        <f>IFERROR(__xludf.DUMMYFUNCTION("INDIRECT(""'收支紀錄'!N""&amp;TO_TEXT(ROW()-$C$72))"),"")</f>
        <v/>
      </c>
      <c r="O1381" s="61" t="str">
        <f>IFERROR(__xludf.DUMMYFUNCTION("INDIRECT(""'收支紀錄'!O""&amp;TO_TEXT(ROW()-$C$72))"),"")</f>
        <v/>
      </c>
      <c r="P1381" s="61" t="str">
        <f>IFERROR(__xludf.DUMMYFUNCTION("INDIRECT(""'收支紀錄'!P""&amp;TO_TEXT(ROW()-$C$72))"),"")</f>
        <v/>
      </c>
      <c r="Q1381" s="61" t="str">
        <f>IFERROR(__xludf.DUMMYFUNCTION("INDIRECT(""'收支紀錄'!Q""&amp;TO_TEXT(ROW()-$C$72))"),"")</f>
        <v/>
      </c>
      <c r="R1381" s="61" t="str">
        <f>IFERROR(__xludf.DUMMYFUNCTION("INDIRECT(""'收支紀錄'!R""&amp;TO_TEXT(ROW()-$C$72))"),"")</f>
        <v/>
      </c>
      <c r="S1381" s="61" t="str">
        <f>IFERROR(__xludf.DUMMYFUNCTION("INDIRECT(""'收支紀錄'!S""&amp;TO_TEXT(ROW()-$C$72))"),"")</f>
        <v/>
      </c>
      <c r="T1381" s="61" t="str">
        <f>IFERROR(__xludf.DUMMYFUNCTION("INDIRECT(""'收支紀錄'!T""&amp;TO_TEXT(ROW()-$C$72))"),"")</f>
        <v/>
      </c>
      <c r="U1381" s="62" t="str">
        <f>IFERROR(__xludf.DUMMYFUNCTION("IF(T1381=""是"",TEXTJOIN("""", TRUE, ""$"", TO_TEXT(C1381), S1381),"""")"),"")</f>
        <v/>
      </c>
    </row>
    <row r="1382">
      <c r="A1382" s="58">
        <f>IFERROR(__xludf.DUMMYFUNCTION("INDIRECT(""'收支紀錄'!A""&amp;TO_TEXT(ROW()-$C$72))"),46032.935620081014)</f>
        <v>46032.93562</v>
      </c>
      <c r="B1382" s="59">
        <f>IFERROR(__xludf.DUMMYFUNCTION("IF(ISBLANK(D1382), """", IF(ISDATE(D1382), D1382, IF(D1382=""今天"", A1382, IF(D1382=""昨天 (-1 day)"", A1382-1, IF(D1382=""前天 (-2 days)"", A1382-2, IF(D1382=""明天 (+1 day)"", A1382+1, DATE(LEFT(D1382,4), MID(D1382,5,2), RIGHT(D1382,2))))))))"),46032.935620081014)</f>
        <v>46032.93562</v>
      </c>
      <c r="C1382" s="60">
        <f>IFERROR(__xludf.DUMMYFUNCTION("INDIRECT(""'收支紀錄'!C""&amp;TO_TEXT(ROW()-$C$72))"),300.0)</f>
        <v>300</v>
      </c>
      <c r="D1382" s="63" t="str">
        <f>IFERROR(__xludf.DUMMYFUNCTION("INDIRECT(""'收支紀錄'!D""&amp;TO_TEXT(ROW()-$C$72))"),"今天")</f>
        <v>今天</v>
      </c>
      <c r="E1382" s="61" t="str">
        <f>IFERROR(__xludf.DUMMYFUNCTION("INDIRECT(""'收支紀錄'!E""&amp;TO_TEXT(ROW()-$C$72))"),"")</f>
        <v/>
      </c>
      <c r="F1382" s="61" t="str">
        <f>IFERROR(__xludf.DUMMYFUNCTION("INDIRECT(""'收支紀錄'!F""&amp;TO_TEXT(ROW()-$C$72))"),"")</f>
        <v/>
      </c>
      <c r="G1382" s="61" t="str">
        <f>IFERROR(__xludf.DUMMYFUNCTION("INDIRECT(""'收支紀錄'!G""&amp;TO_TEXT(ROW()-$C$72))"),"")</f>
        <v/>
      </c>
      <c r="H1382" s="61" t="str">
        <f>IFERROR(__xludf.DUMMYFUNCTION("INDIRECT(""'收支紀錄'!H""&amp;TO_TEXT(ROW()-$C$72))"),"行車交通")</f>
        <v>行車交通</v>
      </c>
      <c r="I1382" s="61" t="str">
        <f>IFERROR(__xludf.DUMMYFUNCTION("INDIRECT(""'收支紀錄'!I""&amp;TO_TEXT(ROW()-$C$72))"),"")</f>
        <v/>
      </c>
      <c r="J1382" s="61" t="str">
        <f>IFERROR(__xludf.DUMMYFUNCTION("INDIRECT(""'收支紀錄'!J""&amp;TO_TEXT(ROW()-$C$72))"),"")</f>
        <v/>
      </c>
      <c r="K1382" s="61" t="str">
        <f>IFERROR(__xludf.DUMMYFUNCTION("INDIRECT(""'收支紀錄'!K""&amp;TO_TEXT(ROW()-$C$72))"),"")</f>
        <v/>
      </c>
      <c r="L1382" s="61" t="str">
        <f>IFERROR(__xludf.DUMMYFUNCTION("INDIRECT(""'收支紀錄'!L""&amp;TO_TEXT(ROW()-$C$72))"),"停車")</f>
        <v>停車</v>
      </c>
      <c r="M1382" s="61" t="str">
        <f>IFERROR(__xludf.DUMMYFUNCTION("INDIRECT(""'收支紀錄'!M""&amp;TO_TEXT(ROW()-$C$72))"),"")</f>
        <v/>
      </c>
      <c r="N1382" s="61" t="str">
        <f>IFERROR(__xludf.DUMMYFUNCTION("INDIRECT(""'收支紀錄'!N""&amp;TO_TEXT(ROW()-$C$72))"),"")</f>
        <v/>
      </c>
      <c r="O1382" s="61" t="str">
        <f>IFERROR(__xludf.DUMMYFUNCTION("INDIRECT(""'收支紀錄'!O""&amp;TO_TEXT(ROW()-$C$72))"),"")</f>
        <v/>
      </c>
      <c r="P1382" s="61" t="str">
        <f>IFERROR(__xludf.DUMMYFUNCTION("INDIRECT(""'收支紀錄'!P""&amp;TO_TEXT(ROW()-$C$72))"),"")</f>
        <v/>
      </c>
      <c r="Q1382" s="61" t="str">
        <f>IFERROR(__xludf.DUMMYFUNCTION("INDIRECT(""'收支紀錄'!Q""&amp;TO_TEXT(ROW()-$C$72))"),"")</f>
        <v/>
      </c>
      <c r="R1382" s="61" t="str">
        <f>IFERROR(__xludf.DUMMYFUNCTION("INDIRECT(""'收支紀錄'!R""&amp;TO_TEXT(ROW()-$C$72))"),"")</f>
        <v/>
      </c>
      <c r="S1382" s="61" t="str">
        <f>IFERROR(__xludf.DUMMYFUNCTION("INDIRECT(""'收支紀錄'!S""&amp;TO_TEXT(ROW()-$C$72))"),"")</f>
        <v/>
      </c>
      <c r="T1382" s="61" t="str">
        <f>IFERROR(__xludf.DUMMYFUNCTION("INDIRECT(""'收支紀錄'!T""&amp;TO_TEXT(ROW()-$C$72))"),"")</f>
        <v/>
      </c>
      <c r="U1382" s="62" t="str">
        <f>IFERROR(__xludf.DUMMYFUNCTION("IF(T1382=""是"",TEXTJOIN("""", TRUE, ""$"", TO_TEXT(C1382), S1382),"""")"),"")</f>
        <v/>
      </c>
    </row>
    <row r="1383">
      <c r="A1383" s="58">
        <f>IFERROR(__xludf.DUMMYFUNCTION("INDIRECT(""'收支紀錄'!A""&amp;TO_TEXT(ROW()-$C$72))"),46032.935826076384)</f>
        <v>46032.93583</v>
      </c>
      <c r="B1383" s="59">
        <f>IFERROR(__xludf.DUMMYFUNCTION("IF(ISBLANK(D1383), """", IF(ISDATE(D1383), D1383, IF(D1383=""今天"", A1383, IF(D1383=""昨天 (-1 day)"", A1383-1, IF(D1383=""前天 (-2 days)"", A1383-2, IF(D1383=""明天 (+1 day)"", A1383+1, DATE(LEFT(D1383,4), MID(D1383,5,2), RIGHT(D1383,2))))))))"),46032.935826076384)</f>
        <v>46032.93583</v>
      </c>
      <c r="C1383" s="60">
        <f>IFERROR(__xludf.DUMMYFUNCTION("INDIRECT(""'收支紀錄'!C""&amp;TO_TEXT(ROW()-$C$72))"),125.0)</f>
        <v>125</v>
      </c>
      <c r="D1383" s="63" t="str">
        <f>IFERROR(__xludf.DUMMYFUNCTION("INDIRECT(""'收支紀錄'!D""&amp;TO_TEXT(ROW()-$C$72))"),"今天")</f>
        <v>今天</v>
      </c>
      <c r="E1383" s="61" t="str">
        <f>IFERROR(__xludf.DUMMYFUNCTION("INDIRECT(""'收支紀錄'!E""&amp;TO_TEXT(ROW()-$C$72))"),"")</f>
        <v/>
      </c>
      <c r="F1383" s="61" t="str">
        <f>IFERROR(__xludf.DUMMYFUNCTION("INDIRECT(""'收支紀錄'!F""&amp;TO_TEXT(ROW()-$C$72))"),"")</f>
        <v/>
      </c>
      <c r="G1383" s="61" t="str">
        <f>IFERROR(__xludf.DUMMYFUNCTION("INDIRECT(""'收支紀錄'!G""&amp;TO_TEXT(ROW()-$C$72))"),"")</f>
        <v/>
      </c>
      <c r="H1383" s="61" t="str">
        <f>IFERROR(__xludf.DUMMYFUNCTION("INDIRECT(""'收支紀錄'!H""&amp;TO_TEXT(ROW()-$C$72))"),"食品酒水")</f>
        <v>食品酒水</v>
      </c>
      <c r="I1383" s="61" t="str">
        <f>IFERROR(__xludf.DUMMYFUNCTION("INDIRECT(""'收支紀錄'!I""&amp;TO_TEXT(ROW()-$C$72))"),"晚餐")</f>
        <v>晚餐</v>
      </c>
      <c r="J1383" s="61" t="str">
        <f>IFERROR(__xludf.DUMMYFUNCTION("INDIRECT(""'收支紀錄'!J""&amp;TO_TEXT(ROW()-$C$72))"),"")</f>
        <v/>
      </c>
      <c r="K1383" s="61" t="str">
        <f>IFERROR(__xludf.DUMMYFUNCTION("INDIRECT(""'收支紀錄'!K""&amp;TO_TEXT(ROW()-$C$72))"),"")</f>
        <v/>
      </c>
      <c r="L1383" s="61" t="str">
        <f>IFERROR(__xludf.DUMMYFUNCTION("INDIRECT(""'收支紀錄'!L""&amp;TO_TEXT(ROW()-$C$72))"),"")</f>
        <v/>
      </c>
      <c r="M1383" s="61" t="str">
        <f>IFERROR(__xludf.DUMMYFUNCTION("INDIRECT(""'收支紀錄'!M""&amp;TO_TEXT(ROW()-$C$72))"),"")</f>
        <v/>
      </c>
      <c r="N1383" s="61" t="str">
        <f>IFERROR(__xludf.DUMMYFUNCTION("INDIRECT(""'收支紀錄'!N""&amp;TO_TEXT(ROW()-$C$72))"),"")</f>
        <v/>
      </c>
      <c r="O1383" s="61" t="str">
        <f>IFERROR(__xludf.DUMMYFUNCTION("INDIRECT(""'收支紀錄'!O""&amp;TO_TEXT(ROW()-$C$72))"),"")</f>
        <v/>
      </c>
      <c r="P1383" s="61" t="str">
        <f>IFERROR(__xludf.DUMMYFUNCTION("INDIRECT(""'收支紀錄'!P""&amp;TO_TEXT(ROW()-$C$72))"),"")</f>
        <v/>
      </c>
      <c r="Q1383" s="61" t="str">
        <f>IFERROR(__xludf.DUMMYFUNCTION("INDIRECT(""'收支紀錄'!Q""&amp;TO_TEXT(ROW()-$C$72))"),"")</f>
        <v/>
      </c>
      <c r="R1383" s="61" t="str">
        <f>IFERROR(__xludf.DUMMYFUNCTION("INDIRECT(""'收支紀錄'!R""&amp;TO_TEXT(ROW()-$C$72))"),"")</f>
        <v/>
      </c>
      <c r="S1383" s="61" t="str">
        <f>IFERROR(__xludf.DUMMYFUNCTION("INDIRECT(""'收支紀錄'!S""&amp;TO_TEXT(ROW()-$C$72))"),"")</f>
        <v/>
      </c>
      <c r="T1383" s="61" t="str">
        <f>IFERROR(__xludf.DUMMYFUNCTION("INDIRECT(""'收支紀錄'!T""&amp;TO_TEXT(ROW()-$C$72))"),"")</f>
        <v/>
      </c>
      <c r="U1383" s="62" t="str">
        <f>IFERROR(__xludf.DUMMYFUNCTION("IF(T1383=""是"",TEXTJOIN("""", TRUE, ""$"", TO_TEXT(C1383), S1383),"""")"),"")</f>
        <v/>
      </c>
    </row>
    <row r="1384">
      <c r="A1384" s="58">
        <f>IFERROR(__xludf.DUMMYFUNCTION("INDIRECT(""'收支紀錄'!A""&amp;TO_TEXT(ROW()-$C$72))"),46032.93604331018)</f>
        <v>46032.93604</v>
      </c>
      <c r="B1384" s="59">
        <f>IFERROR(__xludf.DUMMYFUNCTION("IF(ISBLANK(D1384), """", IF(ISDATE(D1384), D1384, IF(D1384=""今天"", A1384, IF(D1384=""昨天 (-1 day)"", A1384-1, IF(D1384=""前天 (-2 days)"", A1384-2, IF(D1384=""明天 (+1 day)"", A1384+1, DATE(LEFT(D1384,4), MID(D1384,5,2), RIGHT(D1384,2))))))))"),46031.93604331018)</f>
        <v>46031.93604</v>
      </c>
      <c r="C1384" s="60">
        <f>IFERROR(__xludf.DUMMYFUNCTION("INDIRECT(""'收支紀錄'!C""&amp;TO_TEXT(ROW()-$C$72))"),130.0)</f>
        <v>130</v>
      </c>
      <c r="D1384" s="63" t="str">
        <f>IFERROR(__xludf.DUMMYFUNCTION("INDIRECT(""'收支紀錄'!D""&amp;TO_TEXT(ROW()-$C$72))"),"昨天 (-1 day)")</f>
        <v>昨天 (-1 day)</v>
      </c>
      <c r="E1384" s="61" t="str">
        <f>IFERROR(__xludf.DUMMYFUNCTION("INDIRECT(""'收支紀錄'!E""&amp;TO_TEXT(ROW()-$C$72))"),"")</f>
        <v/>
      </c>
      <c r="F1384" s="61" t="str">
        <f>IFERROR(__xludf.DUMMYFUNCTION("INDIRECT(""'收支紀錄'!F""&amp;TO_TEXT(ROW()-$C$72))"),"")</f>
        <v/>
      </c>
      <c r="G1384" s="61" t="str">
        <f>IFERROR(__xludf.DUMMYFUNCTION("INDIRECT(""'收支紀錄'!G""&amp;TO_TEXT(ROW()-$C$72))"),"")</f>
        <v/>
      </c>
      <c r="H1384" s="61" t="str">
        <f>IFERROR(__xludf.DUMMYFUNCTION("INDIRECT(""'收支紀錄'!H""&amp;TO_TEXT(ROW()-$C$72))"),"休閒娛樂")</f>
        <v>休閒娛樂</v>
      </c>
      <c r="I1384" s="61" t="str">
        <f>IFERROR(__xludf.DUMMYFUNCTION("INDIRECT(""'收支紀錄'!I""&amp;TO_TEXT(ROW()-$C$72))"),"")</f>
        <v/>
      </c>
      <c r="J1384" s="61" t="str">
        <f>IFERROR(__xludf.DUMMYFUNCTION("INDIRECT(""'收支紀錄'!J""&amp;TO_TEXT(ROW()-$C$72))"),"")</f>
        <v/>
      </c>
      <c r="K1384" s="61" t="str">
        <f>IFERROR(__xludf.DUMMYFUNCTION("INDIRECT(""'收支紀錄'!K""&amp;TO_TEXT(ROW()-$C$72))"),"")</f>
        <v/>
      </c>
      <c r="L1384" s="61" t="str">
        <f>IFERROR(__xludf.DUMMYFUNCTION("INDIRECT(""'收支紀錄'!L""&amp;TO_TEXT(ROW()-$C$72))"),"")</f>
        <v/>
      </c>
      <c r="M1384" s="61" t="str">
        <f>IFERROR(__xludf.DUMMYFUNCTION("INDIRECT(""'收支紀錄'!M""&amp;TO_TEXT(ROW()-$C$72))"),"運動健身")</f>
        <v>運動健身</v>
      </c>
      <c r="N1384" s="61" t="str">
        <f>IFERROR(__xludf.DUMMYFUNCTION("INDIRECT(""'收支紀錄'!N""&amp;TO_TEXT(ROW()-$C$72))"),"")</f>
        <v/>
      </c>
      <c r="O1384" s="61" t="str">
        <f>IFERROR(__xludf.DUMMYFUNCTION("INDIRECT(""'收支紀錄'!O""&amp;TO_TEXT(ROW()-$C$72))"),"")</f>
        <v/>
      </c>
      <c r="P1384" s="61" t="str">
        <f>IFERROR(__xludf.DUMMYFUNCTION("INDIRECT(""'收支紀錄'!P""&amp;TO_TEXT(ROW()-$C$72))"),"")</f>
        <v/>
      </c>
      <c r="Q1384" s="61" t="str">
        <f>IFERROR(__xludf.DUMMYFUNCTION("INDIRECT(""'收支紀錄'!Q""&amp;TO_TEXT(ROW()-$C$72))"),"")</f>
        <v/>
      </c>
      <c r="R1384" s="61" t="str">
        <f>IFERROR(__xludf.DUMMYFUNCTION("INDIRECT(""'收支紀錄'!R""&amp;TO_TEXT(ROW()-$C$72))"),"")</f>
        <v/>
      </c>
      <c r="S1384" s="61" t="str">
        <f>IFERROR(__xludf.DUMMYFUNCTION("INDIRECT(""'收支紀錄'!S""&amp;TO_TEXT(ROW()-$C$72))"),"")</f>
        <v/>
      </c>
      <c r="T1384" s="61" t="str">
        <f>IFERROR(__xludf.DUMMYFUNCTION("INDIRECT(""'收支紀錄'!T""&amp;TO_TEXT(ROW()-$C$72))"),"")</f>
        <v/>
      </c>
      <c r="U1384" s="62" t="str">
        <f>IFERROR(__xludf.DUMMYFUNCTION("IF(T1384=""是"",TEXTJOIN("""", TRUE, ""$"", TO_TEXT(C1384), S1384),"""")"),"")</f>
        <v/>
      </c>
    </row>
    <row r="1385">
      <c r="A1385" s="58">
        <f>IFERROR(__xludf.DUMMYFUNCTION("INDIRECT(""'收支紀錄'!A""&amp;TO_TEXT(ROW()-$C$72))"),46033.81171327546)</f>
        <v>46033.81171</v>
      </c>
      <c r="B1385" s="59">
        <f>IFERROR(__xludf.DUMMYFUNCTION("IF(ISBLANK(D1385), """", IF(ISDATE(D1385), D1385, IF(D1385=""今天"", A1385, IF(D1385=""昨天 (-1 day)"", A1385-1, IF(D1385=""前天 (-2 days)"", A1385-2, IF(D1385=""明天 (+1 day)"", A1385+1, DATE(LEFT(D1385,4), MID(D1385,5,2), RIGHT(D1385,2))))))))"),46033.81171327546)</f>
        <v>46033.81171</v>
      </c>
      <c r="C1385" s="60">
        <f>IFERROR(__xludf.DUMMYFUNCTION("INDIRECT(""'收支紀錄'!C""&amp;TO_TEXT(ROW()-$C$72))"),3256.0)</f>
        <v>3256</v>
      </c>
      <c r="D1385" s="63" t="str">
        <f>IFERROR(__xludf.DUMMYFUNCTION("INDIRECT(""'收支紀錄'!D""&amp;TO_TEXT(ROW()-$C$72))"),"今天")</f>
        <v>今天</v>
      </c>
      <c r="E1385" s="61" t="str">
        <f>IFERROR(__xludf.DUMMYFUNCTION("INDIRECT(""'收支紀錄'!E""&amp;TO_TEXT(ROW()-$C$72))"),"")</f>
        <v/>
      </c>
      <c r="F1385" s="61" t="str">
        <f>IFERROR(__xludf.DUMMYFUNCTION("INDIRECT(""'收支紀錄'!F""&amp;TO_TEXT(ROW()-$C$72))"),"")</f>
        <v/>
      </c>
      <c r="G1385" s="61" t="str">
        <f>IFERROR(__xludf.DUMMYFUNCTION("INDIRECT(""'收支紀錄'!G""&amp;TO_TEXT(ROW()-$C$72))"),"")</f>
        <v/>
      </c>
      <c r="H1385" s="61" t="str">
        <f>IFERROR(__xludf.DUMMYFUNCTION("INDIRECT(""'收支紀錄'!H""&amp;TO_TEXT(ROW()-$C$72))"),"食品酒水")</f>
        <v>食品酒水</v>
      </c>
      <c r="I1385" s="61" t="str">
        <f>IFERROR(__xludf.DUMMYFUNCTION("INDIRECT(""'收支紀錄'!I""&amp;TO_TEXT(ROW()-$C$72))"),"午餐")</f>
        <v>午餐</v>
      </c>
      <c r="J1385" s="61" t="str">
        <f>IFERROR(__xludf.DUMMYFUNCTION("INDIRECT(""'收支紀錄'!J""&amp;TO_TEXT(ROW()-$C$72))"),"")</f>
        <v/>
      </c>
      <c r="K1385" s="61" t="str">
        <f>IFERROR(__xludf.DUMMYFUNCTION("INDIRECT(""'收支紀錄'!K""&amp;TO_TEXT(ROW()-$C$72))"),"")</f>
        <v/>
      </c>
      <c r="L1385" s="61" t="str">
        <f>IFERROR(__xludf.DUMMYFUNCTION("INDIRECT(""'收支紀錄'!L""&amp;TO_TEXT(ROW()-$C$72))"),"")</f>
        <v/>
      </c>
      <c r="M1385" s="61" t="str">
        <f>IFERROR(__xludf.DUMMYFUNCTION("INDIRECT(""'收支紀錄'!M""&amp;TO_TEXT(ROW()-$C$72))"),"")</f>
        <v/>
      </c>
      <c r="N1385" s="61" t="str">
        <f>IFERROR(__xludf.DUMMYFUNCTION("INDIRECT(""'收支紀錄'!N""&amp;TO_TEXT(ROW()-$C$72))"),"")</f>
        <v/>
      </c>
      <c r="O1385" s="61" t="str">
        <f>IFERROR(__xludf.DUMMYFUNCTION("INDIRECT(""'收支紀錄'!O""&amp;TO_TEXT(ROW()-$C$72))"),"")</f>
        <v/>
      </c>
      <c r="P1385" s="61" t="str">
        <f>IFERROR(__xludf.DUMMYFUNCTION("INDIRECT(""'收支紀錄'!P""&amp;TO_TEXT(ROW()-$C$72))"),"")</f>
        <v/>
      </c>
      <c r="Q1385" s="61" t="str">
        <f>IFERROR(__xludf.DUMMYFUNCTION("INDIRECT(""'收支紀錄'!Q""&amp;TO_TEXT(ROW()-$C$72))"),"")</f>
        <v/>
      </c>
      <c r="R1385" s="61" t="str">
        <f>IFERROR(__xludf.DUMMYFUNCTION("INDIRECT(""'收支紀錄'!R""&amp;TO_TEXT(ROW()-$C$72))"),"")</f>
        <v/>
      </c>
      <c r="S1385" s="61" t="str">
        <f>IFERROR(__xludf.DUMMYFUNCTION("INDIRECT(""'收支紀錄'!S""&amp;TO_TEXT(ROW()-$C$72))"),"")</f>
        <v/>
      </c>
      <c r="T1385" s="61" t="str">
        <f>IFERROR(__xludf.DUMMYFUNCTION("INDIRECT(""'收支紀錄'!T""&amp;TO_TEXT(ROW()-$C$72))"),"")</f>
        <v/>
      </c>
      <c r="U1385" s="62" t="str">
        <f>IFERROR(__xludf.DUMMYFUNCTION("IF(T1385=""是"",TEXTJOIN("""", TRUE, ""$"", TO_TEXT(C1385), S1385),"""")"),"")</f>
        <v/>
      </c>
    </row>
    <row r="1386">
      <c r="A1386" s="58">
        <f>IFERROR(__xludf.DUMMYFUNCTION("INDIRECT(""'收支紀錄'!A""&amp;TO_TEXT(ROW()-$C$72))"),46034.927690972225)</f>
        <v>46034.92769</v>
      </c>
      <c r="B1386" s="59">
        <f>IFERROR(__xludf.DUMMYFUNCTION("IF(ISBLANK(D1386), """", IF(ISDATE(D1386), D1386, IF(D1386=""今天"", A1386, IF(D1386=""昨天 (-1 day)"", A1386-1, IF(D1386=""前天 (-2 days)"", A1386-2, IF(D1386=""明天 (+1 day)"", A1386+1, DATE(LEFT(D1386,4), MID(D1386,5,2), RIGHT(D1386,2))))))))"),46034.927690972225)</f>
        <v>46034.92769</v>
      </c>
      <c r="C1386" s="60">
        <f>IFERROR(__xludf.DUMMYFUNCTION("INDIRECT(""'收支紀錄'!C""&amp;TO_TEXT(ROW()-$C$72))"),490.0)</f>
        <v>490</v>
      </c>
      <c r="D1386" s="63" t="str">
        <f>IFERROR(__xludf.DUMMYFUNCTION("INDIRECT(""'收支紀錄'!D""&amp;TO_TEXT(ROW()-$C$72))"),"今天")</f>
        <v>今天</v>
      </c>
      <c r="E1386" s="61" t="str">
        <f>IFERROR(__xludf.DUMMYFUNCTION("INDIRECT(""'收支紀錄'!E""&amp;TO_TEXT(ROW()-$C$72))"),"")</f>
        <v/>
      </c>
      <c r="F1386" s="61" t="str">
        <f>IFERROR(__xludf.DUMMYFUNCTION("INDIRECT(""'收支紀錄'!F""&amp;TO_TEXT(ROW()-$C$72))"),"")</f>
        <v/>
      </c>
      <c r="G1386" s="61" t="str">
        <f>IFERROR(__xludf.DUMMYFUNCTION("INDIRECT(""'收支紀錄'!G""&amp;TO_TEXT(ROW()-$C$72))"),"")</f>
        <v/>
      </c>
      <c r="H1386" s="61" t="str">
        <f>IFERROR(__xludf.DUMMYFUNCTION("INDIRECT(""'收支紀錄'!H""&amp;TO_TEXT(ROW()-$C$72))"),"食品酒水")</f>
        <v>食品酒水</v>
      </c>
      <c r="I1386" s="61" t="str">
        <f>IFERROR(__xludf.DUMMYFUNCTION("INDIRECT(""'收支紀錄'!I""&amp;TO_TEXT(ROW()-$C$72))"),"晚餐")</f>
        <v>晚餐</v>
      </c>
      <c r="J1386" s="61" t="str">
        <f>IFERROR(__xludf.DUMMYFUNCTION("INDIRECT(""'收支紀錄'!J""&amp;TO_TEXT(ROW()-$C$72))"),"")</f>
        <v/>
      </c>
      <c r="K1386" s="61" t="str">
        <f>IFERROR(__xludf.DUMMYFUNCTION("INDIRECT(""'收支紀錄'!K""&amp;TO_TEXT(ROW()-$C$72))"),"")</f>
        <v/>
      </c>
      <c r="L1386" s="61" t="str">
        <f>IFERROR(__xludf.DUMMYFUNCTION("INDIRECT(""'收支紀錄'!L""&amp;TO_TEXT(ROW()-$C$72))"),"")</f>
        <v/>
      </c>
      <c r="M1386" s="61" t="str">
        <f>IFERROR(__xludf.DUMMYFUNCTION("INDIRECT(""'收支紀錄'!M""&amp;TO_TEXT(ROW()-$C$72))"),"")</f>
        <v/>
      </c>
      <c r="N1386" s="61" t="str">
        <f>IFERROR(__xludf.DUMMYFUNCTION("INDIRECT(""'收支紀錄'!N""&amp;TO_TEXT(ROW()-$C$72))"),"")</f>
        <v/>
      </c>
      <c r="O1386" s="61" t="str">
        <f>IFERROR(__xludf.DUMMYFUNCTION("INDIRECT(""'收支紀錄'!O""&amp;TO_TEXT(ROW()-$C$72))"),"")</f>
        <v/>
      </c>
      <c r="P1386" s="61" t="str">
        <f>IFERROR(__xludf.DUMMYFUNCTION("INDIRECT(""'收支紀錄'!P""&amp;TO_TEXT(ROW()-$C$72))"),"")</f>
        <v/>
      </c>
      <c r="Q1386" s="61" t="str">
        <f>IFERROR(__xludf.DUMMYFUNCTION("INDIRECT(""'收支紀錄'!Q""&amp;TO_TEXT(ROW()-$C$72))"),"")</f>
        <v/>
      </c>
      <c r="R1386" s="61" t="str">
        <f>IFERROR(__xludf.DUMMYFUNCTION("INDIRECT(""'收支紀錄'!R""&amp;TO_TEXT(ROW()-$C$72))"),"")</f>
        <v/>
      </c>
      <c r="S1386" s="61" t="str">
        <f>IFERROR(__xludf.DUMMYFUNCTION("INDIRECT(""'收支紀錄'!S""&amp;TO_TEXT(ROW()-$C$72))"),"")</f>
        <v/>
      </c>
      <c r="T1386" s="61" t="str">
        <f>IFERROR(__xludf.DUMMYFUNCTION("INDIRECT(""'收支紀錄'!T""&amp;TO_TEXT(ROW()-$C$72))"),"")</f>
        <v/>
      </c>
      <c r="U1386" s="62" t="str">
        <f>IFERROR(__xludf.DUMMYFUNCTION("IF(T1386=""是"",TEXTJOIN("""", TRUE, ""$"", TO_TEXT(C1386), S1386),"""")"),"")</f>
        <v/>
      </c>
    </row>
    <row r="1387">
      <c r="A1387" s="58">
        <f>IFERROR(__xludf.DUMMYFUNCTION("INDIRECT(""'收支紀錄'!A""&amp;TO_TEXT(ROW()-$C$72))"),46034.985678032404)</f>
        <v>46034.98568</v>
      </c>
      <c r="B1387" s="59">
        <f>IFERROR(__xludf.DUMMYFUNCTION("IF(ISBLANK(D1387), """", IF(ISDATE(D1387), D1387, IF(D1387=""今天"", A1387, IF(D1387=""昨天 (-1 day)"", A1387-1, IF(D1387=""前天 (-2 days)"", A1387-2, IF(D1387=""明天 (+1 day)"", A1387+1, DATE(LEFT(D1387,4), MID(D1387,5,2), RIGHT(D1387,2))))))))"),46035.985678032404)</f>
        <v>46035.98568</v>
      </c>
      <c r="C1387" s="60">
        <f>IFERROR(__xludf.DUMMYFUNCTION("INDIRECT(""'收支紀錄'!C""&amp;TO_TEXT(ROW()-$C$72))"),223.0)</f>
        <v>223</v>
      </c>
      <c r="D1387" s="63" t="str">
        <f>IFERROR(__xludf.DUMMYFUNCTION("INDIRECT(""'收支紀錄'!D""&amp;TO_TEXT(ROW()-$C$72))"),"明天 (+1 day)")</f>
        <v>明天 (+1 day)</v>
      </c>
      <c r="E1387" s="61" t="str">
        <f>IFERROR(__xludf.DUMMYFUNCTION("INDIRECT(""'收支紀錄'!E""&amp;TO_TEXT(ROW()-$C$72))"),"")</f>
        <v/>
      </c>
      <c r="F1387" s="61" t="str">
        <f>IFERROR(__xludf.DUMMYFUNCTION("INDIRECT(""'收支紀錄'!F""&amp;TO_TEXT(ROW()-$C$72))"),"")</f>
        <v/>
      </c>
      <c r="G1387" s="61" t="str">
        <f>IFERROR(__xludf.DUMMYFUNCTION("INDIRECT(""'收支紀錄'!G""&amp;TO_TEXT(ROW()-$C$72))"),"")</f>
        <v/>
      </c>
      <c r="H1387" s="61" t="str">
        <f>IFERROR(__xludf.DUMMYFUNCTION("INDIRECT(""'收支紀錄'!H""&amp;TO_TEXT(ROW()-$C$72))"),"行車交通")</f>
        <v>行車交通</v>
      </c>
      <c r="I1387" s="61" t="str">
        <f>IFERROR(__xludf.DUMMYFUNCTION("INDIRECT(""'收支紀錄'!I""&amp;TO_TEXT(ROW()-$C$72))"),"")</f>
        <v/>
      </c>
      <c r="J1387" s="61" t="str">
        <f>IFERROR(__xludf.DUMMYFUNCTION("INDIRECT(""'收支紀錄'!J""&amp;TO_TEXT(ROW()-$C$72))"),"")</f>
        <v/>
      </c>
      <c r="K1387" s="61" t="str">
        <f>IFERROR(__xludf.DUMMYFUNCTION("INDIRECT(""'收支紀錄'!K""&amp;TO_TEXT(ROW()-$C$72))"),"")</f>
        <v/>
      </c>
      <c r="L1387" s="61" t="str">
        <f>IFERROR(__xludf.DUMMYFUNCTION("INDIRECT(""'收支紀錄'!L""&amp;TO_TEXT(ROW()-$C$72))"),"火車費")</f>
        <v>火車費</v>
      </c>
      <c r="M1387" s="61" t="str">
        <f>IFERROR(__xludf.DUMMYFUNCTION("INDIRECT(""'收支紀錄'!M""&amp;TO_TEXT(ROW()-$C$72))"),"")</f>
        <v/>
      </c>
      <c r="N1387" s="61" t="str">
        <f>IFERROR(__xludf.DUMMYFUNCTION("INDIRECT(""'收支紀錄'!N""&amp;TO_TEXT(ROW()-$C$72))"),"")</f>
        <v/>
      </c>
      <c r="O1387" s="61" t="str">
        <f>IFERROR(__xludf.DUMMYFUNCTION("INDIRECT(""'收支紀錄'!O""&amp;TO_TEXT(ROW()-$C$72))"),"")</f>
        <v/>
      </c>
      <c r="P1387" s="61" t="str">
        <f>IFERROR(__xludf.DUMMYFUNCTION("INDIRECT(""'收支紀錄'!P""&amp;TO_TEXT(ROW()-$C$72))"),"")</f>
        <v/>
      </c>
      <c r="Q1387" s="61" t="str">
        <f>IFERROR(__xludf.DUMMYFUNCTION("INDIRECT(""'收支紀錄'!Q""&amp;TO_TEXT(ROW()-$C$72))"),"")</f>
        <v/>
      </c>
      <c r="R1387" s="61" t="str">
        <f>IFERROR(__xludf.DUMMYFUNCTION("INDIRECT(""'收支紀錄'!R""&amp;TO_TEXT(ROW()-$C$72))"),"")</f>
        <v/>
      </c>
      <c r="S1387" s="61" t="str">
        <f>IFERROR(__xludf.DUMMYFUNCTION("INDIRECT(""'收支紀錄'!S""&amp;TO_TEXT(ROW()-$C$72))"),"")</f>
        <v/>
      </c>
      <c r="T1387" s="61" t="str">
        <f>IFERROR(__xludf.DUMMYFUNCTION("INDIRECT(""'收支紀錄'!T""&amp;TO_TEXT(ROW()-$C$72))"),"")</f>
        <v/>
      </c>
      <c r="U1387" s="62" t="str">
        <f>IFERROR(__xludf.DUMMYFUNCTION("IF(T1387=""是"",TEXTJOIN("""", TRUE, ""$"", TO_TEXT(C1387), S1387),"""")"),"")</f>
        <v/>
      </c>
    </row>
    <row r="1388">
      <c r="A1388" s="58">
        <f>IFERROR(__xludf.DUMMYFUNCTION("INDIRECT(""'收支紀錄'!A""&amp;TO_TEXT(ROW()-$C$72))"),46035.68294895833)</f>
        <v>46035.68295</v>
      </c>
      <c r="B1388" s="59">
        <f>IFERROR(__xludf.DUMMYFUNCTION("IF(ISBLANK(D1388), """", IF(ISDATE(D1388), D1388, IF(D1388=""今天"", A1388, IF(D1388=""昨天 (-1 day)"", A1388-1, IF(D1388=""前天 (-2 days)"", A1388-2, IF(D1388=""明天 (+1 day)"", A1388+1, DATE(LEFT(D1388,4), MID(D1388,5,2), RIGHT(D1388,2))))))))"),46027.0)</f>
        <v>46027</v>
      </c>
      <c r="C1388" s="60">
        <f>IFERROR(__xludf.DUMMYFUNCTION("INDIRECT(""'收支紀錄'!C""&amp;TO_TEXT(ROW()-$C$72))"),107300.0)</f>
        <v>107300</v>
      </c>
      <c r="D1388" s="63">
        <f>IFERROR(__xludf.DUMMYFUNCTION("INDIRECT(""'收支紀錄'!D""&amp;TO_TEXT(ROW()-$C$72))"),2.0260105E7)</f>
        <v>20260105</v>
      </c>
      <c r="E1388" s="61" t="str">
        <f>IFERROR(__xludf.DUMMYFUNCTION("INDIRECT(""'收支紀錄'!E""&amp;TO_TEXT(ROW()-$C$72))"),"工作")</f>
        <v>工作</v>
      </c>
      <c r="F1388" s="61" t="str">
        <f>IFERROR(__xludf.DUMMYFUNCTION("INDIRECT(""'收支紀錄'!F""&amp;TO_TEXT(ROW()-$C$72))"),"底薪")</f>
        <v>底薪</v>
      </c>
      <c r="G1388" s="61" t="str">
        <f>IFERROR(__xludf.DUMMYFUNCTION("INDIRECT(""'收支紀錄'!G""&amp;TO_TEXT(ROW()-$C$72))"),"")</f>
        <v/>
      </c>
      <c r="H1388" s="61" t="str">
        <f>IFERROR(__xludf.DUMMYFUNCTION("INDIRECT(""'收支紀錄'!H""&amp;TO_TEXT(ROW()-$C$72))"),"")</f>
        <v/>
      </c>
      <c r="I1388" s="61" t="str">
        <f>IFERROR(__xludf.DUMMYFUNCTION("INDIRECT(""'收支紀錄'!I""&amp;TO_TEXT(ROW()-$C$72))"),"")</f>
        <v/>
      </c>
      <c r="J1388" s="61" t="str">
        <f>IFERROR(__xludf.DUMMYFUNCTION("INDIRECT(""'收支紀錄'!J""&amp;TO_TEXT(ROW()-$C$72))"),"")</f>
        <v/>
      </c>
      <c r="K1388" s="61" t="str">
        <f>IFERROR(__xludf.DUMMYFUNCTION("INDIRECT(""'收支紀錄'!K""&amp;TO_TEXT(ROW()-$C$72))"),"")</f>
        <v/>
      </c>
      <c r="L1388" s="61" t="str">
        <f>IFERROR(__xludf.DUMMYFUNCTION("INDIRECT(""'收支紀錄'!L""&amp;TO_TEXT(ROW()-$C$72))"),"")</f>
        <v/>
      </c>
      <c r="M1388" s="61" t="str">
        <f>IFERROR(__xludf.DUMMYFUNCTION("INDIRECT(""'收支紀錄'!M""&amp;TO_TEXT(ROW()-$C$72))"),"")</f>
        <v/>
      </c>
      <c r="N1388" s="61" t="str">
        <f>IFERROR(__xludf.DUMMYFUNCTION("INDIRECT(""'收支紀錄'!N""&amp;TO_TEXT(ROW()-$C$72))"),"")</f>
        <v/>
      </c>
      <c r="O1388" s="61" t="str">
        <f>IFERROR(__xludf.DUMMYFUNCTION("INDIRECT(""'收支紀錄'!O""&amp;TO_TEXT(ROW()-$C$72))"),"")</f>
        <v/>
      </c>
      <c r="P1388" s="61" t="str">
        <f>IFERROR(__xludf.DUMMYFUNCTION("INDIRECT(""'收支紀錄'!P""&amp;TO_TEXT(ROW()-$C$72))"),"")</f>
        <v/>
      </c>
      <c r="Q1388" s="61" t="str">
        <f>IFERROR(__xludf.DUMMYFUNCTION("INDIRECT(""'收支紀錄'!Q""&amp;TO_TEXT(ROW()-$C$72))"),"")</f>
        <v/>
      </c>
      <c r="R1388" s="61" t="str">
        <f>IFERROR(__xludf.DUMMYFUNCTION("INDIRECT(""'收支紀錄'!R""&amp;TO_TEXT(ROW()-$C$72))"),"")</f>
        <v/>
      </c>
      <c r="S1388" s="61" t="str">
        <f>IFERROR(__xludf.DUMMYFUNCTION("INDIRECT(""'收支紀錄'!S""&amp;TO_TEXT(ROW()-$C$72))"),"")</f>
        <v/>
      </c>
      <c r="T1388" s="61" t="str">
        <f>IFERROR(__xludf.DUMMYFUNCTION("INDIRECT(""'收支紀錄'!T""&amp;TO_TEXT(ROW()-$C$72))"),"")</f>
        <v/>
      </c>
      <c r="U1388" s="62" t="str">
        <f>IFERROR(__xludf.DUMMYFUNCTION("IF(T1388=""是"",TEXTJOIN("""", TRUE, ""$"", TO_TEXT(C1388), S1388),"""")"),"")</f>
        <v/>
      </c>
    </row>
    <row r="1389">
      <c r="A1389" s="58">
        <f>IFERROR(__xludf.DUMMYFUNCTION("INDIRECT(""'收支紀錄'!A""&amp;TO_TEXT(ROW()-$C$72))"),46035.683284108796)</f>
        <v>46035.68328</v>
      </c>
      <c r="B1389" s="59">
        <f>IFERROR(__xludf.DUMMYFUNCTION("IF(ISBLANK(D1389), """", IF(ISDATE(D1389), D1389, IF(D1389=""今天"", A1389, IF(D1389=""昨天 (-1 day)"", A1389-1, IF(D1389=""前天 (-2 days)"", A1389-2, IF(D1389=""明天 (+1 day)"", A1389+1, DATE(LEFT(D1389,4), MID(D1389,5,2), RIGHT(D1389,2))))))))"),45662.0)</f>
        <v>45662</v>
      </c>
      <c r="C1389" s="60">
        <f>IFERROR(__xludf.DUMMYFUNCTION("INDIRECT(""'收支紀錄'!C""&amp;TO_TEXT(ROW()-$C$72))"),447.0)</f>
        <v>447</v>
      </c>
      <c r="D1389" s="63">
        <f>IFERROR(__xludf.DUMMYFUNCTION("INDIRECT(""'收支紀錄'!D""&amp;TO_TEXT(ROW()-$C$72))"),2.0250105E7)</f>
        <v>20250105</v>
      </c>
      <c r="E1389" s="61" t="str">
        <f>IFERROR(__xludf.DUMMYFUNCTION("INDIRECT(""'收支紀錄'!E""&amp;TO_TEXT(ROW()-$C$72))"),"工作")</f>
        <v>工作</v>
      </c>
      <c r="F1389" s="61" t="str">
        <f>IFERROR(__xludf.DUMMYFUNCTION("INDIRECT(""'收支紀錄'!F""&amp;TO_TEXT(ROW()-$C$72))"),"加班/津貼")</f>
        <v>加班/津貼</v>
      </c>
      <c r="G1389" s="61" t="str">
        <f>IFERROR(__xludf.DUMMYFUNCTION("INDIRECT(""'收支紀錄'!G""&amp;TO_TEXT(ROW()-$C$72))"),"")</f>
        <v/>
      </c>
      <c r="H1389" s="61" t="str">
        <f>IFERROR(__xludf.DUMMYFUNCTION("INDIRECT(""'收支紀錄'!H""&amp;TO_TEXT(ROW()-$C$72))"),"")</f>
        <v/>
      </c>
      <c r="I1389" s="61" t="str">
        <f>IFERROR(__xludf.DUMMYFUNCTION("INDIRECT(""'收支紀錄'!I""&amp;TO_TEXT(ROW()-$C$72))"),"")</f>
        <v/>
      </c>
      <c r="J1389" s="61" t="str">
        <f>IFERROR(__xludf.DUMMYFUNCTION("INDIRECT(""'收支紀錄'!J""&amp;TO_TEXT(ROW()-$C$72))"),"")</f>
        <v/>
      </c>
      <c r="K1389" s="61" t="str">
        <f>IFERROR(__xludf.DUMMYFUNCTION("INDIRECT(""'收支紀錄'!K""&amp;TO_TEXT(ROW()-$C$72))"),"")</f>
        <v/>
      </c>
      <c r="L1389" s="61" t="str">
        <f>IFERROR(__xludf.DUMMYFUNCTION("INDIRECT(""'收支紀錄'!L""&amp;TO_TEXT(ROW()-$C$72))"),"")</f>
        <v/>
      </c>
      <c r="M1389" s="61" t="str">
        <f>IFERROR(__xludf.DUMMYFUNCTION("INDIRECT(""'收支紀錄'!M""&amp;TO_TEXT(ROW()-$C$72))"),"")</f>
        <v/>
      </c>
      <c r="N1389" s="61" t="str">
        <f>IFERROR(__xludf.DUMMYFUNCTION("INDIRECT(""'收支紀錄'!N""&amp;TO_TEXT(ROW()-$C$72))"),"")</f>
        <v/>
      </c>
      <c r="O1389" s="61" t="str">
        <f>IFERROR(__xludf.DUMMYFUNCTION("INDIRECT(""'收支紀錄'!O""&amp;TO_TEXT(ROW()-$C$72))"),"")</f>
        <v/>
      </c>
      <c r="P1389" s="61" t="str">
        <f>IFERROR(__xludf.DUMMYFUNCTION("INDIRECT(""'收支紀錄'!P""&amp;TO_TEXT(ROW()-$C$72))"),"")</f>
        <v/>
      </c>
      <c r="Q1389" s="61" t="str">
        <f>IFERROR(__xludf.DUMMYFUNCTION("INDIRECT(""'收支紀錄'!Q""&amp;TO_TEXT(ROW()-$C$72))"),"")</f>
        <v/>
      </c>
      <c r="R1389" s="61" t="str">
        <f>IFERROR(__xludf.DUMMYFUNCTION("INDIRECT(""'收支紀錄'!R""&amp;TO_TEXT(ROW()-$C$72))"),"")</f>
        <v/>
      </c>
      <c r="S1389" s="61" t="str">
        <f>IFERROR(__xludf.DUMMYFUNCTION("INDIRECT(""'收支紀錄'!S""&amp;TO_TEXT(ROW()-$C$72))"),"調休")</f>
        <v>調休</v>
      </c>
      <c r="T1389" s="61" t="str">
        <f>IFERROR(__xludf.DUMMYFUNCTION("INDIRECT(""'收支紀錄'!T""&amp;TO_TEXT(ROW()-$C$72))"),"是")</f>
        <v>是</v>
      </c>
      <c r="U1389" s="62" t="str">
        <f>IFERROR(__xludf.DUMMYFUNCTION("IF(T1389=""是"",TEXTJOIN("""", TRUE, ""$"", TO_TEXT(C1389), S1389),"""")"),"$447調休")</f>
        <v>$447調休</v>
      </c>
    </row>
    <row r="1390">
      <c r="A1390" s="58">
        <f>IFERROR(__xludf.DUMMYFUNCTION("INDIRECT(""'收支紀錄'!A""&amp;TO_TEXT(ROW()-$C$72))"),46035.6842518287)</f>
        <v>46035.68425</v>
      </c>
      <c r="B1390" s="59">
        <f>IFERROR(__xludf.DUMMYFUNCTION("IF(ISBLANK(D1390), """", IF(ISDATE(D1390), D1390, IF(D1390=""今天"", A1390, IF(D1390=""昨天 (-1 day)"", A1390-1, IF(D1390=""前天 (-2 days)"", A1390-2, IF(D1390=""明天 (+1 day)"", A1390+1, DATE(LEFT(D1390,4), MID(D1390,5,2), RIGHT(D1390,2))))))))"),46027.0)</f>
        <v>46027</v>
      </c>
      <c r="C1390" s="60">
        <f>IFERROR(__xludf.DUMMYFUNCTION("INDIRECT(""'收支紀錄'!C""&amp;TO_TEXT(ROW()-$C$72))"),1510.0)</f>
        <v>1510</v>
      </c>
      <c r="D1390" s="63">
        <f>IFERROR(__xludf.DUMMYFUNCTION("INDIRECT(""'收支紀錄'!D""&amp;TO_TEXT(ROW()-$C$72))"),2.0260105E7)</f>
        <v>20260105</v>
      </c>
      <c r="E1390" s="61" t="str">
        <f>IFERROR(__xludf.DUMMYFUNCTION("INDIRECT(""'收支紀錄'!E""&amp;TO_TEXT(ROW()-$C$72))"),"")</f>
        <v/>
      </c>
      <c r="F1390" s="61" t="str">
        <f>IFERROR(__xludf.DUMMYFUNCTION("INDIRECT(""'收支紀錄'!F""&amp;TO_TEXT(ROW()-$C$72))"),"")</f>
        <v/>
      </c>
      <c r="G1390" s="61" t="str">
        <f>IFERROR(__xludf.DUMMYFUNCTION("INDIRECT(""'收支紀錄'!G""&amp;TO_TEXT(ROW()-$C$72))"),"")</f>
        <v/>
      </c>
      <c r="H1390" s="61" t="str">
        <f>IFERROR(__xludf.DUMMYFUNCTION("INDIRECT(""'收支紀錄'!H""&amp;TO_TEXT(ROW()-$C$72))"),"食品酒水")</f>
        <v>食品酒水</v>
      </c>
      <c r="I1390" s="61" t="str">
        <f>IFERROR(__xludf.DUMMYFUNCTION("INDIRECT(""'收支紀錄'!I""&amp;TO_TEXT(ROW()-$C$72))"),"前月公司餐費扣款")</f>
        <v>前月公司餐費扣款</v>
      </c>
      <c r="J1390" s="61" t="str">
        <f>IFERROR(__xludf.DUMMYFUNCTION("INDIRECT(""'收支紀錄'!J""&amp;TO_TEXT(ROW()-$C$72))"),"")</f>
        <v/>
      </c>
      <c r="K1390" s="61" t="str">
        <f>IFERROR(__xludf.DUMMYFUNCTION("INDIRECT(""'收支紀錄'!K""&amp;TO_TEXT(ROW()-$C$72))"),"")</f>
        <v/>
      </c>
      <c r="L1390" s="61" t="str">
        <f>IFERROR(__xludf.DUMMYFUNCTION("INDIRECT(""'收支紀錄'!L""&amp;TO_TEXT(ROW()-$C$72))"),"")</f>
        <v/>
      </c>
      <c r="M1390" s="61" t="str">
        <f>IFERROR(__xludf.DUMMYFUNCTION("INDIRECT(""'收支紀錄'!M""&amp;TO_TEXT(ROW()-$C$72))"),"")</f>
        <v/>
      </c>
      <c r="N1390" s="61" t="str">
        <f>IFERROR(__xludf.DUMMYFUNCTION("INDIRECT(""'收支紀錄'!N""&amp;TO_TEXT(ROW()-$C$72))"),"")</f>
        <v/>
      </c>
      <c r="O1390" s="61" t="str">
        <f>IFERROR(__xludf.DUMMYFUNCTION("INDIRECT(""'收支紀錄'!O""&amp;TO_TEXT(ROW()-$C$72))"),"")</f>
        <v/>
      </c>
      <c r="P1390" s="61" t="str">
        <f>IFERROR(__xludf.DUMMYFUNCTION("INDIRECT(""'收支紀錄'!P""&amp;TO_TEXT(ROW()-$C$72))"),"")</f>
        <v/>
      </c>
      <c r="Q1390" s="61" t="str">
        <f>IFERROR(__xludf.DUMMYFUNCTION("INDIRECT(""'收支紀錄'!Q""&amp;TO_TEXT(ROW()-$C$72))"),"")</f>
        <v/>
      </c>
      <c r="R1390" s="61" t="str">
        <f>IFERROR(__xludf.DUMMYFUNCTION("INDIRECT(""'收支紀錄'!R""&amp;TO_TEXT(ROW()-$C$72))"),"")</f>
        <v/>
      </c>
      <c r="S1390" s="61" t="str">
        <f>IFERROR(__xludf.DUMMYFUNCTION("INDIRECT(""'收支紀錄'!S""&amp;TO_TEXT(ROW()-$C$72))"),"")</f>
        <v/>
      </c>
      <c r="T1390" s="61" t="str">
        <f>IFERROR(__xludf.DUMMYFUNCTION("INDIRECT(""'收支紀錄'!T""&amp;TO_TEXT(ROW()-$C$72))"),"")</f>
        <v/>
      </c>
      <c r="U1390" s="62" t="str">
        <f>IFERROR(__xludf.DUMMYFUNCTION("IF(T1390=""是"",TEXTJOIN("""", TRUE, ""$"", TO_TEXT(C1390), S1390),"""")"),"")</f>
        <v/>
      </c>
    </row>
    <row r="1391">
      <c r="A1391" s="58">
        <f>IFERROR(__xludf.DUMMYFUNCTION("INDIRECT(""'收支紀錄'!A""&amp;TO_TEXT(ROW()-$C$72))"),46035.68474341436)</f>
        <v>46035.68474</v>
      </c>
      <c r="B1391" s="59">
        <f>IFERROR(__xludf.DUMMYFUNCTION("IF(ISBLANK(D1391), """", IF(ISDATE(D1391), D1391, IF(D1391=""今天"", A1391, IF(D1391=""昨天 (-1 day)"", A1391-1, IF(D1391=""前天 (-2 days)"", A1391-2, IF(D1391=""明天 (+1 day)"", A1391+1, DATE(LEFT(D1391,4), MID(D1391,5,2), RIGHT(D1391,2))))))))"),46027.0)</f>
        <v>46027</v>
      </c>
      <c r="C1391" s="60">
        <f>IFERROR(__xludf.DUMMYFUNCTION("INDIRECT(""'收支紀錄'!C""&amp;TO_TEXT(ROW()-$C$72))"),4292.0)</f>
        <v>4292</v>
      </c>
      <c r="D1391" s="63">
        <f>IFERROR(__xludf.DUMMYFUNCTION("INDIRECT(""'收支紀錄'!D""&amp;TO_TEXT(ROW()-$C$72))"),2.0260105E7)</f>
        <v>20260105</v>
      </c>
      <c r="E1391" s="61" t="str">
        <f>IFERROR(__xludf.DUMMYFUNCTION("INDIRECT(""'收支紀錄'!E""&amp;TO_TEXT(ROW()-$C$72))"),"")</f>
        <v/>
      </c>
      <c r="F1391" s="61" t="str">
        <f>IFERROR(__xludf.DUMMYFUNCTION("INDIRECT(""'收支紀錄'!F""&amp;TO_TEXT(ROW()-$C$72))"),"")</f>
        <v/>
      </c>
      <c r="G1391" s="61" t="str">
        <f>IFERROR(__xludf.DUMMYFUNCTION("INDIRECT(""'收支紀錄'!G""&amp;TO_TEXT(ROW()-$C$72))"),"")</f>
        <v/>
      </c>
      <c r="H1391" s="61" t="str">
        <f>IFERROR(__xludf.DUMMYFUNCTION("INDIRECT(""'收支紀錄'!H""&amp;TO_TEXT(ROW()-$C$72))"),"投資及其他")</f>
        <v>投資及其他</v>
      </c>
      <c r="I1391" s="61" t="str">
        <f>IFERROR(__xludf.DUMMYFUNCTION("INDIRECT(""'收支紀錄'!I""&amp;TO_TEXT(ROW()-$C$72))"),"")</f>
        <v/>
      </c>
      <c r="J1391" s="61" t="str">
        <f>IFERROR(__xludf.DUMMYFUNCTION("INDIRECT(""'收支紀錄'!J""&amp;TO_TEXT(ROW()-$C$72))"),"")</f>
        <v/>
      </c>
      <c r="K1391" s="61" t="str">
        <f>IFERROR(__xludf.DUMMYFUNCTION("INDIRECT(""'收支紀錄'!K""&amp;TO_TEXT(ROW()-$C$72))"),"")</f>
        <v/>
      </c>
      <c r="L1391" s="61" t="str">
        <f>IFERROR(__xludf.DUMMYFUNCTION("INDIRECT(""'收支紀錄'!L""&amp;TO_TEXT(ROW()-$C$72))"),"")</f>
        <v/>
      </c>
      <c r="M1391" s="61" t="str">
        <f>IFERROR(__xludf.DUMMYFUNCTION("INDIRECT(""'收支紀錄'!M""&amp;TO_TEXT(ROW()-$C$72))"),"")</f>
        <v/>
      </c>
      <c r="N1391" s="61" t="str">
        <f>IFERROR(__xludf.DUMMYFUNCTION("INDIRECT(""'收支紀錄'!N""&amp;TO_TEXT(ROW()-$C$72))"),"")</f>
        <v/>
      </c>
      <c r="O1391" s="61" t="str">
        <f>IFERROR(__xludf.DUMMYFUNCTION("INDIRECT(""'收支紀錄'!O""&amp;TO_TEXT(ROW()-$C$72))"),"")</f>
        <v/>
      </c>
      <c r="P1391" s="61" t="str">
        <f>IFERROR(__xludf.DUMMYFUNCTION("INDIRECT(""'收支紀錄'!P""&amp;TO_TEXT(ROW()-$C$72))"),"")</f>
        <v/>
      </c>
      <c r="Q1391" s="61" t="str">
        <f>IFERROR(__xludf.DUMMYFUNCTION("INDIRECT(""'收支紀錄'!Q""&amp;TO_TEXT(ROW()-$C$72))"),"")</f>
        <v/>
      </c>
      <c r="R1391" s="61" t="str">
        <f>IFERROR(__xludf.DUMMYFUNCTION("INDIRECT(""'收支紀錄'!R""&amp;TO_TEXT(ROW()-$C$72))"),"公司認股")</f>
        <v>公司認股</v>
      </c>
      <c r="S1391" s="61" t="str">
        <f>IFERROR(__xludf.DUMMYFUNCTION("INDIRECT(""'收支紀錄'!S""&amp;TO_TEXT(ROW()-$C$72))"),"")</f>
        <v/>
      </c>
      <c r="T1391" s="61" t="str">
        <f>IFERROR(__xludf.DUMMYFUNCTION("INDIRECT(""'收支紀錄'!T""&amp;TO_TEXT(ROW()-$C$72))"),"")</f>
        <v/>
      </c>
      <c r="U1391" s="62" t="str">
        <f>IFERROR(__xludf.DUMMYFUNCTION("IF(T1391=""是"",TEXTJOIN("""", TRUE, ""$"", TO_TEXT(C1391), S1391),"""")"),"")</f>
        <v/>
      </c>
    </row>
    <row r="1392">
      <c r="A1392" s="58">
        <f>IFERROR(__xludf.DUMMYFUNCTION("INDIRECT(""'收支紀錄'!A""&amp;TO_TEXT(ROW()-$C$72))"),46035.685569305555)</f>
        <v>46035.68557</v>
      </c>
      <c r="B1392" s="59">
        <f>IFERROR(__xludf.DUMMYFUNCTION("IF(ISBLANK(D1392), """", IF(ISDATE(D1392), D1392, IF(D1392=""今天"", A1392, IF(D1392=""昨天 (-1 day)"", A1392-1, IF(D1392=""前天 (-2 days)"", A1392-2, IF(D1392=""明天 (+1 day)"", A1392+1, DATE(LEFT(D1392,4), MID(D1392,5,2), RIGHT(D1392,2))))))))"),46027.0)</f>
        <v>46027</v>
      </c>
      <c r="C1392" s="60">
        <f>IFERROR(__xludf.DUMMYFUNCTION("INDIRECT(""'收支紀錄'!C""&amp;TO_TEXT(ROW()-$C$72))"),6156.0)</f>
        <v>6156</v>
      </c>
      <c r="D1392" s="63">
        <f>IFERROR(__xludf.DUMMYFUNCTION("INDIRECT(""'收支紀錄'!D""&amp;TO_TEXT(ROW()-$C$72))"),2.0260105E7)</f>
        <v>20260105</v>
      </c>
      <c r="E1392" s="61" t="str">
        <f>IFERROR(__xludf.DUMMYFUNCTION("INDIRECT(""'收支紀錄'!E""&amp;TO_TEXT(ROW()-$C$72))"),"")</f>
        <v/>
      </c>
      <c r="F1392" s="61" t="str">
        <f>IFERROR(__xludf.DUMMYFUNCTION("INDIRECT(""'收支紀錄'!F""&amp;TO_TEXT(ROW()-$C$72))"),"")</f>
        <v/>
      </c>
      <c r="G1392" s="61" t="str">
        <f>IFERROR(__xludf.DUMMYFUNCTION("INDIRECT(""'收支紀錄'!G""&amp;TO_TEXT(ROW()-$C$72))"),"")</f>
        <v/>
      </c>
      <c r="H1392" s="61" t="str">
        <f>IFERROR(__xludf.DUMMYFUNCTION("INDIRECT(""'收支紀錄'!H""&amp;TO_TEXT(ROW()-$C$72))"),"稅金保險")</f>
        <v>稅金保險</v>
      </c>
      <c r="I1392" s="61" t="str">
        <f>IFERROR(__xludf.DUMMYFUNCTION("INDIRECT(""'收支紀錄'!I""&amp;TO_TEXT(ROW()-$C$72))"),"")</f>
        <v/>
      </c>
      <c r="J1392" s="61" t="str">
        <f>IFERROR(__xludf.DUMMYFUNCTION("INDIRECT(""'收支紀錄'!J""&amp;TO_TEXT(ROW()-$C$72))"),"")</f>
        <v/>
      </c>
      <c r="K1392" s="61" t="str">
        <f>IFERROR(__xludf.DUMMYFUNCTION("INDIRECT(""'收支紀錄'!K""&amp;TO_TEXT(ROW()-$C$72))"),"")</f>
        <v/>
      </c>
      <c r="L1392" s="61" t="str">
        <f>IFERROR(__xludf.DUMMYFUNCTION("INDIRECT(""'收支紀錄'!L""&amp;TO_TEXT(ROW()-$C$72))"),"")</f>
        <v/>
      </c>
      <c r="M1392" s="61" t="str">
        <f>IFERROR(__xludf.DUMMYFUNCTION("INDIRECT(""'收支紀錄'!M""&amp;TO_TEXT(ROW()-$C$72))"),"")</f>
        <v/>
      </c>
      <c r="N1392" s="61" t="str">
        <f>IFERROR(__xludf.DUMMYFUNCTION("INDIRECT(""'收支紀錄'!N""&amp;TO_TEXT(ROW()-$C$72))"),"勞健保")</f>
        <v>勞健保</v>
      </c>
      <c r="O1392" s="61" t="str">
        <f>IFERROR(__xludf.DUMMYFUNCTION("INDIRECT(""'收支紀錄'!O""&amp;TO_TEXT(ROW()-$C$72))"),"")</f>
        <v/>
      </c>
      <c r="P1392" s="61" t="str">
        <f>IFERROR(__xludf.DUMMYFUNCTION("INDIRECT(""'收支紀錄'!P""&amp;TO_TEXT(ROW()-$C$72))"),"")</f>
        <v/>
      </c>
      <c r="Q1392" s="61" t="str">
        <f>IFERROR(__xludf.DUMMYFUNCTION("INDIRECT(""'收支紀錄'!Q""&amp;TO_TEXT(ROW()-$C$72))"),"")</f>
        <v/>
      </c>
      <c r="R1392" s="61" t="str">
        <f>IFERROR(__xludf.DUMMYFUNCTION("INDIRECT(""'收支紀錄'!R""&amp;TO_TEXT(ROW()-$C$72))"),"")</f>
        <v/>
      </c>
      <c r="S1392" s="61" t="str">
        <f>IFERROR(__xludf.DUMMYFUNCTION("INDIRECT(""'收支紀錄'!S""&amp;TO_TEXT(ROW()-$C$72))"),"")</f>
        <v/>
      </c>
      <c r="T1392" s="61" t="str">
        <f>IFERROR(__xludf.DUMMYFUNCTION("INDIRECT(""'收支紀錄'!T""&amp;TO_TEXT(ROW()-$C$72))"),"")</f>
        <v/>
      </c>
      <c r="U1392" s="62" t="str">
        <f>IFERROR(__xludf.DUMMYFUNCTION("IF(T1392=""是"",TEXTJOIN("""", TRUE, ""$"", TO_TEXT(C1392), S1392),"""")"),"")</f>
        <v/>
      </c>
    </row>
    <row r="1393">
      <c r="A1393" s="58">
        <f>IFERROR(__xludf.DUMMYFUNCTION("INDIRECT(""'收支紀錄'!A""&amp;TO_TEXT(ROW()-$C$72))"),46035.68588168982)</f>
        <v>46035.68588</v>
      </c>
      <c r="B1393" s="59">
        <f>IFERROR(__xludf.DUMMYFUNCTION("IF(ISBLANK(D1393), """", IF(ISDATE(D1393), D1393, IF(D1393=""今天"", A1393, IF(D1393=""昨天 (-1 day)"", A1393-1, IF(D1393=""前天 (-2 days)"", A1393-2, IF(D1393=""明天 (+1 day)"", A1393+1, DATE(LEFT(D1393,4), MID(D1393,5,2), RIGHT(D1393,2))))))))"),46027.0)</f>
        <v>46027</v>
      </c>
      <c r="C1393" s="60">
        <f>IFERROR(__xludf.DUMMYFUNCTION("INDIRECT(""'收支紀錄'!C""&amp;TO_TEXT(ROW()-$C$72))"),537.0)</f>
        <v>537</v>
      </c>
      <c r="D1393" s="63">
        <f>IFERROR(__xludf.DUMMYFUNCTION("INDIRECT(""'收支紀錄'!D""&amp;TO_TEXT(ROW()-$C$72))"),2.0260105E7)</f>
        <v>20260105</v>
      </c>
      <c r="E1393" s="61" t="str">
        <f>IFERROR(__xludf.DUMMYFUNCTION("INDIRECT(""'收支紀錄'!E""&amp;TO_TEXT(ROW()-$C$72))"),"")</f>
        <v/>
      </c>
      <c r="F1393" s="61" t="str">
        <f>IFERROR(__xludf.DUMMYFUNCTION("INDIRECT(""'收支紀錄'!F""&amp;TO_TEXT(ROW()-$C$72))"),"")</f>
        <v/>
      </c>
      <c r="G1393" s="61" t="str">
        <f>IFERROR(__xludf.DUMMYFUNCTION("INDIRECT(""'收支紀錄'!G""&amp;TO_TEXT(ROW()-$C$72))"),"")</f>
        <v/>
      </c>
      <c r="H1393" s="61" t="str">
        <f>IFERROR(__xludf.DUMMYFUNCTION("INDIRECT(""'收支紀錄'!H""&amp;TO_TEXT(ROW()-$C$72))"),"休閒娛樂")</f>
        <v>休閒娛樂</v>
      </c>
      <c r="I1393" s="61" t="str">
        <f>IFERROR(__xludf.DUMMYFUNCTION("INDIRECT(""'收支紀錄'!I""&amp;TO_TEXT(ROW()-$C$72))"),"")</f>
        <v/>
      </c>
      <c r="J1393" s="61" t="str">
        <f>IFERROR(__xludf.DUMMYFUNCTION("INDIRECT(""'收支紀錄'!J""&amp;TO_TEXT(ROW()-$C$72))"),"")</f>
        <v/>
      </c>
      <c r="K1393" s="61" t="str">
        <f>IFERROR(__xludf.DUMMYFUNCTION("INDIRECT(""'收支紀錄'!K""&amp;TO_TEXT(ROW()-$C$72))"),"")</f>
        <v/>
      </c>
      <c r="L1393" s="61" t="str">
        <f>IFERROR(__xludf.DUMMYFUNCTION("INDIRECT(""'收支紀錄'!L""&amp;TO_TEXT(ROW()-$C$72))"),"")</f>
        <v/>
      </c>
      <c r="M1393" s="61" t="str">
        <f>IFERROR(__xludf.DUMMYFUNCTION("INDIRECT(""'收支紀錄'!M""&amp;TO_TEXT(ROW()-$C$72))"),"公司福利金")</f>
        <v>公司福利金</v>
      </c>
      <c r="N1393" s="61" t="str">
        <f>IFERROR(__xludf.DUMMYFUNCTION("INDIRECT(""'收支紀錄'!N""&amp;TO_TEXT(ROW()-$C$72))"),"")</f>
        <v/>
      </c>
      <c r="O1393" s="61" t="str">
        <f>IFERROR(__xludf.DUMMYFUNCTION("INDIRECT(""'收支紀錄'!O""&amp;TO_TEXT(ROW()-$C$72))"),"")</f>
        <v/>
      </c>
      <c r="P1393" s="61" t="str">
        <f>IFERROR(__xludf.DUMMYFUNCTION("INDIRECT(""'收支紀錄'!P""&amp;TO_TEXT(ROW()-$C$72))"),"")</f>
        <v/>
      </c>
      <c r="Q1393" s="61" t="str">
        <f>IFERROR(__xludf.DUMMYFUNCTION("INDIRECT(""'收支紀錄'!Q""&amp;TO_TEXT(ROW()-$C$72))"),"")</f>
        <v/>
      </c>
      <c r="R1393" s="61" t="str">
        <f>IFERROR(__xludf.DUMMYFUNCTION("INDIRECT(""'收支紀錄'!R""&amp;TO_TEXT(ROW()-$C$72))"),"")</f>
        <v/>
      </c>
      <c r="S1393" s="61" t="str">
        <f>IFERROR(__xludf.DUMMYFUNCTION("INDIRECT(""'收支紀錄'!S""&amp;TO_TEXT(ROW()-$C$72))"),"")</f>
        <v/>
      </c>
      <c r="T1393" s="61" t="str">
        <f>IFERROR(__xludf.DUMMYFUNCTION("INDIRECT(""'收支紀錄'!T""&amp;TO_TEXT(ROW()-$C$72))"),"")</f>
        <v/>
      </c>
      <c r="U1393" s="62" t="str">
        <f>IFERROR(__xludf.DUMMYFUNCTION("IF(T1393=""是"",TEXTJOIN("""", TRUE, ""$"", TO_TEXT(C1393), S1393),"""")"),"")</f>
        <v/>
      </c>
    </row>
    <row r="1394">
      <c r="A1394" s="58">
        <f>IFERROR(__xludf.DUMMYFUNCTION("INDIRECT(""'收支紀錄'!A""&amp;TO_TEXT(ROW()-$C$72))"),46035.68632865741)</f>
        <v>46035.68633</v>
      </c>
      <c r="B1394" s="59">
        <f>IFERROR(__xludf.DUMMYFUNCTION("IF(ISBLANK(D1394), """", IF(ISDATE(D1394), D1394, IF(D1394=""今天"", A1394, IF(D1394=""昨天 (-1 day)"", A1394-1, IF(D1394=""前天 (-2 days)"", A1394-2, IF(D1394=""明天 (+1 day)"", A1394+1, DATE(LEFT(D1394,4), MID(D1394,5,2), RIGHT(D1394,2))))))))"),46027.0)</f>
        <v>46027</v>
      </c>
      <c r="C1394" s="60">
        <f>IFERROR(__xludf.DUMMYFUNCTION("INDIRECT(""'收支紀錄'!C""&amp;TO_TEXT(ROW()-$C$72))"),3450.0)</f>
        <v>3450</v>
      </c>
      <c r="D1394" s="63">
        <f>IFERROR(__xludf.DUMMYFUNCTION("INDIRECT(""'收支紀錄'!D""&amp;TO_TEXT(ROW()-$C$72))"),2.0260105E7)</f>
        <v>20260105</v>
      </c>
      <c r="E1394" s="61" t="str">
        <f>IFERROR(__xludf.DUMMYFUNCTION("INDIRECT(""'收支紀錄'!E""&amp;TO_TEXT(ROW()-$C$72))"),"")</f>
        <v/>
      </c>
      <c r="F1394" s="61" t="str">
        <f>IFERROR(__xludf.DUMMYFUNCTION("INDIRECT(""'收支紀錄'!F""&amp;TO_TEXT(ROW()-$C$72))"),"")</f>
        <v/>
      </c>
      <c r="G1394" s="61" t="str">
        <f>IFERROR(__xludf.DUMMYFUNCTION("INDIRECT(""'收支紀錄'!G""&amp;TO_TEXT(ROW()-$C$72))"),"")</f>
        <v/>
      </c>
      <c r="H1394" s="61" t="str">
        <f>IFERROR(__xludf.DUMMYFUNCTION("INDIRECT(""'收支紀錄'!H""&amp;TO_TEXT(ROW()-$C$72))"),"稅金保險")</f>
        <v>稅金保險</v>
      </c>
      <c r="I1394" s="61" t="str">
        <f>IFERROR(__xludf.DUMMYFUNCTION("INDIRECT(""'收支紀錄'!I""&amp;TO_TEXT(ROW()-$C$72))"),"")</f>
        <v/>
      </c>
      <c r="J1394" s="61" t="str">
        <f>IFERROR(__xludf.DUMMYFUNCTION("INDIRECT(""'收支紀錄'!J""&amp;TO_TEXT(ROW()-$C$72))"),"")</f>
        <v/>
      </c>
      <c r="K1394" s="61" t="str">
        <f>IFERROR(__xludf.DUMMYFUNCTION("INDIRECT(""'收支紀錄'!K""&amp;TO_TEXT(ROW()-$C$72))"),"")</f>
        <v/>
      </c>
      <c r="L1394" s="61" t="str">
        <f>IFERROR(__xludf.DUMMYFUNCTION("INDIRECT(""'收支紀錄'!L""&amp;TO_TEXT(ROW()-$C$72))"),"")</f>
        <v/>
      </c>
      <c r="M1394" s="61" t="str">
        <f>IFERROR(__xludf.DUMMYFUNCTION("INDIRECT(""'收支紀錄'!M""&amp;TO_TEXT(ROW()-$C$72))"),"")</f>
        <v/>
      </c>
      <c r="N1394" s="61" t="str">
        <f>IFERROR(__xludf.DUMMYFUNCTION("INDIRECT(""'收支紀錄'!N""&amp;TO_TEXT(ROW()-$C$72))"),"稅金")</f>
        <v>稅金</v>
      </c>
      <c r="O1394" s="61" t="str">
        <f>IFERROR(__xludf.DUMMYFUNCTION("INDIRECT(""'收支紀錄'!O""&amp;TO_TEXT(ROW()-$C$72))"),"")</f>
        <v/>
      </c>
      <c r="P1394" s="61" t="str">
        <f>IFERROR(__xludf.DUMMYFUNCTION("INDIRECT(""'收支紀錄'!P""&amp;TO_TEXT(ROW()-$C$72))"),"")</f>
        <v/>
      </c>
      <c r="Q1394" s="61" t="str">
        <f>IFERROR(__xludf.DUMMYFUNCTION("INDIRECT(""'收支紀錄'!Q""&amp;TO_TEXT(ROW()-$C$72))"),"")</f>
        <v/>
      </c>
      <c r="R1394" s="61" t="str">
        <f>IFERROR(__xludf.DUMMYFUNCTION("INDIRECT(""'收支紀錄'!R""&amp;TO_TEXT(ROW()-$C$72))"),"")</f>
        <v/>
      </c>
      <c r="S1394" s="61" t="str">
        <f>IFERROR(__xludf.DUMMYFUNCTION("INDIRECT(""'收支紀錄'!S""&amp;TO_TEXT(ROW()-$C$72))"),"")</f>
        <v/>
      </c>
      <c r="T1394" s="61" t="str">
        <f>IFERROR(__xludf.DUMMYFUNCTION("INDIRECT(""'收支紀錄'!T""&amp;TO_TEXT(ROW()-$C$72))"),"")</f>
        <v/>
      </c>
      <c r="U1394" s="62" t="str">
        <f>IFERROR(__xludf.DUMMYFUNCTION("IF(T1394=""是"",TEXTJOIN("""", TRUE, ""$"", TO_TEXT(C1394), S1394),"""")"),"")</f>
        <v/>
      </c>
    </row>
    <row r="1395">
      <c r="A1395" s="58">
        <f>IFERROR(__xludf.DUMMYFUNCTION("INDIRECT(""'收支紀錄'!A""&amp;TO_TEXT(ROW()-$C$72))"),46035.68766486111)</f>
        <v>46035.68766</v>
      </c>
      <c r="B1395" s="59">
        <f>IFERROR(__xludf.DUMMYFUNCTION("IF(ISBLANK(D1395), """", IF(ISDATE(D1395), D1395, IF(D1395=""今天"", A1395, IF(D1395=""昨天 (-1 day)"", A1395-1, IF(D1395=""前天 (-2 days)"", A1395-2, IF(D1395=""明天 (+1 day)"", A1395+1, DATE(LEFT(D1395,4), MID(D1395,5,2), RIGHT(D1395,2))))))))"),46022.0)</f>
        <v>46022</v>
      </c>
      <c r="C1395" s="60">
        <f>IFERROR(__xludf.DUMMYFUNCTION("INDIRECT(""'收支紀錄'!C""&amp;TO_TEXT(ROW()-$C$72))"),800.0)</f>
        <v>800</v>
      </c>
      <c r="D1395" s="63">
        <f>IFERROR(__xludf.DUMMYFUNCTION("INDIRECT(""'收支紀錄'!D""&amp;TO_TEXT(ROW()-$C$72))"),2.0251231E7)</f>
        <v>20251231</v>
      </c>
      <c r="E1395" s="61" t="str">
        <f>IFERROR(__xludf.DUMMYFUNCTION("INDIRECT(""'收支紀錄'!E""&amp;TO_TEXT(ROW()-$C$72))"),"")</f>
        <v/>
      </c>
      <c r="F1395" s="61" t="str">
        <f>IFERROR(__xludf.DUMMYFUNCTION("INDIRECT(""'收支紀錄'!F""&amp;TO_TEXT(ROW()-$C$72))"),"")</f>
        <v/>
      </c>
      <c r="G1395" s="61" t="str">
        <f>IFERROR(__xludf.DUMMYFUNCTION("INDIRECT(""'收支紀錄'!G""&amp;TO_TEXT(ROW()-$C$72))"),"")</f>
        <v/>
      </c>
      <c r="H1395" s="61" t="str">
        <f>IFERROR(__xludf.DUMMYFUNCTION("INDIRECT(""'收支紀錄'!H""&amp;TO_TEXT(ROW()-$C$72))"),"行車交通")</f>
        <v>行車交通</v>
      </c>
      <c r="I1395" s="61" t="str">
        <f>IFERROR(__xludf.DUMMYFUNCTION("INDIRECT(""'收支紀錄'!I""&amp;TO_TEXT(ROW()-$C$72))"),"")</f>
        <v/>
      </c>
      <c r="J1395" s="61" t="str">
        <f>IFERROR(__xludf.DUMMYFUNCTION("INDIRECT(""'收支紀錄'!J""&amp;TO_TEXT(ROW()-$C$72))"),"")</f>
        <v/>
      </c>
      <c r="K1395" s="61" t="str">
        <f>IFERROR(__xludf.DUMMYFUNCTION("INDIRECT(""'收支紀錄'!K""&amp;TO_TEXT(ROW()-$C$72))"),"")</f>
        <v/>
      </c>
      <c r="L1395" s="61" t="str">
        <f>IFERROR(__xludf.DUMMYFUNCTION("INDIRECT(""'收支紀錄'!L""&amp;TO_TEXT(ROW()-$C$72))"),"Etag")</f>
        <v>Etag</v>
      </c>
      <c r="M1395" s="61" t="str">
        <f>IFERROR(__xludf.DUMMYFUNCTION("INDIRECT(""'收支紀錄'!M""&amp;TO_TEXT(ROW()-$C$72))"),"")</f>
        <v/>
      </c>
      <c r="N1395" s="61" t="str">
        <f>IFERROR(__xludf.DUMMYFUNCTION("INDIRECT(""'收支紀錄'!N""&amp;TO_TEXT(ROW()-$C$72))"),"")</f>
        <v/>
      </c>
      <c r="O1395" s="61" t="str">
        <f>IFERROR(__xludf.DUMMYFUNCTION("INDIRECT(""'收支紀錄'!O""&amp;TO_TEXT(ROW()-$C$72))"),"")</f>
        <v/>
      </c>
      <c r="P1395" s="61" t="str">
        <f>IFERROR(__xludf.DUMMYFUNCTION("INDIRECT(""'收支紀錄'!P""&amp;TO_TEXT(ROW()-$C$72))"),"")</f>
        <v/>
      </c>
      <c r="Q1395" s="61" t="str">
        <f>IFERROR(__xludf.DUMMYFUNCTION("INDIRECT(""'收支紀錄'!Q""&amp;TO_TEXT(ROW()-$C$72))"),"")</f>
        <v/>
      </c>
      <c r="R1395" s="61" t="str">
        <f>IFERROR(__xludf.DUMMYFUNCTION("INDIRECT(""'收支紀錄'!R""&amp;TO_TEXT(ROW()-$C$72))"),"")</f>
        <v/>
      </c>
      <c r="S1395" s="61" t="str">
        <f>IFERROR(__xludf.DUMMYFUNCTION("INDIRECT(""'收支紀錄'!S""&amp;TO_TEXT(ROW()-$C$72))"),"")</f>
        <v/>
      </c>
      <c r="T1395" s="61" t="str">
        <f>IFERROR(__xludf.DUMMYFUNCTION("INDIRECT(""'收支紀錄'!T""&amp;TO_TEXT(ROW()-$C$72))"),"")</f>
        <v/>
      </c>
      <c r="U1395" s="62" t="str">
        <f>IFERROR(__xludf.DUMMYFUNCTION("IF(T1395=""是"",TEXTJOIN("""", TRUE, ""$"", TO_TEXT(C1395), S1395),"""")"),"")</f>
        <v/>
      </c>
    </row>
    <row r="1396">
      <c r="A1396" s="58">
        <f>IFERROR(__xludf.DUMMYFUNCTION("INDIRECT(""'收支紀錄'!A""&amp;TO_TEXT(ROW()-$C$72))"),46035.68820045139)</f>
        <v>46035.6882</v>
      </c>
      <c r="B1396" s="59">
        <f>IFERROR(__xludf.DUMMYFUNCTION("IF(ISBLANK(D1396), """", IF(ISDATE(D1396), D1396, IF(D1396=""今天"", A1396, IF(D1396=""昨天 (-1 day)"", A1396-1, IF(D1396=""前天 (-2 days)"", A1396-2, IF(D1396=""明天 (+1 day)"", A1396+1, DATE(LEFT(D1396,4), MID(D1396,5,2), RIGHT(D1396,2))))))))"),46022.0)</f>
        <v>46022</v>
      </c>
      <c r="C1396" s="60">
        <f>IFERROR(__xludf.DUMMYFUNCTION("INDIRECT(""'收支紀錄'!C""&amp;TO_TEXT(ROW()-$C$72))"),105.0)</f>
        <v>105</v>
      </c>
      <c r="D1396" s="63">
        <f>IFERROR(__xludf.DUMMYFUNCTION("INDIRECT(""'收支紀錄'!D""&amp;TO_TEXT(ROW()-$C$72))"),2.0251231E7)</f>
        <v>20251231</v>
      </c>
      <c r="E1396" s="61" t="str">
        <f>IFERROR(__xludf.DUMMYFUNCTION("INDIRECT(""'收支紀錄'!E""&amp;TO_TEXT(ROW()-$C$72))"),"")</f>
        <v/>
      </c>
      <c r="F1396" s="61" t="str">
        <f>IFERROR(__xludf.DUMMYFUNCTION("INDIRECT(""'收支紀錄'!F""&amp;TO_TEXT(ROW()-$C$72))"),"")</f>
        <v/>
      </c>
      <c r="G1396" s="61" t="str">
        <f>IFERROR(__xludf.DUMMYFUNCTION("INDIRECT(""'收支紀錄'!G""&amp;TO_TEXT(ROW()-$C$72))"),"")</f>
        <v/>
      </c>
      <c r="H1396" s="61" t="str">
        <f>IFERROR(__xludf.DUMMYFUNCTION("INDIRECT(""'收支紀錄'!H""&amp;TO_TEXT(ROW()-$C$72))"),"行車交通")</f>
        <v>行車交通</v>
      </c>
      <c r="I1396" s="61" t="str">
        <f>IFERROR(__xludf.DUMMYFUNCTION("INDIRECT(""'收支紀錄'!I""&amp;TO_TEXT(ROW()-$C$72))"),"")</f>
        <v/>
      </c>
      <c r="J1396" s="61" t="str">
        <f>IFERROR(__xludf.DUMMYFUNCTION("INDIRECT(""'收支紀錄'!J""&amp;TO_TEXT(ROW()-$C$72))"),"")</f>
        <v/>
      </c>
      <c r="K1396" s="61" t="str">
        <f>IFERROR(__xludf.DUMMYFUNCTION("INDIRECT(""'收支紀錄'!K""&amp;TO_TEXT(ROW()-$C$72))"),"")</f>
        <v/>
      </c>
      <c r="L1396" s="61" t="str">
        <f>IFERROR(__xludf.DUMMYFUNCTION("INDIRECT(""'收支紀錄'!L""&amp;TO_TEXT(ROW()-$C$72))"),"停車")</f>
        <v>停車</v>
      </c>
      <c r="M1396" s="61" t="str">
        <f>IFERROR(__xludf.DUMMYFUNCTION("INDIRECT(""'收支紀錄'!M""&amp;TO_TEXT(ROW()-$C$72))"),"")</f>
        <v/>
      </c>
      <c r="N1396" s="61" t="str">
        <f>IFERROR(__xludf.DUMMYFUNCTION("INDIRECT(""'收支紀錄'!N""&amp;TO_TEXT(ROW()-$C$72))"),"")</f>
        <v/>
      </c>
      <c r="O1396" s="61" t="str">
        <f>IFERROR(__xludf.DUMMYFUNCTION("INDIRECT(""'收支紀錄'!O""&amp;TO_TEXT(ROW()-$C$72))"),"")</f>
        <v/>
      </c>
      <c r="P1396" s="61" t="str">
        <f>IFERROR(__xludf.DUMMYFUNCTION("INDIRECT(""'收支紀錄'!P""&amp;TO_TEXT(ROW()-$C$72))"),"")</f>
        <v/>
      </c>
      <c r="Q1396" s="61" t="str">
        <f>IFERROR(__xludf.DUMMYFUNCTION("INDIRECT(""'收支紀錄'!Q""&amp;TO_TEXT(ROW()-$C$72))"),"")</f>
        <v/>
      </c>
      <c r="R1396" s="61" t="str">
        <f>IFERROR(__xludf.DUMMYFUNCTION("INDIRECT(""'收支紀錄'!R""&amp;TO_TEXT(ROW()-$C$72))"),"")</f>
        <v/>
      </c>
      <c r="S1396" s="61" t="str">
        <f>IFERROR(__xludf.DUMMYFUNCTION("INDIRECT(""'收支紀錄'!S""&amp;TO_TEXT(ROW()-$C$72))"),"")</f>
        <v/>
      </c>
      <c r="T1396" s="61" t="str">
        <f>IFERROR(__xludf.DUMMYFUNCTION("INDIRECT(""'收支紀錄'!T""&amp;TO_TEXT(ROW()-$C$72))"),"")</f>
        <v/>
      </c>
      <c r="U1396" s="62" t="str">
        <f>IFERROR(__xludf.DUMMYFUNCTION("IF(T1396=""是"",TEXTJOIN("""", TRUE, ""$"", TO_TEXT(C1396), S1396),"""")"),"")</f>
        <v/>
      </c>
    </row>
    <row r="1397">
      <c r="A1397" s="58">
        <f>IFERROR(__xludf.DUMMYFUNCTION("INDIRECT(""'收支紀錄'!A""&amp;TO_TEXT(ROW()-$C$72))"),46035.68961460648)</f>
        <v>46035.68961</v>
      </c>
      <c r="B1397" s="59">
        <f>IFERROR(__xludf.DUMMYFUNCTION("IF(ISBLANK(D1397), """", IF(ISDATE(D1397), D1397, IF(D1397=""今天"", A1397, IF(D1397=""昨天 (-1 day)"", A1397-1, IF(D1397=""前天 (-2 days)"", A1397-2, IF(D1397=""明天 (+1 day)"", A1397+1, DATE(LEFT(D1397,4), MID(D1397,5,2), RIGHT(D1397,2))))))))"),46022.0)</f>
        <v>46022</v>
      </c>
      <c r="C1397" s="60">
        <f>IFERROR(__xludf.DUMMYFUNCTION("INDIRECT(""'收支紀錄'!C""&amp;TO_TEXT(ROW()-$C$72))"),1102.0)</f>
        <v>1102</v>
      </c>
      <c r="D1397" s="63">
        <f>IFERROR(__xludf.DUMMYFUNCTION("INDIRECT(""'收支紀錄'!D""&amp;TO_TEXT(ROW()-$C$72))"),2.0251231E7)</f>
        <v>20251231</v>
      </c>
      <c r="E1397" s="61" t="str">
        <f>IFERROR(__xludf.DUMMYFUNCTION("INDIRECT(""'收支紀錄'!E""&amp;TO_TEXT(ROW()-$C$72))"),"")</f>
        <v/>
      </c>
      <c r="F1397" s="61" t="str">
        <f>IFERROR(__xludf.DUMMYFUNCTION("INDIRECT(""'收支紀錄'!F""&amp;TO_TEXT(ROW()-$C$72))"),"")</f>
        <v/>
      </c>
      <c r="G1397" s="61" t="str">
        <f>IFERROR(__xludf.DUMMYFUNCTION("INDIRECT(""'收支紀錄'!G""&amp;TO_TEXT(ROW()-$C$72))"),"")</f>
        <v/>
      </c>
      <c r="H1397" s="61" t="str">
        <f>IFERROR(__xludf.DUMMYFUNCTION("INDIRECT(""'收支紀錄'!H""&amp;TO_TEXT(ROW()-$C$72))"),"房屋支出")</f>
        <v>房屋支出</v>
      </c>
      <c r="I1397" s="61" t="str">
        <f>IFERROR(__xludf.DUMMYFUNCTION("INDIRECT(""'收支紀錄'!I""&amp;TO_TEXT(ROW()-$C$72))"),"")</f>
        <v/>
      </c>
      <c r="J1397" s="61" t="str">
        <f>IFERROR(__xludf.DUMMYFUNCTION("INDIRECT(""'收支紀錄'!J""&amp;TO_TEXT(ROW()-$C$72))"),"")</f>
        <v/>
      </c>
      <c r="K1397" s="61" t="str">
        <f>IFERROR(__xludf.DUMMYFUNCTION("INDIRECT(""'收支紀錄'!K""&amp;TO_TEXT(ROW()-$C$72))"),"電費")</f>
        <v>電費</v>
      </c>
      <c r="L1397" s="61" t="str">
        <f>IFERROR(__xludf.DUMMYFUNCTION("INDIRECT(""'收支紀錄'!L""&amp;TO_TEXT(ROW()-$C$72))"),"")</f>
        <v/>
      </c>
      <c r="M1397" s="61" t="str">
        <f>IFERROR(__xludf.DUMMYFUNCTION("INDIRECT(""'收支紀錄'!M""&amp;TO_TEXT(ROW()-$C$72))"),"")</f>
        <v/>
      </c>
      <c r="N1397" s="61" t="str">
        <f>IFERROR(__xludf.DUMMYFUNCTION("INDIRECT(""'收支紀錄'!N""&amp;TO_TEXT(ROW()-$C$72))"),"")</f>
        <v/>
      </c>
      <c r="O1397" s="61" t="str">
        <f>IFERROR(__xludf.DUMMYFUNCTION("INDIRECT(""'收支紀錄'!O""&amp;TO_TEXT(ROW()-$C$72))"),"")</f>
        <v/>
      </c>
      <c r="P1397" s="61" t="str">
        <f>IFERROR(__xludf.DUMMYFUNCTION("INDIRECT(""'收支紀錄'!P""&amp;TO_TEXT(ROW()-$C$72))"),"")</f>
        <v/>
      </c>
      <c r="Q1397" s="61" t="str">
        <f>IFERROR(__xludf.DUMMYFUNCTION("INDIRECT(""'收支紀錄'!Q""&amp;TO_TEXT(ROW()-$C$72))"),"")</f>
        <v/>
      </c>
      <c r="R1397" s="61" t="str">
        <f>IFERROR(__xludf.DUMMYFUNCTION("INDIRECT(""'收支紀錄'!R""&amp;TO_TEXT(ROW()-$C$72))"),"")</f>
        <v/>
      </c>
      <c r="S1397" s="61" t="str">
        <f>IFERROR(__xludf.DUMMYFUNCTION("INDIRECT(""'收支紀錄'!S""&amp;TO_TEXT(ROW()-$C$72))"),"")</f>
        <v/>
      </c>
      <c r="T1397" s="61" t="str">
        <f>IFERROR(__xludf.DUMMYFUNCTION("INDIRECT(""'收支紀錄'!T""&amp;TO_TEXT(ROW()-$C$72))"),"")</f>
        <v/>
      </c>
      <c r="U1397" s="62" t="str">
        <f>IFERROR(__xludf.DUMMYFUNCTION("IF(T1397=""是"",TEXTJOIN("""", TRUE, ""$"", TO_TEXT(C1397), S1397),"""")"),"")</f>
        <v/>
      </c>
    </row>
    <row r="1398">
      <c r="A1398" s="58">
        <f>IFERROR(__xludf.DUMMYFUNCTION("INDIRECT(""'收支紀錄'!A""&amp;TO_TEXT(ROW()-$C$72))"),46035.70353976852)</f>
        <v>46035.70354</v>
      </c>
      <c r="B1398" s="59">
        <f>IFERROR(__xludf.DUMMYFUNCTION("IF(ISBLANK(D1398), """", IF(ISDATE(D1398), D1398, IF(D1398=""今天"", A1398, IF(D1398=""昨天 (-1 day)"", A1398-1, IF(D1398=""前天 (-2 days)"", A1398-2, IF(D1398=""明天 (+1 day)"", A1398+1, DATE(LEFT(D1398,4), MID(D1398,5,2), RIGHT(D1398,2))))))))"),46035.70353976852)</f>
        <v>46035.70354</v>
      </c>
      <c r="C1398" s="60">
        <f>IFERROR(__xludf.DUMMYFUNCTION("INDIRECT(""'收支紀錄'!C""&amp;TO_TEXT(ROW()-$C$72))"),221.0)</f>
        <v>221</v>
      </c>
      <c r="D1398" s="63" t="str">
        <f>IFERROR(__xludf.DUMMYFUNCTION("INDIRECT(""'收支紀錄'!D""&amp;TO_TEXT(ROW()-$C$72))"),"今天")</f>
        <v>今天</v>
      </c>
      <c r="E1398" s="61" t="str">
        <f>IFERROR(__xludf.DUMMYFUNCTION("INDIRECT(""'收支紀錄'!E""&amp;TO_TEXT(ROW()-$C$72))"),"")</f>
        <v/>
      </c>
      <c r="F1398" s="61" t="str">
        <f>IFERROR(__xludf.DUMMYFUNCTION("INDIRECT(""'收支紀錄'!F""&amp;TO_TEXT(ROW()-$C$72))"),"")</f>
        <v/>
      </c>
      <c r="G1398" s="61" t="str">
        <f>IFERROR(__xludf.DUMMYFUNCTION("INDIRECT(""'收支紀錄'!G""&amp;TO_TEXT(ROW()-$C$72))"),"")</f>
        <v/>
      </c>
      <c r="H1398" s="61" t="str">
        <f>IFERROR(__xludf.DUMMYFUNCTION("INDIRECT(""'收支紀錄'!H""&amp;TO_TEXT(ROW()-$C$72))"),"食品酒水")</f>
        <v>食品酒水</v>
      </c>
      <c r="I1398" s="61" t="str">
        <f>IFERROR(__xludf.DUMMYFUNCTION("INDIRECT(""'收支紀錄'!I""&amp;TO_TEXT(ROW()-$C$72))"),"午餐")</f>
        <v>午餐</v>
      </c>
      <c r="J1398" s="61" t="str">
        <f>IFERROR(__xludf.DUMMYFUNCTION("INDIRECT(""'收支紀錄'!J""&amp;TO_TEXT(ROW()-$C$72))"),"")</f>
        <v/>
      </c>
      <c r="K1398" s="61" t="str">
        <f>IFERROR(__xludf.DUMMYFUNCTION("INDIRECT(""'收支紀錄'!K""&amp;TO_TEXT(ROW()-$C$72))"),"")</f>
        <v/>
      </c>
      <c r="L1398" s="61" t="str">
        <f>IFERROR(__xludf.DUMMYFUNCTION("INDIRECT(""'收支紀錄'!L""&amp;TO_TEXT(ROW()-$C$72))"),"")</f>
        <v/>
      </c>
      <c r="M1398" s="61" t="str">
        <f>IFERROR(__xludf.DUMMYFUNCTION("INDIRECT(""'收支紀錄'!M""&amp;TO_TEXT(ROW()-$C$72))"),"")</f>
        <v/>
      </c>
      <c r="N1398" s="61" t="str">
        <f>IFERROR(__xludf.DUMMYFUNCTION("INDIRECT(""'收支紀錄'!N""&amp;TO_TEXT(ROW()-$C$72))"),"")</f>
        <v/>
      </c>
      <c r="O1398" s="61" t="str">
        <f>IFERROR(__xludf.DUMMYFUNCTION("INDIRECT(""'收支紀錄'!O""&amp;TO_TEXT(ROW()-$C$72))"),"")</f>
        <v/>
      </c>
      <c r="P1398" s="61" t="str">
        <f>IFERROR(__xludf.DUMMYFUNCTION("INDIRECT(""'收支紀錄'!P""&amp;TO_TEXT(ROW()-$C$72))"),"")</f>
        <v/>
      </c>
      <c r="Q1398" s="61" t="str">
        <f>IFERROR(__xludf.DUMMYFUNCTION("INDIRECT(""'收支紀錄'!Q""&amp;TO_TEXT(ROW()-$C$72))"),"")</f>
        <v/>
      </c>
      <c r="R1398" s="61" t="str">
        <f>IFERROR(__xludf.DUMMYFUNCTION("INDIRECT(""'收支紀錄'!R""&amp;TO_TEXT(ROW()-$C$72))"),"")</f>
        <v/>
      </c>
      <c r="S1398" s="61" t="str">
        <f>IFERROR(__xludf.DUMMYFUNCTION("INDIRECT(""'收支紀錄'!S""&amp;TO_TEXT(ROW()-$C$72))"),"")</f>
        <v/>
      </c>
      <c r="T1398" s="61" t="str">
        <f>IFERROR(__xludf.DUMMYFUNCTION("INDIRECT(""'收支紀錄'!T""&amp;TO_TEXT(ROW()-$C$72))"),"")</f>
        <v/>
      </c>
      <c r="U1398" s="62" t="str">
        <f>IFERROR(__xludf.DUMMYFUNCTION("IF(T1398=""是"",TEXTJOIN("""", TRUE, ""$"", TO_TEXT(C1398), S1398),"""")"),"")</f>
        <v/>
      </c>
    </row>
    <row r="1399">
      <c r="A1399" s="58">
        <f>IFERROR(__xludf.DUMMYFUNCTION("INDIRECT(""'收支紀錄'!A""&amp;TO_TEXT(ROW()-$C$72))"),46036.97684913194)</f>
        <v>46036.97685</v>
      </c>
      <c r="B1399" s="59">
        <f>IFERROR(__xludf.DUMMYFUNCTION("IF(ISBLANK(D1399), """", IF(ISDATE(D1399), D1399, IF(D1399=""今天"", A1399, IF(D1399=""昨天 (-1 day)"", A1399-1, IF(D1399=""前天 (-2 days)"", A1399-2, IF(D1399=""明天 (+1 day)"", A1399+1, DATE(LEFT(D1399,4), MID(D1399,5,2), RIGHT(D1399,2))))))))"),46036.97684913194)</f>
        <v>46036.97685</v>
      </c>
      <c r="C1399" s="60">
        <f>IFERROR(__xludf.DUMMYFUNCTION("INDIRECT(""'收支紀錄'!C""&amp;TO_TEXT(ROW()-$C$72))"),658.0)</f>
        <v>658</v>
      </c>
      <c r="D1399" s="63" t="str">
        <f>IFERROR(__xludf.DUMMYFUNCTION("INDIRECT(""'收支紀錄'!D""&amp;TO_TEXT(ROW()-$C$72))"),"今天")</f>
        <v>今天</v>
      </c>
      <c r="E1399" s="61" t="str">
        <f>IFERROR(__xludf.DUMMYFUNCTION("INDIRECT(""'收支紀錄'!E""&amp;TO_TEXT(ROW()-$C$72))"),"")</f>
        <v/>
      </c>
      <c r="F1399" s="61" t="str">
        <f>IFERROR(__xludf.DUMMYFUNCTION("INDIRECT(""'收支紀錄'!F""&amp;TO_TEXT(ROW()-$C$72))"),"")</f>
        <v/>
      </c>
      <c r="G1399" s="61" t="str">
        <f>IFERROR(__xludf.DUMMYFUNCTION("INDIRECT(""'收支紀錄'!G""&amp;TO_TEXT(ROW()-$C$72))"),"")</f>
        <v/>
      </c>
      <c r="H1399" s="61" t="str">
        <f>IFERROR(__xludf.DUMMYFUNCTION("INDIRECT(""'收支紀錄'!H""&amp;TO_TEXT(ROW()-$C$72))"),"行車交通")</f>
        <v>行車交通</v>
      </c>
      <c r="I1399" s="61" t="str">
        <f>IFERROR(__xludf.DUMMYFUNCTION("INDIRECT(""'收支紀錄'!I""&amp;TO_TEXT(ROW()-$C$72))"),"")</f>
        <v/>
      </c>
      <c r="J1399" s="61" t="str">
        <f>IFERROR(__xludf.DUMMYFUNCTION("INDIRECT(""'收支紀錄'!J""&amp;TO_TEXT(ROW()-$C$72))"),"")</f>
        <v/>
      </c>
      <c r="K1399" s="61" t="str">
        <f>IFERROR(__xludf.DUMMYFUNCTION("INDIRECT(""'收支紀錄'!K""&amp;TO_TEXT(ROW()-$C$72))"),"")</f>
        <v/>
      </c>
      <c r="L1399" s="61" t="str">
        <f>IFERROR(__xludf.DUMMYFUNCTION("INDIRECT(""'收支紀錄'!L""&amp;TO_TEXT(ROW()-$C$72))"),"加油")</f>
        <v>加油</v>
      </c>
      <c r="M1399" s="61" t="str">
        <f>IFERROR(__xludf.DUMMYFUNCTION("INDIRECT(""'收支紀錄'!M""&amp;TO_TEXT(ROW()-$C$72))"),"")</f>
        <v/>
      </c>
      <c r="N1399" s="61" t="str">
        <f>IFERROR(__xludf.DUMMYFUNCTION("INDIRECT(""'收支紀錄'!N""&amp;TO_TEXT(ROW()-$C$72))"),"")</f>
        <v/>
      </c>
      <c r="O1399" s="61" t="str">
        <f>IFERROR(__xludf.DUMMYFUNCTION("INDIRECT(""'收支紀錄'!O""&amp;TO_TEXT(ROW()-$C$72))"),"")</f>
        <v/>
      </c>
      <c r="P1399" s="61" t="str">
        <f>IFERROR(__xludf.DUMMYFUNCTION("INDIRECT(""'收支紀錄'!P""&amp;TO_TEXT(ROW()-$C$72))"),"")</f>
        <v/>
      </c>
      <c r="Q1399" s="61" t="str">
        <f>IFERROR(__xludf.DUMMYFUNCTION("INDIRECT(""'收支紀錄'!Q""&amp;TO_TEXT(ROW()-$C$72))"),"")</f>
        <v/>
      </c>
      <c r="R1399" s="61" t="str">
        <f>IFERROR(__xludf.DUMMYFUNCTION("INDIRECT(""'收支紀錄'!R""&amp;TO_TEXT(ROW()-$C$72))"),"")</f>
        <v/>
      </c>
      <c r="S1399" s="61" t="str">
        <f>IFERROR(__xludf.DUMMYFUNCTION("INDIRECT(""'收支紀錄'!S""&amp;TO_TEXT(ROW()-$C$72))"),"")</f>
        <v/>
      </c>
      <c r="T1399" s="61" t="str">
        <f>IFERROR(__xludf.DUMMYFUNCTION("INDIRECT(""'收支紀錄'!T""&amp;TO_TEXT(ROW()-$C$72))"),"")</f>
        <v/>
      </c>
      <c r="U1399" s="62" t="str">
        <f>IFERROR(__xludf.DUMMYFUNCTION("IF(T1399=""是"",TEXTJOIN("""", TRUE, ""$"", TO_TEXT(C1399), S1399),"""")"),"")</f>
        <v/>
      </c>
    </row>
    <row r="1400">
      <c r="A1400" s="58">
        <f>IFERROR(__xludf.DUMMYFUNCTION("INDIRECT(""'收支紀錄'!A""&amp;TO_TEXT(ROW()-$C$72))"),46038.77539412037)</f>
        <v>46038.77539</v>
      </c>
      <c r="B1400" s="59">
        <f>IFERROR(__xludf.DUMMYFUNCTION("IF(ISBLANK(D1400), """", IF(ISDATE(D1400), D1400, IF(D1400=""今天"", A1400, IF(D1400=""昨天 (-1 day)"", A1400-1, IF(D1400=""前天 (-2 days)"", A1400-2, IF(D1400=""明天 (+1 day)"", A1400+1, DATE(LEFT(D1400,4), MID(D1400,5,2), RIGHT(D1400,2))))))))"),46038.77539412037)</f>
        <v>46038.77539</v>
      </c>
      <c r="C1400" s="60">
        <f>IFERROR(__xludf.DUMMYFUNCTION("INDIRECT(""'收支紀錄'!C""&amp;TO_TEXT(ROW()-$C$72))"),1025.0)</f>
        <v>1025</v>
      </c>
      <c r="D1400" s="63" t="str">
        <f>IFERROR(__xludf.DUMMYFUNCTION("INDIRECT(""'收支紀錄'!D""&amp;TO_TEXT(ROW()-$C$72))"),"今天")</f>
        <v>今天</v>
      </c>
      <c r="E1400" s="61" t="str">
        <f>IFERROR(__xludf.DUMMYFUNCTION("INDIRECT(""'收支紀錄'!E""&amp;TO_TEXT(ROW()-$C$72))"),"")</f>
        <v/>
      </c>
      <c r="F1400" s="61" t="str">
        <f>IFERROR(__xludf.DUMMYFUNCTION("INDIRECT(""'收支紀錄'!F""&amp;TO_TEXT(ROW()-$C$72))"),"")</f>
        <v/>
      </c>
      <c r="G1400" s="61" t="str">
        <f>IFERROR(__xludf.DUMMYFUNCTION("INDIRECT(""'收支紀錄'!G""&amp;TO_TEXT(ROW()-$C$72))"),"")</f>
        <v/>
      </c>
      <c r="H1400" s="61" t="str">
        <f>IFERROR(__xludf.DUMMYFUNCTION("INDIRECT(""'收支紀錄'!H""&amp;TO_TEXT(ROW()-$C$72))"),"行車交通")</f>
        <v>行車交通</v>
      </c>
      <c r="I1400" s="61" t="str">
        <f>IFERROR(__xludf.DUMMYFUNCTION("INDIRECT(""'收支紀錄'!I""&amp;TO_TEXT(ROW()-$C$72))"),"")</f>
        <v/>
      </c>
      <c r="J1400" s="61" t="str">
        <f>IFERROR(__xludf.DUMMYFUNCTION("INDIRECT(""'收支紀錄'!J""&amp;TO_TEXT(ROW()-$C$72))"),"")</f>
        <v/>
      </c>
      <c r="K1400" s="61" t="str">
        <f>IFERROR(__xludf.DUMMYFUNCTION("INDIRECT(""'收支紀錄'!K""&amp;TO_TEXT(ROW()-$C$72))"),"")</f>
        <v/>
      </c>
      <c r="L1400" s="61" t="str">
        <f>IFERROR(__xludf.DUMMYFUNCTION("INDIRECT(""'收支紀錄'!L""&amp;TO_TEXT(ROW()-$C$72))"),"高鐵")</f>
        <v>高鐵</v>
      </c>
      <c r="M1400" s="61" t="str">
        <f>IFERROR(__xludf.DUMMYFUNCTION("INDIRECT(""'收支紀錄'!M""&amp;TO_TEXT(ROW()-$C$72))"),"")</f>
        <v/>
      </c>
      <c r="N1400" s="61" t="str">
        <f>IFERROR(__xludf.DUMMYFUNCTION("INDIRECT(""'收支紀錄'!N""&amp;TO_TEXT(ROW()-$C$72))"),"")</f>
        <v/>
      </c>
      <c r="O1400" s="61" t="str">
        <f>IFERROR(__xludf.DUMMYFUNCTION("INDIRECT(""'收支紀錄'!O""&amp;TO_TEXT(ROW()-$C$72))"),"")</f>
        <v/>
      </c>
      <c r="P1400" s="61" t="str">
        <f>IFERROR(__xludf.DUMMYFUNCTION("INDIRECT(""'收支紀錄'!P""&amp;TO_TEXT(ROW()-$C$72))"),"")</f>
        <v/>
      </c>
      <c r="Q1400" s="61" t="str">
        <f>IFERROR(__xludf.DUMMYFUNCTION("INDIRECT(""'收支紀錄'!Q""&amp;TO_TEXT(ROW()-$C$72))"),"")</f>
        <v/>
      </c>
      <c r="R1400" s="61" t="str">
        <f>IFERROR(__xludf.DUMMYFUNCTION("INDIRECT(""'收支紀錄'!R""&amp;TO_TEXT(ROW()-$C$72))"),"")</f>
        <v/>
      </c>
      <c r="S1400" s="61" t="str">
        <f>IFERROR(__xludf.DUMMYFUNCTION("INDIRECT(""'收支紀錄'!S""&amp;TO_TEXT(ROW()-$C$72))"),"")</f>
        <v/>
      </c>
      <c r="T1400" s="61" t="str">
        <f>IFERROR(__xludf.DUMMYFUNCTION("INDIRECT(""'收支紀錄'!T""&amp;TO_TEXT(ROW()-$C$72))"),"")</f>
        <v/>
      </c>
      <c r="U1400" s="62" t="str">
        <f>IFERROR(__xludf.DUMMYFUNCTION("IF(T1400=""是"",TEXTJOIN("""", TRUE, ""$"", TO_TEXT(C1400), S1400),"""")"),"")</f>
        <v/>
      </c>
    </row>
    <row r="1401">
      <c r="A1401" s="58">
        <f>IFERROR(__xludf.DUMMYFUNCTION("INDIRECT(""'收支紀錄'!A""&amp;TO_TEXT(ROW()-$C$72))"),46040.99653049769)</f>
        <v>46040.99653</v>
      </c>
      <c r="B1401" s="59">
        <f>IFERROR(__xludf.DUMMYFUNCTION("IF(ISBLANK(D1401), """", IF(ISDATE(D1401), D1401, IF(D1401=""今天"", A1401, IF(D1401=""昨天 (-1 day)"", A1401-1, IF(D1401=""前天 (-2 days)"", A1401-2, IF(D1401=""明天 (+1 day)"", A1401+1, DATE(LEFT(D1401,4), MID(D1401,5,2), RIGHT(D1401,2))))))))"),46040.99653049769)</f>
        <v>46040.99653</v>
      </c>
      <c r="C1401" s="60">
        <f>IFERROR(__xludf.DUMMYFUNCTION("INDIRECT(""'收支紀錄'!C""&amp;TO_TEXT(ROW()-$C$72))"),460.0)</f>
        <v>460</v>
      </c>
      <c r="D1401" s="63" t="str">
        <f>IFERROR(__xludf.DUMMYFUNCTION("INDIRECT(""'收支紀錄'!D""&amp;TO_TEXT(ROW()-$C$72))"),"今天")</f>
        <v>今天</v>
      </c>
      <c r="E1401" s="61" t="str">
        <f>IFERROR(__xludf.DUMMYFUNCTION("INDIRECT(""'收支紀錄'!E""&amp;TO_TEXT(ROW()-$C$72))"),"")</f>
        <v/>
      </c>
      <c r="F1401" s="61" t="str">
        <f>IFERROR(__xludf.DUMMYFUNCTION("INDIRECT(""'收支紀錄'!F""&amp;TO_TEXT(ROW()-$C$72))"),"")</f>
        <v/>
      </c>
      <c r="G1401" s="61" t="str">
        <f>IFERROR(__xludf.DUMMYFUNCTION("INDIRECT(""'收支紀錄'!G""&amp;TO_TEXT(ROW()-$C$72))"),"")</f>
        <v/>
      </c>
      <c r="H1401" s="61" t="str">
        <f>IFERROR(__xludf.DUMMYFUNCTION("INDIRECT(""'收支紀錄'!H""&amp;TO_TEXT(ROW()-$C$72))"),"食品酒水")</f>
        <v>食品酒水</v>
      </c>
      <c r="I1401" s="61" t="str">
        <f>IFERROR(__xludf.DUMMYFUNCTION("INDIRECT(""'收支紀錄'!I""&amp;TO_TEXT(ROW()-$C$72))"),"晚餐")</f>
        <v>晚餐</v>
      </c>
      <c r="J1401" s="61" t="str">
        <f>IFERROR(__xludf.DUMMYFUNCTION("INDIRECT(""'收支紀錄'!J""&amp;TO_TEXT(ROW()-$C$72))"),"")</f>
        <v/>
      </c>
      <c r="K1401" s="61" t="str">
        <f>IFERROR(__xludf.DUMMYFUNCTION("INDIRECT(""'收支紀錄'!K""&amp;TO_TEXT(ROW()-$C$72))"),"")</f>
        <v/>
      </c>
      <c r="L1401" s="61" t="str">
        <f>IFERROR(__xludf.DUMMYFUNCTION("INDIRECT(""'收支紀錄'!L""&amp;TO_TEXT(ROW()-$C$72))"),"")</f>
        <v/>
      </c>
      <c r="M1401" s="61" t="str">
        <f>IFERROR(__xludf.DUMMYFUNCTION("INDIRECT(""'收支紀錄'!M""&amp;TO_TEXT(ROW()-$C$72))"),"")</f>
        <v/>
      </c>
      <c r="N1401" s="61" t="str">
        <f>IFERROR(__xludf.DUMMYFUNCTION("INDIRECT(""'收支紀錄'!N""&amp;TO_TEXT(ROW()-$C$72))"),"")</f>
        <v/>
      </c>
      <c r="O1401" s="61" t="str">
        <f>IFERROR(__xludf.DUMMYFUNCTION("INDIRECT(""'收支紀錄'!O""&amp;TO_TEXT(ROW()-$C$72))"),"")</f>
        <v/>
      </c>
      <c r="P1401" s="61" t="str">
        <f>IFERROR(__xludf.DUMMYFUNCTION("INDIRECT(""'收支紀錄'!P""&amp;TO_TEXT(ROW()-$C$72))"),"")</f>
        <v/>
      </c>
      <c r="Q1401" s="61" t="str">
        <f>IFERROR(__xludf.DUMMYFUNCTION("INDIRECT(""'收支紀錄'!Q""&amp;TO_TEXT(ROW()-$C$72))"),"")</f>
        <v/>
      </c>
      <c r="R1401" s="61" t="str">
        <f>IFERROR(__xludf.DUMMYFUNCTION("INDIRECT(""'收支紀錄'!R""&amp;TO_TEXT(ROW()-$C$72))"),"")</f>
        <v/>
      </c>
      <c r="S1401" s="61" t="str">
        <f>IFERROR(__xludf.DUMMYFUNCTION("INDIRECT(""'收支紀錄'!S""&amp;TO_TEXT(ROW()-$C$72))"),"")</f>
        <v/>
      </c>
      <c r="T1401" s="61" t="str">
        <f>IFERROR(__xludf.DUMMYFUNCTION("INDIRECT(""'收支紀錄'!T""&amp;TO_TEXT(ROW()-$C$72))"),"")</f>
        <v/>
      </c>
      <c r="U1401" s="62" t="str">
        <f>IFERROR(__xludf.DUMMYFUNCTION("IF(T1401=""是"",TEXTJOIN("""", TRUE, ""$"", TO_TEXT(C1401), S1401),"""")"),"")</f>
        <v/>
      </c>
    </row>
    <row r="1402">
      <c r="A1402" s="58">
        <f>IFERROR(__xludf.DUMMYFUNCTION("INDIRECT(""'收支紀錄'!A""&amp;TO_TEXT(ROW()-$C$72))"),46040.996710046296)</f>
        <v>46040.99671</v>
      </c>
      <c r="B1402" s="59">
        <f>IFERROR(__xludf.DUMMYFUNCTION("IF(ISBLANK(D1402), """", IF(ISDATE(D1402), D1402, IF(D1402=""今天"", A1402, IF(D1402=""昨天 (-1 day)"", A1402-1, IF(D1402=""前天 (-2 days)"", A1402-2, IF(D1402=""明天 (+1 day)"", A1402+1, DATE(LEFT(D1402,4), MID(D1402,5,2), RIGHT(D1402,2))))))))"),46040.996710046296)</f>
        <v>46040.99671</v>
      </c>
      <c r="C1402" s="60">
        <f>IFERROR(__xludf.DUMMYFUNCTION("INDIRECT(""'收支紀錄'!C""&amp;TO_TEXT(ROW()-$C$72))"),174.0)</f>
        <v>174</v>
      </c>
      <c r="D1402" s="63" t="str">
        <f>IFERROR(__xludf.DUMMYFUNCTION("INDIRECT(""'收支紀錄'!D""&amp;TO_TEXT(ROW()-$C$72))"),"今天")</f>
        <v>今天</v>
      </c>
      <c r="E1402" s="61" t="str">
        <f>IFERROR(__xludf.DUMMYFUNCTION("INDIRECT(""'收支紀錄'!E""&amp;TO_TEXT(ROW()-$C$72))"),"")</f>
        <v/>
      </c>
      <c r="F1402" s="61" t="str">
        <f>IFERROR(__xludf.DUMMYFUNCTION("INDIRECT(""'收支紀錄'!F""&amp;TO_TEXT(ROW()-$C$72))"),"")</f>
        <v/>
      </c>
      <c r="G1402" s="61" t="str">
        <f>IFERROR(__xludf.DUMMYFUNCTION("INDIRECT(""'收支紀錄'!G""&amp;TO_TEXT(ROW()-$C$72))"),"")</f>
        <v/>
      </c>
      <c r="H1402" s="61" t="str">
        <f>IFERROR(__xludf.DUMMYFUNCTION("INDIRECT(""'收支紀錄'!H""&amp;TO_TEXT(ROW()-$C$72))"),"食品酒水")</f>
        <v>食品酒水</v>
      </c>
      <c r="I1402" s="61" t="str">
        <f>IFERROR(__xludf.DUMMYFUNCTION("INDIRECT(""'收支紀錄'!I""&amp;TO_TEXT(ROW()-$C$72))"),"食材")</f>
        <v>食材</v>
      </c>
      <c r="J1402" s="61" t="str">
        <f>IFERROR(__xludf.DUMMYFUNCTION("INDIRECT(""'收支紀錄'!J""&amp;TO_TEXT(ROW()-$C$72))"),"")</f>
        <v/>
      </c>
      <c r="K1402" s="61" t="str">
        <f>IFERROR(__xludf.DUMMYFUNCTION("INDIRECT(""'收支紀錄'!K""&amp;TO_TEXT(ROW()-$C$72))"),"")</f>
        <v/>
      </c>
      <c r="L1402" s="61" t="str">
        <f>IFERROR(__xludf.DUMMYFUNCTION("INDIRECT(""'收支紀錄'!L""&amp;TO_TEXT(ROW()-$C$72))"),"")</f>
        <v/>
      </c>
      <c r="M1402" s="61" t="str">
        <f>IFERROR(__xludf.DUMMYFUNCTION("INDIRECT(""'收支紀錄'!M""&amp;TO_TEXT(ROW()-$C$72))"),"")</f>
        <v/>
      </c>
      <c r="N1402" s="61" t="str">
        <f>IFERROR(__xludf.DUMMYFUNCTION("INDIRECT(""'收支紀錄'!N""&amp;TO_TEXT(ROW()-$C$72))"),"")</f>
        <v/>
      </c>
      <c r="O1402" s="61" t="str">
        <f>IFERROR(__xludf.DUMMYFUNCTION("INDIRECT(""'收支紀錄'!O""&amp;TO_TEXT(ROW()-$C$72))"),"")</f>
        <v/>
      </c>
      <c r="P1402" s="61" t="str">
        <f>IFERROR(__xludf.DUMMYFUNCTION("INDIRECT(""'收支紀錄'!P""&amp;TO_TEXT(ROW()-$C$72))"),"")</f>
        <v/>
      </c>
      <c r="Q1402" s="61" t="str">
        <f>IFERROR(__xludf.DUMMYFUNCTION("INDIRECT(""'收支紀錄'!Q""&amp;TO_TEXT(ROW()-$C$72))"),"")</f>
        <v/>
      </c>
      <c r="R1402" s="61" t="str">
        <f>IFERROR(__xludf.DUMMYFUNCTION("INDIRECT(""'收支紀錄'!R""&amp;TO_TEXT(ROW()-$C$72))"),"")</f>
        <v/>
      </c>
      <c r="S1402" s="61" t="str">
        <f>IFERROR(__xludf.DUMMYFUNCTION("INDIRECT(""'收支紀錄'!S""&amp;TO_TEXT(ROW()-$C$72))"),"")</f>
        <v/>
      </c>
      <c r="T1402" s="61" t="str">
        <f>IFERROR(__xludf.DUMMYFUNCTION("INDIRECT(""'收支紀錄'!T""&amp;TO_TEXT(ROW()-$C$72))"),"")</f>
        <v/>
      </c>
      <c r="U1402" s="62" t="str">
        <f>IFERROR(__xludf.DUMMYFUNCTION("IF(T1402=""是"",TEXTJOIN("""", TRUE, ""$"", TO_TEXT(C1402), S1402),"""")"),"")</f>
        <v/>
      </c>
    </row>
    <row r="1403">
      <c r="A1403" s="58">
        <f>IFERROR(__xludf.DUMMYFUNCTION("INDIRECT(""'收支紀錄'!A""&amp;TO_TEXT(ROW()-$C$72))"),46040.99692160879)</f>
        <v>46040.99692</v>
      </c>
      <c r="B1403" s="59">
        <f>IFERROR(__xludf.DUMMYFUNCTION("IF(ISBLANK(D1403), """", IF(ISDATE(D1403), D1403, IF(D1403=""今天"", A1403, IF(D1403=""昨天 (-1 day)"", A1403-1, IF(D1403=""前天 (-2 days)"", A1403-2, IF(D1403=""明天 (+1 day)"", A1403+1, DATE(LEFT(D1403,4), MID(D1403,5,2), RIGHT(D1403,2))))))))"),46040.99692160879)</f>
        <v>46040.99692</v>
      </c>
      <c r="C1403" s="60">
        <f>IFERROR(__xludf.DUMMYFUNCTION("INDIRECT(""'收支紀錄'!C""&amp;TO_TEXT(ROW()-$C$72))"),250.0)</f>
        <v>250</v>
      </c>
      <c r="D1403" s="63" t="str">
        <f>IFERROR(__xludf.DUMMYFUNCTION("INDIRECT(""'收支紀錄'!D""&amp;TO_TEXT(ROW()-$C$72))"),"今天")</f>
        <v>今天</v>
      </c>
      <c r="E1403" s="61" t="str">
        <f>IFERROR(__xludf.DUMMYFUNCTION("INDIRECT(""'收支紀錄'!E""&amp;TO_TEXT(ROW()-$C$72))"),"")</f>
        <v/>
      </c>
      <c r="F1403" s="61" t="str">
        <f>IFERROR(__xludf.DUMMYFUNCTION("INDIRECT(""'收支紀錄'!F""&amp;TO_TEXT(ROW()-$C$72))"),"")</f>
        <v/>
      </c>
      <c r="G1403" s="61" t="str">
        <f>IFERROR(__xludf.DUMMYFUNCTION("INDIRECT(""'收支紀錄'!G""&amp;TO_TEXT(ROW()-$C$72))"),"")</f>
        <v/>
      </c>
      <c r="H1403" s="61" t="str">
        <f>IFERROR(__xludf.DUMMYFUNCTION("INDIRECT(""'收支紀錄'!H""&amp;TO_TEXT(ROW()-$C$72))"),"行車交通")</f>
        <v>行車交通</v>
      </c>
      <c r="I1403" s="61" t="str">
        <f>IFERROR(__xludf.DUMMYFUNCTION("INDIRECT(""'收支紀錄'!I""&amp;TO_TEXT(ROW()-$C$72))"),"")</f>
        <v/>
      </c>
      <c r="J1403" s="61" t="str">
        <f>IFERROR(__xludf.DUMMYFUNCTION("INDIRECT(""'收支紀錄'!J""&amp;TO_TEXT(ROW()-$C$72))"),"")</f>
        <v/>
      </c>
      <c r="K1403" s="61" t="str">
        <f>IFERROR(__xludf.DUMMYFUNCTION("INDIRECT(""'收支紀錄'!K""&amp;TO_TEXT(ROW()-$C$72))"),"")</f>
        <v/>
      </c>
      <c r="L1403" s="61" t="str">
        <f>IFERROR(__xludf.DUMMYFUNCTION("INDIRECT(""'收支紀錄'!L""&amp;TO_TEXT(ROW()-$C$72))"),"其他(洗車,罰單,配件)")</f>
        <v>其他(洗車,罰單,配件)</v>
      </c>
      <c r="M1403" s="61" t="str">
        <f>IFERROR(__xludf.DUMMYFUNCTION("INDIRECT(""'收支紀錄'!M""&amp;TO_TEXT(ROW()-$C$72))"),"")</f>
        <v/>
      </c>
      <c r="N1403" s="61" t="str">
        <f>IFERROR(__xludf.DUMMYFUNCTION("INDIRECT(""'收支紀錄'!N""&amp;TO_TEXT(ROW()-$C$72))"),"")</f>
        <v/>
      </c>
      <c r="O1403" s="61" t="str">
        <f>IFERROR(__xludf.DUMMYFUNCTION("INDIRECT(""'收支紀錄'!O""&amp;TO_TEXT(ROW()-$C$72))"),"")</f>
        <v/>
      </c>
      <c r="P1403" s="61" t="str">
        <f>IFERROR(__xludf.DUMMYFUNCTION("INDIRECT(""'收支紀錄'!P""&amp;TO_TEXT(ROW()-$C$72))"),"")</f>
        <v/>
      </c>
      <c r="Q1403" s="61" t="str">
        <f>IFERROR(__xludf.DUMMYFUNCTION("INDIRECT(""'收支紀錄'!Q""&amp;TO_TEXT(ROW()-$C$72))"),"")</f>
        <v/>
      </c>
      <c r="R1403" s="61" t="str">
        <f>IFERROR(__xludf.DUMMYFUNCTION("INDIRECT(""'收支紀錄'!R""&amp;TO_TEXT(ROW()-$C$72))"),"")</f>
        <v/>
      </c>
      <c r="S1403" s="61" t="str">
        <f>IFERROR(__xludf.DUMMYFUNCTION("INDIRECT(""'收支紀錄'!S""&amp;TO_TEXT(ROW()-$C$72))"),"")</f>
        <v/>
      </c>
      <c r="T1403" s="61" t="str">
        <f>IFERROR(__xludf.DUMMYFUNCTION("INDIRECT(""'收支紀錄'!T""&amp;TO_TEXT(ROW()-$C$72))"),"")</f>
        <v/>
      </c>
      <c r="U1403" s="62" t="str">
        <f>IFERROR(__xludf.DUMMYFUNCTION("IF(T1403=""是"",TEXTJOIN("""", TRUE, ""$"", TO_TEXT(C1403), S1403),"""")"),"")</f>
        <v/>
      </c>
    </row>
    <row r="1404">
      <c r="A1404" s="58">
        <f>IFERROR(__xludf.DUMMYFUNCTION("INDIRECT(""'收支紀錄'!A""&amp;TO_TEXT(ROW()-$C$72))"),46040.997120416665)</f>
        <v>46040.99712</v>
      </c>
      <c r="B1404" s="59">
        <f>IFERROR(__xludf.DUMMYFUNCTION("IF(ISBLANK(D1404), """", IF(ISDATE(D1404), D1404, IF(D1404=""今天"", A1404, IF(D1404=""昨天 (-1 day)"", A1404-1, IF(D1404=""前天 (-2 days)"", A1404-2, IF(D1404=""明天 (+1 day)"", A1404+1, DATE(LEFT(D1404,4), MID(D1404,5,2), RIGHT(D1404,2))))))))"),46040.997120416665)</f>
        <v>46040.99712</v>
      </c>
      <c r="C1404" s="60">
        <f>IFERROR(__xludf.DUMMYFUNCTION("INDIRECT(""'收支紀錄'!C""&amp;TO_TEXT(ROW()-$C$72))"),318.0)</f>
        <v>318</v>
      </c>
      <c r="D1404" s="63" t="str">
        <f>IFERROR(__xludf.DUMMYFUNCTION("INDIRECT(""'收支紀錄'!D""&amp;TO_TEXT(ROW()-$C$72))"),"今天")</f>
        <v>今天</v>
      </c>
      <c r="E1404" s="61" t="str">
        <f>IFERROR(__xludf.DUMMYFUNCTION("INDIRECT(""'收支紀錄'!E""&amp;TO_TEXT(ROW()-$C$72))"),"")</f>
        <v/>
      </c>
      <c r="F1404" s="61" t="str">
        <f>IFERROR(__xludf.DUMMYFUNCTION("INDIRECT(""'收支紀錄'!F""&amp;TO_TEXT(ROW()-$C$72))"),"")</f>
        <v/>
      </c>
      <c r="G1404" s="61" t="str">
        <f>IFERROR(__xludf.DUMMYFUNCTION("INDIRECT(""'收支紀錄'!G""&amp;TO_TEXT(ROW()-$C$72))"),"")</f>
        <v/>
      </c>
      <c r="H1404" s="61" t="str">
        <f>IFERROR(__xludf.DUMMYFUNCTION("INDIRECT(""'收支紀錄'!H""&amp;TO_TEXT(ROW()-$C$72))"),"行車交通")</f>
        <v>行車交通</v>
      </c>
      <c r="I1404" s="61" t="str">
        <f>IFERROR(__xludf.DUMMYFUNCTION("INDIRECT(""'收支紀錄'!I""&amp;TO_TEXT(ROW()-$C$72))"),"")</f>
        <v/>
      </c>
      <c r="J1404" s="61" t="str">
        <f>IFERROR(__xludf.DUMMYFUNCTION("INDIRECT(""'收支紀錄'!J""&amp;TO_TEXT(ROW()-$C$72))"),"")</f>
        <v/>
      </c>
      <c r="K1404" s="61" t="str">
        <f>IFERROR(__xludf.DUMMYFUNCTION("INDIRECT(""'收支紀錄'!K""&amp;TO_TEXT(ROW()-$C$72))"),"")</f>
        <v/>
      </c>
      <c r="L1404" s="61" t="str">
        <f>IFERROR(__xludf.DUMMYFUNCTION("INDIRECT(""'收支紀錄'!L""&amp;TO_TEXT(ROW()-$C$72))"),"加油")</f>
        <v>加油</v>
      </c>
      <c r="M1404" s="61" t="str">
        <f>IFERROR(__xludf.DUMMYFUNCTION("INDIRECT(""'收支紀錄'!M""&amp;TO_TEXT(ROW()-$C$72))"),"")</f>
        <v/>
      </c>
      <c r="N1404" s="61" t="str">
        <f>IFERROR(__xludf.DUMMYFUNCTION("INDIRECT(""'收支紀錄'!N""&amp;TO_TEXT(ROW()-$C$72))"),"")</f>
        <v/>
      </c>
      <c r="O1404" s="61" t="str">
        <f>IFERROR(__xludf.DUMMYFUNCTION("INDIRECT(""'收支紀錄'!O""&amp;TO_TEXT(ROW()-$C$72))"),"")</f>
        <v/>
      </c>
      <c r="P1404" s="61" t="str">
        <f>IFERROR(__xludf.DUMMYFUNCTION("INDIRECT(""'收支紀錄'!P""&amp;TO_TEXT(ROW()-$C$72))"),"")</f>
        <v/>
      </c>
      <c r="Q1404" s="61" t="str">
        <f>IFERROR(__xludf.DUMMYFUNCTION("INDIRECT(""'收支紀錄'!Q""&amp;TO_TEXT(ROW()-$C$72))"),"")</f>
        <v/>
      </c>
      <c r="R1404" s="61" t="str">
        <f>IFERROR(__xludf.DUMMYFUNCTION("INDIRECT(""'收支紀錄'!R""&amp;TO_TEXT(ROW()-$C$72))"),"")</f>
        <v/>
      </c>
      <c r="S1404" s="61" t="str">
        <f>IFERROR(__xludf.DUMMYFUNCTION("INDIRECT(""'收支紀錄'!S""&amp;TO_TEXT(ROW()-$C$72))"),"")</f>
        <v/>
      </c>
      <c r="T1404" s="61" t="str">
        <f>IFERROR(__xludf.DUMMYFUNCTION("INDIRECT(""'收支紀錄'!T""&amp;TO_TEXT(ROW()-$C$72))"),"")</f>
        <v/>
      </c>
      <c r="U1404" s="62" t="str">
        <f>IFERROR(__xludf.DUMMYFUNCTION("IF(T1404=""是"",TEXTJOIN("""", TRUE, ""$"", TO_TEXT(C1404), S1404),"""")"),"")</f>
        <v/>
      </c>
    </row>
    <row r="1405">
      <c r="A1405" s="58">
        <f>IFERROR(__xludf.DUMMYFUNCTION("INDIRECT(""'收支紀錄'!A""&amp;TO_TEXT(ROW()-$C$72))"),46040.99786300926)</f>
        <v>46040.99786</v>
      </c>
      <c r="B1405" s="59">
        <f>IFERROR(__xludf.DUMMYFUNCTION("IF(ISBLANK(D1405), """", IF(ISDATE(D1405), D1405, IF(D1405=""今天"", A1405, IF(D1405=""昨天 (-1 day)"", A1405-1, IF(D1405=""前天 (-2 days)"", A1405-2, IF(D1405=""明天 (+1 day)"", A1405+1, DATE(LEFT(D1405,4), MID(D1405,5,2), RIGHT(D1405,2))))))))"),46040.99786300926)</f>
        <v>46040.99786</v>
      </c>
      <c r="C1405" s="60">
        <f>IFERROR(__xludf.DUMMYFUNCTION("INDIRECT(""'收支紀錄'!C""&amp;TO_TEXT(ROW()-$C$72))"),765.0)</f>
        <v>765</v>
      </c>
      <c r="D1405" s="63" t="str">
        <f>IFERROR(__xludf.DUMMYFUNCTION("INDIRECT(""'收支紀錄'!D""&amp;TO_TEXT(ROW()-$C$72))"),"今天")</f>
        <v>今天</v>
      </c>
      <c r="E1405" s="61" t="str">
        <f>IFERROR(__xludf.DUMMYFUNCTION("INDIRECT(""'收支紀錄'!E""&amp;TO_TEXT(ROW()-$C$72))"),"")</f>
        <v/>
      </c>
      <c r="F1405" s="61" t="str">
        <f>IFERROR(__xludf.DUMMYFUNCTION("INDIRECT(""'收支紀錄'!F""&amp;TO_TEXT(ROW()-$C$72))"),"")</f>
        <v/>
      </c>
      <c r="G1405" s="61" t="str">
        <f>IFERROR(__xludf.DUMMYFUNCTION("INDIRECT(""'收支紀錄'!G""&amp;TO_TEXT(ROW()-$C$72))"),"")</f>
        <v/>
      </c>
      <c r="H1405" s="61" t="str">
        <f>IFERROR(__xludf.DUMMYFUNCTION("INDIRECT(""'收支紀錄'!H""&amp;TO_TEXT(ROW()-$C$72))"),"行車交通")</f>
        <v>行車交通</v>
      </c>
      <c r="I1405" s="61" t="str">
        <f>IFERROR(__xludf.DUMMYFUNCTION("INDIRECT(""'收支紀錄'!I""&amp;TO_TEXT(ROW()-$C$72))"),"")</f>
        <v/>
      </c>
      <c r="J1405" s="61" t="str">
        <f>IFERROR(__xludf.DUMMYFUNCTION("INDIRECT(""'收支紀錄'!J""&amp;TO_TEXT(ROW()-$C$72))"),"")</f>
        <v/>
      </c>
      <c r="K1405" s="61" t="str">
        <f>IFERROR(__xludf.DUMMYFUNCTION("INDIRECT(""'收支紀錄'!K""&amp;TO_TEXT(ROW()-$C$72))"),"")</f>
        <v/>
      </c>
      <c r="L1405" s="61" t="str">
        <f>IFERROR(__xludf.DUMMYFUNCTION("INDIRECT(""'收支紀錄'!L""&amp;TO_TEXT(ROW()-$C$72))"),"高鐵")</f>
        <v>高鐵</v>
      </c>
      <c r="M1405" s="61" t="str">
        <f>IFERROR(__xludf.DUMMYFUNCTION("INDIRECT(""'收支紀錄'!M""&amp;TO_TEXT(ROW()-$C$72))"),"")</f>
        <v/>
      </c>
      <c r="N1405" s="61" t="str">
        <f>IFERROR(__xludf.DUMMYFUNCTION("INDIRECT(""'收支紀錄'!N""&amp;TO_TEXT(ROW()-$C$72))"),"")</f>
        <v/>
      </c>
      <c r="O1405" s="61" t="str">
        <f>IFERROR(__xludf.DUMMYFUNCTION("INDIRECT(""'收支紀錄'!O""&amp;TO_TEXT(ROW()-$C$72))"),"")</f>
        <v/>
      </c>
      <c r="P1405" s="61" t="str">
        <f>IFERROR(__xludf.DUMMYFUNCTION("INDIRECT(""'收支紀錄'!P""&amp;TO_TEXT(ROW()-$C$72))"),"")</f>
        <v/>
      </c>
      <c r="Q1405" s="61" t="str">
        <f>IFERROR(__xludf.DUMMYFUNCTION("INDIRECT(""'收支紀錄'!Q""&amp;TO_TEXT(ROW()-$C$72))"),"")</f>
        <v/>
      </c>
      <c r="R1405" s="61" t="str">
        <f>IFERROR(__xludf.DUMMYFUNCTION("INDIRECT(""'收支紀錄'!R""&amp;TO_TEXT(ROW()-$C$72))"),"")</f>
        <v/>
      </c>
      <c r="S1405" s="61" t="str">
        <f>IFERROR(__xludf.DUMMYFUNCTION("INDIRECT(""'收支紀錄'!S""&amp;TO_TEXT(ROW()-$C$72))"),"")</f>
        <v/>
      </c>
      <c r="T1405" s="61" t="str">
        <f>IFERROR(__xludf.DUMMYFUNCTION("INDIRECT(""'收支紀錄'!T""&amp;TO_TEXT(ROW()-$C$72))"),"")</f>
        <v/>
      </c>
      <c r="U1405" s="62" t="str">
        <f>IFERROR(__xludf.DUMMYFUNCTION("IF(T1405=""是"",TEXTJOIN("""", TRUE, ""$"", TO_TEXT(C1405), S1405),"""")"),"")</f>
        <v/>
      </c>
    </row>
    <row r="1406">
      <c r="A1406" s="58">
        <f>IFERROR(__xludf.DUMMYFUNCTION("INDIRECT(""'收支紀錄'!A""&amp;TO_TEXT(ROW()-$C$72))"),46041.3807674537)</f>
        <v>46041.38077</v>
      </c>
      <c r="B1406" s="59">
        <f>IFERROR(__xludf.DUMMYFUNCTION("IF(ISBLANK(D1406), """", IF(ISDATE(D1406), D1406, IF(D1406=""今天"", A1406, IF(D1406=""昨天 (-1 day)"", A1406-1, IF(D1406=""前天 (-2 days)"", A1406-2, IF(D1406=""明天 (+1 day)"", A1406+1, DATE(LEFT(D1406,4), MID(D1406,5,2), RIGHT(D1406,2))))))))"),46041.3807674537)</f>
        <v>46041.38077</v>
      </c>
      <c r="C1406" s="60">
        <f>IFERROR(__xludf.DUMMYFUNCTION("INDIRECT(""'收支紀錄'!C""&amp;TO_TEXT(ROW()-$C$72))"),200.0)</f>
        <v>200</v>
      </c>
      <c r="D1406" s="63" t="str">
        <f>IFERROR(__xludf.DUMMYFUNCTION("INDIRECT(""'收支紀錄'!D""&amp;TO_TEXT(ROW()-$C$72))"),"今天")</f>
        <v>今天</v>
      </c>
      <c r="E1406" s="61" t="str">
        <f>IFERROR(__xludf.DUMMYFUNCTION("INDIRECT(""'收支紀錄'!E""&amp;TO_TEXT(ROW()-$C$72))"),"")</f>
        <v/>
      </c>
      <c r="F1406" s="61" t="str">
        <f>IFERROR(__xludf.DUMMYFUNCTION("INDIRECT(""'收支紀錄'!F""&amp;TO_TEXT(ROW()-$C$72))"),"")</f>
        <v/>
      </c>
      <c r="G1406" s="61" t="str">
        <f>IFERROR(__xludf.DUMMYFUNCTION("INDIRECT(""'收支紀錄'!G""&amp;TO_TEXT(ROW()-$C$72))"),"")</f>
        <v/>
      </c>
      <c r="H1406" s="61" t="str">
        <f>IFERROR(__xludf.DUMMYFUNCTION("INDIRECT(""'收支紀錄'!H""&amp;TO_TEXT(ROW()-$C$72))"),"醫療費用")</f>
        <v>醫療費用</v>
      </c>
      <c r="I1406" s="61" t="str">
        <f>IFERROR(__xludf.DUMMYFUNCTION("INDIRECT(""'收支紀錄'!I""&amp;TO_TEXT(ROW()-$C$72))"),"")</f>
        <v/>
      </c>
      <c r="J1406" s="61" t="str">
        <f>IFERROR(__xludf.DUMMYFUNCTION("INDIRECT(""'收支紀錄'!J""&amp;TO_TEXT(ROW()-$C$72))"),"")</f>
        <v/>
      </c>
      <c r="K1406" s="61" t="str">
        <f>IFERROR(__xludf.DUMMYFUNCTION("INDIRECT(""'收支紀錄'!K""&amp;TO_TEXT(ROW()-$C$72))"),"")</f>
        <v/>
      </c>
      <c r="L1406" s="61" t="str">
        <f>IFERROR(__xludf.DUMMYFUNCTION("INDIRECT(""'收支紀錄'!L""&amp;TO_TEXT(ROW()-$C$72))"),"")</f>
        <v/>
      </c>
      <c r="M1406" s="61" t="str">
        <f>IFERROR(__xludf.DUMMYFUNCTION("INDIRECT(""'收支紀錄'!M""&amp;TO_TEXT(ROW()-$C$72))"),"")</f>
        <v/>
      </c>
      <c r="N1406" s="61" t="str">
        <f>IFERROR(__xludf.DUMMYFUNCTION("INDIRECT(""'收支紀錄'!N""&amp;TO_TEXT(ROW()-$C$72))"),"")</f>
        <v/>
      </c>
      <c r="O1406" s="61" t="str">
        <f>IFERROR(__xludf.DUMMYFUNCTION("INDIRECT(""'收支紀錄'!O""&amp;TO_TEXT(ROW()-$C$72))"),"生病醫療")</f>
        <v>生病醫療</v>
      </c>
      <c r="P1406" s="61" t="str">
        <f>IFERROR(__xludf.DUMMYFUNCTION("INDIRECT(""'收支紀錄'!P""&amp;TO_TEXT(ROW()-$C$72))"),"")</f>
        <v/>
      </c>
      <c r="Q1406" s="61" t="str">
        <f>IFERROR(__xludf.DUMMYFUNCTION("INDIRECT(""'收支紀錄'!Q""&amp;TO_TEXT(ROW()-$C$72))"),"")</f>
        <v/>
      </c>
      <c r="R1406" s="61" t="str">
        <f>IFERROR(__xludf.DUMMYFUNCTION("INDIRECT(""'收支紀錄'!R""&amp;TO_TEXT(ROW()-$C$72))"),"")</f>
        <v/>
      </c>
      <c r="S1406" s="61" t="str">
        <f>IFERROR(__xludf.DUMMYFUNCTION("INDIRECT(""'收支紀錄'!S""&amp;TO_TEXT(ROW()-$C$72))"),"")</f>
        <v/>
      </c>
      <c r="T1406" s="61" t="str">
        <f>IFERROR(__xludf.DUMMYFUNCTION("INDIRECT(""'收支紀錄'!T""&amp;TO_TEXT(ROW()-$C$72))"),"")</f>
        <v/>
      </c>
      <c r="U1406" s="62" t="str">
        <f>IFERROR(__xludf.DUMMYFUNCTION("IF(T1406=""是"",TEXTJOIN("""", TRUE, ""$"", TO_TEXT(C1406), S1406),"""")"),"")</f>
        <v/>
      </c>
    </row>
    <row r="1407">
      <c r="A1407" s="58">
        <f>IFERROR(__xludf.DUMMYFUNCTION("INDIRECT(""'收支紀錄'!A""&amp;TO_TEXT(ROW()-$C$72))"),46041.3809174537)</f>
        <v>46041.38092</v>
      </c>
      <c r="B1407" s="59">
        <f>IFERROR(__xludf.DUMMYFUNCTION("IF(ISBLANK(D1407), """", IF(ISDATE(D1407), D1407, IF(D1407=""今天"", A1407, IF(D1407=""昨天 (-1 day)"", A1407-1, IF(D1407=""前天 (-2 days)"", A1407-2, IF(D1407=""明天 (+1 day)"", A1407+1, DATE(LEFT(D1407,4), MID(D1407,5,2), RIGHT(D1407,2))))))))"),46041.3809174537)</f>
        <v>46041.38092</v>
      </c>
      <c r="C1407" s="60">
        <f>IFERROR(__xludf.DUMMYFUNCTION("INDIRECT(""'收支紀錄'!C""&amp;TO_TEXT(ROW()-$C$72))"),250.0)</f>
        <v>250</v>
      </c>
      <c r="D1407" s="63" t="str">
        <f>IFERROR(__xludf.DUMMYFUNCTION("INDIRECT(""'收支紀錄'!D""&amp;TO_TEXT(ROW()-$C$72))"),"今天")</f>
        <v>今天</v>
      </c>
      <c r="E1407" s="61" t="str">
        <f>IFERROR(__xludf.DUMMYFUNCTION("INDIRECT(""'收支紀錄'!E""&amp;TO_TEXT(ROW()-$C$72))"),"")</f>
        <v/>
      </c>
      <c r="F1407" s="61" t="str">
        <f>IFERROR(__xludf.DUMMYFUNCTION("INDIRECT(""'收支紀錄'!F""&amp;TO_TEXT(ROW()-$C$72))"),"")</f>
        <v/>
      </c>
      <c r="G1407" s="61" t="str">
        <f>IFERROR(__xludf.DUMMYFUNCTION("INDIRECT(""'收支紀錄'!G""&amp;TO_TEXT(ROW()-$C$72))"),"")</f>
        <v/>
      </c>
      <c r="H1407" s="61" t="str">
        <f>IFERROR(__xludf.DUMMYFUNCTION("INDIRECT(""'收支紀錄'!H""&amp;TO_TEXT(ROW()-$C$72))"),"醫療費用")</f>
        <v>醫療費用</v>
      </c>
      <c r="I1407" s="61" t="str">
        <f>IFERROR(__xludf.DUMMYFUNCTION("INDIRECT(""'收支紀錄'!I""&amp;TO_TEXT(ROW()-$C$72))"),"")</f>
        <v/>
      </c>
      <c r="J1407" s="61" t="str">
        <f>IFERROR(__xludf.DUMMYFUNCTION("INDIRECT(""'收支紀錄'!J""&amp;TO_TEXT(ROW()-$C$72))"),"")</f>
        <v/>
      </c>
      <c r="K1407" s="61" t="str">
        <f>IFERROR(__xludf.DUMMYFUNCTION("INDIRECT(""'收支紀錄'!K""&amp;TO_TEXT(ROW()-$C$72))"),"")</f>
        <v/>
      </c>
      <c r="L1407" s="61" t="str">
        <f>IFERROR(__xludf.DUMMYFUNCTION("INDIRECT(""'收支紀錄'!L""&amp;TO_TEXT(ROW()-$C$72))"),"")</f>
        <v/>
      </c>
      <c r="M1407" s="61" t="str">
        <f>IFERROR(__xludf.DUMMYFUNCTION("INDIRECT(""'收支紀錄'!M""&amp;TO_TEXT(ROW()-$C$72))"),"")</f>
        <v/>
      </c>
      <c r="N1407" s="61" t="str">
        <f>IFERROR(__xludf.DUMMYFUNCTION("INDIRECT(""'收支紀錄'!N""&amp;TO_TEXT(ROW()-$C$72))"),"")</f>
        <v/>
      </c>
      <c r="O1407" s="61" t="str">
        <f>IFERROR(__xludf.DUMMYFUNCTION("INDIRECT(""'收支紀錄'!O""&amp;TO_TEXT(ROW()-$C$72))"),"生病醫療")</f>
        <v>生病醫療</v>
      </c>
      <c r="P1407" s="61" t="str">
        <f>IFERROR(__xludf.DUMMYFUNCTION("INDIRECT(""'收支紀錄'!P""&amp;TO_TEXT(ROW()-$C$72))"),"")</f>
        <v/>
      </c>
      <c r="Q1407" s="61" t="str">
        <f>IFERROR(__xludf.DUMMYFUNCTION("INDIRECT(""'收支紀錄'!Q""&amp;TO_TEXT(ROW()-$C$72))"),"")</f>
        <v/>
      </c>
      <c r="R1407" s="61" t="str">
        <f>IFERROR(__xludf.DUMMYFUNCTION("INDIRECT(""'收支紀錄'!R""&amp;TO_TEXT(ROW()-$C$72))"),"")</f>
        <v/>
      </c>
      <c r="S1407" s="61" t="str">
        <f>IFERROR(__xludf.DUMMYFUNCTION("INDIRECT(""'收支紀錄'!S""&amp;TO_TEXT(ROW()-$C$72))"),"")</f>
        <v/>
      </c>
      <c r="T1407" s="61" t="str">
        <f>IFERROR(__xludf.DUMMYFUNCTION("INDIRECT(""'收支紀錄'!T""&amp;TO_TEXT(ROW()-$C$72))"),"")</f>
        <v/>
      </c>
      <c r="U1407" s="62" t="str">
        <f>IFERROR(__xludf.DUMMYFUNCTION("IF(T1407=""是"",TEXTJOIN("""", TRUE, ""$"", TO_TEXT(C1407), S1407),"""")"),"")</f>
        <v/>
      </c>
    </row>
    <row r="1408">
      <c r="A1408" s="58">
        <f>IFERROR(__xludf.DUMMYFUNCTION("INDIRECT(""'收支紀錄'!A""&amp;TO_TEXT(ROW()-$C$72))"),46041.38105847222)</f>
        <v>46041.38106</v>
      </c>
      <c r="B1408" s="59">
        <f>IFERROR(__xludf.DUMMYFUNCTION("IF(ISBLANK(D1408), """", IF(ISDATE(D1408), D1408, IF(D1408=""今天"", A1408, IF(D1408=""昨天 (-1 day)"", A1408-1, IF(D1408=""前天 (-2 days)"", A1408-2, IF(D1408=""明天 (+1 day)"", A1408+1, DATE(LEFT(D1408,4), MID(D1408,5,2), RIGHT(D1408,2))))))))"),46041.38105847222)</f>
        <v>46041.38106</v>
      </c>
      <c r="C1408" s="60">
        <f>IFERROR(__xludf.DUMMYFUNCTION("INDIRECT(""'收支紀錄'!C""&amp;TO_TEXT(ROW()-$C$72))"),120.0)</f>
        <v>120</v>
      </c>
      <c r="D1408" s="63" t="str">
        <f>IFERROR(__xludf.DUMMYFUNCTION("INDIRECT(""'收支紀錄'!D""&amp;TO_TEXT(ROW()-$C$72))"),"今天")</f>
        <v>今天</v>
      </c>
      <c r="E1408" s="61" t="str">
        <f>IFERROR(__xludf.DUMMYFUNCTION("INDIRECT(""'收支紀錄'!E""&amp;TO_TEXT(ROW()-$C$72))"),"")</f>
        <v/>
      </c>
      <c r="F1408" s="61" t="str">
        <f>IFERROR(__xludf.DUMMYFUNCTION("INDIRECT(""'收支紀錄'!F""&amp;TO_TEXT(ROW()-$C$72))"),"")</f>
        <v/>
      </c>
      <c r="G1408" s="61" t="str">
        <f>IFERROR(__xludf.DUMMYFUNCTION("INDIRECT(""'收支紀錄'!G""&amp;TO_TEXT(ROW()-$C$72))"),"")</f>
        <v/>
      </c>
      <c r="H1408" s="61" t="str">
        <f>IFERROR(__xludf.DUMMYFUNCTION("INDIRECT(""'收支紀錄'!H""&amp;TO_TEXT(ROW()-$C$72))"),"食品酒水")</f>
        <v>食品酒水</v>
      </c>
      <c r="I1408" s="61" t="str">
        <f>IFERROR(__xludf.DUMMYFUNCTION("INDIRECT(""'收支紀錄'!I""&amp;TO_TEXT(ROW()-$C$72))"),"早餐")</f>
        <v>早餐</v>
      </c>
      <c r="J1408" s="61" t="str">
        <f>IFERROR(__xludf.DUMMYFUNCTION("INDIRECT(""'收支紀錄'!J""&amp;TO_TEXT(ROW()-$C$72))"),"")</f>
        <v/>
      </c>
      <c r="K1408" s="61" t="str">
        <f>IFERROR(__xludf.DUMMYFUNCTION("INDIRECT(""'收支紀錄'!K""&amp;TO_TEXT(ROW()-$C$72))"),"")</f>
        <v/>
      </c>
      <c r="L1408" s="61" t="str">
        <f>IFERROR(__xludf.DUMMYFUNCTION("INDIRECT(""'收支紀錄'!L""&amp;TO_TEXT(ROW()-$C$72))"),"")</f>
        <v/>
      </c>
      <c r="M1408" s="61" t="str">
        <f>IFERROR(__xludf.DUMMYFUNCTION("INDIRECT(""'收支紀錄'!M""&amp;TO_TEXT(ROW()-$C$72))"),"")</f>
        <v/>
      </c>
      <c r="N1408" s="61" t="str">
        <f>IFERROR(__xludf.DUMMYFUNCTION("INDIRECT(""'收支紀錄'!N""&amp;TO_TEXT(ROW()-$C$72))"),"")</f>
        <v/>
      </c>
      <c r="O1408" s="61" t="str">
        <f>IFERROR(__xludf.DUMMYFUNCTION("INDIRECT(""'收支紀錄'!O""&amp;TO_TEXT(ROW()-$C$72))"),"")</f>
        <v/>
      </c>
      <c r="P1408" s="61" t="str">
        <f>IFERROR(__xludf.DUMMYFUNCTION("INDIRECT(""'收支紀錄'!P""&amp;TO_TEXT(ROW()-$C$72))"),"")</f>
        <v/>
      </c>
      <c r="Q1408" s="61" t="str">
        <f>IFERROR(__xludf.DUMMYFUNCTION("INDIRECT(""'收支紀錄'!Q""&amp;TO_TEXT(ROW()-$C$72))"),"")</f>
        <v/>
      </c>
      <c r="R1408" s="61" t="str">
        <f>IFERROR(__xludf.DUMMYFUNCTION("INDIRECT(""'收支紀錄'!R""&amp;TO_TEXT(ROW()-$C$72))"),"")</f>
        <v/>
      </c>
      <c r="S1408" s="61" t="str">
        <f>IFERROR(__xludf.DUMMYFUNCTION("INDIRECT(""'收支紀錄'!S""&amp;TO_TEXT(ROW()-$C$72))"),"")</f>
        <v/>
      </c>
      <c r="T1408" s="61" t="str">
        <f>IFERROR(__xludf.DUMMYFUNCTION("INDIRECT(""'收支紀錄'!T""&amp;TO_TEXT(ROW()-$C$72))"),"")</f>
        <v/>
      </c>
      <c r="U1408" s="62" t="str">
        <f>IFERROR(__xludf.DUMMYFUNCTION("IF(T1408=""是"",TEXTJOIN("""", TRUE, ""$"", TO_TEXT(C1408), S1408),"""")"),"")</f>
        <v/>
      </c>
    </row>
    <row r="1409">
      <c r="A1409" s="58">
        <f>IFERROR(__xludf.DUMMYFUNCTION("INDIRECT(""'收支紀錄'!A""&amp;TO_TEXT(ROW()-$C$72))"),46045.93709162037)</f>
        <v>46045.93709</v>
      </c>
      <c r="B1409" s="59">
        <f>IFERROR(__xludf.DUMMYFUNCTION("IF(ISBLANK(D1409), """", IF(ISDATE(D1409), D1409, IF(D1409=""今天"", A1409, IF(D1409=""昨天 (-1 day)"", A1409-1, IF(D1409=""前天 (-2 days)"", A1409-2, IF(D1409=""明天 (+1 day)"", A1409+1, DATE(LEFT(D1409,4), MID(D1409,5,2), RIGHT(D1409,2))))))))"),46045.93709162037)</f>
        <v>46045.93709</v>
      </c>
      <c r="C1409" s="60">
        <f>IFERROR(__xludf.DUMMYFUNCTION("INDIRECT(""'收支紀錄'!C""&amp;TO_TEXT(ROW()-$C$72))"),851.0)</f>
        <v>851</v>
      </c>
      <c r="D1409" s="63" t="str">
        <f>IFERROR(__xludf.DUMMYFUNCTION("INDIRECT(""'收支紀錄'!D""&amp;TO_TEXT(ROW()-$C$72))"),"今天")</f>
        <v>今天</v>
      </c>
      <c r="E1409" s="61" t="str">
        <f>IFERROR(__xludf.DUMMYFUNCTION("INDIRECT(""'收支紀錄'!E""&amp;TO_TEXT(ROW()-$C$72))"),"")</f>
        <v/>
      </c>
      <c r="F1409" s="61" t="str">
        <f>IFERROR(__xludf.DUMMYFUNCTION("INDIRECT(""'收支紀錄'!F""&amp;TO_TEXT(ROW()-$C$72))"),"")</f>
        <v/>
      </c>
      <c r="G1409" s="61" t="str">
        <f>IFERROR(__xludf.DUMMYFUNCTION("INDIRECT(""'收支紀錄'!G""&amp;TO_TEXT(ROW()-$C$72))"),"")</f>
        <v/>
      </c>
      <c r="H1409" s="61" t="str">
        <f>IFERROR(__xludf.DUMMYFUNCTION("INDIRECT(""'收支紀錄'!H""&amp;TO_TEXT(ROW()-$C$72))"),"行車交通")</f>
        <v>行車交通</v>
      </c>
      <c r="I1409" s="61" t="str">
        <f>IFERROR(__xludf.DUMMYFUNCTION("INDIRECT(""'收支紀錄'!I""&amp;TO_TEXT(ROW()-$C$72))"),"")</f>
        <v/>
      </c>
      <c r="J1409" s="61" t="str">
        <f>IFERROR(__xludf.DUMMYFUNCTION("INDIRECT(""'收支紀錄'!J""&amp;TO_TEXT(ROW()-$C$72))"),"")</f>
        <v/>
      </c>
      <c r="K1409" s="61" t="str">
        <f>IFERROR(__xludf.DUMMYFUNCTION("INDIRECT(""'收支紀錄'!K""&amp;TO_TEXT(ROW()-$C$72))"),"")</f>
        <v/>
      </c>
      <c r="L1409" s="61" t="str">
        <f>IFERROR(__xludf.DUMMYFUNCTION("INDIRECT(""'收支紀錄'!L""&amp;TO_TEXT(ROW()-$C$72))"),"車-保險稅金")</f>
        <v>車-保險稅金</v>
      </c>
      <c r="M1409" s="61" t="str">
        <f>IFERROR(__xludf.DUMMYFUNCTION("INDIRECT(""'收支紀錄'!M""&amp;TO_TEXT(ROW()-$C$72))"),"")</f>
        <v/>
      </c>
      <c r="N1409" s="61" t="str">
        <f>IFERROR(__xludf.DUMMYFUNCTION("INDIRECT(""'收支紀錄'!N""&amp;TO_TEXT(ROW()-$C$72))"),"")</f>
        <v/>
      </c>
      <c r="O1409" s="61" t="str">
        <f>IFERROR(__xludf.DUMMYFUNCTION("INDIRECT(""'收支紀錄'!O""&amp;TO_TEXT(ROW()-$C$72))"),"")</f>
        <v/>
      </c>
      <c r="P1409" s="61" t="str">
        <f>IFERROR(__xludf.DUMMYFUNCTION("INDIRECT(""'收支紀錄'!P""&amp;TO_TEXT(ROW()-$C$72))"),"")</f>
        <v/>
      </c>
      <c r="Q1409" s="61" t="str">
        <f>IFERROR(__xludf.DUMMYFUNCTION("INDIRECT(""'收支紀錄'!Q""&amp;TO_TEXT(ROW()-$C$72))"),"")</f>
        <v/>
      </c>
      <c r="R1409" s="61" t="str">
        <f>IFERROR(__xludf.DUMMYFUNCTION("INDIRECT(""'收支紀錄'!R""&amp;TO_TEXT(ROW()-$C$72))"),"")</f>
        <v/>
      </c>
      <c r="S1409" s="61" t="str">
        <f>IFERROR(__xludf.DUMMYFUNCTION("INDIRECT(""'收支紀錄'!S""&amp;TO_TEXT(ROW()-$C$72))"),"機車保險")</f>
        <v>機車保險</v>
      </c>
      <c r="T1409" s="61" t="str">
        <f>IFERROR(__xludf.DUMMYFUNCTION("INDIRECT(""'收支紀錄'!T""&amp;TO_TEXT(ROW()-$C$72))"),"否")</f>
        <v>否</v>
      </c>
      <c r="U1409" s="62" t="str">
        <f>IFERROR(__xludf.DUMMYFUNCTION("IF(T1409=""是"",TEXTJOIN("""", TRUE, ""$"", TO_TEXT(C1409), S1409),"""")"),"")</f>
        <v/>
      </c>
    </row>
    <row r="1410">
      <c r="A1410" s="58">
        <f>IFERROR(__xludf.DUMMYFUNCTION("INDIRECT(""'收支紀錄'!A""&amp;TO_TEXT(ROW()-$C$72))"),46047.06979497685)</f>
        <v>46047.06979</v>
      </c>
      <c r="B1410" s="59">
        <f>IFERROR(__xludf.DUMMYFUNCTION("IF(ISBLANK(D1410), """", IF(ISDATE(D1410), D1410, IF(D1410=""今天"", A1410, IF(D1410=""昨天 (-1 day)"", A1410-1, IF(D1410=""前天 (-2 days)"", A1410-2, IF(D1410=""明天 (+1 day)"", A1410+1, DATE(LEFT(D1410,4), MID(D1410,5,2), RIGHT(D1410,2))))))))"),46046.06979497685)</f>
        <v>46046.06979</v>
      </c>
      <c r="C1410" s="60">
        <f>IFERROR(__xludf.DUMMYFUNCTION("INDIRECT(""'收支紀錄'!C""&amp;TO_TEXT(ROW()-$C$72))"),325.0)</f>
        <v>325</v>
      </c>
      <c r="D1410" s="63" t="str">
        <f>IFERROR(__xludf.DUMMYFUNCTION("INDIRECT(""'收支紀錄'!D""&amp;TO_TEXT(ROW()-$C$72))"),"昨天 (-1 day)")</f>
        <v>昨天 (-1 day)</v>
      </c>
      <c r="E1410" s="61" t="str">
        <f>IFERROR(__xludf.DUMMYFUNCTION("INDIRECT(""'收支紀錄'!E""&amp;TO_TEXT(ROW()-$C$72))"),"")</f>
        <v/>
      </c>
      <c r="F1410" s="61" t="str">
        <f>IFERROR(__xludf.DUMMYFUNCTION("INDIRECT(""'收支紀錄'!F""&amp;TO_TEXT(ROW()-$C$72))"),"")</f>
        <v/>
      </c>
      <c r="G1410" s="61" t="str">
        <f>IFERROR(__xludf.DUMMYFUNCTION("INDIRECT(""'收支紀錄'!G""&amp;TO_TEXT(ROW()-$C$72))"),"")</f>
        <v/>
      </c>
      <c r="H1410" s="61" t="str">
        <f>IFERROR(__xludf.DUMMYFUNCTION("INDIRECT(""'收支紀錄'!H""&amp;TO_TEXT(ROW()-$C$72))"),"食品酒水")</f>
        <v>食品酒水</v>
      </c>
      <c r="I1410" s="61" t="str">
        <f>IFERROR(__xludf.DUMMYFUNCTION("INDIRECT(""'收支紀錄'!I""&amp;TO_TEXT(ROW()-$C$72))"),"食材")</f>
        <v>食材</v>
      </c>
      <c r="J1410" s="61" t="str">
        <f>IFERROR(__xludf.DUMMYFUNCTION("INDIRECT(""'收支紀錄'!J""&amp;TO_TEXT(ROW()-$C$72))"),"")</f>
        <v/>
      </c>
      <c r="K1410" s="61" t="str">
        <f>IFERROR(__xludf.DUMMYFUNCTION("INDIRECT(""'收支紀錄'!K""&amp;TO_TEXT(ROW()-$C$72))"),"")</f>
        <v/>
      </c>
      <c r="L1410" s="61" t="str">
        <f>IFERROR(__xludf.DUMMYFUNCTION("INDIRECT(""'收支紀錄'!L""&amp;TO_TEXT(ROW()-$C$72))"),"")</f>
        <v/>
      </c>
      <c r="M1410" s="61" t="str">
        <f>IFERROR(__xludf.DUMMYFUNCTION("INDIRECT(""'收支紀錄'!M""&amp;TO_TEXT(ROW()-$C$72))"),"")</f>
        <v/>
      </c>
      <c r="N1410" s="61" t="str">
        <f>IFERROR(__xludf.DUMMYFUNCTION("INDIRECT(""'收支紀錄'!N""&amp;TO_TEXT(ROW()-$C$72))"),"")</f>
        <v/>
      </c>
      <c r="O1410" s="61" t="str">
        <f>IFERROR(__xludf.DUMMYFUNCTION("INDIRECT(""'收支紀錄'!O""&amp;TO_TEXT(ROW()-$C$72))"),"")</f>
        <v/>
      </c>
      <c r="P1410" s="61" t="str">
        <f>IFERROR(__xludf.DUMMYFUNCTION("INDIRECT(""'收支紀錄'!P""&amp;TO_TEXT(ROW()-$C$72))"),"")</f>
        <v/>
      </c>
      <c r="Q1410" s="61" t="str">
        <f>IFERROR(__xludf.DUMMYFUNCTION("INDIRECT(""'收支紀錄'!Q""&amp;TO_TEXT(ROW()-$C$72))"),"")</f>
        <v/>
      </c>
      <c r="R1410" s="61" t="str">
        <f>IFERROR(__xludf.DUMMYFUNCTION("INDIRECT(""'收支紀錄'!R""&amp;TO_TEXT(ROW()-$C$72))"),"")</f>
        <v/>
      </c>
      <c r="S1410" s="61" t="str">
        <f>IFERROR(__xludf.DUMMYFUNCTION("INDIRECT(""'收支紀錄'!S""&amp;TO_TEXT(ROW()-$C$72))"),"")</f>
        <v/>
      </c>
      <c r="T1410" s="61" t="str">
        <f>IFERROR(__xludf.DUMMYFUNCTION("INDIRECT(""'收支紀錄'!T""&amp;TO_TEXT(ROW()-$C$72))"),"")</f>
        <v/>
      </c>
      <c r="U1410" s="62" t="str">
        <f>IFERROR(__xludf.DUMMYFUNCTION("IF(T1410=""是"",TEXTJOIN("""", TRUE, ""$"", TO_TEXT(C1410), S1410),"""")"),"")</f>
        <v/>
      </c>
    </row>
    <row r="1411">
      <c r="A1411" s="58">
        <f>IFERROR(__xludf.DUMMYFUNCTION("INDIRECT(""'收支紀錄'!A""&amp;TO_TEXT(ROW()-$C$72))"),46047.67492380787)</f>
        <v>46047.67492</v>
      </c>
      <c r="B1411" s="59">
        <f>IFERROR(__xludf.DUMMYFUNCTION("IF(ISBLANK(D1411), """", IF(ISDATE(D1411), D1411, IF(D1411=""今天"", A1411, IF(D1411=""昨天 (-1 day)"", A1411-1, IF(D1411=""前天 (-2 days)"", A1411-2, IF(D1411=""明天 (+1 day)"", A1411+1, DATE(LEFT(D1411,4), MID(D1411,5,2), RIGHT(D1411,2))))))))"),46047.67492380787)</f>
        <v>46047.67492</v>
      </c>
      <c r="C1411" s="60">
        <f>IFERROR(__xludf.DUMMYFUNCTION("INDIRECT(""'收支紀錄'!C""&amp;TO_TEXT(ROW()-$C$72))"),350.0)</f>
        <v>350</v>
      </c>
      <c r="D1411" s="63" t="str">
        <f>IFERROR(__xludf.DUMMYFUNCTION("INDIRECT(""'收支紀錄'!D""&amp;TO_TEXT(ROW()-$C$72))"),"今天")</f>
        <v>今天</v>
      </c>
      <c r="E1411" s="61" t="str">
        <f>IFERROR(__xludf.DUMMYFUNCTION("INDIRECT(""'收支紀錄'!E""&amp;TO_TEXT(ROW()-$C$72))"),"")</f>
        <v/>
      </c>
      <c r="F1411" s="61" t="str">
        <f>IFERROR(__xludf.DUMMYFUNCTION("INDIRECT(""'收支紀錄'!F""&amp;TO_TEXT(ROW()-$C$72))"),"")</f>
        <v/>
      </c>
      <c r="G1411" s="61" t="str">
        <f>IFERROR(__xludf.DUMMYFUNCTION("INDIRECT(""'收支紀錄'!G""&amp;TO_TEXT(ROW()-$C$72))"),"")</f>
        <v/>
      </c>
      <c r="H1411" s="61" t="str">
        <f>IFERROR(__xludf.DUMMYFUNCTION("INDIRECT(""'收支紀錄'!H""&amp;TO_TEXT(ROW()-$C$72))"),"食品酒水")</f>
        <v>食品酒水</v>
      </c>
      <c r="I1411" s="61" t="str">
        <f>IFERROR(__xludf.DUMMYFUNCTION("INDIRECT(""'收支紀錄'!I""&amp;TO_TEXT(ROW()-$C$72))"),"午餐")</f>
        <v>午餐</v>
      </c>
      <c r="J1411" s="61" t="str">
        <f>IFERROR(__xludf.DUMMYFUNCTION("INDIRECT(""'收支紀錄'!J""&amp;TO_TEXT(ROW()-$C$72))"),"")</f>
        <v/>
      </c>
      <c r="K1411" s="61" t="str">
        <f>IFERROR(__xludf.DUMMYFUNCTION("INDIRECT(""'收支紀錄'!K""&amp;TO_TEXT(ROW()-$C$72))"),"")</f>
        <v/>
      </c>
      <c r="L1411" s="61" t="str">
        <f>IFERROR(__xludf.DUMMYFUNCTION("INDIRECT(""'收支紀錄'!L""&amp;TO_TEXT(ROW()-$C$72))"),"")</f>
        <v/>
      </c>
      <c r="M1411" s="61" t="str">
        <f>IFERROR(__xludf.DUMMYFUNCTION("INDIRECT(""'收支紀錄'!M""&amp;TO_TEXT(ROW()-$C$72))"),"")</f>
        <v/>
      </c>
      <c r="N1411" s="61" t="str">
        <f>IFERROR(__xludf.DUMMYFUNCTION("INDIRECT(""'收支紀錄'!N""&amp;TO_TEXT(ROW()-$C$72))"),"")</f>
        <v/>
      </c>
      <c r="O1411" s="61" t="str">
        <f>IFERROR(__xludf.DUMMYFUNCTION("INDIRECT(""'收支紀錄'!O""&amp;TO_TEXT(ROW()-$C$72))"),"")</f>
        <v/>
      </c>
      <c r="P1411" s="61" t="str">
        <f>IFERROR(__xludf.DUMMYFUNCTION("INDIRECT(""'收支紀錄'!P""&amp;TO_TEXT(ROW()-$C$72))"),"")</f>
        <v/>
      </c>
      <c r="Q1411" s="61" t="str">
        <f>IFERROR(__xludf.DUMMYFUNCTION("INDIRECT(""'收支紀錄'!Q""&amp;TO_TEXT(ROW()-$C$72))"),"")</f>
        <v/>
      </c>
      <c r="R1411" s="61" t="str">
        <f>IFERROR(__xludf.DUMMYFUNCTION("INDIRECT(""'收支紀錄'!R""&amp;TO_TEXT(ROW()-$C$72))"),"")</f>
        <v/>
      </c>
      <c r="S1411" s="61" t="str">
        <f>IFERROR(__xludf.DUMMYFUNCTION("INDIRECT(""'收支紀錄'!S""&amp;TO_TEXT(ROW()-$C$72))"),"")</f>
        <v/>
      </c>
      <c r="T1411" s="61" t="str">
        <f>IFERROR(__xludf.DUMMYFUNCTION("INDIRECT(""'收支紀錄'!T""&amp;TO_TEXT(ROW()-$C$72))"),"")</f>
        <v/>
      </c>
      <c r="U1411" s="62" t="str">
        <f>IFERROR(__xludf.DUMMYFUNCTION("IF(T1411=""是"",TEXTJOIN("""", TRUE, ""$"", TO_TEXT(C1411), S1411),"""")"),"")</f>
        <v/>
      </c>
    </row>
    <row r="1412">
      <c r="A1412" s="58">
        <f>IFERROR(__xludf.DUMMYFUNCTION("INDIRECT(""'收支紀錄'!A""&amp;TO_TEXT(ROW()-$C$72))"),46047.788685277774)</f>
        <v>46047.78869</v>
      </c>
      <c r="B1412" s="59">
        <f>IFERROR(__xludf.DUMMYFUNCTION("IF(ISBLANK(D1412), """", IF(ISDATE(D1412), D1412, IF(D1412=""今天"", A1412, IF(D1412=""昨天 (-1 day)"", A1412-1, IF(D1412=""前天 (-2 days)"", A1412-2, IF(D1412=""明天 (+1 day)"", A1412+1, DATE(LEFT(D1412,4), MID(D1412,5,2), RIGHT(D1412,2))))))))"),46047.788685277774)</f>
        <v>46047.78869</v>
      </c>
      <c r="C1412" s="60">
        <f>IFERROR(__xludf.DUMMYFUNCTION("INDIRECT(""'收支紀錄'!C""&amp;TO_TEXT(ROW()-$C$72))"),1207.0)</f>
        <v>1207</v>
      </c>
      <c r="D1412" s="63" t="str">
        <f>IFERROR(__xludf.DUMMYFUNCTION("INDIRECT(""'收支紀錄'!D""&amp;TO_TEXT(ROW()-$C$72))"),"今天")</f>
        <v>今天</v>
      </c>
      <c r="E1412" s="61" t="str">
        <f>IFERROR(__xludf.DUMMYFUNCTION("INDIRECT(""'收支紀錄'!E""&amp;TO_TEXT(ROW()-$C$72))"),"")</f>
        <v/>
      </c>
      <c r="F1412" s="61" t="str">
        <f>IFERROR(__xludf.DUMMYFUNCTION("INDIRECT(""'收支紀錄'!F""&amp;TO_TEXT(ROW()-$C$72))"),"")</f>
        <v/>
      </c>
      <c r="G1412" s="61" t="str">
        <f>IFERROR(__xludf.DUMMYFUNCTION("INDIRECT(""'收支紀錄'!G""&amp;TO_TEXT(ROW()-$C$72))"),"")</f>
        <v/>
      </c>
      <c r="H1412" s="61" t="str">
        <f>IFERROR(__xludf.DUMMYFUNCTION("INDIRECT(""'收支紀錄'!H""&amp;TO_TEXT(ROW()-$C$72))"),"食品酒水")</f>
        <v>食品酒水</v>
      </c>
      <c r="I1412" s="61" t="str">
        <f>IFERROR(__xludf.DUMMYFUNCTION("INDIRECT(""'收支紀錄'!I""&amp;TO_TEXT(ROW()-$C$72))"),"食材")</f>
        <v>食材</v>
      </c>
      <c r="J1412" s="61" t="str">
        <f>IFERROR(__xludf.DUMMYFUNCTION("INDIRECT(""'收支紀錄'!J""&amp;TO_TEXT(ROW()-$C$72))"),"")</f>
        <v/>
      </c>
      <c r="K1412" s="61" t="str">
        <f>IFERROR(__xludf.DUMMYFUNCTION("INDIRECT(""'收支紀錄'!K""&amp;TO_TEXT(ROW()-$C$72))"),"")</f>
        <v/>
      </c>
      <c r="L1412" s="61" t="str">
        <f>IFERROR(__xludf.DUMMYFUNCTION("INDIRECT(""'收支紀錄'!L""&amp;TO_TEXT(ROW()-$C$72))"),"")</f>
        <v/>
      </c>
      <c r="M1412" s="61" t="str">
        <f>IFERROR(__xludf.DUMMYFUNCTION("INDIRECT(""'收支紀錄'!M""&amp;TO_TEXT(ROW()-$C$72))"),"")</f>
        <v/>
      </c>
      <c r="N1412" s="61" t="str">
        <f>IFERROR(__xludf.DUMMYFUNCTION("INDIRECT(""'收支紀錄'!N""&amp;TO_TEXT(ROW()-$C$72))"),"")</f>
        <v/>
      </c>
      <c r="O1412" s="61" t="str">
        <f>IFERROR(__xludf.DUMMYFUNCTION("INDIRECT(""'收支紀錄'!O""&amp;TO_TEXT(ROW()-$C$72))"),"")</f>
        <v/>
      </c>
      <c r="P1412" s="61" t="str">
        <f>IFERROR(__xludf.DUMMYFUNCTION("INDIRECT(""'收支紀錄'!P""&amp;TO_TEXT(ROW()-$C$72))"),"")</f>
        <v/>
      </c>
      <c r="Q1412" s="61" t="str">
        <f>IFERROR(__xludf.DUMMYFUNCTION("INDIRECT(""'收支紀錄'!Q""&amp;TO_TEXT(ROW()-$C$72))"),"")</f>
        <v/>
      </c>
      <c r="R1412" s="61" t="str">
        <f>IFERROR(__xludf.DUMMYFUNCTION("INDIRECT(""'收支紀錄'!R""&amp;TO_TEXT(ROW()-$C$72))"),"")</f>
        <v/>
      </c>
      <c r="S1412" s="61" t="str">
        <f>IFERROR(__xludf.DUMMYFUNCTION("INDIRECT(""'收支紀錄'!S""&amp;TO_TEXT(ROW()-$C$72))"),"")</f>
        <v/>
      </c>
      <c r="T1412" s="61" t="str">
        <f>IFERROR(__xludf.DUMMYFUNCTION("INDIRECT(""'收支紀錄'!T""&amp;TO_TEXT(ROW()-$C$72))"),"")</f>
        <v/>
      </c>
      <c r="U1412" s="62" t="str">
        <f>IFERROR(__xludf.DUMMYFUNCTION("IF(T1412=""是"",TEXTJOIN("""", TRUE, ""$"", TO_TEXT(C1412), S1412),"""")"),"")</f>
        <v/>
      </c>
    </row>
    <row r="1413">
      <c r="A1413" s="58">
        <f>IFERROR(__xludf.DUMMYFUNCTION("INDIRECT(""'收支紀錄'!A""&amp;TO_TEXT(ROW()-$C$72))"),46049.92726142361)</f>
        <v>46049.92726</v>
      </c>
      <c r="B1413" s="59">
        <f>IFERROR(__xludf.DUMMYFUNCTION("IF(ISBLANK(D1413), """", IF(ISDATE(D1413), D1413, IF(D1413=""今天"", A1413, IF(D1413=""昨天 (-1 day)"", A1413-1, IF(D1413=""前天 (-2 days)"", A1413-2, IF(D1413=""明天 (+1 day)"", A1413+1, DATE(LEFT(D1413,4), MID(D1413,5,2), RIGHT(D1413,2))))))))"),46049.92726142361)</f>
        <v>46049.92726</v>
      </c>
      <c r="C1413" s="60">
        <f>IFERROR(__xludf.DUMMYFUNCTION("INDIRECT(""'收支紀錄'!C""&amp;TO_TEXT(ROW()-$C$72))"),123.0)</f>
        <v>123</v>
      </c>
      <c r="D1413" s="63" t="str">
        <f>IFERROR(__xludf.DUMMYFUNCTION("INDIRECT(""'收支紀錄'!D""&amp;TO_TEXT(ROW()-$C$72))"),"今天")</f>
        <v>今天</v>
      </c>
      <c r="E1413" s="61" t="str">
        <f>IFERROR(__xludf.DUMMYFUNCTION("INDIRECT(""'收支紀錄'!E""&amp;TO_TEXT(ROW()-$C$72))"),"")</f>
        <v/>
      </c>
      <c r="F1413" s="61" t="str">
        <f>IFERROR(__xludf.DUMMYFUNCTION("INDIRECT(""'收支紀錄'!F""&amp;TO_TEXT(ROW()-$C$72))"),"")</f>
        <v/>
      </c>
      <c r="G1413" s="61" t="str">
        <f>IFERROR(__xludf.DUMMYFUNCTION("INDIRECT(""'收支紀錄'!G""&amp;TO_TEXT(ROW()-$C$72))"),"")</f>
        <v/>
      </c>
      <c r="H1413" s="61" t="str">
        <f>IFERROR(__xludf.DUMMYFUNCTION("INDIRECT(""'收支紀錄'!H""&amp;TO_TEXT(ROW()-$C$72))"),"行車交通")</f>
        <v>行車交通</v>
      </c>
      <c r="I1413" s="61" t="str">
        <f>IFERROR(__xludf.DUMMYFUNCTION("INDIRECT(""'收支紀錄'!I""&amp;TO_TEXT(ROW()-$C$72))"),"")</f>
        <v/>
      </c>
      <c r="J1413" s="61" t="str">
        <f>IFERROR(__xludf.DUMMYFUNCTION("INDIRECT(""'收支紀錄'!J""&amp;TO_TEXT(ROW()-$C$72))"),"")</f>
        <v/>
      </c>
      <c r="K1413" s="61" t="str">
        <f>IFERROR(__xludf.DUMMYFUNCTION("INDIRECT(""'收支紀錄'!K""&amp;TO_TEXT(ROW()-$C$72))"),"")</f>
        <v/>
      </c>
      <c r="L1413" s="61" t="str">
        <f>IFERROR(__xludf.DUMMYFUNCTION("INDIRECT(""'收支紀錄'!L""&amp;TO_TEXT(ROW()-$C$72))"),"加油")</f>
        <v>加油</v>
      </c>
      <c r="M1413" s="61" t="str">
        <f>IFERROR(__xludf.DUMMYFUNCTION("INDIRECT(""'收支紀錄'!M""&amp;TO_TEXT(ROW()-$C$72))"),"")</f>
        <v/>
      </c>
      <c r="N1413" s="61" t="str">
        <f>IFERROR(__xludf.DUMMYFUNCTION("INDIRECT(""'收支紀錄'!N""&amp;TO_TEXT(ROW()-$C$72))"),"")</f>
        <v/>
      </c>
      <c r="O1413" s="61" t="str">
        <f>IFERROR(__xludf.DUMMYFUNCTION("INDIRECT(""'收支紀錄'!O""&amp;TO_TEXT(ROW()-$C$72))"),"")</f>
        <v/>
      </c>
      <c r="P1413" s="61" t="str">
        <f>IFERROR(__xludf.DUMMYFUNCTION("INDIRECT(""'收支紀錄'!P""&amp;TO_TEXT(ROW()-$C$72))"),"")</f>
        <v/>
      </c>
      <c r="Q1413" s="61" t="str">
        <f>IFERROR(__xludf.DUMMYFUNCTION("INDIRECT(""'收支紀錄'!Q""&amp;TO_TEXT(ROW()-$C$72))"),"")</f>
        <v/>
      </c>
      <c r="R1413" s="61" t="str">
        <f>IFERROR(__xludf.DUMMYFUNCTION("INDIRECT(""'收支紀錄'!R""&amp;TO_TEXT(ROW()-$C$72))"),"")</f>
        <v/>
      </c>
      <c r="S1413" s="61" t="str">
        <f>IFERROR(__xludf.DUMMYFUNCTION("INDIRECT(""'收支紀錄'!S""&amp;TO_TEXT(ROW()-$C$72))"),"")</f>
        <v/>
      </c>
      <c r="T1413" s="61" t="str">
        <f>IFERROR(__xludf.DUMMYFUNCTION("INDIRECT(""'收支紀錄'!T""&amp;TO_TEXT(ROW()-$C$72))"),"")</f>
        <v/>
      </c>
      <c r="U1413" s="62" t="str">
        <f>IFERROR(__xludf.DUMMYFUNCTION("IF(T1413=""是"",TEXTJOIN("""", TRUE, ""$"", TO_TEXT(C1413), S1413),"""")"),"")</f>
        <v/>
      </c>
    </row>
    <row r="1414">
      <c r="A1414" s="58">
        <f>IFERROR(__xludf.DUMMYFUNCTION("INDIRECT(""'收支紀錄'!A""&amp;TO_TEXT(ROW()-$C$72))"),46049.92873428241)</f>
        <v>46049.92873</v>
      </c>
      <c r="B1414" s="59">
        <f>IFERROR(__xludf.DUMMYFUNCTION("IF(ISBLANK(D1414), """", IF(ISDATE(D1414), D1414, IF(D1414=""今天"", A1414, IF(D1414=""昨天 (-1 day)"", A1414-1, IF(D1414=""前天 (-2 days)"", A1414-2, IF(D1414=""明天 (+1 day)"", A1414+1, DATE(LEFT(D1414,4), MID(D1414,5,2), RIGHT(D1414,2))))))))"),46049.92873428241)</f>
        <v>46049.92873</v>
      </c>
      <c r="C1414" s="60">
        <f>IFERROR(__xludf.DUMMYFUNCTION("INDIRECT(""'收支紀錄'!C""&amp;TO_TEXT(ROW()-$C$72))"),52900.0)</f>
        <v>52900</v>
      </c>
      <c r="D1414" s="63" t="str">
        <f>IFERROR(__xludf.DUMMYFUNCTION("INDIRECT(""'收支紀錄'!D""&amp;TO_TEXT(ROW()-$C$72))"),"今天")</f>
        <v>今天</v>
      </c>
      <c r="E1414" s="61" t="str">
        <f>IFERROR(__xludf.DUMMYFUNCTION("INDIRECT(""'收支紀錄'!E""&amp;TO_TEXT(ROW()-$C$72))"),"")</f>
        <v/>
      </c>
      <c r="F1414" s="61" t="str">
        <f>IFERROR(__xludf.DUMMYFUNCTION("INDIRECT(""'收支紀錄'!F""&amp;TO_TEXT(ROW()-$C$72))"),"")</f>
        <v/>
      </c>
      <c r="G1414" s="61" t="str">
        <f>IFERROR(__xludf.DUMMYFUNCTION("INDIRECT(""'收支紀錄'!G""&amp;TO_TEXT(ROW()-$C$72))"),"")</f>
        <v/>
      </c>
      <c r="H1414" s="61" t="str">
        <f>IFERROR(__xludf.DUMMYFUNCTION("INDIRECT(""'收支紀錄'!H""&amp;TO_TEXT(ROW()-$C$72))"),"人情往來")</f>
        <v>人情往來</v>
      </c>
      <c r="I1414" s="61" t="str">
        <f>IFERROR(__xludf.DUMMYFUNCTION("INDIRECT(""'收支紀錄'!I""&amp;TO_TEXT(ROW()-$C$72))"),"")</f>
        <v/>
      </c>
      <c r="J1414" s="61" t="str">
        <f>IFERROR(__xludf.DUMMYFUNCTION("INDIRECT(""'收支紀錄'!J""&amp;TO_TEXT(ROW()-$C$72))"),"")</f>
        <v/>
      </c>
      <c r="K1414" s="61" t="str">
        <f>IFERROR(__xludf.DUMMYFUNCTION("INDIRECT(""'收支紀錄'!K""&amp;TO_TEXT(ROW()-$C$72))"),"")</f>
        <v/>
      </c>
      <c r="L1414" s="61" t="str">
        <f>IFERROR(__xludf.DUMMYFUNCTION("INDIRECT(""'收支紀錄'!L""&amp;TO_TEXT(ROW()-$C$72))"),"")</f>
        <v/>
      </c>
      <c r="M1414" s="61" t="str">
        <f>IFERROR(__xludf.DUMMYFUNCTION("INDIRECT(""'收支紀錄'!M""&amp;TO_TEXT(ROW()-$C$72))"),"")</f>
        <v/>
      </c>
      <c r="N1414" s="61" t="str">
        <f>IFERROR(__xludf.DUMMYFUNCTION("INDIRECT(""'收支紀錄'!N""&amp;TO_TEXT(ROW()-$C$72))"),"")</f>
        <v/>
      </c>
      <c r="O1414" s="61" t="str">
        <f>IFERROR(__xludf.DUMMYFUNCTION("INDIRECT(""'收支紀錄'!O""&amp;TO_TEXT(ROW()-$C$72))"),"")</f>
        <v/>
      </c>
      <c r="P1414" s="61" t="str">
        <f>IFERROR(__xludf.DUMMYFUNCTION("INDIRECT(""'收支紀錄'!P""&amp;TO_TEXT(ROW()-$C$72))"),"")</f>
        <v/>
      </c>
      <c r="Q1414" s="61" t="str">
        <f>IFERROR(__xludf.DUMMYFUNCTION("INDIRECT(""'收支紀錄'!Q""&amp;TO_TEXT(ROW()-$C$72))"),"結婚")</f>
        <v>結婚</v>
      </c>
      <c r="R1414" s="61" t="str">
        <f>IFERROR(__xludf.DUMMYFUNCTION("INDIRECT(""'收支紀錄'!R""&amp;TO_TEXT(ROW()-$C$72))"),"")</f>
        <v/>
      </c>
      <c r="S1414" s="61" t="str">
        <f>IFERROR(__xludf.DUMMYFUNCTION("INDIRECT(""'收支紀錄'!S""&amp;TO_TEXT(ROW()-$C$72))"),"婚紗")</f>
        <v>婚紗</v>
      </c>
      <c r="T1414" s="61" t="str">
        <f>IFERROR(__xludf.DUMMYFUNCTION("INDIRECT(""'收支紀錄'!T""&amp;TO_TEXT(ROW()-$C$72))"),"是")</f>
        <v>是</v>
      </c>
      <c r="U1414" s="62" t="str">
        <f>IFERROR(__xludf.DUMMYFUNCTION("IF(T1414=""是"",TEXTJOIN("""", TRUE, ""$"", TO_TEXT(C1414), S1414),"""")"),"$52900婚紗")</f>
        <v>$52900婚紗</v>
      </c>
    </row>
    <row r="1415">
      <c r="A1415" s="58">
        <f>IFERROR(__xludf.DUMMYFUNCTION("INDIRECT(""'收支紀錄'!A""&amp;TO_TEXT(ROW()-$C$72))"),46050.62525824074)</f>
        <v>46050.62526</v>
      </c>
      <c r="B1415" s="59">
        <f>IFERROR(__xludf.DUMMYFUNCTION("IF(ISBLANK(D1415), """", IF(ISDATE(D1415), D1415, IF(D1415=""今天"", A1415, IF(D1415=""昨天 (-1 day)"", A1415-1, IF(D1415=""前天 (-2 days)"", A1415-2, IF(D1415=""明天 (+1 day)"", A1415+1, DATE(LEFT(D1415,4), MID(D1415,5,2), RIGHT(D1415,2))))))))"),46050.62525824074)</f>
        <v>46050.62526</v>
      </c>
      <c r="C1415" s="60">
        <f>IFERROR(__xludf.DUMMYFUNCTION("INDIRECT(""'收支紀錄'!C""&amp;TO_TEXT(ROW()-$C$72))"),788.0)</f>
        <v>788</v>
      </c>
      <c r="D1415" s="63" t="str">
        <f>IFERROR(__xludf.DUMMYFUNCTION("INDIRECT(""'收支紀錄'!D""&amp;TO_TEXT(ROW()-$C$72))"),"今天")</f>
        <v>今天</v>
      </c>
      <c r="E1415" s="61" t="str">
        <f>IFERROR(__xludf.DUMMYFUNCTION("INDIRECT(""'收支紀錄'!E""&amp;TO_TEXT(ROW()-$C$72))"),"")</f>
        <v/>
      </c>
      <c r="F1415" s="61" t="str">
        <f>IFERROR(__xludf.DUMMYFUNCTION("INDIRECT(""'收支紀錄'!F""&amp;TO_TEXT(ROW()-$C$72))"),"")</f>
        <v/>
      </c>
      <c r="G1415" s="61" t="str">
        <f>IFERROR(__xludf.DUMMYFUNCTION("INDIRECT(""'收支紀錄'!G""&amp;TO_TEXT(ROW()-$C$72))"),"")</f>
        <v/>
      </c>
      <c r="H1415" s="61" t="str">
        <f>IFERROR(__xludf.DUMMYFUNCTION("INDIRECT(""'收支紀錄'!H""&amp;TO_TEXT(ROW()-$C$72))"),"日常生活")</f>
        <v>日常生活</v>
      </c>
      <c r="I1415" s="61" t="str">
        <f>IFERROR(__xludf.DUMMYFUNCTION("INDIRECT(""'收支紀錄'!I""&amp;TO_TEXT(ROW()-$C$72))"),"")</f>
        <v/>
      </c>
      <c r="J1415" s="61" t="str">
        <f>IFERROR(__xludf.DUMMYFUNCTION("INDIRECT(""'收支紀錄'!J""&amp;TO_TEXT(ROW()-$C$72))"),"電話費")</f>
        <v>電話費</v>
      </c>
      <c r="K1415" s="61" t="str">
        <f>IFERROR(__xludf.DUMMYFUNCTION("INDIRECT(""'收支紀錄'!K""&amp;TO_TEXT(ROW()-$C$72))"),"")</f>
        <v/>
      </c>
      <c r="L1415" s="61" t="str">
        <f>IFERROR(__xludf.DUMMYFUNCTION("INDIRECT(""'收支紀錄'!L""&amp;TO_TEXT(ROW()-$C$72))"),"")</f>
        <v/>
      </c>
      <c r="M1415" s="61" t="str">
        <f>IFERROR(__xludf.DUMMYFUNCTION("INDIRECT(""'收支紀錄'!M""&amp;TO_TEXT(ROW()-$C$72))"),"")</f>
        <v/>
      </c>
      <c r="N1415" s="61" t="str">
        <f>IFERROR(__xludf.DUMMYFUNCTION("INDIRECT(""'收支紀錄'!N""&amp;TO_TEXT(ROW()-$C$72))"),"")</f>
        <v/>
      </c>
      <c r="O1415" s="61" t="str">
        <f>IFERROR(__xludf.DUMMYFUNCTION("INDIRECT(""'收支紀錄'!O""&amp;TO_TEXT(ROW()-$C$72))"),"")</f>
        <v/>
      </c>
      <c r="P1415" s="61" t="str">
        <f>IFERROR(__xludf.DUMMYFUNCTION("INDIRECT(""'收支紀錄'!P""&amp;TO_TEXT(ROW()-$C$72))"),"")</f>
        <v/>
      </c>
      <c r="Q1415" s="61" t="str">
        <f>IFERROR(__xludf.DUMMYFUNCTION("INDIRECT(""'收支紀錄'!Q""&amp;TO_TEXT(ROW()-$C$72))"),"")</f>
        <v/>
      </c>
      <c r="R1415" s="61" t="str">
        <f>IFERROR(__xludf.DUMMYFUNCTION("INDIRECT(""'收支紀錄'!R""&amp;TO_TEXT(ROW()-$C$72))"),"")</f>
        <v/>
      </c>
      <c r="S1415" s="61" t="str">
        <f>IFERROR(__xludf.DUMMYFUNCTION("INDIRECT(""'收支紀錄'!S""&amp;TO_TEXT(ROW()-$C$72))"),"")</f>
        <v/>
      </c>
      <c r="T1415" s="61" t="str">
        <f>IFERROR(__xludf.DUMMYFUNCTION("INDIRECT(""'收支紀錄'!T""&amp;TO_TEXT(ROW()-$C$72))"),"")</f>
        <v/>
      </c>
      <c r="U1415" s="62" t="str">
        <f>IFERROR(__xludf.DUMMYFUNCTION("IF(T1415=""是"",TEXTJOIN("""", TRUE, ""$"", TO_TEXT(C1415), S1415),"""")"),"")</f>
        <v/>
      </c>
    </row>
    <row r="1416">
      <c r="A1416" s="58">
        <f>IFERROR(__xludf.DUMMYFUNCTION("INDIRECT(""'收支紀錄'!A""&amp;TO_TEXT(ROW()-$C$72))"),46051.98995846065)</f>
        <v>46051.98996</v>
      </c>
      <c r="B1416" s="59">
        <f>IFERROR(__xludf.DUMMYFUNCTION("IF(ISBLANK(D1416), """", IF(ISDATE(D1416), D1416, IF(D1416=""今天"", A1416, IF(D1416=""昨天 (-1 day)"", A1416-1, IF(D1416=""前天 (-2 days)"", A1416-2, IF(D1416=""明天 (+1 day)"", A1416+1, DATE(LEFT(D1416,4), MID(D1416,5,2), RIGHT(D1416,2))))))))"),46051.98995846065)</f>
        <v>46051.98996</v>
      </c>
      <c r="C1416" s="60">
        <f>IFERROR(__xludf.DUMMYFUNCTION("INDIRECT(""'收支紀錄'!C""&amp;TO_TEXT(ROW()-$C$72))"),934600.0)</f>
        <v>934600</v>
      </c>
      <c r="D1416" s="63" t="str">
        <f>IFERROR(__xludf.DUMMYFUNCTION("INDIRECT(""'收支紀錄'!D""&amp;TO_TEXT(ROW()-$C$72))"),"今天")</f>
        <v>今天</v>
      </c>
      <c r="E1416" s="61" t="str">
        <f>IFERROR(__xludf.DUMMYFUNCTION("INDIRECT(""'收支紀錄'!E""&amp;TO_TEXT(ROW()-$C$72))"),"其他業外")</f>
        <v>其他業外</v>
      </c>
      <c r="F1416" s="61" t="str">
        <f>IFERROR(__xludf.DUMMYFUNCTION("INDIRECT(""'收支紀錄'!F""&amp;TO_TEXT(ROW()-$C$72))"),"")</f>
        <v/>
      </c>
      <c r="G1416" s="61" t="str">
        <f>IFERROR(__xludf.DUMMYFUNCTION("INDIRECT(""'收支紀錄'!G""&amp;TO_TEXT(ROW()-$C$72))"),"其他")</f>
        <v>其他</v>
      </c>
      <c r="H1416" s="61" t="str">
        <f>IFERROR(__xludf.DUMMYFUNCTION("INDIRECT(""'收支紀錄'!H""&amp;TO_TEXT(ROW()-$C$72))"),"")</f>
        <v/>
      </c>
      <c r="I1416" s="61" t="str">
        <f>IFERROR(__xludf.DUMMYFUNCTION("INDIRECT(""'收支紀錄'!I""&amp;TO_TEXT(ROW()-$C$72))"),"")</f>
        <v/>
      </c>
      <c r="J1416" s="61" t="str">
        <f>IFERROR(__xludf.DUMMYFUNCTION("INDIRECT(""'收支紀錄'!J""&amp;TO_TEXT(ROW()-$C$72))"),"")</f>
        <v/>
      </c>
      <c r="K1416" s="61" t="str">
        <f>IFERROR(__xludf.DUMMYFUNCTION("INDIRECT(""'收支紀錄'!K""&amp;TO_TEXT(ROW()-$C$72))"),"")</f>
        <v/>
      </c>
      <c r="L1416" s="61" t="str">
        <f>IFERROR(__xludf.DUMMYFUNCTION("INDIRECT(""'收支紀錄'!L""&amp;TO_TEXT(ROW()-$C$72))"),"")</f>
        <v/>
      </c>
      <c r="M1416" s="61" t="str">
        <f>IFERROR(__xludf.DUMMYFUNCTION("INDIRECT(""'收支紀錄'!M""&amp;TO_TEXT(ROW()-$C$72))"),"")</f>
        <v/>
      </c>
      <c r="N1416" s="61" t="str">
        <f>IFERROR(__xludf.DUMMYFUNCTION("INDIRECT(""'收支紀錄'!N""&amp;TO_TEXT(ROW()-$C$72))"),"")</f>
        <v/>
      </c>
      <c r="O1416" s="61" t="str">
        <f>IFERROR(__xludf.DUMMYFUNCTION("INDIRECT(""'收支紀錄'!O""&amp;TO_TEXT(ROW()-$C$72))"),"")</f>
        <v/>
      </c>
      <c r="P1416" s="61" t="str">
        <f>IFERROR(__xludf.DUMMYFUNCTION("INDIRECT(""'收支紀錄'!P""&amp;TO_TEXT(ROW()-$C$72))"),"")</f>
        <v/>
      </c>
      <c r="Q1416" s="61" t="str">
        <f>IFERROR(__xludf.DUMMYFUNCTION("INDIRECT(""'收支紀錄'!Q""&amp;TO_TEXT(ROW()-$C$72))"),"")</f>
        <v/>
      </c>
      <c r="R1416" s="61" t="str">
        <f>IFERROR(__xludf.DUMMYFUNCTION("INDIRECT(""'收支紀錄'!R""&amp;TO_TEXT(ROW()-$C$72))"),"")</f>
        <v/>
      </c>
      <c r="S1416" s="61" t="str">
        <f>IFERROR(__xludf.DUMMYFUNCTION("INDIRECT(""'收支紀錄'!S""&amp;TO_TEXT(ROW()-$C$72))"),"台銀人壽解約")</f>
        <v>台銀人壽解約</v>
      </c>
      <c r="T1416" s="61" t="str">
        <f>IFERROR(__xludf.DUMMYFUNCTION("INDIRECT(""'收支紀錄'!T""&amp;TO_TEXT(ROW()-$C$72))"),"是")</f>
        <v>是</v>
      </c>
      <c r="U1416" s="62" t="str">
        <f>IFERROR(__xludf.DUMMYFUNCTION("IF(T1416=""是"",TEXTJOIN("""", TRUE, ""$"", TO_TEXT(C1416), S1416),"""")"),"$934600台銀人壽解約")</f>
        <v>$934600台銀人壽解約</v>
      </c>
    </row>
    <row r="1417">
      <c r="A1417" s="58">
        <f>IFERROR(__xludf.DUMMYFUNCTION("INDIRECT(""'收支紀錄'!A""&amp;TO_TEXT(ROW()-$C$72))"),46052.59792002315)</f>
        <v>46052.59792</v>
      </c>
      <c r="B1417" s="59">
        <f>IFERROR(__xludf.DUMMYFUNCTION("IF(ISBLANK(D1417), """", IF(ISDATE(D1417), D1417, IF(D1417=""今天"", A1417, IF(D1417=""昨天 (-1 day)"", A1417-1, IF(D1417=""前天 (-2 days)"", A1417-2, IF(D1417=""明天 (+1 day)"", A1417+1, DATE(LEFT(D1417,4), MID(D1417,5,2), RIGHT(D1417,2))))))))"),46052.59792002315)</f>
        <v>46052.59792</v>
      </c>
      <c r="C1417" s="60">
        <f>IFERROR(__xludf.DUMMYFUNCTION("INDIRECT(""'收支紀錄'!C""&amp;TO_TEXT(ROW()-$C$72))"),624.0)</f>
        <v>624</v>
      </c>
      <c r="D1417" s="63" t="str">
        <f>IFERROR(__xludf.DUMMYFUNCTION("INDIRECT(""'收支紀錄'!D""&amp;TO_TEXT(ROW()-$C$72))"),"今天")</f>
        <v>今天</v>
      </c>
      <c r="E1417" s="61" t="str">
        <f>IFERROR(__xludf.DUMMYFUNCTION("INDIRECT(""'收支紀錄'!E""&amp;TO_TEXT(ROW()-$C$72))"),"")</f>
        <v/>
      </c>
      <c r="F1417" s="61" t="str">
        <f>IFERROR(__xludf.DUMMYFUNCTION("INDIRECT(""'收支紀錄'!F""&amp;TO_TEXT(ROW()-$C$72))"),"")</f>
        <v/>
      </c>
      <c r="G1417" s="61" t="str">
        <f>IFERROR(__xludf.DUMMYFUNCTION("INDIRECT(""'收支紀錄'!G""&amp;TO_TEXT(ROW()-$C$72))"),"")</f>
        <v/>
      </c>
      <c r="H1417" s="61" t="str">
        <f>IFERROR(__xludf.DUMMYFUNCTION("INDIRECT(""'收支紀錄'!H""&amp;TO_TEXT(ROW()-$C$72))"),"房屋支出")</f>
        <v>房屋支出</v>
      </c>
      <c r="I1417" s="61" t="str">
        <f>IFERROR(__xludf.DUMMYFUNCTION("INDIRECT(""'收支紀錄'!I""&amp;TO_TEXT(ROW()-$C$72))"),"")</f>
        <v/>
      </c>
      <c r="J1417" s="61" t="str">
        <f>IFERROR(__xludf.DUMMYFUNCTION("INDIRECT(""'收支紀錄'!J""&amp;TO_TEXT(ROW()-$C$72))"),"")</f>
        <v/>
      </c>
      <c r="K1417" s="61" t="str">
        <f>IFERROR(__xludf.DUMMYFUNCTION("INDIRECT(""'收支紀錄'!K""&amp;TO_TEXT(ROW()-$C$72))"),"租屋電費")</f>
        <v>租屋電費</v>
      </c>
      <c r="L1417" s="61" t="str">
        <f>IFERROR(__xludf.DUMMYFUNCTION("INDIRECT(""'收支紀錄'!L""&amp;TO_TEXT(ROW()-$C$72))"),"")</f>
        <v/>
      </c>
      <c r="M1417" s="61" t="str">
        <f>IFERROR(__xludf.DUMMYFUNCTION("INDIRECT(""'收支紀錄'!M""&amp;TO_TEXT(ROW()-$C$72))"),"")</f>
        <v/>
      </c>
      <c r="N1417" s="61" t="str">
        <f>IFERROR(__xludf.DUMMYFUNCTION("INDIRECT(""'收支紀錄'!N""&amp;TO_TEXT(ROW()-$C$72))"),"")</f>
        <v/>
      </c>
      <c r="O1417" s="61" t="str">
        <f>IFERROR(__xludf.DUMMYFUNCTION("INDIRECT(""'收支紀錄'!O""&amp;TO_TEXT(ROW()-$C$72))"),"")</f>
        <v/>
      </c>
      <c r="P1417" s="61" t="str">
        <f>IFERROR(__xludf.DUMMYFUNCTION("INDIRECT(""'收支紀錄'!P""&amp;TO_TEXT(ROW()-$C$72))"),"")</f>
        <v/>
      </c>
      <c r="Q1417" s="61" t="str">
        <f>IFERROR(__xludf.DUMMYFUNCTION("INDIRECT(""'收支紀錄'!Q""&amp;TO_TEXT(ROW()-$C$72))"),"")</f>
        <v/>
      </c>
      <c r="R1417" s="61" t="str">
        <f>IFERROR(__xludf.DUMMYFUNCTION("INDIRECT(""'收支紀錄'!R""&amp;TO_TEXT(ROW()-$C$72))"),"")</f>
        <v/>
      </c>
      <c r="S1417" s="61" t="str">
        <f>IFERROR(__xludf.DUMMYFUNCTION("INDIRECT(""'收支紀錄'!S""&amp;TO_TEXT(ROW()-$C$72))"),"")</f>
        <v/>
      </c>
      <c r="T1417" s="61" t="str">
        <f>IFERROR(__xludf.DUMMYFUNCTION("INDIRECT(""'收支紀錄'!T""&amp;TO_TEXT(ROW()-$C$72))"),"")</f>
        <v/>
      </c>
      <c r="U1417" s="62" t="str">
        <f>IFERROR(__xludf.DUMMYFUNCTION("IF(T1417=""是"",TEXTJOIN("""", TRUE, ""$"", TO_TEXT(C1417), S1417),"""")"),"")</f>
        <v/>
      </c>
    </row>
    <row r="1418">
      <c r="A1418" s="58">
        <f>IFERROR(__xludf.DUMMYFUNCTION("INDIRECT(""'收支紀錄'!A""&amp;TO_TEXT(ROW()-$C$72))"),46052.74762730324)</f>
        <v>46052.74763</v>
      </c>
      <c r="B1418" s="59">
        <f>IFERROR(__xludf.DUMMYFUNCTION("IF(ISBLANK(D1418), """", IF(ISDATE(D1418), D1418, IF(D1418=""今天"", A1418, IF(D1418=""昨天 (-1 day)"", A1418-1, IF(D1418=""前天 (-2 days)"", A1418-2, IF(D1418=""明天 (+1 day)"", A1418+1, DATE(LEFT(D1418,4), MID(D1418,5,2), RIGHT(D1418,2))))))))"),46052.74762730324)</f>
        <v>46052.74763</v>
      </c>
      <c r="C1418" s="60">
        <f>IFERROR(__xludf.DUMMYFUNCTION("INDIRECT(""'收支紀錄'!C""&amp;TO_TEXT(ROW()-$C$72))"),85.0)</f>
        <v>85</v>
      </c>
      <c r="D1418" s="63" t="str">
        <f>IFERROR(__xludf.DUMMYFUNCTION("INDIRECT(""'收支紀錄'!D""&amp;TO_TEXT(ROW()-$C$72))"),"今天")</f>
        <v>今天</v>
      </c>
      <c r="E1418" s="61" t="str">
        <f>IFERROR(__xludf.DUMMYFUNCTION("INDIRECT(""'收支紀錄'!E""&amp;TO_TEXT(ROW()-$C$72))"),"")</f>
        <v/>
      </c>
      <c r="F1418" s="61" t="str">
        <f>IFERROR(__xludf.DUMMYFUNCTION("INDIRECT(""'收支紀錄'!F""&amp;TO_TEXT(ROW()-$C$72))"),"")</f>
        <v/>
      </c>
      <c r="G1418" s="61" t="str">
        <f>IFERROR(__xludf.DUMMYFUNCTION("INDIRECT(""'收支紀錄'!G""&amp;TO_TEXT(ROW()-$C$72))"),"")</f>
        <v/>
      </c>
      <c r="H1418" s="61" t="str">
        <f>IFERROR(__xludf.DUMMYFUNCTION("INDIRECT(""'收支紀錄'!H""&amp;TO_TEXT(ROW()-$C$72))"),"行車交通")</f>
        <v>行車交通</v>
      </c>
      <c r="I1418" s="61" t="str">
        <f>IFERROR(__xludf.DUMMYFUNCTION("INDIRECT(""'收支紀錄'!I""&amp;TO_TEXT(ROW()-$C$72))"),"")</f>
        <v/>
      </c>
      <c r="J1418" s="61" t="str">
        <f>IFERROR(__xludf.DUMMYFUNCTION("INDIRECT(""'收支紀錄'!J""&amp;TO_TEXT(ROW()-$C$72))"),"")</f>
        <v/>
      </c>
      <c r="K1418" s="61" t="str">
        <f>IFERROR(__xludf.DUMMYFUNCTION("INDIRECT(""'收支紀錄'!K""&amp;TO_TEXT(ROW()-$C$72))"),"")</f>
        <v/>
      </c>
      <c r="L1418" s="61" t="str">
        <f>IFERROR(__xludf.DUMMYFUNCTION("INDIRECT(""'收支紀錄'!L""&amp;TO_TEXT(ROW()-$C$72))"),"加油")</f>
        <v>加油</v>
      </c>
      <c r="M1418" s="61" t="str">
        <f>IFERROR(__xludf.DUMMYFUNCTION("INDIRECT(""'收支紀錄'!M""&amp;TO_TEXT(ROW()-$C$72))"),"")</f>
        <v/>
      </c>
      <c r="N1418" s="61" t="str">
        <f>IFERROR(__xludf.DUMMYFUNCTION("INDIRECT(""'收支紀錄'!N""&amp;TO_TEXT(ROW()-$C$72))"),"")</f>
        <v/>
      </c>
      <c r="O1418" s="61" t="str">
        <f>IFERROR(__xludf.DUMMYFUNCTION("INDIRECT(""'收支紀錄'!O""&amp;TO_TEXT(ROW()-$C$72))"),"")</f>
        <v/>
      </c>
      <c r="P1418" s="61" t="str">
        <f>IFERROR(__xludf.DUMMYFUNCTION("INDIRECT(""'收支紀錄'!P""&amp;TO_TEXT(ROW()-$C$72))"),"")</f>
        <v/>
      </c>
      <c r="Q1418" s="61" t="str">
        <f>IFERROR(__xludf.DUMMYFUNCTION("INDIRECT(""'收支紀錄'!Q""&amp;TO_TEXT(ROW()-$C$72))"),"")</f>
        <v/>
      </c>
      <c r="R1418" s="61" t="str">
        <f>IFERROR(__xludf.DUMMYFUNCTION("INDIRECT(""'收支紀錄'!R""&amp;TO_TEXT(ROW()-$C$72))"),"")</f>
        <v/>
      </c>
      <c r="S1418" s="61" t="str">
        <f>IFERROR(__xludf.DUMMYFUNCTION("INDIRECT(""'收支紀錄'!S""&amp;TO_TEXT(ROW()-$C$72))"),"")</f>
        <v/>
      </c>
      <c r="T1418" s="61" t="str">
        <f>IFERROR(__xludf.DUMMYFUNCTION("INDIRECT(""'收支紀錄'!T""&amp;TO_TEXT(ROW()-$C$72))"),"")</f>
        <v/>
      </c>
      <c r="U1418" s="62" t="str">
        <f>IFERROR(__xludf.DUMMYFUNCTION("IF(T1418=""是"",TEXTJOIN("""", TRUE, ""$"", TO_TEXT(C1418), S1418),"""")"),"")</f>
        <v/>
      </c>
    </row>
    <row r="1419">
      <c r="A1419" s="58">
        <f>IFERROR(__xludf.DUMMYFUNCTION("INDIRECT(""'收支紀錄'!A""&amp;TO_TEXT(ROW()-$C$72))"),46052.747790671296)</f>
        <v>46052.74779</v>
      </c>
      <c r="B1419" s="59">
        <f>IFERROR(__xludf.DUMMYFUNCTION("IF(ISBLANK(D1419), """", IF(ISDATE(D1419), D1419, IF(D1419=""今天"", A1419, IF(D1419=""昨天 (-1 day)"", A1419-1, IF(D1419=""前天 (-2 days)"", A1419-2, IF(D1419=""明天 (+1 day)"", A1419+1, DATE(LEFT(D1419,4), MID(D1419,5,2), RIGHT(D1419,2))))))))"),46052.747790671296)</f>
        <v>46052.74779</v>
      </c>
      <c r="C1419" s="60">
        <f>IFERROR(__xludf.DUMMYFUNCTION("INDIRECT(""'收支紀錄'!C""&amp;TO_TEXT(ROW()-$C$72))"),115.0)</f>
        <v>115</v>
      </c>
      <c r="D1419" s="63" t="str">
        <f>IFERROR(__xludf.DUMMYFUNCTION("INDIRECT(""'收支紀錄'!D""&amp;TO_TEXT(ROW()-$C$72))"),"今天")</f>
        <v>今天</v>
      </c>
      <c r="E1419" s="61" t="str">
        <f>IFERROR(__xludf.DUMMYFUNCTION("INDIRECT(""'收支紀錄'!E""&amp;TO_TEXT(ROW()-$C$72))"),"")</f>
        <v/>
      </c>
      <c r="F1419" s="61" t="str">
        <f>IFERROR(__xludf.DUMMYFUNCTION("INDIRECT(""'收支紀錄'!F""&amp;TO_TEXT(ROW()-$C$72))"),"")</f>
        <v/>
      </c>
      <c r="G1419" s="61" t="str">
        <f>IFERROR(__xludf.DUMMYFUNCTION("INDIRECT(""'收支紀錄'!G""&amp;TO_TEXT(ROW()-$C$72))"),"")</f>
        <v/>
      </c>
      <c r="H1419" s="61" t="str">
        <f>IFERROR(__xludf.DUMMYFUNCTION("INDIRECT(""'收支紀錄'!H""&amp;TO_TEXT(ROW()-$C$72))"),"食品酒水")</f>
        <v>食品酒水</v>
      </c>
      <c r="I1419" s="61" t="str">
        <f>IFERROR(__xludf.DUMMYFUNCTION("INDIRECT(""'收支紀錄'!I""&amp;TO_TEXT(ROW()-$C$72))"),"晚餐")</f>
        <v>晚餐</v>
      </c>
      <c r="J1419" s="61" t="str">
        <f>IFERROR(__xludf.DUMMYFUNCTION("INDIRECT(""'收支紀錄'!J""&amp;TO_TEXT(ROW()-$C$72))"),"")</f>
        <v/>
      </c>
      <c r="K1419" s="61" t="str">
        <f>IFERROR(__xludf.DUMMYFUNCTION("INDIRECT(""'收支紀錄'!K""&amp;TO_TEXT(ROW()-$C$72))"),"")</f>
        <v/>
      </c>
      <c r="L1419" s="61" t="str">
        <f>IFERROR(__xludf.DUMMYFUNCTION("INDIRECT(""'收支紀錄'!L""&amp;TO_TEXT(ROW()-$C$72))"),"")</f>
        <v/>
      </c>
      <c r="M1419" s="61" t="str">
        <f>IFERROR(__xludf.DUMMYFUNCTION("INDIRECT(""'收支紀錄'!M""&amp;TO_TEXT(ROW()-$C$72))"),"")</f>
        <v/>
      </c>
      <c r="N1419" s="61" t="str">
        <f>IFERROR(__xludf.DUMMYFUNCTION("INDIRECT(""'收支紀錄'!N""&amp;TO_TEXT(ROW()-$C$72))"),"")</f>
        <v/>
      </c>
      <c r="O1419" s="61" t="str">
        <f>IFERROR(__xludf.DUMMYFUNCTION("INDIRECT(""'收支紀錄'!O""&amp;TO_TEXT(ROW()-$C$72))"),"")</f>
        <v/>
      </c>
      <c r="P1419" s="61" t="str">
        <f>IFERROR(__xludf.DUMMYFUNCTION("INDIRECT(""'收支紀錄'!P""&amp;TO_TEXT(ROW()-$C$72))"),"")</f>
        <v/>
      </c>
      <c r="Q1419" s="61" t="str">
        <f>IFERROR(__xludf.DUMMYFUNCTION("INDIRECT(""'收支紀錄'!Q""&amp;TO_TEXT(ROW()-$C$72))"),"")</f>
        <v/>
      </c>
      <c r="R1419" s="61" t="str">
        <f>IFERROR(__xludf.DUMMYFUNCTION("INDIRECT(""'收支紀錄'!R""&amp;TO_TEXT(ROW()-$C$72))"),"")</f>
        <v/>
      </c>
      <c r="S1419" s="61" t="str">
        <f>IFERROR(__xludf.DUMMYFUNCTION("INDIRECT(""'收支紀錄'!S""&amp;TO_TEXT(ROW()-$C$72))"),"")</f>
        <v/>
      </c>
      <c r="T1419" s="61" t="str">
        <f>IFERROR(__xludf.DUMMYFUNCTION("INDIRECT(""'收支紀錄'!T""&amp;TO_TEXT(ROW()-$C$72))"),"")</f>
        <v/>
      </c>
      <c r="U1419" s="62" t="str">
        <f>IFERROR(__xludf.DUMMYFUNCTION("IF(T1419=""是"",TEXTJOIN("""", TRUE, ""$"", TO_TEXT(C1419), S1419),"""")"),"")</f>
        <v/>
      </c>
    </row>
    <row r="1420">
      <c r="A1420" s="58">
        <f>IFERROR(__xludf.DUMMYFUNCTION("INDIRECT(""'收支紀錄'!A""&amp;TO_TEXT(ROW()-$C$72))"),46053.444249409724)</f>
        <v>46053.44425</v>
      </c>
      <c r="B1420" s="59">
        <f>IFERROR(__xludf.DUMMYFUNCTION("IF(ISBLANK(D1420), """", IF(ISDATE(D1420), D1420, IF(D1420=""今天"", A1420, IF(D1420=""昨天 (-1 day)"", A1420-1, IF(D1420=""前天 (-2 days)"", A1420-2, IF(D1420=""明天 (+1 day)"", A1420+1, DATE(LEFT(D1420,4), MID(D1420,5,2), RIGHT(D1420,2))))))))"),46052.444249409724)</f>
        <v>46052.44425</v>
      </c>
      <c r="C1420" s="60">
        <f>IFERROR(__xludf.DUMMYFUNCTION("INDIRECT(""'收支紀錄'!C""&amp;TO_TEXT(ROW()-$C$72))"),270.0)</f>
        <v>270</v>
      </c>
      <c r="D1420" s="63" t="str">
        <f>IFERROR(__xludf.DUMMYFUNCTION("INDIRECT(""'收支紀錄'!D""&amp;TO_TEXT(ROW()-$C$72))"),"昨天 (-1 day)")</f>
        <v>昨天 (-1 day)</v>
      </c>
      <c r="E1420" s="61" t="str">
        <f>IFERROR(__xludf.DUMMYFUNCTION("INDIRECT(""'收支紀錄'!E""&amp;TO_TEXT(ROW()-$C$72))"),"")</f>
        <v/>
      </c>
      <c r="F1420" s="61" t="str">
        <f>IFERROR(__xludf.DUMMYFUNCTION("INDIRECT(""'收支紀錄'!F""&amp;TO_TEXT(ROW()-$C$72))"),"")</f>
        <v/>
      </c>
      <c r="G1420" s="61" t="str">
        <f>IFERROR(__xludf.DUMMYFUNCTION("INDIRECT(""'收支紀錄'!G""&amp;TO_TEXT(ROW()-$C$72))"),"")</f>
        <v/>
      </c>
      <c r="H1420" s="61" t="str">
        <f>IFERROR(__xludf.DUMMYFUNCTION("INDIRECT(""'收支紀錄'!H""&amp;TO_TEXT(ROW()-$C$72))"),"食品酒水")</f>
        <v>食品酒水</v>
      </c>
      <c r="I1420" s="61" t="str">
        <f>IFERROR(__xludf.DUMMYFUNCTION("INDIRECT(""'收支紀錄'!I""&amp;TO_TEXT(ROW()-$C$72))"),"午餐")</f>
        <v>午餐</v>
      </c>
      <c r="J1420" s="61" t="str">
        <f>IFERROR(__xludf.DUMMYFUNCTION("INDIRECT(""'收支紀錄'!J""&amp;TO_TEXT(ROW()-$C$72))"),"")</f>
        <v/>
      </c>
      <c r="K1420" s="61" t="str">
        <f>IFERROR(__xludf.DUMMYFUNCTION("INDIRECT(""'收支紀錄'!K""&amp;TO_TEXT(ROW()-$C$72))"),"")</f>
        <v/>
      </c>
      <c r="L1420" s="61" t="str">
        <f>IFERROR(__xludf.DUMMYFUNCTION("INDIRECT(""'收支紀錄'!L""&amp;TO_TEXT(ROW()-$C$72))"),"")</f>
        <v/>
      </c>
      <c r="M1420" s="61" t="str">
        <f>IFERROR(__xludf.DUMMYFUNCTION("INDIRECT(""'收支紀錄'!M""&amp;TO_TEXT(ROW()-$C$72))"),"")</f>
        <v/>
      </c>
      <c r="N1420" s="61" t="str">
        <f>IFERROR(__xludf.DUMMYFUNCTION("INDIRECT(""'收支紀錄'!N""&amp;TO_TEXT(ROW()-$C$72))"),"")</f>
        <v/>
      </c>
      <c r="O1420" s="61" t="str">
        <f>IFERROR(__xludf.DUMMYFUNCTION("INDIRECT(""'收支紀錄'!O""&amp;TO_TEXT(ROW()-$C$72))"),"")</f>
        <v/>
      </c>
      <c r="P1420" s="61" t="str">
        <f>IFERROR(__xludf.DUMMYFUNCTION("INDIRECT(""'收支紀錄'!P""&amp;TO_TEXT(ROW()-$C$72))"),"")</f>
        <v/>
      </c>
      <c r="Q1420" s="61" t="str">
        <f>IFERROR(__xludf.DUMMYFUNCTION("INDIRECT(""'收支紀錄'!Q""&amp;TO_TEXT(ROW()-$C$72))"),"")</f>
        <v/>
      </c>
      <c r="R1420" s="61" t="str">
        <f>IFERROR(__xludf.DUMMYFUNCTION("INDIRECT(""'收支紀錄'!R""&amp;TO_TEXT(ROW()-$C$72))"),"")</f>
        <v/>
      </c>
      <c r="S1420" s="61" t="str">
        <f>IFERROR(__xludf.DUMMYFUNCTION("INDIRECT(""'收支紀錄'!S""&amp;TO_TEXT(ROW()-$C$72))"),"")</f>
        <v/>
      </c>
      <c r="T1420" s="61" t="str">
        <f>IFERROR(__xludf.DUMMYFUNCTION("INDIRECT(""'收支紀錄'!T""&amp;TO_TEXT(ROW()-$C$72))"),"")</f>
        <v/>
      </c>
      <c r="U1420" s="62" t="str">
        <f>IFERROR(__xludf.DUMMYFUNCTION("IF(T1420=""是"",TEXTJOIN("""", TRUE, ""$"", TO_TEXT(C1420), S1420),"""")"),"")</f>
        <v/>
      </c>
    </row>
    <row r="1421">
      <c r="A1421" s="58">
        <f>IFERROR(__xludf.DUMMYFUNCTION("INDIRECT(""'收支紀錄'!A""&amp;TO_TEXT(ROW()-$C$72))"),46053.444403877314)</f>
        <v>46053.4444</v>
      </c>
      <c r="B1421" s="59">
        <f>IFERROR(__xludf.DUMMYFUNCTION("IF(ISBLANK(D1421), """", IF(ISDATE(D1421), D1421, IF(D1421=""今天"", A1421, IF(D1421=""昨天 (-1 day)"", A1421-1, IF(D1421=""前天 (-2 days)"", A1421-2, IF(D1421=""明天 (+1 day)"", A1421+1, DATE(LEFT(D1421,4), MID(D1421,5,2), RIGHT(D1421,2))))))))"),46052.444403877314)</f>
        <v>46052.4444</v>
      </c>
      <c r="C1421" s="60">
        <f>IFERROR(__xludf.DUMMYFUNCTION("INDIRECT(""'收支紀錄'!C""&amp;TO_TEXT(ROW()-$C$72))"),560.0)</f>
        <v>560</v>
      </c>
      <c r="D1421" s="63" t="str">
        <f>IFERROR(__xludf.DUMMYFUNCTION("INDIRECT(""'收支紀錄'!D""&amp;TO_TEXT(ROW()-$C$72))"),"昨天 (-1 day)")</f>
        <v>昨天 (-1 day)</v>
      </c>
      <c r="E1421" s="61" t="str">
        <f>IFERROR(__xludf.DUMMYFUNCTION("INDIRECT(""'收支紀錄'!E""&amp;TO_TEXT(ROW()-$C$72))"),"")</f>
        <v/>
      </c>
      <c r="F1421" s="61" t="str">
        <f>IFERROR(__xludf.DUMMYFUNCTION("INDIRECT(""'收支紀錄'!F""&amp;TO_TEXT(ROW()-$C$72))"),"")</f>
        <v/>
      </c>
      <c r="G1421" s="61" t="str">
        <f>IFERROR(__xludf.DUMMYFUNCTION("INDIRECT(""'收支紀錄'!G""&amp;TO_TEXT(ROW()-$C$72))"),"")</f>
        <v/>
      </c>
      <c r="H1421" s="61" t="str">
        <f>IFERROR(__xludf.DUMMYFUNCTION("INDIRECT(""'收支紀錄'!H""&amp;TO_TEXT(ROW()-$C$72))"),"食品酒水")</f>
        <v>食品酒水</v>
      </c>
      <c r="I1421" s="61" t="str">
        <f>IFERROR(__xludf.DUMMYFUNCTION("INDIRECT(""'收支紀錄'!I""&amp;TO_TEXT(ROW()-$C$72))"),"宵夜")</f>
        <v>宵夜</v>
      </c>
      <c r="J1421" s="61" t="str">
        <f>IFERROR(__xludf.DUMMYFUNCTION("INDIRECT(""'收支紀錄'!J""&amp;TO_TEXT(ROW()-$C$72))"),"")</f>
        <v/>
      </c>
      <c r="K1421" s="61" t="str">
        <f>IFERROR(__xludf.DUMMYFUNCTION("INDIRECT(""'收支紀錄'!K""&amp;TO_TEXT(ROW()-$C$72))"),"")</f>
        <v/>
      </c>
      <c r="L1421" s="61" t="str">
        <f>IFERROR(__xludf.DUMMYFUNCTION("INDIRECT(""'收支紀錄'!L""&amp;TO_TEXT(ROW()-$C$72))"),"")</f>
        <v/>
      </c>
      <c r="M1421" s="61" t="str">
        <f>IFERROR(__xludf.DUMMYFUNCTION("INDIRECT(""'收支紀錄'!M""&amp;TO_TEXT(ROW()-$C$72))"),"")</f>
        <v/>
      </c>
      <c r="N1421" s="61" t="str">
        <f>IFERROR(__xludf.DUMMYFUNCTION("INDIRECT(""'收支紀錄'!N""&amp;TO_TEXT(ROW()-$C$72))"),"")</f>
        <v/>
      </c>
      <c r="O1421" s="61" t="str">
        <f>IFERROR(__xludf.DUMMYFUNCTION("INDIRECT(""'收支紀錄'!O""&amp;TO_TEXT(ROW()-$C$72))"),"")</f>
        <v/>
      </c>
      <c r="P1421" s="61" t="str">
        <f>IFERROR(__xludf.DUMMYFUNCTION("INDIRECT(""'收支紀錄'!P""&amp;TO_TEXT(ROW()-$C$72))"),"")</f>
        <v/>
      </c>
      <c r="Q1421" s="61" t="str">
        <f>IFERROR(__xludf.DUMMYFUNCTION("INDIRECT(""'收支紀錄'!Q""&amp;TO_TEXT(ROW()-$C$72))"),"")</f>
        <v/>
      </c>
      <c r="R1421" s="61" t="str">
        <f>IFERROR(__xludf.DUMMYFUNCTION("INDIRECT(""'收支紀錄'!R""&amp;TO_TEXT(ROW()-$C$72))"),"")</f>
        <v/>
      </c>
      <c r="S1421" s="61" t="str">
        <f>IFERROR(__xludf.DUMMYFUNCTION("INDIRECT(""'收支紀錄'!S""&amp;TO_TEXT(ROW()-$C$72))"),"")</f>
        <v/>
      </c>
      <c r="T1421" s="61" t="str">
        <f>IFERROR(__xludf.DUMMYFUNCTION("INDIRECT(""'收支紀錄'!T""&amp;TO_TEXT(ROW()-$C$72))"),"")</f>
        <v/>
      </c>
      <c r="U1421" s="62" t="str">
        <f>IFERROR(__xludf.DUMMYFUNCTION("IF(T1421=""是"",TEXTJOIN("""", TRUE, ""$"", TO_TEXT(C1421), S1421),"""")"),"")</f>
        <v/>
      </c>
    </row>
    <row r="1422">
      <c r="A1422" s="58">
        <f>IFERROR(__xludf.DUMMYFUNCTION("INDIRECT(""'收支紀錄'!A""&amp;TO_TEXT(ROW()-$C$72))"),46053.86423461806)</f>
        <v>46053.86423</v>
      </c>
      <c r="B1422" s="59">
        <f>IFERROR(__xludf.DUMMYFUNCTION("IF(ISBLANK(D1422), """", IF(ISDATE(D1422), D1422, IF(D1422=""今天"", A1422, IF(D1422=""昨天 (-1 day)"", A1422-1, IF(D1422=""前天 (-2 days)"", A1422-2, IF(D1422=""明天 (+1 day)"", A1422+1, DATE(LEFT(D1422,4), MID(D1422,5,2), RIGHT(D1422,2))))))))"),46053.86423461806)</f>
        <v>46053.86423</v>
      </c>
      <c r="C1422" s="60">
        <f>IFERROR(__xludf.DUMMYFUNCTION("INDIRECT(""'收支紀錄'!C""&amp;TO_TEXT(ROW()-$C$72))"),583.0)</f>
        <v>583</v>
      </c>
      <c r="D1422" s="63" t="str">
        <f>IFERROR(__xludf.DUMMYFUNCTION("INDIRECT(""'收支紀錄'!D""&amp;TO_TEXT(ROW()-$C$72))"),"今天")</f>
        <v>今天</v>
      </c>
      <c r="E1422" s="61" t="str">
        <f>IFERROR(__xludf.DUMMYFUNCTION("INDIRECT(""'收支紀錄'!E""&amp;TO_TEXT(ROW()-$C$72))"),"")</f>
        <v/>
      </c>
      <c r="F1422" s="61" t="str">
        <f>IFERROR(__xludf.DUMMYFUNCTION("INDIRECT(""'收支紀錄'!F""&amp;TO_TEXT(ROW()-$C$72))"),"")</f>
        <v/>
      </c>
      <c r="G1422" s="61" t="str">
        <f>IFERROR(__xludf.DUMMYFUNCTION("INDIRECT(""'收支紀錄'!G""&amp;TO_TEXT(ROW()-$C$72))"),"")</f>
        <v/>
      </c>
      <c r="H1422" s="61" t="str">
        <f>IFERROR(__xludf.DUMMYFUNCTION("INDIRECT(""'收支紀錄'!H""&amp;TO_TEXT(ROW()-$C$72))"),"行車交通")</f>
        <v>行車交通</v>
      </c>
      <c r="I1422" s="61" t="str">
        <f>IFERROR(__xludf.DUMMYFUNCTION("INDIRECT(""'收支紀錄'!I""&amp;TO_TEXT(ROW()-$C$72))"),"")</f>
        <v/>
      </c>
      <c r="J1422" s="61" t="str">
        <f>IFERROR(__xludf.DUMMYFUNCTION("INDIRECT(""'收支紀錄'!J""&amp;TO_TEXT(ROW()-$C$72))"),"")</f>
        <v/>
      </c>
      <c r="K1422" s="61" t="str">
        <f>IFERROR(__xludf.DUMMYFUNCTION("INDIRECT(""'收支紀錄'!K""&amp;TO_TEXT(ROW()-$C$72))"),"")</f>
        <v/>
      </c>
      <c r="L1422" s="61" t="str">
        <f>IFERROR(__xludf.DUMMYFUNCTION("INDIRECT(""'收支紀錄'!L""&amp;TO_TEXT(ROW()-$C$72))"),"加油")</f>
        <v>加油</v>
      </c>
      <c r="M1422" s="61" t="str">
        <f>IFERROR(__xludf.DUMMYFUNCTION("INDIRECT(""'收支紀錄'!M""&amp;TO_TEXT(ROW()-$C$72))"),"")</f>
        <v/>
      </c>
      <c r="N1422" s="61" t="str">
        <f>IFERROR(__xludf.DUMMYFUNCTION("INDIRECT(""'收支紀錄'!N""&amp;TO_TEXT(ROW()-$C$72))"),"")</f>
        <v/>
      </c>
      <c r="O1422" s="61" t="str">
        <f>IFERROR(__xludf.DUMMYFUNCTION("INDIRECT(""'收支紀錄'!O""&amp;TO_TEXT(ROW()-$C$72))"),"")</f>
        <v/>
      </c>
      <c r="P1422" s="61" t="str">
        <f>IFERROR(__xludf.DUMMYFUNCTION("INDIRECT(""'收支紀錄'!P""&amp;TO_TEXT(ROW()-$C$72))"),"")</f>
        <v/>
      </c>
      <c r="Q1422" s="61" t="str">
        <f>IFERROR(__xludf.DUMMYFUNCTION("INDIRECT(""'收支紀錄'!Q""&amp;TO_TEXT(ROW()-$C$72))"),"")</f>
        <v/>
      </c>
      <c r="R1422" s="61" t="str">
        <f>IFERROR(__xludf.DUMMYFUNCTION("INDIRECT(""'收支紀錄'!R""&amp;TO_TEXT(ROW()-$C$72))"),"")</f>
        <v/>
      </c>
      <c r="S1422" s="61" t="str">
        <f>IFERROR(__xludf.DUMMYFUNCTION("INDIRECT(""'收支紀錄'!S""&amp;TO_TEXT(ROW()-$C$72))"),"")</f>
        <v/>
      </c>
      <c r="T1422" s="61" t="str">
        <f>IFERROR(__xludf.DUMMYFUNCTION("INDIRECT(""'收支紀錄'!T""&amp;TO_TEXT(ROW()-$C$72))"),"")</f>
        <v/>
      </c>
      <c r="U1422" s="62" t="str">
        <f>IFERROR(__xludf.DUMMYFUNCTION("IF(T1422=""是"",TEXTJOIN("""", TRUE, ""$"", TO_TEXT(C1422), S1422),"""")"),"")</f>
        <v/>
      </c>
    </row>
    <row r="1423">
      <c r="A1423" s="58">
        <f>IFERROR(__xludf.DUMMYFUNCTION("INDIRECT(""'收支紀錄'!A""&amp;TO_TEXT(ROW()-$C$72))"),46054.312426122684)</f>
        <v>46054.31243</v>
      </c>
      <c r="B1423" s="59">
        <f>IFERROR(__xludf.DUMMYFUNCTION("IF(ISBLANK(D1423), """", IF(ISDATE(D1423), D1423, IF(D1423=""今天"", A1423, IF(D1423=""昨天 (-1 day)"", A1423-1, IF(D1423=""前天 (-2 days)"", A1423-2, IF(D1423=""明天 (+1 day)"", A1423+1, DATE(LEFT(D1423,4), MID(D1423,5,2), RIGHT(D1423,2))))))))"),46054.312426122684)</f>
        <v>46054.31243</v>
      </c>
      <c r="C1423" s="60">
        <f>IFERROR(__xludf.DUMMYFUNCTION("INDIRECT(""'收支紀錄'!C""&amp;TO_TEXT(ROW()-$C$72))"),6000.0)</f>
        <v>6000</v>
      </c>
      <c r="D1423" s="63" t="str">
        <f>IFERROR(__xludf.DUMMYFUNCTION("INDIRECT(""'收支紀錄'!D""&amp;TO_TEXT(ROW()-$C$72))"),"今天")</f>
        <v>今天</v>
      </c>
      <c r="E1423" s="61" t="str">
        <f>IFERROR(__xludf.DUMMYFUNCTION("INDIRECT(""'收支紀錄'!E""&amp;TO_TEXT(ROW()-$C$72))"),"")</f>
        <v/>
      </c>
      <c r="F1423" s="61" t="str">
        <f>IFERROR(__xludf.DUMMYFUNCTION("INDIRECT(""'收支紀錄'!F""&amp;TO_TEXT(ROW()-$C$72))"),"")</f>
        <v/>
      </c>
      <c r="G1423" s="61" t="str">
        <f>IFERROR(__xludf.DUMMYFUNCTION("INDIRECT(""'收支紀錄'!G""&amp;TO_TEXT(ROW()-$C$72))"),"")</f>
        <v/>
      </c>
      <c r="H1423" s="61" t="str">
        <f>IFERROR(__xludf.DUMMYFUNCTION("INDIRECT(""'收支紀錄'!H""&amp;TO_TEXT(ROW()-$C$72))"),"房屋支出")</f>
        <v>房屋支出</v>
      </c>
      <c r="I1423" s="61" t="str">
        <f>IFERROR(__xludf.DUMMYFUNCTION("INDIRECT(""'收支紀錄'!I""&amp;TO_TEXT(ROW()-$C$72))"),"")</f>
        <v/>
      </c>
      <c r="J1423" s="61" t="str">
        <f>IFERROR(__xludf.DUMMYFUNCTION("INDIRECT(""'收支紀錄'!J""&amp;TO_TEXT(ROW()-$C$72))"),"")</f>
        <v/>
      </c>
      <c r="K1423" s="61" t="str">
        <f>IFERROR(__xludf.DUMMYFUNCTION("INDIRECT(""'收支紀錄'!K""&amp;TO_TEXT(ROW()-$C$72))"),"租屋")</f>
        <v>租屋</v>
      </c>
      <c r="L1423" s="61" t="str">
        <f>IFERROR(__xludf.DUMMYFUNCTION("INDIRECT(""'收支紀錄'!L""&amp;TO_TEXT(ROW()-$C$72))"),"")</f>
        <v/>
      </c>
      <c r="M1423" s="61" t="str">
        <f>IFERROR(__xludf.DUMMYFUNCTION("INDIRECT(""'收支紀錄'!M""&amp;TO_TEXT(ROW()-$C$72))"),"")</f>
        <v/>
      </c>
      <c r="N1423" s="61" t="str">
        <f>IFERROR(__xludf.DUMMYFUNCTION("INDIRECT(""'收支紀錄'!N""&amp;TO_TEXT(ROW()-$C$72))"),"")</f>
        <v/>
      </c>
      <c r="O1423" s="61" t="str">
        <f>IFERROR(__xludf.DUMMYFUNCTION("INDIRECT(""'收支紀錄'!O""&amp;TO_TEXT(ROW()-$C$72))"),"")</f>
        <v/>
      </c>
      <c r="P1423" s="61" t="str">
        <f>IFERROR(__xludf.DUMMYFUNCTION("INDIRECT(""'收支紀錄'!P""&amp;TO_TEXT(ROW()-$C$72))"),"")</f>
        <v/>
      </c>
      <c r="Q1423" s="61" t="str">
        <f>IFERROR(__xludf.DUMMYFUNCTION("INDIRECT(""'收支紀錄'!Q""&amp;TO_TEXT(ROW()-$C$72))"),"")</f>
        <v/>
      </c>
      <c r="R1423" s="61" t="str">
        <f>IFERROR(__xludf.DUMMYFUNCTION("INDIRECT(""'收支紀錄'!R""&amp;TO_TEXT(ROW()-$C$72))"),"")</f>
        <v/>
      </c>
      <c r="S1423" s="61" t="str">
        <f>IFERROR(__xludf.DUMMYFUNCTION("INDIRECT(""'收支紀錄'!S""&amp;TO_TEXT(ROW()-$C$72))"),"")</f>
        <v/>
      </c>
      <c r="T1423" s="61" t="str">
        <f>IFERROR(__xludf.DUMMYFUNCTION("INDIRECT(""'收支紀錄'!T""&amp;TO_TEXT(ROW()-$C$72))"),"")</f>
        <v/>
      </c>
      <c r="U1423" s="62" t="str">
        <f>IFERROR(__xludf.DUMMYFUNCTION("IF(T1423=""是"",TEXTJOIN("""", TRUE, ""$"", TO_TEXT(C1423), S1423),"""")"),"")</f>
        <v/>
      </c>
    </row>
    <row r="1424">
      <c r="A1424" s="58">
        <f>IFERROR(__xludf.DUMMYFUNCTION("INDIRECT(""'收支紀錄'!A""&amp;TO_TEXT(ROW()-$C$72))"),46054.31264005787)</f>
        <v>46054.31264</v>
      </c>
      <c r="B1424" s="59">
        <f>IFERROR(__xludf.DUMMYFUNCTION("IF(ISBLANK(D1424), """", IF(ISDATE(D1424), D1424, IF(D1424=""今天"", A1424, IF(D1424=""昨天 (-1 day)"", A1424-1, IF(D1424=""前天 (-2 days)"", A1424-2, IF(D1424=""明天 (+1 day)"", A1424+1, DATE(LEFT(D1424,4), MID(D1424,5,2), RIGHT(D1424,2))))))))"),46054.31264005787)</f>
        <v>46054.31264</v>
      </c>
      <c r="C1424" s="60">
        <f>IFERROR(__xludf.DUMMYFUNCTION("INDIRECT(""'收支紀錄'!C""&amp;TO_TEXT(ROW()-$C$72))"),20000.0)</f>
        <v>20000</v>
      </c>
      <c r="D1424" s="63" t="str">
        <f>IFERROR(__xludf.DUMMYFUNCTION("INDIRECT(""'收支紀錄'!D""&amp;TO_TEXT(ROW()-$C$72))"),"今天")</f>
        <v>今天</v>
      </c>
      <c r="E1424" s="61" t="str">
        <f>IFERROR(__xludf.DUMMYFUNCTION("INDIRECT(""'收支紀錄'!E""&amp;TO_TEXT(ROW()-$C$72))"),"")</f>
        <v/>
      </c>
      <c r="F1424" s="61" t="str">
        <f>IFERROR(__xludf.DUMMYFUNCTION("INDIRECT(""'收支紀錄'!F""&amp;TO_TEXT(ROW()-$C$72))"),"")</f>
        <v/>
      </c>
      <c r="G1424" s="61" t="str">
        <f>IFERROR(__xludf.DUMMYFUNCTION("INDIRECT(""'收支紀錄'!G""&amp;TO_TEXT(ROW()-$C$72))"),"")</f>
        <v/>
      </c>
      <c r="H1424" s="61" t="str">
        <f>IFERROR(__xludf.DUMMYFUNCTION("INDIRECT(""'收支紀錄'!H""&amp;TO_TEXT(ROW()-$C$72))"),"房屋支出")</f>
        <v>房屋支出</v>
      </c>
      <c r="I1424" s="61" t="str">
        <f>IFERROR(__xludf.DUMMYFUNCTION("INDIRECT(""'收支紀錄'!I""&amp;TO_TEXT(ROW()-$C$72))"),"")</f>
        <v/>
      </c>
      <c r="J1424" s="61" t="str">
        <f>IFERROR(__xludf.DUMMYFUNCTION("INDIRECT(""'收支紀錄'!J""&amp;TO_TEXT(ROW()-$C$72))"),"")</f>
        <v/>
      </c>
      <c r="K1424" s="61" t="str">
        <f>IFERROR(__xludf.DUMMYFUNCTION("INDIRECT(""'收支紀錄'!K""&amp;TO_TEXT(ROW()-$C$72))"),"文心1房貸代繳")</f>
        <v>文心1房貸代繳</v>
      </c>
      <c r="L1424" s="61" t="str">
        <f>IFERROR(__xludf.DUMMYFUNCTION("INDIRECT(""'收支紀錄'!L""&amp;TO_TEXT(ROW()-$C$72))"),"")</f>
        <v/>
      </c>
      <c r="M1424" s="61" t="str">
        <f>IFERROR(__xludf.DUMMYFUNCTION("INDIRECT(""'收支紀錄'!M""&amp;TO_TEXT(ROW()-$C$72))"),"")</f>
        <v/>
      </c>
      <c r="N1424" s="61" t="str">
        <f>IFERROR(__xludf.DUMMYFUNCTION("INDIRECT(""'收支紀錄'!N""&amp;TO_TEXT(ROW()-$C$72))"),"")</f>
        <v/>
      </c>
      <c r="O1424" s="61" t="str">
        <f>IFERROR(__xludf.DUMMYFUNCTION("INDIRECT(""'收支紀錄'!O""&amp;TO_TEXT(ROW()-$C$72))"),"")</f>
        <v/>
      </c>
      <c r="P1424" s="61" t="str">
        <f>IFERROR(__xludf.DUMMYFUNCTION("INDIRECT(""'收支紀錄'!P""&amp;TO_TEXT(ROW()-$C$72))"),"")</f>
        <v/>
      </c>
      <c r="Q1424" s="61" t="str">
        <f>IFERROR(__xludf.DUMMYFUNCTION("INDIRECT(""'收支紀錄'!Q""&amp;TO_TEXT(ROW()-$C$72))"),"")</f>
        <v/>
      </c>
      <c r="R1424" s="61" t="str">
        <f>IFERROR(__xludf.DUMMYFUNCTION("INDIRECT(""'收支紀錄'!R""&amp;TO_TEXT(ROW()-$C$72))"),"")</f>
        <v/>
      </c>
      <c r="S1424" s="61" t="str">
        <f>IFERROR(__xludf.DUMMYFUNCTION("INDIRECT(""'收支紀錄'!S""&amp;TO_TEXT(ROW()-$C$72))"),"")</f>
        <v/>
      </c>
      <c r="T1424" s="61" t="str">
        <f>IFERROR(__xludf.DUMMYFUNCTION("INDIRECT(""'收支紀錄'!T""&amp;TO_TEXT(ROW()-$C$72))"),"")</f>
        <v/>
      </c>
      <c r="U1424" s="62" t="str">
        <f>IFERROR(__xludf.DUMMYFUNCTION("IF(T1424=""是"",TEXTJOIN("""", TRUE, ""$"", TO_TEXT(C1424), S1424),"""")"),"")</f>
        <v/>
      </c>
    </row>
    <row r="1425">
      <c r="A1425" s="58">
        <f>IFERROR(__xludf.DUMMYFUNCTION("INDIRECT(""'收支紀錄'!A""&amp;TO_TEXT(ROW()-$C$72))"),46055.31371091436)</f>
        <v>46055.31371</v>
      </c>
      <c r="B1425" s="59">
        <f>IFERROR(__xludf.DUMMYFUNCTION("IF(ISBLANK(D1425), """", IF(ISDATE(D1425), D1425, IF(D1425=""今天"", A1425, IF(D1425=""昨天 (-1 day)"", A1425-1, IF(D1425=""前天 (-2 days)"", A1425-2, IF(D1425=""明天 (+1 day)"", A1425+1, DATE(LEFT(D1425,4), MID(D1425,5,2), RIGHT(D1425,2))))))))"),46055.31371091436)</f>
        <v>46055.31371</v>
      </c>
      <c r="C1425" s="60">
        <f>IFERROR(__xludf.DUMMYFUNCTION("INDIRECT(""'收支紀錄'!C""&amp;TO_TEXT(ROW()-$C$72))"),6000.0)</f>
        <v>6000</v>
      </c>
      <c r="D1425" s="63" t="str">
        <f>IFERROR(__xludf.DUMMYFUNCTION("INDIRECT(""'收支紀錄'!D""&amp;TO_TEXT(ROW()-$C$72))"),"今天")</f>
        <v>今天</v>
      </c>
      <c r="E1425" s="61" t="str">
        <f>IFERROR(__xludf.DUMMYFUNCTION("INDIRECT(""'收支紀錄'!E""&amp;TO_TEXT(ROW()-$C$72))"),"其他業外")</f>
        <v>其他業外</v>
      </c>
      <c r="F1425" s="61" t="str">
        <f>IFERROR(__xludf.DUMMYFUNCTION("INDIRECT(""'收支紀錄'!F""&amp;TO_TEXT(ROW()-$C$72))"),"")</f>
        <v/>
      </c>
      <c r="G1425" s="61" t="str">
        <f>IFERROR(__xludf.DUMMYFUNCTION("INDIRECT(""'收支紀錄'!G""&amp;TO_TEXT(ROW()-$C$72))"),"房屋補貼")</f>
        <v>房屋補貼</v>
      </c>
      <c r="H1425" s="61" t="str">
        <f>IFERROR(__xludf.DUMMYFUNCTION("INDIRECT(""'收支紀錄'!H""&amp;TO_TEXT(ROW()-$C$72))"),"")</f>
        <v/>
      </c>
      <c r="I1425" s="61" t="str">
        <f>IFERROR(__xludf.DUMMYFUNCTION("INDIRECT(""'收支紀錄'!I""&amp;TO_TEXT(ROW()-$C$72))"),"")</f>
        <v/>
      </c>
      <c r="J1425" s="61" t="str">
        <f>IFERROR(__xludf.DUMMYFUNCTION("INDIRECT(""'收支紀錄'!J""&amp;TO_TEXT(ROW()-$C$72))"),"")</f>
        <v/>
      </c>
      <c r="K1425" s="61" t="str">
        <f>IFERROR(__xludf.DUMMYFUNCTION("INDIRECT(""'收支紀錄'!K""&amp;TO_TEXT(ROW()-$C$72))"),"")</f>
        <v/>
      </c>
      <c r="L1425" s="61" t="str">
        <f>IFERROR(__xludf.DUMMYFUNCTION("INDIRECT(""'收支紀錄'!L""&amp;TO_TEXT(ROW()-$C$72))"),"")</f>
        <v/>
      </c>
      <c r="M1425" s="61" t="str">
        <f>IFERROR(__xludf.DUMMYFUNCTION("INDIRECT(""'收支紀錄'!M""&amp;TO_TEXT(ROW()-$C$72))"),"")</f>
        <v/>
      </c>
      <c r="N1425" s="61" t="str">
        <f>IFERROR(__xludf.DUMMYFUNCTION("INDIRECT(""'收支紀錄'!N""&amp;TO_TEXT(ROW()-$C$72))"),"")</f>
        <v/>
      </c>
      <c r="O1425" s="61" t="str">
        <f>IFERROR(__xludf.DUMMYFUNCTION("INDIRECT(""'收支紀錄'!O""&amp;TO_TEXT(ROW()-$C$72))"),"")</f>
        <v/>
      </c>
      <c r="P1425" s="61" t="str">
        <f>IFERROR(__xludf.DUMMYFUNCTION("INDIRECT(""'收支紀錄'!P""&amp;TO_TEXT(ROW()-$C$72))"),"")</f>
        <v/>
      </c>
      <c r="Q1425" s="61" t="str">
        <f>IFERROR(__xludf.DUMMYFUNCTION("INDIRECT(""'收支紀錄'!Q""&amp;TO_TEXT(ROW()-$C$72))"),"")</f>
        <v/>
      </c>
      <c r="R1425" s="61" t="str">
        <f>IFERROR(__xludf.DUMMYFUNCTION("INDIRECT(""'收支紀錄'!R""&amp;TO_TEXT(ROW()-$C$72))"),"")</f>
        <v/>
      </c>
      <c r="S1425" s="61" t="str">
        <f>IFERROR(__xludf.DUMMYFUNCTION("INDIRECT(""'收支紀錄'!S""&amp;TO_TEXT(ROW()-$C$72))"),"")</f>
        <v/>
      </c>
      <c r="T1425" s="61" t="str">
        <f>IFERROR(__xludf.DUMMYFUNCTION("INDIRECT(""'收支紀錄'!T""&amp;TO_TEXT(ROW()-$C$72))"),"")</f>
        <v/>
      </c>
      <c r="U1425" s="62" t="str">
        <f>IFERROR(__xludf.DUMMYFUNCTION("IF(T1425=""是"",TEXTJOIN("""", TRUE, ""$"", TO_TEXT(C1425), S1425),"""")"),"")</f>
        <v/>
      </c>
    </row>
    <row r="1426">
      <c r="A1426" s="58">
        <f>IFERROR(__xludf.DUMMYFUNCTION("INDIRECT(""'收支紀錄'!A""&amp;TO_TEXT(ROW()-$C$72))"),46057.51838454861)</f>
        <v>46057.51838</v>
      </c>
      <c r="B1426" s="59">
        <f>IFERROR(__xludf.DUMMYFUNCTION("IF(ISBLANK(D1426), """", IF(ISDATE(D1426), D1426, IF(D1426=""今天"", A1426, IF(D1426=""昨天 (-1 day)"", A1426-1, IF(D1426=""前天 (-2 days)"", A1426-2, IF(D1426=""明天 (+1 day)"", A1426+1, DATE(LEFT(D1426,4), MID(D1426,5,2), RIGHT(D1426,2))))))))"),46057.51838454861)</f>
        <v>46057.51838</v>
      </c>
      <c r="C1426" s="60">
        <f>IFERROR(__xludf.DUMMYFUNCTION("INDIRECT(""'收支紀錄'!C""&amp;TO_TEXT(ROW()-$C$72))"),4500.0)</f>
        <v>4500</v>
      </c>
      <c r="D1426" s="63" t="str">
        <f>IFERROR(__xludf.DUMMYFUNCTION("INDIRECT(""'收支紀錄'!D""&amp;TO_TEXT(ROW()-$C$72))"),"今天")</f>
        <v>今天</v>
      </c>
      <c r="E1426" s="61" t="str">
        <f>IFERROR(__xludf.DUMMYFUNCTION("INDIRECT(""'收支紀錄'!E""&amp;TO_TEXT(ROW()-$C$72))"),"")</f>
        <v/>
      </c>
      <c r="F1426" s="61" t="str">
        <f>IFERROR(__xludf.DUMMYFUNCTION("INDIRECT(""'收支紀錄'!F""&amp;TO_TEXT(ROW()-$C$72))"),"")</f>
        <v/>
      </c>
      <c r="G1426" s="61" t="str">
        <f>IFERROR(__xludf.DUMMYFUNCTION("INDIRECT(""'收支紀錄'!G""&amp;TO_TEXT(ROW()-$C$72))"),"")</f>
        <v/>
      </c>
      <c r="H1426" s="61" t="str">
        <f>IFERROR(__xludf.DUMMYFUNCTION("INDIRECT(""'收支紀錄'!H""&amp;TO_TEXT(ROW()-$C$72))"),"行車交通")</f>
        <v>行車交通</v>
      </c>
      <c r="I1426" s="61" t="str">
        <f>IFERROR(__xludf.DUMMYFUNCTION("INDIRECT(""'收支紀錄'!I""&amp;TO_TEXT(ROW()-$C$72))"),"")</f>
        <v/>
      </c>
      <c r="J1426" s="61" t="str">
        <f>IFERROR(__xludf.DUMMYFUNCTION("INDIRECT(""'收支紀錄'!J""&amp;TO_TEXT(ROW()-$C$72))"),"")</f>
        <v/>
      </c>
      <c r="K1426" s="61" t="str">
        <f>IFERROR(__xludf.DUMMYFUNCTION("INDIRECT(""'收支紀錄'!K""&amp;TO_TEXT(ROW()-$C$72))"),"")</f>
        <v/>
      </c>
      <c r="L1426" s="61" t="str">
        <f>IFERROR(__xludf.DUMMYFUNCTION("INDIRECT(""'收支紀錄'!L""&amp;TO_TEXT(ROW()-$C$72))"),"其他(洗車,罰單,配件)")</f>
        <v>其他(洗車,罰單,配件)</v>
      </c>
      <c r="M1426" s="61" t="str">
        <f>IFERROR(__xludf.DUMMYFUNCTION("INDIRECT(""'收支紀錄'!M""&amp;TO_TEXT(ROW()-$C$72))"),"")</f>
        <v/>
      </c>
      <c r="N1426" s="61" t="str">
        <f>IFERROR(__xludf.DUMMYFUNCTION("INDIRECT(""'收支紀錄'!N""&amp;TO_TEXT(ROW()-$C$72))"),"")</f>
        <v/>
      </c>
      <c r="O1426" s="61" t="str">
        <f>IFERROR(__xludf.DUMMYFUNCTION("INDIRECT(""'收支紀錄'!O""&amp;TO_TEXT(ROW()-$C$72))"),"")</f>
        <v/>
      </c>
      <c r="P1426" s="61" t="str">
        <f>IFERROR(__xludf.DUMMYFUNCTION("INDIRECT(""'收支紀錄'!P""&amp;TO_TEXT(ROW()-$C$72))"),"")</f>
        <v/>
      </c>
      <c r="Q1426" s="61" t="str">
        <f>IFERROR(__xludf.DUMMYFUNCTION("INDIRECT(""'收支紀錄'!Q""&amp;TO_TEXT(ROW()-$C$72))"),"")</f>
        <v/>
      </c>
      <c r="R1426" s="61" t="str">
        <f>IFERROR(__xludf.DUMMYFUNCTION("INDIRECT(""'收支紀錄'!R""&amp;TO_TEXT(ROW()-$C$72))"),"")</f>
        <v/>
      </c>
      <c r="S1426" s="61" t="str">
        <f>IFERROR(__xludf.DUMMYFUNCTION("INDIRECT(""'收支紀錄'!S""&amp;TO_TEXT(ROW()-$C$72))"),"換輪胎")</f>
        <v>換輪胎</v>
      </c>
      <c r="T1426" s="61" t="str">
        <f>IFERROR(__xludf.DUMMYFUNCTION("INDIRECT(""'收支紀錄'!T""&amp;TO_TEXT(ROW()-$C$72))"),"是")</f>
        <v>是</v>
      </c>
      <c r="U1426" s="62" t="str">
        <f>IFERROR(__xludf.DUMMYFUNCTION("IF(T1426=""是"",TEXTJOIN("""", TRUE, ""$"", TO_TEXT(C1426), S1426),"""")"),"$4500換輪胎")</f>
        <v>$4500換輪胎</v>
      </c>
    </row>
    <row r="1427">
      <c r="A1427" s="58">
        <f>IFERROR(__xludf.DUMMYFUNCTION("INDIRECT(""'收支紀錄'!A""&amp;TO_TEXT(ROW()-$C$72))"),46057.51858188657)</f>
        <v>46057.51858</v>
      </c>
      <c r="B1427" s="59">
        <f>IFERROR(__xludf.DUMMYFUNCTION("IF(ISBLANK(D1427), """", IF(ISDATE(D1427), D1427, IF(D1427=""今天"", A1427, IF(D1427=""昨天 (-1 day)"", A1427-1, IF(D1427=""前天 (-2 days)"", A1427-2, IF(D1427=""明天 (+1 day)"", A1427+1, DATE(LEFT(D1427,4), MID(D1427,5,2), RIGHT(D1427,2))))))))"),46057.51858188657)</f>
        <v>46057.51858</v>
      </c>
      <c r="C1427" s="60">
        <f>IFERROR(__xludf.DUMMYFUNCTION("INDIRECT(""'收支紀錄'!C""&amp;TO_TEXT(ROW()-$C$72))"),155.0)</f>
        <v>155</v>
      </c>
      <c r="D1427" s="63" t="str">
        <f>IFERROR(__xludf.DUMMYFUNCTION("INDIRECT(""'收支紀錄'!D""&amp;TO_TEXT(ROW()-$C$72))"),"今天")</f>
        <v>今天</v>
      </c>
      <c r="E1427" s="61" t="str">
        <f>IFERROR(__xludf.DUMMYFUNCTION("INDIRECT(""'收支紀錄'!E""&amp;TO_TEXT(ROW()-$C$72))"),"")</f>
        <v/>
      </c>
      <c r="F1427" s="61" t="str">
        <f>IFERROR(__xludf.DUMMYFUNCTION("INDIRECT(""'收支紀錄'!F""&amp;TO_TEXT(ROW()-$C$72))"),"")</f>
        <v/>
      </c>
      <c r="G1427" s="61" t="str">
        <f>IFERROR(__xludf.DUMMYFUNCTION("INDIRECT(""'收支紀錄'!G""&amp;TO_TEXT(ROW()-$C$72))"),"")</f>
        <v/>
      </c>
      <c r="H1427" s="61" t="str">
        <f>IFERROR(__xludf.DUMMYFUNCTION("INDIRECT(""'收支紀錄'!H""&amp;TO_TEXT(ROW()-$C$72))"),"食品酒水")</f>
        <v>食品酒水</v>
      </c>
      <c r="I1427" s="61" t="str">
        <f>IFERROR(__xludf.DUMMYFUNCTION("INDIRECT(""'收支紀錄'!I""&amp;TO_TEXT(ROW()-$C$72))"),"早餐")</f>
        <v>早餐</v>
      </c>
      <c r="J1427" s="61" t="str">
        <f>IFERROR(__xludf.DUMMYFUNCTION("INDIRECT(""'收支紀錄'!J""&amp;TO_TEXT(ROW()-$C$72))"),"")</f>
        <v/>
      </c>
      <c r="K1427" s="61" t="str">
        <f>IFERROR(__xludf.DUMMYFUNCTION("INDIRECT(""'收支紀錄'!K""&amp;TO_TEXT(ROW()-$C$72))"),"")</f>
        <v/>
      </c>
      <c r="L1427" s="61" t="str">
        <f>IFERROR(__xludf.DUMMYFUNCTION("INDIRECT(""'收支紀錄'!L""&amp;TO_TEXT(ROW()-$C$72))"),"")</f>
        <v/>
      </c>
      <c r="M1427" s="61" t="str">
        <f>IFERROR(__xludf.DUMMYFUNCTION("INDIRECT(""'收支紀錄'!M""&amp;TO_TEXT(ROW()-$C$72))"),"")</f>
        <v/>
      </c>
      <c r="N1427" s="61" t="str">
        <f>IFERROR(__xludf.DUMMYFUNCTION("INDIRECT(""'收支紀錄'!N""&amp;TO_TEXT(ROW()-$C$72))"),"")</f>
        <v/>
      </c>
      <c r="O1427" s="61" t="str">
        <f>IFERROR(__xludf.DUMMYFUNCTION("INDIRECT(""'收支紀錄'!O""&amp;TO_TEXT(ROW()-$C$72))"),"")</f>
        <v/>
      </c>
      <c r="P1427" s="61" t="str">
        <f>IFERROR(__xludf.DUMMYFUNCTION("INDIRECT(""'收支紀錄'!P""&amp;TO_TEXT(ROW()-$C$72))"),"")</f>
        <v/>
      </c>
      <c r="Q1427" s="61" t="str">
        <f>IFERROR(__xludf.DUMMYFUNCTION("INDIRECT(""'收支紀錄'!Q""&amp;TO_TEXT(ROW()-$C$72))"),"")</f>
        <v/>
      </c>
      <c r="R1427" s="61" t="str">
        <f>IFERROR(__xludf.DUMMYFUNCTION("INDIRECT(""'收支紀錄'!R""&amp;TO_TEXT(ROW()-$C$72))"),"")</f>
        <v/>
      </c>
      <c r="S1427" s="61" t="str">
        <f>IFERROR(__xludf.DUMMYFUNCTION("INDIRECT(""'收支紀錄'!S""&amp;TO_TEXT(ROW()-$C$72))"),"")</f>
        <v/>
      </c>
      <c r="T1427" s="61" t="str">
        <f>IFERROR(__xludf.DUMMYFUNCTION("INDIRECT(""'收支紀錄'!T""&amp;TO_TEXT(ROW()-$C$72))"),"")</f>
        <v/>
      </c>
      <c r="U1427" s="62" t="str">
        <f>IFERROR(__xludf.DUMMYFUNCTION("IF(T1427=""是"",TEXTJOIN("""", TRUE, ""$"", TO_TEXT(C1427), S1427),"""")"),"")</f>
        <v/>
      </c>
    </row>
    <row r="1428">
      <c r="A1428" s="58">
        <f>IFERROR(__xludf.DUMMYFUNCTION("INDIRECT(""'收支紀錄'!A""&amp;TO_TEXT(ROW()-$C$72))"),46059.03760206018)</f>
        <v>46059.0376</v>
      </c>
      <c r="B1428" s="59">
        <f>IFERROR(__xludf.DUMMYFUNCTION("IF(ISBLANK(D1428), """", IF(ISDATE(D1428), D1428, IF(D1428=""今天"", A1428, IF(D1428=""昨天 (-1 day)"", A1428-1, IF(D1428=""前天 (-2 days)"", A1428-2, IF(D1428=""明天 (+1 day)"", A1428+1, DATE(LEFT(D1428,4), MID(D1428,5,2), RIGHT(D1428,2))))))))"),46058.03760206018)</f>
        <v>46058.0376</v>
      </c>
      <c r="C1428" s="60">
        <f>IFERROR(__xludf.DUMMYFUNCTION("INDIRECT(""'收支紀錄'!C""&amp;TO_TEXT(ROW()-$C$72))"),106853.0)</f>
        <v>106853</v>
      </c>
      <c r="D1428" s="63" t="str">
        <f>IFERROR(__xludf.DUMMYFUNCTION("INDIRECT(""'收支紀錄'!D""&amp;TO_TEXT(ROW()-$C$72))"),"昨天 (-1 day)")</f>
        <v>昨天 (-1 day)</v>
      </c>
      <c r="E1428" s="61" t="str">
        <f>IFERROR(__xludf.DUMMYFUNCTION("INDIRECT(""'收支紀錄'!E""&amp;TO_TEXT(ROW()-$C$72))"),"工作")</f>
        <v>工作</v>
      </c>
      <c r="F1428" s="61" t="str">
        <f>IFERROR(__xludf.DUMMYFUNCTION("INDIRECT(""'收支紀錄'!F""&amp;TO_TEXT(ROW()-$C$72))"),"底薪")</f>
        <v>底薪</v>
      </c>
      <c r="G1428" s="61" t="str">
        <f>IFERROR(__xludf.DUMMYFUNCTION("INDIRECT(""'收支紀錄'!G""&amp;TO_TEXT(ROW()-$C$72))"),"")</f>
        <v/>
      </c>
      <c r="H1428" s="61" t="str">
        <f>IFERROR(__xludf.DUMMYFUNCTION("INDIRECT(""'收支紀錄'!H""&amp;TO_TEXT(ROW()-$C$72))"),"")</f>
        <v/>
      </c>
      <c r="I1428" s="61" t="str">
        <f>IFERROR(__xludf.DUMMYFUNCTION("INDIRECT(""'收支紀錄'!I""&amp;TO_TEXT(ROW()-$C$72))"),"")</f>
        <v/>
      </c>
      <c r="J1428" s="61" t="str">
        <f>IFERROR(__xludf.DUMMYFUNCTION("INDIRECT(""'收支紀錄'!J""&amp;TO_TEXT(ROW()-$C$72))"),"")</f>
        <v/>
      </c>
      <c r="K1428" s="61" t="str">
        <f>IFERROR(__xludf.DUMMYFUNCTION("INDIRECT(""'收支紀錄'!K""&amp;TO_TEXT(ROW()-$C$72))"),"")</f>
        <v/>
      </c>
      <c r="L1428" s="61" t="str">
        <f>IFERROR(__xludf.DUMMYFUNCTION("INDIRECT(""'收支紀錄'!L""&amp;TO_TEXT(ROW()-$C$72))"),"")</f>
        <v/>
      </c>
      <c r="M1428" s="61" t="str">
        <f>IFERROR(__xludf.DUMMYFUNCTION("INDIRECT(""'收支紀錄'!M""&amp;TO_TEXT(ROW()-$C$72))"),"")</f>
        <v/>
      </c>
      <c r="N1428" s="61" t="str">
        <f>IFERROR(__xludf.DUMMYFUNCTION("INDIRECT(""'收支紀錄'!N""&amp;TO_TEXT(ROW()-$C$72))"),"")</f>
        <v/>
      </c>
      <c r="O1428" s="61" t="str">
        <f>IFERROR(__xludf.DUMMYFUNCTION("INDIRECT(""'收支紀錄'!O""&amp;TO_TEXT(ROW()-$C$72))"),"")</f>
        <v/>
      </c>
      <c r="P1428" s="61" t="str">
        <f>IFERROR(__xludf.DUMMYFUNCTION("INDIRECT(""'收支紀錄'!P""&amp;TO_TEXT(ROW()-$C$72))"),"")</f>
        <v/>
      </c>
      <c r="Q1428" s="61" t="str">
        <f>IFERROR(__xludf.DUMMYFUNCTION("INDIRECT(""'收支紀錄'!Q""&amp;TO_TEXT(ROW()-$C$72))"),"")</f>
        <v/>
      </c>
      <c r="R1428" s="61" t="str">
        <f>IFERROR(__xludf.DUMMYFUNCTION("INDIRECT(""'收支紀錄'!R""&amp;TO_TEXT(ROW()-$C$72))"),"")</f>
        <v/>
      </c>
      <c r="S1428" s="61" t="str">
        <f>IFERROR(__xludf.DUMMYFUNCTION("INDIRECT(""'收支紀錄'!S""&amp;TO_TEXT(ROW()-$C$72))"),"$447病假")</f>
        <v>$447病假</v>
      </c>
      <c r="T1428" s="61" t="str">
        <f>IFERROR(__xludf.DUMMYFUNCTION("INDIRECT(""'收支紀錄'!T""&amp;TO_TEXT(ROW()-$C$72))"),"是")</f>
        <v>是</v>
      </c>
      <c r="U1428" s="62" t="str">
        <f>IFERROR(__xludf.DUMMYFUNCTION("IF(T1428=""是"",TEXTJOIN("""", TRUE, ""$"", TO_TEXT(C1428), S1428),"""")"),"$106853$447病假")</f>
        <v>$106853$447病假</v>
      </c>
    </row>
    <row r="1429">
      <c r="A1429" s="58">
        <f>IFERROR(__xludf.DUMMYFUNCTION("INDIRECT(""'收支紀錄'!A""&amp;TO_TEXT(ROW()-$C$72))"),46059.03792585648)</f>
        <v>46059.03793</v>
      </c>
      <c r="B1429" s="59">
        <f>IFERROR(__xludf.DUMMYFUNCTION("IF(ISBLANK(D1429), """", IF(ISDATE(D1429), D1429, IF(D1429=""今天"", A1429, IF(D1429=""昨天 (-1 day)"", A1429-1, IF(D1429=""前天 (-2 days)"", A1429-2, IF(D1429=""明天 (+1 day)"", A1429+1, DATE(LEFT(D1429,4), MID(D1429,5,2), RIGHT(D1429,2))))))))"),46058.03792585648)</f>
        <v>46058.03793</v>
      </c>
      <c r="C1429" s="60">
        <f>IFERROR(__xludf.DUMMYFUNCTION("INDIRECT(""'收支紀錄'!C""&amp;TO_TEXT(ROW()-$C$72))"),1630.0)</f>
        <v>1630</v>
      </c>
      <c r="D1429" s="63" t="str">
        <f>IFERROR(__xludf.DUMMYFUNCTION("INDIRECT(""'收支紀錄'!D""&amp;TO_TEXT(ROW()-$C$72))"),"昨天 (-1 day)")</f>
        <v>昨天 (-1 day)</v>
      </c>
      <c r="E1429" s="61" t="str">
        <f>IFERROR(__xludf.DUMMYFUNCTION("INDIRECT(""'收支紀錄'!E""&amp;TO_TEXT(ROW()-$C$72))"),"")</f>
        <v/>
      </c>
      <c r="F1429" s="61" t="str">
        <f>IFERROR(__xludf.DUMMYFUNCTION("INDIRECT(""'收支紀錄'!F""&amp;TO_TEXT(ROW()-$C$72))"),"")</f>
        <v/>
      </c>
      <c r="G1429" s="61" t="str">
        <f>IFERROR(__xludf.DUMMYFUNCTION("INDIRECT(""'收支紀錄'!G""&amp;TO_TEXT(ROW()-$C$72))"),"")</f>
        <v/>
      </c>
      <c r="H1429" s="61" t="str">
        <f>IFERROR(__xludf.DUMMYFUNCTION("INDIRECT(""'收支紀錄'!H""&amp;TO_TEXT(ROW()-$C$72))"),"食品酒水")</f>
        <v>食品酒水</v>
      </c>
      <c r="I1429" s="61" t="str">
        <f>IFERROR(__xludf.DUMMYFUNCTION("INDIRECT(""'收支紀錄'!I""&amp;TO_TEXT(ROW()-$C$72))"),"前月公司餐費扣款")</f>
        <v>前月公司餐費扣款</v>
      </c>
      <c r="J1429" s="61" t="str">
        <f>IFERROR(__xludf.DUMMYFUNCTION("INDIRECT(""'收支紀錄'!J""&amp;TO_TEXT(ROW()-$C$72))"),"")</f>
        <v/>
      </c>
      <c r="K1429" s="61" t="str">
        <f>IFERROR(__xludf.DUMMYFUNCTION("INDIRECT(""'收支紀錄'!K""&amp;TO_TEXT(ROW()-$C$72))"),"")</f>
        <v/>
      </c>
      <c r="L1429" s="61" t="str">
        <f>IFERROR(__xludf.DUMMYFUNCTION("INDIRECT(""'收支紀錄'!L""&amp;TO_TEXT(ROW()-$C$72))"),"")</f>
        <v/>
      </c>
      <c r="M1429" s="61" t="str">
        <f>IFERROR(__xludf.DUMMYFUNCTION("INDIRECT(""'收支紀錄'!M""&amp;TO_TEXT(ROW()-$C$72))"),"")</f>
        <v/>
      </c>
      <c r="N1429" s="61" t="str">
        <f>IFERROR(__xludf.DUMMYFUNCTION("INDIRECT(""'收支紀錄'!N""&amp;TO_TEXT(ROW()-$C$72))"),"")</f>
        <v/>
      </c>
      <c r="O1429" s="61" t="str">
        <f>IFERROR(__xludf.DUMMYFUNCTION("INDIRECT(""'收支紀錄'!O""&amp;TO_TEXT(ROW()-$C$72))"),"")</f>
        <v/>
      </c>
      <c r="P1429" s="61" t="str">
        <f>IFERROR(__xludf.DUMMYFUNCTION("INDIRECT(""'收支紀錄'!P""&amp;TO_TEXT(ROW()-$C$72))"),"")</f>
        <v/>
      </c>
      <c r="Q1429" s="61" t="str">
        <f>IFERROR(__xludf.DUMMYFUNCTION("INDIRECT(""'收支紀錄'!Q""&amp;TO_TEXT(ROW()-$C$72))"),"")</f>
        <v/>
      </c>
      <c r="R1429" s="61" t="str">
        <f>IFERROR(__xludf.DUMMYFUNCTION("INDIRECT(""'收支紀錄'!R""&amp;TO_TEXT(ROW()-$C$72))"),"")</f>
        <v/>
      </c>
      <c r="S1429" s="61" t="str">
        <f>IFERROR(__xludf.DUMMYFUNCTION("INDIRECT(""'收支紀錄'!S""&amp;TO_TEXT(ROW()-$C$72))"),"")</f>
        <v/>
      </c>
      <c r="T1429" s="61" t="str">
        <f>IFERROR(__xludf.DUMMYFUNCTION("INDIRECT(""'收支紀錄'!T""&amp;TO_TEXT(ROW()-$C$72))"),"")</f>
        <v/>
      </c>
      <c r="U1429" s="62" t="str">
        <f>IFERROR(__xludf.DUMMYFUNCTION("IF(T1429=""是"",TEXTJOIN("""", TRUE, ""$"", TO_TEXT(C1429), S1429),"""")"),"")</f>
        <v/>
      </c>
    </row>
    <row r="1430">
      <c r="A1430" s="58">
        <f>IFERROR(__xludf.DUMMYFUNCTION("INDIRECT(""'收支紀錄'!A""&amp;TO_TEXT(ROW()-$C$72))"),46059.038327581016)</f>
        <v>46059.03833</v>
      </c>
      <c r="B1430" s="59">
        <f>IFERROR(__xludf.DUMMYFUNCTION("IF(ISBLANK(D1430), """", IF(ISDATE(D1430), D1430, IF(D1430=""今天"", A1430, IF(D1430=""昨天 (-1 day)"", A1430-1, IF(D1430=""前天 (-2 days)"", A1430-2, IF(D1430=""明天 (+1 day)"", A1430+1, DATE(LEFT(D1430,4), MID(D1430,5,2), RIGHT(D1430,2))))))))"),46058.038327581016)</f>
        <v>46058.03833</v>
      </c>
      <c r="C1430" s="60">
        <f>IFERROR(__xludf.DUMMYFUNCTION("INDIRECT(""'收支紀錄'!C""&amp;TO_TEXT(ROW()-$C$72))"),4292.0)</f>
        <v>4292</v>
      </c>
      <c r="D1430" s="63" t="str">
        <f>IFERROR(__xludf.DUMMYFUNCTION("INDIRECT(""'收支紀錄'!D""&amp;TO_TEXT(ROW()-$C$72))"),"昨天 (-1 day)")</f>
        <v>昨天 (-1 day)</v>
      </c>
      <c r="E1430" s="61" t="str">
        <f>IFERROR(__xludf.DUMMYFUNCTION("INDIRECT(""'收支紀錄'!E""&amp;TO_TEXT(ROW()-$C$72))"),"")</f>
        <v/>
      </c>
      <c r="F1430" s="61" t="str">
        <f>IFERROR(__xludf.DUMMYFUNCTION("INDIRECT(""'收支紀錄'!F""&amp;TO_TEXT(ROW()-$C$72))"),"")</f>
        <v/>
      </c>
      <c r="G1430" s="61" t="str">
        <f>IFERROR(__xludf.DUMMYFUNCTION("INDIRECT(""'收支紀錄'!G""&amp;TO_TEXT(ROW()-$C$72))"),"")</f>
        <v/>
      </c>
      <c r="H1430" s="61" t="str">
        <f>IFERROR(__xludf.DUMMYFUNCTION("INDIRECT(""'收支紀錄'!H""&amp;TO_TEXT(ROW()-$C$72))"),"投資及其他")</f>
        <v>投資及其他</v>
      </c>
      <c r="I1430" s="61" t="str">
        <f>IFERROR(__xludf.DUMMYFUNCTION("INDIRECT(""'收支紀錄'!I""&amp;TO_TEXT(ROW()-$C$72))"),"")</f>
        <v/>
      </c>
      <c r="J1430" s="61" t="str">
        <f>IFERROR(__xludf.DUMMYFUNCTION("INDIRECT(""'收支紀錄'!J""&amp;TO_TEXT(ROW()-$C$72))"),"")</f>
        <v/>
      </c>
      <c r="K1430" s="61" t="str">
        <f>IFERROR(__xludf.DUMMYFUNCTION("INDIRECT(""'收支紀錄'!K""&amp;TO_TEXT(ROW()-$C$72))"),"")</f>
        <v/>
      </c>
      <c r="L1430" s="61" t="str">
        <f>IFERROR(__xludf.DUMMYFUNCTION("INDIRECT(""'收支紀錄'!L""&amp;TO_TEXT(ROW()-$C$72))"),"")</f>
        <v/>
      </c>
      <c r="M1430" s="61" t="str">
        <f>IFERROR(__xludf.DUMMYFUNCTION("INDIRECT(""'收支紀錄'!M""&amp;TO_TEXT(ROW()-$C$72))"),"")</f>
        <v/>
      </c>
      <c r="N1430" s="61" t="str">
        <f>IFERROR(__xludf.DUMMYFUNCTION("INDIRECT(""'收支紀錄'!N""&amp;TO_TEXT(ROW()-$C$72))"),"")</f>
        <v/>
      </c>
      <c r="O1430" s="61" t="str">
        <f>IFERROR(__xludf.DUMMYFUNCTION("INDIRECT(""'收支紀錄'!O""&amp;TO_TEXT(ROW()-$C$72))"),"")</f>
        <v/>
      </c>
      <c r="P1430" s="61" t="str">
        <f>IFERROR(__xludf.DUMMYFUNCTION("INDIRECT(""'收支紀錄'!P""&amp;TO_TEXT(ROW()-$C$72))"),"")</f>
        <v/>
      </c>
      <c r="Q1430" s="61" t="str">
        <f>IFERROR(__xludf.DUMMYFUNCTION("INDIRECT(""'收支紀錄'!Q""&amp;TO_TEXT(ROW()-$C$72))"),"")</f>
        <v/>
      </c>
      <c r="R1430" s="61" t="str">
        <f>IFERROR(__xludf.DUMMYFUNCTION("INDIRECT(""'收支紀錄'!R""&amp;TO_TEXT(ROW()-$C$72))"),"公司認股")</f>
        <v>公司認股</v>
      </c>
      <c r="S1430" s="61" t="str">
        <f>IFERROR(__xludf.DUMMYFUNCTION("INDIRECT(""'收支紀錄'!S""&amp;TO_TEXT(ROW()-$C$72))"),"")</f>
        <v/>
      </c>
      <c r="T1430" s="61" t="str">
        <f>IFERROR(__xludf.DUMMYFUNCTION("INDIRECT(""'收支紀錄'!T""&amp;TO_TEXT(ROW()-$C$72))"),"")</f>
        <v/>
      </c>
      <c r="U1430" s="62" t="str">
        <f>IFERROR(__xludf.DUMMYFUNCTION("IF(T1430=""是"",TEXTJOIN("""", TRUE, ""$"", TO_TEXT(C1430), S1430),"""")"),"")</f>
        <v/>
      </c>
    </row>
    <row r="1431">
      <c r="A1431" s="58">
        <f>IFERROR(__xludf.DUMMYFUNCTION("INDIRECT(""'收支紀錄'!A""&amp;TO_TEXT(ROW()-$C$72))"),46059.038867361116)</f>
        <v>46059.03887</v>
      </c>
      <c r="B1431" s="59">
        <f>IFERROR(__xludf.DUMMYFUNCTION("IF(ISBLANK(D1431), """", IF(ISDATE(D1431), D1431, IF(D1431=""今天"", A1431, IF(D1431=""昨天 (-1 day)"", A1431-1, IF(D1431=""前天 (-2 days)"", A1431-2, IF(D1431=""明天 (+1 day)"", A1431+1, DATE(LEFT(D1431,4), MID(D1431,5,2), RIGHT(D1431,2))))))))"),46058.038867361116)</f>
        <v>46058.03887</v>
      </c>
      <c r="C1431" s="60">
        <f>IFERROR(__xludf.DUMMYFUNCTION("INDIRECT(""'收支紀錄'!C""&amp;TO_TEXT(ROW()-$C$72))"),6156.0)</f>
        <v>6156</v>
      </c>
      <c r="D1431" s="63" t="str">
        <f>IFERROR(__xludf.DUMMYFUNCTION("INDIRECT(""'收支紀錄'!D""&amp;TO_TEXT(ROW()-$C$72))"),"昨天 (-1 day)")</f>
        <v>昨天 (-1 day)</v>
      </c>
      <c r="E1431" s="61" t="str">
        <f>IFERROR(__xludf.DUMMYFUNCTION("INDIRECT(""'收支紀錄'!E""&amp;TO_TEXT(ROW()-$C$72))"),"")</f>
        <v/>
      </c>
      <c r="F1431" s="61" t="str">
        <f>IFERROR(__xludf.DUMMYFUNCTION("INDIRECT(""'收支紀錄'!F""&amp;TO_TEXT(ROW()-$C$72))"),"")</f>
        <v/>
      </c>
      <c r="G1431" s="61" t="str">
        <f>IFERROR(__xludf.DUMMYFUNCTION("INDIRECT(""'收支紀錄'!G""&amp;TO_TEXT(ROW()-$C$72))"),"")</f>
        <v/>
      </c>
      <c r="H1431" s="61" t="str">
        <f>IFERROR(__xludf.DUMMYFUNCTION("INDIRECT(""'收支紀錄'!H""&amp;TO_TEXT(ROW()-$C$72))"),"稅金保險")</f>
        <v>稅金保險</v>
      </c>
      <c r="I1431" s="61" t="str">
        <f>IFERROR(__xludf.DUMMYFUNCTION("INDIRECT(""'收支紀錄'!I""&amp;TO_TEXT(ROW()-$C$72))"),"")</f>
        <v/>
      </c>
      <c r="J1431" s="61" t="str">
        <f>IFERROR(__xludf.DUMMYFUNCTION("INDIRECT(""'收支紀錄'!J""&amp;TO_TEXT(ROW()-$C$72))"),"")</f>
        <v/>
      </c>
      <c r="K1431" s="61" t="str">
        <f>IFERROR(__xludf.DUMMYFUNCTION("INDIRECT(""'收支紀錄'!K""&amp;TO_TEXT(ROW()-$C$72))"),"")</f>
        <v/>
      </c>
      <c r="L1431" s="61" t="str">
        <f>IFERROR(__xludf.DUMMYFUNCTION("INDIRECT(""'收支紀錄'!L""&amp;TO_TEXT(ROW()-$C$72))"),"")</f>
        <v/>
      </c>
      <c r="M1431" s="61" t="str">
        <f>IFERROR(__xludf.DUMMYFUNCTION("INDIRECT(""'收支紀錄'!M""&amp;TO_TEXT(ROW()-$C$72))"),"")</f>
        <v/>
      </c>
      <c r="N1431" s="61" t="str">
        <f>IFERROR(__xludf.DUMMYFUNCTION("INDIRECT(""'收支紀錄'!N""&amp;TO_TEXT(ROW()-$C$72))"),"勞健保")</f>
        <v>勞健保</v>
      </c>
      <c r="O1431" s="61" t="str">
        <f>IFERROR(__xludf.DUMMYFUNCTION("INDIRECT(""'收支紀錄'!O""&amp;TO_TEXT(ROW()-$C$72))"),"")</f>
        <v/>
      </c>
      <c r="P1431" s="61" t="str">
        <f>IFERROR(__xludf.DUMMYFUNCTION("INDIRECT(""'收支紀錄'!P""&amp;TO_TEXT(ROW()-$C$72))"),"")</f>
        <v/>
      </c>
      <c r="Q1431" s="61" t="str">
        <f>IFERROR(__xludf.DUMMYFUNCTION("INDIRECT(""'收支紀錄'!Q""&amp;TO_TEXT(ROW()-$C$72))"),"")</f>
        <v/>
      </c>
      <c r="R1431" s="61" t="str">
        <f>IFERROR(__xludf.DUMMYFUNCTION("INDIRECT(""'收支紀錄'!R""&amp;TO_TEXT(ROW()-$C$72))"),"")</f>
        <v/>
      </c>
      <c r="S1431" s="61" t="str">
        <f>IFERROR(__xludf.DUMMYFUNCTION("INDIRECT(""'收支紀錄'!S""&amp;TO_TEXT(ROW()-$C$72))"),"")</f>
        <v/>
      </c>
      <c r="T1431" s="61" t="str">
        <f>IFERROR(__xludf.DUMMYFUNCTION("INDIRECT(""'收支紀錄'!T""&amp;TO_TEXT(ROW()-$C$72))"),"")</f>
        <v/>
      </c>
      <c r="U1431" s="62" t="str">
        <f>IFERROR(__xludf.DUMMYFUNCTION("IF(T1431=""是"",TEXTJOIN("""", TRUE, ""$"", TO_TEXT(C1431), S1431),"""")"),"")</f>
        <v/>
      </c>
    </row>
    <row r="1432">
      <c r="A1432" s="58">
        <f>IFERROR(__xludf.DUMMYFUNCTION("INDIRECT(""'收支紀錄'!A""&amp;TO_TEXT(ROW()-$C$72))"),46059.0390696875)</f>
        <v>46059.03907</v>
      </c>
      <c r="B1432" s="59">
        <f>IFERROR(__xludf.DUMMYFUNCTION("IF(ISBLANK(D1432), """", IF(ISDATE(D1432), D1432, IF(D1432=""今天"", A1432, IF(D1432=""昨天 (-1 day)"", A1432-1, IF(D1432=""前天 (-2 days)"", A1432-2, IF(D1432=""明天 (+1 day)"", A1432+1, DATE(LEFT(D1432,4), MID(D1432,5,2), RIGHT(D1432,2))))))))"),46058.0390696875)</f>
        <v>46058.03907</v>
      </c>
      <c r="C1432" s="60">
        <f>IFERROR(__xludf.DUMMYFUNCTION("INDIRECT(""'收支紀錄'!C""&amp;TO_TEXT(ROW()-$C$72))"),3390.0)</f>
        <v>3390</v>
      </c>
      <c r="D1432" s="63" t="str">
        <f>IFERROR(__xludf.DUMMYFUNCTION("INDIRECT(""'收支紀錄'!D""&amp;TO_TEXT(ROW()-$C$72))"),"昨天 (-1 day)")</f>
        <v>昨天 (-1 day)</v>
      </c>
      <c r="E1432" s="61" t="str">
        <f>IFERROR(__xludf.DUMMYFUNCTION("INDIRECT(""'收支紀錄'!E""&amp;TO_TEXT(ROW()-$C$72))"),"")</f>
        <v/>
      </c>
      <c r="F1432" s="61" t="str">
        <f>IFERROR(__xludf.DUMMYFUNCTION("INDIRECT(""'收支紀錄'!F""&amp;TO_TEXT(ROW()-$C$72))"),"")</f>
        <v/>
      </c>
      <c r="G1432" s="61" t="str">
        <f>IFERROR(__xludf.DUMMYFUNCTION("INDIRECT(""'收支紀錄'!G""&amp;TO_TEXT(ROW()-$C$72))"),"")</f>
        <v/>
      </c>
      <c r="H1432" s="61" t="str">
        <f>IFERROR(__xludf.DUMMYFUNCTION("INDIRECT(""'收支紀錄'!H""&amp;TO_TEXT(ROW()-$C$72))"),"稅金保險")</f>
        <v>稅金保險</v>
      </c>
      <c r="I1432" s="61" t="str">
        <f>IFERROR(__xludf.DUMMYFUNCTION("INDIRECT(""'收支紀錄'!I""&amp;TO_TEXT(ROW()-$C$72))"),"")</f>
        <v/>
      </c>
      <c r="J1432" s="61" t="str">
        <f>IFERROR(__xludf.DUMMYFUNCTION("INDIRECT(""'收支紀錄'!J""&amp;TO_TEXT(ROW()-$C$72))"),"")</f>
        <v/>
      </c>
      <c r="K1432" s="61" t="str">
        <f>IFERROR(__xludf.DUMMYFUNCTION("INDIRECT(""'收支紀錄'!K""&amp;TO_TEXT(ROW()-$C$72))"),"")</f>
        <v/>
      </c>
      <c r="L1432" s="61" t="str">
        <f>IFERROR(__xludf.DUMMYFUNCTION("INDIRECT(""'收支紀錄'!L""&amp;TO_TEXT(ROW()-$C$72))"),"")</f>
        <v/>
      </c>
      <c r="M1432" s="61" t="str">
        <f>IFERROR(__xludf.DUMMYFUNCTION("INDIRECT(""'收支紀錄'!M""&amp;TO_TEXT(ROW()-$C$72))"),"")</f>
        <v/>
      </c>
      <c r="N1432" s="61" t="str">
        <f>IFERROR(__xludf.DUMMYFUNCTION("INDIRECT(""'收支紀錄'!N""&amp;TO_TEXT(ROW()-$C$72))"),"稅金")</f>
        <v>稅金</v>
      </c>
      <c r="O1432" s="61" t="str">
        <f>IFERROR(__xludf.DUMMYFUNCTION("INDIRECT(""'收支紀錄'!O""&amp;TO_TEXT(ROW()-$C$72))"),"")</f>
        <v/>
      </c>
      <c r="P1432" s="61" t="str">
        <f>IFERROR(__xludf.DUMMYFUNCTION("INDIRECT(""'收支紀錄'!P""&amp;TO_TEXT(ROW()-$C$72))"),"")</f>
        <v/>
      </c>
      <c r="Q1432" s="61" t="str">
        <f>IFERROR(__xludf.DUMMYFUNCTION("INDIRECT(""'收支紀錄'!Q""&amp;TO_TEXT(ROW()-$C$72))"),"")</f>
        <v/>
      </c>
      <c r="R1432" s="61" t="str">
        <f>IFERROR(__xludf.DUMMYFUNCTION("INDIRECT(""'收支紀錄'!R""&amp;TO_TEXT(ROW()-$C$72))"),"")</f>
        <v/>
      </c>
      <c r="S1432" s="61" t="str">
        <f>IFERROR(__xludf.DUMMYFUNCTION("INDIRECT(""'收支紀錄'!S""&amp;TO_TEXT(ROW()-$C$72))"),"")</f>
        <v/>
      </c>
      <c r="T1432" s="61" t="str">
        <f>IFERROR(__xludf.DUMMYFUNCTION("INDIRECT(""'收支紀錄'!T""&amp;TO_TEXT(ROW()-$C$72))"),"")</f>
        <v/>
      </c>
      <c r="U1432" s="62" t="str">
        <f>IFERROR(__xludf.DUMMYFUNCTION("IF(T1432=""是"",TEXTJOIN("""", TRUE, ""$"", TO_TEXT(C1432), S1432),"""")"),"")</f>
        <v/>
      </c>
    </row>
    <row r="1433">
      <c r="A1433" s="58">
        <f>IFERROR(__xludf.DUMMYFUNCTION("INDIRECT(""'收支紀錄'!A""&amp;TO_TEXT(ROW()-$C$72))"),46059.039275891206)</f>
        <v>46059.03928</v>
      </c>
      <c r="B1433" s="59">
        <f>IFERROR(__xludf.DUMMYFUNCTION("IF(ISBLANK(D1433), """", IF(ISDATE(D1433), D1433, IF(D1433=""今天"", A1433, IF(D1433=""昨天 (-1 day)"", A1433-1, IF(D1433=""前天 (-2 days)"", A1433-2, IF(D1433=""明天 (+1 day)"", A1433+1, DATE(LEFT(D1433,4), MID(D1433,5,2), RIGHT(D1433,2))))))))"),46058.039275891206)</f>
        <v>46058.03928</v>
      </c>
      <c r="C1433" s="60">
        <f>IFERROR(__xludf.DUMMYFUNCTION("INDIRECT(""'收支紀錄'!C""&amp;TO_TEXT(ROW()-$C$72))"),537.0)</f>
        <v>537</v>
      </c>
      <c r="D1433" s="63" t="str">
        <f>IFERROR(__xludf.DUMMYFUNCTION("INDIRECT(""'收支紀錄'!D""&amp;TO_TEXT(ROW()-$C$72))"),"昨天 (-1 day)")</f>
        <v>昨天 (-1 day)</v>
      </c>
      <c r="E1433" s="61" t="str">
        <f>IFERROR(__xludf.DUMMYFUNCTION("INDIRECT(""'收支紀錄'!E""&amp;TO_TEXT(ROW()-$C$72))"),"")</f>
        <v/>
      </c>
      <c r="F1433" s="61" t="str">
        <f>IFERROR(__xludf.DUMMYFUNCTION("INDIRECT(""'收支紀錄'!F""&amp;TO_TEXT(ROW()-$C$72))"),"")</f>
        <v/>
      </c>
      <c r="G1433" s="61" t="str">
        <f>IFERROR(__xludf.DUMMYFUNCTION("INDIRECT(""'收支紀錄'!G""&amp;TO_TEXT(ROW()-$C$72))"),"")</f>
        <v/>
      </c>
      <c r="H1433" s="61" t="str">
        <f>IFERROR(__xludf.DUMMYFUNCTION("INDIRECT(""'收支紀錄'!H""&amp;TO_TEXT(ROW()-$C$72))"),"休閒娛樂")</f>
        <v>休閒娛樂</v>
      </c>
      <c r="I1433" s="61" t="str">
        <f>IFERROR(__xludf.DUMMYFUNCTION("INDIRECT(""'收支紀錄'!I""&amp;TO_TEXT(ROW()-$C$72))"),"")</f>
        <v/>
      </c>
      <c r="J1433" s="61" t="str">
        <f>IFERROR(__xludf.DUMMYFUNCTION("INDIRECT(""'收支紀錄'!J""&amp;TO_TEXT(ROW()-$C$72))"),"")</f>
        <v/>
      </c>
      <c r="K1433" s="61" t="str">
        <f>IFERROR(__xludf.DUMMYFUNCTION("INDIRECT(""'收支紀錄'!K""&amp;TO_TEXT(ROW()-$C$72))"),"")</f>
        <v/>
      </c>
      <c r="L1433" s="61" t="str">
        <f>IFERROR(__xludf.DUMMYFUNCTION("INDIRECT(""'收支紀錄'!L""&amp;TO_TEXT(ROW()-$C$72))"),"")</f>
        <v/>
      </c>
      <c r="M1433" s="61" t="str">
        <f>IFERROR(__xludf.DUMMYFUNCTION("INDIRECT(""'收支紀錄'!M""&amp;TO_TEXT(ROW()-$C$72))"),"公司福利金")</f>
        <v>公司福利金</v>
      </c>
      <c r="N1433" s="61" t="str">
        <f>IFERROR(__xludf.DUMMYFUNCTION("INDIRECT(""'收支紀錄'!N""&amp;TO_TEXT(ROW()-$C$72))"),"")</f>
        <v/>
      </c>
      <c r="O1433" s="61" t="str">
        <f>IFERROR(__xludf.DUMMYFUNCTION("INDIRECT(""'收支紀錄'!O""&amp;TO_TEXT(ROW()-$C$72))"),"")</f>
        <v/>
      </c>
      <c r="P1433" s="61" t="str">
        <f>IFERROR(__xludf.DUMMYFUNCTION("INDIRECT(""'收支紀錄'!P""&amp;TO_TEXT(ROW()-$C$72))"),"")</f>
        <v/>
      </c>
      <c r="Q1433" s="61" t="str">
        <f>IFERROR(__xludf.DUMMYFUNCTION("INDIRECT(""'收支紀錄'!Q""&amp;TO_TEXT(ROW()-$C$72))"),"")</f>
        <v/>
      </c>
      <c r="R1433" s="61" t="str">
        <f>IFERROR(__xludf.DUMMYFUNCTION("INDIRECT(""'收支紀錄'!R""&amp;TO_TEXT(ROW()-$C$72))"),"")</f>
        <v/>
      </c>
      <c r="S1433" s="61" t="str">
        <f>IFERROR(__xludf.DUMMYFUNCTION("INDIRECT(""'收支紀錄'!S""&amp;TO_TEXT(ROW()-$C$72))"),"")</f>
        <v/>
      </c>
      <c r="T1433" s="61" t="str">
        <f>IFERROR(__xludf.DUMMYFUNCTION("INDIRECT(""'收支紀錄'!T""&amp;TO_TEXT(ROW()-$C$72))"),"")</f>
        <v/>
      </c>
      <c r="U1433" s="62" t="str">
        <f>IFERROR(__xludf.DUMMYFUNCTION("IF(T1433=""是"",TEXTJOIN("""", TRUE, ""$"", TO_TEXT(C1433), S1433),"""")"),"")</f>
        <v/>
      </c>
    </row>
    <row r="1434">
      <c r="A1434" s="58">
        <f>IFERROR(__xludf.DUMMYFUNCTION("INDIRECT(""'收支紀錄'!A""&amp;TO_TEXT(ROW()-$C$72))"),46059.04054341435)</f>
        <v>46059.04054</v>
      </c>
      <c r="B1434" s="59">
        <f>IFERROR(__xludf.DUMMYFUNCTION("IF(ISBLANK(D1434), """", IF(ISDATE(D1434), D1434, IF(D1434=""今天"", A1434, IF(D1434=""昨天 (-1 day)"", A1434-1, IF(D1434=""前天 (-2 days)"", A1434-2, IF(D1434=""明天 (+1 day)"", A1434+1, DATE(LEFT(D1434,4), MID(D1434,5,2), RIGHT(D1434,2))))))))"),46059.04054341435)</f>
        <v>46059.04054</v>
      </c>
      <c r="C1434" s="60">
        <f>IFERROR(__xludf.DUMMYFUNCTION("INDIRECT(""'收支紀錄'!C""&amp;TO_TEXT(ROW()-$C$72))"),496487.0)</f>
        <v>496487</v>
      </c>
      <c r="D1434" s="63" t="str">
        <f>IFERROR(__xludf.DUMMYFUNCTION("INDIRECT(""'收支紀錄'!D""&amp;TO_TEXT(ROW()-$C$72))"),"今天")</f>
        <v>今天</v>
      </c>
      <c r="E1434" s="61" t="str">
        <f>IFERROR(__xludf.DUMMYFUNCTION("INDIRECT(""'收支紀錄'!E""&amp;TO_TEXT(ROW()-$C$72))"),"工作")</f>
        <v>工作</v>
      </c>
      <c r="F1434" s="61" t="str">
        <f>IFERROR(__xludf.DUMMYFUNCTION("INDIRECT(""'收支紀錄'!F""&amp;TO_TEXT(ROW()-$C$72))"),"年終/績效")</f>
        <v>年終/績效</v>
      </c>
      <c r="G1434" s="61" t="str">
        <f>IFERROR(__xludf.DUMMYFUNCTION("INDIRECT(""'收支紀錄'!G""&amp;TO_TEXT(ROW()-$C$72))"),"")</f>
        <v/>
      </c>
      <c r="H1434" s="61" t="str">
        <f>IFERROR(__xludf.DUMMYFUNCTION("INDIRECT(""'收支紀錄'!H""&amp;TO_TEXT(ROW()-$C$72))"),"")</f>
        <v/>
      </c>
      <c r="I1434" s="61" t="str">
        <f>IFERROR(__xludf.DUMMYFUNCTION("INDIRECT(""'收支紀錄'!I""&amp;TO_TEXT(ROW()-$C$72))"),"")</f>
        <v/>
      </c>
      <c r="J1434" s="61" t="str">
        <f>IFERROR(__xludf.DUMMYFUNCTION("INDIRECT(""'收支紀錄'!J""&amp;TO_TEXT(ROW()-$C$72))"),"")</f>
        <v/>
      </c>
      <c r="K1434" s="61" t="str">
        <f>IFERROR(__xludf.DUMMYFUNCTION("INDIRECT(""'收支紀錄'!K""&amp;TO_TEXT(ROW()-$C$72))"),"")</f>
        <v/>
      </c>
      <c r="L1434" s="61" t="str">
        <f>IFERROR(__xludf.DUMMYFUNCTION("INDIRECT(""'收支紀錄'!L""&amp;TO_TEXT(ROW()-$C$72))"),"")</f>
        <v/>
      </c>
      <c r="M1434" s="61" t="str">
        <f>IFERROR(__xludf.DUMMYFUNCTION("INDIRECT(""'收支紀錄'!M""&amp;TO_TEXT(ROW()-$C$72))"),"")</f>
        <v/>
      </c>
      <c r="N1434" s="61" t="str">
        <f>IFERROR(__xludf.DUMMYFUNCTION("INDIRECT(""'收支紀錄'!N""&amp;TO_TEXT(ROW()-$C$72))"),"")</f>
        <v/>
      </c>
      <c r="O1434" s="61" t="str">
        <f>IFERROR(__xludf.DUMMYFUNCTION("INDIRECT(""'收支紀錄'!O""&amp;TO_TEXT(ROW()-$C$72))"),"")</f>
        <v/>
      </c>
      <c r="P1434" s="61" t="str">
        <f>IFERROR(__xludf.DUMMYFUNCTION("INDIRECT(""'收支紀錄'!P""&amp;TO_TEXT(ROW()-$C$72))"),"")</f>
        <v/>
      </c>
      <c r="Q1434" s="61" t="str">
        <f>IFERROR(__xludf.DUMMYFUNCTION("INDIRECT(""'收支紀錄'!Q""&amp;TO_TEXT(ROW()-$C$72))"),"")</f>
        <v/>
      </c>
      <c r="R1434" s="61" t="str">
        <f>IFERROR(__xludf.DUMMYFUNCTION("INDIRECT(""'收支紀錄'!R""&amp;TO_TEXT(ROW()-$C$72))"),"")</f>
        <v/>
      </c>
      <c r="S1434" s="61" t="str">
        <f>IFERROR(__xludf.DUMMYFUNCTION("INDIRECT(""'收支紀錄'!S""&amp;TO_TEXT(ROW()-$C$72))"),"註1")</f>
        <v>註1</v>
      </c>
      <c r="T1434" s="61" t="str">
        <f>IFERROR(__xludf.DUMMYFUNCTION("INDIRECT(""'收支紀錄'!T""&amp;TO_TEXT(ROW()-$C$72))"),"是")</f>
        <v>是</v>
      </c>
      <c r="U1434" s="62" t="str">
        <f>IFERROR(__xludf.DUMMYFUNCTION("IF(T1434=""是"",TEXTJOIN("""", TRUE, ""$"", TO_TEXT(C1434), S1434),"""")"),"$496487註1")</f>
        <v>$496487註1</v>
      </c>
    </row>
    <row r="1435">
      <c r="A1435" s="58">
        <f>IFERROR(__xludf.DUMMYFUNCTION("INDIRECT(""'收支紀錄'!A""&amp;TO_TEXT(ROW()-$C$72))"),46059.0436496412)</f>
        <v>46059.04365</v>
      </c>
      <c r="B1435" s="59">
        <f>IFERROR(__xludf.DUMMYFUNCTION("IF(ISBLANK(D1435), """", IF(ISDATE(D1435), D1435, IF(D1435=""今天"", A1435, IF(D1435=""昨天 (-1 day)"", A1435-1, IF(D1435=""前天 (-2 days)"", A1435-2, IF(D1435=""明天 (+1 day)"", A1435+1, DATE(LEFT(D1435,4), MID(D1435,5,2), RIGHT(D1435,2))))))))"),46003.0)</f>
        <v>46003</v>
      </c>
      <c r="C1435" s="60">
        <f>IFERROR(__xludf.DUMMYFUNCTION("INDIRECT(""'收支紀錄'!C""&amp;TO_TEXT(ROW()-$C$72))"),4470.0)</f>
        <v>4470</v>
      </c>
      <c r="D1435" s="63">
        <f>IFERROR(__xludf.DUMMYFUNCTION("INDIRECT(""'收支紀錄'!D""&amp;TO_TEXT(ROW()-$C$72))"),2.0251212E7)</f>
        <v>20251212</v>
      </c>
      <c r="E1435" s="61" t="str">
        <f>IFERROR(__xludf.DUMMYFUNCTION("INDIRECT(""'收支紀錄'!E""&amp;TO_TEXT(ROW()-$C$72))"),"其他業外")</f>
        <v>其他業外</v>
      </c>
      <c r="F1435" s="61" t="str">
        <f>IFERROR(__xludf.DUMMYFUNCTION("INDIRECT(""'收支紀錄'!F""&amp;TO_TEXT(ROW()-$C$72))"),"")</f>
        <v/>
      </c>
      <c r="G1435" s="61" t="str">
        <f>IFERROR(__xludf.DUMMYFUNCTION("INDIRECT(""'收支紀錄'!G""&amp;TO_TEXT(ROW()-$C$72))"),"股票配息")</f>
        <v>股票配息</v>
      </c>
      <c r="H1435" s="61" t="str">
        <f>IFERROR(__xludf.DUMMYFUNCTION("INDIRECT(""'收支紀錄'!H""&amp;TO_TEXT(ROW()-$C$72))"),"")</f>
        <v/>
      </c>
      <c r="I1435" s="61" t="str">
        <f>IFERROR(__xludf.DUMMYFUNCTION("INDIRECT(""'收支紀錄'!I""&amp;TO_TEXT(ROW()-$C$72))"),"")</f>
        <v/>
      </c>
      <c r="J1435" s="61" t="str">
        <f>IFERROR(__xludf.DUMMYFUNCTION("INDIRECT(""'收支紀錄'!J""&amp;TO_TEXT(ROW()-$C$72))"),"")</f>
        <v/>
      </c>
      <c r="K1435" s="61" t="str">
        <f>IFERROR(__xludf.DUMMYFUNCTION("INDIRECT(""'收支紀錄'!K""&amp;TO_TEXT(ROW()-$C$72))"),"")</f>
        <v/>
      </c>
      <c r="L1435" s="61" t="str">
        <f>IFERROR(__xludf.DUMMYFUNCTION("INDIRECT(""'收支紀錄'!L""&amp;TO_TEXT(ROW()-$C$72))"),"")</f>
        <v/>
      </c>
      <c r="M1435" s="61" t="str">
        <f>IFERROR(__xludf.DUMMYFUNCTION("INDIRECT(""'收支紀錄'!M""&amp;TO_TEXT(ROW()-$C$72))"),"")</f>
        <v/>
      </c>
      <c r="N1435" s="61" t="str">
        <f>IFERROR(__xludf.DUMMYFUNCTION("INDIRECT(""'收支紀錄'!N""&amp;TO_TEXT(ROW()-$C$72))"),"")</f>
        <v/>
      </c>
      <c r="O1435" s="61" t="str">
        <f>IFERROR(__xludf.DUMMYFUNCTION("INDIRECT(""'收支紀錄'!O""&amp;TO_TEXT(ROW()-$C$72))"),"")</f>
        <v/>
      </c>
      <c r="P1435" s="61" t="str">
        <f>IFERROR(__xludf.DUMMYFUNCTION("INDIRECT(""'收支紀錄'!P""&amp;TO_TEXT(ROW()-$C$72))"),"")</f>
        <v/>
      </c>
      <c r="Q1435" s="61" t="str">
        <f>IFERROR(__xludf.DUMMYFUNCTION("INDIRECT(""'收支紀錄'!Q""&amp;TO_TEXT(ROW()-$C$72))"),"")</f>
        <v/>
      </c>
      <c r="R1435" s="61" t="str">
        <f>IFERROR(__xludf.DUMMYFUNCTION("INDIRECT(""'收支紀錄'!R""&amp;TO_TEXT(ROW()-$C$72))"),"")</f>
        <v/>
      </c>
      <c r="S1435" s="61" t="str">
        <f>IFERROR(__xludf.DUMMYFUNCTION("INDIRECT(""'收支紀錄'!S""&amp;TO_TEXT(ROW()-$C$72))"),"美債20年")</f>
        <v>美債20年</v>
      </c>
      <c r="T1435" s="61" t="str">
        <f>IFERROR(__xludf.DUMMYFUNCTION("INDIRECT(""'收支紀錄'!T""&amp;TO_TEXT(ROW()-$C$72))"),"是")</f>
        <v>是</v>
      </c>
      <c r="U1435" s="62" t="str">
        <f>IFERROR(__xludf.DUMMYFUNCTION("IF(T1435=""是"",TEXTJOIN("""", TRUE, ""$"", TO_TEXT(C1435), S1435),"""")"),"$4470美債20年")</f>
        <v>$4470美債20年</v>
      </c>
    </row>
    <row r="1436">
      <c r="A1436" s="58">
        <f>IFERROR(__xludf.DUMMYFUNCTION("INDIRECT(""'收支紀錄'!A""&amp;TO_TEXT(ROW()-$C$72))"),46059.04412196759)</f>
        <v>46059.04412</v>
      </c>
      <c r="B1436" s="59">
        <f>IFERROR(__xludf.DUMMYFUNCTION("IF(ISBLANK(D1436), """", IF(ISDATE(D1436), D1436, IF(D1436=""今天"", A1436, IF(D1436=""昨天 (-1 day)"", A1436-1, IF(D1436=""前天 (-2 days)"", A1436-2, IF(D1436=""明天 (+1 day)"", A1436+1, DATE(LEFT(D1436,4), MID(D1436,5,2), RIGHT(D1436,2))))))))"),46003.0)</f>
        <v>46003</v>
      </c>
      <c r="C1436" s="60">
        <f>IFERROR(__xludf.DUMMYFUNCTION("INDIRECT(""'收支紀錄'!C""&amp;TO_TEXT(ROW()-$C$72))"),2520.0)</f>
        <v>2520</v>
      </c>
      <c r="D1436" s="63">
        <f>IFERROR(__xludf.DUMMYFUNCTION("INDIRECT(""'收支紀錄'!D""&amp;TO_TEXT(ROW()-$C$72))"),2.0251212E7)</f>
        <v>20251212</v>
      </c>
      <c r="E1436" s="61" t="str">
        <f>IFERROR(__xludf.DUMMYFUNCTION("INDIRECT(""'收支紀錄'!E""&amp;TO_TEXT(ROW()-$C$72))"),"其他業外")</f>
        <v>其他業外</v>
      </c>
      <c r="F1436" s="61" t="str">
        <f>IFERROR(__xludf.DUMMYFUNCTION("INDIRECT(""'收支紀錄'!F""&amp;TO_TEXT(ROW()-$C$72))"),"")</f>
        <v/>
      </c>
      <c r="G1436" s="61" t="str">
        <f>IFERROR(__xludf.DUMMYFUNCTION("INDIRECT(""'收支紀錄'!G""&amp;TO_TEXT(ROW()-$C$72))"),"股票配息")</f>
        <v>股票配息</v>
      </c>
      <c r="H1436" s="61" t="str">
        <f>IFERROR(__xludf.DUMMYFUNCTION("INDIRECT(""'收支紀錄'!H""&amp;TO_TEXT(ROW()-$C$72))"),"")</f>
        <v/>
      </c>
      <c r="I1436" s="61" t="str">
        <f>IFERROR(__xludf.DUMMYFUNCTION("INDIRECT(""'收支紀錄'!I""&amp;TO_TEXT(ROW()-$C$72))"),"")</f>
        <v/>
      </c>
      <c r="J1436" s="61" t="str">
        <f>IFERROR(__xludf.DUMMYFUNCTION("INDIRECT(""'收支紀錄'!J""&amp;TO_TEXT(ROW()-$C$72))"),"")</f>
        <v/>
      </c>
      <c r="K1436" s="61" t="str">
        <f>IFERROR(__xludf.DUMMYFUNCTION("INDIRECT(""'收支紀錄'!K""&amp;TO_TEXT(ROW()-$C$72))"),"")</f>
        <v/>
      </c>
      <c r="L1436" s="61" t="str">
        <f>IFERROR(__xludf.DUMMYFUNCTION("INDIRECT(""'收支紀錄'!L""&amp;TO_TEXT(ROW()-$C$72))"),"")</f>
        <v/>
      </c>
      <c r="M1436" s="61" t="str">
        <f>IFERROR(__xludf.DUMMYFUNCTION("INDIRECT(""'收支紀錄'!M""&amp;TO_TEXT(ROW()-$C$72))"),"")</f>
        <v/>
      </c>
      <c r="N1436" s="61" t="str">
        <f>IFERROR(__xludf.DUMMYFUNCTION("INDIRECT(""'收支紀錄'!N""&amp;TO_TEXT(ROW()-$C$72))"),"")</f>
        <v/>
      </c>
      <c r="O1436" s="61" t="str">
        <f>IFERROR(__xludf.DUMMYFUNCTION("INDIRECT(""'收支紀錄'!O""&amp;TO_TEXT(ROW()-$C$72))"),"")</f>
        <v/>
      </c>
      <c r="P1436" s="61" t="str">
        <f>IFERROR(__xludf.DUMMYFUNCTION("INDIRECT(""'收支紀錄'!P""&amp;TO_TEXT(ROW()-$C$72))"),"")</f>
        <v/>
      </c>
      <c r="Q1436" s="61" t="str">
        <f>IFERROR(__xludf.DUMMYFUNCTION("INDIRECT(""'收支紀錄'!Q""&amp;TO_TEXT(ROW()-$C$72))"),"")</f>
        <v/>
      </c>
      <c r="R1436" s="61" t="str">
        <f>IFERROR(__xludf.DUMMYFUNCTION("INDIRECT(""'收支紀錄'!R""&amp;TO_TEXT(ROW()-$C$72))"),"")</f>
        <v/>
      </c>
      <c r="S1436" s="61" t="str">
        <f>IFERROR(__xludf.DUMMYFUNCTION("INDIRECT(""'收支紀錄'!S""&amp;TO_TEXT(ROW()-$C$72))"),"中信優息")</f>
        <v>中信優息</v>
      </c>
      <c r="T1436" s="61" t="str">
        <f>IFERROR(__xludf.DUMMYFUNCTION("INDIRECT(""'收支紀錄'!T""&amp;TO_TEXT(ROW()-$C$72))"),"是")</f>
        <v>是</v>
      </c>
      <c r="U1436" s="62" t="str">
        <f>IFERROR(__xludf.DUMMYFUNCTION("IF(T1436=""是"",TEXTJOIN("""", TRUE, ""$"", TO_TEXT(C1436), S1436),"""")"),"$2520中信優息")</f>
        <v>$2520中信優息</v>
      </c>
    </row>
    <row r="1437">
      <c r="A1437" s="58">
        <f>IFERROR(__xludf.DUMMYFUNCTION("INDIRECT(""'收支紀錄'!A""&amp;TO_TEXT(ROW()-$C$72))"),46059.04461769676)</f>
        <v>46059.04462</v>
      </c>
      <c r="B1437" s="59">
        <f>IFERROR(__xludf.DUMMYFUNCTION("IF(ISBLANK(D1437), """", IF(ISDATE(D1437), D1437, IF(D1437=""今天"", A1437, IF(D1437=""昨天 (-1 day)"", A1437-1, IF(D1437=""前天 (-2 days)"", A1437-2, IF(D1437=""明天 (+1 day)"", A1437+1, DATE(LEFT(D1437,4), MID(D1437,5,2), RIGHT(D1437,2))))))))"),46035.0)</f>
        <v>46035</v>
      </c>
      <c r="C1437" s="60">
        <f>IFERROR(__xludf.DUMMYFUNCTION("INDIRECT(""'收支紀錄'!C""&amp;TO_TEXT(ROW()-$C$72))"),924.0)</f>
        <v>924</v>
      </c>
      <c r="D1437" s="63">
        <f>IFERROR(__xludf.DUMMYFUNCTION("INDIRECT(""'收支紀錄'!D""&amp;TO_TEXT(ROW()-$C$72))"),2.0260113E7)</f>
        <v>20260113</v>
      </c>
      <c r="E1437" s="61" t="str">
        <f>IFERROR(__xludf.DUMMYFUNCTION("INDIRECT(""'收支紀錄'!E""&amp;TO_TEXT(ROW()-$C$72))"),"其他業外")</f>
        <v>其他業外</v>
      </c>
      <c r="F1437" s="61" t="str">
        <f>IFERROR(__xludf.DUMMYFUNCTION("INDIRECT(""'收支紀錄'!F""&amp;TO_TEXT(ROW()-$C$72))"),"")</f>
        <v/>
      </c>
      <c r="G1437" s="61" t="str">
        <f>IFERROR(__xludf.DUMMYFUNCTION("INDIRECT(""'收支紀錄'!G""&amp;TO_TEXT(ROW()-$C$72))"),"股票配息")</f>
        <v>股票配息</v>
      </c>
      <c r="H1437" s="61" t="str">
        <f>IFERROR(__xludf.DUMMYFUNCTION("INDIRECT(""'收支紀錄'!H""&amp;TO_TEXT(ROW()-$C$72))"),"")</f>
        <v/>
      </c>
      <c r="I1437" s="61" t="str">
        <f>IFERROR(__xludf.DUMMYFUNCTION("INDIRECT(""'收支紀錄'!I""&amp;TO_TEXT(ROW()-$C$72))"),"")</f>
        <v/>
      </c>
      <c r="J1437" s="61" t="str">
        <f>IFERROR(__xludf.DUMMYFUNCTION("INDIRECT(""'收支紀錄'!J""&amp;TO_TEXT(ROW()-$C$72))"),"")</f>
        <v/>
      </c>
      <c r="K1437" s="61" t="str">
        <f>IFERROR(__xludf.DUMMYFUNCTION("INDIRECT(""'收支紀錄'!K""&amp;TO_TEXT(ROW()-$C$72))"),"")</f>
        <v/>
      </c>
      <c r="L1437" s="61" t="str">
        <f>IFERROR(__xludf.DUMMYFUNCTION("INDIRECT(""'收支紀錄'!L""&amp;TO_TEXT(ROW()-$C$72))"),"")</f>
        <v/>
      </c>
      <c r="M1437" s="61" t="str">
        <f>IFERROR(__xludf.DUMMYFUNCTION("INDIRECT(""'收支紀錄'!M""&amp;TO_TEXT(ROW()-$C$72))"),"")</f>
        <v/>
      </c>
      <c r="N1437" s="61" t="str">
        <f>IFERROR(__xludf.DUMMYFUNCTION("INDIRECT(""'收支紀錄'!N""&amp;TO_TEXT(ROW()-$C$72))"),"")</f>
        <v/>
      </c>
      <c r="O1437" s="61" t="str">
        <f>IFERROR(__xludf.DUMMYFUNCTION("INDIRECT(""'收支紀錄'!O""&amp;TO_TEXT(ROW()-$C$72))"),"")</f>
        <v/>
      </c>
      <c r="P1437" s="61" t="str">
        <f>IFERROR(__xludf.DUMMYFUNCTION("INDIRECT(""'收支紀錄'!P""&amp;TO_TEXT(ROW()-$C$72))"),"")</f>
        <v/>
      </c>
      <c r="Q1437" s="61" t="str">
        <f>IFERROR(__xludf.DUMMYFUNCTION("INDIRECT(""'收支紀錄'!Q""&amp;TO_TEXT(ROW()-$C$72))"),"")</f>
        <v/>
      </c>
      <c r="R1437" s="61" t="str">
        <f>IFERROR(__xludf.DUMMYFUNCTION("INDIRECT(""'收支紀錄'!R""&amp;TO_TEXT(ROW()-$C$72))"),"")</f>
        <v/>
      </c>
      <c r="S1437" s="61" t="str">
        <f>IFERROR(__xludf.DUMMYFUNCTION("INDIRECT(""'收支紀錄'!S""&amp;TO_TEXT(ROW()-$C$72))"),"中信優息")</f>
        <v>中信優息</v>
      </c>
      <c r="T1437" s="61" t="str">
        <f>IFERROR(__xludf.DUMMYFUNCTION("INDIRECT(""'收支紀錄'!T""&amp;TO_TEXT(ROW()-$C$72))"),"是")</f>
        <v>是</v>
      </c>
      <c r="U1437" s="62" t="str">
        <f>IFERROR(__xludf.DUMMYFUNCTION("IF(T1437=""是"",TEXTJOIN("""", TRUE, ""$"", TO_TEXT(C1437), S1437),"""")"),"$924中信優息")</f>
        <v>$924中信優息</v>
      </c>
    </row>
    <row r="1438">
      <c r="A1438" s="58">
        <f>IFERROR(__xludf.DUMMYFUNCTION("INDIRECT(""'收支紀錄'!A""&amp;TO_TEXT(ROW()-$C$72))"),46059.05181700231)</f>
        <v>46059.05182</v>
      </c>
      <c r="B1438" s="59">
        <f>IFERROR(__xludf.DUMMYFUNCTION("IF(ISBLANK(D1438), """", IF(ISDATE(D1438), D1438, IF(D1438=""今天"", A1438, IF(D1438=""昨天 (-1 day)"", A1438-1, IF(D1438=""前天 (-2 days)"", A1438-2, IF(D1438=""明天 (+1 day)"", A1438+1, DATE(LEFT(D1438,4), MID(D1438,5,2), RIGHT(D1438,2))))))))"),46053.0)</f>
        <v>46053</v>
      </c>
      <c r="C1438" s="60">
        <f>IFERROR(__xludf.DUMMYFUNCTION("INDIRECT(""'收支紀錄'!C""&amp;TO_TEXT(ROW()-$C$72))"),204.0)</f>
        <v>204</v>
      </c>
      <c r="D1438" s="63">
        <f>IFERROR(__xludf.DUMMYFUNCTION("INDIRECT(""'收支紀錄'!D""&amp;TO_TEXT(ROW()-$C$72))"),2.0260131E7)</f>
        <v>20260131</v>
      </c>
      <c r="E1438" s="61" t="str">
        <f>IFERROR(__xludf.DUMMYFUNCTION("INDIRECT(""'收支紀錄'!E""&amp;TO_TEXT(ROW()-$C$72))"),"")</f>
        <v/>
      </c>
      <c r="F1438" s="61" t="str">
        <f>IFERROR(__xludf.DUMMYFUNCTION("INDIRECT(""'收支紀錄'!F""&amp;TO_TEXT(ROW()-$C$72))"),"")</f>
        <v/>
      </c>
      <c r="G1438" s="61" t="str">
        <f>IFERROR(__xludf.DUMMYFUNCTION("INDIRECT(""'收支紀錄'!G""&amp;TO_TEXT(ROW()-$C$72))"),"")</f>
        <v/>
      </c>
      <c r="H1438" s="61" t="str">
        <f>IFERROR(__xludf.DUMMYFUNCTION("INDIRECT(""'收支紀錄'!H""&amp;TO_TEXT(ROW()-$C$72))"),"行車交通")</f>
        <v>行車交通</v>
      </c>
      <c r="I1438" s="61" t="str">
        <f>IFERROR(__xludf.DUMMYFUNCTION("INDIRECT(""'收支紀錄'!I""&amp;TO_TEXT(ROW()-$C$72))"),"")</f>
        <v/>
      </c>
      <c r="J1438" s="61" t="str">
        <f>IFERROR(__xludf.DUMMYFUNCTION("INDIRECT(""'收支紀錄'!J""&amp;TO_TEXT(ROW()-$C$72))"),"")</f>
        <v/>
      </c>
      <c r="K1438" s="61" t="str">
        <f>IFERROR(__xludf.DUMMYFUNCTION("INDIRECT(""'收支紀錄'!K""&amp;TO_TEXT(ROW()-$C$72))"),"")</f>
        <v/>
      </c>
      <c r="L1438" s="61" t="str">
        <f>IFERROR(__xludf.DUMMYFUNCTION("INDIRECT(""'收支紀錄'!L""&amp;TO_TEXT(ROW()-$C$72))"),"停車")</f>
        <v>停車</v>
      </c>
      <c r="M1438" s="61" t="str">
        <f>IFERROR(__xludf.DUMMYFUNCTION("INDIRECT(""'收支紀錄'!M""&amp;TO_TEXT(ROW()-$C$72))"),"")</f>
        <v/>
      </c>
      <c r="N1438" s="61" t="str">
        <f>IFERROR(__xludf.DUMMYFUNCTION("INDIRECT(""'收支紀錄'!N""&amp;TO_TEXT(ROW()-$C$72))"),"")</f>
        <v/>
      </c>
      <c r="O1438" s="61" t="str">
        <f>IFERROR(__xludf.DUMMYFUNCTION("INDIRECT(""'收支紀錄'!O""&amp;TO_TEXT(ROW()-$C$72))"),"")</f>
        <v/>
      </c>
      <c r="P1438" s="61" t="str">
        <f>IFERROR(__xludf.DUMMYFUNCTION("INDIRECT(""'收支紀錄'!P""&amp;TO_TEXT(ROW()-$C$72))"),"")</f>
        <v/>
      </c>
      <c r="Q1438" s="61" t="str">
        <f>IFERROR(__xludf.DUMMYFUNCTION("INDIRECT(""'收支紀錄'!Q""&amp;TO_TEXT(ROW()-$C$72))"),"")</f>
        <v/>
      </c>
      <c r="R1438" s="61" t="str">
        <f>IFERROR(__xludf.DUMMYFUNCTION("INDIRECT(""'收支紀錄'!R""&amp;TO_TEXT(ROW()-$C$72))"),"")</f>
        <v/>
      </c>
      <c r="S1438" s="61" t="str">
        <f>IFERROR(__xludf.DUMMYFUNCTION("INDIRECT(""'收支紀錄'!S""&amp;TO_TEXT(ROW()-$C$72))"),"")</f>
        <v/>
      </c>
      <c r="T1438" s="61" t="str">
        <f>IFERROR(__xludf.DUMMYFUNCTION("INDIRECT(""'收支紀錄'!T""&amp;TO_TEXT(ROW()-$C$72))"),"")</f>
        <v/>
      </c>
      <c r="U1438" s="62" t="str">
        <f>IFERROR(__xludf.DUMMYFUNCTION("IF(T1438=""是"",TEXTJOIN("""", TRUE, ""$"", TO_TEXT(C1438), S1438),"""")"),"")</f>
        <v/>
      </c>
    </row>
    <row r="1439">
      <c r="A1439" s="58">
        <f>IFERROR(__xludf.DUMMYFUNCTION("INDIRECT(""'收支紀錄'!A""&amp;TO_TEXT(ROW()-$C$72))"),46059.05304850695)</f>
        <v>46059.05305</v>
      </c>
      <c r="B1439" s="59">
        <f>IFERROR(__xludf.DUMMYFUNCTION("IF(ISBLANK(D1439), """", IF(ISDATE(D1439), D1439, IF(D1439=""今天"", A1439, IF(D1439=""昨天 (-1 day)"", A1439-1, IF(D1439=""前天 (-2 days)"", A1439-2, IF(D1439=""明天 (+1 day)"", A1439+1, DATE(LEFT(D1439,4), MID(D1439,5,2), RIGHT(D1439,2))))))))"),46053.0)</f>
        <v>46053</v>
      </c>
      <c r="C1439" s="60">
        <f>IFERROR(__xludf.DUMMYFUNCTION("INDIRECT(""'收支紀錄'!C""&amp;TO_TEXT(ROW()-$C$72))"),550.0)</f>
        <v>550</v>
      </c>
      <c r="D1439" s="63">
        <f>IFERROR(__xludf.DUMMYFUNCTION("INDIRECT(""'收支紀錄'!D""&amp;TO_TEXT(ROW()-$C$72))"),2.0260131E7)</f>
        <v>20260131</v>
      </c>
      <c r="E1439" s="61" t="str">
        <f>IFERROR(__xludf.DUMMYFUNCTION("INDIRECT(""'收支紀錄'!E""&amp;TO_TEXT(ROW()-$C$72))"),"")</f>
        <v/>
      </c>
      <c r="F1439" s="61" t="str">
        <f>IFERROR(__xludf.DUMMYFUNCTION("INDIRECT(""'收支紀錄'!F""&amp;TO_TEXT(ROW()-$C$72))"),"")</f>
        <v/>
      </c>
      <c r="G1439" s="61" t="str">
        <f>IFERROR(__xludf.DUMMYFUNCTION("INDIRECT(""'收支紀錄'!G""&amp;TO_TEXT(ROW()-$C$72))"),"")</f>
        <v/>
      </c>
      <c r="H1439" s="61" t="str">
        <f>IFERROR(__xludf.DUMMYFUNCTION("INDIRECT(""'收支紀錄'!H""&amp;TO_TEXT(ROW()-$C$72))"),"房屋支出")</f>
        <v>房屋支出</v>
      </c>
      <c r="I1439" s="61" t="str">
        <f>IFERROR(__xludf.DUMMYFUNCTION("INDIRECT(""'收支紀錄'!I""&amp;TO_TEXT(ROW()-$C$72))"),"")</f>
        <v/>
      </c>
      <c r="J1439" s="61" t="str">
        <f>IFERROR(__xludf.DUMMYFUNCTION("INDIRECT(""'收支紀錄'!J""&amp;TO_TEXT(ROW()-$C$72))"),"")</f>
        <v/>
      </c>
      <c r="K1439" s="61" t="str">
        <f>IFERROR(__xludf.DUMMYFUNCTION("INDIRECT(""'收支紀錄'!K""&amp;TO_TEXT(ROW()-$C$72))"),"瓦斯費")</f>
        <v>瓦斯費</v>
      </c>
      <c r="L1439" s="61" t="str">
        <f>IFERROR(__xludf.DUMMYFUNCTION("INDIRECT(""'收支紀錄'!L""&amp;TO_TEXT(ROW()-$C$72))"),"")</f>
        <v/>
      </c>
      <c r="M1439" s="61" t="str">
        <f>IFERROR(__xludf.DUMMYFUNCTION("INDIRECT(""'收支紀錄'!M""&amp;TO_TEXT(ROW()-$C$72))"),"")</f>
        <v/>
      </c>
      <c r="N1439" s="61" t="str">
        <f>IFERROR(__xludf.DUMMYFUNCTION("INDIRECT(""'收支紀錄'!N""&amp;TO_TEXT(ROW()-$C$72))"),"")</f>
        <v/>
      </c>
      <c r="O1439" s="61" t="str">
        <f>IFERROR(__xludf.DUMMYFUNCTION("INDIRECT(""'收支紀錄'!O""&amp;TO_TEXT(ROW()-$C$72))"),"")</f>
        <v/>
      </c>
      <c r="P1439" s="61" t="str">
        <f>IFERROR(__xludf.DUMMYFUNCTION("INDIRECT(""'收支紀錄'!P""&amp;TO_TEXT(ROW()-$C$72))"),"")</f>
        <v/>
      </c>
      <c r="Q1439" s="61" t="str">
        <f>IFERROR(__xludf.DUMMYFUNCTION("INDIRECT(""'收支紀錄'!Q""&amp;TO_TEXT(ROW()-$C$72))"),"")</f>
        <v/>
      </c>
      <c r="R1439" s="61" t="str">
        <f>IFERROR(__xludf.DUMMYFUNCTION("INDIRECT(""'收支紀錄'!R""&amp;TO_TEXT(ROW()-$C$72))"),"")</f>
        <v/>
      </c>
      <c r="S1439" s="61" t="str">
        <f>IFERROR(__xludf.DUMMYFUNCTION("INDIRECT(""'收支紀錄'!S""&amp;TO_TEXT(ROW()-$C$72))"),"")</f>
        <v/>
      </c>
      <c r="T1439" s="61" t="str">
        <f>IFERROR(__xludf.DUMMYFUNCTION("INDIRECT(""'收支紀錄'!T""&amp;TO_TEXT(ROW()-$C$72))"),"")</f>
        <v/>
      </c>
      <c r="U1439" s="62" t="str">
        <f>IFERROR(__xludf.DUMMYFUNCTION("IF(T1439=""是"",TEXTJOIN("""", TRUE, ""$"", TO_TEXT(C1439), S1439),"""")"),"")</f>
        <v/>
      </c>
    </row>
    <row r="1440">
      <c r="A1440" s="58">
        <f>IFERROR(__xludf.DUMMYFUNCTION("INDIRECT(""'收支紀錄'!A""&amp;TO_TEXT(ROW()-$C$72))"),46059.05362362268)</f>
        <v>46059.05362</v>
      </c>
      <c r="B1440" s="59">
        <f>IFERROR(__xludf.DUMMYFUNCTION("IF(ISBLANK(D1440), """", IF(ISDATE(D1440), D1440, IF(D1440=""今天"", A1440, IF(D1440=""昨天 (-1 day)"", A1440-1, IF(D1440=""前天 (-2 days)"", A1440-2, IF(D1440=""明天 (+1 day)"", A1440+1, DATE(LEFT(D1440,4), MID(D1440,5,2), RIGHT(D1440,2))))))))"),46048.0)</f>
        <v>46048</v>
      </c>
      <c r="C1440" s="60">
        <f>IFERROR(__xludf.DUMMYFUNCTION("INDIRECT(""'收支紀錄'!C""&amp;TO_TEXT(ROW()-$C$72))"),197.0)</f>
        <v>197</v>
      </c>
      <c r="D1440" s="63">
        <f>IFERROR(__xludf.DUMMYFUNCTION("INDIRECT(""'收支紀錄'!D""&amp;TO_TEXT(ROW()-$C$72))"),2.0260126E7)</f>
        <v>20260126</v>
      </c>
      <c r="E1440" s="61" t="str">
        <f>IFERROR(__xludf.DUMMYFUNCTION("INDIRECT(""'收支紀錄'!E""&amp;TO_TEXT(ROW()-$C$72))"),"")</f>
        <v/>
      </c>
      <c r="F1440" s="61" t="str">
        <f>IFERROR(__xludf.DUMMYFUNCTION("INDIRECT(""'收支紀錄'!F""&amp;TO_TEXT(ROW()-$C$72))"),"")</f>
        <v/>
      </c>
      <c r="G1440" s="61" t="str">
        <f>IFERROR(__xludf.DUMMYFUNCTION("INDIRECT(""'收支紀錄'!G""&amp;TO_TEXT(ROW()-$C$72))"),"")</f>
        <v/>
      </c>
      <c r="H1440" s="61" t="str">
        <f>IFERROR(__xludf.DUMMYFUNCTION("INDIRECT(""'收支紀錄'!H""&amp;TO_TEXT(ROW()-$C$72))"),"房屋支出")</f>
        <v>房屋支出</v>
      </c>
      <c r="I1440" s="61" t="str">
        <f>IFERROR(__xludf.DUMMYFUNCTION("INDIRECT(""'收支紀錄'!I""&amp;TO_TEXT(ROW()-$C$72))"),"")</f>
        <v/>
      </c>
      <c r="J1440" s="61" t="str">
        <f>IFERROR(__xludf.DUMMYFUNCTION("INDIRECT(""'收支紀錄'!J""&amp;TO_TEXT(ROW()-$C$72))"),"")</f>
        <v/>
      </c>
      <c r="K1440" s="61" t="str">
        <f>IFERROR(__xludf.DUMMYFUNCTION("INDIRECT(""'收支紀錄'!K""&amp;TO_TEXT(ROW()-$C$72))"),"水費")</f>
        <v>水費</v>
      </c>
      <c r="L1440" s="61" t="str">
        <f>IFERROR(__xludf.DUMMYFUNCTION("INDIRECT(""'收支紀錄'!L""&amp;TO_TEXT(ROW()-$C$72))"),"")</f>
        <v/>
      </c>
      <c r="M1440" s="61" t="str">
        <f>IFERROR(__xludf.DUMMYFUNCTION("INDIRECT(""'收支紀錄'!M""&amp;TO_TEXT(ROW()-$C$72))"),"")</f>
        <v/>
      </c>
      <c r="N1440" s="61" t="str">
        <f>IFERROR(__xludf.DUMMYFUNCTION("INDIRECT(""'收支紀錄'!N""&amp;TO_TEXT(ROW()-$C$72))"),"")</f>
        <v/>
      </c>
      <c r="O1440" s="61" t="str">
        <f>IFERROR(__xludf.DUMMYFUNCTION("INDIRECT(""'收支紀錄'!O""&amp;TO_TEXT(ROW()-$C$72))"),"")</f>
        <v/>
      </c>
      <c r="P1440" s="61" t="str">
        <f>IFERROR(__xludf.DUMMYFUNCTION("INDIRECT(""'收支紀錄'!P""&amp;TO_TEXT(ROW()-$C$72))"),"")</f>
        <v/>
      </c>
      <c r="Q1440" s="61" t="str">
        <f>IFERROR(__xludf.DUMMYFUNCTION("INDIRECT(""'收支紀錄'!Q""&amp;TO_TEXT(ROW()-$C$72))"),"")</f>
        <v/>
      </c>
      <c r="R1440" s="61" t="str">
        <f>IFERROR(__xludf.DUMMYFUNCTION("INDIRECT(""'收支紀錄'!R""&amp;TO_TEXT(ROW()-$C$72))"),"")</f>
        <v/>
      </c>
      <c r="S1440" s="61" t="str">
        <f>IFERROR(__xludf.DUMMYFUNCTION("INDIRECT(""'收支紀錄'!S""&amp;TO_TEXT(ROW()-$C$72))"),"")</f>
        <v/>
      </c>
      <c r="T1440" s="61" t="str">
        <f>IFERROR(__xludf.DUMMYFUNCTION("INDIRECT(""'收支紀錄'!T""&amp;TO_TEXT(ROW()-$C$72))"),"")</f>
        <v/>
      </c>
      <c r="U1440" s="62" t="str">
        <f>IFERROR(__xludf.DUMMYFUNCTION("IF(T1440=""是"",TEXTJOIN("""", TRUE, ""$"", TO_TEXT(C1440), S1440),"""")"),"")</f>
        <v/>
      </c>
    </row>
    <row r="1441">
      <c r="A1441" s="58">
        <f>IFERROR(__xludf.DUMMYFUNCTION("INDIRECT(""'收支紀錄'!A""&amp;TO_TEXT(ROW()-$C$72))"),46060.713195648146)</f>
        <v>46060.7132</v>
      </c>
      <c r="B1441" s="59">
        <f>IFERROR(__xludf.DUMMYFUNCTION("IF(ISBLANK(D1441), """", IF(ISDATE(D1441), D1441, IF(D1441=""今天"", A1441, IF(D1441=""昨天 (-1 day)"", A1441-1, IF(D1441=""前天 (-2 days)"", A1441-2, IF(D1441=""明天 (+1 day)"", A1441+1, DATE(LEFT(D1441,4), MID(D1441,5,2), RIGHT(D1441,2))))))))"),46060.713195648146)</f>
        <v>46060.7132</v>
      </c>
      <c r="C1441" s="60">
        <f>IFERROR(__xludf.DUMMYFUNCTION("INDIRECT(""'收支紀錄'!C""&amp;TO_TEXT(ROW()-$C$72))"),807.0)</f>
        <v>807</v>
      </c>
      <c r="D1441" s="63" t="str">
        <f>IFERROR(__xludf.DUMMYFUNCTION("INDIRECT(""'收支紀錄'!D""&amp;TO_TEXT(ROW()-$C$72))"),"今天")</f>
        <v>今天</v>
      </c>
      <c r="E1441" s="61" t="str">
        <f>IFERROR(__xludf.DUMMYFUNCTION("INDIRECT(""'收支紀錄'!E""&amp;TO_TEXT(ROW()-$C$72))"),"")</f>
        <v/>
      </c>
      <c r="F1441" s="61" t="str">
        <f>IFERROR(__xludf.DUMMYFUNCTION("INDIRECT(""'收支紀錄'!F""&amp;TO_TEXT(ROW()-$C$72))"),"")</f>
        <v/>
      </c>
      <c r="G1441" s="61" t="str">
        <f>IFERROR(__xludf.DUMMYFUNCTION("INDIRECT(""'收支紀錄'!G""&amp;TO_TEXT(ROW()-$C$72))"),"")</f>
        <v/>
      </c>
      <c r="H1441" s="61" t="str">
        <f>IFERROR(__xludf.DUMMYFUNCTION("INDIRECT(""'收支紀錄'!H""&amp;TO_TEXT(ROW()-$C$72))"),"食品酒水")</f>
        <v>食品酒水</v>
      </c>
      <c r="I1441" s="61" t="str">
        <f>IFERROR(__xludf.DUMMYFUNCTION("INDIRECT(""'收支紀錄'!I""&amp;TO_TEXT(ROW()-$C$72))"),"食材")</f>
        <v>食材</v>
      </c>
      <c r="J1441" s="61" t="str">
        <f>IFERROR(__xludf.DUMMYFUNCTION("INDIRECT(""'收支紀錄'!J""&amp;TO_TEXT(ROW()-$C$72))"),"")</f>
        <v/>
      </c>
      <c r="K1441" s="61" t="str">
        <f>IFERROR(__xludf.DUMMYFUNCTION("INDIRECT(""'收支紀錄'!K""&amp;TO_TEXT(ROW()-$C$72))"),"")</f>
        <v/>
      </c>
      <c r="L1441" s="61" t="str">
        <f>IFERROR(__xludf.DUMMYFUNCTION("INDIRECT(""'收支紀錄'!L""&amp;TO_TEXT(ROW()-$C$72))"),"")</f>
        <v/>
      </c>
      <c r="M1441" s="61" t="str">
        <f>IFERROR(__xludf.DUMMYFUNCTION("INDIRECT(""'收支紀錄'!M""&amp;TO_TEXT(ROW()-$C$72))"),"")</f>
        <v/>
      </c>
      <c r="N1441" s="61" t="str">
        <f>IFERROR(__xludf.DUMMYFUNCTION("INDIRECT(""'收支紀錄'!N""&amp;TO_TEXT(ROW()-$C$72))"),"")</f>
        <v/>
      </c>
      <c r="O1441" s="61" t="str">
        <f>IFERROR(__xludf.DUMMYFUNCTION("INDIRECT(""'收支紀錄'!O""&amp;TO_TEXT(ROW()-$C$72))"),"")</f>
        <v/>
      </c>
      <c r="P1441" s="61" t="str">
        <f>IFERROR(__xludf.DUMMYFUNCTION("INDIRECT(""'收支紀錄'!P""&amp;TO_TEXT(ROW()-$C$72))"),"")</f>
        <v/>
      </c>
      <c r="Q1441" s="61" t="str">
        <f>IFERROR(__xludf.DUMMYFUNCTION("INDIRECT(""'收支紀錄'!Q""&amp;TO_TEXT(ROW()-$C$72))"),"")</f>
        <v/>
      </c>
      <c r="R1441" s="61" t="str">
        <f>IFERROR(__xludf.DUMMYFUNCTION("INDIRECT(""'收支紀錄'!R""&amp;TO_TEXT(ROW()-$C$72))"),"")</f>
        <v/>
      </c>
      <c r="S1441" s="61" t="str">
        <f>IFERROR(__xludf.DUMMYFUNCTION("INDIRECT(""'收支紀錄'!S""&amp;TO_TEXT(ROW()-$C$72))"),"")</f>
        <v/>
      </c>
      <c r="T1441" s="61" t="str">
        <f>IFERROR(__xludf.DUMMYFUNCTION("INDIRECT(""'收支紀錄'!T""&amp;TO_TEXT(ROW()-$C$72))"),"")</f>
        <v/>
      </c>
      <c r="U1441" s="62" t="str">
        <f>IFERROR(__xludf.DUMMYFUNCTION("IF(T1441=""是"",TEXTJOIN("""", TRUE, ""$"", TO_TEXT(C1441), S1441),"""")"),"")</f>
        <v/>
      </c>
    </row>
    <row r="1442">
      <c r="A1442" s="58">
        <f>IFERROR(__xludf.DUMMYFUNCTION("INDIRECT(""'收支紀錄'!A""&amp;TO_TEXT(ROW()-$C$72))"),46060.71341354167)</f>
        <v>46060.71341</v>
      </c>
      <c r="B1442" s="59">
        <f>IFERROR(__xludf.DUMMYFUNCTION("IF(ISBLANK(D1442), """", IF(ISDATE(D1442), D1442, IF(D1442=""今天"", A1442, IF(D1442=""昨天 (-1 day)"", A1442-1, IF(D1442=""前天 (-2 days)"", A1442-2, IF(D1442=""明天 (+1 day)"", A1442+1, DATE(LEFT(D1442,4), MID(D1442,5,2), RIGHT(D1442,2))))))))"),46060.71341354167)</f>
        <v>46060.71341</v>
      </c>
      <c r="C1442" s="60">
        <f>IFERROR(__xludf.DUMMYFUNCTION("INDIRECT(""'收支紀錄'!C""&amp;TO_TEXT(ROW()-$C$72))"),4520.0)</f>
        <v>4520</v>
      </c>
      <c r="D1442" s="63" t="str">
        <f>IFERROR(__xludf.DUMMYFUNCTION("INDIRECT(""'收支紀錄'!D""&amp;TO_TEXT(ROW()-$C$72))"),"今天")</f>
        <v>今天</v>
      </c>
      <c r="E1442" s="61" t="str">
        <f>IFERROR(__xludf.DUMMYFUNCTION("INDIRECT(""'收支紀錄'!E""&amp;TO_TEXT(ROW()-$C$72))"),"")</f>
        <v/>
      </c>
      <c r="F1442" s="61" t="str">
        <f>IFERROR(__xludf.DUMMYFUNCTION("INDIRECT(""'收支紀錄'!F""&amp;TO_TEXT(ROW()-$C$72))"),"")</f>
        <v/>
      </c>
      <c r="G1442" s="61" t="str">
        <f>IFERROR(__xludf.DUMMYFUNCTION("INDIRECT(""'收支紀錄'!G""&amp;TO_TEXT(ROW()-$C$72))"),"")</f>
        <v/>
      </c>
      <c r="H1442" s="61" t="str">
        <f>IFERROR(__xludf.DUMMYFUNCTION("INDIRECT(""'收支紀錄'!H""&amp;TO_TEXT(ROW()-$C$72))"),"食品酒水")</f>
        <v>食品酒水</v>
      </c>
      <c r="I1442" s="61" t="str">
        <f>IFERROR(__xludf.DUMMYFUNCTION("INDIRECT(""'收支紀錄'!I""&amp;TO_TEXT(ROW()-$C$72))"),"食材")</f>
        <v>食材</v>
      </c>
      <c r="J1442" s="61" t="str">
        <f>IFERROR(__xludf.DUMMYFUNCTION("INDIRECT(""'收支紀錄'!J""&amp;TO_TEXT(ROW()-$C$72))"),"")</f>
        <v/>
      </c>
      <c r="K1442" s="61" t="str">
        <f>IFERROR(__xludf.DUMMYFUNCTION("INDIRECT(""'收支紀錄'!K""&amp;TO_TEXT(ROW()-$C$72))"),"")</f>
        <v/>
      </c>
      <c r="L1442" s="61" t="str">
        <f>IFERROR(__xludf.DUMMYFUNCTION("INDIRECT(""'收支紀錄'!L""&amp;TO_TEXT(ROW()-$C$72))"),"")</f>
        <v/>
      </c>
      <c r="M1442" s="61" t="str">
        <f>IFERROR(__xludf.DUMMYFUNCTION("INDIRECT(""'收支紀錄'!M""&amp;TO_TEXT(ROW()-$C$72))"),"")</f>
        <v/>
      </c>
      <c r="N1442" s="61" t="str">
        <f>IFERROR(__xludf.DUMMYFUNCTION("INDIRECT(""'收支紀錄'!N""&amp;TO_TEXT(ROW()-$C$72))"),"")</f>
        <v/>
      </c>
      <c r="O1442" s="61" t="str">
        <f>IFERROR(__xludf.DUMMYFUNCTION("INDIRECT(""'收支紀錄'!O""&amp;TO_TEXT(ROW()-$C$72))"),"")</f>
        <v/>
      </c>
      <c r="P1442" s="61" t="str">
        <f>IFERROR(__xludf.DUMMYFUNCTION("INDIRECT(""'收支紀錄'!P""&amp;TO_TEXT(ROW()-$C$72))"),"")</f>
        <v/>
      </c>
      <c r="Q1442" s="61" t="str">
        <f>IFERROR(__xludf.DUMMYFUNCTION("INDIRECT(""'收支紀錄'!Q""&amp;TO_TEXT(ROW()-$C$72))"),"")</f>
        <v/>
      </c>
      <c r="R1442" s="61" t="str">
        <f>IFERROR(__xludf.DUMMYFUNCTION("INDIRECT(""'收支紀錄'!R""&amp;TO_TEXT(ROW()-$C$72))"),"")</f>
        <v/>
      </c>
      <c r="S1442" s="61" t="str">
        <f>IFERROR(__xludf.DUMMYFUNCTION("INDIRECT(""'收支紀錄'!S""&amp;TO_TEXT(ROW()-$C$72))"),"")</f>
        <v/>
      </c>
      <c r="T1442" s="61" t="str">
        <f>IFERROR(__xludf.DUMMYFUNCTION("INDIRECT(""'收支紀錄'!T""&amp;TO_TEXT(ROW()-$C$72))"),"")</f>
        <v/>
      </c>
      <c r="U1442" s="62" t="str">
        <f>IFERROR(__xludf.DUMMYFUNCTION("IF(T1442=""是"",TEXTJOIN("""", TRUE, ""$"", TO_TEXT(C1442), S1442),"""")"),"")</f>
        <v/>
      </c>
    </row>
    <row r="1443">
      <c r="A1443" s="58">
        <f>IFERROR(__xludf.DUMMYFUNCTION("INDIRECT(""'收支紀錄'!A""&amp;TO_TEXT(ROW()-$C$72))"),46060.713777743054)</f>
        <v>46060.71378</v>
      </c>
      <c r="B1443" s="59">
        <f>IFERROR(__xludf.DUMMYFUNCTION("IF(ISBLANK(D1443), """", IF(ISDATE(D1443), D1443, IF(D1443=""今天"", A1443, IF(D1443=""昨天 (-1 day)"", A1443-1, IF(D1443=""前天 (-2 days)"", A1443-2, IF(D1443=""明天 (+1 day)"", A1443+1, DATE(LEFT(D1443,4), MID(D1443,5,2), RIGHT(D1443,2))))))))"),46060.713777743054)</f>
        <v>46060.71378</v>
      </c>
      <c r="C1443" s="60">
        <f>IFERROR(__xludf.DUMMYFUNCTION("INDIRECT(""'收支紀錄'!C""&amp;TO_TEXT(ROW()-$C$72))"),1515.0)</f>
        <v>1515</v>
      </c>
      <c r="D1443" s="63" t="str">
        <f>IFERROR(__xludf.DUMMYFUNCTION("INDIRECT(""'收支紀錄'!D""&amp;TO_TEXT(ROW()-$C$72))"),"今天")</f>
        <v>今天</v>
      </c>
      <c r="E1443" s="61" t="str">
        <f>IFERROR(__xludf.DUMMYFUNCTION("INDIRECT(""'收支紀錄'!E""&amp;TO_TEXT(ROW()-$C$72))"),"")</f>
        <v/>
      </c>
      <c r="F1443" s="61" t="str">
        <f>IFERROR(__xludf.DUMMYFUNCTION("INDIRECT(""'收支紀錄'!F""&amp;TO_TEXT(ROW()-$C$72))"),"")</f>
        <v/>
      </c>
      <c r="G1443" s="61" t="str">
        <f>IFERROR(__xludf.DUMMYFUNCTION("INDIRECT(""'收支紀錄'!G""&amp;TO_TEXT(ROW()-$C$72))"),"")</f>
        <v/>
      </c>
      <c r="H1443" s="61" t="str">
        <f>IFERROR(__xludf.DUMMYFUNCTION("INDIRECT(""'收支紀錄'!H""&amp;TO_TEXT(ROW()-$C$72))"),"食品酒水")</f>
        <v>食品酒水</v>
      </c>
      <c r="I1443" s="61" t="str">
        <f>IFERROR(__xludf.DUMMYFUNCTION("INDIRECT(""'收支紀錄'!I""&amp;TO_TEXT(ROW()-$C$72))"),"食材")</f>
        <v>食材</v>
      </c>
      <c r="J1443" s="61" t="str">
        <f>IFERROR(__xludf.DUMMYFUNCTION("INDIRECT(""'收支紀錄'!J""&amp;TO_TEXT(ROW()-$C$72))"),"")</f>
        <v/>
      </c>
      <c r="K1443" s="61" t="str">
        <f>IFERROR(__xludf.DUMMYFUNCTION("INDIRECT(""'收支紀錄'!K""&amp;TO_TEXT(ROW()-$C$72))"),"")</f>
        <v/>
      </c>
      <c r="L1443" s="61" t="str">
        <f>IFERROR(__xludf.DUMMYFUNCTION("INDIRECT(""'收支紀錄'!L""&amp;TO_TEXT(ROW()-$C$72))"),"")</f>
        <v/>
      </c>
      <c r="M1443" s="61" t="str">
        <f>IFERROR(__xludf.DUMMYFUNCTION("INDIRECT(""'收支紀錄'!M""&amp;TO_TEXT(ROW()-$C$72))"),"")</f>
        <v/>
      </c>
      <c r="N1443" s="61" t="str">
        <f>IFERROR(__xludf.DUMMYFUNCTION("INDIRECT(""'收支紀錄'!N""&amp;TO_TEXT(ROW()-$C$72))"),"")</f>
        <v/>
      </c>
      <c r="O1443" s="61" t="str">
        <f>IFERROR(__xludf.DUMMYFUNCTION("INDIRECT(""'收支紀錄'!O""&amp;TO_TEXT(ROW()-$C$72))"),"")</f>
        <v/>
      </c>
      <c r="P1443" s="61" t="str">
        <f>IFERROR(__xludf.DUMMYFUNCTION("INDIRECT(""'收支紀錄'!P""&amp;TO_TEXT(ROW()-$C$72))"),"")</f>
        <v/>
      </c>
      <c r="Q1443" s="61" t="str">
        <f>IFERROR(__xludf.DUMMYFUNCTION("INDIRECT(""'收支紀錄'!Q""&amp;TO_TEXT(ROW()-$C$72))"),"")</f>
        <v/>
      </c>
      <c r="R1443" s="61" t="str">
        <f>IFERROR(__xludf.DUMMYFUNCTION("INDIRECT(""'收支紀錄'!R""&amp;TO_TEXT(ROW()-$C$72))"),"")</f>
        <v/>
      </c>
      <c r="S1443" s="61" t="str">
        <f>IFERROR(__xludf.DUMMYFUNCTION("INDIRECT(""'收支紀錄'!S""&amp;TO_TEXT(ROW()-$C$72))"),"好市多升等，若刷卡沒超過會退款")</f>
        <v>好市多升等，若刷卡沒超過會退款</v>
      </c>
      <c r="T1443" s="61" t="str">
        <f>IFERROR(__xludf.DUMMYFUNCTION("INDIRECT(""'收支紀錄'!T""&amp;TO_TEXT(ROW()-$C$72))"),"否")</f>
        <v>否</v>
      </c>
      <c r="U1443" s="62" t="str">
        <f>IFERROR(__xludf.DUMMYFUNCTION("IF(T1443=""是"",TEXTJOIN("""", TRUE, ""$"", TO_TEXT(C1443), S1443),"""")"),"")</f>
        <v/>
      </c>
    </row>
    <row r="1444">
      <c r="A1444" s="58">
        <f>IFERROR(__xludf.DUMMYFUNCTION("INDIRECT(""'收支紀錄'!A""&amp;TO_TEXT(ROW()-$C$72))"),46061.843663900465)</f>
        <v>46061.84366</v>
      </c>
      <c r="B1444" s="59">
        <f>IFERROR(__xludf.DUMMYFUNCTION("IF(ISBLANK(D1444), """", IF(ISDATE(D1444), D1444, IF(D1444=""今天"", A1444, IF(D1444=""昨天 (-1 day)"", A1444-1, IF(D1444=""前天 (-2 days)"", A1444-2, IF(D1444=""明天 (+1 day)"", A1444+1, DATE(LEFT(D1444,4), MID(D1444,5,2), RIGHT(D1444,2))))))))"),46060.843663900465)</f>
        <v>46060.84366</v>
      </c>
      <c r="C1444" s="60">
        <f>IFERROR(__xludf.DUMMYFUNCTION("INDIRECT(""'收支紀錄'!C""&amp;TO_TEXT(ROW()-$C$72))"),520.0)</f>
        <v>520</v>
      </c>
      <c r="D1444" s="63" t="str">
        <f>IFERROR(__xludf.DUMMYFUNCTION("INDIRECT(""'收支紀錄'!D""&amp;TO_TEXT(ROW()-$C$72))"),"昨天 (-1 day)")</f>
        <v>昨天 (-1 day)</v>
      </c>
      <c r="E1444" s="61" t="str">
        <f>IFERROR(__xludf.DUMMYFUNCTION("INDIRECT(""'收支紀錄'!E""&amp;TO_TEXT(ROW()-$C$72))"),"")</f>
        <v/>
      </c>
      <c r="F1444" s="61" t="str">
        <f>IFERROR(__xludf.DUMMYFUNCTION("INDIRECT(""'收支紀錄'!F""&amp;TO_TEXT(ROW()-$C$72))"),"")</f>
        <v/>
      </c>
      <c r="G1444" s="61" t="str">
        <f>IFERROR(__xludf.DUMMYFUNCTION("INDIRECT(""'收支紀錄'!G""&amp;TO_TEXT(ROW()-$C$72))"),"")</f>
        <v/>
      </c>
      <c r="H1444" s="61" t="str">
        <f>IFERROR(__xludf.DUMMYFUNCTION("INDIRECT(""'收支紀錄'!H""&amp;TO_TEXT(ROW()-$C$72))"),"食品酒水")</f>
        <v>食品酒水</v>
      </c>
      <c r="I1444" s="61" t="str">
        <f>IFERROR(__xludf.DUMMYFUNCTION("INDIRECT(""'收支紀錄'!I""&amp;TO_TEXT(ROW()-$C$72))"),"午餐")</f>
        <v>午餐</v>
      </c>
      <c r="J1444" s="61" t="str">
        <f>IFERROR(__xludf.DUMMYFUNCTION("INDIRECT(""'收支紀錄'!J""&amp;TO_TEXT(ROW()-$C$72))"),"")</f>
        <v/>
      </c>
      <c r="K1444" s="61" t="str">
        <f>IFERROR(__xludf.DUMMYFUNCTION("INDIRECT(""'收支紀錄'!K""&amp;TO_TEXT(ROW()-$C$72))"),"")</f>
        <v/>
      </c>
      <c r="L1444" s="61" t="str">
        <f>IFERROR(__xludf.DUMMYFUNCTION("INDIRECT(""'收支紀錄'!L""&amp;TO_TEXT(ROW()-$C$72))"),"")</f>
        <v/>
      </c>
      <c r="M1444" s="61" t="str">
        <f>IFERROR(__xludf.DUMMYFUNCTION("INDIRECT(""'收支紀錄'!M""&amp;TO_TEXT(ROW()-$C$72))"),"")</f>
        <v/>
      </c>
      <c r="N1444" s="61" t="str">
        <f>IFERROR(__xludf.DUMMYFUNCTION("INDIRECT(""'收支紀錄'!N""&amp;TO_TEXT(ROW()-$C$72))"),"")</f>
        <v/>
      </c>
      <c r="O1444" s="61" t="str">
        <f>IFERROR(__xludf.DUMMYFUNCTION("INDIRECT(""'收支紀錄'!O""&amp;TO_TEXT(ROW()-$C$72))"),"")</f>
        <v/>
      </c>
      <c r="P1444" s="61" t="str">
        <f>IFERROR(__xludf.DUMMYFUNCTION("INDIRECT(""'收支紀錄'!P""&amp;TO_TEXT(ROW()-$C$72))"),"")</f>
        <v/>
      </c>
      <c r="Q1444" s="61" t="str">
        <f>IFERROR(__xludf.DUMMYFUNCTION("INDIRECT(""'收支紀錄'!Q""&amp;TO_TEXT(ROW()-$C$72))"),"")</f>
        <v/>
      </c>
      <c r="R1444" s="61" t="str">
        <f>IFERROR(__xludf.DUMMYFUNCTION("INDIRECT(""'收支紀錄'!R""&amp;TO_TEXT(ROW()-$C$72))"),"")</f>
        <v/>
      </c>
      <c r="S1444" s="61" t="str">
        <f>IFERROR(__xludf.DUMMYFUNCTION("INDIRECT(""'收支紀錄'!S""&amp;TO_TEXT(ROW()-$C$72))"),"")</f>
        <v/>
      </c>
      <c r="T1444" s="61" t="str">
        <f>IFERROR(__xludf.DUMMYFUNCTION("INDIRECT(""'收支紀錄'!T""&amp;TO_TEXT(ROW()-$C$72))"),"")</f>
        <v/>
      </c>
      <c r="U1444" s="62" t="str">
        <f>IFERROR(__xludf.DUMMYFUNCTION("IF(T1444=""是"",TEXTJOIN("""", TRUE, ""$"", TO_TEXT(C1444), S1444),"""")"),"")</f>
        <v/>
      </c>
    </row>
    <row r="1445">
      <c r="A1445" s="58">
        <f>IFERROR(__xludf.DUMMYFUNCTION("INDIRECT(""'收支紀錄'!A""&amp;TO_TEXT(ROW()-$C$72))"),46061.84382550926)</f>
        <v>46061.84383</v>
      </c>
      <c r="B1445" s="59">
        <f>IFERROR(__xludf.DUMMYFUNCTION("IF(ISBLANK(D1445), """", IF(ISDATE(D1445), D1445, IF(D1445=""今天"", A1445, IF(D1445=""昨天 (-1 day)"", A1445-1, IF(D1445=""前天 (-2 days)"", A1445-2, IF(D1445=""明天 (+1 day)"", A1445+1, DATE(LEFT(D1445,4), MID(D1445,5,2), RIGHT(D1445,2))))))))"),46060.84382550926)</f>
        <v>46060.84383</v>
      </c>
      <c r="C1445" s="60">
        <f>IFERROR(__xludf.DUMMYFUNCTION("INDIRECT(""'收支紀錄'!C""&amp;TO_TEXT(ROW()-$C$72))"),1367.0)</f>
        <v>1367</v>
      </c>
      <c r="D1445" s="63" t="str">
        <f>IFERROR(__xludf.DUMMYFUNCTION("INDIRECT(""'收支紀錄'!D""&amp;TO_TEXT(ROW()-$C$72))"),"昨天 (-1 day)")</f>
        <v>昨天 (-1 day)</v>
      </c>
      <c r="E1445" s="61" t="str">
        <f>IFERROR(__xludf.DUMMYFUNCTION("INDIRECT(""'收支紀錄'!E""&amp;TO_TEXT(ROW()-$C$72))"),"")</f>
        <v/>
      </c>
      <c r="F1445" s="61" t="str">
        <f>IFERROR(__xludf.DUMMYFUNCTION("INDIRECT(""'收支紀錄'!F""&amp;TO_TEXT(ROW()-$C$72))"),"")</f>
        <v/>
      </c>
      <c r="G1445" s="61" t="str">
        <f>IFERROR(__xludf.DUMMYFUNCTION("INDIRECT(""'收支紀錄'!G""&amp;TO_TEXT(ROW()-$C$72))"),"")</f>
        <v/>
      </c>
      <c r="H1445" s="61" t="str">
        <f>IFERROR(__xludf.DUMMYFUNCTION("INDIRECT(""'收支紀錄'!H""&amp;TO_TEXT(ROW()-$C$72))"),"食品酒水")</f>
        <v>食品酒水</v>
      </c>
      <c r="I1445" s="61" t="str">
        <f>IFERROR(__xludf.DUMMYFUNCTION("INDIRECT(""'收支紀錄'!I""&amp;TO_TEXT(ROW()-$C$72))"),"晚餐")</f>
        <v>晚餐</v>
      </c>
      <c r="J1445" s="61" t="str">
        <f>IFERROR(__xludf.DUMMYFUNCTION("INDIRECT(""'收支紀錄'!J""&amp;TO_TEXT(ROW()-$C$72))"),"")</f>
        <v/>
      </c>
      <c r="K1445" s="61" t="str">
        <f>IFERROR(__xludf.DUMMYFUNCTION("INDIRECT(""'收支紀錄'!K""&amp;TO_TEXT(ROW()-$C$72))"),"")</f>
        <v/>
      </c>
      <c r="L1445" s="61" t="str">
        <f>IFERROR(__xludf.DUMMYFUNCTION("INDIRECT(""'收支紀錄'!L""&amp;TO_TEXT(ROW()-$C$72))"),"")</f>
        <v/>
      </c>
      <c r="M1445" s="61" t="str">
        <f>IFERROR(__xludf.DUMMYFUNCTION("INDIRECT(""'收支紀錄'!M""&amp;TO_TEXT(ROW()-$C$72))"),"")</f>
        <v/>
      </c>
      <c r="N1445" s="61" t="str">
        <f>IFERROR(__xludf.DUMMYFUNCTION("INDIRECT(""'收支紀錄'!N""&amp;TO_TEXT(ROW()-$C$72))"),"")</f>
        <v/>
      </c>
      <c r="O1445" s="61" t="str">
        <f>IFERROR(__xludf.DUMMYFUNCTION("INDIRECT(""'收支紀錄'!O""&amp;TO_TEXT(ROW()-$C$72))"),"")</f>
        <v/>
      </c>
      <c r="P1445" s="61" t="str">
        <f>IFERROR(__xludf.DUMMYFUNCTION("INDIRECT(""'收支紀錄'!P""&amp;TO_TEXT(ROW()-$C$72))"),"")</f>
        <v/>
      </c>
      <c r="Q1445" s="61" t="str">
        <f>IFERROR(__xludf.DUMMYFUNCTION("INDIRECT(""'收支紀錄'!Q""&amp;TO_TEXT(ROW()-$C$72))"),"")</f>
        <v/>
      </c>
      <c r="R1445" s="61" t="str">
        <f>IFERROR(__xludf.DUMMYFUNCTION("INDIRECT(""'收支紀錄'!R""&amp;TO_TEXT(ROW()-$C$72))"),"")</f>
        <v/>
      </c>
      <c r="S1445" s="61" t="str">
        <f>IFERROR(__xludf.DUMMYFUNCTION("INDIRECT(""'收支紀錄'!S""&amp;TO_TEXT(ROW()-$C$72))"),"")</f>
        <v/>
      </c>
      <c r="T1445" s="61" t="str">
        <f>IFERROR(__xludf.DUMMYFUNCTION("INDIRECT(""'收支紀錄'!T""&amp;TO_TEXT(ROW()-$C$72))"),"")</f>
        <v/>
      </c>
      <c r="U1445" s="62" t="str">
        <f>IFERROR(__xludf.DUMMYFUNCTION("IF(T1445=""是"",TEXTJOIN("""", TRUE, ""$"", TO_TEXT(C1445), S1445),"""")"),"")</f>
        <v/>
      </c>
    </row>
    <row r="1446">
      <c r="A1446" s="58">
        <f>IFERROR(__xludf.DUMMYFUNCTION("INDIRECT(""'收支紀錄'!A""&amp;TO_TEXT(ROW()-$C$72))"),46061.84459142361)</f>
        <v>46061.84459</v>
      </c>
      <c r="B1446" s="59">
        <f>IFERROR(__xludf.DUMMYFUNCTION("IF(ISBLANK(D1446), """", IF(ISDATE(D1446), D1446, IF(D1446=""今天"", A1446, IF(D1446=""昨天 (-1 day)"", A1446-1, IF(D1446=""前天 (-2 days)"", A1446-2, IF(D1446=""明天 (+1 day)"", A1446+1, DATE(LEFT(D1446,4), MID(D1446,5,2), RIGHT(D1446,2))))))))"),46060.84459142361)</f>
        <v>46060.84459</v>
      </c>
      <c r="C1446" s="60">
        <f>IFERROR(__xludf.DUMMYFUNCTION("INDIRECT(""'收支紀錄'!C""&amp;TO_TEXT(ROW()-$C$72))"),2664.0)</f>
        <v>2664</v>
      </c>
      <c r="D1446" s="63" t="str">
        <f>IFERROR(__xludf.DUMMYFUNCTION("INDIRECT(""'收支紀錄'!D""&amp;TO_TEXT(ROW()-$C$72))"),"昨天 (-1 day)")</f>
        <v>昨天 (-1 day)</v>
      </c>
      <c r="E1446" s="61" t="str">
        <f>IFERROR(__xludf.DUMMYFUNCTION("INDIRECT(""'收支紀錄'!E""&amp;TO_TEXT(ROW()-$C$72))"),"")</f>
        <v/>
      </c>
      <c r="F1446" s="61" t="str">
        <f>IFERROR(__xludf.DUMMYFUNCTION("INDIRECT(""'收支紀錄'!F""&amp;TO_TEXT(ROW()-$C$72))"),"")</f>
        <v/>
      </c>
      <c r="G1446" s="61" t="str">
        <f>IFERROR(__xludf.DUMMYFUNCTION("INDIRECT(""'收支紀錄'!G""&amp;TO_TEXT(ROW()-$C$72))"),"")</f>
        <v/>
      </c>
      <c r="H1446" s="61" t="str">
        <f>IFERROR(__xludf.DUMMYFUNCTION("INDIRECT(""'收支紀錄'!H""&amp;TO_TEXT(ROW()-$C$72))"),"食品酒水")</f>
        <v>食品酒水</v>
      </c>
      <c r="I1446" s="61" t="str">
        <f>IFERROR(__xludf.DUMMYFUNCTION("INDIRECT(""'收支紀錄'!I""&amp;TO_TEXT(ROW()-$C$72))"),"伴手禮")</f>
        <v>伴手禮</v>
      </c>
      <c r="J1446" s="61" t="str">
        <f>IFERROR(__xludf.DUMMYFUNCTION("INDIRECT(""'收支紀錄'!J""&amp;TO_TEXT(ROW()-$C$72))"),"")</f>
        <v/>
      </c>
      <c r="K1446" s="61" t="str">
        <f>IFERROR(__xludf.DUMMYFUNCTION("INDIRECT(""'收支紀錄'!K""&amp;TO_TEXT(ROW()-$C$72))"),"")</f>
        <v/>
      </c>
      <c r="L1446" s="61" t="str">
        <f>IFERROR(__xludf.DUMMYFUNCTION("INDIRECT(""'收支紀錄'!L""&amp;TO_TEXT(ROW()-$C$72))"),"")</f>
        <v/>
      </c>
      <c r="M1446" s="61" t="str">
        <f>IFERROR(__xludf.DUMMYFUNCTION("INDIRECT(""'收支紀錄'!M""&amp;TO_TEXT(ROW()-$C$72))"),"")</f>
        <v/>
      </c>
      <c r="N1446" s="61" t="str">
        <f>IFERROR(__xludf.DUMMYFUNCTION("INDIRECT(""'收支紀錄'!N""&amp;TO_TEXT(ROW()-$C$72))"),"")</f>
        <v/>
      </c>
      <c r="O1446" s="61" t="str">
        <f>IFERROR(__xludf.DUMMYFUNCTION("INDIRECT(""'收支紀錄'!O""&amp;TO_TEXT(ROW()-$C$72))"),"")</f>
        <v/>
      </c>
      <c r="P1446" s="61" t="str">
        <f>IFERROR(__xludf.DUMMYFUNCTION("INDIRECT(""'收支紀錄'!P""&amp;TO_TEXT(ROW()-$C$72))"),"")</f>
        <v/>
      </c>
      <c r="Q1446" s="61" t="str">
        <f>IFERROR(__xludf.DUMMYFUNCTION("INDIRECT(""'收支紀錄'!Q""&amp;TO_TEXT(ROW()-$C$72))"),"")</f>
        <v/>
      </c>
      <c r="R1446" s="61" t="str">
        <f>IFERROR(__xludf.DUMMYFUNCTION("INDIRECT(""'收支紀錄'!R""&amp;TO_TEXT(ROW()-$C$72))"),"")</f>
        <v/>
      </c>
      <c r="S1446" s="61" t="str">
        <f>IFERROR(__xludf.DUMMYFUNCTION("INDIRECT(""'收支紀錄'!S""&amp;TO_TEXT(ROW()-$C$72))"),"")</f>
        <v/>
      </c>
      <c r="T1446" s="61" t="str">
        <f>IFERROR(__xludf.DUMMYFUNCTION("INDIRECT(""'收支紀錄'!T""&amp;TO_TEXT(ROW()-$C$72))"),"")</f>
        <v/>
      </c>
      <c r="U1446" s="62" t="str">
        <f>IFERROR(__xludf.DUMMYFUNCTION("IF(T1446=""是"",TEXTJOIN("""", TRUE, ""$"", TO_TEXT(C1446), S1446),"""")"),"")</f>
        <v/>
      </c>
    </row>
    <row r="1447">
      <c r="A1447" s="58">
        <f>IFERROR(__xludf.DUMMYFUNCTION("INDIRECT(""'收支紀錄'!A""&amp;TO_TEXT(ROW()-$C$72))"),46064.72884336805)</f>
        <v>46064.72884</v>
      </c>
      <c r="B1447" s="59">
        <f>IFERROR(__xludf.DUMMYFUNCTION("IF(ISBLANK(D1447), """", IF(ISDATE(D1447), D1447, IF(D1447=""今天"", A1447, IF(D1447=""昨天 (-1 day)"", A1447-1, IF(D1447=""前天 (-2 days)"", A1447-2, IF(D1447=""明天 (+1 day)"", A1447+1, DATE(LEFT(D1447,4), MID(D1447,5,2), RIGHT(D1447,2))))))))"),46062.72884336805)</f>
        <v>46062.72884</v>
      </c>
      <c r="C1447" s="60">
        <f>IFERROR(__xludf.DUMMYFUNCTION("INDIRECT(""'收支紀錄'!C""&amp;TO_TEXT(ROW()-$C$72))"),76.0)</f>
        <v>76</v>
      </c>
      <c r="D1447" s="63" t="str">
        <f>IFERROR(__xludf.DUMMYFUNCTION("INDIRECT(""'收支紀錄'!D""&amp;TO_TEXT(ROW()-$C$72))"),"前天 (-2 days)")</f>
        <v>前天 (-2 days)</v>
      </c>
      <c r="E1447" s="61" t="str">
        <f>IFERROR(__xludf.DUMMYFUNCTION("INDIRECT(""'收支紀錄'!E""&amp;TO_TEXT(ROW()-$C$72))"),"")</f>
        <v/>
      </c>
      <c r="F1447" s="61" t="str">
        <f>IFERROR(__xludf.DUMMYFUNCTION("INDIRECT(""'收支紀錄'!F""&amp;TO_TEXT(ROW()-$C$72))"),"")</f>
        <v/>
      </c>
      <c r="G1447" s="61" t="str">
        <f>IFERROR(__xludf.DUMMYFUNCTION("INDIRECT(""'收支紀錄'!G""&amp;TO_TEXT(ROW()-$C$72))"),"")</f>
        <v/>
      </c>
      <c r="H1447" s="61" t="str">
        <f>IFERROR(__xludf.DUMMYFUNCTION("INDIRECT(""'收支紀錄'!H""&amp;TO_TEXT(ROW()-$C$72))"),"日常生活")</f>
        <v>日常生活</v>
      </c>
      <c r="I1447" s="61" t="str">
        <f>IFERROR(__xludf.DUMMYFUNCTION("INDIRECT(""'收支紀錄'!I""&amp;TO_TEXT(ROW()-$C$72))"),"")</f>
        <v/>
      </c>
      <c r="J1447" s="61" t="str">
        <f>IFERROR(__xludf.DUMMYFUNCTION("INDIRECT(""'收支紀錄'!J""&amp;TO_TEXT(ROW()-$C$72))"),"日常用品")</f>
        <v>日常用品</v>
      </c>
      <c r="K1447" s="61" t="str">
        <f>IFERROR(__xludf.DUMMYFUNCTION("INDIRECT(""'收支紀錄'!K""&amp;TO_TEXT(ROW()-$C$72))"),"")</f>
        <v/>
      </c>
      <c r="L1447" s="61" t="str">
        <f>IFERROR(__xludf.DUMMYFUNCTION("INDIRECT(""'收支紀錄'!L""&amp;TO_TEXT(ROW()-$C$72))"),"")</f>
        <v/>
      </c>
      <c r="M1447" s="61" t="str">
        <f>IFERROR(__xludf.DUMMYFUNCTION("INDIRECT(""'收支紀錄'!M""&amp;TO_TEXT(ROW()-$C$72))"),"")</f>
        <v/>
      </c>
      <c r="N1447" s="61" t="str">
        <f>IFERROR(__xludf.DUMMYFUNCTION("INDIRECT(""'收支紀錄'!N""&amp;TO_TEXT(ROW()-$C$72))"),"")</f>
        <v/>
      </c>
      <c r="O1447" s="61" t="str">
        <f>IFERROR(__xludf.DUMMYFUNCTION("INDIRECT(""'收支紀錄'!O""&amp;TO_TEXT(ROW()-$C$72))"),"")</f>
        <v/>
      </c>
      <c r="P1447" s="61" t="str">
        <f>IFERROR(__xludf.DUMMYFUNCTION("INDIRECT(""'收支紀錄'!P""&amp;TO_TEXT(ROW()-$C$72))"),"")</f>
        <v/>
      </c>
      <c r="Q1447" s="61" t="str">
        <f>IFERROR(__xludf.DUMMYFUNCTION("INDIRECT(""'收支紀錄'!Q""&amp;TO_TEXT(ROW()-$C$72))"),"")</f>
        <v/>
      </c>
      <c r="R1447" s="61" t="str">
        <f>IFERROR(__xludf.DUMMYFUNCTION("INDIRECT(""'收支紀錄'!R""&amp;TO_TEXT(ROW()-$C$72))"),"")</f>
        <v/>
      </c>
      <c r="S1447" s="61" t="str">
        <f>IFERROR(__xludf.DUMMYFUNCTION("INDIRECT(""'收支紀錄'!S""&amp;TO_TEXT(ROW()-$C$72))"),"")</f>
        <v/>
      </c>
      <c r="T1447" s="61" t="str">
        <f>IFERROR(__xludf.DUMMYFUNCTION("INDIRECT(""'收支紀錄'!T""&amp;TO_TEXT(ROW()-$C$72))"),"")</f>
        <v/>
      </c>
      <c r="U1447" s="62" t="str">
        <f>IFERROR(__xludf.DUMMYFUNCTION("IF(T1447=""是"",TEXTJOIN("""", TRUE, ""$"", TO_TEXT(C1447), S1447),"""")"),"")</f>
        <v/>
      </c>
    </row>
    <row r="1448">
      <c r="A1448" s="58">
        <f>IFERROR(__xludf.DUMMYFUNCTION("INDIRECT(""'收支紀錄'!A""&amp;TO_TEXT(ROW()-$C$72))"),46064.827213993056)</f>
        <v>46064.82721</v>
      </c>
      <c r="B1448" s="59">
        <f>IFERROR(__xludf.DUMMYFUNCTION("IF(ISBLANK(D1448), """", IF(ISDATE(D1448), D1448, IF(D1448=""今天"", A1448, IF(D1448=""昨天 (-1 day)"", A1448-1, IF(D1448=""前天 (-2 days)"", A1448-2, IF(D1448=""明天 (+1 day)"", A1448+1, DATE(LEFT(D1448,4), MID(D1448,5,2), RIGHT(D1448,2))))))))"),46064.827213993056)</f>
        <v>46064.82721</v>
      </c>
      <c r="C1448" s="60">
        <f>IFERROR(__xludf.DUMMYFUNCTION("INDIRECT(""'收支紀錄'!C""&amp;TO_TEXT(ROW()-$C$72))"),754.0)</f>
        <v>754</v>
      </c>
      <c r="D1448" s="63" t="str">
        <f>IFERROR(__xludf.DUMMYFUNCTION("INDIRECT(""'收支紀錄'!D""&amp;TO_TEXT(ROW()-$C$72))"),"今天")</f>
        <v>今天</v>
      </c>
      <c r="E1448" s="61" t="str">
        <f>IFERROR(__xludf.DUMMYFUNCTION("INDIRECT(""'收支紀錄'!E""&amp;TO_TEXT(ROW()-$C$72))"),"")</f>
        <v/>
      </c>
      <c r="F1448" s="61" t="str">
        <f>IFERROR(__xludf.DUMMYFUNCTION("INDIRECT(""'收支紀錄'!F""&amp;TO_TEXT(ROW()-$C$72))"),"")</f>
        <v/>
      </c>
      <c r="G1448" s="61" t="str">
        <f>IFERROR(__xludf.DUMMYFUNCTION("INDIRECT(""'收支紀錄'!G""&amp;TO_TEXT(ROW()-$C$72))"),"")</f>
        <v/>
      </c>
      <c r="H1448" s="61" t="str">
        <f>IFERROR(__xludf.DUMMYFUNCTION("INDIRECT(""'收支紀錄'!H""&amp;TO_TEXT(ROW()-$C$72))"),"行車交通")</f>
        <v>行車交通</v>
      </c>
      <c r="I1448" s="61" t="str">
        <f>IFERROR(__xludf.DUMMYFUNCTION("INDIRECT(""'收支紀錄'!I""&amp;TO_TEXT(ROW()-$C$72))"),"")</f>
        <v/>
      </c>
      <c r="J1448" s="61" t="str">
        <f>IFERROR(__xludf.DUMMYFUNCTION("INDIRECT(""'收支紀錄'!J""&amp;TO_TEXT(ROW()-$C$72))"),"")</f>
        <v/>
      </c>
      <c r="K1448" s="61" t="str">
        <f>IFERROR(__xludf.DUMMYFUNCTION("INDIRECT(""'收支紀錄'!K""&amp;TO_TEXT(ROW()-$C$72))"),"")</f>
        <v/>
      </c>
      <c r="L1448" s="61" t="str">
        <f>IFERROR(__xludf.DUMMYFUNCTION("INDIRECT(""'收支紀錄'!L""&amp;TO_TEXT(ROW()-$C$72))"),"加油")</f>
        <v>加油</v>
      </c>
      <c r="M1448" s="61" t="str">
        <f>IFERROR(__xludf.DUMMYFUNCTION("INDIRECT(""'收支紀錄'!M""&amp;TO_TEXT(ROW()-$C$72))"),"")</f>
        <v/>
      </c>
      <c r="N1448" s="61" t="str">
        <f>IFERROR(__xludf.DUMMYFUNCTION("INDIRECT(""'收支紀錄'!N""&amp;TO_TEXT(ROW()-$C$72))"),"")</f>
        <v/>
      </c>
      <c r="O1448" s="61" t="str">
        <f>IFERROR(__xludf.DUMMYFUNCTION("INDIRECT(""'收支紀錄'!O""&amp;TO_TEXT(ROW()-$C$72))"),"")</f>
        <v/>
      </c>
      <c r="P1448" s="61" t="str">
        <f>IFERROR(__xludf.DUMMYFUNCTION("INDIRECT(""'收支紀錄'!P""&amp;TO_TEXT(ROW()-$C$72))"),"")</f>
        <v/>
      </c>
      <c r="Q1448" s="61" t="str">
        <f>IFERROR(__xludf.DUMMYFUNCTION("INDIRECT(""'收支紀錄'!Q""&amp;TO_TEXT(ROW()-$C$72))"),"")</f>
        <v/>
      </c>
      <c r="R1448" s="61" t="str">
        <f>IFERROR(__xludf.DUMMYFUNCTION("INDIRECT(""'收支紀錄'!R""&amp;TO_TEXT(ROW()-$C$72))"),"")</f>
        <v/>
      </c>
      <c r="S1448" s="61" t="str">
        <f>IFERROR(__xludf.DUMMYFUNCTION("INDIRECT(""'收支紀錄'!S""&amp;TO_TEXT(ROW()-$C$72))"),"")</f>
        <v/>
      </c>
      <c r="T1448" s="61" t="str">
        <f>IFERROR(__xludf.DUMMYFUNCTION("INDIRECT(""'收支紀錄'!T""&amp;TO_TEXT(ROW()-$C$72))"),"")</f>
        <v/>
      </c>
      <c r="U1448" s="62" t="str">
        <f>IFERROR(__xludf.DUMMYFUNCTION("IF(T1448=""是"",TEXTJOIN("""", TRUE, ""$"", TO_TEXT(C1448), S1448),"""")"),"")</f>
        <v/>
      </c>
    </row>
    <row r="1449">
      <c r="A1449" s="58">
        <f>IFERROR(__xludf.DUMMYFUNCTION("INDIRECT(""'收支紀錄'!A""&amp;TO_TEXT(ROW()-$C$72))"),46065.93262662037)</f>
        <v>46065.93263</v>
      </c>
      <c r="B1449" s="59">
        <f>IFERROR(__xludf.DUMMYFUNCTION("IF(ISBLANK(D1449), """", IF(ISDATE(D1449), D1449, IF(D1449=""今天"", A1449, IF(D1449=""昨天 (-1 day)"", A1449-1, IF(D1449=""前天 (-2 days)"", A1449-2, IF(D1449=""明天 (+1 day)"", A1449+1, DATE(LEFT(D1449,4), MID(D1449,5,2), RIGHT(D1449,2))))))))"),46065.93262662037)</f>
        <v>46065.93263</v>
      </c>
      <c r="C1449" s="60">
        <f>IFERROR(__xludf.DUMMYFUNCTION("INDIRECT(""'收支紀錄'!C""&amp;TO_TEXT(ROW()-$C$72))"),110.0)</f>
        <v>110</v>
      </c>
      <c r="D1449" s="63" t="str">
        <f>IFERROR(__xludf.DUMMYFUNCTION("INDIRECT(""'收支紀錄'!D""&amp;TO_TEXT(ROW()-$C$72))"),"今天")</f>
        <v>今天</v>
      </c>
      <c r="E1449" s="61" t="str">
        <f>IFERROR(__xludf.DUMMYFUNCTION("INDIRECT(""'收支紀錄'!E""&amp;TO_TEXT(ROW()-$C$72))"),"")</f>
        <v/>
      </c>
      <c r="F1449" s="61" t="str">
        <f>IFERROR(__xludf.DUMMYFUNCTION("INDIRECT(""'收支紀錄'!F""&amp;TO_TEXT(ROW()-$C$72))"),"")</f>
        <v/>
      </c>
      <c r="G1449" s="61" t="str">
        <f>IFERROR(__xludf.DUMMYFUNCTION("INDIRECT(""'收支紀錄'!G""&amp;TO_TEXT(ROW()-$C$72))"),"")</f>
        <v/>
      </c>
      <c r="H1449" s="61" t="str">
        <f>IFERROR(__xludf.DUMMYFUNCTION("INDIRECT(""'收支紀錄'!H""&amp;TO_TEXT(ROW()-$C$72))"),"行車交通")</f>
        <v>行車交通</v>
      </c>
      <c r="I1449" s="61" t="str">
        <f>IFERROR(__xludf.DUMMYFUNCTION("INDIRECT(""'收支紀錄'!I""&amp;TO_TEXT(ROW()-$C$72))"),"")</f>
        <v/>
      </c>
      <c r="J1449" s="61" t="str">
        <f>IFERROR(__xludf.DUMMYFUNCTION("INDIRECT(""'收支紀錄'!J""&amp;TO_TEXT(ROW()-$C$72))"),"")</f>
        <v/>
      </c>
      <c r="K1449" s="61" t="str">
        <f>IFERROR(__xludf.DUMMYFUNCTION("INDIRECT(""'收支紀錄'!K""&amp;TO_TEXT(ROW()-$C$72))"),"")</f>
        <v/>
      </c>
      <c r="L1449" s="61" t="str">
        <f>IFERROR(__xludf.DUMMYFUNCTION("INDIRECT(""'收支紀錄'!L""&amp;TO_TEXT(ROW()-$C$72))"),"加油")</f>
        <v>加油</v>
      </c>
      <c r="M1449" s="61" t="str">
        <f>IFERROR(__xludf.DUMMYFUNCTION("INDIRECT(""'收支紀錄'!M""&amp;TO_TEXT(ROW()-$C$72))"),"")</f>
        <v/>
      </c>
      <c r="N1449" s="61" t="str">
        <f>IFERROR(__xludf.DUMMYFUNCTION("INDIRECT(""'收支紀錄'!N""&amp;TO_TEXT(ROW()-$C$72))"),"")</f>
        <v/>
      </c>
      <c r="O1449" s="61" t="str">
        <f>IFERROR(__xludf.DUMMYFUNCTION("INDIRECT(""'收支紀錄'!O""&amp;TO_TEXT(ROW()-$C$72))"),"")</f>
        <v/>
      </c>
      <c r="P1449" s="61" t="str">
        <f>IFERROR(__xludf.DUMMYFUNCTION("INDIRECT(""'收支紀錄'!P""&amp;TO_TEXT(ROW()-$C$72))"),"")</f>
        <v/>
      </c>
      <c r="Q1449" s="61" t="str">
        <f>IFERROR(__xludf.DUMMYFUNCTION("INDIRECT(""'收支紀錄'!Q""&amp;TO_TEXT(ROW()-$C$72))"),"")</f>
        <v/>
      </c>
      <c r="R1449" s="61" t="str">
        <f>IFERROR(__xludf.DUMMYFUNCTION("INDIRECT(""'收支紀錄'!R""&amp;TO_TEXT(ROW()-$C$72))"),"")</f>
        <v/>
      </c>
      <c r="S1449" s="61" t="str">
        <f>IFERROR(__xludf.DUMMYFUNCTION("INDIRECT(""'收支紀錄'!S""&amp;TO_TEXT(ROW()-$C$72))"),"")</f>
        <v/>
      </c>
      <c r="T1449" s="61" t="str">
        <f>IFERROR(__xludf.DUMMYFUNCTION("INDIRECT(""'收支紀錄'!T""&amp;TO_TEXT(ROW()-$C$72))"),"")</f>
        <v/>
      </c>
      <c r="U1449" s="62" t="str">
        <f>IFERROR(__xludf.DUMMYFUNCTION("IF(T1449=""是"",TEXTJOIN("""", TRUE, ""$"", TO_TEXT(C1449), S1449),"""")"),"")</f>
        <v/>
      </c>
    </row>
    <row r="1450">
      <c r="A1450" s="58">
        <f>IFERROR(__xludf.DUMMYFUNCTION("INDIRECT(""'收支紀錄'!A""&amp;TO_TEXT(ROW()-$C$72))"),46066.770741597225)</f>
        <v>46066.77074</v>
      </c>
      <c r="B1450" s="59">
        <f>IFERROR(__xludf.DUMMYFUNCTION("IF(ISBLANK(D1450), """", IF(ISDATE(D1450), D1450, IF(D1450=""今天"", A1450, IF(D1450=""昨天 (-1 day)"", A1450-1, IF(D1450=""前天 (-2 days)"", A1450-2, IF(D1450=""明天 (+1 day)"", A1450+1, DATE(LEFT(D1450,4), MID(D1450,5,2), RIGHT(D1450,2))))))))"),46066.770741597225)</f>
        <v>46066.77074</v>
      </c>
      <c r="C1450" s="60">
        <f>IFERROR(__xludf.DUMMYFUNCTION("INDIRECT(""'收支紀錄'!C""&amp;TO_TEXT(ROW()-$C$72))"),155.0)</f>
        <v>155</v>
      </c>
      <c r="D1450" s="63" t="str">
        <f>IFERROR(__xludf.DUMMYFUNCTION("INDIRECT(""'收支紀錄'!D""&amp;TO_TEXT(ROW()-$C$72))"),"今天")</f>
        <v>今天</v>
      </c>
      <c r="E1450" s="61" t="str">
        <f>IFERROR(__xludf.DUMMYFUNCTION("INDIRECT(""'收支紀錄'!E""&amp;TO_TEXT(ROW()-$C$72))"),"")</f>
        <v/>
      </c>
      <c r="F1450" s="61" t="str">
        <f>IFERROR(__xludf.DUMMYFUNCTION("INDIRECT(""'收支紀錄'!F""&amp;TO_TEXT(ROW()-$C$72))"),"")</f>
        <v/>
      </c>
      <c r="G1450" s="61" t="str">
        <f>IFERROR(__xludf.DUMMYFUNCTION("INDIRECT(""'收支紀錄'!G""&amp;TO_TEXT(ROW()-$C$72))"),"")</f>
        <v/>
      </c>
      <c r="H1450" s="61" t="str">
        <f>IFERROR(__xludf.DUMMYFUNCTION("INDIRECT(""'收支紀錄'!H""&amp;TO_TEXT(ROW()-$C$72))"),"食品酒水")</f>
        <v>食品酒水</v>
      </c>
      <c r="I1450" s="61" t="str">
        <f>IFERROR(__xludf.DUMMYFUNCTION("INDIRECT(""'收支紀錄'!I""&amp;TO_TEXT(ROW()-$C$72))"),"午餐")</f>
        <v>午餐</v>
      </c>
      <c r="J1450" s="61" t="str">
        <f>IFERROR(__xludf.DUMMYFUNCTION("INDIRECT(""'收支紀錄'!J""&amp;TO_TEXT(ROW()-$C$72))"),"")</f>
        <v/>
      </c>
      <c r="K1450" s="61" t="str">
        <f>IFERROR(__xludf.DUMMYFUNCTION("INDIRECT(""'收支紀錄'!K""&amp;TO_TEXT(ROW()-$C$72))"),"")</f>
        <v/>
      </c>
      <c r="L1450" s="61" t="str">
        <f>IFERROR(__xludf.DUMMYFUNCTION("INDIRECT(""'收支紀錄'!L""&amp;TO_TEXT(ROW()-$C$72))"),"")</f>
        <v/>
      </c>
      <c r="M1450" s="61" t="str">
        <f>IFERROR(__xludf.DUMMYFUNCTION("INDIRECT(""'收支紀錄'!M""&amp;TO_TEXT(ROW()-$C$72))"),"")</f>
        <v/>
      </c>
      <c r="N1450" s="61" t="str">
        <f>IFERROR(__xludf.DUMMYFUNCTION("INDIRECT(""'收支紀錄'!N""&amp;TO_TEXT(ROW()-$C$72))"),"")</f>
        <v/>
      </c>
      <c r="O1450" s="61" t="str">
        <f>IFERROR(__xludf.DUMMYFUNCTION("INDIRECT(""'收支紀錄'!O""&amp;TO_TEXT(ROW()-$C$72))"),"")</f>
        <v/>
      </c>
      <c r="P1450" s="61" t="str">
        <f>IFERROR(__xludf.DUMMYFUNCTION("INDIRECT(""'收支紀錄'!P""&amp;TO_TEXT(ROW()-$C$72))"),"")</f>
        <v/>
      </c>
      <c r="Q1450" s="61" t="str">
        <f>IFERROR(__xludf.DUMMYFUNCTION("INDIRECT(""'收支紀錄'!Q""&amp;TO_TEXT(ROW()-$C$72))"),"")</f>
        <v/>
      </c>
      <c r="R1450" s="61" t="str">
        <f>IFERROR(__xludf.DUMMYFUNCTION("INDIRECT(""'收支紀錄'!R""&amp;TO_TEXT(ROW()-$C$72))"),"")</f>
        <v/>
      </c>
      <c r="S1450" s="61" t="str">
        <f>IFERROR(__xludf.DUMMYFUNCTION("INDIRECT(""'收支紀錄'!S""&amp;TO_TEXT(ROW()-$C$72))"),"")</f>
        <v/>
      </c>
      <c r="T1450" s="61" t="str">
        <f>IFERROR(__xludf.DUMMYFUNCTION("INDIRECT(""'收支紀錄'!T""&amp;TO_TEXT(ROW()-$C$72))"),"")</f>
        <v/>
      </c>
      <c r="U1450" s="62" t="str">
        <f>IFERROR(__xludf.DUMMYFUNCTION("IF(T1450=""是"",TEXTJOIN("""", TRUE, ""$"", TO_TEXT(C1450), S1450),"""")"),"")</f>
        <v/>
      </c>
    </row>
    <row r="1451">
      <c r="A1451" s="58">
        <f>IFERROR(__xludf.DUMMYFUNCTION("INDIRECT(""'收支紀錄'!A""&amp;TO_TEXT(ROW()-$C$72))"),46067.65362835648)</f>
        <v>46067.65363</v>
      </c>
      <c r="B1451" s="59">
        <f>IFERROR(__xludf.DUMMYFUNCTION("IF(ISBLANK(D1451), """", IF(ISDATE(D1451), D1451, IF(D1451=""今天"", A1451, IF(D1451=""昨天 (-1 day)"", A1451-1, IF(D1451=""前天 (-2 days)"", A1451-2, IF(D1451=""明天 (+1 day)"", A1451+1, DATE(LEFT(D1451,4), MID(D1451,5,2), RIGHT(D1451,2))))))))"),46067.65362835648)</f>
        <v>46067.65363</v>
      </c>
      <c r="C1451" s="60">
        <f>IFERROR(__xludf.DUMMYFUNCTION("INDIRECT(""'收支紀錄'!C""&amp;TO_TEXT(ROW()-$C$72))"),596.0)</f>
        <v>596</v>
      </c>
      <c r="D1451" s="63" t="str">
        <f>IFERROR(__xludf.DUMMYFUNCTION("INDIRECT(""'收支紀錄'!D""&amp;TO_TEXT(ROW()-$C$72))"),"今天")</f>
        <v>今天</v>
      </c>
      <c r="E1451" s="61" t="str">
        <f>IFERROR(__xludf.DUMMYFUNCTION("INDIRECT(""'收支紀錄'!E""&amp;TO_TEXT(ROW()-$C$72))"),"")</f>
        <v/>
      </c>
      <c r="F1451" s="61" t="str">
        <f>IFERROR(__xludf.DUMMYFUNCTION("INDIRECT(""'收支紀錄'!F""&amp;TO_TEXT(ROW()-$C$72))"),"")</f>
        <v/>
      </c>
      <c r="G1451" s="61" t="str">
        <f>IFERROR(__xludf.DUMMYFUNCTION("INDIRECT(""'收支紀錄'!G""&amp;TO_TEXT(ROW()-$C$72))"),"")</f>
        <v/>
      </c>
      <c r="H1451" s="61" t="str">
        <f>IFERROR(__xludf.DUMMYFUNCTION("INDIRECT(""'收支紀錄'!H""&amp;TO_TEXT(ROW()-$C$72))"),"食品酒水")</f>
        <v>食品酒水</v>
      </c>
      <c r="I1451" s="61" t="str">
        <f>IFERROR(__xludf.DUMMYFUNCTION("INDIRECT(""'收支紀錄'!I""&amp;TO_TEXT(ROW()-$C$72))"),"伴手禮")</f>
        <v>伴手禮</v>
      </c>
      <c r="J1451" s="61" t="str">
        <f>IFERROR(__xludf.DUMMYFUNCTION("INDIRECT(""'收支紀錄'!J""&amp;TO_TEXT(ROW()-$C$72))"),"")</f>
        <v/>
      </c>
      <c r="K1451" s="61" t="str">
        <f>IFERROR(__xludf.DUMMYFUNCTION("INDIRECT(""'收支紀錄'!K""&amp;TO_TEXT(ROW()-$C$72))"),"")</f>
        <v/>
      </c>
      <c r="L1451" s="61" t="str">
        <f>IFERROR(__xludf.DUMMYFUNCTION("INDIRECT(""'收支紀錄'!L""&amp;TO_TEXT(ROW()-$C$72))"),"")</f>
        <v/>
      </c>
      <c r="M1451" s="61" t="str">
        <f>IFERROR(__xludf.DUMMYFUNCTION("INDIRECT(""'收支紀錄'!M""&amp;TO_TEXT(ROW()-$C$72))"),"")</f>
        <v/>
      </c>
      <c r="N1451" s="61" t="str">
        <f>IFERROR(__xludf.DUMMYFUNCTION("INDIRECT(""'收支紀錄'!N""&amp;TO_TEXT(ROW()-$C$72))"),"")</f>
        <v/>
      </c>
      <c r="O1451" s="61" t="str">
        <f>IFERROR(__xludf.DUMMYFUNCTION("INDIRECT(""'收支紀錄'!O""&amp;TO_TEXT(ROW()-$C$72))"),"")</f>
        <v/>
      </c>
      <c r="P1451" s="61" t="str">
        <f>IFERROR(__xludf.DUMMYFUNCTION("INDIRECT(""'收支紀錄'!P""&amp;TO_TEXT(ROW()-$C$72))"),"")</f>
        <v/>
      </c>
      <c r="Q1451" s="61" t="str">
        <f>IFERROR(__xludf.DUMMYFUNCTION("INDIRECT(""'收支紀錄'!Q""&amp;TO_TEXT(ROW()-$C$72))"),"")</f>
        <v/>
      </c>
      <c r="R1451" s="61" t="str">
        <f>IFERROR(__xludf.DUMMYFUNCTION("INDIRECT(""'收支紀錄'!R""&amp;TO_TEXT(ROW()-$C$72))"),"")</f>
        <v/>
      </c>
      <c r="S1451" s="61" t="str">
        <f>IFERROR(__xludf.DUMMYFUNCTION("INDIRECT(""'收支紀錄'!S""&amp;TO_TEXT(ROW()-$C$72))"),"")</f>
        <v/>
      </c>
      <c r="T1451" s="61" t="str">
        <f>IFERROR(__xludf.DUMMYFUNCTION("INDIRECT(""'收支紀錄'!T""&amp;TO_TEXT(ROW()-$C$72))"),"")</f>
        <v/>
      </c>
      <c r="U1451" s="62" t="str">
        <f>IFERROR(__xludf.DUMMYFUNCTION("IF(T1451=""是"",TEXTJOIN("""", TRUE, ""$"", TO_TEXT(C1451), S1451),"""")"),"")</f>
        <v/>
      </c>
    </row>
    <row r="1452">
      <c r="A1452" s="58">
        <f>IFERROR(__xludf.DUMMYFUNCTION("INDIRECT(""'收支紀錄'!A""&amp;TO_TEXT(ROW()-$C$72))"),46067.65437012732)</f>
        <v>46067.65437</v>
      </c>
      <c r="B1452" s="59">
        <f>IFERROR(__xludf.DUMMYFUNCTION("IF(ISBLANK(D1452), """", IF(ISDATE(D1452), D1452, IF(D1452=""今天"", A1452, IF(D1452=""昨天 (-1 day)"", A1452-1, IF(D1452=""前天 (-2 days)"", A1452-2, IF(D1452=""明天 (+1 day)"", A1452+1, DATE(LEFT(D1452,4), MID(D1452,5,2), RIGHT(D1452,2))))))))"),46067.65437012732)</f>
        <v>46067.65437</v>
      </c>
      <c r="C1452" s="60">
        <f>IFERROR(__xludf.DUMMYFUNCTION("INDIRECT(""'收支紀錄'!C""&amp;TO_TEXT(ROW()-$C$72))"),125.0)</f>
        <v>125</v>
      </c>
      <c r="D1452" s="63" t="str">
        <f>IFERROR(__xludf.DUMMYFUNCTION("INDIRECT(""'收支紀錄'!D""&amp;TO_TEXT(ROW()-$C$72))"),"今天")</f>
        <v>今天</v>
      </c>
      <c r="E1452" s="61" t="str">
        <f>IFERROR(__xludf.DUMMYFUNCTION("INDIRECT(""'收支紀錄'!E""&amp;TO_TEXT(ROW()-$C$72))"),"")</f>
        <v/>
      </c>
      <c r="F1452" s="61" t="str">
        <f>IFERROR(__xludf.DUMMYFUNCTION("INDIRECT(""'收支紀錄'!F""&amp;TO_TEXT(ROW()-$C$72))"),"")</f>
        <v/>
      </c>
      <c r="G1452" s="61" t="str">
        <f>IFERROR(__xludf.DUMMYFUNCTION("INDIRECT(""'收支紀錄'!G""&amp;TO_TEXT(ROW()-$C$72))"),"")</f>
        <v/>
      </c>
      <c r="H1452" s="61" t="str">
        <f>IFERROR(__xludf.DUMMYFUNCTION("INDIRECT(""'收支紀錄'!H""&amp;TO_TEXT(ROW()-$C$72))"),"食品酒水")</f>
        <v>食品酒水</v>
      </c>
      <c r="I1452" s="61" t="str">
        <f>IFERROR(__xludf.DUMMYFUNCTION("INDIRECT(""'收支紀錄'!I""&amp;TO_TEXT(ROW()-$C$72))"),"午餐")</f>
        <v>午餐</v>
      </c>
      <c r="J1452" s="61" t="str">
        <f>IFERROR(__xludf.DUMMYFUNCTION("INDIRECT(""'收支紀錄'!J""&amp;TO_TEXT(ROW()-$C$72))"),"")</f>
        <v/>
      </c>
      <c r="K1452" s="61" t="str">
        <f>IFERROR(__xludf.DUMMYFUNCTION("INDIRECT(""'收支紀錄'!K""&amp;TO_TEXT(ROW()-$C$72))"),"")</f>
        <v/>
      </c>
      <c r="L1452" s="61" t="str">
        <f>IFERROR(__xludf.DUMMYFUNCTION("INDIRECT(""'收支紀錄'!L""&amp;TO_TEXT(ROW()-$C$72))"),"")</f>
        <v/>
      </c>
      <c r="M1452" s="61" t="str">
        <f>IFERROR(__xludf.DUMMYFUNCTION("INDIRECT(""'收支紀錄'!M""&amp;TO_TEXT(ROW()-$C$72))"),"")</f>
        <v/>
      </c>
      <c r="N1452" s="61" t="str">
        <f>IFERROR(__xludf.DUMMYFUNCTION("INDIRECT(""'收支紀錄'!N""&amp;TO_TEXT(ROW()-$C$72))"),"")</f>
        <v/>
      </c>
      <c r="O1452" s="61" t="str">
        <f>IFERROR(__xludf.DUMMYFUNCTION("INDIRECT(""'收支紀錄'!O""&amp;TO_TEXT(ROW()-$C$72))"),"")</f>
        <v/>
      </c>
      <c r="P1452" s="61" t="str">
        <f>IFERROR(__xludf.DUMMYFUNCTION("INDIRECT(""'收支紀錄'!P""&amp;TO_TEXT(ROW()-$C$72))"),"")</f>
        <v/>
      </c>
      <c r="Q1452" s="61" t="str">
        <f>IFERROR(__xludf.DUMMYFUNCTION("INDIRECT(""'收支紀錄'!Q""&amp;TO_TEXT(ROW()-$C$72))"),"")</f>
        <v/>
      </c>
      <c r="R1452" s="61" t="str">
        <f>IFERROR(__xludf.DUMMYFUNCTION("INDIRECT(""'收支紀錄'!R""&amp;TO_TEXT(ROW()-$C$72))"),"")</f>
        <v/>
      </c>
      <c r="S1452" s="61" t="str">
        <f>IFERROR(__xludf.DUMMYFUNCTION("INDIRECT(""'收支紀錄'!S""&amp;TO_TEXT(ROW()-$C$72))"),"")</f>
        <v/>
      </c>
      <c r="T1452" s="61" t="str">
        <f>IFERROR(__xludf.DUMMYFUNCTION("INDIRECT(""'收支紀錄'!T""&amp;TO_TEXT(ROW()-$C$72))"),"")</f>
        <v/>
      </c>
      <c r="U1452" s="62" t="str">
        <f>IFERROR(__xludf.DUMMYFUNCTION("IF(T1452=""是"",TEXTJOIN("""", TRUE, ""$"", TO_TEXT(C1452), S1452),"""")"),"")</f>
        <v/>
      </c>
    </row>
    <row r="1453">
      <c r="A1453" s="58">
        <f>IFERROR(__xludf.DUMMYFUNCTION("INDIRECT(""'收支紀錄'!A""&amp;TO_TEXT(ROW()-$C$72))"),46067.654538055554)</f>
        <v>46067.65454</v>
      </c>
      <c r="B1453" s="59">
        <f>IFERROR(__xludf.DUMMYFUNCTION("IF(ISBLANK(D1453), """", IF(ISDATE(D1453), D1453, IF(D1453=""今天"", A1453, IF(D1453=""昨天 (-1 day)"", A1453-1, IF(D1453=""前天 (-2 days)"", A1453-2, IF(D1453=""明天 (+1 day)"", A1453+1, DATE(LEFT(D1453,4), MID(D1453,5,2), RIGHT(D1453,2))))))))"),46067.654538055554)</f>
        <v>46067.65454</v>
      </c>
      <c r="C1453" s="60">
        <f>IFERROR(__xludf.DUMMYFUNCTION("INDIRECT(""'收支紀錄'!C""&amp;TO_TEXT(ROW()-$C$72))"),28.0)</f>
        <v>28</v>
      </c>
      <c r="D1453" s="63" t="str">
        <f>IFERROR(__xludf.DUMMYFUNCTION("INDIRECT(""'收支紀錄'!D""&amp;TO_TEXT(ROW()-$C$72))"),"今天")</f>
        <v>今天</v>
      </c>
      <c r="E1453" s="61" t="str">
        <f>IFERROR(__xludf.DUMMYFUNCTION("INDIRECT(""'收支紀錄'!E""&amp;TO_TEXT(ROW()-$C$72))"),"")</f>
        <v/>
      </c>
      <c r="F1453" s="61" t="str">
        <f>IFERROR(__xludf.DUMMYFUNCTION("INDIRECT(""'收支紀錄'!F""&amp;TO_TEXT(ROW()-$C$72))"),"")</f>
        <v/>
      </c>
      <c r="G1453" s="61" t="str">
        <f>IFERROR(__xludf.DUMMYFUNCTION("INDIRECT(""'收支紀錄'!G""&amp;TO_TEXT(ROW()-$C$72))"),"")</f>
        <v/>
      </c>
      <c r="H1453" s="61" t="str">
        <f>IFERROR(__xludf.DUMMYFUNCTION("INDIRECT(""'收支紀錄'!H""&amp;TO_TEXT(ROW()-$C$72))"),"日常生活")</f>
        <v>日常生活</v>
      </c>
      <c r="I1453" s="61" t="str">
        <f>IFERROR(__xludf.DUMMYFUNCTION("INDIRECT(""'收支紀錄'!I""&amp;TO_TEXT(ROW()-$C$72))"),"")</f>
        <v/>
      </c>
      <c r="J1453" s="61" t="str">
        <f>IFERROR(__xludf.DUMMYFUNCTION("INDIRECT(""'收支紀錄'!J""&amp;TO_TEXT(ROW()-$C$72))"),"日常用品")</f>
        <v>日常用品</v>
      </c>
      <c r="K1453" s="61" t="str">
        <f>IFERROR(__xludf.DUMMYFUNCTION("INDIRECT(""'收支紀錄'!K""&amp;TO_TEXT(ROW()-$C$72))"),"")</f>
        <v/>
      </c>
      <c r="L1453" s="61" t="str">
        <f>IFERROR(__xludf.DUMMYFUNCTION("INDIRECT(""'收支紀錄'!L""&amp;TO_TEXT(ROW()-$C$72))"),"")</f>
        <v/>
      </c>
      <c r="M1453" s="61" t="str">
        <f>IFERROR(__xludf.DUMMYFUNCTION("INDIRECT(""'收支紀錄'!M""&amp;TO_TEXT(ROW()-$C$72))"),"")</f>
        <v/>
      </c>
      <c r="N1453" s="61" t="str">
        <f>IFERROR(__xludf.DUMMYFUNCTION("INDIRECT(""'收支紀錄'!N""&amp;TO_TEXT(ROW()-$C$72))"),"")</f>
        <v/>
      </c>
      <c r="O1453" s="61" t="str">
        <f>IFERROR(__xludf.DUMMYFUNCTION("INDIRECT(""'收支紀錄'!O""&amp;TO_TEXT(ROW()-$C$72))"),"")</f>
        <v/>
      </c>
      <c r="P1453" s="61" t="str">
        <f>IFERROR(__xludf.DUMMYFUNCTION("INDIRECT(""'收支紀錄'!P""&amp;TO_TEXT(ROW()-$C$72))"),"")</f>
        <v/>
      </c>
      <c r="Q1453" s="61" t="str">
        <f>IFERROR(__xludf.DUMMYFUNCTION("INDIRECT(""'收支紀錄'!Q""&amp;TO_TEXT(ROW()-$C$72))"),"")</f>
        <v/>
      </c>
      <c r="R1453" s="61" t="str">
        <f>IFERROR(__xludf.DUMMYFUNCTION("INDIRECT(""'收支紀錄'!R""&amp;TO_TEXT(ROW()-$C$72))"),"")</f>
        <v/>
      </c>
      <c r="S1453" s="61" t="str">
        <f>IFERROR(__xludf.DUMMYFUNCTION("INDIRECT(""'收支紀錄'!S""&amp;TO_TEXT(ROW()-$C$72))"),"")</f>
        <v/>
      </c>
      <c r="T1453" s="61" t="str">
        <f>IFERROR(__xludf.DUMMYFUNCTION("INDIRECT(""'收支紀錄'!T""&amp;TO_TEXT(ROW()-$C$72))"),"")</f>
        <v/>
      </c>
      <c r="U1453" s="62" t="str">
        <f>IFERROR(__xludf.DUMMYFUNCTION("IF(T1453=""是"",TEXTJOIN("""", TRUE, ""$"", TO_TEXT(C1453), S1453),"""")"),"")</f>
        <v/>
      </c>
    </row>
    <row r="1454">
      <c r="A1454" s="58">
        <f>IFERROR(__xludf.DUMMYFUNCTION("INDIRECT(""'收支紀錄'!A""&amp;TO_TEXT(ROW()-$C$72))"),46067.682545625)</f>
        <v>46067.68255</v>
      </c>
      <c r="B1454" s="59">
        <f>IFERROR(__xludf.DUMMYFUNCTION("IF(ISBLANK(D1454), """", IF(ISDATE(D1454), D1454, IF(D1454=""今天"", A1454, IF(D1454=""昨天 (-1 day)"", A1454-1, IF(D1454=""前天 (-2 days)"", A1454-2, IF(D1454=""明天 (+1 day)"", A1454+1, DATE(LEFT(D1454,4), MID(D1454,5,2), RIGHT(D1454,2))))))))"),46067.682545625)</f>
        <v>46067.68255</v>
      </c>
      <c r="C1454" s="60">
        <f>IFERROR(__xludf.DUMMYFUNCTION("INDIRECT(""'收支紀錄'!C""&amp;TO_TEXT(ROW()-$C$72))"),40.0)</f>
        <v>40</v>
      </c>
      <c r="D1454" s="63" t="str">
        <f>IFERROR(__xludf.DUMMYFUNCTION("INDIRECT(""'收支紀錄'!D""&amp;TO_TEXT(ROW()-$C$72))"),"今天")</f>
        <v>今天</v>
      </c>
      <c r="E1454" s="61" t="str">
        <f>IFERROR(__xludf.DUMMYFUNCTION("INDIRECT(""'收支紀錄'!E""&amp;TO_TEXT(ROW()-$C$72))"),"")</f>
        <v/>
      </c>
      <c r="F1454" s="61" t="str">
        <f>IFERROR(__xludf.DUMMYFUNCTION("INDIRECT(""'收支紀錄'!F""&amp;TO_TEXT(ROW()-$C$72))"),"")</f>
        <v/>
      </c>
      <c r="G1454" s="61" t="str">
        <f>IFERROR(__xludf.DUMMYFUNCTION("INDIRECT(""'收支紀錄'!G""&amp;TO_TEXT(ROW()-$C$72))"),"")</f>
        <v/>
      </c>
      <c r="H1454" s="61" t="str">
        <f>IFERROR(__xludf.DUMMYFUNCTION("INDIRECT(""'收支紀錄'!H""&amp;TO_TEXT(ROW()-$C$72))"),"行車交通")</f>
        <v>行車交通</v>
      </c>
      <c r="I1454" s="61" t="str">
        <f>IFERROR(__xludf.DUMMYFUNCTION("INDIRECT(""'收支紀錄'!I""&amp;TO_TEXT(ROW()-$C$72))"),"")</f>
        <v/>
      </c>
      <c r="J1454" s="61" t="str">
        <f>IFERROR(__xludf.DUMMYFUNCTION("INDIRECT(""'收支紀錄'!J""&amp;TO_TEXT(ROW()-$C$72))"),"")</f>
        <v/>
      </c>
      <c r="K1454" s="61" t="str">
        <f>IFERROR(__xludf.DUMMYFUNCTION("INDIRECT(""'收支紀錄'!K""&amp;TO_TEXT(ROW()-$C$72))"),"")</f>
        <v/>
      </c>
      <c r="L1454" s="61" t="str">
        <f>IFERROR(__xludf.DUMMYFUNCTION("INDIRECT(""'收支紀錄'!L""&amp;TO_TEXT(ROW()-$C$72))"),"捷運費")</f>
        <v>捷運費</v>
      </c>
      <c r="M1454" s="61" t="str">
        <f>IFERROR(__xludf.DUMMYFUNCTION("INDIRECT(""'收支紀錄'!M""&amp;TO_TEXT(ROW()-$C$72))"),"")</f>
        <v/>
      </c>
      <c r="N1454" s="61" t="str">
        <f>IFERROR(__xludf.DUMMYFUNCTION("INDIRECT(""'收支紀錄'!N""&amp;TO_TEXT(ROW()-$C$72))"),"")</f>
        <v/>
      </c>
      <c r="O1454" s="61" t="str">
        <f>IFERROR(__xludf.DUMMYFUNCTION("INDIRECT(""'收支紀錄'!O""&amp;TO_TEXT(ROW()-$C$72))"),"")</f>
        <v/>
      </c>
      <c r="P1454" s="61" t="str">
        <f>IFERROR(__xludf.DUMMYFUNCTION("INDIRECT(""'收支紀錄'!P""&amp;TO_TEXT(ROW()-$C$72))"),"")</f>
        <v/>
      </c>
      <c r="Q1454" s="61" t="str">
        <f>IFERROR(__xludf.DUMMYFUNCTION("INDIRECT(""'收支紀錄'!Q""&amp;TO_TEXT(ROW()-$C$72))"),"")</f>
        <v/>
      </c>
      <c r="R1454" s="61" t="str">
        <f>IFERROR(__xludf.DUMMYFUNCTION("INDIRECT(""'收支紀錄'!R""&amp;TO_TEXT(ROW()-$C$72))"),"")</f>
        <v/>
      </c>
      <c r="S1454" s="61" t="str">
        <f>IFERROR(__xludf.DUMMYFUNCTION("INDIRECT(""'收支紀錄'!S""&amp;TO_TEXT(ROW()-$C$72))"),"")</f>
        <v/>
      </c>
      <c r="T1454" s="61" t="str">
        <f>IFERROR(__xludf.DUMMYFUNCTION("INDIRECT(""'收支紀錄'!T""&amp;TO_TEXT(ROW()-$C$72))"),"")</f>
        <v/>
      </c>
      <c r="U1454" s="62" t="str">
        <f>IFERROR(__xludf.DUMMYFUNCTION("IF(T1454=""是"",TEXTJOIN("""", TRUE, ""$"", TO_TEXT(C1454), S1454),"""")"),"")</f>
        <v/>
      </c>
    </row>
    <row r="1455">
      <c r="A1455" s="58">
        <f>IFERROR(__xludf.DUMMYFUNCTION("INDIRECT(""'收支紀錄'!A""&amp;TO_TEXT(ROW()-$C$72))"),46067.682823298615)</f>
        <v>46067.68282</v>
      </c>
      <c r="B1455" s="59">
        <f>IFERROR(__xludf.DUMMYFUNCTION("IF(ISBLANK(D1455), """", IF(ISDATE(D1455), D1455, IF(D1455=""今天"", A1455, IF(D1455=""昨天 (-1 day)"", A1455-1, IF(D1455=""前天 (-2 days)"", A1455-2, IF(D1455=""明天 (+1 day)"", A1455+1, DATE(LEFT(D1455,4), MID(D1455,5,2), RIGHT(D1455,2))))))))"),46067.682823298615)</f>
        <v>46067.68282</v>
      </c>
      <c r="C1455" s="60">
        <f>IFERROR(__xludf.DUMMYFUNCTION("INDIRECT(""'收支紀錄'!C""&amp;TO_TEXT(ROW()-$C$72))"),765.0)</f>
        <v>765</v>
      </c>
      <c r="D1455" s="63" t="str">
        <f>IFERROR(__xludf.DUMMYFUNCTION("INDIRECT(""'收支紀錄'!D""&amp;TO_TEXT(ROW()-$C$72))"),"今天")</f>
        <v>今天</v>
      </c>
      <c r="E1455" s="61" t="str">
        <f>IFERROR(__xludf.DUMMYFUNCTION("INDIRECT(""'收支紀錄'!E""&amp;TO_TEXT(ROW()-$C$72))"),"")</f>
        <v/>
      </c>
      <c r="F1455" s="61" t="str">
        <f>IFERROR(__xludf.DUMMYFUNCTION("INDIRECT(""'收支紀錄'!F""&amp;TO_TEXT(ROW()-$C$72))"),"")</f>
        <v/>
      </c>
      <c r="G1455" s="61" t="str">
        <f>IFERROR(__xludf.DUMMYFUNCTION("INDIRECT(""'收支紀錄'!G""&amp;TO_TEXT(ROW()-$C$72))"),"")</f>
        <v/>
      </c>
      <c r="H1455" s="61" t="str">
        <f>IFERROR(__xludf.DUMMYFUNCTION("INDIRECT(""'收支紀錄'!H""&amp;TO_TEXT(ROW()-$C$72))"),"行車交通")</f>
        <v>行車交通</v>
      </c>
      <c r="I1455" s="61" t="str">
        <f>IFERROR(__xludf.DUMMYFUNCTION("INDIRECT(""'收支紀錄'!I""&amp;TO_TEXT(ROW()-$C$72))"),"")</f>
        <v/>
      </c>
      <c r="J1455" s="61" t="str">
        <f>IFERROR(__xludf.DUMMYFUNCTION("INDIRECT(""'收支紀錄'!J""&amp;TO_TEXT(ROW()-$C$72))"),"")</f>
        <v/>
      </c>
      <c r="K1455" s="61" t="str">
        <f>IFERROR(__xludf.DUMMYFUNCTION("INDIRECT(""'收支紀錄'!K""&amp;TO_TEXT(ROW()-$C$72))"),"")</f>
        <v/>
      </c>
      <c r="L1455" s="61" t="str">
        <f>IFERROR(__xludf.DUMMYFUNCTION("INDIRECT(""'收支紀錄'!L""&amp;TO_TEXT(ROW()-$C$72))"),"高鐵")</f>
        <v>高鐵</v>
      </c>
      <c r="M1455" s="61" t="str">
        <f>IFERROR(__xludf.DUMMYFUNCTION("INDIRECT(""'收支紀錄'!M""&amp;TO_TEXT(ROW()-$C$72))"),"")</f>
        <v/>
      </c>
      <c r="N1455" s="61" t="str">
        <f>IFERROR(__xludf.DUMMYFUNCTION("INDIRECT(""'收支紀錄'!N""&amp;TO_TEXT(ROW()-$C$72))"),"")</f>
        <v/>
      </c>
      <c r="O1455" s="61" t="str">
        <f>IFERROR(__xludf.DUMMYFUNCTION("INDIRECT(""'收支紀錄'!O""&amp;TO_TEXT(ROW()-$C$72))"),"")</f>
        <v/>
      </c>
      <c r="P1455" s="61" t="str">
        <f>IFERROR(__xludf.DUMMYFUNCTION("INDIRECT(""'收支紀錄'!P""&amp;TO_TEXT(ROW()-$C$72))"),"")</f>
        <v/>
      </c>
      <c r="Q1455" s="61" t="str">
        <f>IFERROR(__xludf.DUMMYFUNCTION("INDIRECT(""'收支紀錄'!Q""&amp;TO_TEXT(ROW()-$C$72))"),"")</f>
        <v/>
      </c>
      <c r="R1455" s="61" t="str">
        <f>IFERROR(__xludf.DUMMYFUNCTION("INDIRECT(""'收支紀錄'!R""&amp;TO_TEXT(ROW()-$C$72))"),"")</f>
        <v/>
      </c>
      <c r="S1455" s="61" t="str">
        <f>IFERROR(__xludf.DUMMYFUNCTION("INDIRECT(""'收支紀錄'!S""&amp;TO_TEXT(ROW()-$C$72))"),"")</f>
        <v/>
      </c>
      <c r="T1455" s="61" t="str">
        <f>IFERROR(__xludf.DUMMYFUNCTION("INDIRECT(""'收支紀錄'!T""&amp;TO_TEXT(ROW()-$C$72))"),"")</f>
        <v/>
      </c>
      <c r="U1455" s="62" t="str">
        <f>IFERROR(__xludf.DUMMYFUNCTION("IF(T1455=""是"",TEXTJOIN("""", TRUE, ""$"", TO_TEXT(C1455), S1455),"""")"),"")</f>
        <v/>
      </c>
    </row>
    <row r="1456">
      <c r="A1456" s="58">
        <f>IFERROR(__xludf.DUMMYFUNCTION("INDIRECT(""'收支紀錄'!A""&amp;TO_TEXT(ROW()-$C$72))"),46068.46100335648)</f>
        <v>46068.461</v>
      </c>
      <c r="B1456" s="59">
        <f>IFERROR(__xludf.DUMMYFUNCTION("IF(ISBLANK(D1456), """", IF(ISDATE(D1456), D1456, IF(D1456=""今天"", A1456, IF(D1456=""昨天 (-1 day)"", A1456-1, IF(D1456=""前天 (-2 days)"", A1456-2, IF(D1456=""明天 (+1 day)"", A1456+1, DATE(LEFT(D1456,4), MID(D1456,5,2), RIGHT(D1456,2))))))))"),46067.46100335648)</f>
        <v>46067.461</v>
      </c>
      <c r="C1456" s="60">
        <f>IFERROR(__xludf.DUMMYFUNCTION("INDIRECT(""'收支紀錄'!C""&amp;TO_TEXT(ROW()-$C$72))"),170.0)</f>
        <v>170</v>
      </c>
      <c r="D1456" s="63" t="str">
        <f>IFERROR(__xludf.DUMMYFUNCTION("INDIRECT(""'收支紀錄'!D""&amp;TO_TEXT(ROW()-$C$72))"),"昨天 (-1 day)")</f>
        <v>昨天 (-1 day)</v>
      </c>
      <c r="E1456" s="61" t="str">
        <f>IFERROR(__xludf.DUMMYFUNCTION("INDIRECT(""'收支紀錄'!E""&amp;TO_TEXT(ROW()-$C$72))"),"")</f>
        <v/>
      </c>
      <c r="F1456" s="61" t="str">
        <f>IFERROR(__xludf.DUMMYFUNCTION("INDIRECT(""'收支紀錄'!F""&amp;TO_TEXT(ROW()-$C$72))"),"")</f>
        <v/>
      </c>
      <c r="G1456" s="61" t="str">
        <f>IFERROR(__xludf.DUMMYFUNCTION("INDIRECT(""'收支紀錄'!G""&amp;TO_TEXT(ROW()-$C$72))"),"")</f>
        <v/>
      </c>
      <c r="H1456" s="61" t="str">
        <f>IFERROR(__xludf.DUMMYFUNCTION("INDIRECT(""'收支紀錄'!H""&amp;TO_TEXT(ROW()-$C$72))"),"食品酒水")</f>
        <v>食品酒水</v>
      </c>
      <c r="I1456" s="61" t="str">
        <f>IFERROR(__xludf.DUMMYFUNCTION("INDIRECT(""'收支紀錄'!I""&amp;TO_TEXT(ROW()-$C$72))"),"宵夜")</f>
        <v>宵夜</v>
      </c>
      <c r="J1456" s="61" t="str">
        <f>IFERROR(__xludf.DUMMYFUNCTION("INDIRECT(""'收支紀錄'!J""&amp;TO_TEXT(ROW()-$C$72))"),"")</f>
        <v/>
      </c>
      <c r="K1456" s="61" t="str">
        <f>IFERROR(__xludf.DUMMYFUNCTION("INDIRECT(""'收支紀錄'!K""&amp;TO_TEXT(ROW()-$C$72))"),"")</f>
        <v/>
      </c>
      <c r="L1456" s="61" t="str">
        <f>IFERROR(__xludf.DUMMYFUNCTION("INDIRECT(""'收支紀錄'!L""&amp;TO_TEXT(ROW()-$C$72))"),"")</f>
        <v/>
      </c>
      <c r="M1456" s="61" t="str">
        <f>IFERROR(__xludf.DUMMYFUNCTION("INDIRECT(""'收支紀錄'!M""&amp;TO_TEXT(ROW()-$C$72))"),"")</f>
        <v/>
      </c>
      <c r="N1456" s="61" t="str">
        <f>IFERROR(__xludf.DUMMYFUNCTION("INDIRECT(""'收支紀錄'!N""&amp;TO_TEXT(ROW()-$C$72))"),"")</f>
        <v/>
      </c>
      <c r="O1456" s="61" t="str">
        <f>IFERROR(__xludf.DUMMYFUNCTION("INDIRECT(""'收支紀錄'!O""&amp;TO_TEXT(ROW()-$C$72))"),"")</f>
        <v/>
      </c>
      <c r="P1456" s="61" t="str">
        <f>IFERROR(__xludf.DUMMYFUNCTION("INDIRECT(""'收支紀錄'!P""&amp;TO_TEXT(ROW()-$C$72))"),"")</f>
        <v/>
      </c>
      <c r="Q1456" s="61" t="str">
        <f>IFERROR(__xludf.DUMMYFUNCTION("INDIRECT(""'收支紀錄'!Q""&amp;TO_TEXT(ROW()-$C$72))"),"")</f>
        <v/>
      </c>
      <c r="R1456" s="61" t="str">
        <f>IFERROR(__xludf.DUMMYFUNCTION("INDIRECT(""'收支紀錄'!R""&amp;TO_TEXT(ROW()-$C$72))"),"")</f>
        <v/>
      </c>
      <c r="S1456" s="61" t="str">
        <f>IFERROR(__xludf.DUMMYFUNCTION("INDIRECT(""'收支紀錄'!S""&amp;TO_TEXT(ROW()-$C$72))"),"")</f>
        <v/>
      </c>
      <c r="T1456" s="61" t="str">
        <f>IFERROR(__xludf.DUMMYFUNCTION("INDIRECT(""'收支紀錄'!T""&amp;TO_TEXT(ROW()-$C$72))"),"")</f>
        <v/>
      </c>
      <c r="U1456" s="62" t="str">
        <f>IFERROR(__xludf.DUMMYFUNCTION("IF(T1456=""是"",TEXTJOIN("""", TRUE, ""$"", TO_TEXT(C1456), S1456),"""")"),"")</f>
        <v/>
      </c>
    </row>
    <row r="1457">
      <c r="A1457" s="58">
        <f>IFERROR(__xludf.DUMMYFUNCTION("INDIRECT(""'收支紀錄'!A""&amp;TO_TEXT(ROW()-$C$72))"),46068.834793761576)</f>
        <v>46068.83479</v>
      </c>
      <c r="B1457" s="59">
        <f>IFERROR(__xludf.DUMMYFUNCTION("IF(ISBLANK(D1457), """", IF(ISDATE(D1457), D1457, IF(D1457=""今天"", A1457, IF(D1457=""昨天 (-1 day)"", A1457-1, IF(D1457=""前天 (-2 days)"", A1457-2, IF(D1457=""明天 (+1 day)"", A1457+1, DATE(LEFT(D1457,4), MID(D1457,5,2), RIGHT(D1457,2))))))))"),46068.834793761576)</f>
        <v>46068.83479</v>
      </c>
      <c r="C1457" s="60">
        <f>IFERROR(__xludf.DUMMYFUNCTION("INDIRECT(""'收支紀錄'!C""&amp;TO_TEXT(ROW()-$C$72))"),1162.0)</f>
        <v>1162</v>
      </c>
      <c r="D1457" s="63" t="str">
        <f>IFERROR(__xludf.DUMMYFUNCTION("INDIRECT(""'收支紀錄'!D""&amp;TO_TEXT(ROW()-$C$72))"),"今天")</f>
        <v>今天</v>
      </c>
      <c r="E1457" s="61" t="str">
        <f>IFERROR(__xludf.DUMMYFUNCTION("INDIRECT(""'收支紀錄'!E""&amp;TO_TEXT(ROW()-$C$72))"),"")</f>
        <v/>
      </c>
      <c r="F1457" s="61" t="str">
        <f>IFERROR(__xludf.DUMMYFUNCTION("INDIRECT(""'收支紀錄'!F""&amp;TO_TEXT(ROW()-$C$72))"),"")</f>
        <v/>
      </c>
      <c r="G1457" s="61" t="str">
        <f>IFERROR(__xludf.DUMMYFUNCTION("INDIRECT(""'收支紀錄'!G""&amp;TO_TEXT(ROW()-$C$72))"),"")</f>
        <v/>
      </c>
      <c r="H1457" s="61" t="str">
        <f>IFERROR(__xludf.DUMMYFUNCTION("INDIRECT(""'收支紀錄'!H""&amp;TO_TEXT(ROW()-$C$72))"),"日常生活")</f>
        <v>日常生活</v>
      </c>
      <c r="I1457" s="61" t="str">
        <f>IFERROR(__xludf.DUMMYFUNCTION("INDIRECT(""'收支紀錄'!I""&amp;TO_TEXT(ROW()-$C$72))"),"")</f>
        <v/>
      </c>
      <c r="J1457" s="61" t="str">
        <f>IFERROR(__xludf.DUMMYFUNCTION("INDIRECT(""'收支紀錄'!J""&amp;TO_TEXT(ROW()-$C$72))"),"日常用品")</f>
        <v>日常用品</v>
      </c>
      <c r="K1457" s="61" t="str">
        <f>IFERROR(__xludf.DUMMYFUNCTION("INDIRECT(""'收支紀錄'!K""&amp;TO_TEXT(ROW()-$C$72))"),"")</f>
        <v/>
      </c>
      <c r="L1457" s="61" t="str">
        <f>IFERROR(__xludf.DUMMYFUNCTION("INDIRECT(""'收支紀錄'!L""&amp;TO_TEXT(ROW()-$C$72))"),"")</f>
        <v/>
      </c>
      <c r="M1457" s="61" t="str">
        <f>IFERROR(__xludf.DUMMYFUNCTION("INDIRECT(""'收支紀錄'!M""&amp;TO_TEXT(ROW()-$C$72))"),"")</f>
        <v/>
      </c>
      <c r="N1457" s="61" t="str">
        <f>IFERROR(__xludf.DUMMYFUNCTION("INDIRECT(""'收支紀錄'!N""&amp;TO_TEXT(ROW()-$C$72))"),"")</f>
        <v/>
      </c>
      <c r="O1457" s="61" t="str">
        <f>IFERROR(__xludf.DUMMYFUNCTION("INDIRECT(""'收支紀錄'!O""&amp;TO_TEXT(ROW()-$C$72))"),"")</f>
        <v/>
      </c>
      <c r="P1457" s="61" t="str">
        <f>IFERROR(__xludf.DUMMYFUNCTION("INDIRECT(""'收支紀錄'!P""&amp;TO_TEXT(ROW()-$C$72))"),"")</f>
        <v/>
      </c>
      <c r="Q1457" s="61" t="str">
        <f>IFERROR(__xludf.DUMMYFUNCTION("INDIRECT(""'收支紀錄'!Q""&amp;TO_TEXT(ROW()-$C$72))"),"")</f>
        <v/>
      </c>
      <c r="R1457" s="61" t="str">
        <f>IFERROR(__xludf.DUMMYFUNCTION("INDIRECT(""'收支紀錄'!R""&amp;TO_TEXT(ROW()-$C$72))"),"")</f>
        <v/>
      </c>
      <c r="S1457" s="61" t="str">
        <f>IFERROR(__xludf.DUMMYFUNCTION("INDIRECT(""'收支紀錄'!S""&amp;TO_TEXT(ROW()-$C$72))"),"")</f>
        <v/>
      </c>
      <c r="T1457" s="61" t="str">
        <f>IFERROR(__xludf.DUMMYFUNCTION("INDIRECT(""'收支紀錄'!T""&amp;TO_TEXT(ROW()-$C$72))"),"")</f>
        <v/>
      </c>
      <c r="U1457" s="62" t="str">
        <f>IFERROR(__xludf.DUMMYFUNCTION("IF(T1457=""是"",TEXTJOIN("""", TRUE, ""$"", TO_TEXT(C1457), S1457),"""")"),"")</f>
        <v/>
      </c>
    </row>
    <row r="1458">
      <c r="A1458" s="58">
        <f>IFERROR(__xludf.DUMMYFUNCTION("INDIRECT(""'收支紀錄'!A""&amp;TO_TEXT(ROW()-$C$72))"),46068.84601234954)</f>
        <v>46068.84601</v>
      </c>
      <c r="B1458" s="59">
        <f>IFERROR(__xludf.DUMMYFUNCTION("IF(ISBLANK(D1458), """", IF(ISDATE(D1458), D1458, IF(D1458=""今天"", A1458, IF(D1458=""昨天 (-1 day)"", A1458-1, IF(D1458=""前天 (-2 days)"", A1458-2, IF(D1458=""明天 (+1 day)"", A1458+1, DATE(LEFT(D1458,4), MID(D1458,5,2), RIGHT(D1458,2))))))))"),46068.84601234954)</f>
        <v>46068.84601</v>
      </c>
      <c r="C1458" s="60">
        <f>IFERROR(__xludf.DUMMYFUNCTION("INDIRECT(""'收支紀錄'!C""&amp;TO_TEXT(ROW()-$C$72))"),159.0)</f>
        <v>159</v>
      </c>
      <c r="D1458" s="63" t="str">
        <f>IFERROR(__xludf.DUMMYFUNCTION("INDIRECT(""'收支紀錄'!D""&amp;TO_TEXT(ROW()-$C$72))"),"今天")</f>
        <v>今天</v>
      </c>
      <c r="E1458" s="61" t="str">
        <f>IFERROR(__xludf.DUMMYFUNCTION("INDIRECT(""'收支紀錄'!E""&amp;TO_TEXT(ROW()-$C$72))"),"")</f>
        <v/>
      </c>
      <c r="F1458" s="61" t="str">
        <f>IFERROR(__xludf.DUMMYFUNCTION("INDIRECT(""'收支紀錄'!F""&amp;TO_TEXT(ROW()-$C$72))"),"")</f>
        <v/>
      </c>
      <c r="G1458" s="61" t="str">
        <f>IFERROR(__xludf.DUMMYFUNCTION("INDIRECT(""'收支紀錄'!G""&amp;TO_TEXT(ROW()-$C$72))"),"")</f>
        <v/>
      </c>
      <c r="H1458" s="61" t="str">
        <f>IFERROR(__xludf.DUMMYFUNCTION("INDIRECT(""'收支紀錄'!H""&amp;TO_TEXT(ROW()-$C$72))"),"日常生活")</f>
        <v>日常生活</v>
      </c>
      <c r="I1458" s="61" t="str">
        <f>IFERROR(__xludf.DUMMYFUNCTION("INDIRECT(""'收支紀錄'!I""&amp;TO_TEXT(ROW()-$C$72))"),"")</f>
        <v/>
      </c>
      <c r="J1458" s="61" t="str">
        <f>IFERROR(__xludf.DUMMYFUNCTION("INDIRECT(""'收支紀錄'!J""&amp;TO_TEXT(ROW()-$C$72))"),"日常用品")</f>
        <v>日常用品</v>
      </c>
      <c r="K1458" s="61" t="str">
        <f>IFERROR(__xludf.DUMMYFUNCTION("INDIRECT(""'收支紀錄'!K""&amp;TO_TEXT(ROW()-$C$72))"),"")</f>
        <v/>
      </c>
      <c r="L1458" s="61" t="str">
        <f>IFERROR(__xludf.DUMMYFUNCTION("INDIRECT(""'收支紀錄'!L""&amp;TO_TEXT(ROW()-$C$72))"),"")</f>
        <v/>
      </c>
      <c r="M1458" s="61" t="str">
        <f>IFERROR(__xludf.DUMMYFUNCTION("INDIRECT(""'收支紀錄'!M""&amp;TO_TEXT(ROW()-$C$72))"),"")</f>
        <v/>
      </c>
      <c r="N1458" s="61" t="str">
        <f>IFERROR(__xludf.DUMMYFUNCTION("INDIRECT(""'收支紀錄'!N""&amp;TO_TEXT(ROW()-$C$72))"),"")</f>
        <v/>
      </c>
      <c r="O1458" s="61" t="str">
        <f>IFERROR(__xludf.DUMMYFUNCTION("INDIRECT(""'收支紀錄'!O""&amp;TO_TEXT(ROW()-$C$72))"),"")</f>
        <v/>
      </c>
      <c r="P1458" s="61" t="str">
        <f>IFERROR(__xludf.DUMMYFUNCTION("INDIRECT(""'收支紀錄'!P""&amp;TO_TEXT(ROW()-$C$72))"),"")</f>
        <v/>
      </c>
      <c r="Q1458" s="61" t="str">
        <f>IFERROR(__xludf.DUMMYFUNCTION("INDIRECT(""'收支紀錄'!Q""&amp;TO_TEXT(ROW()-$C$72))"),"")</f>
        <v/>
      </c>
      <c r="R1458" s="61" t="str">
        <f>IFERROR(__xludf.DUMMYFUNCTION("INDIRECT(""'收支紀錄'!R""&amp;TO_TEXT(ROW()-$C$72))"),"")</f>
        <v/>
      </c>
      <c r="S1458" s="61" t="str">
        <f>IFERROR(__xludf.DUMMYFUNCTION("INDIRECT(""'收支紀錄'!S""&amp;TO_TEXT(ROW()-$C$72))"),"")</f>
        <v/>
      </c>
      <c r="T1458" s="61" t="str">
        <f>IFERROR(__xludf.DUMMYFUNCTION("INDIRECT(""'收支紀錄'!T""&amp;TO_TEXT(ROW()-$C$72))"),"")</f>
        <v/>
      </c>
      <c r="U1458" s="62" t="str">
        <f>IFERROR(__xludf.DUMMYFUNCTION("IF(T1458=""是"",TEXTJOIN("""", TRUE, ""$"", TO_TEXT(C1458), S1458),"""")"),"")</f>
        <v/>
      </c>
    </row>
    <row r="1459">
      <c r="A1459" s="58">
        <f>IFERROR(__xludf.DUMMYFUNCTION("INDIRECT(""'收支紀錄'!A""&amp;TO_TEXT(ROW()-$C$72))"),46071.84715082176)</f>
        <v>46071.84715</v>
      </c>
      <c r="B1459" s="59">
        <f>IFERROR(__xludf.DUMMYFUNCTION("IF(ISBLANK(D1459), """", IF(ISDATE(D1459), D1459, IF(D1459=""今天"", A1459, IF(D1459=""昨天 (-1 day)"", A1459-1, IF(D1459=""前天 (-2 days)"", A1459-2, IF(D1459=""明天 (+1 day)"", A1459+1, DATE(LEFT(D1459,4), MID(D1459,5,2), RIGHT(D1459,2))))))))"),46054.0)</f>
        <v>46054</v>
      </c>
      <c r="C1459" s="60">
        <f>IFERROR(__xludf.DUMMYFUNCTION("INDIRECT(""'收支紀錄'!C""&amp;TO_TEXT(ROW()-$C$72))"),1600.0)</f>
        <v>1600</v>
      </c>
      <c r="D1459" s="63">
        <f>IFERROR(__xludf.DUMMYFUNCTION("INDIRECT(""'收支紀錄'!D""&amp;TO_TEXT(ROW()-$C$72))"),2.0260201E7)</f>
        <v>20260201</v>
      </c>
      <c r="E1459" s="61" t="str">
        <f>IFERROR(__xludf.DUMMYFUNCTION("INDIRECT(""'收支紀錄'!E""&amp;TO_TEXT(ROW()-$C$72))"),"")</f>
        <v/>
      </c>
      <c r="F1459" s="61" t="str">
        <f>IFERROR(__xludf.DUMMYFUNCTION("INDIRECT(""'收支紀錄'!F""&amp;TO_TEXT(ROW()-$C$72))"),"")</f>
        <v/>
      </c>
      <c r="G1459" s="61" t="str">
        <f>IFERROR(__xludf.DUMMYFUNCTION("INDIRECT(""'收支紀錄'!G""&amp;TO_TEXT(ROW()-$C$72))"),"")</f>
        <v/>
      </c>
      <c r="H1459" s="61" t="str">
        <f>IFERROR(__xludf.DUMMYFUNCTION("INDIRECT(""'收支紀錄'!H""&amp;TO_TEXT(ROW()-$C$72))"),"人情往來")</f>
        <v>人情往來</v>
      </c>
      <c r="I1459" s="61" t="str">
        <f>IFERROR(__xludf.DUMMYFUNCTION("INDIRECT(""'收支紀錄'!I""&amp;TO_TEXT(ROW()-$C$72))"),"")</f>
        <v/>
      </c>
      <c r="J1459" s="61" t="str">
        <f>IFERROR(__xludf.DUMMYFUNCTION("INDIRECT(""'收支紀錄'!J""&amp;TO_TEXT(ROW()-$C$72))"),"")</f>
        <v/>
      </c>
      <c r="K1459" s="61" t="str">
        <f>IFERROR(__xludf.DUMMYFUNCTION("INDIRECT(""'收支紀錄'!K""&amp;TO_TEXT(ROW()-$C$72))"),"")</f>
        <v/>
      </c>
      <c r="L1459" s="61" t="str">
        <f>IFERROR(__xludf.DUMMYFUNCTION("INDIRECT(""'收支紀錄'!L""&amp;TO_TEXT(ROW()-$C$72))"),"")</f>
        <v/>
      </c>
      <c r="M1459" s="61" t="str">
        <f>IFERROR(__xludf.DUMMYFUNCTION("INDIRECT(""'收支紀錄'!M""&amp;TO_TEXT(ROW()-$C$72))"),"")</f>
        <v/>
      </c>
      <c r="N1459" s="61" t="str">
        <f>IFERROR(__xludf.DUMMYFUNCTION("INDIRECT(""'收支紀錄'!N""&amp;TO_TEXT(ROW()-$C$72))"),"")</f>
        <v/>
      </c>
      <c r="O1459" s="61" t="str">
        <f>IFERROR(__xludf.DUMMYFUNCTION("INDIRECT(""'收支紀錄'!O""&amp;TO_TEXT(ROW()-$C$72))"),"")</f>
        <v/>
      </c>
      <c r="P1459" s="61" t="str">
        <f>IFERROR(__xludf.DUMMYFUNCTION("INDIRECT(""'收支紀錄'!P""&amp;TO_TEXT(ROW()-$C$72))"),"")</f>
        <v/>
      </c>
      <c r="Q1459" s="61" t="str">
        <f>IFERROR(__xludf.DUMMYFUNCTION("INDIRECT(""'收支紀錄'!Q""&amp;TO_TEXT(ROW()-$C$72))"),"送禮請客")</f>
        <v>送禮請客</v>
      </c>
      <c r="R1459" s="61" t="str">
        <f>IFERROR(__xludf.DUMMYFUNCTION("INDIRECT(""'收支紀錄'!R""&amp;TO_TEXT(ROW()-$C$72))"),"")</f>
        <v/>
      </c>
      <c r="S1459" s="61" t="str">
        <f>IFERROR(__xludf.DUMMYFUNCTION("INDIRECT(""'收支紀錄'!S""&amp;TO_TEXT(ROW()-$C$72))"),"奕銘婚禮")</f>
        <v>奕銘婚禮</v>
      </c>
      <c r="T1459" s="61" t="str">
        <f>IFERROR(__xludf.DUMMYFUNCTION("INDIRECT(""'收支紀錄'!T""&amp;TO_TEXT(ROW()-$C$72))"),"")</f>
        <v/>
      </c>
      <c r="U1459" s="62" t="str">
        <f>IFERROR(__xludf.DUMMYFUNCTION("IF(T1459=""是"",TEXTJOIN("""", TRUE, ""$"", TO_TEXT(C1459), S1459),"""")"),"")</f>
        <v/>
      </c>
    </row>
    <row r="1460">
      <c r="A1460" s="58">
        <f>IFERROR(__xludf.DUMMYFUNCTION("INDIRECT(""'收支紀錄'!A""&amp;TO_TEXT(ROW()-$C$72))"),46072.98364527778)</f>
        <v>46072.98365</v>
      </c>
      <c r="B1460" s="59">
        <f>IFERROR(__xludf.DUMMYFUNCTION("IF(ISBLANK(D1460), """", IF(ISDATE(D1460), D1460, IF(D1460=""今天"", A1460, IF(D1460=""昨天 (-1 day)"", A1460-1, IF(D1460=""前天 (-2 days)"", A1460-2, IF(D1460=""明天 (+1 day)"", A1460+1, DATE(LEFT(D1460,4), MID(D1460,5,2), RIGHT(D1460,2))))))))"),46071.98364527778)</f>
        <v>46071.98365</v>
      </c>
      <c r="C1460" s="60">
        <f>IFERROR(__xludf.DUMMYFUNCTION("INDIRECT(""'收支紀錄'!C""&amp;TO_TEXT(ROW()-$C$72))"),500.0)</f>
        <v>500</v>
      </c>
      <c r="D1460" s="63" t="str">
        <f>IFERROR(__xludf.DUMMYFUNCTION("INDIRECT(""'收支紀錄'!D""&amp;TO_TEXT(ROW()-$C$72))"),"昨天 (-1 day)")</f>
        <v>昨天 (-1 day)</v>
      </c>
      <c r="E1460" s="61" t="str">
        <f>IFERROR(__xludf.DUMMYFUNCTION("INDIRECT(""'收支紀錄'!E""&amp;TO_TEXT(ROW()-$C$72))"),"")</f>
        <v/>
      </c>
      <c r="F1460" s="61" t="str">
        <f>IFERROR(__xludf.DUMMYFUNCTION("INDIRECT(""'收支紀錄'!F""&amp;TO_TEXT(ROW()-$C$72))"),"")</f>
        <v/>
      </c>
      <c r="G1460" s="61" t="str">
        <f>IFERROR(__xludf.DUMMYFUNCTION("INDIRECT(""'收支紀錄'!G""&amp;TO_TEXT(ROW()-$C$72))"),"")</f>
        <v/>
      </c>
      <c r="H1460" s="61" t="str">
        <f>IFERROR(__xludf.DUMMYFUNCTION("INDIRECT(""'收支紀錄'!H""&amp;TO_TEXT(ROW()-$C$72))"),"休閒娛樂")</f>
        <v>休閒娛樂</v>
      </c>
      <c r="I1460" s="61" t="str">
        <f>IFERROR(__xludf.DUMMYFUNCTION("INDIRECT(""'收支紀錄'!I""&amp;TO_TEXT(ROW()-$C$72))"),"")</f>
        <v/>
      </c>
      <c r="J1460" s="61" t="str">
        <f>IFERROR(__xludf.DUMMYFUNCTION("INDIRECT(""'收支紀錄'!J""&amp;TO_TEXT(ROW()-$C$72))"),"")</f>
        <v/>
      </c>
      <c r="K1460" s="61" t="str">
        <f>IFERROR(__xludf.DUMMYFUNCTION("INDIRECT(""'收支紀錄'!K""&amp;TO_TEXT(ROW()-$C$72))"),"")</f>
        <v/>
      </c>
      <c r="L1460" s="61" t="str">
        <f>IFERROR(__xludf.DUMMYFUNCTION("INDIRECT(""'收支紀錄'!L""&amp;TO_TEXT(ROW()-$C$72))"),"")</f>
        <v/>
      </c>
      <c r="M1460" s="61" t="str">
        <f>IFERROR(__xludf.DUMMYFUNCTION("INDIRECT(""'收支紀錄'!M""&amp;TO_TEXT(ROW()-$C$72))"),"休閒玩樂")</f>
        <v>休閒玩樂</v>
      </c>
      <c r="N1460" s="61" t="str">
        <f>IFERROR(__xludf.DUMMYFUNCTION("INDIRECT(""'收支紀錄'!N""&amp;TO_TEXT(ROW()-$C$72))"),"")</f>
        <v/>
      </c>
      <c r="O1460" s="61" t="str">
        <f>IFERROR(__xludf.DUMMYFUNCTION("INDIRECT(""'收支紀錄'!O""&amp;TO_TEXT(ROW()-$C$72))"),"")</f>
        <v/>
      </c>
      <c r="P1460" s="61" t="str">
        <f>IFERROR(__xludf.DUMMYFUNCTION("INDIRECT(""'收支紀錄'!P""&amp;TO_TEXT(ROW()-$C$72))"),"")</f>
        <v/>
      </c>
      <c r="Q1460" s="61" t="str">
        <f>IFERROR(__xludf.DUMMYFUNCTION("INDIRECT(""'收支紀錄'!Q""&amp;TO_TEXT(ROW()-$C$72))"),"")</f>
        <v/>
      </c>
      <c r="R1460" s="61" t="str">
        <f>IFERROR(__xludf.DUMMYFUNCTION("INDIRECT(""'收支紀錄'!R""&amp;TO_TEXT(ROW()-$C$72))"),"")</f>
        <v/>
      </c>
      <c r="S1460" s="61" t="str">
        <f>IFERROR(__xludf.DUMMYFUNCTION("INDIRECT(""'收支紀錄'!S""&amp;TO_TEXT(ROW()-$C$72))"),"")</f>
        <v/>
      </c>
      <c r="T1460" s="61" t="str">
        <f>IFERROR(__xludf.DUMMYFUNCTION("INDIRECT(""'收支紀錄'!T""&amp;TO_TEXT(ROW()-$C$72))"),"")</f>
        <v/>
      </c>
      <c r="U1460" s="62" t="str">
        <f>IFERROR(__xludf.DUMMYFUNCTION("IF(T1460=""是"",TEXTJOIN("""", TRUE, ""$"", TO_TEXT(C1460), S1460),"""")"),"")</f>
        <v/>
      </c>
    </row>
    <row r="1461">
      <c r="A1461" s="58">
        <f>IFERROR(__xludf.DUMMYFUNCTION("INDIRECT(""'收支紀錄'!A""&amp;TO_TEXT(ROW()-$C$72))"),46072.985188425926)</f>
        <v>46072.98519</v>
      </c>
      <c r="B1461" s="59">
        <f>IFERROR(__xludf.DUMMYFUNCTION("IF(ISBLANK(D1461), """", IF(ISDATE(D1461), D1461, IF(D1461=""今天"", A1461, IF(D1461=""昨天 (-1 day)"", A1461-1, IF(D1461=""前天 (-2 days)"", A1461-2, IF(D1461=""明天 (+1 day)"", A1461+1, DATE(LEFT(D1461,4), MID(D1461,5,2), RIGHT(D1461,2))))))))"),46072.985188425926)</f>
        <v>46072.98519</v>
      </c>
      <c r="C1461" s="60">
        <f>IFERROR(__xludf.DUMMYFUNCTION("INDIRECT(""'收支紀錄'!C""&amp;TO_TEXT(ROW()-$C$72))"),1930.0)</f>
        <v>1930</v>
      </c>
      <c r="D1461" s="63" t="str">
        <f>IFERROR(__xludf.DUMMYFUNCTION("INDIRECT(""'收支紀錄'!D""&amp;TO_TEXT(ROW()-$C$72))"),"今天")</f>
        <v>今天</v>
      </c>
      <c r="E1461" s="61" t="str">
        <f>IFERROR(__xludf.DUMMYFUNCTION("INDIRECT(""'收支紀錄'!E""&amp;TO_TEXT(ROW()-$C$72))"),"")</f>
        <v/>
      </c>
      <c r="F1461" s="61" t="str">
        <f>IFERROR(__xludf.DUMMYFUNCTION("INDIRECT(""'收支紀錄'!F""&amp;TO_TEXT(ROW()-$C$72))"),"")</f>
        <v/>
      </c>
      <c r="G1461" s="61" t="str">
        <f>IFERROR(__xludf.DUMMYFUNCTION("INDIRECT(""'收支紀錄'!G""&amp;TO_TEXT(ROW()-$C$72))"),"")</f>
        <v/>
      </c>
      <c r="H1461" s="61" t="str">
        <f>IFERROR(__xludf.DUMMYFUNCTION("INDIRECT(""'收支紀錄'!H""&amp;TO_TEXT(ROW()-$C$72))"),"食品酒水")</f>
        <v>食品酒水</v>
      </c>
      <c r="I1461" s="61" t="str">
        <f>IFERROR(__xludf.DUMMYFUNCTION("INDIRECT(""'收支紀錄'!I""&amp;TO_TEXT(ROW()-$C$72))"),"午餐")</f>
        <v>午餐</v>
      </c>
      <c r="J1461" s="61" t="str">
        <f>IFERROR(__xludf.DUMMYFUNCTION("INDIRECT(""'收支紀錄'!J""&amp;TO_TEXT(ROW()-$C$72))"),"")</f>
        <v/>
      </c>
      <c r="K1461" s="61" t="str">
        <f>IFERROR(__xludf.DUMMYFUNCTION("INDIRECT(""'收支紀錄'!K""&amp;TO_TEXT(ROW()-$C$72))"),"")</f>
        <v/>
      </c>
      <c r="L1461" s="61" t="str">
        <f>IFERROR(__xludf.DUMMYFUNCTION("INDIRECT(""'收支紀錄'!L""&amp;TO_TEXT(ROW()-$C$72))"),"")</f>
        <v/>
      </c>
      <c r="M1461" s="61" t="str">
        <f>IFERROR(__xludf.DUMMYFUNCTION("INDIRECT(""'收支紀錄'!M""&amp;TO_TEXT(ROW()-$C$72))"),"")</f>
        <v/>
      </c>
      <c r="N1461" s="61" t="str">
        <f>IFERROR(__xludf.DUMMYFUNCTION("INDIRECT(""'收支紀錄'!N""&amp;TO_TEXT(ROW()-$C$72))"),"")</f>
        <v/>
      </c>
      <c r="O1461" s="61" t="str">
        <f>IFERROR(__xludf.DUMMYFUNCTION("INDIRECT(""'收支紀錄'!O""&amp;TO_TEXT(ROW()-$C$72))"),"")</f>
        <v/>
      </c>
      <c r="P1461" s="61" t="str">
        <f>IFERROR(__xludf.DUMMYFUNCTION("INDIRECT(""'收支紀錄'!P""&amp;TO_TEXT(ROW()-$C$72))"),"")</f>
        <v/>
      </c>
      <c r="Q1461" s="61" t="str">
        <f>IFERROR(__xludf.DUMMYFUNCTION("INDIRECT(""'收支紀錄'!Q""&amp;TO_TEXT(ROW()-$C$72))"),"")</f>
        <v/>
      </c>
      <c r="R1461" s="61" t="str">
        <f>IFERROR(__xludf.DUMMYFUNCTION("INDIRECT(""'收支紀錄'!R""&amp;TO_TEXT(ROW()-$C$72))"),"")</f>
        <v/>
      </c>
      <c r="S1461" s="61" t="str">
        <f>IFERROR(__xludf.DUMMYFUNCTION("INDIRECT(""'收支紀錄'!S""&amp;TO_TEXT(ROW()-$C$72))"),"森森燒肉")</f>
        <v>森森燒肉</v>
      </c>
      <c r="T1461" s="61" t="str">
        <f>IFERROR(__xludf.DUMMYFUNCTION("INDIRECT(""'收支紀錄'!T""&amp;TO_TEXT(ROW()-$C$72))"),"")</f>
        <v/>
      </c>
      <c r="U1461" s="62" t="str">
        <f>IFERROR(__xludf.DUMMYFUNCTION("IF(T1461=""是"",TEXTJOIN("""", TRUE, ""$"", TO_TEXT(C1461), S1461),"""")"),"")</f>
        <v/>
      </c>
    </row>
    <row r="1462">
      <c r="A1462" s="58">
        <f>IFERROR(__xludf.DUMMYFUNCTION("INDIRECT(""'收支紀錄'!A""&amp;TO_TEXT(ROW()-$C$72))"),46074.43386813658)</f>
        <v>46074.43387</v>
      </c>
      <c r="B1462" s="59">
        <f>IFERROR(__xludf.DUMMYFUNCTION("IF(ISBLANK(D1462), """", IF(ISDATE(D1462), D1462, IF(D1462=""今天"", A1462, IF(D1462=""昨天 (-1 day)"", A1462-1, IF(D1462=""前天 (-2 days)"", A1462-2, IF(D1462=""明天 (+1 day)"", A1462+1, DATE(LEFT(D1462,4), MID(D1462,5,2), RIGHT(D1462,2))))))))"),46074.43386813658)</f>
        <v>46074.43387</v>
      </c>
      <c r="C1462" s="60">
        <f>IFERROR(__xludf.DUMMYFUNCTION("INDIRECT(""'收支紀錄'!C""&amp;TO_TEXT(ROW()-$C$72))"),765.0)</f>
        <v>765</v>
      </c>
      <c r="D1462" s="63" t="str">
        <f>IFERROR(__xludf.DUMMYFUNCTION("INDIRECT(""'收支紀錄'!D""&amp;TO_TEXT(ROW()-$C$72))"),"今天")</f>
        <v>今天</v>
      </c>
      <c r="E1462" s="61" t="str">
        <f>IFERROR(__xludf.DUMMYFUNCTION("INDIRECT(""'收支紀錄'!E""&amp;TO_TEXT(ROW()-$C$72))"),"")</f>
        <v/>
      </c>
      <c r="F1462" s="61" t="str">
        <f>IFERROR(__xludf.DUMMYFUNCTION("INDIRECT(""'收支紀錄'!F""&amp;TO_TEXT(ROW()-$C$72))"),"")</f>
        <v/>
      </c>
      <c r="G1462" s="61" t="str">
        <f>IFERROR(__xludf.DUMMYFUNCTION("INDIRECT(""'收支紀錄'!G""&amp;TO_TEXT(ROW()-$C$72))"),"")</f>
        <v/>
      </c>
      <c r="H1462" s="61" t="str">
        <f>IFERROR(__xludf.DUMMYFUNCTION("INDIRECT(""'收支紀錄'!H""&amp;TO_TEXT(ROW()-$C$72))"),"行車交通")</f>
        <v>行車交通</v>
      </c>
      <c r="I1462" s="61" t="str">
        <f>IFERROR(__xludf.DUMMYFUNCTION("INDIRECT(""'收支紀錄'!I""&amp;TO_TEXT(ROW()-$C$72))"),"")</f>
        <v/>
      </c>
      <c r="J1462" s="61" t="str">
        <f>IFERROR(__xludf.DUMMYFUNCTION("INDIRECT(""'收支紀錄'!J""&amp;TO_TEXT(ROW()-$C$72))"),"")</f>
        <v/>
      </c>
      <c r="K1462" s="61" t="str">
        <f>IFERROR(__xludf.DUMMYFUNCTION("INDIRECT(""'收支紀錄'!K""&amp;TO_TEXT(ROW()-$C$72))"),"")</f>
        <v/>
      </c>
      <c r="L1462" s="61" t="str">
        <f>IFERROR(__xludf.DUMMYFUNCTION("INDIRECT(""'收支紀錄'!L""&amp;TO_TEXT(ROW()-$C$72))"),"高鐵")</f>
        <v>高鐵</v>
      </c>
      <c r="M1462" s="61" t="str">
        <f>IFERROR(__xludf.DUMMYFUNCTION("INDIRECT(""'收支紀錄'!M""&amp;TO_TEXT(ROW()-$C$72))"),"")</f>
        <v/>
      </c>
      <c r="N1462" s="61" t="str">
        <f>IFERROR(__xludf.DUMMYFUNCTION("INDIRECT(""'收支紀錄'!N""&amp;TO_TEXT(ROW()-$C$72))"),"")</f>
        <v/>
      </c>
      <c r="O1462" s="61" t="str">
        <f>IFERROR(__xludf.DUMMYFUNCTION("INDIRECT(""'收支紀錄'!O""&amp;TO_TEXT(ROW()-$C$72))"),"")</f>
        <v/>
      </c>
      <c r="P1462" s="61" t="str">
        <f>IFERROR(__xludf.DUMMYFUNCTION("INDIRECT(""'收支紀錄'!P""&amp;TO_TEXT(ROW()-$C$72))"),"")</f>
        <v/>
      </c>
      <c r="Q1462" s="61" t="str">
        <f>IFERROR(__xludf.DUMMYFUNCTION("INDIRECT(""'收支紀錄'!Q""&amp;TO_TEXT(ROW()-$C$72))"),"")</f>
        <v/>
      </c>
      <c r="R1462" s="61" t="str">
        <f>IFERROR(__xludf.DUMMYFUNCTION("INDIRECT(""'收支紀錄'!R""&amp;TO_TEXT(ROW()-$C$72))"),"")</f>
        <v/>
      </c>
      <c r="S1462" s="61" t="str">
        <f>IFERROR(__xludf.DUMMYFUNCTION("INDIRECT(""'收支紀錄'!S""&amp;TO_TEXT(ROW()-$C$72))"),"")</f>
        <v/>
      </c>
      <c r="T1462" s="61" t="str">
        <f>IFERROR(__xludf.DUMMYFUNCTION("INDIRECT(""'收支紀錄'!T""&amp;TO_TEXT(ROW()-$C$72))"),"")</f>
        <v/>
      </c>
      <c r="U1462" s="62" t="str">
        <f>IFERROR(__xludf.DUMMYFUNCTION("IF(T1462=""是"",TEXTJOIN("""", TRUE, ""$"", TO_TEXT(C1462), S1462),"""")"),"")</f>
        <v/>
      </c>
    </row>
    <row r="1463">
      <c r="A1463" s="58">
        <f>IFERROR(__xludf.DUMMYFUNCTION("INDIRECT(""'收支紀錄'!A""&amp;TO_TEXT(ROW()-$C$72))"),46074.473988287034)</f>
        <v>46074.47399</v>
      </c>
      <c r="B1463" s="59">
        <f>IFERROR(__xludf.DUMMYFUNCTION("IF(ISBLANK(D1463), """", IF(ISDATE(D1463), D1463, IF(D1463=""今天"", A1463, IF(D1463=""昨天 (-1 day)"", A1463-1, IF(D1463=""前天 (-2 days)"", A1463-2, IF(D1463=""明天 (+1 day)"", A1463+1, DATE(LEFT(D1463,4), MID(D1463,5,2), RIGHT(D1463,2))))))))"),46074.473988287034)</f>
        <v>46074.47399</v>
      </c>
      <c r="C1463" s="60">
        <f>IFERROR(__xludf.DUMMYFUNCTION("INDIRECT(""'收支紀錄'!C""&amp;TO_TEXT(ROW()-$C$72))"),310.0)</f>
        <v>310</v>
      </c>
      <c r="D1463" s="63" t="str">
        <f>IFERROR(__xludf.DUMMYFUNCTION("INDIRECT(""'收支紀錄'!D""&amp;TO_TEXT(ROW()-$C$72))"),"今天")</f>
        <v>今天</v>
      </c>
      <c r="E1463" s="61" t="str">
        <f>IFERROR(__xludf.DUMMYFUNCTION("INDIRECT(""'收支紀錄'!E""&amp;TO_TEXT(ROW()-$C$72))"),"")</f>
        <v/>
      </c>
      <c r="F1463" s="61" t="str">
        <f>IFERROR(__xludf.DUMMYFUNCTION("INDIRECT(""'收支紀錄'!F""&amp;TO_TEXT(ROW()-$C$72))"),"")</f>
        <v/>
      </c>
      <c r="G1463" s="61" t="str">
        <f>IFERROR(__xludf.DUMMYFUNCTION("INDIRECT(""'收支紀錄'!G""&amp;TO_TEXT(ROW()-$C$72))"),"")</f>
        <v/>
      </c>
      <c r="H1463" s="61" t="str">
        <f>IFERROR(__xludf.DUMMYFUNCTION("INDIRECT(""'收支紀錄'!H""&amp;TO_TEXT(ROW()-$C$72))"),"食品酒水")</f>
        <v>食品酒水</v>
      </c>
      <c r="I1463" s="61" t="str">
        <f>IFERROR(__xludf.DUMMYFUNCTION("INDIRECT(""'收支紀錄'!I""&amp;TO_TEXT(ROW()-$C$72))"),"食材")</f>
        <v>食材</v>
      </c>
      <c r="J1463" s="61" t="str">
        <f>IFERROR(__xludf.DUMMYFUNCTION("INDIRECT(""'收支紀錄'!J""&amp;TO_TEXT(ROW()-$C$72))"),"")</f>
        <v/>
      </c>
      <c r="K1463" s="61" t="str">
        <f>IFERROR(__xludf.DUMMYFUNCTION("INDIRECT(""'收支紀錄'!K""&amp;TO_TEXT(ROW()-$C$72))"),"")</f>
        <v/>
      </c>
      <c r="L1463" s="61" t="str">
        <f>IFERROR(__xludf.DUMMYFUNCTION("INDIRECT(""'收支紀錄'!L""&amp;TO_TEXT(ROW()-$C$72))"),"")</f>
        <v/>
      </c>
      <c r="M1463" s="61" t="str">
        <f>IFERROR(__xludf.DUMMYFUNCTION("INDIRECT(""'收支紀錄'!M""&amp;TO_TEXT(ROW()-$C$72))"),"")</f>
        <v/>
      </c>
      <c r="N1463" s="61" t="str">
        <f>IFERROR(__xludf.DUMMYFUNCTION("INDIRECT(""'收支紀錄'!N""&amp;TO_TEXT(ROW()-$C$72))"),"")</f>
        <v/>
      </c>
      <c r="O1463" s="61" t="str">
        <f>IFERROR(__xludf.DUMMYFUNCTION("INDIRECT(""'收支紀錄'!O""&amp;TO_TEXT(ROW()-$C$72))"),"")</f>
        <v/>
      </c>
      <c r="P1463" s="61" t="str">
        <f>IFERROR(__xludf.DUMMYFUNCTION("INDIRECT(""'收支紀錄'!P""&amp;TO_TEXT(ROW()-$C$72))"),"")</f>
        <v/>
      </c>
      <c r="Q1463" s="61" t="str">
        <f>IFERROR(__xludf.DUMMYFUNCTION("INDIRECT(""'收支紀錄'!Q""&amp;TO_TEXT(ROW()-$C$72))"),"")</f>
        <v/>
      </c>
      <c r="R1463" s="61" t="str">
        <f>IFERROR(__xludf.DUMMYFUNCTION("INDIRECT(""'收支紀錄'!R""&amp;TO_TEXT(ROW()-$C$72))"),"")</f>
        <v/>
      </c>
      <c r="S1463" s="61" t="str">
        <f>IFERROR(__xludf.DUMMYFUNCTION("INDIRECT(""'收支紀錄'!S""&amp;TO_TEXT(ROW()-$C$72))"),"")</f>
        <v/>
      </c>
      <c r="T1463" s="61" t="str">
        <f>IFERROR(__xludf.DUMMYFUNCTION("INDIRECT(""'收支紀錄'!T""&amp;TO_TEXT(ROW()-$C$72))"),"")</f>
        <v/>
      </c>
      <c r="U1463" s="62" t="str">
        <f>IFERROR(__xludf.DUMMYFUNCTION("IF(T1463=""是"",TEXTJOIN("""", TRUE, ""$"", TO_TEXT(C1463), S1463),"""")"),"")</f>
        <v/>
      </c>
    </row>
    <row r="1464">
      <c r="A1464" s="58">
        <f>IFERROR(__xludf.DUMMYFUNCTION("INDIRECT(""'收支紀錄'!A""&amp;TO_TEXT(ROW()-$C$72))"),46074.47415403935)</f>
        <v>46074.47415</v>
      </c>
      <c r="B1464" s="59">
        <f>IFERROR(__xludf.DUMMYFUNCTION("IF(ISBLANK(D1464), """", IF(ISDATE(D1464), D1464, IF(D1464=""今天"", A1464, IF(D1464=""昨天 (-1 day)"", A1464-1, IF(D1464=""前天 (-2 days)"", A1464-2, IF(D1464=""明天 (+1 day)"", A1464+1, DATE(LEFT(D1464,4), MID(D1464,5,2), RIGHT(D1464,2))))))))"),46074.47415403935)</f>
        <v>46074.47415</v>
      </c>
      <c r="C1464" s="60">
        <f>IFERROR(__xludf.DUMMYFUNCTION("INDIRECT(""'收支紀錄'!C""&amp;TO_TEXT(ROW()-$C$72))"),699.0)</f>
        <v>699</v>
      </c>
      <c r="D1464" s="63" t="str">
        <f>IFERROR(__xludf.DUMMYFUNCTION("INDIRECT(""'收支紀錄'!D""&amp;TO_TEXT(ROW()-$C$72))"),"今天")</f>
        <v>今天</v>
      </c>
      <c r="E1464" s="61" t="str">
        <f>IFERROR(__xludf.DUMMYFUNCTION("INDIRECT(""'收支紀錄'!E""&amp;TO_TEXT(ROW()-$C$72))"),"")</f>
        <v/>
      </c>
      <c r="F1464" s="61" t="str">
        <f>IFERROR(__xludf.DUMMYFUNCTION("INDIRECT(""'收支紀錄'!F""&amp;TO_TEXT(ROW()-$C$72))"),"")</f>
        <v/>
      </c>
      <c r="G1464" s="61" t="str">
        <f>IFERROR(__xludf.DUMMYFUNCTION("INDIRECT(""'收支紀錄'!G""&amp;TO_TEXT(ROW()-$C$72))"),"")</f>
        <v/>
      </c>
      <c r="H1464" s="61" t="str">
        <f>IFERROR(__xludf.DUMMYFUNCTION("INDIRECT(""'收支紀錄'!H""&amp;TO_TEXT(ROW()-$C$72))"),"行車交通")</f>
        <v>行車交通</v>
      </c>
      <c r="I1464" s="61" t="str">
        <f>IFERROR(__xludf.DUMMYFUNCTION("INDIRECT(""'收支紀錄'!I""&amp;TO_TEXT(ROW()-$C$72))"),"")</f>
        <v/>
      </c>
      <c r="J1464" s="61" t="str">
        <f>IFERROR(__xludf.DUMMYFUNCTION("INDIRECT(""'收支紀錄'!J""&amp;TO_TEXT(ROW()-$C$72))"),"")</f>
        <v/>
      </c>
      <c r="K1464" s="61" t="str">
        <f>IFERROR(__xludf.DUMMYFUNCTION("INDIRECT(""'收支紀錄'!K""&amp;TO_TEXT(ROW()-$C$72))"),"")</f>
        <v/>
      </c>
      <c r="L1464" s="61" t="str">
        <f>IFERROR(__xludf.DUMMYFUNCTION("INDIRECT(""'收支紀錄'!L""&amp;TO_TEXT(ROW()-$C$72))"),"捷運費")</f>
        <v>捷運費</v>
      </c>
      <c r="M1464" s="61" t="str">
        <f>IFERROR(__xludf.DUMMYFUNCTION("INDIRECT(""'收支紀錄'!M""&amp;TO_TEXT(ROW()-$C$72))"),"")</f>
        <v/>
      </c>
      <c r="N1464" s="61" t="str">
        <f>IFERROR(__xludf.DUMMYFUNCTION("INDIRECT(""'收支紀錄'!N""&amp;TO_TEXT(ROW()-$C$72))"),"")</f>
        <v/>
      </c>
      <c r="O1464" s="61" t="str">
        <f>IFERROR(__xludf.DUMMYFUNCTION("INDIRECT(""'收支紀錄'!O""&amp;TO_TEXT(ROW()-$C$72))"),"")</f>
        <v/>
      </c>
      <c r="P1464" s="61" t="str">
        <f>IFERROR(__xludf.DUMMYFUNCTION("INDIRECT(""'收支紀錄'!P""&amp;TO_TEXT(ROW()-$C$72))"),"")</f>
        <v/>
      </c>
      <c r="Q1464" s="61" t="str">
        <f>IFERROR(__xludf.DUMMYFUNCTION("INDIRECT(""'收支紀錄'!Q""&amp;TO_TEXT(ROW()-$C$72))"),"")</f>
        <v/>
      </c>
      <c r="R1464" s="61" t="str">
        <f>IFERROR(__xludf.DUMMYFUNCTION("INDIRECT(""'收支紀錄'!R""&amp;TO_TEXT(ROW()-$C$72))"),"")</f>
        <v/>
      </c>
      <c r="S1464" s="61" t="str">
        <f>IFERROR(__xludf.DUMMYFUNCTION("INDIRECT(""'收支紀錄'!S""&amp;TO_TEXT(ROW()-$C$72))"),"")</f>
        <v/>
      </c>
      <c r="T1464" s="61" t="str">
        <f>IFERROR(__xludf.DUMMYFUNCTION("INDIRECT(""'收支紀錄'!T""&amp;TO_TEXT(ROW()-$C$72))"),"")</f>
        <v/>
      </c>
      <c r="U1464" s="62" t="str">
        <f>IFERROR(__xludf.DUMMYFUNCTION("IF(T1464=""是"",TEXTJOIN("""", TRUE, ""$"", TO_TEXT(C1464), S1464),"""")"),"")</f>
        <v/>
      </c>
    </row>
    <row r="1465">
      <c r="A1465" s="58">
        <f>IFERROR(__xludf.DUMMYFUNCTION("INDIRECT(""'收支紀錄'!A""&amp;TO_TEXT(ROW()-$C$72))"),46074.60823251157)</f>
        <v>46074.60823</v>
      </c>
      <c r="B1465" s="59">
        <f>IFERROR(__xludf.DUMMYFUNCTION("IF(ISBLANK(D1465), """", IF(ISDATE(D1465), D1465, IF(D1465=""今天"", A1465, IF(D1465=""昨天 (-1 day)"", A1465-1, IF(D1465=""前天 (-2 days)"", A1465-2, IF(D1465=""明天 (+1 day)"", A1465+1, DATE(LEFT(D1465,4), MID(D1465,5,2), RIGHT(D1465,2))))))))"),46074.60823251157)</f>
        <v>46074.60823</v>
      </c>
      <c r="C1465" s="60">
        <f>IFERROR(__xludf.DUMMYFUNCTION("INDIRECT(""'收支紀錄'!C""&amp;TO_TEXT(ROW()-$C$72))"),125.0)</f>
        <v>125</v>
      </c>
      <c r="D1465" s="63" t="str">
        <f>IFERROR(__xludf.DUMMYFUNCTION("INDIRECT(""'收支紀錄'!D""&amp;TO_TEXT(ROW()-$C$72))"),"今天")</f>
        <v>今天</v>
      </c>
      <c r="E1465" s="61" t="str">
        <f>IFERROR(__xludf.DUMMYFUNCTION("INDIRECT(""'收支紀錄'!E""&amp;TO_TEXT(ROW()-$C$72))"),"")</f>
        <v/>
      </c>
      <c r="F1465" s="61" t="str">
        <f>IFERROR(__xludf.DUMMYFUNCTION("INDIRECT(""'收支紀錄'!F""&amp;TO_TEXT(ROW()-$C$72))"),"")</f>
        <v/>
      </c>
      <c r="G1465" s="61" t="str">
        <f>IFERROR(__xludf.DUMMYFUNCTION("INDIRECT(""'收支紀錄'!G""&amp;TO_TEXT(ROW()-$C$72))"),"")</f>
        <v/>
      </c>
      <c r="H1465" s="61" t="str">
        <f>IFERROR(__xludf.DUMMYFUNCTION("INDIRECT(""'收支紀錄'!H""&amp;TO_TEXT(ROW()-$C$72))"),"食品酒水")</f>
        <v>食品酒水</v>
      </c>
      <c r="I1465" s="61" t="str">
        <f>IFERROR(__xludf.DUMMYFUNCTION("INDIRECT(""'收支紀錄'!I""&amp;TO_TEXT(ROW()-$C$72))"),"午餐")</f>
        <v>午餐</v>
      </c>
      <c r="J1465" s="61" t="str">
        <f>IFERROR(__xludf.DUMMYFUNCTION("INDIRECT(""'收支紀錄'!J""&amp;TO_TEXT(ROW()-$C$72))"),"")</f>
        <v/>
      </c>
      <c r="K1465" s="61" t="str">
        <f>IFERROR(__xludf.DUMMYFUNCTION("INDIRECT(""'收支紀錄'!K""&amp;TO_TEXT(ROW()-$C$72))"),"")</f>
        <v/>
      </c>
      <c r="L1465" s="61" t="str">
        <f>IFERROR(__xludf.DUMMYFUNCTION("INDIRECT(""'收支紀錄'!L""&amp;TO_TEXT(ROW()-$C$72))"),"")</f>
        <v/>
      </c>
      <c r="M1465" s="61" t="str">
        <f>IFERROR(__xludf.DUMMYFUNCTION("INDIRECT(""'收支紀錄'!M""&amp;TO_TEXT(ROW()-$C$72))"),"")</f>
        <v/>
      </c>
      <c r="N1465" s="61" t="str">
        <f>IFERROR(__xludf.DUMMYFUNCTION("INDIRECT(""'收支紀錄'!N""&amp;TO_TEXT(ROW()-$C$72))"),"")</f>
        <v/>
      </c>
      <c r="O1465" s="61" t="str">
        <f>IFERROR(__xludf.DUMMYFUNCTION("INDIRECT(""'收支紀錄'!O""&amp;TO_TEXT(ROW()-$C$72))"),"")</f>
        <v/>
      </c>
      <c r="P1465" s="61" t="str">
        <f>IFERROR(__xludf.DUMMYFUNCTION("INDIRECT(""'收支紀錄'!P""&amp;TO_TEXT(ROW()-$C$72))"),"")</f>
        <v/>
      </c>
      <c r="Q1465" s="61" t="str">
        <f>IFERROR(__xludf.DUMMYFUNCTION("INDIRECT(""'收支紀錄'!Q""&amp;TO_TEXT(ROW()-$C$72))"),"")</f>
        <v/>
      </c>
      <c r="R1465" s="61" t="str">
        <f>IFERROR(__xludf.DUMMYFUNCTION("INDIRECT(""'收支紀錄'!R""&amp;TO_TEXT(ROW()-$C$72))"),"")</f>
        <v/>
      </c>
      <c r="S1465" s="61" t="str">
        <f>IFERROR(__xludf.DUMMYFUNCTION("INDIRECT(""'收支紀錄'!S""&amp;TO_TEXT(ROW()-$C$72))"),"")</f>
        <v/>
      </c>
      <c r="T1465" s="61" t="str">
        <f>IFERROR(__xludf.DUMMYFUNCTION("INDIRECT(""'收支紀錄'!T""&amp;TO_TEXT(ROW()-$C$72))"),"")</f>
        <v/>
      </c>
      <c r="U1465" s="62" t="str">
        <f>IFERROR(__xludf.DUMMYFUNCTION("IF(T1465=""是"",TEXTJOIN("""", TRUE, ""$"", TO_TEXT(C1465), S1465),"""")"),"")</f>
        <v/>
      </c>
    </row>
    <row r="1466">
      <c r="A1466" s="58">
        <f>IFERROR(__xludf.DUMMYFUNCTION("INDIRECT(""'收支紀錄'!A""&amp;TO_TEXT(ROW()-$C$72))"),46074.9647563426)</f>
        <v>46074.96476</v>
      </c>
      <c r="B1466" s="59">
        <f>IFERROR(__xludf.DUMMYFUNCTION("IF(ISBLANK(D1466), """", IF(ISDATE(D1466), D1466, IF(D1466=""今天"", A1466, IF(D1466=""昨天 (-1 day)"", A1466-1, IF(D1466=""前天 (-2 days)"", A1466-2, IF(D1466=""明天 (+1 day)"", A1466+1, DATE(LEFT(D1466,4), MID(D1466,5,2), RIGHT(D1466,2))))))))"),46074.9647563426)</f>
        <v>46074.96476</v>
      </c>
      <c r="C1466" s="60">
        <f>IFERROR(__xludf.DUMMYFUNCTION("INDIRECT(""'收支紀錄'!C""&amp;TO_TEXT(ROW()-$C$72))"),50.0)</f>
        <v>50</v>
      </c>
      <c r="D1466" s="63" t="str">
        <f>IFERROR(__xludf.DUMMYFUNCTION("INDIRECT(""'收支紀錄'!D""&amp;TO_TEXT(ROW()-$C$72))"),"今天")</f>
        <v>今天</v>
      </c>
      <c r="E1466" s="61" t="str">
        <f>IFERROR(__xludf.DUMMYFUNCTION("INDIRECT(""'收支紀錄'!E""&amp;TO_TEXT(ROW()-$C$72))"),"")</f>
        <v/>
      </c>
      <c r="F1466" s="61" t="str">
        <f>IFERROR(__xludf.DUMMYFUNCTION("INDIRECT(""'收支紀錄'!F""&amp;TO_TEXT(ROW()-$C$72))"),"")</f>
        <v/>
      </c>
      <c r="G1466" s="61" t="str">
        <f>IFERROR(__xludf.DUMMYFUNCTION("INDIRECT(""'收支紀錄'!G""&amp;TO_TEXT(ROW()-$C$72))"),"")</f>
        <v/>
      </c>
      <c r="H1466" s="61" t="str">
        <f>IFERROR(__xludf.DUMMYFUNCTION("INDIRECT(""'收支紀錄'!H""&amp;TO_TEXT(ROW()-$C$72))"),"食品酒水")</f>
        <v>食品酒水</v>
      </c>
      <c r="I1466" s="61" t="str">
        <f>IFERROR(__xludf.DUMMYFUNCTION("INDIRECT(""'收支紀錄'!I""&amp;TO_TEXT(ROW()-$C$72))"),"晚餐")</f>
        <v>晚餐</v>
      </c>
      <c r="J1466" s="61" t="str">
        <f>IFERROR(__xludf.DUMMYFUNCTION("INDIRECT(""'收支紀錄'!J""&amp;TO_TEXT(ROW()-$C$72))"),"")</f>
        <v/>
      </c>
      <c r="K1466" s="61" t="str">
        <f>IFERROR(__xludf.DUMMYFUNCTION("INDIRECT(""'收支紀錄'!K""&amp;TO_TEXT(ROW()-$C$72))"),"")</f>
        <v/>
      </c>
      <c r="L1466" s="61" t="str">
        <f>IFERROR(__xludf.DUMMYFUNCTION("INDIRECT(""'收支紀錄'!L""&amp;TO_TEXT(ROW()-$C$72))"),"")</f>
        <v/>
      </c>
      <c r="M1466" s="61" t="str">
        <f>IFERROR(__xludf.DUMMYFUNCTION("INDIRECT(""'收支紀錄'!M""&amp;TO_TEXT(ROW()-$C$72))"),"")</f>
        <v/>
      </c>
      <c r="N1466" s="61" t="str">
        <f>IFERROR(__xludf.DUMMYFUNCTION("INDIRECT(""'收支紀錄'!N""&amp;TO_TEXT(ROW()-$C$72))"),"")</f>
        <v/>
      </c>
      <c r="O1466" s="61" t="str">
        <f>IFERROR(__xludf.DUMMYFUNCTION("INDIRECT(""'收支紀錄'!O""&amp;TO_TEXT(ROW()-$C$72))"),"")</f>
        <v/>
      </c>
      <c r="P1466" s="61" t="str">
        <f>IFERROR(__xludf.DUMMYFUNCTION("INDIRECT(""'收支紀錄'!P""&amp;TO_TEXT(ROW()-$C$72))"),"")</f>
        <v/>
      </c>
      <c r="Q1466" s="61" t="str">
        <f>IFERROR(__xludf.DUMMYFUNCTION("INDIRECT(""'收支紀錄'!Q""&amp;TO_TEXT(ROW()-$C$72))"),"")</f>
        <v/>
      </c>
      <c r="R1466" s="61" t="str">
        <f>IFERROR(__xludf.DUMMYFUNCTION("INDIRECT(""'收支紀錄'!R""&amp;TO_TEXT(ROW()-$C$72))"),"")</f>
        <v/>
      </c>
      <c r="S1466" s="61" t="str">
        <f>IFERROR(__xludf.DUMMYFUNCTION("INDIRECT(""'收支紀錄'!S""&amp;TO_TEXT(ROW()-$C$72))"),"")</f>
        <v/>
      </c>
      <c r="T1466" s="61" t="str">
        <f>IFERROR(__xludf.DUMMYFUNCTION("INDIRECT(""'收支紀錄'!T""&amp;TO_TEXT(ROW()-$C$72))"),"")</f>
        <v/>
      </c>
      <c r="U1466" s="62" t="str">
        <f>IFERROR(__xludf.DUMMYFUNCTION("IF(T1466=""是"",TEXTJOIN("""", TRUE, ""$"", TO_TEXT(C1466), S1466),"""")"),"")</f>
        <v/>
      </c>
    </row>
    <row r="1467">
      <c r="A1467" s="58">
        <f>IFERROR(__xludf.DUMMYFUNCTION("INDIRECT(""'收支紀錄'!A""&amp;TO_TEXT(ROW()-$C$72))"),46074.964929131944)</f>
        <v>46074.96493</v>
      </c>
      <c r="B1467" s="59">
        <f>IFERROR(__xludf.DUMMYFUNCTION("IF(ISBLANK(D1467), """", IF(ISDATE(D1467), D1467, IF(D1467=""今天"", A1467, IF(D1467=""昨天 (-1 day)"", A1467-1, IF(D1467=""前天 (-2 days)"", A1467-2, IF(D1467=""明天 (+1 day)"", A1467+1, DATE(LEFT(D1467,4), MID(D1467,5,2), RIGHT(D1467,2))))))))"),46074.964929131944)</f>
        <v>46074.96493</v>
      </c>
      <c r="C1467" s="60">
        <f>IFERROR(__xludf.DUMMYFUNCTION("INDIRECT(""'收支紀錄'!C""&amp;TO_TEXT(ROW()-$C$72))"),700.0)</f>
        <v>700</v>
      </c>
      <c r="D1467" s="63" t="str">
        <f>IFERROR(__xludf.DUMMYFUNCTION("INDIRECT(""'收支紀錄'!D""&amp;TO_TEXT(ROW()-$C$72))"),"今天")</f>
        <v>今天</v>
      </c>
      <c r="E1467" s="61" t="str">
        <f>IFERROR(__xludf.DUMMYFUNCTION("INDIRECT(""'收支紀錄'!E""&amp;TO_TEXT(ROW()-$C$72))"),"")</f>
        <v/>
      </c>
      <c r="F1467" s="61" t="str">
        <f>IFERROR(__xludf.DUMMYFUNCTION("INDIRECT(""'收支紀錄'!F""&amp;TO_TEXT(ROW()-$C$72))"),"")</f>
        <v/>
      </c>
      <c r="G1467" s="61" t="str">
        <f>IFERROR(__xludf.DUMMYFUNCTION("INDIRECT(""'收支紀錄'!G""&amp;TO_TEXT(ROW()-$C$72))"),"")</f>
        <v/>
      </c>
      <c r="H1467" s="61" t="str">
        <f>IFERROR(__xludf.DUMMYFUNCTION("INDIRECT(""'收支紀錄'!H""&amp;TO_TEXT(ROW()-$C$72))"),"食品酒水")</f>
        <v>食品酒水</v>
      </c>
      <c r="I1467" s="61" t="str">
        <f>IFERROR(__xludf.DUMMYFUNCTION("INDIRECT(""'收支紀錄'!I""&amp;TO_TEXT(ROW()-$C$72))"),"晚餐")</f>
        <v>晚餐</v>
      </c>
      <c r="J1467" s="61" t="str">
        <f>IFERROR(__xludf.DUMMYFUNCTION("INDIRECT(""'收支紀錄'!J""&amp;TO_TEXT(ROW()-$C$72))"),"")</f>
        <v/>
      </c>
      <c r="K1467" s="61" t="str">
        <f>IFERROR(__xludf.DUMMYFUNCTION("INDIRECT(""'收支紀錄'!K""&amp;TO_TEXT(ROW()-$C$72))"),"")</f>
        <v/>
      </c>
      <c r="L1467" s="61" t="str">
        <f>IFERROR(__xludf.DUMMYFUNCTION("INDIRECT(""'收支紀錄'!L""&amp;TO_TEXT(ROW()-$C$72))"),"")</f>
        <v/>
      </c>
      <c r="M1467" s="61" t="str">
        <f>IFERROR(__xludf.DUMMYFUNCTION("INDIRECT(""'收支紀錄'!M""&amp;TO_TEXT(ROW()-$C$72))"),"")</f>
        <v/>
      </c>
      <c r="N1467" s="61" t="str">
        <f>IFERROR(__xludf.DUMMYFUNCTION("INDIRECT(""'收支紀錄'!N""&amp;TO_TEXT(ROW()-$C$72))"),"")</f>
        <v/>
      </c>
      <c r="O1467" s="61" t="str">
        <f>IFERROR(__xludf.DUMMYFUNCTION("INDIRECT(""'收支紀錄'!O""&amp;TO_TEXT(ROW()-$C$72))"),"")</f>
        <v/>
      </c>
      <c r="P1467" s="61" t="str">
        <f>IFERROR(__xludf.DUMMYFUNCTION("INDIRECT(""'收支紀錄'!P""&amp;TO_TEXT(ROW()-$C$72))"),"")</f>
        <v/>
      </c>
      <c r="Q1467" s="61" t="str">
        <f>IFERROR(__xludf.DUMMYFUNCTION("INDIRECT(""'收支紀錄'!Q""&amp;TO_TEXT(ROW()-$C$72))"),"")</f>
        <v/>
      </c>
      <c r="R1467" s="61" t="str">
        <f>IFERROR(__xludf.DUMMYFUNCTION("INDIRECT(""'收支紀錄'!R""&amp;TO_TEXT(ROW()-$C$72))"),"")</f>
        <v/>
      </c>
      <c r="S1467" s="61" t="str">
        <f>IFERROR(__xludf.DUMMYFUNCTION("INDIRECT(""'收支紀錄'!S""&amp;TO_TEXT(ROW()-$C$72))"),"")</f>
        <v/>
      </c>
      <c r="T1467" s="61" t="str">
        <f>IFERROR(__xludf.DUMMYFUNCTION("INDIRECT(""'收支紀錄'!T""&amp;TO_TEXT(ROW()-$C$72))"),"")</f>
        <v/>
      </c>
      <c r="U1467" s="62" t="str">
        <f>IFERROR(__xludf.DUMMYFUNCTION("IF(T1467=""是"",TEXTJOIN("""", TRUE, ""$"", TO_TEXT(C1467), S1467),"""")"),"")</f>
        <v/>
      </c>
    </row>
    <row r="1468">
      <c r="A1468" s="58">
        <f>IFERROR(__xludf.DUMMYFUNCTION("INDIRECT(""'收支紀錄'!A""&amp;TO_TEXT(ROW()-$C$72))"),46075.386263333334)</f>
        <v>46075.38626</v>
      </c>
      <c r="B1468" s="59">
        <f>IFERROR(__xludf.DUMMYFUNCTION("IF(ISBLANK(D1468), """", IF(ISDATE(D1468), D1468, IF(D1468=""今天"", A1468, IF(D1468=""昨天 (-1 day)"", A1468-1, IF(D1468=""前天 (-2 days)"", A1468-2, IF(D1468=""明天 (+1 day)"", A1468+1, DATE(LEFT(D1468,4), MID(D1468,5,2), RIGHT(D1468,2))))))))"),46093.0)</f>
        <v>46093</v>
      </c>
      <c r="C1468" s="60">
        <f>IFERROR(__xludf.DUMMYFUNCTION("INDIRECT(""'收支紀錄'!C""&amp;TO_TEXT(ROW()-$C$72))"),2800.0)</f>
        <v>2800</v>
      </c>
      <c r="D1468" s="63">
        <f>IFERROR(__xludf.DUMMYFUNCTION("INDIRECT(""'收支紀錄'!D""&amp;TO_TEXT(ROW()-$C$72))"),2.0260312E7)</f>
        <v>20260312</v>
      </c>
      <c r="E1468" s="61" t="str">
        <f>IFERROR(__xludf.DUMMYFUNCTION("INDIRECT(""'收支紀錄'!E""&amp;TO_TEXT(ROW()-$C$72))"),"")</f>
        <v/>
      </c>
      <c r="F1468" s="61" t="str">
        <f>IFERROR(__xludf.DUMMYFUNCTION("INDIRECT(""'收支紀錄'!F""&amp;TO_TEXT(ROW()-$C$72))"),"")</f>
        <v/>
      </c>
      <c r="G1468" s="61" t="str">
        <f>IFERROR(__xludf.DUMMYFUNCTION("INDIRECT(""'收支紀錄'!G""&amp;TO_TEXT(ROW()-$C$72))"),"")</f>
        <v/>
      </c>
      <c r="H1468" s="61" t="str">
        <f>IFERROR(__xludf.DUMMYFUNCTION("INDIRECT(""'收支紀錄'!H""&amp;TO_TEXT(ROW()-$C$72))"),"休閒娛樂")</f>
        <v>休閒娛樂</v>
      </c>
      <c r="I1468" s="61" t="str">
        <f>IFERROR(__xludf.DUMMYFUNCTION("INDIRECT(""'收支紀錄'!I""&amp;TO_TEXT(ROW()-$C$72))"),"")</f>
        <v/>
      </c>
      <c r="J1468" s="61" t="str">
        <f>IFERROR(__xludf.DUMMYFUNCTION("INDIRECT(""'收支紀錄'!J""&amp;TO_TEXT(ROW()-$C$72))"),"")</f>
        <v/>
      </c>
      <c r="K1468" s="61" t="str">
        <f>IFERROR(__xludf.DUMMYFUNCTION("INDIRECT(""'收支紀錄'!K""&amp;TO_TEXT(ROW()-$C$72))"),"")</f>
        <v/>
      </c>
      <c r="L1468" s="61" t="str">
        <f>IFERROR(__xludf.DUMMYFUNCTION("INDIRECT(""'收支紀錄'!L""&amp;TO_TEXT(ROW()-$C$72))"),"")</f>
        <v/>
      </c>
      <c r="M1468" s="61" t="str">
        <f>IFERROR(__xludf.DUMMYFUNCTION("INDIRECT(""'收支紀錄'!M""&amp;TO_TEXT(ROW()-$C$72))"),"婚紗場地")</f>
        <v>婚紗場地</v>
      </c>
      <c r="N1468" s="61" t="str">
        <f>IFERROR(__xludf.DUMMYFUNCTION("INDIRECT(""'收支紀錄'!N""&amp;TO_TEXT(ROW()-$C$72))"),"")</f>
        <v/>
      </c>
      <c r="O1468" s="61" t="str">
        <f>IFERROR(__xludf.DUMMYFUNCTION("INDIRECT(""'收支紀錄'!O""&amp;TO_TEXT(ROW()-$C$72))"),"")</f>
        <v/>
      </c>
      <c r="P1468" s="61" t="str">
        <f>IFERROR(__xludf.DUMMYFUNCTION("INDIRECT(""'收支紀錄'!P""&amp;TO_TEXT(ROW()-$C$72))"),"")</f>
        <v/>
      </c>
      <c r="Q1468" s="61" t="str">
        <f>IFERROR(__xludf.DUMMYFUNCTION("INDIRECT(""'收支紀錄'!Q""&amp;TO_TEXT(ROW()-$C$72))"),"")</f>
        <v/>
      </c>
      <c r="R1468" s="61" t="str">
        <f>IFERROR(__xludf.DUMMYFUNCTION("INDIRECT(""'收支紀錄'!R""&amp;TO_TEXT(ROW()-$C$72))"),"")</f>
        <v/>
      </c>
      <c r="S1468" s="61" t="str">
        <f>IFERROR(__xludf.DUMMYFUNCTION("INDIRECT(""'收支紀錄'!S""&amp;TO_TEXT(ROW()-$C$72))"),"金太太婚紗場地")</f>
        <v>金太太婚紗場地</v>
      </c>
      <c r="T1468" s="61" t="str">
        <f>IFERROR(__xludf.DUMMYFUNCTION("INDIRECT(""'收支紀錄'!T""&amp;TO_TEXT(ROW()-$C$72))"),"是")</f>
        <v>是</v>
      </c>
      <c r="U1468" s="62" t="str">
        <f>IFERROR(__xludf.DUMMYFUNCTION("IF(T1468=""是"",TEXTJOIN("""", TRUE, ""$"", TO_TEXT(C1468), S1468),"""")"),"$2800金太太婚紗場地")</f>
        <v>$2800金太太婚紗場地</v>
      </c>
    </row>
    <row r="1469">
      <c r="A1469" s="58">
        <f>IFERROR(__xludf.DUMMYFUNCTION("INDIRECT(""'收支紀錄'!A""&amp;TO_TEXT(ROW()-$C$72))"),46075.38926008102)</f>
        <v>46075.38926</v>
      </c>
      <c r="B1469" s="59">
        <f>IFERROR(__xludf.DUMMYFUNCTION("IF(ISBLANK(D1469), """", IF(ISDATE(D1469), D1469, IF(D1469=""今天"", A1469, IF(D1469=""昨天 (-1 day)"", A1469-1, IF(D1469=""前天 (-2 days)"", A1469-2, IF(D1469=""明天 (+1 day)"", A1469+1, DATE(LEFT(D1469,4), MID(D1469,5,2), RIGHT(D1469,2))))))))"),46075.38926008102)</f>
        <v>46075.38926</v>
      </c>
      <c r="C1469" s="60">
        <f>IFERROR(__xludf.DUMMYFUNCTION("INDIRECT(""'收支紀錄'!C""&amp;TO_TEXT(ROW()-$C$72))"),12200.0)</f>
        <v>12200</v>
      </c>
      <c r="D1469" s="63" t="str">
        <f>IFERROR(__xludf.DUMMYFUNCTION("INDIRECT(""'收支紀錄'!D""&amp;TO_TEXT(ROW()-$C$72))"),"今天")</f>
        <v>今天</v>
      </c>
      <c r="E1469" s="61" t="str">
        <f>IFERROR(__xludf.DUMMYFUNCTION("INDIRECT(""'收支紀錄'!E""&amp;TO_TEXT(ROW()-$C$72))"),"")</f>
        <v/>
      </c>
      <c r="F1469" s="61" t="str">
        <f>IFERROR(__xludf.DUMMYFUNCTION("INDIRECT(""'收支紀錄'!F""&amp;TO_TEXT(ROW()-$C$72))"),"")</f>
        <v/>
      </c>
      <c r="G1469" s="61" t="str">
        <f>IFERROR(__xludf.DUMMYFUNCTION("INDIRECT(""'收支紀錄'!G""&amp;TO_TEXT(ROW()-$C$72))"),"")</f>
        <v/>
      </c>
      <c r="H1469" s="61" t="str">
        <f>IFERROR(__xludf.DUMMYFUNCTION("INDIRECT(""'收支紀錄'!H""&amp;TO_TEXT(ROW()-$C$72))"),"人情往來")</f>
        <v>人情往來</v>
      </c>
      <c r="I1469" s="61" t="str">
        <f>IFERROR(__xludf.DUMMYFUNCTION("INDIRECT(""'收支紀錄'!I""&amp;TO_TEXT(ROW()-$C$72))"),"")</f>
        <v/>
      </c>
      <c r="J1469" s="61" t="str">
        <f>IFERROR(__xludf.DUMMYFUNCTION("INDIRECT(""'收支紀錄'!J""&amp;TO_TEXT(ROW()-$C$72))"),"")</f>
        <v/>
      </c>
      <c r="K1469" s="61" t="str">
        <f>IFERROR(__xludf.DUMMYFUNCTION("INDIRECT(""'收支紀錄'!K""&amp;TO_TEXT(ROW()-$C$72))"),"")</f>
        <v/>
      </c>
      <c r="L1469" s="61" t="str">
        <f>IFERROR(__xludf.DUMMYFUNCTION("INDIRECT(""'收支紀錄'!L""&amp;TO_TEXT(ROW()-$C$72))"),"")</f>
        <v/>
      </c>
      <c r="M1469" s="61" t="str">
        <f>IFERROR(__xludf.DUMMYFUNCTION("INDIRECT(""'收支紀錄'!M""&amp;TO_TEXT(ROW()-$C$72))"),"")</f>
        <v/>
      </c>
      <c r="N1469" s="61" t="str">
        <f>IFERROR(__xludf.DUMMYFUNCTION("INDIRECT(""'收支紀錄'!N""&amp;TO_TEXT(ROW()-$C$72))"),"")</f>
        <v/>
      </c>
      <c r="O1469" s="61" t="str">
        <f>IFERROR(__xludf.DUMMYFUNCTION("INDIRECT(""'收支紀錄'!O""&amp;TO_TEXT(ROW()-$C$72))"),"")</f>
        <v/>
      </c>
      <c r="P1469" s="61" t="str">
        <f>IFERROR(__xludf.DUMMYFUNCTION("INDIRECT(""'收支紀錄'!P""&amp;TO_TEXT(ROW()-$C$72))"),"")</f>
        <v/>
      </c>
      <c r="Q1469" s="61" t="str">
        <f>IFERROR(__xludf.DUMMYFUNCTION("INDIRECT(""'收支紀錄'!Q""&amp;TO_TEXT(ROW()-$C$72))"),"送禮請客")</f>
        <v>送禮請客</v>
      </c>
      <c r="R1469" s="61" t="str">
        <f>IFERROR(__xludf.DUMMYFUNCTION("INDIRECT(""'收支紀錄'!R""&amp;TO_TEXT(ROW()-$C$72))"),"")</f>
        <v/>
      </c>
      <c r="S1469" s="61" t="str">
        <f>IFERROR(__xludf.DUMMYFUNCTION("INDIRECT(""'收支紀錄'!S""&amp;TO_TEXT(ROW()-$C$72))"),"紅包奶$2000，姪子$2000，寶$8200")</f>
        <v>紅包奶$2000，姪子$2000，寶$8200</v>
      </c>
      <c r="T1469" s="61" t="str">
        <f>IFERROR(__xludf.DUMMYFUNCTION("INDIRECT(""'收支紀錄'!T""&amp;TO_TEXT(ROW()-$C$72))"),"是")</f>
        <v>是</v>
      </c>
      <c r="U1469" s="62" t="str">
        <f>IFERROR(__xludf.DUMMYFUNCTION("IF(T1469=""是"",TEXTJOIN("""", TRUE, ""$"", TO_TEXT(C1469), S1469),"""")"),"$12200紅包奶$2000，姪子$2000，寶$8200")</f>
        <v>$12200紅包奶$2000，姪子$2000，寶$8200</v>
      </c>
    </row>
    <row r="1470">
      <c r="A1470" s="58">
        <f>IFERROR(__xludf.DUMMYFUNCTION("INDIRECT(""'收支紀錄'!A""&amp;TO_TEXT(ROW()-$C$72))"),46076.34826940972)</f>
        <v>46076.34827</v>
      </c>
      <c r="B1470" s="59">
        <f>IFERROR(__xludf.DUMMYFUNCTION("IF(ISBLANK(D1470), """", IF(ISDATE(D1470), D1470, IF(D1470=""今天"", A1470, IF(D1470=""昨天 (-1 day)"", A1470-1, IF(D1470=""前天 (-2 days)"", A1470-2, IF(D1470=""明天 (+1 day)"", A1470+1, DATE(LEFT(D1470,4), MID(D1470,5,2), RIGHT(D1470,2))))))))"),46075.34826940972)</f>
        <v>46075.34827</v>
      </c>
      <c r="C1470" s="60">
        <f>IFERROR(__xludf.DUMMYFUNCTION("INDIRECT(""'收支紀錄'!C""&amp;TO_TEXT(ROW()-$C$72))"),655.0)</f>
        <v>655</v>
      </c>
      <c r="D1470" s="63" t="str">
        <f>IFERROR(__xludf.DUMMYFUNCTION("INDIRECT(""'收支紀錄'!D""&amp;TO_TEXT(ROW()-$C$72))"),"昨天 (-1 day)")</f>
        <v>昨天 (-1 day)</v>
      </c>
      <c r="E1470" s="61" t="str">
        <f>IFERROR(__xludf.DUMMYFUNCTION("INDIRECT(""'收支紀錄'!E""&amp;TO_TEXT(ROW()-$C$72))"),"")</f>
        <v/>
      </c>
      <c r="F1470" s="61" t="str">
        <f>IFERROR(__xludf.DUMMYFUNCTION("INDIRECT(""'收支紀錄'!F""&amp;TO_TEXT(ROW()-$C$72))"),"")</f>
        <v/>
      </c>
      <c r="G1470" s="61" t="str">
        <f>IFERROR(__xludf.DUMMYFUNCTION("INDIRECT(""'收支紀錄'!G""&amp;TO_TEXT(ROW()-$C$72))"),"")</f>
        <v/>
      </c>
      <c r="H1470" s="61" t="str">
        <f>IFERROR(__xludf.DUMMYFUNCTION("INDIRECT(""'收支紀錄'!H""&amp;TO_TEXT(ROW()-$C$72))"),"行車交通")</f>
        <v>行車交通</v>
      </c>
      <c r="I1470" s="61" t="str">
        <f>IFERROR(__xludf.DUMMYFUNCTION("INDIRECT(""'收支紀錄'!I""&amp;TO_TEXT(ROW()-$C$72))"),"")</f>
        <v/>
      </c>
      <c r="J1470" s="61" t="str">
        <f>IFERROR(__xludf.DUMMYFUNCTION("INDIRECT(""'收支紀錄'!J""&amp;TO_TEXT(ROW()-$C$72))"),"")</f>
        <v/>
      </c>
      <c r="K1470" s="61" t="str">
        <f>IFERROR(__xludf.DUMMYFUNCTION("INDIRECT(""'收支紀錄'!K""&amp;TO_TEXT(ROW()-$C$72))"),"")</f>
        <v/>
      </c>
      <c r="L1470" s="61" t="str">
        <f>IFERROR(__xludf.DUMMYFUNCTION("INDIRECT(""'收支紀錄'!L""&amp;TO_TEXT(ROW()-$C$72))"),"加油")</f>
        <v>加油</v>
      </c>
      <c r="M1470" s="61" t="str">
        <f>IFERROR(__xludf.DUMMYFUNCTION("INDIRECT(""'收支紀錄'!M""&amp;TO_TEXT(ROW()-$C$72))"),"")</f>
        <v/>
      </c>
      <c r="N1470" s="61" t="str">
        <f>IFERROR(__xludf.DUMMYFUNCTION("INDIRECT(""'收支紀錄'!N""&amp;TO_TEXT(ROW()-$C$72))"),"")</f>
        <v/>
      </c>
      <c r="O1470" s="61" t="str">
        <f>IFERROR(__xludf.DUMMYFUNCTION("INDIRECT(""'收支紀錄'!O""&amp;TO_TEXT(ROW()-$C$72))"),"")</f>
        <v/>
      </c>
      <c r="P1470" s="61" t="str">
        <f>IFERROR(__xludf.DUMMYFUNCTION("INDIRECT(""'收支紀錄'!P""&amp;TO_TEXT(ROW()-$C$72))"),"")</f>
        <v/>
      </c>
      <c r="Q1470" s="61" t="str">
        <f>IFERROR(__xludf.DUMMYFUNCTION("INDIRECT(""'收支紀錄'!Q""&amp;TO_TEXT(ROW()-$C$72))"),"")</f>
        <v/>
      </c>
      <c r="R1470" s="61" t="str">
        <f>IFERROR(__xludf.DUMMYFUNCTION("INDIRECT(""'收支紀錄'!R""&amp;TO_TEXT(ROW()-$C$72))"),"")</f>
        <v/>
      </c>
      <c r="S1470" s="61" t="str">
        <f>IFERROR(__xludf.DUMMYFUNCTION("INDIRECT(""'收支紀錄'!S""&amp;TO_TEXT(ROW()-$C$72))"),"")</f>
        <v/>
      </c>
      <c r="T1470" s="61" t="str">
        <f>IFERROR(__xludf.DUMMYFUNCTION("INDIRECT(""'收支紀錄'!T""&amp;TO_TEXT(ROW()-$C$72))"),"")</f>
        <v/>
      </c>
      <c r="U1470" s="62" t="str">
        <f>IFERROR(__xludf.DUMMYFUNCTION("IF(T1470=""是"",TEXTJOIN("""", TRUE, ""$"", TO_TEXT(C1470), S1470),"""")"),"")</f>
        <v/>
      </c>
    </row>
    <row r="1471">
      <c r="A1471" s="58">
        <f>IFERROR(__xludf.DUMMYFUNCTION("INDIRECT(""'收支紀錄'!A""&amp;TO_TEXT(ROW()-$C$72))"),46076.979569097224)</f>
        <v>46076.97957</v>
      </c>
      <c r="B1471" s="59">
        <f>IFERROR(__xludf.DUMMYFUNCTION("IF(ISBLANK(D1471), """", IF(ISDATE(D1471), D1471, IF(D1471=""今天"", A1471, IF(D1471=""昨天 (-1 day)"", A1471-1, IF(D1471=""前天 (-2 days)"", A1471-2, IF(D1471=""明天 (+1 day)"", A1471+1, DATE(LEFT(D1471,4), MID(D1471,5,2), RIGHT(D1471,2))))))))"),46076.979569097224)</f>
        <v>46076.97957</v>
      </c>
      <c r="C1471" s="60">
        <f>IFERROR(__xludf.DUMMYFUNCTION("INDIRECT(""'收支紀錄'!C""&amp;TO_TEXT(ROW()-$C$72))"),779.0)</f>
        <v>779</v>
      </c>
      <c r="D1471" s="63" t="str">
        <f>IFERROR(__xludf.DUMMYFUNCTION("INDIRECT(""'收支紀錄'!D""&amp;TO_TEXT(ROW()-$C$72))"),"今天")</f>
        <v>今天</v>
      </c>
      <c r="E1471" s="61" t="str">
        <f>IFERROR(__xludf.DUMMYFUNCTION("INDIRECT(""'收支紀錄'!E""&amp;TO_TEXT(ROW()-$C$72))"),"")</f>
        <v/>
      </c>
      <c r="F1471" s="61" t="str">
        <f>IFERROR(__xludf.DUMMYFUNCTION("INDIRECT(""'收支紀錄'!F""&amp;TO_TEXT(ROW()-$C$72))"),"")</f>
        <v/>
      </c>
      <c r="G1471" s="61" t="str">
        <f>IFERROR(__xludf.DUMMYFUNCTION("INDIRECT(""'收支紀錄'!G""&amp;TO_TEXT(ROW()-$C$72))"),"")</f>
        <v/>
      </c>
      <c r="H1471" s="61" t="str">
        <f>IFERROR(__xludf.DUMMYFUNCTION("INDIRECT(""'收支紀錄'!H""&amp;TO_TEXT(ROW()-$C$72))"),"日常生活")</f>
        <v>日常生活</v>
      </c>
      <c r="I1471" s="61" t="str">
        <f>IFERROR(__xludf.DUMMYFUNCTION("INDIRECT(""'收支紀錄'!I""&amp;TO_TEXT(ROW()-$C$72))"),"")</f>
        <v/>
      </c>
      <c r="J1471" s="61" t="str">
        <f>IFERROR(__xludf.DUMMYFUNCTION("INDIRECT(""'收支紀錄'!J""&amp;TO_TEXT(ROW()-$C$72))"),"日常用品")</f>
        <v>日常用品</v>
      </c>
      <c r="K1471" s="61" t="str">
        <f>IFERROR(__xludf.DUMMYFUNCTION("INDIRECT(""'收支紀錄'!K""&amp;TO_TEXT(ROW()-$C$72))"),"")</f>
        <v/>
      </c>
      <c r="L1471" s="61" t="str">
        <f>IFERROR(__xludf.DUMMYFUNCTION("INDIRECT(""'收支紀錄'!L""&amp;TO_TEXT(ROW()-$C$72))"),"")</f>
        <v/>
      </c>
      <c r="M1471" s="61" t="str">
        <f>IFERROR(__xludf.DUMMYFUNCTION("INDIRECT(""'收支紀錄'!M""&amp;TO_TEXT(ROW()-$C$72))"),"")</f>
        <v/>
      </c>
      <c r="N1471" s="61" t="str">
        <f>IFERROR(__xludf.DUMMYFUNCTION("INDIRECT(""'收支紀錄'!N""&amp;TO_TEXT(ROW()-$C$72))"),"")</f>
        <v/>
      </c>
      <c r="O1471" s="61" t="str">
        <f>IFERROR(__xludf.DUMMYFUNCTION("INDIRECT(""'收支紀錄'!O""&amp;TO_TEXT(ROW()-$C$72))"),"")</f>
        <v/>
      </c>
      <c r="P1471" s="61" t="str">
        <f>IFERROR(__xludf.DUMMYFUNCTION("INDIRECT(""'收支紀錄'!P""&amp;TO_TEXT(ROW()-$C$72))"),"")</f>
        <v/>
      </c>
      <c r="Q1471" s="61" t="str">
        <f>IFERROR(__xludf.DUMMYFUNCTION("INDIRECT(""'收支紀錄'!Q""&amp;TO_TEXT(ROW()-$C$72))"),"")</f>
        <v/>
      </c>
      <c r="R1471" s="61" t="str">
        <f>IFERROR(__xludf.DUMMYFUNCTION("INDIRECT(""'收支紀錄'!R""&amp;TO_TEXT(ROW()-$C$72))"),"")</f>
        <v/>
      </c>
      <c r="S1471" s="61" t="str">
        <f>IFERROR(__xludf.DUMMYFUNCTION("INDIRECT(""'收支紀錄'!S""&amp;TO_TEXT(ROW()-$C$72))"),"")</f>
        <v/>
      </c>
      <c r="T1471" s="61" t="str">
        <f>IFERROR(__xludf.DUMMYFUNCTION("INDIRECT(""'收支紀錄'!T""&amp;TO_TEXT(ROW()-$C$72))"),"")</f>
        <v/>
      </c>
      <c r="U1471" s="62" t="str">
        <f>IFERROR(__xludf.DUMMYFUNCTION("IF(T1471=""是"",TEXTJOIN("""", TRUE, ""$"", TO_TEXT(C1471), S1471),"""")"),"")</f>
        <v/>
      </c>
    </row>
    <row r="1472">
      <c r="A1472" s="58">
        <f>IFERROR(__xludf.DUMMYFUNCTION("INDIRECT(""'收支紀錄'!A""&amp;TO_TEXT(ROW()-$C$72))"),46077.893281770834)</f>
        <v>46077.89328</v>
      </c>
      <c r="B1472" s="59">
        <f>IFERROR(__xludf.DUMMYFUNCTION("IF(ISBLANK(D1472), """", IF(ISDATE(D1472), D1472, IF(D1472=""今天"", A1472, IF(D1472=""昨天 (-1 day)"", A1472-1, IF(D1472=""前天 (-2 days)"", A1472-2, IF(D1472=""明天 (+1 day)"", A1472+1, DATE(LEFT(D1472,4), MID(D1472,5,2), RIGHT(D1472,2))))))))"),46077.893281770834)</f>
        <v>46077.89328</v>
      </c>
      <c r="C1472" s="60">
        <f>IFERROR(__xludf.DUMMYFUNCTION("INDIRECT(""'收支紀錄'!C""&amp;TO_TEXT(ROW()-$C$72))"),159.0)</f>
        <v>159</v>
      </c>
      <c r="D1472" s="63" t="str">
        <f>IFERROR(__xludf.DUMMYFUNCTION("INDIRECT(""'收支紀錄'!D""&amp;TO_TEXT(ROW()-$C$72))"),"今天")</f>
        <v>今天</v>
      </c>
      <c r="E1472" s="61" t="str">
        <f>IFERROR(__xludf.DUMMYFUNCTION("INDIRECT(""'收支紀錄'!E""&amp;TO_TEXT(ROW()-$C$72))"),"")</f>
        <v/>
      </c>
      <c r="F1472" s="61" t="str">
        <f>IFERROR(__xludf.DUMMYFUNCTION("INDIRECT(""'收支紀錄'!F""&amp;TO_TEXT(ROW()-$C$72))"),"")</f>
        <v/>
      </c>
      <c r="G1472" s="61" t="str">
        <f>IFERROR(__xludf.DUMMYFUNCTION("INDIRECT(""'收支紀錄'!G""&amp;TO_TEXT(ROW()-$C$72))"),"")</f>
        <v/>
      </c>
      <c r="H1472" s="61" t="str">
        <f>IFERROR(__xludf.DUMMYFUNCTION("INDIRECT(""'收支紀錄'!H""&amp;TO_TEXT(ROW()-$C$72))"),"日常生活")</f>
        <v>日常生活</v>
      </c>
      <c r="I1472" s="61" t="str">
        <f>IFERROR(__xludf.DUMMYFUNCTION("INDIRECT(""'收支紀錄'!I""&amp;TO_TEXT(ROW()-$C$72))"),"")</f>
        <v/>
      </c>
      <c r="J1472" s="61" t="str">
        <f>IFERROR(__xludf.DUMMYFUNCTION("INDIRECT(""'收支紀錄'!J""&amp;TO_TEXT(ROW()-$C$72))"),"日常用品")</f>
        <v>日常用品</v>
      </c>
      <c r="K1472" s="61" t="str">
        <f>IFERROR(__xludf.DUMMYFUNCTION("INDIRECT(""'收支紀錄'!K""&amp;TO_TEXT(ROW()-$C$72))"),"")</f>
        <v/>
      </c>
      <c r="L1472" s="61" t="str">
        <f>IFERROR(__xludf.DUMMYFUNCTION("INDIRECT(""'收支紀錄'!L""&amp;TO_TEXT(ROW()-$C$72))"),"")</f>
        <v/>
      </c>
      <c r="M1472" s="61" t="str">
        <f>IFERROR(__xludf.DUMMYFUNCTION("INDIRECT(""'收支紀錄'!M""&amp;TO_TEXT(ROW()-$C$72))"),"")</f>
        <v/>
      </c>
      <c r="N1472" s="61" t="str">
        <f>IFERROR(__xludf.DUMMYFUNCTION("INDIRECT(""'收支紀錄'!N""&amp;TO_TEXT(ROW()-$C$72))"),"")</f>
        <v/>
      </c>
      <c r="O1472" s="61" t="str">
        <f>IFERROR(__xludf.DUMMYFUNCTION("INDIRECT(""'收支紀錄'!O""&amp;TO_TEXT(ROW()-$C$72))"),"")</f>
        <v/>
      </c>
      <c r="P1472" s="61" t="str">
        <f>IFERROR(__xludf.DUMMYFUNCTION("INDIRECT(""'收支紀錄'!P""&amp;TO_TEXT(ROW()-$C$72))"),"")</f>
        <v/>
      </c>
      <c r="Q1472" s="61" t="str">
        <f>IFERROR(__xludf.DUMMYFUNCTION("INDIRECT(""'收支紀錄'!Q""&amp;TO_TEXT(ROW()-$C$72))"),"")</f>
        <v/>
      </c>
      <c r="R1472" s="61" t="str">
        <f>IFERROR(__xludf.DUMMYFUNCTION("INDIRECT(""'收支紀錄'!R""&amp;TO_TEXT(ROW()-$C$72))"),"")</f>
        <v/>
      </c>
      <c r="S1472" s="61" t="str">
        <f>IFERROR(__xludf.DUMMYFUNCTION("INDIRECT(""'收支紀錄'!S""&amp;TO_TEXT(ROW()-$C$72))"),"")</f>
        <v/>
      </c>
      <c r="T1472" s="61" t="str">
        <f>IFERROR(__xludf.DUMMYFUNCTION("INDIRECT(""'收支紀錄'!T""&amp;TO_TEXT(ROW()-$C$72))"),"")</f>
        <v/>
      </c>
      <c r="U1472" s="62" t="str">
        <f>IFERROR(__xludf.DUMMYFUNCTION("IF(T1472=""是"",TEXTJOIN("""", TRUE, ""$"", TO_TEXT(C1472), S1472),"""")"),"")</f>
        <v/>
      </c>
    </row>
    <row r="1473">
      <c r="A1473" s="58">
        <f>IFERROR(__xludf.DUMMYFUNCTION("INDIRECT(""'收支紀錄'!A""&amp;TO_TEXT(ROW()-$C$72))"),46078.00751888889)</f>
        <v>46078.00752</v>
      </c>
      <c r="B1473" s="59">
        <f>IFERROR(__xludf.DUMMYFUNCTION("IF(ISBLANK(D1473), """", IF(ISDATE(D1473), D1473, IF(D1473=""今天"", A1473, IF(D1473=""昨天 (-1 day)"", A1473-1, IF(D1473=""前天 (-2 days)"", A1473-2, IF(D1473=""明天 (+1 day)"", A1473+1, DATE(LEFT(D1473,4), MID(D1473,5,2), RIGHT(D1473,2))))))))"),46078.00751888889)</f>
        <v>46078.00752</v>
      </c>
      <c r="C1473" s="60">
        <f>IFERROR(__xludf.DUMMYFUNCTION("INDIRECT(""'收支紀錄'!C""&amp;TO_TEXT(ROW()-$C$72))"),52.0)</f>
        <v>52</v>
      </c>
      <c r="D1473" s="63" t="str">
        <f>IFERROR(__xludf.DUMMYFUNCTION("INDIRECT(""'收支紀錄'!D""&amp;TO_TEXT(ROW()-$C$72))"),"今天")</f>
        <v>今天</v>
      </c>
      <c r="E1473" s="61" t="str">
        <f>IFERROR(__xludf.DUMMYFUNCTION("INDIRECT(""'收支紀錄'!E""&amp;TO_TEXT(ROW()-$C$72))"),"")</f>
        <v/>
      </c>
      <c r="F1473" s="61" t="str">
        <f>IFERROR(__xludf.DUMMYFUNCTION("INDIRECT(""'收支紀錄'!F""&amp;TO_TEXT(ROW()-$C$72))"),"")</f>
        <v/>
      </c>
      <c r="G1473" s="61" t="str">
        <f>IFERROR(__xludf.DUMMYFUNCTION("INDIRECT(""'收支紀錄'!G""&amp;TO_TEXT(ROW()-$C$72))"),"")</f>
        <v/>
      </c>
      <c r="H1473" s="61" t="str">
        <f>IFERROR(__xludf.DUMMYFUNCTION("INDIRECT(""'收支紀錄'!H""&amp;TO_TEXT(ROW()-$C$72))"),"日常生活")</f>
        <v>日常生活</v>
      </c>
      <c r="I1473" s="61" t="str">
        <f>IFERROR(__xludf.DUMMYFUNCTION("INDIRECT(""'收支紀錄'!I""&amp;TO_TEXT(ROW()-$C$72))"),"")</f>
        <v/>
      </c>
      <c r="J1473" s="61" t="str">
        <f>IFERROR(__xludf.DUMMYFUNCTION("INDIRECT(""'收支紀錄'!J""&amp;TO_TEXT(ROW()-$C$72))"),"日常用品")</f>
        <v>日常用品</v>
      </c>
      <c r="K1473" s="61" t="str">
        <f>IFERROR(__xludf.DUMMYFUNCTION("INDIRECT(""'收支紀錄'!K""&amp;TO_TEXT(ROW()-$C$72))"),"")</f>
        <v/>
      </c>
      <c r="L1473" s="61" t="str">
        <f>IFERROR(__xludf.DUMMYFUNCTION("INDIRECT(""'收支紀錄'!L""&amp;TO_TEXT(ROW()-$C$72))"),"")</f>
        <v/>
      </c>
      <c r="M1473" s="61" t="str">
        <f>IFERROR(__xludf.DUMMYFUNCTION("INDIRECT(""'收支紀錄'!M""&amp;TO_TEXT(ROW()-$C$72))"),"")</f>
        <v/>
      </c>
      <c r="N1473" s="61" t="str">
        <f>IFERROR(__xludf.DUMMYFUNCTION("INDIRECT(""'收支紀錄'!N""&amp;TO_TEXT(ROW()-$C$72))"),"")</f>
        <v/>
      </c>
      <c r="O1473" s="61" t="str">
        <f>IFERROR(__xludf.DUMMYFUNCTION("INDIRECT(""'收支紀錄'!O""&amp;TO_TEXT(ROW()-$C$72))"),"")</f>
        <v/>
      </c>
      <c r="P1473" s="61" t="str">
        <f>IFERROR(__xludf.DUMMYFUNCTION("INDIRECT(""'收支紀錄'!P""&amp;TO_TEXT(ROW()-$C$72))"),"")</f>
        <v/>
      </c>
      <c r="Q1473" s="61" t="str">
        <f>IFERROR(__xludf.DUMMYFUNCTION("INDIRECT(""'收支紀錄'!Q""&amp;TO_TEXT(ROW()-$C$72))"),"")</f>
        <v/>
      </c>
      <c r="R1473" s="61" t="str">
        <f>IFERROR(__xludf.DUMMYFUNCTION("INDIRECT(""'收支紀錄'!R""&amp;TO_TEXT(ROW()-$C$72))"),"")</f>
        <v/>
      </c>
      <c r="S1473" s="61" t="str">
        <f>IFERROR(__xludf.DUMMYFUNCTION("INDIRECT(""'收支紀錄'!S""&amp;TO_TEXT(ROW()-$C$72))"),"")</f>
        <v/>
      </c>
      <c r="T1473" s="61" t="str">
        <f>IFERROR(__xludf.DUMMYFUNCTION("INDIRECT(""'收支紀錄'!T""&amp;TO_TEXT(ROW()-$C$72))"),"")</f>
        <v/>
      </c>
      <c r="U1473" s="62" t="str">
        <f>IFERROR(__xludf.DUMMYFUNCTION("IF(T1473=""是"",TEXTJOIN("""", TRUE, ""$"", TO_TEXT(C1473), S1473),"""")"),"")</f>
        <v/>
      </c>
    </row>
    <row r="1474">
      <c r="A1474" s="58">
        <f>IFERROR(__xludf.DUMMYFUNCTION("INDIRECT(""'收支紀錄'!A""&amp;TO_TEXT(ROW()-$C$72))"),46078.00766344907)</f>
        <v>46078.00766</v>
      </c>
      <c r="B1474" s="59">
        <f>IFERROR(__xludf.DUMMYFUNCTION("IF(ISBLANK(D1474), """", IF(ISDATE(D1474), D1474, IF(D1474=""今天"", A1474, IF(D1474=""昨天 (-1 day)"", A1474-1, IF(D1474=""前天 (-2 days)"", A1474-2, IF(D1474=""明天 (+1 day)"", A1474+1, DATE(LEFT(D1474,4), MID(D1474,5,2), RIGHT(D1474,2))))))))"),46078.00766344907)</f>
        <v>46078.00766</v>
      </c>
      <c r="C1474" s="60">
        <f>IFERROR(__xludf.DUMMYFUNCTION("INDIRECT(""'收支紀錄'!C""&amp;TO_TEXT(ROW()-$C$72))"),89.0)</f>
        <v>89</v>
      </c>
      <c r="D1474" s="63" t="str">
        <f>IFERROR(__xludf.DUMMYFUNCTION("INDIRECT(""'收支紀錄'!D""&amp;TO_TEXT(ROW()-$C$72))"),"今天")</f>
        <v>今天</v>
      </c>
      <c r="E1474" s="61" t="str">
        <f>IFERROR(__xludf.DUMMYFUNCTION("INDIRECT(""'收支紀錄'!E""&amp;TO_TEXT(ROW()-$C$72))"),"")</f>
        <v/>
      </c>
      <c r="F1474" s="61" t="str">
        <f>IFERROR(__xludf.DUMMYFUNCTION("INDIRECT(""'收支紀錄'!F""&amp;TO_TEXT(ROW()-$C$72))"),"")</f>
        <v/>
      </c>
      <c r="G1474" s="61" t="str">
        <f>IFERROR(__xludf.DUMMYFUNCTION("INDIRECT(""'收支紀錄'!G""&amp;TO_TEXT(ROW()-$C$72))"),"")</f>
        <v/>
      </c>
      <c r="H1474" s="61" t="str">
        <f>IFERROR(__xludf.DUMMYFUNCTION("INDIRECT(""'收支紀錄'!H""&amp;TO_TEXT(ROW()-$C$72))"),"日常生活")</f>
        <v>日常生活</v>
      </c>
      <c r="I1474" s="61" t="str">
        <f>IFERROR(__xludf.DUMMYFUNCTION("INDIRECT(""'收支紀錄'!I""&amp;TO_TEXT(ROW()-$C$72))"),"")</f>
        <v/>
      </c>
      <c r="J1474" s="61" t="str">
        <f>IFERROR(__xludf.DUMMYFUNCTION("INDIRECT(""'收支紀錄'!J""&amp;TO_TEXT(ROW()-$C$72))"),"日常用品")</f>
        <v>日常用品</v>
      </c>
      <c r="K1474" s="61" t="str">
        <f>IFERROR(__xludf.DUMMYFUNCTION("INDIRECT(""'收支紀錄'!K""&amp;TO_TEXT(ROW()-$C$72))"),"")</f>
        <v/>
      </c>
      <c r="L1474" s="61" t="str">
        <f>IFERROR(__xludf.DUMMYFUNCTION("INDIRECT(""'收支紀錄'!L""&amp;TO_TEXT(ROW()-$C$72))"),"")</f>
        <v/>
      </c>
      <c r="M1474" s="61" t="str">
        <f>IFERROR(__xludf.DUMMYFUNCTION("INDIRECT(""'收支紀錄'!M""&amp;TO_TEXT(ROW()-$C$72))"),"")</f>
        <v/>
      </c>
      <c r="N1474" s="61" t="str">
        <f>IFERROR(__xludf.DUMMYFUNCTION("INDIRECT(""'收支紀錄'!N""&amp;TO_TEXT(ROW()-$C$72))"),"")</f>
        <v/>
      </c>
      <c r="O1474" s="61" t="str">
        <f>IFERROR(__xludf.DUMMYFUNCTION("INDIRECT(""'收支紀錄'!O""&amp;TO_TEXT(ROW()-$C$72))"),"")</f>
        <v/>
      </c>
      <c r="P1474" s="61" t="str">
        <f>IFERROR(__xludf.DUMMYFUNCTION("INDIRECT(""'收支紀錄'!P""&amp;TO_TEXT(ROW()-$C$72))"),"")</f>
        <v/>
      </c>
      <c r="Q1474" s="61" t="str">
        <f>IFERROR(__xludf.DUMMYFUNCTION("INDIRECT(""'收支紀錄'!Q""&amp;TO_TEXT(ROW()-$C$72))"),"")</f>
        <v/>
      </c>
      <c r="R1474" s="61" t="str">
        <f>IFERROR(__xludf.DUMMYFUNCTION("INDIRECT(""'收支紀錄'!R""&amp;TO_TEXT(ROW()-$C$72))"),"")</f>
        <v/>
      </c>
      <c r="S1474" s="61" t="str">
        <f>IFERROR(__xludf.DUMMYFUNCTION("INDIRECT(""'收支紀錄'!S""&amp;TO_TEXT(ROW()-$C$72))"),"")</f>
        <v/>
      </c>
      <c r="T1474" s="61" t="str">
        <f>IFERROR(__xludf.DUMMYFUNCTION("INDIRECT(""'收支紀錄'!T""&amp;TO_TEXT(ROW()-$C$72))"),"")</f>
        <v/>
      </c>
      <c r="U1474" s="62" t="str">
        <f>IFERROR(__xludf.DUMMYFUNCTION("IF(T1474=""是"",TEXTJOIN("""", TRUE, ""$"", TO_TEXT(C1474), S1474),"""")"),"")</f>
        <v/>
      </c>
    </row>
    <row r="1475">
      <c r="A1475" s="58">
        <f>IFERROR(__xludf.DUMMYFUNCTION("INDIRECT(""'收支紀錄'!A""&amp;TO_TEXT(ROW()-$C$72))"),46080.620729421295)</f>
        <v>46080.62073</v>
      </c>
      <c r="B1475" s="59">
        <f>IFERROR(__xludf.DUMMYFUNCTION("IF(ISBLANK(D1475), """", IF(ISDATE(D1475), D1475, IF(D1475=""今天"", A1475, IF(D1475=""昨天 (-1 day)"", A1475-1, IF(D1475=""前天 (-2 days)"", A1475-2, IF(D1475=""明天 (+1 day)"", A1475+1, DATE(LEFT(D1475,4), MID(D1475,5,2), RIGHT(D1475,2))))))))"),46079.620729421295)</f>
        <v>46079.62073</v>
      </c>
      <c r="C1475" s="60">
        <f>IFERROR(__xludf.DUMMYFUNCTION("INDIRECT(""'收支紀錄'!C""&amp;TO_TEXT(ROW()-$C$72))"),1025.0)</f>
        <v>1025</v>
      </c>
      <c r="D1475" s="63" t="str">
        <f>IFERROR(__xludf.DUMMYFUNCTION("INDIRECT(""'收支紀錄'!D""&amp;TO_TEXT(ROW()-$C$72))"),"昨天 (-1 day)")</f>
        <v>昨天 (-1 day)</v>
      </c>
      <c r="E1475" s="61" t="str">
        <f>IFERROR(__xludf.DUMMYFUNCTION("INDIRECT(""'收支紀錄'!E""&amp;TO_TEXT(ROW()-$C$72))"),"")</f>
        <v/>
      </c>
      <c r="F1475" s="61" t="str">
        <f>IFERROR(__xludf.DUMMYFUNCTION("INDIRECT(""'收支紀錄'!F""&amp;TO_TEXT(ROW()-$C$72))"),"")</f>
        <v/>
      </c>
      <c r="G1475" s="61" t="str">
        <f>IFERROR(__xludf.DUMMYFUNCTION("INDIRECT(""'收支紀錄'!G""&amp;TO_TEXT(ROW()-$C$72))"),"")</f>
        <v/>
      </c>
      <c r="H1475" s="61" t="str">
        <f>IFERROR(__xludf.DUMMYFUNCTION("INDIRECT(""'收支紀錄'!H""&amp;TO_TEXT(ROW()-$C$72))"),"行車交通")</f>
        <v>行車交通</v>
      </c>
      <c r="I1475" s="61" t="str">
        <f>IFERROR(__xludf.DUMMYFUNCTION("INDIRECT(""'收支紀錄'!I""&amp;TO_TEXT(ROW()-$C$72))"),"")</f>
        <v/>
      </c>
      <c r="J1475" s="61" t="str">
        <f>IFERROR(__xludf.DUMMYFUNCTION("INDIRECT(""'收支紀錄'!J""&amp;TO_TEXT(ROW()-$C$72))"),"")</f>
        <v/>
      </c>
      <c r="K1475" s="61" t="str">
        <f>IFERROR(__xludf.DUMMYFUNCTION("INDIRECT(""'收支紀錄'!K""&amp;TO_TEXT(ROW()-$C$72))"),"")</f>
        <v/>
      </c>
      <c r="L1475" s="61" t="str">
        <f>IFERROR(__xludf.DUMMYFUNCTION("INDIRECT(""'收支紀錄'!L""&amp;TO_TEXT(ROW()-$C$72))"),"高鐵")</f>
        <v>高鐵</v>
      </c>
      <c r="M1475" s="61" t="str">
        <f>IFERROR(__xludf.DUMMYFUNCTION("INDIRECT(""'收支紀錄'!M""&amp;TO_TEXT(ROW()-$C$72))"),"")</f>
        <v/>
      </c>
      <c r="N1475" s="61" t="str">
        <f>IFERROR(__xludf.DUMMYFUNCTION("INDIRECT(""'收支紀錄'!N""&amp;TO_TEXT(ROW()-$C$72))"),"")</f>
        <v/>
      </c>
      <c r="O1475" s="61" t="str">
        <f>IFERROR(__xludf.DUMMYFUNCTION("INDIRECT(""'收支紀錄'!O""&amp;TO_TEXT(ROW()-$C$72))"),"")</f>
        <v/>
      </c>
      <c r="P1475" s="61" t="str">
        <f>IFERROR(__xludf.DUMMYFUNCTION("INDIRECT(""'收支紀錄'!P""&amp;TO_TEXT(ROW()-$C$72))"),"")</f>
        <v/>
      </c>
      <c r="Q1475" s="61" t="str">
        <f>IFERROR(__xludf.DUMMYFUNCTION("INDIRECT(""'收支紀錄'!Q""&amp;TO_TEXT(ROW()-$C$72))"),"")</f>
        <v/>
      </c>
      <c r="R1475" s="61" t="str">
        <f>IFERROR(__xludf.DUMMYFUNCTION("INDIRECT(""'收支紀錄'!R""&amp;TO_TEXT(ROW()-$C$72))"),"")</f>
        <v/>
      </c>
      <c r="S1475" s="61" t="str">
        <f>IFERROR(__xludf.DUMMYFUNCTION("INDIRECT(""'收支紀錄'!S""&amp;TO_TEXT(ROW()-$C$72))"),"")</f>
        <v/>
      </c>
      <c r="T1475" s="61" t="str">
        <f>IFERROR(__xludf.DUMMYFUNCTION("INDIRECT(""'收支紀錄'!T""&amp;TO_TEXT(ROW()-$C$72))"),"")</f>
        <v/>
      </c>
      <c r="U1475" s="62" t="str">
        <f>IFERROR(__xludf.DUMMYFUNCTION("IF(T1475=""是"",TEXTJOIN("""", TRUE, ""$"", TO_TEXT(C1475), S1475),"""")"),"")</f>
        <v/>
      </c>
    </row>
    <row r="1476">
      <c r="A1476" s="58">
        <f>IFERROR(__xludf.DUMMYFUNCTION("INDIRECT(""'收支紀錄'!A""&amp;TO_TEXT(ROW()-$C$72))"),46080.76414908565)</f>
        <v>46080.76415</v>
      </c>
      <c r="B1476" s="59">
        <f>IFERROR(__xludf.DUMMYFUNCTION("IF(ISBLANK(D1476), """", IF(ISDATE(D1476), D1476, IF(D1476=""今天"", A1476, IF(D1476=""昨天 (-1 day)"", A1476-1, IF(D1476=""前天 (-2 days)"", A1476-2, IF(D1476=""明天 (+1 day)"", A1476+1, DATE(LEFT(D1476,4), MID(D1476,5,2), RIGHT(D1476,2))))))))"),46080.76414908565)</f>
        <v>46080.76415</v>
      </c>
      <c r="C1476" s="60">
        <f>IFERROR(__xludf.DUMMYFUNCTION("INDIRECT(""'收支紀錄'!C""&amp;TO_TEXT(ROW()-$C$72))"),230.0)</f>
        <v>230</v>
      </c>
      <c r="D1476" s="63" t="str">
        <f>IFERROR(__xludf.DUMMYFUNCTION("INDIRECT(""'收支紀錄'!D""&amp;TO_TEXT(ROW()-$C$72))"),"今天")</f>
        <v>今天</v>
      </c>
      <c r="E1476" s="61" t="str">
        <f>IFERROR(__xludf.DUMMYFUNCTION("INDIRECT(""'收支紀錄'!E""&amp;TO_TEXT(ROW()-$C$72))"),"")</f>
        <v/>
      </c>
      <c r="F1476" s="61" t="str">
        <f>IFERROR(__xludf.DUMMYFUNCTION("INDIRECT(""'收支紀錄'!F""&amp;TO_TEXT(ROW()-$C$72))"),"")</f>
        <v/>
      </c>
      <c r="G1476" s="61" t="str">
        <f>IFERROR(__xludf.DUMMYFUNCTION("INDIRECT(""'收支紀錄'!G""&amp;TO_TEXT(ROW()-$C$72))"),"")</f>
        <v/>
      </c>
      <c r="H1476" s="61" t="str">
        <f>IFERROR(__xludf.DUMMYFUNCTION("INDIRECT(""'收支紀錄'!H""&amp;TO_TEXT(ROW()-$C$72))"),"醫療費用")</f>
        <v>醫療費用</v>
      </c>
      <c r="I1476" s="61" t="str">
        <f>IFERROR(__xludf.DUMMYFUNCTION("INDIRECT(""'收支紀錄'!I""&amp;TO_TEXT(ROW()-$C$72))"),"")</f>
        <v/>
      </c>
      <c r="J1476" s="61" t="str">
        <f>IFERROR(__xludf.DUMMYFUNCTION("INDIRECT(""'收支紀錄'!J""&amp;TO_TEXT(ROW()-$C$72))"),"")</f>
        <v/>
      </c>
      <c r="K1476" s="61" t="str">
        <f>IFERROR(__xludf.DUMMYFUNCTION("INDIRECT(""'收支紀錄'!K""&amp;TO_TEXT(ROW()-$C$72))"),"")</f>
        <v/>
      </c>
      <c r="L1476" s="61" t="str">
        <f>IFERROR(__xludf.DUMMYFUNCTION("INDIRECT(""'收支紀錄'!L""&amp;TO_TEXT(ROW()-$C$72))"),"")</f>
        <v/>
      </c>
      <c r="M1476" s="61" t="str">
        <f>IFERROR(__xludf.DUMMYFUNCTION("INDIRECT(""'收支紀錄'!M""&amp;TO_TEXT(ROW()-$C$72))"),"")</f>
        <v/>
      </c>
      <c r="N1476" s="61" t="str">
        <f>IFERROR(__xludf.DUMMYFUNCTION("INDIRECT(""'收支紀錄'!N""&amp;TO_TEXT(ROW()-$C$72))"),"")</f>
        <v/>
      </c>
      <c r="O1476" s="61" t="str">
        <f>IFERROR(__xludf.DUMMYFUNCTION("INDIRECT(""'收支紀錄'!O""&amp;TO_TEXT(ROW()-$C$72))"),"生病醫療")</f>
        <v>生病醫療</v>
      </c>
      <c r="P1476" s="61" t="str">
        <f>IFERROR(__xludf.DUMMYFUNCTION("INDIRECT(""'收支紀錄'!P""&amp;TO_TEXT(ROW()-$C$72))"),"")</f>
        <v/>
      </c>
      <c r="Q1476" s="61" t="str">
        <f>IFERROR(__xludf.DUMMYFUNCTION("INDIRECT(""'收支紀錄'!Q""&amp;TO_TEXT(ROW()-$C$72))"),"")</f>
        <v/>
      </c>
      <c r="R1476" s="61" t="str">
        <f>IFERROR(__xludf.DUMMYFUNCTION("INDIRECT(""'收支紀錄'!R""&amp;TO_TEXT(ROW()-$C$72))"),"")</f>
        <v/>
      </c>
      <c r="S1476" s="61" t="str">
        <f>IFERROR(__xludf.DUMMYFUNCTION("INDIRECT(""'收支紀錄'!S""&amp;TO_TEXT(ROW()-$C$72))"),"")</f>
        <v/>
      </c>
      <c r="T1476" s="61" t="str">
        <f>IFERROR(__xludf.DUMMYFUNCTION("INDIRECT(""'收支紀錄'!T""&amp;TO_TEXT(ROW()-$C$72))"),"")</f>
        <v/>
      </c>
      <c r="U1476" s="62" t="str">
        <f>IFERROR(__xludf.DUMMYFUNCTION("IF(T1476=""是"",TEXTJOIN("""", TRUE, ""$"", TO_TEXT(C1476), S1476),"""")"),"")</f>
        <v/>
      </c>
    </row>
    <row r="1477">
      <c r="A1477" s="58">
        <f>IFERROR(__xludf.DUMMYFUNCTION("INDIRECT(""'收支紀錄'!A""&amp;TO_TEXT(ROW()-$C$72))"),46080.76451583333)</f>
        <v>46080.76452</v>
      </c>
      <c r="B1477" s="59">
        <f>IFERROR(__xludf.DUMMYFUNCTION("IF(ISBLANK(D1477), """", IF(ISDATE(D1477), D1477, IF(D1477=""今天"", A1477, IF(D1477=""昨天 (-1 day)"", A1477-1, IF(D1477=""前天 (-2 days)"", A1477-2, IF(D1477=""明天 (+1 day)"", A1477+1, DATE(LEFT(D1477,4), MID(D1477,5,2), RIGHT(D1477,2))))))))"),46080.76451583333)</f>
        <v>46080.76452</v>
      </c>
      <c r="C1477" s="60">
        <f>IFERROR(__xludf.DUMMYFUNCTION("INDIRECT(""'收支紀錄'!C""&amp;TO_TEXT(ROW()-$C$72))"),288.0)</f>
        <v>288</v>
      </c>
      <c r="D1477" s="63" t="str">
        <f>IFERROR(__xludf.DUMMYFUNCTION("INDIRECT(""'收支紀錄'!D""&amp;TO_TEXT(ROW()-$C$72))"),"今天")</f>
        <v>今天</v>
      </c>
      <c r="E1477" s="61" t="str">
        <f>IFERROR(__xludf.DUMMYFUNCTION("INDIRECT(""'收支紀錄'!E""&amp;TO_TEXT(ROW()-$C$72))"),"")</f>
        <v/>
      </c>
      <c r="F1477" s="61" t="str">
        <f>IFERROR(__xludf.DUMMYFUNCTION("INDIRECT(""'收支紀錄'!F""&amp;TO_TEXT(ROW()-$C$72))"),"")</f>
        <v/>
      </c>
      <c r="G1477" s="61" t="str">
        <f>IFERROR(__xludf.DUMMYFUNCTION("INDIRECT(""'收支紀錄'!G""&amp;TO_TEXT(ROW()-$C$72))"),"")</f>
        <v/>
      </c>
      <c r="H1477" s="61" t="str">
        <f>IFERROR(__xludf.DUMMYFUNCTION("INDIRECT(""'收支紀錄'!H""&amp;TO_TEXT(ROW()-$C$72))"),"日常生活")</f>
        <v>日常生活</v>
      </c>
      <c r="I1477" s="61" t="str">
        <f>IFERROR(__xludf.DUMMYFUNCTION("INDIRECT(""'收支紀錄'!I""&amp;TO_TEXT(ROW()-$C$72))"),"")</f>
        <v/>
      </c>
      <c r="J1477" s="61" t="str">
        <f>IFERROR(__xludf.DUMMYFUNCTION("INDIRECT(""'收支紀錄'!J""&amp;TO_TEXT(ROW()-$C$72))"),"日常用品")</f>
        <v>日常用品</v>
      </c>
      <c r="K1477" s="61" t="str">
        <f>IFERROR(__xludf.DUMMYFUNCTION("INDIRECT(""'收支紀錄'!K""&amp;TO_TEXT(ROW()-$C$72))"),"")</f>
        <v/>
      </c>
      <c r="L1477" s="61" t="str">
        <f>IFERROR(__xludf.DUMMYFUNCTION("INDIRECT(""'收支紀錄'!L""&amp;TO_TEXT(ROW()-$C$72))"),"")</f>
        <v/>
      </c>
      <c r="M1477" s="61" t="str">
        <f>IFERROR(__xludf.DUMMYFUNCTION("INDIRECT(""'收支紀錄'!M""&amp;TO_TEXT(ROW()-$C$72))"),"")</f>
        <v/>
      </c>
      <c r="N1477" s="61" t="str">
        <f>IFERROR(__xludf.DUMMYFUNCTION("INDIRECT(""'收支紀錄'!N""&amp;TO_TEXT(ROW()-$C$72))"),"")</f>
        <v/>
      </c>
      <c r="O1477" s="61" t="str">
        <f>IFERROR(__xludf.DUMMYFUNCTION("INDIRECT(""'收支紀錄'!O""&amp;TO_TEXT(ROW()-$C$72))"),"")</f>
        <v/>
      </c>
      <c r="P1477" s="61" t="str">
        <f>IFERROR(__xludf.DUMMYFUNCTION("INDIRECT(""'收支紀錄'!P""&amp;TO_TEXT(ROW()-$C$72))"),"")</f>
        <v/>
      </c>
      <c r="Q1477" s="61" t="str">
        <f>IFERROR(__xludf.DUMMYFUNCTION("INDIRECT(""'收支紀錄'!Q""&amp;TO_TEXT(ROW()-$C$72))"),"")</f>
        <v/>
      </c>
      <c r="R1477" s="61" t="str">
        <f>IFERROR(__xludf.DUMMYFUNCTION("INDIRECT(""'收支紀錄'!R""&amp;TO_TEXT(ROW()-$C$72))"),"")</f>
        <v/>
      </c>
      <c r="S1477" s="61" t="str">
        <f>IFERROR(__xludf.DUMMYFUNCTION("INDIRECT(""'收支紀錄'!S""&amp;TO_TEXT(ROW()-$C$72))"),"")</f>
        <v/>
      </c>
      <c r="T1477" s="61" t="str">
        <f>IFERROR(__xludf.DUMMYFUNCTION("INDIRECT(""'收支紀錄'!T""&amp;TO_TEXT(ROW()-$C$72))"),"")</f>
        <v/>
      </c>
      <c r="U1477" s="62" t="str">
        <f>IFERROR(__xludf.DUMMYFUNCTION("IF(T1477=""是"",TEXTJOIN("""", TRUE, ""$"", TO_TEXT(C1477), S1477),"""")"),"")</f>
        <v/>
      </c>
    </row>
    <row r="1478">
      <c r="A1478" s="58">
        <f>IFERROR(__xludf.DUMMYFUNCTION("INDIRECT(""'收支紀錄'!A""&amp;TO_TEXT(ROW()-$C$72))"),46081.43420870371)</f>
        <v>46081.43421</v>
      </c>
      <c r="B1478" s="59">
        <f>IFERROR(__xludf.DUMMYFUNCTION("IF(ISBLANK(D1478), """", IF(ISDATE(D1478), D1478, IF(D1478=""今天"", A1478, IF(D1478=""昨天 (-1 day)"", A1478-1, IF(D1478=""前天 (-2 days)"", A1478-2, IF(D1478=""明天 (+1 day)"", A1478+1, DATE(LEFT(D1478,4), MID(D1478,5,2), RIGHT(D1478,2))))))))"),46108.0)</f>
        <v>46108</v>
      </c>
      <c r="C1478" s="60">
        <f>IFERROR(__xludf.DUMMYFUNCTION("INDIRECT(""'收支紀錄'!C""&amp;TO_TEXT(ROW()-$C$72))"),982.0)</f>
        <v>982</v>
      </c>
      <c r="D1478" s="63">
        <f>IFERROR(__xludf.DUMMYFUNCTION("INDIRECT(""'收支紀錄'!D""&amp;TO_TEXT(ROW()-$C$72))"),2.0260327E7)</f>
        <v>20260327</v>
      </c>
      <c r="E1478" s="61" t="str">
        <f>IFERROR(__xludf.DUMMYFUNCTION("INDIRECT(""'收支紀錄'!E""&amp;TO_TEXT(ROW()-$C$72))"),"")</f>
        <v/>
      </c>
      <c r="F1478" s="61" t="str">
        <f>IFERROR(__xludf.DUMMYFUNCTION("INDIRECT(""'收支紀錄'!F""&amp;TO_TEXT(ROW()-$C$72))"),"")</f>
        <v/>
      </c>
      <c r="G1478" s="61" t="str">
        <f>IFERROR(__xludf.DUMMYFUNCTION("INDIRECT(""'收支紀錄'!G""&amp;TO_TEXT(ROW()-$C$72))"),"")</f>
        <v/>
      </c>
      <c r="H1478" s="61" t="str">
        <f>IFERROR(__xludf.DUMMYFUNCTION("INDIRECT(""'收支紀錄'!H""&amp;TO_TEXT(ROW()-$C$72))"),"行車交通")</f>
        <v>行車交通</v>
      </c>
      <c r="I1478" s="61" t="str">
        <f>IFERROR(__xludf.DUMMYFUNCTION("INDIRECT(""'收支紀錄'!I""&amp;TO_TEXT(ROW()-$C$72))"),"")</f>
        <v/>
      </c>
      <c r="J1478" s="61" t="str">
        <f>IFERROR(__xludf.DUMMYFUNCTION("INDIRECT(""'收支紀錄'!J""&amp;TO_TEXT(ROW()-$C$72))"),"")</f>
        <v/>
      </c>
      <c r="K1478" s="61" t="str">
        <f>IFERROR(__xludf.DUMMYFUNCTION("INDIRECT(""'收支紀錄'!K""&amp;TO_TEXT(ROW()-$C$72))"),"")</f>
        <v/>
      </c>
      <c r="L1478" s="61" t="str">
        <f>IFERROR(__xludf.DUMMYFUNCTION("INDIRECT(""'收支紀錄'!L""&amp;TO_TEXT(ROW()-$C$72))"),"火車費")</f>
        <v>火車費</v>
      </c>
      <c r="M1478" s="61" t="str">
        <f>IFERROR(__xludf.DUMMYFUNCTION("INDIRECT(""'收支紀錄'!M""&amp;TO_TEXT(ROW()-$C$72))"),"")</f>
        <v/>
      </c>
      <c r="N1478" s="61" t="str">
        <f>IFERROR(__xludf.DUMMYFUNCTION("INDIRECT(""'收支紀錄'!N""&amp;TO_TEXT(ROW()-$C$72))"),"")</f>
        <v/>
      </c>
      <c r="O1478" s="61" t="str">
        <f>IFERROR(__xludf.DUMMYFUNCTION("INDIRECT(""'收支紀錄'!O""&amp;TO_TEXT(ROW()-$C$72))"),"")</f>
        <v/>
      </c>
      <c r="P1478" s="61" t="str">
        <f>IFERROR(__xludf.DUMMYFUNCTION("INDIRECT(""'收支紀錄'!P""&amp;TO_TEXT(ROW()-$C$72))"),"")</f>
        <v/>
      </c>
      <c r="Q1478" s="61" t="str">
        <f>IFERROR(__xludf.DUMMYFUNCTION("INDIRECT(""'收支紀錄'!Q""&amp;TO_TEXT(ROW()-$C$72))"),"")</f>
        <v/>
      </c>
      <c r="R1478" s="61" t="str">
        <f>IFERROR(__xludf.DUMMYFUNCTION("INDIRECT(""'收支紀錄'!R""&amp;TO_TEXT(ROW()-$C$72))"),"")</f>
        <v/>
      </c>
      <c r="S1478" s="61" t="str">
        <f>IFERROR(__xludf.DUMMYFUNCTION("INDIRECT(""'收支紀錄'!S""&amp;TO_TEXT(ROW()-$C$72))"),"")</f>
        <v/>
      </c>
      <c r="T1478" s="61" t="str">
        <f>IFERROR(__xludf.DUMMYFUNCTION("INDIRECT(""'收支紀錄'!T""&amp;TO_TEXT(ROW()-$C$72))"),"")</f>
        <v/>
      </c>
      <c r="U1478" s="62" t="str">
        <f>IFERROR(__xludf.DUMMYFUNCTION("IF(T1478=""是"",TEXTJOIN("""", TRUE, ""$"", TO_TEXT(C1478), S1478),"""")"),"")</f>
        <v/>
      </c>
    </row>
    <row r="1479">
      <c r="A1479" s="58">
        <f>IFERROR(__xludf.DUMMYFUNCTION("INDIRECT(""'收支紀錄'!A""&amp;TO_TEXT(ROW()-$C$72))"),46081.43484488426)</f>
        <v>46081.43484</v>
      </c>
      <c r="B1479" s="59">
        <f>IFERROR(__xludf.DUMMYFUNCTION("IF(ISBLANK(D1479), """", IF(ISDATE(D1479), D1479, IF(D1479=""今天"", A1479, IF(D1479=""昨天 (-1 day)"", A1479-1, IF(D1479=""前天 (-2 days)"", A1479-2, IF(D1479=""明天 (+1 day)"", A1479+1, DATE(LEFT(D1479,4), MID(D1479,5,2), RIGHT(D1479,2))))))))"),46110.0)</f>
        <v>46110</v>
      </c>
      <c r="C1479" s="60">
        <f>IFERROR(__xludf.DUMMYFUNCTION("INDIRECT(""'收支紀錄'!C""&amp;TO_TEXT(ROW()-$C$72))"),1080.0)</f>
        <v>1080</v>
      </c>
      <c r="D1479" s="63">
        <f>IFERROR(__xludf.DUMMYFUNCTION("INDIRECT(""'收支紀錄'!D""&amp;TO_TEXT(ROW()-$C$72))"),2.0260329E7)</f>
        <v>20260329</v>
      </c>
      <c r="E1479" s="61" t="str">
        <f>IFERROR(__xludf.DUMMYFUNCTION("INDIRECT(""'收支紀錄'!E""&amp;TO_TEXT(ROW()-$C$72))"),"")</f>
        <v/>
      </c>
      <c r="F1479" s="61" t="str">
        <f>IFERROR(__xludf.DUMMYFUNCTION("INDIRECT(""'收支紀錄'!F""&amp;TO_TEXT(ROW()-$C$72))"),"")</f>
        <v/>
      </c>
      <c r="G1479" s="61" t="str">
        <f>IFERROR(__xludf.DUMMYFUNCTION("INDIRECT(""'收支紀錄'!G""&amp;TO_TEXT(ROW()-$C$72))"),"")</f>
        <v/>
      </c>
      <c r="H1479" s="61" t="str">
        <f>IFERROR(__xludf.DUMMYFUNCTION("INDIRECT(""'收支紀錄'!H""&amp;TO_TEXT(ROW()-$C$72))"),"行車交通")</f>
        <v>行車交通</v>
      </c>
      <c r="I1479" s="61" t="str">
        <f>IFERROR(__xludf.DUMMYFUNCTION("INDIRECT(""'收支紀錄'!I""&amp;TO_TEXT(ROW()-$C$72))"),"")</f>
        <v/>
      </c>
      <c r="J1479" s="61" t="str">
        <f>IFERROR(__xludf.DUMMYFUNCTION("INDIRECT(""'收支紀錄'!J""&amp;TO_TEXT(ROW()-$C$72))"),"")</f>
        <v/>
      </c>
      <c r="K1479" s="61" t="str">
        <f>IFERROR(__xludf.DUMMYFUNCTION("INDIRECT(""'收支紀錄'!K""&amp;TO_TEXT(ROW()-$C$72))"),"")</f>
        <v/>
      </c>
      <c r="L1479" s="61" t="str">
        <f>IFERROR(__xludf.DUMMYFUNCTION("INDIRECT(""'收支紀錄'!L""&amp;TO_TEXT(ROW()-$C$72))"),"火車費")</f>
        <v>火車費</v>
      </c>
      <c r="M1479" s="61" t="str">
        <f>IFERROR(__xludf.DUMMYFUNCTION("INDIRECT(""'收支紀錄'!M""&amp;TO_TEXT(ROW()-$C$72))"),"")</f>
        <v/>
      </c>
      <c r="N1479" s="61" t="str">
        <f>IFERROR(__xludf.DUMMYFUNCTION("INDIRECT(""'收支紀錄'!N""&amp;TO_TEXT(ROW()-$C$72))"),"")</f>
        <v/>
      </c>
      <c r="O1479" s="61" t="str">
        <f>IFERROR(__xludf.DUMMYFUNCTION("INDIRECT(""'收支紀錄'!O""&amp;TO_TEXT(ROW()-$C$72))"),"")</f>
        <v/>
      </c>
      <c r="P1479" s="61" t="str">
        <f>IFERROR(__xludf.DUMMYFUNCTION("INDIRECT(""'收支紀錄'!P""&amp;TO_TEXT(ROW()-$C$72))"),"")</f>
        <v/>
      </c>
      <c r="Q1479" s="61" t="str">
        <f>IFERROR(__xludf.DUMMYFUNCTION("INDIRECT(""'收支紀錄'!Q""&amp;TO_TEXT(ROW()-$C$72))"),"")</f>
        <v/>
      </c>
      <c r="R1479" s="61" t="str">
        <f>IFERROR(__xludf.DUMMYFUNCTION("INDIRECT(""'收支紀錄'!R""&amp;TO_TEXT(ROW()-$C$72))"),"")</f>
        <v/>
      </c>
      <c r="S1479" s="61" t="str">
        <f>IFERROR(__xludf.DUMMYFUNCTION("INDIRECT(""'收支紀錄'!S""&amp;TO_TEXT(ROW()-$C$72))"),"")</f>
        <v/>
      </c>
      <c r="T1479" s="61" t="str">
        <f>IFERROR(__xludf.DUMMYFUNCTION("INDIRECT(""'收支紀錄'!T""&amp;TO_TEXT(ROW()-$C$72))"),"")</f>
        <v/>
      </c>
      <c r="U1479" s="62" t="str">
        <f>IFERROR(__xludf.DUMMYFUNCTION("IF(T1479=""是"",TEXTJOIN("""", TRUE, ""$"", TO_TEXT(C1479), S1479),"""")"),"")</f>
        <v/>
      </c>
    </row>
    <row r="1480">
      <c r="A1480" s="58">
        <f>IFERROR(__xludf.DUMMYFUNCTION("INDIRECT(""'收支紀錄'!A""&amp;TO_TEXT(ROW()-$C$72))"),46081.69487230324)</f>
        <v>46081.69487</v>
      </c>
      <c r="B1480" s="59">
        <f>IFERROR(__xludf.DUMMYFUNCTION("IF(ISBLANK(D1480), """", IF(ISDATE(D1480), D1480, IF(D1480=""今天"", A1480, IF(D1480=""昨天 (-1 day)"", A1480-1, IF(D1480=""前天 (-2 days)"", A1480-2, IF(D1480=""明天 (+1 day)"", A1480+1, DATE(LEFT(D1480,4), MID(D1480,5,2), RIGHT(D1480,2))))))))"),46081.69487230324)</f>
        <v>46081.69487</v>
      </c>
      <c r="C1480" s="60">
        <f>IFERROR(__xludf.DUMMYFUNCTION("INDIRECT(""'收支紀錄'!C""&amp;TO_TEXT(ROW()-$C$72))"),550.0)</f>
        <v>550</v>
      </c>
      <c r="D1480" s="63" t="str">
        <f>IFERROR(__xludf.DUMMYFUNCTION("INDIRECT(""'收支紀錄'!D""&amp;TO_TEXT(ROW()-$C$72))"),"今天")</f>
        <v>今天</v>
      </c>
      <c r="E1480" s="61" t="str">
        <f>IFERROR(__xludf.DUMMYFUNCTION("INDIRECT(""'收支紀錄'!E""&amp;TO_TEXT(ROW()-$C$72))"),"")</f>
        <v/>
      </c>
      <c r="F1480" s="61" t="str">
        <f>IFERROR(__xludf.DUMMYFUNCTION("INDIRECT(""'收支紀錄'!F""&amp;TO_TEXT(ROW()-$C$72))"),"")</f>
        <v/>
      </c>
      <c r="G1480" s="61" t="str">
        <f>IFERROR(__xludf.DUMMYFUNCTION("INDIRECT(""'收支紀錄'!G""&amp;TO_TEXT(ROW()-$C$72))"),"")</f>
        <v/>
      </c>
      <c r="H1480" s="61" t="str">
        <f>IFERROR(__xludf.DUMMYFUNCTION("INDIRECT(""'收支紀錄'!H""&amp;TO_TEXT(ROW()-$C$72))"),"休閒娛樂")</f>
        <v>休閒娛樂</v>
      </c>
      <c r="I1480" s="61" t="str">
        <f>IFERROR(__xludf.DUMMYFUNCTION("INDIRECT(""'收支紀錄'!I""&amp;TO_TEXT(ROW()-$C$72))"),"")</f>
        <v/>
      </c>
      <c r="J1480" s="61" t="str">
        <f>IFERROR(__xludf.DUMMYFUNCTION("INDIRECT(""'收支紀錄'!J""&amp;TO_TEXT(ROW()-$C$72))"),"")</f>
        <v/>
      </c>
      <c r="K1480" s="61" t="str">
        <f>IFERROR(__xludf.DUMMYFUNCTION("INDIRECT(""'收支紀錄'!K""&amp;TO_TEXT(ROW()-$C$72))"),"")</f>
        <v/>
      </c>
      <c r="L1480" s="61" t="str">
        <f>IFERROR(__xludf.DUMMYFUNCTION("INDIRECT(""'收支紀錄'!L""&amp;TO_TEXT(ROW()-$C$72))"),"")</f>
        <v/>
      </c>
      <c r="M1480" s="61" t="str">
        <f>IFERROR(__xludf.DUMMYFUNCTION("INDIRECT(""'收支紀錄'!M""&amp;TO_TEXT(ROW()-$C$72))"),"剪髮")</f>
        <v>剪髮</v>
      </c>
      <c r="N1480" s="61" t="str">
        <f>IFERROR(__xludf.DUMMYFUNCTION("INDIRECT(""'收支紀錄'!N""&amp;TO_TEXT(ROW()-$C$72))"),"")</f>
        <v/>
      </c>
      <c r="O1480" s="61" t="str">
        <f>IFERROR(__xludf.DUMMYFUNCTION("INDIRECT(""'收支紀錄'!O""&amp;TO_TEXT(ROW()-$C$72))"),"")</f>
        <v/>
      </c>
      <c r="P1480" s="61" t="str">
        <f>IFERROR(__xludf.DUMMYFUNCTION("INDIRECT(""'收支紀錄'!P""&amp;TO_TEXT(ROW()-$C$72))"),"")</f>
        <v/>
      </c>
      <c r="Q1480" s="61" t="str">
        <f>IFERROR(__xludf.DUMMYFUNCTION("INDIRECT(""'收支紀錄'!Q""&amp;TO_TEXT(ROW()-$C$72))"),"")</f>
        <v/>
      </c>
      <c r="R1480" s="61" t="str">
        <f>IFERROR(__xludf.DUMMYFUNCTION("INDIRECT(""'收支紀錄'!R""&amp;TO_TEXT(ROW()-$C$72))"),"")</f>
        <v/>
      </c>
      <c r="S1480" s="61" t="str">
        <f>IFERROR(__xludf.DUMMYFUNCTION("INDIRECT(""'收支紀錄'!S""&amp;TO_TEXT(ROW()-$C$72))"),"")</f>
        <v/>
      </c>
      <c r="T1480" s="61" t="str">
        <f>IFERROR(__xludf.DUMMYFUNCTION("INDIRECT(""'收支紀錄'!T""&amp;TO_TEXT(ROW()-$C$72))"),"")</f>
        <v/>
      </c>
      <c r="U1480" s="62" t="str">
        <f>IFERROR(__xludf.DUMMYFUNCTION("IF(T1480=""是"",TEXTJOIN("""", TRUE, ""$"", TO_TEXT(C1480), S1480),"""")"),"")</f>
        <v/>
      </c>
    </row>
    <row r="1481">
      <c r="A1481" s="58">
        <f>IFERROR(__xludf.DUMMYFUNCTION("INDIRECT(""'收支紀錄'!A""&amp;TO_TEXT(ROW()-$C$72))"),46081.69555325231)</f>
        <v>46081.69555</v>
      </c>
      <c r="B1481" s="59">
        <f>IFERROR(__xludf.DUMMYFUNCTION("IF(ISBLANK(D1481), """", IF(ISDATE(D1481), D1481, IF(D1481=""今天"", A1481, IF(D1481=""昨天 (-1 day)"", A1481-1, IF(D1481=""前天 (-2 days)"", A1481-2, IF(D1481=""明天 (+1 day)"", A1481+1, DATE(LEFT(D1481,4), MID(D1481,5,2), RIGHT(D1481,2))))))))"),46081.69555325231)</f>
        <v>46081.69555</v>
      </c>
      <c r="C1481" s="60">
        <f>IFERROR(__xludf.DUMMYFUNCTION("INDIRECT(""'收支紀錄'!C""&amp;TO_TEXT(ROW()-$C$72))"),814.0)</f>
        <v>814</v>
      </c>
      <c r="D1481" s="63" t="str">
        <f>IFERROR(__xludf.DUMMYFUNCTION("INDIRECT(""'收支紀錄'!D""&amp;TO_TEXT(ROW()-$C$72))"),"今天")</f>
        <v>今天</v>
      </c>
      <c r="E1481" s="61" t="str">
        <f>IFERROR(__xludf.DUMMYFUNCTION("INDIRECT(""'收支紀錄'!E""&amp;TO_TEXT(ROW()-$C$72))"),"")</f>
        <v/>
      </c>
      <c r="F1481" s="61" t="str">
        <f>IFERROR(__xludf.DUMMYFUNCTION("INDIRECT(""'收支紀錄'!F""&amp;TO_TEXT(ROW()-$C$72))"),"")</f>
        <v/>
      </c>
      <c r="G1481" s="61" t="str">
        <f>IFERROR(__xludf.DUMMYFUNCTION("INDIRECT(""'收支紀錄'!G""&amp;TO_TEXT(ROW()-$C$72))"),"")</f>
        <v/>
      </c>
      <c r="H1481" s="61" t="str">
        <f>IFERROR(__xludf.DUMMYFUNCTION("INDIRECT(""'收支紀錄'!H""&amp;TO_TEXT(ROW()-$C$72))"),"食品酒水")</f>
        <v>食品酒水</v>
      </c>
      <c r="I1481" s="61" t="str">
        <f>IFERROR(__xludf.DUMMYFUNCTION("INDIRECT(""'收支紀錄'!I""&amp;TO_TEXT(ROW()-$C$72))"),"午餐")</f>
        <v>午餐</v>
      </c>
      <c r="J1481" s="61" t="str">
        <f>IFERROR(__xludf.DUMMYFUNCTION("INDIRECT(""'收支紀錄'!J""&amp;TO_TEXT(ROW()-$C$72))"),"")</f>
        <v/>
      </c>
      <c r="K1481" s="61" t="str">
        <f>IFERROR(__xludf.DUMMYFUNCTION("INDIRECT(""'收支紀錄'!K""&amp;TO_TEXT(ROW()-$C$72))"),"")</f>
        <v/>
      </c>
      <c r="L1481" s="61" t="str">
        <f>IFERROR(__xludf.DUMMYFUNCTION("INDIRECT(""'收支紀錄'!L""&amp;TO_TEXT(ROW()-$C$72))"),"")</f>
        <v/>
      </c>
      <c r="M1481" s="61" t="str">
        <f>IFERROR(__xludf.DUMMYFUNCTION("INDIRECT(""'收支紀錄'!M""&amp;TO_TEXT(ROW()-$C$72))"),"")</f>
        <v/>
      </c>
      <c r="N1481" s="61" t="str">
        <f>IFERROR(__xludf.DUMMYFUNCTION("INDIRECT(""'收支紀錄'!N""&amp;TO_TEXT(ROW()-$C$72))"),"")</f>
        <v/>
      </c>
      <c r="O1481" s="61" t="str">
        <f>IFERROR(__xludf.DUMMYFUNCTION("INDIRECT(""'收支紀錄'!O""&amp;TO_TEXT(ROW()-$C$72))"),"")</f>
        <v/>
      </c>
      <c r="P1481" s="61" t="str">
        <f>IFERROR(__xludf.DUMMYFUNCTION("INDIRECT(""'收支紀錄'!P""&amp;TO_TEXT(ROW()-$C$72))"),"")</f>
        <v/>
      </c>
      <c r="Q1481" s="61" t="str">
        <f>IFERROR(__xludf.DUMMYFUNCTION("INDIRECT(""'收支紀錄'!Q""&amp;TO_TEXT(ROW()-$C$72))"),"")</f>
        <v/>
      </c>
      <c r="R1481" s="61" t="str">
        <f>IFERROR(__xludf.DUMMYFUNCTION("INDIRECT(""'收支紀錄'!R""&amp;TO_TEXT(ROW()-$C$72))"),"")</f>
        <v/>
      </c>
      <c r="S1481" s="61" t="str">
        <f>IFERROR(__xludf.DUMMYFUNCTION("INDIRECT(""'收支紀錄'!S""&amp;TO_TEXT(ROW()-$C$72))"),"")</f>
        <v/>
      </c>
      <c r="T1481" s="61" t="str">
        <f>IFERROR(__xludf.DUMMYFUNCTION("INDIRECT(""'收支紀錄'!T""&amp;TO_TEXT(ROW()-$C$72))"),"")</f>
        <v/>
      </c>
      <c r="U1481" s="62" t="str">
        <f>IFERROR(__xludf.DUMMYFUNCTION("IF(T1481=""是"",TEXTJOIN("""", TRUE, ""$"", TO_TEXT(C1481), S1481),"""")"),"")</f>
        <v/>
      </c>
    </row>
    <row r="1482">
      <c r="A1482" s="58">
        <f>IFERROR(__xludf.DUMMYFUNCTION("INDIRECT(""'收支紀錄'!A""&amp;TO_TEXT(ROW()-$C$72))"),46081.696077939814)</f>
        <v>46081.69608</v>
      </c>
      <c r="B1482" s="59">
        <f>IFERROR(__xludf.DUMMYFUNCTION("IF(ISBLANK(D1482), """", IF(ISDATE(D1482), D1482, IF(D1482=""今天"", A1482, IF(D1482=""昨天 (-1 day)"", A1482-1, IF(D1482=""前天 (-2 days)"", A1482-2, IF(D1482=""明天 (+1 day)"", A1482+1, DATE(LEFT(D1482,4), MID(D1482,5,2), RIGHT(D1482,2))))))))"),46081.696077939814)</f>
        <v>46081.69608</v>
      </c>
      <c r="C1482" s="60">
        <f>IFERROR(__xludf.DUMMYFUNCTION("INDIRECT(""'收支紀錄'!C""&amp;TO_TEXT(ROW()-$C$72))"),640.0)</f>
        <v>640</v>
      </c>
      <c r="D1482" s="63" t="str">
        <f>IFERROR(__xludf.DUMMYFUNCTION("INDIRECT(""'收支紀錄'!D""&amp;TO_TEXT(ROW()-$C$72))"),"今天")</f>
        <v>今天</v>
      </c>
      <c r="E1482" s="61" t="str">
        <f>IFERROR(__xludf.DUMMYFUNCTION("INDIRECT(""'收支紀錄'!E""&amp;TO_TEXT(ROW()-$C$72))"),"")</f>
        <v/>
      </c>
      <c r="F1482" s="61" t="str">
        <f>IFERROR(__xludf.DUMMYFUNCTION("INDIRECT(""'收支紀錄'!F""&amp;TO_TEXT(ROW()-$C$72))"),"")</f>
        <v/>
      </c>
      <c r="G1482" s="61" t="str">
        <f>IFERROR(__xludf.DUMMYFUNCTION("INDIRECT(""'收支紀錄'!G""&amp;TO_TEXT(ROW()-$C$72))"),"")</f>
        <v/>
      </c>
      <c r="H1482" s="61" t="str">
        <f>IFERROR(__xludf.DUMMYFUNCTION("INDIRECT(""'收支紀錄'!H""&amp;TO_TEXT(ROW()-$C$72))"),"日常生活")</f>
        <v>日常生活</v>
      </c>
      <c r="I1482" s="61" t="str">
        <f>IFERROR(__xludf.DUMMYFUNCTION("INDIRECT(""'收支紀錄'!I""&amp;TO_TEXT(ROW()-$C$72))"),"")</f>
        <v/>
      </c>
      <c r="J1482" s="61" t="str">
        <f>IFERROR(__xludf.DUMMYFUNCTION("INDIRECT(""'收支紀錄'!J""&amp;TO_TEXT(ROW()-$C$72))"),"日常用品")</f>
        <v>日常用品</v>
      </c>
      <c r="K1482" s="61" t="str">
        <f>IFERROR(__xludf.DUMMYFUNCTION("INDIRECT(""'收支紀錄'!K""&amp;TO_TEXT(ROW()-$C$72))"),"")</f>
        <v/>
      </c>
      <c r="L1482" s="61" t="str">
        <f>IFERROR(__xludf.DUMMYFUNCTION("INDIRECT(""'收支紀錄'!L""&amp;TO_TEXT(ROW()-$C$72))"),"")</f>
        <v/>
      </c>
      <c r="M1482" s="61" t="str">
        <f>IFERROR(__xludf.DUMMYFUNCTION("INDIRECT(""'收支紀錄'!M""&amp;TO_TEXT(ROW()-$C$72))"),"")</f>
        <v/>
      </c>
      <c r="N1482" s="61" t="str">
        <f>IFERROR(__xludf.DUMMYFUNCTION("INDIRECT(""'收支紀錄'!N""&amp;TO_TEXT(ROW()-$C$72))"),"")</f>
        <v/>
      </c>
      <c r="O1482" s="61" t="str">
        <f>IFERROR(__xludf.DUMMYFUNCTION("INDIRECT(""'收支紀錄'!O""&amp;TO_TEXT(ROW()-$C$72))"),"")</f>
        <v/>
      </c>
      <c r="P1482" s="61" t="str">
        <f>IFERROR(__xludf.DUMMYFUNCTION("INDIRECT(""'收支紀錄'!P""&amp;TO_TEXT(ROW()-$C$72))"),"")</f>
        <v/>
      </c>
      <c r="Q1482" s="61" t="str">
        <f>IFERROR(__xludf.DUMMYFUNCTION("INDIRECT(""'收支紀錄'!Q""&amp;TO_TEXT(ROW()-$C$72))"),"")</f>
        <v/>
      </c>
      <c r="R1482" s="61" t="str">
        <f>IFERROR(__xludf.DUMMYFUNCTION("INDIRECT(""'收支紀錄'!R""&amp;TO_TEXT(ROW()-$C$72))"),"")</f>
        <v/>
      </c>
      <c r="S1482" s="61" t="str">
        <f>IFERROR(__xludf.DUMMYFUNCTION("INDIRECT(""'收支紀錄'!S""&amp;TO_TEXT(ROW()-$C$72))"),"")</f>
        <v/>
      </c>
      <c r="T1482" s="61" t="str">
        <f>IFERROR(__xludf.DUMMYFUNCTION("INDIRECT(""'收支紀錄'!T""&amp;TO_TEXT(ROW()-$C$72))"),"")</f>
        <v/>
      </c>
      <c r="U1482" s="62" t="str">
        <f>IFERROR(__xludf.DUMMYFUNCTION("IF(T1482=""是"",TEXTJOIN("""", TRUE, ""$"", TO_TEXT(C1482), S1482),"""")"),"")</f>
        <v/>
      </c>
    </row>
    <row r="1483">
      <c r="A1483" s="58">
        <f>IFERROR(__xludf.DUMMYFUNCTION("INDIRECT(""'收支紀錄'!A""&amp;TO_TEXT(ROW()-$C$72))"),46081.69626482639)</f>
        <v>46081.69626</v>
      </c>
      <c r="B1483" s="59">
        <f>IFERROR(__xludf.DUMMYFUNCTION("IF(ISBLANK(D1483), """", IF(ISDATE(D1483), D1483, IF(D1483=""今天"", A1483, IF(D1483=""昨天 (-1 day)"", A1483-1, IF(D1483=""前天 (-2 days)"", A1483-2, IF(D1483=""明天 (+1 day)"", A1483+1, DATE(LEFT(D1483,4), MID(D1483,5,2), RIGHT(D1483,2))))))))"),46081.69626482639)</f>
        <v>46081.69626</v>
      </c>
      <c r="C1483" s="60">
        <f>IFERROR(__xludf.DUMMYFUNCTION("INDIRECT(""'收支紀錄'!C""&amp;TO_TEXT(ROW()-$C$72))"),25.0)</f>
        <v>25</v>
      </c>
      <c r="D1483" s="63" t="str">
        <f>IFERROR(__xludf.DUMMYFUNCTION("INDIRECT(""'收支紀錄'!D""&amp;TO_TEXT(ROW()-$C$72))"),"今天")</f>
        <v>今天</v>
      </c>
      <c r="E1483" s="61" t="str">
        <f>IFERROR(__xludf.DUMMYFUNCTION("INDIRECT(""'收支紀錄'!E""&amp;TO_TEXT(ROW()-$C$72))"),"")</f>
        <v/>
      </c>
      <c r="F1483" s="61" t="str">
        <f>IFERROR(__xludf.DUMMYFUNCTION("INDIRECT(""'收支紀錄'!F""&amp;TO_TEXT(ROW()-$C$72))"),"")</f>
        <v/>
      </c>
      <c r="G1483" s="61" t="str">
        <f>IFERROR(__xludf.DUMMYFUNCTION("INDIRECT(""'收支紀錄'!G""&amp;TO_TEXT(ROW()-$C$72))"),"")</f>
        <v/>
      </c>
      <c r="H1483" s="61" t="str">
        <f>IFERROR(__xludf.DUMMYFUNCTION("INDIRECT(""'收支紀錄'!H""&amp;TO_TEXT(ROW()-$C$72))"),"行車交通")</f>
        <v>行車交通</v>
      </c>
      <c r="I1483" s="61" t="str">
        <f>IFERROR(__xludf.DUMMYFUNCTION("INDIRECT(""'收支紀錄'!I""&amp;TO_TEXT(ROW()-$C$72))"),"")</f>
        <v/>
      </c>
      <c r="J1483" s="61" t="str">
        <f>IFERROR(__xludf.DUMMYFUNCTION("INDIRECT(""'收支紀錄'!J""&amp;TO_TEXT(ROW()-$C$72))"),"")</f>
        <v/>
      </c>
      <c r="K1483" s="61" t="str">
        <f>IFERROR(__xludf.DUMMYFUNCTION("INDIRECT(""'收支紀錄'!K""&amp;TO_TEXT(ROW()-$C$72))"),"")</f>
        <v/>
      </c>
      <c r="L1483" s="61" t="str">
        <f>IFERROR(__xludf.DUMMYFUNCTION("INDIRECT(""'收支紀錄'!L""&amp;TO_TEXT(ROW()-$C$72))"),"捷運費")</f>
        <v>捷運費</v>
      </c>
      <c r="M1483" s="61" t="str">
        <f>IFERROR(__xludf.DUMMYFUNCTION("INDIRECT(""'收支紀錄'!M""&amp;TO_TEXT(ROW()-$C$72))"),"")</f>
        <v/>
      </c>
      <c r="N1483" s="61" t="str">
        <f>IFERROR(__xludf.DUMMYFUNCTION("INDIRECT(""'收支紀錄'!N""&amp;TO_TEXT(ROW()-$C$72))"),"")</f>
        <v/>
      </c>
      <c r="O1483" s="61" t="str">
        <f>IFERROR(__xludf.DUMMYFUNCTION("INDIRECT(""'收支紀錄'!O""&amp;TO_TEXT(ROW()-$C$72))"),"")</f>
        <v/>
      </c>
      <c r="P1483" s="61" t="str">
        <f>IFERROR(__xludf.DUMMYFUNCTION("INDIRECT(""'收支紀錄'!P""&amp;TO_TEXT(ROW()-$C$72))"),"")</f>
        <v/>
      </c>
      <c r="Q1483" s="61" t="str">
        <f>IFERROR(__xludf.DUMMYFUNCTION("INDIRECT(""'收支紀錄'!Q""&amp;TO_TEXT(ROW()-$C$72))"),"")</f>
        <v/>
      </c>
      <c r="R1483" s="61" t="str">
        <f>IFERROR(__xludf.DUMMYFUNCTION("INDIRECT(""'收支紀錄'!R""&amp;TO_TEXT(ROW()-$C$72))"),"")</f>
        <v/>
      </c>
      <c r="S1483" s="61" t="str">
        <f>IFERROR(__xludf.DUMMYFUNCTION("INDIRECT(""'收支紀錄'!S""&amp;TO_TEXT(ROW()-$C$72))"),"")</f>
        <v/>
      </c>
      <c r="T1483" s="61" t="str">
        <f>IFERROR(__xludf.DUMMYFUNCTION("INDIRECT(""'收支紀錄'!T""&amp;TO_TEXT(ROW()-$C$72))"),"")</f>
        <v/>
      </c>
      <c r="U1483" s="62" t="str">
        <f>IFERROR(__xludf.DUMMYFUNCTION("IF(T1483=""是"",TEXTJOIN("""", TRUE, ""$"", TO_TEXT(C1483), S1483),"""")"),"")</f>
        <v/>
      </c>
    </row>
    <row r="1484">
      <c r="A1484" s="58">
        <f>IFERROR(__xludf.DUMMYFUNCTION("INDIRECT(""'收支紀錄'!A""&amp;TO_TEXT(ROW()-$C$72))"),46081.8728761574)</f>
        <v>46081.87288</v>
      </c>
      <c r="B1484" s="59">
        <f>IFERROR(__xludf.DUMMYFUNCTION("IF(ISBLANK(D1484), """", IF(ISDATE(D1484), D1484, IF(D1484=""今天"", A1484, IF(D1484=""昨天 (-1 day)"", A1484-1, IF(D1484=""前天 (-2 days)"", A1484-2, IF(D1484=""明天 (+1 day)"", A1484+1, DATE(LEFT(D1484,4), MID(D1484,5,2), RIGHT(D1484,2))))))))"),46081.8728761574)</f>
        <v>46081.87288</v>
      </c>
      <c r="C1484" s="60">
        <f>IFERROR(__xludf.DUMMYFUNCTION("INDIRECT(""'收支紀錄'!C""&amp;TO_TEXT(ROW()-$C$72))"),965.0)</f>
        <v>965</v>
      </c>
      <c r="D1484" s="63" t="str">
        <f>IFERROR(__xludf.DUMMYFUNCTION("INDIRECT(""'收支紀錄'!D""&amp;TO_TEXT(ROW()-$C$72))"),"今天")</f>
        <v>今天</v>
      </c>
      <c r="E1484" s="61" t="str">
        <f>IFERROR(__xludf.DUMMYFUNCTION("INDIRECT(""'收支紀錄'!E""&amp;TO_TEXT(ROW()-$C$72))"),"")</f>
        <v/>
      </c>
      <c r="F1484" s="61" t="str">
        <f>IFERROR(__xludf.DUMMYFUNCTION("INDIRECT(""'收支紀錄'!F""&amp;TO_TEXT(ROW()-$C$72))"),"")</f>
        <v/>
      </c>
      <c r="G1484" s="61" t="str">
        <f>IFERROR(__xludf.DUMMYFUNCTION("INDIRECT(""'收支紀錄'!G""&amp;TO_TEXT(ROW()-$C$72))"),"")</f>
        <v/>
      </c>
      <c r="H1484" s="61" t="str">
        <f>IFERROR(__xludf.DUMMYFUNCTION("INDIRECT(""'收支紀錄'!H""&amp;TO_TEXT(ROW()-$C$72))"),"房屋支出")</f>
        <v>房屋支出</v>
      </c>
      <c r="I1484" s="61" t="str">
        <f>IFERROR(__xludf.DUMMYFUNCTION("INDIRECT(""'收支紀錄'!I""&amp;TO_TEXT(ROW()-$C$72))"),"")</f>
        <v/>
      </c>
      <c r="J1484" s="61" t="str">
        <f>IFERROR(__xludf.DUMMYFUNCTION("INDIRECT(""'收支紀錄'!J""&amp;TO_TEXT(ROW()-$C$72))"),"")</f>
        <v/>
      </c>
      <c r="K1484" s="61" t="str">
        <f>IFERROR(__xludf.DUMMYFUNCTION("INDIRECT(""'收支紀錄'!K""&amp;TO_TEXT(ROW()-$C$72))"),"電費")</f>
        <v>電費</v>
      </c>
      <c r="L1484" s="61" t="str">
        <f>IFERROR(__xludf.DUMMYFUNCTION("INDIRECT(""'收支紀錄'!L""&amp;TO_TEXT(ROW()-$C$72))"),"")</f>
        <v/>
      </c>
      <c r="M1484" s="61" t="str">
        <f>IFERROR(__xludf.DUMMYFUNCTION("INDIRECT(""'收支紀錄'!M""&amp;TO_TEXT(ROW()-$C$72))"),"")</f>
        <v/>
      </c>
      <c r="N1484" s="61" t="str">
        <f>IFERROR(__xludf.DUMMYFUNCTION("INDIRECT(""'收支紀錄'!N""&amp;TO_TEXT(ROW()-$C$72))"),"")</f>
        <v/>
      </c>
      <c r="O1484" s="61" t="str">
        <f>IFERROR(__xludf.DUMMYFUNCTION("INDIRECT(""'收支紀錄'!O""&amp;TO_TEXT(ROW()-$C$72))"),"")</f>
        <v/>
      </c>
      <c r="P1484" s="61" t="str">
        <f>IFERROR(__xludf.DUMMYFUNCTION("INDIRECT(""'收支紀錄'!P""&amp;TO_TEXT(ROW()-$C$72))"),"")</f>
        <v/>
      </c>
      <c r="Q1484" s="61" t="str">
        <f>IFERROR(__xludf.DUMMYFUNCTION("INDIRECT(""'收支紀錄'!Q""&amp;TO_TEXT(ROW()-$C$72))"),"")</f>
        <v/>
      </c>
      <c r="R1484" s="61" t="str">
        <f>IFERROR(__xludf.DUMMYFUNCTION("INDIRECT(""'收支紀錄'!R""&amp;TO_TEXT(ROW()-$C$72))"),"")</f>
        <v/>
      </c>
      <c r="S1484" s="61" t="str">
        <f>IFERROR(__xludf.DUMMYFUNCTION("INDIRECT(""'收支紀錄'!S""&amp;TO_TEXT(ROW()-$C$72))"),"")</f>
        <v/>
      </c>
      <c r="T1484" s="61" t="str">
        <f>IFERROR(__xludf.DUMMYFUNCTION("INDIRECT(""'收支紀錄'!T""&amp;TO_TEXT(ROW()-$C$72))"),"")</f>
        <v/>
      </c>
      <c r="U1484" s="62" t="str">
        <f>IFERROR(__xludf.DUMMYFUNCTION("IF(T1484=""是"",TEXTJOIN("""", TRUE, ""$"", TO_TEXT(C1484), S1484),"""")"),"")</f>
        <v/>
      </c>
    </row>
    <row r="1485">
      <c r="A1485" s="58">
        <f>IFERROR(__xludf.DUMMYFUNCTION("INDIRECT(""'收支紀錄'!A""&amp;TO_TEXT(ROW()-$C$72))"),46082.679511724535)</f>
        <v>46082.67951</v>
      </c>
      <c r="B1485" s="59">
        <f>IFERROR(__xludf.DUMMYFUNCTION("IF(ISBLANK(D1485), """", IF(ISDATE(D1485), D1485, IF(D1485=""今天"", A1485, IF(D1485=""昨天 (-1 day)"", A1485-1, IF(D1485=""前天 (-2 days)"", A1485-2, IF(D1485=""明天 (+1 day)"", A1485+1, DATE(LEFT(D1485,4), MID(D1485,5,2), RIGHT(D1485,2))))))))"),46082.679511724535)</f>
        <v>46082.67951</v>
      </c>
      <c r="C1485" s="60">
        <f>IFERROR(__xludf.DUMMYFUNCTION("INDIRECT(""'收支紀錄'!C""&amp;TO_TEXT(ROW()-$C$72))"),6000.0)</f>
        <v>6000</v>
      </c>
      <c r="D1485" s="63" t="str">
        <f>IFERROR(__xludf.DUMMYFUNCTION("INDIRECT(""'收支紀錄'!D""&amp;TO_TEXT(ROW()-$C$72))"),"今天")</f>
        <v>今天</v>
      </c>
      <c r="E1485" s="61" t="str">
        <f>IFERROR(__xludf.DUMMYFUNCTION("INDIRECT(""'收支紀錄'!E""&amp;TO_TEXT(ROW()-$C$72))"),"")</f>
        <v/>
      </c>
      <c r="F1485" s="61" t="str">
        <f>IFERROR(__xludf.DUMMYFUNCTION("INDIRECT(""'收支紀錄'!F""&amp;TO_TEXT(ROW()-$C$72))"),"")</f>
        <v/>
      </c>
      <c r="G1485" s="61" t="str">
        <f>IFERROR(__xludf.DUMMYFUNCTION("INDIRECT(""'收支紀錄'!G""&amp;TO_TEXT(ROW()-$C$72))"),"")</f>
        <v/>
      </c>
      <c r="H1485" s="61" t="str">
        <f>IFERROR(__xludf.DUMMYFUNCTION("INDIRECT(""'收支紀錄'!H""&amp;TO_TEXT(ROW()-$C$72))"),"房屋支出")</f>
        <v>房屋支出</v>
      </c>
      <c r="I1485" s="61" t="str">
        <f>IFERROR(__xludf.DUMMYFUNCTION("INDIRECT(""'收支紀錄'!I""&amp;TO_TEXT(ROW()-$C$72))"),"")</f>
        <v/>
      </c>
      <c r="J1485" s="61" t="str">
        <f>IFERROR(__xludf.DUMMYFUNCTION("INDIRECT(""'收支紀錄'!J""&amp;TO_TEXT(ROW()-$C$72))"),"")</f>
        <v/>
      </c>
      <c r="K1485" s="61" t="str">
        <f>IFERROR(__xludf.DUMMYFUNCTION("INDIRECT(""'收支紀錄'!K""&amp;TO_TEXT(ROW()-$C$72))"),"租屋")</f>
        <v>租屋</v>
      </c>
      <c r="L1485" s="61" t="str">
        <f>IFERROR(__xludf.DUMMYFUNCTION("INDIRECT(""'收支紀錄'!L""&amp;TO_TEXT(ROW()-$C$72))"),"")</f>
        <v/>
      </c>
      <c r="M1485" s="61" t="str">
        <f>IFERROR(__xludf.DUMMYFUNCTION("INDIRECT(""'收支紀錄'!M""&amp;TO_TEXT(ROW()-$C$72))"),"")</f>
        <v/>
      </c>
      <c r="N1485" s="61" t="str">
        <f>IFERROR(__xludf.DUMMYFUNCTION("INDIRECT(""'收支紀錄'!N""&amp;TO_TEXT(ROW()-$C$72))"),"")</f>
        <v/>
      </c>
      <c r="O1485" s="61" t="str">
        <f>IFERROR(__xludf.DUMMYFUNCTION("INDIRECT(""'收支紀錄'!O""&amp;TO_TEXT(ROW()-$C$72))"),"")</f>
        <v/>
      </c>
      <c r="P1485" s="61" t="str">
        <f>IFERROR(__xludf.DUMMYFUNCTION("INDIRECT(""'收支紀錄'!P""&amp;TO_TEXT(ROW()-$C$72))"),"")</f>
        <v/>
      </c>
      <c r="Q1485" s="61" t="str">
        <f>IFERROR(__xludf.DUMMYFUNCTION("INDIRECT(""'收支紀錄'!Q""&amp;TO_TEXT(ROW()-$C$72))"),"")</f>
        <v/>
      </c>
      <c r="R1485" s="61" t="str">
        <f>IFERROR(__xludf.DUMMYFUNCTION("INDIRECT(""'收支紀錄'!R""&amp;TO_TEXT(ROW()-$C$72))"),"")</f>
        <v/>
      </c>
      <c r="S1485" s="61" t="str">
        <f>IFERROR(__xludf.DUMMYFUNCTION("INDIRECT(""'收支紀錄'!S""&amp;TO_TEXT(ROW()-$C$72))"),"")</f>
        <v/>
      </c>
      <c r="T1485" s="61" t="str">
        <f>IFERROR(__xludf.DUMMYFUNCTION("INDIRECT(""'收支紀錄'!T""&amp;TO_TEXT(ROW()-$C$72))"),"")</f>
        <v/>
      </c>
      <c r="U1485" s="62" t="str">
        <f>IFERROR(__xludf.DUMMYFUNCTION("IF(T1485=""是"",TEXTJOIN("""", TRUE, ""$"", TO_TEXT(C1485), S1485),"""")"),"")</f>
        <v/>
      </c>
    </row>
    <row r="1486">
      <c r="A1486" s="58">
        <f>IFERROR(__xludf.DUMMYFUNCTION("INDIRECT(""'收支紀錄'!A""&amp;TO_TEXT(ROW()-$C$72))"),46082.67967575231)</f>
        <v>46082.67968</v>
      </c>
      <c r="B1486" s="59">
        <f>IFERROR(__xludf.DUMMYFUNCTION("IF(ISBLANK(D1486), """", IF(ISDATE(D1486), D1486, IF(D1486=""今天"", A1486, IF(D1486=""昨天 (-1 day)"", A1486-1, IF(D1486=""前天 (-2 days)"", A1486-2, IF(D1486=""明天 (+1 day)"", A1486+1, DATE(LEFT(D1486,4), MID(D1486,5,2), RIGHT(D1486,2))))))))"),46082.67967575231)</f>
        <v>46082.67968</v>
      </c>
      <c r="C1486" s="60">
        <f>IFERROR(__xludf.DUMMYFUNCTION("INDIRECT(""'收支紀錄'!C""&amp;TO_TEXT(ROW()-$C$72))"),20000.0)</f>
        <v>20000</v>
      </c>
      <c r="D1486" s="63" t="str">
        <f>IFERROR(__xludf.DUMMYFUNCTION("INDIRECT(""'收支紀錄'!D""&amp;TO_TEXT(ROW()-$C$72))"),"今天")</f>
        <v>今天</v>
      </c>
      <c r="E1486" s="61" t="str">
        <f>IFERROR(__xludf.DUMMYFUNCTION("INDIRECT(""'收支紀錄'!E""&amp;TO_TEXT(ROW()-$C$72))"),"")</f>
        <v/>
      </c>
      <c r="F1486" s="61" t="str">
        <f>IFERROR(__xludf.DUMMYFUNCTION("INDIRECT(""'收支紀錄'!F""&amp;TO_TEXT(ROW()-$C$72))"),"")</f>
        <v/>
      </c>
      <c r="G1486" s="61" t="str">
        <f>IFERROR(__xludf.DUMMYFUNCTION("INDIRECT(""'收支紀錄'!G""&amp;TO_TEXT(ROW()-$C$72))"),"")</f>
        <v/>
      </c>
      <c r="H1486" s="61" t="str">
        <f>IFERROR(__xludf.DUMMYFUNCTION("INDIRECT(""'收支紀錄'!H""&amp;TO_TEXT(ROW()-$C$72))"),"房屋支出")</f>
        <v>房屋支出</v>
      </c>
      <c r="I1486" s="61" t="str">
        <f>IFERROR(__xludf.DUMMYFUNCTION("INDIRECT(""'收支紀錄'!I""&amp;TO_TEXT(ROW()-$C$72))"),"")</f>
        <v/>
      </c>
      <c r="J1486" s="61" t="str">
        <f>IFERROR(__xludf.DUMMYFUNCTION("INDIRECT(""'收支紀錄'!J""&amp;TO_TEXT(ROW()-$C$72))"),"")</f>
        <v/>
      </c>
      <c r="K1486" s="61" t="str">
        <f>IFERROR(__xludf.DUMMYFUNCTION("INDIRECT(""'收支紀錄'!K""&amp;TO_TEXT(ROW()-$C$72))"),"文心1房貸代繳")</f>
        <v>文心1房貸代繳</v>
      </c>
      <c r="L1486" s="61" t="str">
        <f>IFERROR(__xludf.DUMMYFUNCTION("INDIRECT(""'收支紀錄'!L""&amp;TO_TEXT(ROW()-$C$72))"),"")</f>
        <v/>
      </c>
      <c r="M1486" s="61" t="str">
        <f>IFERROR(__xludf.DUMMYFUNCTION("INDIRECT(""'收支紀錄'!M""&amp;TO_TEXT(ROW()-$C$72))"),"")</f>
        <v/>
      </c>
      <c r="N1486" s="61" t="str">
        <f>IFERROR(__xludf.DUMMYFUNCTION("INDIRECT(""'收支紀錄'!N""&amp;TO_TEXT(ROW()-$C$72))"),"")</f>
        <v/>
      </c>
      <c r="O1486" s="61" t="str">
        <f>IFERROR(__xludf.DUMMYFUNCTION("INDIRECT(""'收支紀錄'!O""&amp;TO_TEXT(ROW()-$C$72))"),"")</f>
        <v/>
      </c>
      <c r="P1486" s="61" t="str">
        <f>IFERROR(__xludf.DUMMYFUNCTION("INDIRECT(""'收支紀錄'!P""&amp;TO_TEXT(ROW()-$C$72))"),"")</f>
        <v/>
      </c>
      <c r="Q1486" s="61" t="str">
        <f>IFERROR(__xludf.DUMMYFUNCTION("INDIRECT(""'收支紀錄'!Q""&amp;TO_TEXT(ROW()-$C$72))"),"")</f>
        <v/>
      </c>
      <c r="R1486" s="61" t="str">
        <f>IFERROR(__xludf.DUMMYFUNCTION("INDIRECT(""'收支紀錄'!R""&amp;TO_TEXT(ROW()-$C$72))"),"")</f>
        <v/>
      </c>
      <c r="S1486" s="61" t="str">
        <f>IFERROR(__xludf.DUMMYFUNCTION("INDIRECT(""'收支紀錄'!S""&amp;TO_TEXT(ROW()-$C$72))"),"")</f>
        <v/>
      </c>
      <c r="T1486" s="61" t="str">
        <f>IFERROR(__xludf.DUMMYFUNCTION("INDIRECT(""'收支紀錄'!T""&amp;TO_TEXT(ROW()-$C$72))"),"")</f>
        <v/>
      </c>
      <c r="U1486" s="62" t="str">
        <f>IFERROR(__xludf.DUMMYFUNCTION("IF(T1486=""是"",TEXTJOIN("""", TRUE, ""$"", TO_TEXT(C1486), S1486),"""")"),"")</f>
        <v/>
      </c>
    </row>
    <row r="1487">
      <c r="A1487" s="58">
        <f>IFERROR(__xludf.DUMMYFUNCTION("INDIRECT(""'收支紀錄'!A""&amp;TO_TEXT(ROW()-$C$72))"),46084.51312511574)</f>
        <v>46084.51313</v>
      </c>
      <c r="B1487" s="59">
        <f>IFERROR(__xludf.DUMMYFUNCTION("IF(ISBLANK(D1487), """", IF(ISDATE(D1487), D1487, IF(D1487=""今天"", A1487, IF(D1487=""昨天 (-1 day)"", A1487-1, IF(D1487=""前天 (-2 days)"", A1487-2, IF(D1487=""明天 (+1 day)"", A1487+1, DATE(LEFT(D1487,4), MID(D1487,5,2), RIGHT(D1487,2))))))))"),46082.51312511574)</f>
        <v>46082.51313</v>
      </c>
      <c r="C1487" s="60">
        <f>IFERROR(__xludf.DUMMYFUNCTION("INDIRECT(""'收支紀錄'!C""&amp;TO_TEXT(ROW()-$C$72))"),210.0)</f>
        <v>210</v>
      </c>
      <c r="D1487" s="63" t="str">
        <f>IFERROR(__xludf.DUMMYFUNCTION("INDIRECT(""'收支紀錄'!D""&amp;TO_TEXT(ROW()-$C$72))"),"前天 (-2 days)")</f>
        <v>前天 (-2 days)</v>
      </c>
      <c r="E1487" s="61" t="str">
        <f>IFERROR(__xludf.DUMMYFUNCTION("INDIRECT(""'收支紀錄'!E""&amp;TO_TEXT(ROW()-$C$72))"),"")</f>
        <v/>
      </c>
      <c r="F1487" s="61" t="str">
        <f>IFERROR(__xludf.DUMMYFUNCTION("INDIRECT(""'收支紀錄'!F""&amp;TO_TEXT(ROW()-$C$72))"),"")</f>
        <v/>
      </c>
      <c r="G1487" s="61" t="str">
        <f>IFERROR(__xludf.DUMMYFUNCTION("INDIRECT(""'收支紀錄'!G""&amp;TO_TEXT(ROW()-$C$72))"),"")</f>
        <v/>
      </c>
      <c r="H1487" s="61" t="str">
        <f>IFERROR(__xludf.DUMMYFUNCTION("INDIRECT(""'收支紀錄'!H""&amp;TO_TEXT(ROW()-$C$72))"),"食品酒水")</f>
        <v>食品酒水</v>
      </c>
      <c r="I1487" s="61" t="str">
        <f>IFERROR(__xludf.DUMMYFUNCTION("INDIRECT(""'收支紀錄'!I""&amp;TO_TEXT(ROW()-$C$72))"),"食材")</f>
        <v>食材</v>
      </c>
      <c r="J1487" s="61" t="str">
        <f>IFERROR(__xludf.DUMMYFUNCTION("INDIRECT(""'收支紀錄'!J""&amp;TO_TEXT(ROW()-$C$72))"),"")</f>
        <v/>
      </c>
      <c r="K1487" s="61" t="str">
        <f>IFERROR(__xludf.DUMMYFUNCTION("INDIRECT(""'收支紀錄'!K""&amp;TO_TEXT(ROW()-$C$72))"),"")</f>
        <v/>
      </c>
      <c r="L1487" s="61" t="str">
        <f>IFERROR(__xludf.DUMMYFUNCTION("INDIRECT(""'收支紀錄'!L""&amp;TO_TEXT(ROW()-$C$72))"),"")</f>
        <v/>
      </c>
      <c r="M1487" s="61" t="str">
        <f>IFERROR(__xludf.DUMMYFUNCTION("INDIRECT(""'收支紀錄'!M""&amp;TO_TEXT(ROW()-$C$72))"),"")</f>
        <v/>
      </c>
      <c r="N1487" s="61" t="str">
        <f>IFERROR(__xludf.DUMMYFUNCTION("INDIRECT(""'收支紀錄'!N""&amp;TO_TEXT(ROW()-$C$72))"),"")</f>
        <v/>
      </c>
      <c r="O1487" s="61" t="str">
        <f>IFERROR(__xludf.DUMMYFUNCTION("INDIRECT(""'收支紀錄'!O""&amp;TO_TEXT(ROW()-$C$72))"),"")</f>
        <v/>
      </c>
      <c r="P1487" s="61" t="str">
        <f>IFERROR(__xludf.DUMMYFUNCTION("INDIRECT(""'收支紀錄'!P""&amp;TO_TEXT(ROW()-$C$72))"),"")</f>
        <v/>
      </c>
      <c r="Q1487" s="61" t="str">
        <f>IFERROR(__xludf.DUMMYFUNCTION("INDIRECT(""'收支紀錄'!Q""&amp;TO_TEXT(ROW()-$C$72))"),"")</f>
        <v/>
      </c>
      <c r="R1487" s="61" t="str">
        <f>IFERROR(__xludf.DUMMYFUNCTION("INDIRECT(""'收支紀錄'!R""&amp;TO_TEXT(ROW()-$C$72))"),"")</f>
        <v/>
      </c>
      <c r="S1487" s="61" t="str">
        <f>IFERROR(__xludf.DUMMYFUNCTION("INDIRECT(""'收支紀錄'!S""&amp;TO_TEXT(ROW()-$C$72))"),"")</f>
        <v/>
      </c>
      <c r="T1487" s="61" t="str">
        <f>IFERROR(__xludf.DUMMYFUNCTION("INDIRECT(""'收支紀錄'!T""&amp;TO_TEXT(ROW()-$C$72))"),"")</f>
        <v/>
      </c>
      <c r="U1487" s="62" t="str">
        <f>IFERROR(__xludf.DUMMYFUNCTION("IF(T1487=""是"",TEXTJOIN("""", TRUE, ""$"", TO_TEXT(C1487), S1487),"""")"),"")</f>
        <v/>
      </c>
    </row>
    <row r="1488">
      <c r="A1488" s="58">
        <f>IFERROR(__xludf.DUMMYFUNCTION("INDIRECT(""'收支紀錄'!A""&amp;TO_TEXT(ROW()-$C$72))"),46084.51385047454)</f>
        <v>46084.51385</v>
      </c>
      <c r="B1488" s="59">
        <f>IFERROR(__xludf.DUMMYFUNCTION("IF(ISBLANK(D1488), """", IF(ISDATE(D1488), D1488, IF(D1488=""今天"", A1488, IF(D1488=""昨天 (-1 day)"", A1488-1, IF(D1488=""前天 (-2 days)"", A1488-2, IF(D1488=""明天 (+1 day)"", A1488+1, DATE(LEFT(D1488,4), MID(D1488,5,2), RIGHT(D1488,2))))))))"),46082.51385047454)</f>
        <v>46082.51385</v>
      </c>
      <c r="C1488" s="60">
        <f>IFERROR(__xludf.DUMMYFUNCTION("INDIRECT(""'收支紀錄'!C""&amp;TO_TEXT(ROW()-$C$72))"),228.0)</f>
        <v>228</v>
      </c>
      <c r="D1488" s="63" t="str">
        <f>IFERROR(__xludf.DUMMYFUNCTION("INDIRECT(""'收支紀錄'!D""&amp;TO_TEXT(ROW()-$C$72))"),"前天 (-2 days)")</f>
        <v>前天 (-2 days)</v>
      </c>
      <c r="E1488" s="61" t="str">
        <f>IFERROR(__xludf.DUMMYFUNCTION("INDIRECT(""'收支紀錄'!E""&amp;TO_TEXT(ROW()-$C$72))"),"")</f>
        <v/>
      </c>
      <c r="F1488" s="61" t="str">
        <f>IFERROR(__xludf.DUMMYFUNCTION("INDIRECT(""'收支紀錄'!F""&amp;TO_TEXT(ROW()-$C$72))"),"")</f>
        <v/>
      </c>
      <c r="G1488" s="61" t="str">
        <f>IFERROR(__xludf.DUMMYFUNCTION("INDIRECT(""'收支紀錄'!G""&amp;TO_TEXT(ROW()-$C$72))"),"")</f>
        <v/>
      </c>
      <c r="H1488" s="61" t="str">
        <f>IFERROR(__xludf.DUMMYFUNCTION("INDIRECT(""'收支紀錄'!H""&amp;TO_TEXT(ROW()-$C$72))"),"食品酒水")</f>
        <v>食品酒水</v>
      </c>
      <c r="I1488" s="61" t="str">
        <f>IFERROR(__xludf.DUMMYFUNCTION("INDIRECT(""'收支紀錄'!I""&amp;TO_TEXT(ROW()-$C$72))"),"晚餐")</f>
        <v>晚餐</v>
      </c>
      <c r="J1488" s="61" t="str">
        <f>IFERROR(__xludf.DUMMYFUNCTION("INDIRECT(""'收支紀錄'!J""&amp;TO_TEXT(ROW()-$C$72))"),"")</f>
        <v/>
      </c>
      <c r="K1488" s="61" t="str">
        <f>IFERROR(__xludf.DUMMYFUNCTION("INDIRECT(""'收支紀錄'!K""&amp;TO_TEXT(ROW()-$C$72))"),"")</f>
        <v/>
      </c>
      <c r="L1488" s="61" t="str">
        <f>IFERROR(__xludf.DUMMYFUNCTION("INDIRECT(""'收支紀錄'!L""&amp;TO_TEXT(ROW()-$C$72))"),"")</f>
        <v/>
      </c>
      <c r="M1488" s="61" t="str">
        <f>IFERROR(__xludf.DUMMYFUNCTION("INDIRECT(""'收支紀錄'!M""&amp;TO_TEXT(ROW()-$C$72))"),"")</f>
        <v/>
      </c>
      <c r="N1488" s="61" t="str">
        <f>IFERROR(__xludf.DUMMYFUNCTION("INDIRECT(""'收支紀錄'!N""&amp;TO_TEXT(ROW()-$C$72))"),"")</f>
        <v/>
      </c>
      <c r="O1488" s="61" t="str">
        <f>IFERROR(__xludf.DUMMYFUNCTION("INDIRECT(""'收支紀錄'!O""&amp;TO_TEXT(ROW()-$C$72))"),"")</f>
        <v/>
      </c>
      <c r="P1488" s="61" t="str">
        <f>IFERROR(__xludf.DUMMYFUNCTION("INDIRECT(""'收支紀錄'!P""&amp;TO_TEXT(ROW()-$C$72))"),"")</f>
        <v/>
      </c>
      <c r="Q1488" s="61" t="str">
        <f>IFERROR(__xludf.DUMMYFUNCTION("INDIRECT(""'收支紀錄'!Q""&amp;TO_TEXT(ROW()-$C$72))"),"")</f>
        <v/>
      </c>
      <c r="R1488" s="61" t="str">
        <f>IFERROR(__xludf.DUMMYFUNCTION("INDIRECT(""'收支紀錄'!R""&amp;TO_TEXT(ROW()-$C$72))"),"")</f>
        <v/>
      </c>
      <c r="S1488" s="61" t="str">
        <f>IFERROR(__xludf.DUMMYFUNCTION("INDIRECT(""'收支紀錄'!S""&amp;TO_TEXT(ROW()-$C$72))"),"")</f>
        <v/>
      </c>
      <c r="T1488" s="61" t="str">
        <f>IFERROR(__xludf.DUMMYFUNCTION("INDIRECT(""'收支紀錄'!T""&amp;TO_TEXT(ROW()-$C$72))"),"")</f>
        <v/>
      </c>
      <c r="U1488" s="62" t="str">
        <f>IFERROR(__xludf.DUMMYFUNCTION("IF(T1488=""是"",TEXTJOIN("""", TRUE, ""$"", TO_TEXT(C1488), S1488),"""")"),"")</f>
        <v/>
      </c>
    </row>
    <row r="1489">
      <c r="A1489" s="58">
        <f>IFERROR(__xludf.DUMMYFUNCTION("INDIRECT(""'收支紀錄'!A""&amp;TO_TEXT(ROW()-$C$72))"),46084.51402766204)</f>
        <v>46084.51403</v>
      </c>
      <c r="B1489" s="59">
        <f>IFERROR(__xludf.DUMMYFUNCTION("IF(ISBLANK(D1489), """", IF(ISDATE(D1489), D1489, IF(D1489=""今天"", A1489, IF(D1489=""昨天 (-1 day)"", A1489-1, IF(D1489=""前天 (-2 days)"", A1489-2, IF(D1489=""明天 (+1 day)"", A1489+1, DATE(LEFT(D1489,4), MID(D1489,5,2), RIGHT(D1489,2))))))))"),46082.51402766204)</f>
        <v>46082.51403</v>
      </c>
      <c r="C1489" s="60">
        <f>IFERROR(__xludf.DUMMYFUNCTION("INDIRECT(""'收支紀錄'!C""&amp;TO_TEXT(ROW()-$C$72))"),260.0)</f>
        <v>260</v>
      </c>
      <c r="D1489" s="63" t="str">
        <f>IFERROR(__xludf.DUMMYFUNCTION("INDIRECT(""'收支紀錄'!D""&amp;TO_TEXT(ROW()-$C$72))"),"前天 (-2 days)")</f>
        <v>前天 (-2 days)</v>
      </c>
      <c r="E1489" s="61" t="str">
        <f>IFERROR(__xludf.DUMMYFUNCTION("INDIRECT(""'收支紀錄'!E""&amp;TO_TEXT(ROW()-$C$72))"),"")</f>
        <v/>
      </c>
      <c r="F1489" s="61" t="str">
        <f>IFERROR(__xludf.DUMMYFUNCTION("INDIRECT(""'收支紀錄'!F""&amp;TO_TEXT(ROW()-$C$72))"),"")</f>
        <v/>
      </c>
      <c r="G1489" s="61" t="str">
        <f>IFERROR(__xludf.DUMMYFUNCTION("INDIRECT(""'收支紀錄'!G""&amp;TO_TEXT(ROW()-$C$72))"),"")</f>
        <v/>
      </c>
      <c r="H1489" s="61" t="str">
        <f>IFERROR(__xludf.DUMMYFUNCTION("INDIRECT(""'收支紀錄'!H""&amp;TO_TEXT(ROW()-$C$72))"),"食品酒水")</f>
        <v>食品酒水</v>
      </c>
      <c r="I1489" s="61" t="str">
        <f>IFERROR(__xludf.DUMMYFUNCTION("INDIRECT(""'收支紀錄'!I""&amp;TO_TEXT(ROW()-$C$72))"),"晚餐")</f>
        <v>晚餐</v>
      </c>
      <c r="J1489" s="61" t="str">
        <f>IFERROR(__xludf.DUMMYFUNCTION("INDIRECT(""'收支紀錄'!J""&amp;TO_TEXT(ROW()-$C$72))"),"")</f>
        <v/>
      </c>
      <c r="K1489" s="61" t="str">
        <f>IFERROR(__xludf.DUMMYFUNCTION("INDIRECT(""'收支紀錄'!K""&amp;TO_TEXT(ROW()-$C$72))"),"")</f>
        <v/>
      </c>
      <c r="L1489" s="61" t="str">
        <f>IFERROR(__xludf.DUMMYFUNCTION("INDIRECT(""'收支紀錄'!L""&amp;TO_TEXT(ROW()-$C$72))"),"")</f>
        <v/>
      </c>
      <c r="M1489" s="61" t="str">
        <f>IFERROR(__xludf.DUMMYFUNCTION("INDIRECT(""'收支紀錄'!M""&amp;TO_TEXT(ROW()-$C$72))"),"")</f>
        <v/>
      </c>
      <c r="N1489" s="61" t="str">
        <f>IFERROR(__xludf.DUMMYFUNCTION("INDIRECT(""'收支紀錄'!N""&amp;TO_TEXT(ROW()-$C$72))"),"")</f>
        <v/>
      </c>
      <c r="O1489" s="61" t="str">
        <f>IFERROR(__xludf.DUMMYFUNCTION("INDIRECT(""'收支紀錄'!O""&amp;TO_TEXT(ROW()-$C$72))"),"")</f>
        <v/>
      </c>
      <c r="P1489" s="61" t="str">
        <f>IFERROR(__xludf.DUMMYFUNCTION("INDIRECT(""'收支紀錄'!P""&amp;TO_TEXT(ROW()-$C$72))"),"")</f>
        <v/>
      </c>
      <c r="Q1489" s="61" t="str">
        <f>IFERROR(__xludf.DUMMYFUNCTION("INDIRECT(""'收支紀錄'!Q""&amp;TO_TEXT(ROW()-$C$72))"),"")</f>
        <v/>
      </c>
      <c r="R1489" s="61" t="str">
        <f>IFERROR(__xludf.DUMMYFUNCTION("INDIRECT(""'收支紀錄'!R""&amp;TO_TEXT(ROW()-$C$72))"),"")</f>
        <v/>
      </c>
      <c r="S1489" s="61" t="str">
        <f>IFERROR(__xludf.DUMMYFUNCTION("INDIRECT(""'收支紀錄'!S""&amp;TO_TEXT(ROW()-$C$72))"),"")</f>
        <v/>
      </c>
      <c r="T1489" s="61" t="str">
        <f>IFERROR(__xludf.DUMMYFUNCTION("INDIRECT(""'收支紀錄'!T""&amp;TO_TEXT(ROW()-$C$72))"),"")</f>
        <v/>
      </c>
      <c r="U1489" s="62" t="str">
        <f>IFERROR(__xludf.DUMMYFUNCTION("IF(T1489=""是"",TEXTJOIN("""", TRUE, ""$"", TO_TEXT(C1489), S1489),"""")"),"")</f>
        <v/>
      </c>
    </row>
    <row r="1490">
      <c r="A1490" s="58">
        <f>IFERROR(__xludf.DUMMYFUNCTION("INDIRECT(""'收支紀錄'!A""&amp;TO_TEXT(ROW()-$C$72))"),46084.51418342593)</f>
        <v>46084.51418</v>
      </c>
      <c r="B1490" s="59">
        <f>IFERROR(__xludf.DUMMYFUNCTION("IF(ISBLANK(D1490), """", IF(ISDATE(D1490), D1490, IF(D1490=""今天"", A1490, IF(D1490=""昨天 (-1 day)"", A1490-1, IF(D1490=""前天 (-2 days)"", A1490-2, IF(D1490=""明天 (+1 day)"", A1490+1, DATE(LEFT(D1490,4), MID(D1490,5,2), RIGHT(D1490,2))))))))"),46082.51418342593)</f>
        <v>46082.51418</v>
      </c>
      <c r="C1490" s="60">
        <f>IFERROR(__xludf.DUMMYFUNCTION("INDIRECT(""'收支紀錄'!C""&amp;TO_TEXT(ROW()-$C$72))"),140.0)</f>
        <v>140</v>
      </c>
      <c r="D1490" s="63" t="str">
        <f>IFERROR(__xludf.DUMMYFUNCTION("INDIRECT(""'收支紀錄'!D""&amp;TO_TEXT(ROW()-$C$72))"),"前天 (-2 days)")</f>
        <v>前天 (-2 days)</v>
      </c>
      <c r="E1490" s="61" t="str">
        <f>IFERROR(__xludf.DUMMYFUNCTION("INDIRECT(""'收支紀錄'!E""&amp;TO_TEXT(ROW()-$C$72))"),"")</f>
        <v/>
      </c>
      <c r="F1490" s="61" t="str">
        <f>IFERROR(__xludf.DUMMYFUNCTION("INDIRECT(""'收支紀錄'!F""&amp;TO_TEXT(ROW()-$C$72))"),"")</f>
        <v/>
      </c>
      <c r="G1490" s="61" t="str">
        <f>IFERROR(__xludf.DUMMYFUNCTION("INDIRECT(""'收支紀錄'!G""&amp;TO_TEXT(ROW()-$C$72))"),"")</f>
        <v/>
      </c>
      <c r="H1490" s="61" t="str">
        <f>IFERROR(__xludf.DUMMYFUNCTION("INDIRECT(""'收支紀錄'!H""&amp;TO_TEXT(ROW()-$C$72))"),"食品酒水")</f>
        <v>食品酒水</v>
      </c>
      <c r="I1490" s="61" t="str">
        <f>IFERROR(__xludf.DUMMYFUNCTION("INDIRECT(""'收支紀錄'!I""&amp;TO_TEXT(ROW()-$C$72))"),"飲料酒水")</f>
        <v>飲料酒水</v>
      </c>
      <c r="J1490" s="61" t="str">
        <f>IFERROR(__xludf.DUMMYFUNCTION("INDIRECT(""'收支紀錄'!J""&amp;TO_TEXT(ROW()-$C$72))"),"")</f>
        <v/>
      </c>
      <c r="K1490" s="61" t="str">
        <f>IFERROR(__xludf.DUMMYFUNCTION("INDIRECT(""'收支紀錄'!K""&amp;TO_TEXT(ROW()-$C$72))"),"")</f>
        <v/>
      </c>
      <c r="L1490" s="61" t="str">
        <f>IFERROR(__xludf.DUMMYFUNCTION("INDIRECT(""'收支紀錄'!L""&amp;TO_TEXT(ROW()-$C$72))"),"")</f>
        <v/>
      </c>
      <c r="M1490" s="61" t="str">
        <f>IFERROR(__xludf.DUMMYFUNCTION("INDIRECT(""'收支紀錄'!M""&amp;TO_TEXT(ROW()-$C$72))"),"")</f>
        <v/>
      </c>
      <c r="N1490" s="61" t="str">
        <f>IFERROR(__xludf.DUMMYFUNCTION("INDIRECT(""'收支紀錄'!N""&amp;TO_TEXT(ROW()-$C$72))"),"")</f>
        <v/>
      </c>
      <c r="O1490" s="61" t="str">
        <f>IFERROR(__xludf.DUMMYFUNCTION("INDIRECT(""'收支紀錄'!O""&amp;TO_TEXT(ROW()-$C$72))"),"")</f>
        <v/>
      </c>
      <c r="P1490" s="61" t="str">
        <f>IFERROR(__xludf.DUMMYFUNCTION("INDIRECT(""'收支紀錄'!P""&amp;TO_TEXT(ROW()-$C$72))"),"")</f>
        <v/>
      </c>
      <c r="Q1490" s="61" t="str">
        <f>IFERROR(__xludf.DUMMYFUNCTION("INDIRECT(""'收支紀錄'!Q""&amp;TO_TEXT(ROW()-$C$72))"),"")</f>
        <v/>
      </c>
      <c r="R1490" s="61" t="str">
        <f>IFERROR(__xludf.DUMMYFUNCTION("INDIRECT(""'收支紀錄'!R""&amp;TO_TEXT(ROW()-$C$72))"),"")</f>
        <v/>
      </c>
      <c r="S1490" s="61" t="str">
        <f>IFERROR(__xludf.DUMMYFUNCTION("INDIRECT(""'收支紀錄'!S""&amp;TO_TEXT(ROW()-$C$72))"),"")</f>
        <v/>
      </c>
      <c r="T1490" s="61" t="str">
        <f>IFERROR(__xludf.DUMMYFUNCTION("INDIRECT(""'收支紀錄'!T""&amp;TO_TEXT(ROW()-$C$72))"),"")</f>
        <v/>
      </c>
      <c r="U1490" s="62" t="str">
        <f>IFERROR(__xludf.DUMMYFUNCTION("IF(T1490=""是"",TEXTJOIN("""", TRUE, ""$"", TO_TEXT(C1490), S1490),"""")"),"")</f>
        <v/>
      </c>
    </row>
    <row r="1491">
      <c r="A1491" s="58">
        <f>IFERROR(__xludf.DUMMYFUNCTION("INDIRECT(""'收支紀錄'!A""&amp;TO_TEXT(ROW()-$C$72))"),46084.51443856482)</f>
        <v>46084.51444</v>
      </c>
      <c r="B1491" s="59">
        <f>IFERROR(__xludf.DUMMYFUNCTION("IF(ISBLANK(D1491), """", IF(ISDATE(D1491), D1491, IF(D1491=""今天"", A1491, IF(D1491=""昨天 (-1 day)"", A1491-1, IF(D1491=""前天 (-2 days)"", A1491-2, IF(D1491=""明天 (+1 day)"", A1491+1, DATE(LEFT(D1491,4), MID(D1491,5,2), RIGHT(D1491,2))))))))"),46082.51443856482)</f>
        <v>46082.51444</v>
      </c>
      <c r="C1491" s="60">
        <f>IFERROR(__xludf.DUMMYFUNCTION("INDIRECT(""'收支紀錄'!C""&amp;TO_TEXT(ROW()-$C$72))"),75.0)</f>
        <v>75</v>
      </c>
      <c r="D1491" s="63" t="str">
        <f>IFERROR(__xludf.DUMMYFUNCTION("INDIRECT(""'收支紀錄'!D""&amp;TO_TEXT(ROW()-$C$72))"),"前天 (-2 days)")</f>
        <v>前天 (-2 days)</v>
      </c>
      <c r="E1491" s="61" t="str">
        <f>IFERROR(__xludf.DUMMYFUNCTION("INDIRECT(""'收支紀錄'!E""&amp;TO_TEXT(ROW()-$C$72))"),"")</f>
        <v/>
      </c>
      <c r="F1491" s="61" t="str">
        <f>IFERROR(__xludf.DUMMYFUNCTION("INDIRECT(""'收支紀錄'!F""&amp;TO_TEXT(ROW()-$C$72))"),"")</f>
        <v/>
      </c>
      <c r="G1491" s="61" t="str">
        <f>IFERROR(__xludf.DUMMYFUNCTION("INDIRECT(""'收支紀錄'!G""&amp;TO_TEXT(ROW()-$C$72))"),"")</f>
        <v/>
      </c>
      <c r="H1491" s="61" t="str">
        <f>IFERROR(__xludf.DUMMYFUNCTION("INDIRECT(""'收支紀錄'!H""&amp;TO_TEXT(ROW()-$C$72))"),"行車交通")</f>
        <v>行車交通</v>
      </c>
      <c r="I1491" s="61" t="str">
        <f>IFERROR(__xludf.DUMMYFUNCTION("INDIRECT(""'收支紀錄'!I""&amp;TO_TEXT(ROW()-$C$72))"),"")</f>
        <v/>
      </c>
      <c r="J1491" s="61" t="str">
        <f>IFERROR(__xludf.DUMMYFUNCTION("INDIRECT(""'收支紀錄'!J""&amp;TO_TEXT(ROW()-$C$72))"),"")</f>
        <v/>
      </c>
      <c r="K1491" s="61" t="str">
        <f>IFERROR(__xludf.DUMMYFUNCTION("INDIRECT(""'收支紀錄'!K""&amp;TO_TEXT(ROW()-$C$72))"),"")</f>
        <v/>
      </c>
      <c r="L1491" s="61" t="str">
        <f>IFERROR(__xludf.DUMMYFUNCTION("INDIRECT(""'收支紀錄'!L""&amp;TO_TEXT(ROW()-$C$72))"),"停車")</f>
        <v>停車</v>
      </c>
      <c r="M1491" s="61" t="str">
        <f>IFERROR(__xludf.DUMMYFUNCTION("INDIRECT(""'收支紀錄'!M""&amp;TO_TEXT(ROW()-$C$72))"),"")</f>
        <v/>
      </c>
      <c r="N1491" s="61" t="str">
        <f>IFERROR(__xludf.DUMMYFUNCTION("INDIRECT(""'收支紀錄'!N""&amp;TO_TEXT(ROW()-$C$72))"),"")</f>
        <v/>
      </c>
      <c r="O1491" s="61" t="str">
        <f>IFERROR(__xludf.DUMMYFUNCTION("INDIRECT(""'收支紀錄'!O""&amp;TO_TEXT(ROW()-$C$72))"),"")</f>
        <v/>
      </c>
      <c r="P1491" s="61" t="str">
        <f>IFERROR(__xludf.DUMMYFUNCTION("INDIRECT(""'收支紀錄'!P""&amp;TO_TEXT(ROW()-$C$72))"),"")</f>
        <v/>
      </c>
      <c r="Q1491" s="61" t="str">
        <f>IFERROR(__xludf.DUMMYFUNCTION("INDIRECT(""'收支紀錄'!Q""&amp;TO_TEXT(ROW()-$C$72))"),"")</f>
        <v/>
      </c>
      <c r="R1491" s="61" t="str">
        <f>IFERROR(__xludf.DUMMYFUNCTION("INDIRECT(""'收支紀錄'!R""&amp;TO_TEXT(ROW()-$C$72))"),"")</f>
        <v/>
      </c>
      <c r="S1491" s="61" t="str">
        <f>IFERROR(__xludf.DUMMYFUNCTION("INDIRECT(""'收支紀錄'!S""&amp;TO_TEXT(ROW()-$C$72))"),"")</f>
        <v/>
      </c>
      <c r="T1491" s="61" t="str">
        <f>IFERROR(__xludf.DUMMYFUNCTION("INDIRECT(""'收支紀錄'!T""&amp;TO_TEXT(ROW()-$C$72))"),"")</f>
        <v/>
      </c>
      <c r="U1491" s="62" t="str">
        <f>IFERROR(__xludf.DUMMYFUNCTION("IF(T1491=""是"",TEXTJOIN("""", TRUE, ""$"", TO_TEXT(C1491), S1491),"""")"),"")</f>
        <v/>
      </c>
    </row>
    <row r="1492">
      <c r="A1492" s="58">
        <f>IFERROR(__xludf.DUMMYFUNCTION("INDIRECT(""'收支紀錄'!A""&amp;TO_TEXT(ROW()-$C$72))"),46084.51498715278)</f>
        <v>46084.51499</v>
      </c>
      <c r="B1492" s="59">
        <f>IFERROR(__xludf.DUMMYFUNCTION("IF(ISBLANK(D1492), """", IF(ISDATE(D1492), D1492, IF(D1492=""今天"", A1492, IF(D1492=""昨天 (-1 day)"", A1492-1, IF(D1492=""前天 (-2 days)"", A1492-2, IF(D1492=""明天 (+1 day)"", A1492+1, DATE(LEFT(D1492,4), MID(D1492,5,2), RIGHT(D1492,2))))))))"),46082.51498715278)</f>
        <v>46082.51499</v>
      </c>
      <c r="C1492" s="60">
        <f>IFERROR(__xludf.DUMMYFUNCTION("INDIRECT(""'收支紀錄'!C""&amp;TO_TEXT(ROW()-$C$72))"),160.0)</f>
        <v>160</v>
      </c>
      <c r="D1492" s="63" t="str">
        <f>IFERROR(__xludf.DUMMYFUNCTION("INDIRECT(""'收支紀錄'!D""&amp;TO_TEXT(ROW()-$C$72))"),"前天 (-2 days)")</f>
        <v>前天 (-2 days)</v>
      </c>
      <c r="E1492" s="61" t="str">
        <f>IFERROR(__xludf.DUMMYFUNCTION("INDIRECT(""'收支紀錄'!E""&amp;TO_TEXT(ROW()-$C$72))"),"")</f>
        <v/>
      </c>
      <c r="F1492" s="61" t="str">
        <f>IFERROR(__xludf.DUMMYFUNCTION("INDIRECT(""'收支紀錄'!F""&amp;TO_TEXT(ROW()-$C$72))"),"")</f>
        <v/>
      </c>
      <c r="G1492" s="61" t="str">
        <f>IFERROR(__xludf.DUMMYFUNCTION("INDIRECT(""'收支紀錄'!G""&amp;TO_TEXT(ROW()-$C$72))"),"")</f>
        <v/>
      </c>
      <c r="H1492" s="61" t="str">
        <f>IFERROR(__xludf.DUMMYFUNCTION("INDIRECT(""'收支紀錄'!H""&amp;TO_TEXT(ROW()-$C$72))"),"食品酒水")</f>
        <v>食品酒水</v>
      </c>
      <c r="I1492" s="61" t="str">
        <f>IFERROR(__xludf.DUMMYFUNCTION("INDIRECT(""'收支紀錄'!I""&amp;TO_TEXT(ROW()-$C$72))"),"宵夜")</f>
        <v>宵夜</v>
      </c>
      <c r="J1492" s="61" t="str">
        <f>IFERROR(__xludf.DUMMYFUNCTION("INDIRECT(""'收支紀錄'!J""&amp;TO_TEXT(ROW()-$C$72))"),"")</f>
        <v/>
      </c>
      <c r="K1492" s="61" t="str">
        <f>IFERROR(__xludf.DUMMYFUNCTION("INDIRECT(""'收支紀錄'!K""&amp;TO_TEXT(ROW()-$C$72))"),"")</f>
        <v/>
      </c>
      <c r="L1492" s="61" t="str">
        <f>IFERROR(__xludf.DUMMYFUNCTION("INDIRECT(""'收支紀錄'!L""&amp;TO_TEXT(ROW()-$C$72))"),"")</f>
        <v/>
      </c>
      <c r="M1492" s="61" t="str">
        <f>IFERROR(__xludf.DUMMYFUNCTION("INDIRECT(""'收支紀錄'!M""&amp;TO_TEXT(ROW()-$C$72))"),"")</f>
        <v/>
      </c>
      <c r="N1492" s="61" t="str">
        <f>IFERROR(__xludf.DUMMYFUNCTION("INDIRECT(""'收支紀錄'!N""&amp;TO_TEXT(ROW()-$C$72))"),"")</f>
        <v/>
      </c>
      <c r="O1492" s="61" t="str">
        <f>IFERROR(__xludf.DUMMYFUNCTION("INDIRECT(""'收支紀錄'!O""&amp;TO_TEXT(ROW()-$C$72))"),"")</f>
        <v/>
      </c>
      <c r="P1492" s="61" t="str">
        <f>IFERROR(__xludf.DUMMYFUNCTION("INDIRECT(""'收支紀錄'!P""&amp;TO_TEXT(ROW()-$C$72))"),"")</f>
        <v/>
      </c>
      <c r="Q1492" s="61" t="str">
        <f>IFERROR(__xludf.DUMMYFUNCTION("INDIRECT(""'收支紀錄'!Q""&amp;TO_TEXT(ROW()-$C$72))"),"")</f>
        <v/>
      </c>
      <c r="R1492" s="61" t="str">
        <f>IFERROR(__xludf.DUMMYFUNCTION("INDIRECT(""'收支紀錄'!R""&amp;TO_TEXT(ROW()-$C$72))"),"")</f>
        <v/>
      </c>
      <c r="S1492" s="61" t="str">
        <f>IFERROR(__xludf.DUMMYFUNCTION("INDIRECT(""'收支紀錄'!S""&amp;TO_TEXT(ROW()-$C$72))"),"")</f>
        <v/>
      </c>
      <c r="T1492" s="61" t="str">
        <f>IFERROR(__xludf.DUMMYFUNCTION("INDIRECT(""'收支紀錄'!T""&amp;TO_TEXT(ROW()-$C$72))"),"")</f>
        <v/>
      </c>
      <c r="U1492" s="62" t="str">
        <f>IFERROR(__xludf.DUMMYFUNCTION("IF(T1492=""是"",TEXTJOIN("""", TRUE, ""$"", TO_TEXT(C1492), S1492),"""")"),"")</f>
        <v/>
      </c>
    </row>
    <row r="1493">
      <c r="A1493" s="58">
        <f>IFERROR(__xludf.DUMMYFUNCTION("INDIRECT(""'收支紀錄'!A""&amp;TO_TEXT(ROW()-$C$72))"),46084.51524396991)</f>
        <v>46084.51524</v>
      </c>
      <c r="B1493" s="59">
        <f>IFERROR(__xludf.DUMMYFUNCTION("IF(ISBLANK(D1493), """", IF(ISDATE(D1493), D1493, IF(D1493=""今天"", A1493, IF(D1493=""昨天 (-1 day)"", A1493-1, IF(D1493=""前天 (-2 days)"", A1493-2, IF(D1493=""明天 (+1 day)"", A1493+1, DATE(LEFT(D1493,4), MID(D1493,5,2), RIGHT(D1493,2))))))))"),46084.51524396991)</f>
        <v>46084.51524</v>
      </c>
      <c r="C1493" s="60">
        <f>IFERROR(__xludf.DUMMYFUNCTION("INDIRECT(""'收支紀錄'!C""&amp;TO_TEXT(ROW()-$C$72))"),103.0)</f>
        <v>103</v>
      </c>
      <c r="D1493" s="63" t="str">
        <f>IFERROR(__xludf.DUMMYFUNCTION("INDIRECT(""'收支紀錄'!D""&amp;TO_TEXT(ROW()-$C$72))"),"今天")</f>
        <v>今天</v>
      </c>
      <c r="E1493" s="61" t="str">
        <f>IFERROR(__xludf.DUMMYFUNCTION("INDIRECT(""'收支紀錄'!E""&amp;TO_TEXT(ROW()-$C$72))"),"")</f>
        <v/>
      </c>
      <c r="F1493" s="61" t="str">
        <f>IFERROR(__xludf.DUMMYFUNCTION("INDIRECT(""'收支紀錄'!F""&amp;TO_TEXT(ROW()-$C$72))"),"")</f>
        <v/>
      </c>
      <c r="G1493" s="61" t="str">
        <f>IFERROR(__xludf.DUMMYFUNCTION("INDIRECT(""'收支紀錄'!G""&amp;TO_TEXT(ROW()-$C$72))"),"")</f>
        <v/>
      </c>
      <c r="H1493" s="61" t="str">
        <f>IFERROR(__xludf.DUMMYFUNCTION("INDIRECT(""'收支紀錄'!H""&amp;TO_TEXT(ROW()-$C$72))"),"食品酒水")</f>
        <v>食品酒水</v>
      </c>
      <c r="I1493" s="61" t="str">
        <f>IFERROR(__xludf.DUMMYFUNCTION("INDIRECT(""'收支紀錄'!I""&amp;TO_TEXT(ROW()-$C$72))"),"早餐")</f>
        <v>早餐</v>
      </c>
      <c r="J1493" s="61" t="str">
        <f>IFERROR(__xludf.DUMMYFUNCTION("INDIRECT(""'收支紀錄'!J""&amp;TO_TEXT(ROW()-$C$72))"),"")</f>
        <v/>
      </c>
      <c r="K1493" s="61" t="str">
        <f>IFERROR(__xludf.DUMMYFUNCTION("INDIRECT(""'收支紀錄'!K""&amp;TO_TEXT(ROW()-$C$72))"),"")</f>
        <v/>
      </c>
      <c r="L1493" s="61" t="str">
        <f>IFERROR(__xludf.DUMMYFUNCTION("INDIRECT(""'收支紀錄'!L""&amp;TO_TEXT(ROW()-$C$72))"),"")</f>
        <v/>
      </c>
      <c r="M1493" s="61" t="str">
        <f>IFERROR(__xludf.DUMMYFUNCTION("INDIRECT(""'收支紀錄'!M""&amp;TO_TEXT(ROW()-$C$72))"),"")</f>
        <v/>
      </c>
      <c r="N1493" s="61" t="str">
        <f>IFERROR(__xludf.DUMMYFUNCTION("INDIRECT(""'收支紀錄'!N""&amp;TO_TEXT(ROW()-$C$72))"),"")</f>
        <v/>
      </c>
      <c r="O1493" s="61" t="str">
        <f>IFERROR(__xludf.DUMMYFUNCTION("INDIRECT(""'收支紀錄'!O""&amp;TO_TEXT(ROW()-$C$72))"),"")</f>
        <v/>
      </c>
      <c r="P1493" s="61" t="str">
        <f>IFERROR(__xludf.DUMMYFUNCTION("INDIRECT(""'收支紀錄'!P""&amp;TO_TEXT(ROW()-$C$72))"),"")</f>
        <v/>
      </c>
      <c r="Q1493" s="61" t="str">
        <f>IFERROR(__xludf.DUMMYFUNCTION("INDIRECT(""'收支紀錄'!Q""&amp;TO_TEXT(ROW()-$C$72))"),"")</f>
        <v/>
      </c>
      <c r="R1493" s="61" t="str">
        <f>IFERROR(__xludf.DUMMYFUNCTION("INDIRECT(""'收支紀錄'!R""&amp;TO_TEXT(ROW()-$C$72))"),"")</f>
        <v/>
      </c>
      <c r="S1493" s="61" t="str">
        <f>IFERROR(__xludf.DUMMYFUNCTION("INDIRECT(""'收支紀錄'!S""&amp;TO_TEXT(ROW()-$C$72))"),"")</f>
        <v/>
      </c>
      <c r="T1493" s="61" t="str">
        <f>IFERROR(__xludf.DUMMYFUNCTION("INDIRECT(""'收支紀錄'!T""&amp;TO_TEXT(ROW()-$C$72))"),"")</f>
        <v/>
      </c>
      <c r="U1493" s="62" t="str">
        <f>IFERROR(__xludf.DUMMYFUNCTION("IF(T1493=""是"",TEXTJOIN("""", TRUE, ""$"", TO_TEXT(C1493), S1493),"""")"),"")</f>
        <v/>
      </c>
    </row>
    <row r="1494">
      <c r="A1494" s="58">
        <f>IFERROR(__xludf.DUMMYFUNCTION("INDIRECT(""'收支紀錄'!A""&amp;TO_TEXT(ROW()-$C$72))"),46084.93051438658)</f>
        <v>46084.93051</v>
      </c>
      <c r="B1494" s="59">
        <f>IFERROR(__xludf.DUMMYFUNCTION("IF(ISBLANK(D1494), """", IF(ISDATE(D1494), D1494, IF(D1494=""今天"", A1494, IF(D1494=""昨天 (-1 day)"", A1494-1, IF(D1494=""前天 (-2 days)"", A1494-2, IF(D1494=""明天 (+1 day)"", A1494+1, DATE(LEFT(D1494,4), MID(D1494,5,2), RIGHT(D1494,2))))))))"),46084.93051438658)</f>
        <v>46084.93051</v>
      </c>
      <c r="C1494" s="60">
        <f>IFERROR(__xludf.DUMMYFUNCTION("INDIRECT(""'收支紀錄'!C""&amp;TO_TEXT(ROW()-$C$72))"),6000.0)</f>
        <v>6000</v>
      </c>
      <c r="D1494" s="63" t="str">
        <f>IFERROR(__xludf.DUMMYFUNCTION("INDIRECT(""'收支紀錄'!D""&amp;TO_TEXT(ROW()-$C$72))"),"今天")</f>
        <v>今天</v>
      </c>
      <c r="E1494" s="61" t="str">
        <f>IFERROR(__xludf.DUMMYFUNCTION("INDIRECT(""'收支紀錄'!E""&amp;TO_TEXT(ROW()-$C$72))"),"其他業外")</f>
        <v>其他業外</v>
      </c>
      <c r="F1494" s="61" t="str">
        <f>IFERROR(__xludf.DUMMYFUNCTION("INDIRECT(""'收支紀錄'!F""&amp;TO_TEXT(ROW()-$C$72))"),"")</f>
        <v/>
      </c>
      <c r="G1494" s="61" t="str">
        <f>IFERROR(__xludf.DUMMYFUNCTION("INDIRECT(""'收支紀錄'!G""&amp;TO_TEXT(ROW()-$C$72))"),"房屋補貼")</f>
        <v>房屋補貼</v>
      </c>
      <c r="H1494" s="61" t="str">
        <f>IFERROR(__xludf.DUMMYFUNCTION("INDIRECT(""'收支紀錄'!H""&amp;TO_TEXT(ROW()-$C$72))"),"")</f>
        <v/>
      </c>
      <c r="I1494" s="61" t="str">
        <f>IFERROR(__xludf.DUMMYFUNCTION("INDIRECT(""'收支紀錄'!I""&amp;TO_TEXT(ROW()-$C$72))"),"")</f>
        <v/>
      </c>
      <c r="J1494" s="61" t="str">
        <f>IFERROR(__xludf.DUMMYFUNCTION("INDIRECT(""'收支紀錄'!J""&amp;TO_TEXT(ROW()-$C$72))"),"")</f>
        <v/>
      </c>
      <c r="K1494" s="61" t="str">
        <f>IFERROR(__xludf.DUMMYFUNCTION("INDIRECT(""'收支紀錄'!K""&amp;TO_TEXT(ROW()-$C$72))"),"")</f>
        <v/>
      </c>
      <c r="L1494" s="61" t="str">
        <f>IFERROR(__xludf.DUMMYFUNCTION("INDIRECT(""'收支紀錄'!L""&amp;TO_TEXT(ROW()-$C$72))"),"")</f>
        <v/>
      </c>
      <c r="M1494" s="61" t="str">
        <f>IFERROR(__xludf.DUMMYFUNCTION("INDIRECT(""'收支紀錄'!M""&amp;TO_TEXT(ROW()-$C$72))"),"")</f>
        <v/>
      </c>
      <c r="N1494" s="61" t="str">
        <f>IFERROR(__xludf.DUMMYFUNCTION("INDIRECT(""'收支紀錄'!N""&amp;TO_TEXT(ROW()-$C$72))"),"")</f>
        <v/>
      </c>
      <c r="O1494" s="61" t="str">
        <f>IFERROR(__xludf.DUMMYFUNCTION("INDIRECT(""'收支紀錄'!O""&amp;TO_TEXT(ROW()-$C$72))"),"")</f>
        <v/>
      </c>
      <c r="P1494" s="61" t="str">
        <f>IFERROR(__xludf.DUMMYFUNCTION("INDIRECT(""'收支紀錄'!P""&amp;TO_TEXT(ROW()-$C$72))"),"")</f>
        <v/>
      </c>
      <c r="Q1494" s="61" t="str">
        <f>IFERROR(__xludf.DUMMYFUNCTION("INDIRECT(""'收支紀錄'!Q""&amp;TO_TEXT(ROW()-$C$72))"),"")</f>
        <v/>
      </c>
      <c r="R1494" s="61" t="str">
        <f>IFERROR(__xludf.DUMMYFUNCTION("INDIRECT(""'收支紀錄'!R""&amp;TO_TEXT(ROW()-$C$72))"),"")</f>
        <v/>
      </c>
      <c r="S1494" s="61" t="str">
        <f>IFERROR(__xludf.DUMMYFUNCTION("INDIRECT(""'收支紀錄'!S""&amp;TO_TEXT(ROW()-$C$72))"),"")</f>
        <v/>
      </c>
      <c r="T1494" s="61" t="str">
        <f>IFERROR(__xludf.DUMMYFUNCTION("INDIRECT(""'收支紀錄'!T""&amp;TO_TEXT(ROW()-$C$72))"),"")</f>
        <v/>
      </c>
      <c r="U1494" s="62" t="str">
        <f>IFERROR(__xludf.DUMMYFUNCTION("IF(T1494=""是"",TEXTJOIN("""", TRUE, ""$"", TO_TEXT(C1494), S1494),"""")"),"")</f>
        <v/>
      </c>
    </row>
    <row r="1495">
      <c r="A1495" s="58">
        <f>IFERROR(__xludf.DUMMYFUNCTION("INDIRECT(""'收支紀錄'!A""&amp;TO_TEXT(ROW()-$C$72))"),46084.93195940972)</f>
        <v>46084.93196</v>
      </c>
      <c r="B1495" s="59">
        <f>IFERROR(__xludf.DUMMYFUNCTION("IF(ISBLANK(D1495), """", IF(ISDATE(D1495), D1495, IF(D1495=""今天"", A1495, IF(D1495=""昨天 (-1 day)"", A1495-1, IF(D1495=""前天 (-2 days)"", A1495-2, IF(D1495=""明天 (+1 day)"", A1495+1, DATE(LEFT(D1495,4), MID(D1495,5,2), RIGHT(D1495,2))))))))"),46064.0)</f>
        <v>46064</v>
      </c>
      <c r="C1495" s="60">
        <f>IFERROR(__xludf.DUMMYFUNCTION("INDIRECT(""'收支紀錄'!C""&amp;TO_TEXT(ROW()-$C$72))"),2200.0)</f>
        <v>2200</v>
      </c>
      <c r="D1495" s="63">
        <f>IFERROR(__xludf.DUMMYFUNCTION("INDIRECT(""'收支紀錄'!D""&amp;TO_TEXT(ROW()-$C$72))"),2.0260211E7)</f>
        <v>20260211</v>
      </c>
      <c r="E1495" s="61" t="str">
        <f>IFERROR(__xludf.DUMMYFUNCTION("INDIRECT(""'收支紀錄'!E""&amp;TO_TEXT(ROW()-$C$72))"),"其他業外")</f>
        <v>其他業外</v>
      </c>
      <c r="F1495" s="61" t="str">
        <f>IFERROR(__xludf.DUMMYFUNCTION("INDIRECT(""'收支紀錄'!F""&amp;TO_TEXT(ROW()-$C$72))"),"")</f>
        <v/>
      </c>
      <c r="G1495" s="61" t="str">
        <f>IFERROR(__xludf.DUMMYFUNCTION("INDIRECT(""'收支紀錄'!G""&amp;TO_TEXT(ROW()-$C$72))"),"股票配息")</f>
        <v>股票配息</v>
      </c>
      <c r="H1495" s="61" t="str">
        <f>IFERROR(__xludf.DUMMYFUNCTION("INDIRECT(""'收支紀錄'!H""&amp;TO_TEXT(ROW()-$C$72))"),"")</f>
        <v/>
      </c>
      <c r="I1495" s="61" t="str">
        <f>IFERROR(__xludf.DUMMYFUNCTION("INDIRECT(""'收支紀錄'!I""&amp;TO_TEXT(ROW()-$C$72))"),"")</f>
        <v/>
      </c>
      <c r="J1495" s="61" t="str">
        <f>IFERROR(__xludf.DUMMYFUNCTION("INDIRECT(""'收支紀錄'!J""&amp;TO_TEXT(ROW()-$C$72))"),"")</f>
        <v/>
      </c>
      <c r="K1495" s="61" t="str">
        <f>IFERROR(__xludf.DUMMYFUNCTION("INDIRECT(""'收支紀錄'!K""&amp;TO_TEXT(ROW()-$C$72))"),"")</f>
        <v/>
      </c>
      <c r="L1495" s="61" t="str">
        <f>IFERROR(__xludf.DUMMYFUNCTION("INDIRECT(""'收支紀錄'!L""&amp;TO_TEXT(ROW()-$C$72))"),"")</f>
        <v/>
      </c>
      <c r="M1495" s="61" t="str">
        <f>IFERROR(__xludf.DUMMYFUNCTION("INDIRECT(""'收支紀錄'!M""&amp;TO_TEXT(ROW()-$C$72))"),"")</f>
        <v/>
      </c>
      <c r="N1495" s="61" t="str">
        <f>IFERROR(__xludf.DUMMYFUNCTION("INDIRECT(""'收支紀錄'!N""&amp;TO_TEXT(ROW()-$C$72))"),"")</f>
        <v/>
      </c>
      <c r="O1495" s="61" t="str">
        <f>IFERROR(__xludf.DUMMYFUNCTION("INDIRECT(""'收支紀錄'!O""&amp;TO_TEXT(ROW()-$C$72))"),"")</f>
        <v/>
      </c>
      <c r="P1495" s="61" t="str">
        <f>IFERROR(__xludf.DUMMYFUNCTION("INDIRECT(""'收支紀錄'!P""&amp;TO_TEXT(ROW()-$C$72))"),"")</f>
        <v/>
      </c>
      <c r="Q1495" s="61" t="str">
        <f>IFERROR(__xludf.DUMMYFUNCTION("INDIRECT(""'收支紀錄'!Q""&amp;TO_TEXT(ROW()-$C$72))"),"")</f>
        <v/>
      </c>
      <c r="R1495" s="61" t="str">
        <f>IFERROR(__xludf.DUMMYFUNCTION("INDIRECT(""'收支紀錄'!R""&amp;TO_TEXT(ROW()-$C$72))"),"")</f>
        <v/>
      </c>
      <c r="S1495" s="61" t="str">
        <f>IFERROR(__xludf.DUMMYFUNCTION("INDIRECT(""'收支紀錄'!S""&amp;TO_TEXT(ROW()-$C$72))"),"元大50")</f>
        <v>元大50</v>
      </c>
      <c r="T1495" s="61" t="str">
        <f>IFERROR(__xludf.DUMMYFUNCTION("INDIRECT(""'收支紀錄'!T""&amp;TO_TEXT(ROW()-$C$72))"),"是")</f>
        <v>是</v>
      </c>
      <c r="U1495" s="62" t="str">
        <f>IFERROR(__xludf.DUMMYFUNCTION("IF(T1495=""是"",TEXTJOIN("""", TRUE, ""$"", TO_TEXT(C1495), S1495),"""")"),"$2200元大50")</f>
        <v>$2200元大50</v>
      </c>
    </row>
    <row r="1496">
      <c r="A1496" s="58">
        <f>IFERROR(__xludf.DUMMYFUNCTION("INDIRECT(""'收支紀錄'!A""&amp;TO_TEXT(ROW()-$C$72))"),46085.93293127315)</f>
        <v>46085.93293</v>
      </c>
      <c r="B1496" s="59">
        <f>IFERROR(__xludf.DUMMYFUNCTION("IF(ISBLANK(D1496), """", IF(ISDATE(D1496), D1496, IF(D1496=""今天"", A1496, IF(D1496=""昨天 (-1 day)"", A1496-1, IF(D1496=""前天 (-2 days)"", A1496-2, IF(D1496=""明天 (+1 day)"", A1496+1, DATE(LEFT(D1496,4), MID(D1496,5,2), RIGHT(D1496,2))))))))"),46085.93293127315)</f>
        <v>46085.93293</v>
      </c>
      <c r="C1496" s="60">
        <f>IFERROR(__xludf.DUMMYFUNCTION("INDIRECT(""'收支紀錄'!C""&amp;TO_TEXT(ROW()-$C$72))"),7802.0)</f>
        <v>7802</v>
      </c>
      <c r="D1496" s="63" t="str">
        <f>IFERROR(__xludf.DUMMYFUNCTION("INDIRECT(""'收支紀錄'!D""&amp;TO_TEXT(ROW()-$C$72))"),"今天")</f>
        <v>今天</v>
      </c>
      <c r="E1496" s="61" t="str">
        <f>IFERROR(__xludf.DUMMYFUNCTION("INDIRECT(""'收支紀錄'!E""&amp;TO_TEXT(ROW()-$C$72))"),"")</f>
        <v/>
      </c>
      <c r="F1496" s="61" t="str">
        <f>IFERROR(__xludf.DUMMYFUNCTION("INDIRECT(""'收支紀錄'!F""&amp;TO_TEXT(ROW()-$C$72))"),"")</f>
        <v/>
      </c>
      <c r="G1496" s="61" t="str">
        <f>IFERROR(__xludf.DUMMYFUNCTION("INDIRECT(""'收支紀錄'!G""&amp;TO_TEXT(ROW()-$C$72))"),"")</f>
        <v/>
      </c>
      <c r="H1496" s="61" t="str">
        <f>IFERROR(__xludf.DUMMYFUNCTION("INDIRECT(""'收支紀錄'!H""&amp;TO_TEXT(ROW()-$C$72))"),"房屋支出")</f>
        <v>房屋支出</v>
      </c>
      <c r="I1496" s="61" t="str">
        <f>IFERROR(__xludf.DUMMYFUNCTION("INDIRECT(""'收支紀錄'!I""&amp;TO_TEXT(ROW()-$C$72))"),"")</f>
        <v/>
      </c>
      <c r="J1496" s="61" t="str">
        <f>IFERROR(__xludf.DUMMYFUNCTION("INDIRECT(""'收支紀錄'!J""&amp;TO_TEXT(ROW()-$C$72))"),"")</f>
        <v/>
      </c>
      <c r="K1496" s="61" t="str">
        <f>IFERROR(__xludf.DUMMYFUNCTION("INDIRECT(""'收支紀錄'!K""&amp;TO_TEXT(ROW()-$C$72))"),"管理費")</f>
        <v>管理費</v>
      </c>
      <c r="L1496" s="61" t="str">
        <f>IFERROR(__xludf.DUMMYFUNCTION("INDIRECT(""'收支紀錄'!L""&amp;TO_TEXT(ROW()-$C$72))"),"")</f>
        <v/>
      </c>
      <c r="M1496" s="61" t="str">
        <f>IFERROR(__xludf.DUMMYFUNCTION("INDIRECT(""'收支紀錄'!M""&amp;TO_TEXT(ROW()-$C$72))"),"")</f>
        <v/>
      </c>
      <c r="N1496" s="61" t="str">
        <f>IFERROR(__xludf.DUMMYFUNCTION("INDIRECT(""'收支紀錄'!N""&amp;TO_TEXT(ROW()-$C$72))"),"")</f>
        <v/>
      </c>
      <c r="O1496" s="61" t="str">
        <f>IFERROR(__xludf.DUMMYFUNCTION("INDIRECT(""'收支紀錄'!O""&amp;TO_TEXT(ROW()-$C$72))"),"")</f>
        <v/>
      </c>
      <c r="P1496" s="61" t="str">
        <f>IFERROR(__xludf.DUMMYFUNCTION("INDIRECT(""'收支紀錄'!P""&amp;TO_TEXT(ROW()-$C$72))"),"")</f>
        <v/>
      </c>
      <c r="Q1496" s="61" t="str">
        <f>IFERROR(__xludf.DUMMYFUNCTION("INDIRECT(""'收支紀錄'!Q""&amp;TO_TEXT(ROW()-$C$72))"),"")</f>
        <v/>
      </c>
      <c r="R1496" s="61" t="str">
        <f>IFERROR(__xludf.DUMMYFUNCTION("INDIRECT(""'收支紀錄'!R""&amp;TO_TEXT(ROW()-$C$72))"),"")</f>
        <v/>
      </c>
      <c r="S1496" s="61" t="str">
        <f>IFERROR(__xludf.DUMMYFUNCTION("INDIRECT(""'收支紀錄'!S""&amp;TO_TEXT(ROW()-$C$72))"),"")</f>
        <v/>
      </c>
      <c r="T1496" s="61" t="str">
        <f>IFERROR(__xludf.DUMMYFUNCTION("INDIRECT(""'收支紀錄'!T""&amp;TO_TEXT(ROW()-$C$72))"),"")</f>
        <v/>
      </c>
      <c r="U1496" s="62" t="str">
        <f>IFERROR(__xludf.DUMMYFUNCTION("IF(T1496=""是"",TEXTJOIN("""", TRUE, ""$"", TO_TEXT(C1496), S1496),"""")"),"")</f>
        <v/>
      </c>
    </row>
    <row r="1497">
      <c r="A1497" s="58">
        <f>IFERROR(__xludf.DUMMYFUNCTION("INDIRECT(""'收支紀錄'!A""&amp;TO_TEXT(ROW()-$C$72))"),46086.906317245375)</f>
        <v>46086.90632</v>
      </c>
      <c r="B1497" s="59">
        <f>IFERROR(__xludf.DUMMYFUNCTION("IF(ISBLANK(D1497), """", IF(ISDATE(D1497), D1497, IF(D1497=""今天"", A1497, IF(D1497=""昨天 (-1 day)"", A1497-1, IF(D1497=""前天 (-2 days)"", A1497-2, IF(D1497=""明天 (+1 day)"", A1497+1, DATE(LEFT(D1497,4), MID(D1497,5,2), RIGHT(D1497,2))))))))"),46086.906317245375)</f>
        <v>46086.90632</v>
      </c>
      <c r="C1497" s="60">
        <f>IFERROR(__xludf.DUMMYFUNCTION("INDIRECT(""'收支紀錄'!C""&amp;TO_TEXT(ROW()-$C$72))"),107300.0)</f>
        <v>107300</v>
      </c>
      <c r="D1497" s="63" t="str">
        <f>IFERROR(__xludf.DUMMYFUNCTION("INDIRECT(""'收支紀錄'!D""&amp;TO_TEXT(ROW()-$C$72))"),"今天")</f>
        <v>今天</v>
      </c>
      <c r="E1497" s="61" t="str">
        <f>IFERROR(__xludf.DUMMYFUNCTION("INDIRECT(""'收支紀錄'!E""&amp;TO_TEXT(ROW()-$C$72))"),"工作")</f>
        <v>工作</v>
      </c>
      <c r="F1497" s="61" t="str">
        <f>IFERROR(__xludf.DUMMYFUNCTION("INDIRECT(""'收支紀錄'!F""&amp;TO_TEXT(ROW()-$C$72))"),"底薪")</f>
        <v>底薪</v>
      </c>
      <c r="G1497" s="61" t="str">
        <f>IFERROR(__xludf.DUMMYFUNCTION("INDIRECT(""'收支紀錄'!G""&amp;TO_TEXT(ROW()-$C$72))"),"")</f>
        <v/>
      </c>
      <c r="H1497" s="61" t="str">
        <f>IFERROR(__xludf.DUMMYFUNCTION("INDIRECT(""'收支紀錄'!H""&amp;TO_TEXT(ROW()-$C$72))"),"")</f>
        <v/>
      </c>
      <c r="I1497" s="61" t="str">
        <f>IFERROR(__xludf.DUMMYFUNCTION("INDIRECT(""'收支紀錄'!I""&amp;TO_TEXT(ROW()-$C$72))"),"")</f>
        <v/>
      </c>
      <c r="J1497" s="61" t="str">
        <f>IFERROR(__xludf.DUMMYFUNCTION("INDIRECT(""'收支紀錄'!J""&amp;TO_TEXT(ROW()-$C$72))"),"")</f>
        <v/>
      </c>
      <c r="K1497" s="61" t="str">
        <f>IFERROR(__xludf.DUMMYFUNCTION("INDIRECT(""'收支紀錄'!K""&amp;TO_TEXT(ROW()-$C$72))"),"")</f>
        <v/>
      </c>
      <c r="L1497" s="61" t="str">
        <f>IFERROR(__xludf.DUMMYFUNCTION("INDIRECT(""'收支紀錄'!L""&amp;TO_TEXT(ROW()-$C$72))"),"")</f>
        <v/>
      </c>
      <c r="M1497" s="61" t="str">
        <f>IFERROR(__xludf.DUMMYFUNCTION("INDIRECT(""'收支紀錄'!M""&amp;TO_TEXT(ROW()-$C$72))"),"")</f>
        <v/>
      </c>
      <c r="N1497" s="61" t="str">
        <f>IFERROR(__xludf.DUMMYFUNCTION("INDIRECT(""'收支紀錄'!N""&amp;TO_TEXT(ROW()-$C$72))"),"")</f>
        <v/>
      </c>
      <c r="O1497" s="61" t="str">
        <f>IFERROR(__xludf.DUMMYFUNCTION("INDIRECT(""'收支紀錄'!O""&amp;TO_TEXT(ROW()-$C$72))"),"")</f>
        <v/>
      </c>
      <c r="P1497" s="61" t="str">
        <f>IFERROR(__xludf.DUMMYFUNCTION("INDIRECT(""'收支紀錄'!P""&amp;TO_TEXT(ROW()-$C$72))"),"")</f>
        <v/>
      </c>
      <c r="Q1497" s="61" t="str">
        <f>IFERROR(__xludf.DUMMYFUNCTION("INDIRECT(""'收支紀錄'!Q""&amp;TO_TEXT(ROW()-$C$72))"),"")</f>
        <v/>
      </c>
      <c r="R1497" s="61" t="str">
        <f>IFERROR(__xludf.DUMMYFUNCTION("INDIRECT(""'收支紀錄'!R""&amp;TO_TEXT(ROW()-$C$72))"),"")</f>
        <v/>
      </c>
      <c r="S1497" s="61" t="str">
        <f>IFERROR(__xludf.DUMMYFUNCTION("INDIRECT(""'收支紀錄'!S""&amp;TO_TEXT(ROW()-$C$72))"),"")</f>
        <v/>
      </c>
      <c r="T1497" s="61" t="str">
        <f>IFERROR(__xludf.DUMMYFUNCTION("INDIRECT(""'收支紀錄'!T""&amp;TO_TEXT(ROW()-$C$72))"),"")</f>
        <v/>
      </c>
      <c r="U1497" s="62" t="str">
        <f>IFERROR(__xludf.DUMMYFUNCTION("IF(T1497=""是"",TEXTJOIN("""", TRUE, ""$"", TO_TEXT(C1497), S1497),"""")"),"")</f>
        <v/>
      </c>
    </row>
    <row r="1498">
      <c r="A1498" s="58">
        <f>IFERROR(__xludf.DUMMYFUNCTION("INDIRECT(""'收支紀錄'!A""&amp;TO_TEXT(ROW()-$C$72))"),46086.90663810185)</f>
        <v>46086.90664</v>
      </c>
      <c r="B1498" s="59">
        <f>IFERROR(__xludf.DUMMYFUNCTION("IF(ISBLANK(D1498), """", IF(ISDATE(D1498), D1498, IF(D1498=""今天"", A1498, IF(D1498=""昨天 (-1 day)"", A1498-1, IF(D1498=""前天 (-2 days)"", A1498-2, IF(D1498=""明天 (+1 day)"", A1498+1, DATE(LEFT(D1498,4), MID(D1498,5,2), RIGHT(D1498,2))))))))"),46086.90663810185)</f>
        <v>46086.90664</v>
      </c>
      <c r="C1498" s="60">
        <f>IFERROR(__xludf.DUMMYFUNCTION("INDIRECT(""'收支紀錄'!C""&amp;TO_TEXT(ROW()-$C$72))"),1284.0)</f>
        <v>1284</v>
      </c>
      <c r="D1498" s="63" t="str">
        <f>IFERROR(__xludf.DUMMYFUNCTION("INDIRECT(""'收支紀錄'!D""&amp;TO_TEXT(ROW()-$C$72))"),"今天")</f>
        <v>今天</v>
      </c>
      <c r="E1498" s="61" t="str">
        <f>IFERROR(__xludf.DUMMYFUNCTION("INDIRECT(""'收支紀錄'!E""&amp;TO_TEXT(ROW()-$C$72))"),"")</f>
        <v/>
      </c>
      <c r="F1498" s="61" t="str">
        <f>IFERROR(__xludf.DUMMYFUNCTION("INDIRECT(""'收支紀錄'!F""&amp;TO_TEXT(ROW()-$C$72))"),"")</f>
        <v/>
      </c>
      <c r="G1498" s="61" t="str">
        <f>IFERROR(__xludf.DUMMYFUNCTION("INDIRECT(""'收支紀錄'!G""&amp;TO_TEXT(ROW()-$C$72))"),"")</f>
        <v/>
      </c>
      <c r="H1498" s="61" t="str">
        <f>IFERROR(__xludf.DUMMYFUNCTION("INDIRECT(""'收支紀錄'!H""&amp;TO_TEXT(ROW()-$C$72))"),"食品酒水")</f>
        <v>食品酒水</v>
      </c>
      <c r="I1498" s="61" t="str">
        <f>IFERROR(__xludf.DUMMYFUNCTION("INDIRECT(""'收支紀錄'!I""&amp;TO_TEXT(ROW()-$C$72))"),"前月公司餐費扣款")</f>
        <v>前月公司餐費扣款</v>
      </c>
      <c r="J1498" s="61" t="str">
        <f>IFERROR(__xludf.DUMMYFUNCTION("INDIRECT(""'收支紀錄'!J""&amp;TO_TEXT(ROW()-$C$72))"),"")</f>
        <v/>
      </c>
      <c r="K1498" s="61" t="str">
        <f>IFERROR(__xludf.DUMMYFUNCTION("INDIRECT(""'收支紀錄'!K""&amp;TO_TEXT(ROW()-$C$72))"),"")</f>
        <v/>
      </c>
      <c r="L1498" s="61" t="str">
        <f>IFERROR(__xludf.DUMMYFUNCTION("INDIRECT(""'收支紀錄'!L""&amp;TO_TEXT(ROW()-$C$72))"),"")</f>
        <v/>
      </c>
      <c r="M1498" s="61" t="str">
        <f>IFERROR(__xludf.DUMMYFUNCTION("INDIRECT(""'收支紀錄'!M""&amp;TO_TEXT(ROW()-$C$72))"),"")</f>
        <v/>
      </c>
      <c r="N1498" s="61" t="str">
        <f>IFERROR(__xludf.DUMMYFUNCTION("INDIRECT(""'收支紀錄'!N""&amp;TO_TEXT(ROW()-$C$72))"),"")</f>
        <v/>
      </c>
      <c r="O1498" s="61" t="str">
        <f>IFERROR(__xludf.DUMMYFUNCTION("INDIRECT(""'收支紀錄'!O""&amp;TO_TEXT(ROW()-$C$72))"),"")</f>
        <v/>
      </c>
      <c r="P1498" s="61" t="str">
        <f>IFERROR(__xludf.DUMMYFUNCTION("INDIRECT(""'收支紀錄'!P""&amp;TO_TEXT(ROW()-$C$72))"),"")</f>
        <v/>
      </c>
      <c r="Q1498" s="61" t="str">
        <f>IFERROR(__xludf.DUMMYFUNCTION("INDIRECT(""'收支紀錄'!Q""&amp;TO_TEXT(ROW()-$C$72))"),"")</f>
        <v/>
      </c>
      <c r="R1498" s="61" t="str">
        <f>IFERROR(__xludf.DUMMYFUNCTION("INDIRECT(""'收支紀錄'!R""&amp;TO_TEXT(ROW()-$C$72))"),"")</f>
        <v/>
      </c>
      <c r="S1498" s="61" t="str">
        <f>IFERROR(__xludf.DUMMYFUNCTION("INDIRECT(""'收支紀錄'!S""&amp;TO_TEXT(ROW()-$C$72))"),"")</f>
        <v/>
      </c>
      <c r="T1498" s="61" t="str">
        <f>IFERROR(__xludf.DUMMYFUNCTION("INDIRECT(""'收支紀錄'!T""&amp;TO_TEXT(ROW()-$C$72))"),"")</f>
        <v/>
      </c>
      <c r="U1498" s="62" t="str">
        <f>IFERROR(__xludf.DUMMYFUNCTION("IF(T1498=""是"",TEXTJOIN("""", TRUE, ""$"", TO_TEXT(C1498), S1498),"""")"),"")</f>
        <v/>
      </c>
    </row>
    <row r="1499">
      <c r="A1499" s="58">
        <f>IFERROR(__xludf.DUMMYFUNCTION("INDIRECT(""'收支紀錄'!A""&amp;TO_TEXT(ROW()-$C$72))"),46086.907089733795)</f>
        <v>46086.90709</v>
      </c>
      <c r="B1499" s="59">
        <f>IFERROR(__xludf.DUMMYFUNCTION("IF(ISBLANK(D1499), """", IF(ISDATE(D1499), D1499, IF(D1499=""今天"", A1499, IF(D1499=""昨天 (-1 day)"", A1499-1, IF(D1499=""前天 (-2 days)"", A1499-2, IF(D1499=""明天 (+1 day)"", A1499+1, DATE(LEFT(D1499,4), MID(D1499,5,2), RIGHT(D1499,2))))))))"),46086.907089733795)</f>
        <v>46086.90709</v>
      </c>
      <c r="C1499" s="60">
        <f>IFERROR(__xludf.DUMMYFUNCTION("INDIRECT(""'收支紀錄'!C""&amp;TO_TEXT(ROW()-$C$72))"),4292.0)</f>
        <v>4292</v>
      </c>
      <c r="D1499" s="63" t="str">
        <f>IFERROR(__xludf.DUMMYFUNCTION("INDIRECT(""'收支紀錄'!D""&amp;TO_TEXT(ROW()-$C$72))"),"今天")</f>
        <v>今天</v>
      </c>
      <c r="E1499" s="61" t="str">
        <f>IFERROR(__xludf.DUMMYFUNCTION("INDIRECT(""'收支紀錄'!E""&amp;TO_TEXT(ROW()-$C$72))"),"")</f>
        <v/>
      </c>
      <c r="F1499" s="61" t="str">
        <f>IFERROR(__xludf.DUMMYFUNCTION("INDIRECT(""'收支紀錄'!F""&amp;TO_TEXT(ROW()-$C$72))"),"")</f>
        <v/>
      </c>
      <c r="G1499" s="61" t="str">
        <f>IFERROR(__xludf.DUMMYFUNCTION("INDIRECT(""'收支紀錄'!G""&amp;TO_TEXT(ROW()-$C$72))"),"")</f>
        <v/>
      </c>
      <c r="H1499" s="61" t="str">
        <f>IFERROR(__xludf.DUMMYFUNCTION("INDIRECT(""'收支紀錄'!H""&amp;TO_TEXT(ROW()-$C$72))"),"投資及其他")</f>
        <v>投資及其他</v>
      </c>
      <c r="I1499" s="61" t="str">
        <f>IFERROR(__xludf.DUMMYFUNCTION("INDIRECT(""'收支紀錄'!I""&amp;TO_TEXT(ROW()-$C$72))"),"")</f>
        <v/>
      </c>
      <c r="J1499" s="61" t="str">
        <f>IFERROR(__xludf.DUMMYFUNCTION("INDIRECT(""'收支紀錄'!J""&amp;TO_TEXT(ROW()-$C$72))"),"")</f>
        <v/>
      </c>
      <c r="K1499" s="61" t="str">
        <f>IFERROR(__xludf.DUMMYFUNCTION("INDIRECT(""'收支紀錄'!K""&amp;TO_TEXT(ROW()-$C$72))"),"")</f>
        <v/>
      </c>
      <c r="L1499" s="61" t="str">
        <f>IFERROR(__xludf.DUMMYFUNCTION("INDIRECT(""'收支紀錄'!L""&amp;TO_TEXT(ROW()-$C$72))"),"")</f>
        <v/>
      </c>
      <c r="M1499" s="61" t="str">
        <f>IFERROR(__xludf.DUMMYFUNCTION("INDIRECT(""'收支紀錄'!M""&amp;TO_TEXT(ROW()-$C$72))"),"")</f>
        <v/>
      </c>
      <c r="N1499" s="61" t="str">
        <f>IFERROR(__xludf.DUMMYFUNCTION("INDIRECT(""'收支紀錄'!N""&amp;TO_TEXT(ROW()-$C$72))"),"")</f>
        <v/>
      </c>
      <c r="O1499" s="61" t="str">
        <f>IFERROR(__xludf.DUMMYFUNCTION("INDIRECT(""'收支紀錄'!O""&amp;TO_TEXT(ROW()-$C$72))"),"")</f>
        <v/>
      </c>
      <c r="P1499" s="61" t="str">
        <f>IFERROR(__xludf.DUMMYFUNCTION("INDIRECT(""'收支紀錄'!P""&amp;TO_TEXT(ROW()-$C$72))"),"")</f>
        <v/>
      </c>
      <c r="Q1499" s="61" t="str">
        <f>IFERROR(__xludf.DUMMYFUNCTION("INDIRECT(""'收支紀錄'!Q""&amp;TO_TEXT(ROW()-$C$72))"),"")</f>
        <v/>
      </c>
      <c r="R1499" s="61" t="str">
        <f>IFERROR(__xludf.DUMMYFUNCTION("INDIRECT(""'收支紀錄'!R""&amp;TO_TEXT(ROW()-$C$72))"),"公司認股")</f>
        <v>公司認股</v>
      </c>
      <c r="S1499" s="61" t="str">
        <f>IFERROR(__xludf.DUMMYFUNCTION("INDIRECT(""'收支紀錄'!S""&amp;TO_TEXT(ROW()-$C$72))"),"")</f>
        <v/>
      </c>
      <c r="T1499" s="61" t="str">
        <f>IFERROR(__xludf.DUMMYFUNCTION("INDIRECT(""'收支紀錄'!T""&amp;TO_TEXT(ROW()-$C$72))"),"")</f>
        <v/>
      </c>
      <c r="U1499" s="62" t="str">
        <f>IFERROR(__xludf.DUMMYFUNCTION("IF(T1499=""是"",TEXTJOIN("""", TRUE, ""$"", TO_TEXT(C1499), S1499),"""")"),"")</f>
        <v/>
      </c>
    </row>
    <row r="1500">
      <c r="A1500" s="58">
        <f>IFERROR(__xludf.DUMMYFUNCTION("INDIRECT(""'收支紀錄'!A""&amp;TO_TEXT(ROW()-$C$72))"),46086.90773039352)</f>
        <v>46086.90773</v>
      </c>
      <c r="B1500" s="59">
        <f>IFERROR(__xludf.DUMMYFUNCTION("IF(ISBLANK(D1500), """", IF(ISDATE(D1500), D1500, IF(D1500=""今天"", A1500, IF(D1500=""昨天 (-1 day)"", A1500-1, IF(D1500=""前天 (-2 days)"", A1500-2, IF(D1500=""明天 (+1 day)"", A1500+1, DATE(LEFT(D1500,4), MID(D1500,5,2), RIGHT(D1500,2))))))))"),46086.90773039352)</f>
        <v>46086.90773</v>
      </c>
      <c r="C1500" s="60">
        <f>IFERROR(__xludf.DUMMYFUNCTION("INDIRECT(""'收支紀錄'!C""&amp;TO_TEXT(ROW()-$C$72))"),6201.0)</f>
        <v>6201</v>
      </c>
      <c r="D1500" s="63" t="str">
        <f>IFERROR(__xludf.DUMMYFUNCTION("INDIRECT(""'收支紀錄'!D""&amp;TO_TEXT(ROW()-$C$72))"),"今天")</f>
        <v>今天</v>
      </c>
      <c r="E1500" s="61" t="str">
        <f>IFERROR(__xludf.DUMMYFUNCTION("INDIRECT(""'收支紀錄'!E""&amp;TO_TEXT(ROW()-$C$72))"),"")</f>
        <v/>
      </c>
      <c r="F1500" s="61" t="str">
        <f>IFERROR(__xludf.DUMMYFUNCTION("INDIRECT(""'收支紀錄'!F""&amp;TO_TEXT(ROW()-$C$72))"),"")</f>
        <v/>
      </c>
      <c r="G1500" s="61" t="str">
        <f>IFERROR(__xludf.DUMMYFUNCTION("INDIRECT(""'收支紀錄'!G""&amp;TO_TEXT(ROW()-$C$72))"),"")</f>
        <v/>
      </c>
      <c r="H1500" s="61" t="str">
        <f>IFERROR(__xludf.DUMMYFUNCTION("INDIRECT(""'收支紀錄'!H""&amp;TO_TEXT(ROW()-$C$72))"),"稅金保險")</f>
        <v>稅金保險</v>
      </c>
      <c r="I1500" s="61" t="str">
        <f>IFERROR(__xludf.DUMMYFUNCTION("INDIRECT(""'收支紀錄'!I""&amp;TO_TEXT(ROW()-$C$72))"),"")</f>
        <v/>
      </c>
      <c r="J1500" s="61" t="str">
        <f>IFERROR(__xludf.DUMMYFUNCTION("INDIRECT(""'收支紀錄'!J""&amp;TO_TEXT(ROW()-$C$72))"),"")</f>
        <v/>
      </c>
      <c r="K1500" s="61" t="str">
        <f>IFERROR(__xludf.DUMMYFUNCTION("INDIRECT(""'收支紀錄'!K""&amp;TO_TEXT(ROW()-$C$72))"),"")</f>
        <v/>
      </c>
      <c r="L1500" s="61" t="str">
        <f>IFERROR(__xludf.DUMMYFUNCTION("INDIRECT(""'收支紀錄'!L""&amp;TO_TEXT(ROW()-$C$72))"),"")</f>
        <v/>
      </c>
      <c r="M1500" s="61" t="str">
        <f>IFERROR(__xludf.DUMMYFUNCTION("INDIRECT(""'收支紀錄'!M""&amp;TO_TEXT(ROW()-$C$72))"),"")</f>
        <v/>
      </c>
      <c r="N1500" s="61" t="str">
        <f>IFERROR(__xludf.DUMMYFUNCTION("INDIRECT(""'收支紀錄'!N""&amp;TO_TEXT(ROW()-$C$72))"),"勞健保")</f>
        <v>勞健保</v>
      </c>
      <c r="O1500" s="61" t="str">
        <f>IFERROR(__xludf.DUMMYFUNCTION("INDIRECT(""'收支紀錄'!O""&amp;TO_TEXT(ROW()-$C$72))"),"")</f>
        <v/>
      </c>
      <c r="P1500" s="61" t="str">
        <f>IFERROR(__xludf.DUMMYFUNCTION("INDIRECT(""'收支紀錄'!P""&amp;TO_TEXT(ROW()-$C$72))"),"")</f>
        <v/>
      </c>
      <c r="Q1500" s="61" t="str">
        <f>IFERROR(__xludf.DUMMYFUNCTION("INDIRECT(""'收支紀錄'!Q""&amp;TO_TEXT(ROW()-$C$72))"),"")</f>
        <v/>
      </c>
      <c r="R1500" s="61" t="str">
        <f>IFERROR(__xludf.DUMMYFUNCTION("INDIRECT(""'收支紀錄'!R""&amp;TO_TEXT(ROW()-$C$72))"),"")</f>
        <v/>
      </c>
      <c r="S1500" s="61" t="str">
        <f>IFERROR(__xludf.DUMMYFUNCTION("INDIRECT(""'收支紀錄'!S""&amp;TO_TEXT(ROW()-$C$72))"),"")</f>
        <v/>
      </c>
      <c r="T1500" s="61" t="str">
        <f>IFERROR(__xludf.DUMMYFUNCTION("INDIRECT(""'收支紀錄'!T""&amp;TO_TEXT(ROW()-$C$72))"),"")</f>
        <v/>
      </c>
      <c r="U1500" s="62" t="str">
        <f>IFERROR(__xludf.DUMMYFUNCTION("IF(T1500=""是"",TEXTJOIN("""", TRUE, ""$"", TO_TEXT(C1500), S1500),"""")"),"")</f>
        <v/>
      </c>
    </row>
    <row r="1501">
      <c r="A1501" s="58">
        <f>IFERROR(__xludf.DUMMYFUNCTION("INDIRECT(""'收支紀錄'!A""&amp;TO_TEXT(ROW()-$C$72))"),46086.90793508102)</f>
        <v>46086.90794</v>
      </c>
      <c r="B1501" s="59">
        <f>IFERROR(__xludf.DUMMYFUNCTION("IF(ISBLANK(D1501), """", IF(ISDATE(D1501), D1501, IF(D1501=""今天"", A1501, IF(D1501=""昨天 (-1 day)"", A1501-1, IF(D1501=""前天 (-2 days)"", A1501-2, IF(D1501=""明天 (+1 day)"", A1501+1, DATE(LEFT(D1501,4), MID(D1501,5,2), RIGHT(D1501,2))))))))"),46086.90793508102)</f>
        <v>46086.90794</v>
      </c>
      <c r="C1501" s="60">
        <f>IFERROR(__xludf.DUMMYFUNCTION("INDIRECT(""'收支紀錄'!C""&amp;TO_TEXT(ROW()-$C$72))"),3450.0)</f>
        <v>3450</v>
      </c>
      <c r="D1501" s="63" t="str">
        <f>IFERROR(__xludf.DUMMYFUNCTION("INDIRECT(""'收支紀錄'!D""&amp;TO_TEXT(ROW()-$C$72))"),"今天")</f>
        <v>今天</v>
      </c>
      <c r="E1501" s="61" t="str">
        <f>IFERROR(__xludf.DUMMYFUNCTION("INDIRECT(""'收支紀錄'!E""&amp;TO_TEXT(ROW()-$C$72))"),"")</f>
        <v/>
      </c>
      <c r="F1501" s="61" t="str">
        <f>IFERROR(__xludf.DUMMYFUNCTION("INDIRECT(""'收支紀錄'!F""&amp;TO_TEXT(ROW()-$C$72))"),"")</f>
        <v/>
      </c>
      <c r="G1501" s="61" t="str">
        <f>IFERROR(__xludf.DUMMYFUNCTION("INDIRECT(""'收支紀錄'!G""&amp;TO_TEXT(ROW()-$C$72))"),"")</f>
        <v/>
      </c>
      <c r="H1501" s="61" t="str">
        <f>IFERROR(__xludf.DUMMYFUNCTION("INDIRECT(""'收支紀錄'!H""&amp;TO_TEXT(ROW()-$C$72))"),"稅金保險")</f>
        <v>稅金保險</v>
      </c>
      <c r="I1501" s="61" t="str">
        <f>IFERROR(__xludf.DUMMYFUNCTION("INDIRECT(""'收支紀錄'!I""&amp;TO_TEXT(ROW()-$C$72))"),"")</f>
        <v/>
      </c>
      <c r="J1501" s="61" t="str">
        <f>IFERROR(__xludf.DUMMYFUNCTION("INDIRECT(""'收支紀錄'!J""&amp;TO_TEXT(ROW()-$C$72))"),"")</f>
        <v/>
      </c>
      <c r="K1501" s="61" t="str">
        <f>IFERROR(__xludf.DUMMYFUNCTION("INDIRECT(""'收支紀錄'!K""&amp;TO_TEXT(ROW()-$C$72))"),"")</f>
        <v/>
      </c>
      <c r="L1501" s="61" t="str">
        <f>IFERROR(__xludf.DUMMYFUNCTION("INDIRECT(""'收支紀錄'!L""&amp;TO_TEXT(ROW()-$C$72))"),"")</f>
        <v/>
      </c>
      <c r="M1501" s="61" t="str">
        <f>IFERROR(__xludf.DUMMYFUNCTION("INDIRECT(""'收支紀錄'!M""&amp;TO_TEXT(ROW()-$C$72))"),"")</f>
        <v/>
      </c>
      <c r="N1501" s="61" t="str">
        <f>IFERROR(__xludf.DUMMYFUNCTION("INDIRECT(""'收支紀錄'!N""&amp;TO_TEXT(ROW()-$C$72))"),"稅金")</f>
        <v>稅金</v>
      </c>
      <c r="O1501" s="61" t="str">
        <f>IFERROR(__xludf.DUMMYFUNCTION("INDIRECT(""'收支紀錄'!O""&amp;TO_TEXT(ROW()-$C$72))"),"")</f>
        <v/>
      </c>
      <c r="P1501" s="61" t="str">
        <f>IFERROR(__xludf.DUMMYFUNCTION("INDIRECT(""'收支紀錄'!P""&amp;TO_TEXT(ROW()-$C$72))"),"")</f>
        <v/>
      </c>
      <c r="Q1501" s="61" t="str">
        <f>IFERROR(__xludf.DUMMYFUNCTION("INDIRECT(""'收支紀錄'!Q""&amp;TO_TEXT(ROW()-$C$72))"),"")</f>
        <v/>
      </c>
      <c r="R1501" s="61" t="str">
        <f>IFERROR(__xludf.DUMMYFUNCTION("INDIRECT(""'收支紀錄'!R""&amp;TO_TEXT(ROW()-$C$72))"),"")</f>
        <v/>
      </c>
      <c r="S1501" s="61" t="str">
        <f>IFERROR(__xludf.DUMMYFUNCTION("INDIRECT(""'收支紀錄'!S""&amp;TO_TEXT(ROW()-$C$72))"),"")</f>
        <v/>
      </c>
      <c r="T1501" s="61" t="str">
        <f>IFERROR(__xludf.DUMMYFUNCTION("INDIRECT(""'收支紀錄'!T""&amp;TO_TEXT(ROW()-$C$72))"),"")</f>
        <v/>
      </c>
      <c r="U1501" s="62" t="str">
        <f>IFERROR(__xludf.DUMMYFUNCTION("IF(T1501=""是"",TEXTJOIN("""", TRUE, ""$"", TO_TEXT(C1501), S1501),"""")"),"")</f>
        <v/>
      </c>
    </row>
    <row r="1502">
      <c r="A1502" s="58">
        <f>IFERROR(__xludf.DUMMYFUNCTION("INDIRECT(""'收支紀錄'!A""&amp;TO_TEXT(ROW()-$C$72))"),46086.90814609954)</f>
        <v>46086.90815</v>
      </c>
      <c r="B1502" s="59">
        <f>IFERROR(__xludf.DUMMYFUNCTION("IF(ISBLANK(D1502), """", IF(ISDATE(D1502), D1502, IF(D1502=""今天"", A1502, IF(D1502=""昨天 (-1 day)"", A1502-1, IF(D1502=""前天 (-2 days)"", A1502-2, IF(D1502=""明天 (+1 day)"", A1502+1, DATE(LEFT(D1502,4), MID(D1502,5,2), RIGHT(D1502,2))))))))"),46086.90814609954)</f>
        <v>46086.90815</v>
      </c>
      <c r="C1502" s="60">
        <f>IFERROR(__xludf.DUMMYFUNCTION("INDIRECT(""'收支紀錄'!C""&amp;TO_TEXT(ROW()-$C$72))"),537.0)</f>
        <v>537</v>
      </c>
      <c r="D1502" s="63" t="str">
        <f>IFERROR(__xludf.DUMMYFUNCTION("INDIRECT(""'收支紀錄'!D""&amp;TO_TEXT(ROW()-$C$72))"),"今天")</f>
        <v>今天</v>
      </c>
      <c r="E1502" s="61" t="str">
        <f>IFERROR(__xludf.DUMMYFUNCTION("INDIRECT(""'收支紀錄'!E""&amp;TO_TEXT(ROW()-$C$72))"),"")</f>
        <v/>
      </c>
      <c r="F1502" s="61" t="str">
        <f>IFERROR(__xludf.DUMMYFUNCTION("INDIRECT(""'收支紀錄'!F""&amp;TO_TEXT(ROW()-$C$72))"),"")</f>
        <v/>
      </c>
      <c r="G1502" s="61" t="str">
        <f>IFERROR(__xludf.DUMMYFUNCTION("INDIRECT(""'收支紀錄'!G""&amp;TO_TEXT(ROW()-$C$72))"),"")</f>
        <v/>
      </c>
      <c r="H1502" s="61" t="str">
        <f>IFERROR(__xludf.DUMMYFUNCTION("INDIRECT(""'收支紀錄'!H""&amp;TO_TEXT(ROW()-$C$72))"),"休閒娛樂")</f>
        <v>休閒娛樂</v>
      </c>
      <c r="I1502" s="61" t="str">
        <f>IFERROR(__xludf.DUMMYFUNCTION("INDIRECT(""'收支紀錄'!I""&amp;TO_TEXT(ROW()-$C$72))"),"")</f>
        <v/>
      </c>
      <c r="J1502" s="61" t="str">
        <f>IFERROR(__xludf.DUMMYFUNCTION("INDIRECT(""'收支紀錄'!J""&amp;TO_TEXT(ROW()-$C$72))"),"")</f>
        <v/>
      </c>
      <c r="K1502" s="61" t="str">
        <f>IFERROR(__xludf.DUMMYFUNCTION("INDIRECT(""'收支紀錄'!K""&amp;TO_TEXT(ROW()-$C$72))"),"")</f>
        <v/>
      </c>
      <c r="L1502" s="61" t="str">
        <f>IFERROR(__xludf.DUMMYFUNCTION("INDIRECT(""'收支紀錄'!L""&amp;TO_TEXT(ROW()-$C$72))"),"")</f>
        <v/>
      </c>
      <c r="M1502" s="61" t="str">
        <f>IFERROR(__xludf.DUMMYFUNCTION("INDIRECT(""'收支紀錄'!M""&amp;TO_TEXT(ROW()-$C$72))"),"公司福利金")</f>
        <v>公司福利金</v>
      </c>
      <c r="N1502" s="61" t="str">
        <f>IFERROR(__xludf.DUMMYFUNCTION("INDIRECT(""'收支紀錄'!N""&amp;TO_TEXT(ROW()-$C$72))"),"")</f>
        <v/>
      </c>
      <c r="O1502" s="61" t="str">
        <f>IFERROR(__xludf.DUMMYFUNCTION("INDIRECT(""'收支紀錄'!O""&amp;TO_TEXT(ROW()-$C$72))"),"")</f>
        <v/>
      </c>
      <c r="P1502" s="61" t="str">
        <f>IFERROR(__xludf.DUMMYFUNCTION("INDIRECT(""'收支紀錄'!P""&amp;TO_TEXT(ROW()-$C$72))"),"")</f>
        <v/>
      </c>
      <c r="Q1502" s="61" t="str">
        <f>IFERROR(__xludf.DUMMYFUNCTION("INDIRECT(""'收支紀錄'!Q""&amp;TO_TEXT(ROW()-$C$72))"),"")</f>
        <v/>
      </c>
      <c r="R1502" s="61" t="str">
        <f>IFERROR(__xludf.DUMMYFUNCTION("INDIRECT(""'收支紀錄'!R""&amp;TO_TEXT(ROW()-$C$72))"),"")</f>
        <v/>
      </c>
      <c r="S1502" s="61" t="str">
        <f>IFERROR(__xludf.DUMMYFUNCTION("INDIRECT(""'收支紀錄'!S""&amp;TO_TEXT(ROW()-$C$72))"),"")</f>
        <v/>
      </c>
      <c r="T1502" s="61" t="str">
        <f>IFERROR(__xludf.DUMMYFUNCTION("INDIRECT(""'收支紀錄'!T""&amp;TO_TEXT(ROW()-$C$72))"),"")</f>
        <v/>
      </c>
      <c r="U1502" s="62" t="str">
        <f>IFERROR(__xludf.DUMMYFUNCTION("IF(T1502=""是"",TEXTJOIN("""", TRUE, ""$"", TO_TEXT(C1502), S1502),"""")"),"")</f>
        <v/>
      </c>
    </row>
    <row r="1503">
      <c r="A1503" s="58">
        <f>IFERROR(__xludf.DUMMYFUNCTION("INDIRECT(""'收支紀錄'!A""&amp;TO_TEXT(ROW()-$C$72))"),46086.90902155093)</f>
        <v>46086.90902</v>
      </c>
      <c r="B1503" s="59">
        <f>IFERROR(__xludf.DUMMYFUNCTION("IF(ISBLANK(D1503), """", IF(ISDATE(D1503), D1503, IF(D1503=""今天"", A1503, IF(D1503=""昨天 (-1 day)"", A1503-1, IF(D1503=""前天 (-2 days)"", A1503-2, IF(D1503=""明天 (+1 day)"", A1503+1, DATE(LEFT(D1503,4), MID(D1503,5,2), RIGHT(D1503,2))))))))"),46086.90902155093)</f>
        <v>46086.90902</v>
      </c>
      <c r="C1503" s="60">
        <f>IFERROR(__xludf.DUMMYFUNCTION("INDIRECT(""'收支紀錄'!C""&amp;TO_TEXT(ROW()-$C$72))"),109.0)</f>
        <v>109</v>
      </c>
      <c r="D1503" s="63" t="str">
        <f>IFERROR(__xludf.DUMMYFUNCTION("INDIRECT(""'收支紀錄'!D""&amp;TO_TEXT(ROW()-$C$72))"),"今天")</f>
        <v>今天</v>
      </c>
      <c r="E1503" s="61" t="str">
        <f>IFERROR(__xludf.DUMMYFUNCTION("INDIRECT(""'收支紀錄'!E""&amp;TO_TEXT(ROW()-$C$72))"),"")</f>
        <v/>
      </c>
      <c r="F1503" s="61" t="str">
        <f>IFERROR(__xludf.DUMMYFUNCTION("INDIRECT(""'收支紀錄'!F""&amp;TO_TEXT(ROW()-$C$72))"),"")</f>
        <v/>
      </c>
      <c r="G1503" s="61" t="str">
        <f>IFERROR(__xludf.DUMMYFUNCTION("INDIRECT(""'收支紀錄'!G""&amp;TO_TEXT(ROW()-$C$72))"),"")</f>
        <v/>
      </c>
      <c r="H1503" s="61" t="str">
        <f>IFERROR(__xludf.DUMMYFUNCTION("INDIRECT(""'收支紀錄'!H""&amp;TO_TEXT(ROW()-$C$72))"),"日常生活")</f>
        <v>日常生活</v>
      </c>
      <c r="I1503" s="61" t="str">
        <f>IFERROR(__xludf.DUMMYFUNCTION("INDIRECT(""'收支紀錄'!I""&amp;TO_TEXT(ROW()-$C$72))"),"")</f>
        <v/>
      </c>
      <c r="J1503" s="61" t="str">
        <f>IFERROR(__xludf.DUMMYFUNCTION("INDIRECT(""'收支紀錄'!J""&amp;TO_TEXT(ROW()-$C$72))"),"日常用品")</f>
        <v>日常用品</v>
      </c>
      <c r="K1503" s="61" t="str">
        <f>IFERROR(__xludf.DUMMYFUNCTION("INDIRECT(""'收支紀錄'!K""&amp;TO_TEXT(ROW()-$C$72))"),"")</f>
        <v/>
      </c>
      <c r="L1503" s="61" t="str">
        <f>IFERROR(__xludf.DUMMYFUNCTION("INDIRECT(""'收支紀錄'!L""&amp;TO_TEXT(ROW()-$C$72))"),"")</f>
        <v/>
      </c>
      <c r="M1503" s="61" t="str">
        <f>IFERROR(__xludf.DUMMYFUNCTION("INDIRECT(""'收支紀錄'!M""&amp;TO_TEXT(ROW()-$C$72))"),"")</f>
        <v/>
      </c>
      <c r="N1503" s="61" t="str">
        <f>IFERROR(__xludf.DUMMYFUNCTION("INDIRECT(""'收支紀錄'!N""&amp;TO_TEXT(ROW()-$C$72))"),"")</f>
        <v/>
      </c>
      <c r="O1503" s="61" t="str">
        <f>IFERROR(__xludf.DUMMYFUNCTION("INDIRECT(""'收支紀錄'!O""&amp;TO_TEXT(ROW()-$C$72))"),"")</f>
        <v/>
      </c>
      <c r="P1503" s="61" t="str">
        <f>IFERROR(__xludf.DUMMYFUNCTION("INDIRECT(""'收支紀錄'!P""&amp;TO_TEXT(ROW()-$C$72))"),"")</f>
        <v/>
      </c>
      <c r="Q1503" s="61" t="str">
        <f>IFERROR(__xludf.DUMMYFUNCTION("INDIRECT(""'收支紀錄'!Q""&amp;TO_TEXT(ROW()-$C$72))"),"")</f>
        <v/>
      </c>
      <c r="R1503" s="61" t="str">
        <f>IFERROR(__xludf.DUMMYFUNCTION("INDIRECT(""'收支紀錄'!R""&amp;TO_TEXT(ROW()-$C$72))"),"")</f>
        <v/>
      </c>
      <c r="S1503" s="61" t="str">
        <f>IFERROR(__xludf.DUMMYFUNCTION("INDIRECT(""'收支紀錄'!S""&amp;TO_TEXT(ROW()-$C$72))"),"")</f>
        <v/>
      </c>
      <c r="T1503" s="61" t="str">
        <f>IFERROR(__xludf.DUMMYFUNCTION("INDIRECT(""'收支紀錄'!T""&amp;TO_TEXT(ROW()-$C$72))"),"")</f>
        <v/>
      </c>
      <c r="U1503" s="62" t="str">
        <f>IFERROR(__xludf.DUMMYFUNCTION("IF(T1503=""是"",TEXTJOIN("""", TRUE, ""$"", TO_TEXT(C1503), S1503),"""")"),"")</f>
        <v/>
      </c>
    </row>
    <row r="1504">
      <c r="A1504" s="58">
        <f>IFERROR(__xludf.DUMMYFUNCTION("INDIRECT(""'收支紀錄'!A""&amp;TO_TEXT(ROW()-$C$72))"),46086.91167570602)</f>
        <v>46086.91168</v>
      </c>
      <c r="B1504" s="59">
        <f>IFERROR(__xludf.DUMMYFUNCTION("IF(ISBLANK(D1504), """", IF(ISDATE(D1504), D1504, IF(D1504=""今天"", A1504, IF(D1504=""昨天 (-1 day)"", A1504-1, IF(D1504=""前天 (-2 days)"", A1504-2, IF(D1504=""明天 (+1 day)"", A1504+1, DATE(LEFT(D1504,4), MID(D1504,5,2), RIGHT(D1504,2))))))))"),46081.0)</f>
        <v>46081</v>
      </c>
      <c r="C1504" s="60">
        <f>IFERROR(__xludf.DUMMYFUNCTION("INDIRECT(""'收支紀錄'!C""&amp;TO_TEXT(ROW()-$C$72))"),70.0)</f>
        <v>70</v>
      </c>
      <c r="D1504" s="63">
        <f>IFERROR(__xludf.DUMMYFUNCTION("INDIRECT(""'收支紀錄'!D""&amp;TO_TEXT(ROW()-$C$72))"),2.0260228E7)</f>
        <v>20260228</v>
      </c>
      <c r="E1504" s="61" t="str">
        <f>IFERROR(__xludf.DUMMYFUNCTION("INDIRECT(""'收支紀錄'!E""&amp;TO_TEXT(ROW()-$C$72))"),"")</f>
        <v/>
      </c>
      <c r="F1504" s="61" t="str">
        <f>IFERROR(__xludf.DUMMYFUNCTION("INDIRECT(""'收支紀錄'!F""&amp;TO_TEXT(ROW()-$C$72))"),"")</f>
        <v/>
      </c>
      <c r="G1504" s="61" t="str">
        <f>IFERROR(__xludf.DUMMYFUNCTION("INDIRECT(""'收支紀錄'!G""&amp;TO_TEXT(ROW()-$C$72))"),"")</f>
        <v/>
      </c>
      <c r="H1504" s="61" t="str">
        <f>IFERROR(__xludf.DUMMYFUNCTION("INDIRECT(""'收支紀錄'!H""&amp;TO_TEXT(ROW()-$C$72))"),"行車交通")</f>
        <v>行車交通</v>
      </c>
      <c r="I1504" s="61" t="str">
        <f>IFERROR(__xludf.DUMMYFUNCTION("INDIRECT(""'收支紀錄'!I""&amp;TO_TEXT(ROW()-$C$72))"),"")</f>
        <v/>
      </c>
      <c r="J1504" s="61" t="str">
        <f>IFERROR(__xludf.DUMMYFUNCTION("INDIRECT(""'收支紀錄'!J""&amp;TO_TEXT(ROW()-$C$72))"),"")</f>
        <v/>
      </c>
      <c r="K1504" s="61" t="str">
        <f>IFERROR(__xludf.DUMMYFUNCTION("INDIRECT(""'收支紀錄'!K""&amp;TO_TEXT(ROW()-$C$72))"),"")</f>
        <v/>
      </c>
      <c r="L1504" s="61" t="str">
        <f>IFERROR(__xludf.DUMMYFUNCTION("INDIRECT(""'收支紀錄'!L""&amp;TO_TEXT(ROW()-$C$72))"),"停車")</f>
        <v>停車</v>
      </c>
      <c r="M1504" s="61" t="str">
        <f>IFERROR(__xludf.DUMMYFUNCTION("INDIRECT(""'收支紀錄'!M""&amp;TO_TEXT(ROW()-$C$72))"),"")</f>
        <v/>
      </c>
      <c r="N1504" s="61" t="str">
        <f>IFERROR(__xludf.DUMMYFUNCTION("INDIRECT(""'收支紀錄'!N""&amp;TO_TEXT(ROW()-$C$72))"),"")</f>
        <v/>
      </c>
      <c r="O1504" s="61" t="str">
        <f>IFERROR(__xludf.DUMMYFUNCTION("INDIRECT(""'收支紀錄'!O""&amp;TO_TEXT(ROW()-$C$72))"),"")</f>
        <v/>
      </c>
      <c r="P1504" s="61" t="str">
        <f>IFERROR(__xludf.DUMMYFUNCTION("INDIRECT(""'收支紀錄'!P""&amp;TO_TEXT(ROW()-$C$72))"),"")</f>
        <v/>
      </c>
      <c r="Q1504" s="61" t="str">
        <f>IFERROR(__xludf.DUMMYFUNCTION("INDIRECT(""'收支紀錄'!Q""&amp;TO_TEXT(ROW()-$C$72))"),"")</f>
        <v/>
      </c>
      <c r="R1504" s="61" t="str">
        <f>IFERROR(__xludf.DUMMYFUNCTION("INDIRECT(""'收支紀錄'!R""&amp;TO_TEXT(ROW()-$C$72))"),"")</f>
        <v/>
      </c>
      <c r="S1504" s="61" t="str">
        <f>IFERROR(__xludf.DUMMYFUNCTION("INDIRECT(""'收支紀錄'!S""&amp;TO_TEXT(ROW()-$C$72))"),"")</f>
        <v/>
      </c>
      <c r="T1504" s="61" t="str">
        <f>IFERROR(__xludf.DUMMYFUNCTION("INDIRECT(""'收支紀錄'!T""&amp;TO_TEXT(ROW()-$C$72))"),"")</f>
        <v/>
      </c>
      <c r="U1504" s="62" t="str">
        <f>IFERROR(__xludf.DUMMYFUNCTION("IF(T1504=""是"",TEXTJOIN("""", TRUE, ""$"", TO_TEXT(C1504), S1504),"""")"),"")</f>
        <v/>
      </c>
    </row>
    <row r="1505">
      <c r="A1505" s="58">
        <f>IFERROR(__xludf.DUMMYFUNCTION("INDIRECT(""'收支紀錄'!A""&amp;TO_TEXT(ROW()-$C$72))"),46088.501121747686)</f>
        <v>46088.50112</v>
      </c>
      <c r="B1505" s="59">
        <f>IFERROR(__xludf.DUMMYFUNCTION("IF(ISBLANK(D1505), """", IF(ISDATE(D1505), D1505, IF(D1505=""今天"", A1505, IF(D1505=""昨天 (-1 day)"", A1505-1, IF(D1505=""前天 (-2 days)"", A1505-2, IF(D1505=""明天 (+1 day)"", A1505+1, DATE(LEFT(D1505,4), MID(D1505,5,2), RIGHT(D1505,2))))))))"),46088.501121747686)</f>
        <v>46088.50112</v>
      </c>
      <c r="C1505" s="60">
        <f>IFERROR(__xludf.DUMMYFUNCTION("INDIRECT(""'收支紀錄'!C""&amp;TO_TEXT(ROW()-$C$72))"),480.0)</f>
        <v>480</v>
      </c>
      <c r="D1505" s="63" t="str">
        <f>IFERROR(__xludf.DUMMYFUNCTION("INDIRECT(""'收支紀錄'!D""&amp;TO_TEXT(ROW()-$C$72))"),"今天")</f>
        <v>今天</v>
      </c>
      <c r="E1505" s="61" t="str">
        <f>IFERROR(__xludf.DUMMYFUNCTION("INDIRECT(""'收支紀錄'!E""&amp;TO_TEXT(ROW()-$C$72))"),"")</f>
        <v/>
      </c>
      <c r="F1505" s="61" t="str">
        <f>IFERROR(__xludf.DUMMYFUNCTION("INDIRECT(""'收支紀錄'!F""&amp;TO_TEXT(ROW()-$C$72))"),"")</f>
        <v/>
      </c>
      <c r="G1505" s="61" t="str">
        <f>IFERROR(__xludf.DUMMYFUNCTION("INDIRECT(""'收支紀錄'!G""&amp;TO_TEXT(ROW()-$C$72))"),"")</f>
        <v/>
      </c>
      <c r="H1505" s="61" t="str">
        <f>IFERROR(__xludf.DUMMYFUNCTION("INDIRECT(""'收支紀錄'!H""&amp;TO_TEXT(ROW()-$C$72))"),"食品酒水")</f>
        <v>食品酒水</v>
      </c>
      <c r="I1505" s="61" t="str">
        <f>IFERROR(__xludf.DUMMYFUNCTION("INDIRECT(""'收支紀錄'!I""&amp;TO_TEXT(ROW()-$C$72))"),"午餐")</f>
        <v>午餐</v>
      </c>
      <c r="J1505" s="61" t="str">
        <f>IFERROR(__xludf.DUMMYFUNCTION("INDIRECT(""'收支紀錄'!J""&amp;TO_TEXT(ROW()-$C$72))"),"")</f>
        <v/>
      </c>
      <c r="K1505" s="61" t="str">
        <f>IFERROR(__xludf.DUMMYFUNCTION("INDIRECT(""'收支紀錄'!K""&amp;TO_TEXT(ROW()-$C$72))"),"")</f>
        <v/>
      </c>
      <c r="L1505" s="61" t="str">
        <f>IFERROR(__xludf.DUMMYFUNCTION("INDIRECT(""'收支紀錄'!L""&amp;TO_TEXT(ROW()-$C$72))"),"")</f>
        <v/>
      </c>
      <c r="M1505" s="61" t="str">
        <f>IFERROR(__xludf.DUMMYFUNCTION("INDIRECT(""'收支紀錄'!M""&amp;TO_TEXT(ROW()-$C$72))"),"")</f>
        <v/>
      </c>
      <c r="N1505" s="61" t="str">
        <f>IFERROR(__xludf.DUMMYFUNCTION("INDIRECT(""'收支紀錄'!N""&amp;TO_TEXT(ROW()-$C$72))"),"")</f>
        <v/>
      </c>
      <c r="O1505" s="61" t="str">
        <f>IFERROR(__xludf.DUMMYFUNCTION("INDIRECT(""'收支紀錄'!O""&amp;TO_TEXT(ROW()-$C$72))"),"")</f>
        <v/>
      </c>
      <c r="P1505" s="61" t="str">
        <f>IFERROR(__xludf.DUMMYFUNCTION("INDIRECT(""'收支紀錄'!P""&amp;TO_TEXT(ROW()-$C$72))"),"")</f>
        <v/>
      </c>
      <c r="Q1505" s="61" t="str">
        <f>IFERROR(__xludf.DUMMYFUNCTION("INDIRECT(""'收支紀錄'!Q""&amp;TO_TEXT(ROW()-$C$72))"),"")</f>
        <v/>
      </c>
      <c r="R1505" s="61" t="str">
        <f>IFERROR(__xludf.DUMMYFUNCTION("INDIRECT(""'收支紀錄'!R""&amp;TO_TEXT(ROW()-$C$72))"),"")</f>
        <v/>
      </c>
      <c r="S1505" s="61" t="str">
        <f>IFERROR(__xludf.DUMMYFUNCTION("INDIRECT(""'收支紀錄'!S""&amp;TO_TEXT(ROW()-$C$72))"),"")</f>
        <v/>
      </c>
      <c r="T1505" s="61" t="str">
        <f>IFERROR(__xludf.DUMMYFUNCTION("INDIRECT(""'收支紀錄'!T""&amp;TO_TEXT(ROW()-$C$72))"),"")</f>
        <v/>
      </c>
      <c r="U1505" s="62" t="str">
        <f>IFERROR(__xludf.DUMMYFUNCTION("IF(T1505=""是"",TEXTJOIN("""", TRUE, ""$"", TO_TEXT(C1505), S1505),"""")"),"")</f>
        <v/>
      </c>
    </row>
    <row r="1506">
      <c r="A1506" s="58">
        <f>IFERROR(__xludf.DUMMYFUNCTION("INDIRECT(""'收支紀錄'!A""&amp;TO_TEXT(ROW()-$C$72))"),46088.54959230324)</f>
        <v>46088.54959</v>
      </c>
      <c r="B1506" s="59">
        <f>IFERROR(__xludf.DUMMYFUNCTION("IF(ISBLANK(D1506), """", IF(ISDATE(D1506), D1506, IF(D1506=""今天"", A1506, IF(D1506=""昨天 (-1 day)"", A1506-1, IF(D1506=""前天 (-2 days)"", A1506-2, IF(D1506=""明天 (+1 day)"", A1506+1, DATE(LEFT(D1506,4), MID(D1506,5,2), RIGHT(D1506,2))))))))"),46088.54959230324)</f>
        <v>46088.54959</v>
      </c>
      <c r="C1506" s="60">
        <f>IFERROR(__xludf.DUMMYFUNCTION("INDIRECT(""'收支紀錄'!C""&amp;TO_TEXT(ROW()-$C$72))"),1580.0)</f>
        <v>1580</v>
      </c>
      <c r="D1506" s="63" t="str">
        <f>IFERROR(__xludf.DUMMYFUNCTION("INDIRECT(""'收支紀錄'!D""&amp;TO_TEXT(ROW()-$C$72))"),"今天")</f>
        <v>今天</v>
      </c>
      <c r="E1506" s="61" t="str">
        <f>IFERROR(__xludf.DUMMYFUNCTION("INDIRECT(""'收支紀錄'!E""&amp;TO_TEXT(ROW()-$C$72))"),"")</f>
        <v/>
      </c>
      <c r="F1506" s="61" t="str">
        <f>IFERROR(__xludf.DUMMYFUNCTION("INDIRECT(""'收支紀錄'!F""&amp;TO_TEXT(ROW()-$C$72))"),"")</f>
        <v/>
      </c>
      <c r="G1506" s="61" t="str">
        <f>IFERROR(__xludf.DUMMYFUNCTION("INDIRECT(""'收支紀錄'!G""&amp;TO_TEXT(ROW()-$C$72))"),"")</f>
        <v/>
      </c>
      <c r="H1506" s="61" t="str">
        <f>IFERROR(__xludf.DUMMYFUNCTION("INDIRECT(""'收支紀錄'!H""&amp;TO_TEXT(ROW()-$C$72))"),"人情往來")</f>
        <v>人情往來</v>
      </c>
      <c r="I1506" s="61" t="str">
        <f>IFERROR(__xludf.DUMMYFUNCTION("INDIRECT(""'收支紀錄'!I""&amp;TO_TEXT(ROW()-$C$72))"),"")</f>
        <v/>
      </c>
      <c r="J1506" s="61" t="str">
        <f>IFERROR(__xludf.DUMMYFUNCTION("INDIRECT(""'收支紀錄'!J""&amp;TO_TEXT(ROW()-$C$72))"),"")</f>
        <v/>
      </c>
      <c r="K1506" s="61" t="str">
        <f>IFERROR(__xludf.DUMMYFUNCTION("INDIRECT(""'收支紀錄'!K""&amp;TO_TEXT(ROW()-$C$72))"),"")</f>
        <v/>
      </c>
      <c r="L1506" s="61" t="str">
        <f>IFERROR(__xludf.DUMMYFUNCTION("INDIRECT(""'收支紀錄'!L""&amp;TO_TEXT(ROW()-$C$72))"),"")</f>
        <v/>
      </c>
      <c r="M1506" s="61" t="str">
        <f>IFERROR(__xludf.DUMMYFUNCTION("INDIRECT(""'收支紀錄'!M""&amp;TO_TEXT(ROW()-$C$72))"),"")</f>
        <v/>
      </c>
      <c r="N1506" s="61" t="str">
        <f>IFERROR(__xludf.DUMMYFUNCTION("INDIRECT(""'收支紀錄'!N""&amp;TO_TEXT(ROW()-$C$72))"),"")</f>
        <v/>
      </c>
      <c r="O1506" s="61" t="str">
        <f>IFERROR(__xludf.DUMMYFUNCTION("INDIRECT(""'收支紀錄'!O""&amp;TO_TEXT(ROW()-$C$72))"),"")</f>
        <v/>
      </c>
      <c r="P1506" s="61" t="str">
        <f>IFERROR(__xludf.DUMMYFUNCTION("INDIRECT(""'收支紀錄'!P""&amp;TO_TEXT(ROW()-$C$72))"),"")</f>
        <v/>
      </c>
      <c r="Q1506" s="61" t="str">
        <f>IFERROR(__xludf.DUMMYFUNCTION("INDIRECT(""'收支紀錄'!Q""&amp;TO_TEXT(ROW()-$C$72))"),"婚禮")</f>
        <v>婚禮</v>
      </c>
      <c r="R1506" s="61" t="str">
        <f>IFERROR(__xludf.DUMMYFUNCTION("INDIRECT(""'收支紀錄'!R""&amp;TO_TEXT(ROW()-$C$72))"),"")</f>
        <v/>
      </c>
      <c r="S1506" s="61" t="str">
        <f>IFERROR(__xludf.DUMMYFUNCTION("INDIRECT(""'收支紀錄'!S""&amp;TO_TEXT(ROW()-$C$72))"),"婚禮：婚攝 花")</f>
        <v>婚禮：婚攝 花</v>
      </c>
      <c r="T1506" s="61" t="str">
        <f>IFERROR(__xludf.DUMMYFUNCTION("INDIRECT(""'收支紀錄'!T""&amp;TO_TEXT(ROW()-$C$72))"),"")</f>
        <v/>
      </c>
      <c r="U1506" s="62" t="str">
        <f>IFERROR(__xludf.DUMMYFUNCTION("IF(T1506=""是"",TEXTJOIN("""", TRUE, ""$"", TO_TEXT(C1506), S1506),"""")"),"")</f>
        <v/>
      </c>
    </row>
    <row r="1507">
      <c r="A1507" s="58">
        <f>IFERROR(__xludf.DUMMYFUNCTION("INDIRECT(""'收支紀錄'!A""&amp;TO_TEXT(ROW()-$C$72))"),46088.550179872684)</f>
        <v>46088.55018</v>
      </c>
      <c r="B1507" s="59">
        <f>IFERROR(__xludf.DUMMYFUNCTION("IF(ISBLANK(D1507), """", IF(ISDATE(D1507), D1507, IF(D1507=""今天"", A1507, IF(D1507=""昨天 (-1 day)"", A1507-1, IF(D1507=""前天 (-2 days)"", A1507-2, IF(D1507=""明天 (+1 day)"", A1507+1, DATE(LEFT(D1507,4), MID(D1507,5,2), RIGHT(D1507,2))))))))"),46088.550179872684)</f>
        <v>46088.55018</v>
      </c>
      <c r="C1507" s="60">
        <f>IFERROR(__xludf.DUMMYFUNCTION("INDIRECT(""'收支紀錄'!C""&amp;TO_TEXT(ROW()-$C$72))"),270.0)</f>
        <v>270</v>
      </c>
      <c r="D1507" s="63" t="str">
        <f>IFERROR(__xludf.DUMMYFUNCTION("INDIRECT(""'收支紀錄'!D""&amp;TO_TEXT(ROW()-$C$72))"),"今天")</f>
        <v>今天</v>
      </c>
      <c r="E1507" s="61" t="str">
        <f>IFERROR(__xludf.DUMMYFUNCTION("INDIRECT(""'收支紀錄'!E""&amp;TO_TEXT(ROW()-$C$72))"),"")</f>
        <v/>
      </c>
      <c r="F1507" s="61" t="str">
        <f>IFERROR(__xludf.DUMMYFUNCTION("INDIRECT(""'收支紀錄'!F""&amp;TO_TEXT(ROW()-$C$72))"),"")</f>
        <v/>
      </c>
      <c r="G1507" s="61" t="str">
        <f>IFERROR(__xludf.DUMMYFUNCTION("INDIRECT(""'收支紀錄'!G""&amp;TO_TEXT(ROW()-$C$72))"),"")</f>
        <v/>
      </c>
      <c r="H1507" s="61" t="str">
        <f>IFERROR(__xludf.DUMMYFUNCTION("INDIRECT(""'收支紀錄'!H""&amp;TO_TEXT(ROW()-$C$72))"),"食品酒水")</f>
        <v>食品酒水</v>
      </c>
      <c r="I1507" s="61" t="str">
        <f>IFERROR(__xludf.DUMMYFUNCTION("INDIRECT(""'收支紀錄'!I""&amp;TO_TEXT(ROW()-$C$72))"),"下午茶")</f>
        <v>下午茶</v>
      </c>
      <c r="J1507" s="61" t="str">
        <f>IFERROR(__xludf.DUMMYFUNCTION("INDIRECT(""'收支紀錄'!J""&amp;TO_TEXT(ROW()-$C$72))"),"")</f>
        <v/>
      </c>
      <c r="K1507" s="61" t="str">
        <f>IFERROR(__xludf.DUMMYFUNCTION("INDIRECT(""'收支紀錄'!K""&amp;TO_TEXT(ROW()-$C$72))"),"")</f>
        <v/>
      </c>
      <c r="L1507" s="61" t="str">
        <f>IFERROR(__xludf.DUMMYFUNCTION("INDIRECT(""'收支紀錄'!L""&amp;TO_TEXT(ROW()-$C$72))"),"")</f>
        <v/>
      </c>
      <c r="M1507" s="61" t="str">
        <f>IFERROR(__xludf.DUMMYFUNCTION("INDIRECT(""'收支紀錄'!M""&amp;TO_TEXT(ROW()-$C$72))"),"")</f>
        <v/>
      </c>
      <c r="N1507" s="61" t="str">
        <f>IFERROR(__xludf.DUMMYFUNCTION("INDIRECT(""'收支紀錄'!N""&amp;TO_TEXT(ROW()-$C$72))"),"")</f>
        <v/>
      </c>
      <c r="O1507" s="61" t="str">
        <f>IFERROR(__xludf.DUMMYFUNCTION("INDIRECT(""'收支紀錄'!O""&amp;TO_TEXT(ROW()-$C$72))"),"")</f>
        <v/>
      </c>
      <c r="P1507" s="61" t="str">
        <f>IFERROR(__xludf.DUMMYFUNCTION("INDIRECT(""'收支紀錄'!P""&amp;TO_TEXT(ROW()-$C$72))"),"")</f>
        <v/>
      </c>
      <c r="Q1507" s="61" t="str">
        <f>IFERROR(__xludf.DUMMYFUNCTION("INDIRECT(""'收支紀錄'!Q""&amp;TO_TEXT(ROW()-$C$72))"),"")</f>
        <v/>
      </c>
      <c r="R1507" s="61" t="str">
        <f>IFERROR(__xludf.DUMMYFUNCTION("INDIRECT(""'收支紀錄'!R""&amp;TO_TEXT(ROW()-$C$72))"),"")</f>
        <v/>
      </c>
      <c r="S1507" s="61" t="str">
        <f>IFERROR(__xludf.DUMMYFUNCTION("INDIRECT(""'收支紀錄'!S""&amp;TO_TEXT(ROW()-$C$72))"),"")</f>
        <v/>
      </c>
      <c r="T1507" s="61" t="str">
        <f>IFERROR(__xludf.DUMMYFUNCTION("INDIRECT(""'收支紀錄'!T""&amp;TO_TEXT(ROW()-$C$72))"),"")</f>
        <v/>
      </c>
      <c r="U1507" s="62" t="str">
        <f>IFERROR(__xludf.DUMMYFUNCTION("IF(T1507=""是"",TEXTJOIN("""", TRUE, ""$"", TO_TEXT(C1507), S1507),"""")"),"")</f>
        <v/>
      </c>
    </row>
    <row r="1508">
      <c r="A1508" s="58">
        <f>IFERROR(__xludf.DUMMYFUNCTION("INDIRECT(""'收支紀錄'!A""&amp;TO_TEXT(ROW()-$C$72))"),46088.55036277778)</f>
        <v>46088.55036</v>
      </c>
      <c r="B1508" s="59">
        <f>IFERROR(__xludf.DUMMYFUNCTION("IF(ISBLANK(D1508), """", IF(ISDATE(D1508), D1508, IF(D1508=""今天"", A1508, IF(D1508=""昨天 (-1 day)"", A1508-1, IF(D1508=""前天 (-2 days)"", A1508-2, IF(D1508=""明天 (+1 day)"", A1508+1, DATE(LEFT(D1508,4), MID(D1508,5,2), RIGHT(D1508,2))))))))"),46088.55036277778)</f>
        <v>46088.55036</v>
      </c>
      <c r="C1508" s="60">
        <f>IFERROR(__xludf.DUMMYFUNCTION("INDIRECT(""'收支紀錄'!C""&amp;TO_TEXT(ROW()-$C$72))"),90.0)</f>
        <v>90</v>
      </c>
      <c r="D1508" s="63" t="str">
        <f>IFERROR(__xludf.DUMMYFUNCTION("INDIRECT(""'收支紀錄'!D""&amp;TO_TEXT(ROW()-$C$72))"),"今天")</f>
        <v>今天</v>
      </c>
      <c r="E1508" s="61" t="str">
        <f>IFERROR(__xludf.DUMMYFUNCTION("INDIRECT(""'收支紀錄'!E""&amp;TO_TEXT(ROW()-$C$72))"),"")</f>
        <v/>
      </c>
      <c r="F1508" s="61" t="str">
        <f>IFERROR(__xludf.DUMMYFUNCTION("INDIRECT(""'收支紀錄'!F""&amp;TO_TEXT(ROW()-$C$72))"),"")</f>
        <v/>
      </c>
      <c r="G1508" s="61" t="str">
        <f>IFERROR(__xludf.DUMMYFUNCTION("INDIRECT(""'收支紀錄'!G""&amp;TO_TEXT(ROW()-$C$72))"),"")</f>
        <v/>
      </c>
      <c r="H1508" s="61" t="str">
        <f>IFERROR(__xludf.DUMMYFUNCTION("INDIRECT(""'收支紀錄'!H""&amp;TO_TEXT(ROW()-$C$72))"),"行車交通")</f>
        <v>行車交通</v>
      </c>
      <c r="I1508" s="61" t="str">
        <f>IFERROR(__xludf.DUMMYFUNCTION("INDIRECT(""'收支紀錄'!I""&amp;TO_TEXT(ROW()-$C$72))"),"")</f>
        <v/>
      </c>
      <c r="J1508" s="61" t="str">
        <f>IFERROR(__xludf.DUMMYFUNCTION("INDIRECT(""'收支紀錄'!J""&amp;TO_TEXT(ROW()-$C$72))"),"")</f>
        <v/>
      </c>
      <c r="K1508" s="61" t="str">
        <f>IFERROR(__xludf.DUMMYFUNCTION("INDIRECT(""'收支紀錄'!K""&amp;TO_TEXT(ROW()-$C$72))"),"")</f>
        <v/>
      </c>
      <c r="L1508" s="61" t="str">
        <f>IFERROR(__xludf.DUMMYFUNCTION("INDIRECT(""'收支紀錄'!L""&amp;TO_TEXT(ROW()-$C$72))"),"停車")</f>
        <v>停車</v>
      </c>
      <c r="M1508" s="61" t="str">
        <f>IFERROR(__xludf.DUMMYFUNCTION("INDIRECT(""'收支紀錄'!M""&amp;TO_TEXT(ROW()-$C$72))"),"")</f>
        <v/>
      </c>
      <c r="N1508" s="61" t="str">
        <f>IFERROR(__xludf.DUMMYFUNCTION("INDIRECT(""'收支紀錄'!N""&amp;TO_TEXT(ROW()-$C$72))"),"")</f>
        <v/>
      </c>
      <c r="O1508" s="61" t="str">
        <f>IFERROR(__xludf.DUMMYFUNCTION("INDIRECT(""'收支紀錄'!O""&amp;TO_TEXT(ROW()-$C$72))"),"")</f>
        <v/>
      </c>
      <c r="P1508" s="61" t="str">
        <f>IFERROR(__xludf.DUMMYFUNCTION("INDIRECT(""'收支紀錄'!P""&amp;TO_TEXT(ROW()-$C$72))"),"")</f>
        <v/>
      </c>
      <c r="Q1508" s="61" t="str">
        <f>IFERROR(__xludf.DUMMYFUNCTION("INDIRECT(""'收支紀錄'!Q""&amp;TO_TEXT(ROW()-$C$72))"),"")</f>
        <v/>
      </c>
      <c r="R1508" s="61" t="str">
        <f>IFERROR(__xludf.DUMMYFUNCTION("INDIRECT(""'收支紀錄'!R""&amp;TO_TEXT(ROW()-$C$72))"),"")</f>
        <v/>
      </c>
      <c r="S1508" s="61" t="str">
        <f>IFERROR(__xludf.DUMMYFUNCTION("INDIRECT(""'收支紀錄'!S""&amp;TO_TEXT(ROW()-$C$72))"),"")</f>
        <v/>
      </c>
      <c r="T1508" s="61" t="str">
        <f>IFERROR(__xludf.DUMMYFUNCTION("INDIRECT(""'收支紀錄'!T""&amp;TO_TEXT(ROW()-$C$72))"),"")</f>
        <v/>
      </c>
      <c r="U1508" s="62" t="str">
        <f>IFERROR(__xludf.DUMMYFUNCTION("IF(T1508=""是"",TEXTJOIN("""", TRUE, ""$"", TO_TEXT(C1508), S1508),"""")"),"")</f>
        <v/>
      </c>
    </row>
    <row r="1509">
      <c r="A1509" s="58">
        <f>IFERROR(__xludf.DUMMYFUNCTION("INDIRECT(""'收支紀錄'!A""&amp;TO_TEXT(ROW()-$C$72))"),46088.96115120371)</f>
        <v>46088.96115</v>
      </c>
      <c r="B1509" s="59">
        <f>IFERROR(__xludf.DUMMYFUNCTION("IF(ISBLANK(D1509), """", IF(ISDATE(D1509), D1509, IF(D1509=""今天"", A1509, IF(D1509=""昨天 (-1 day)"", A1509-1, IF(D1509=""前天 (-2 days)"", A1509-2, IF(D1509=""明天 (+1 day)"", A1509+1, DATE(LEFT(D1509,4), MID(D1509,5,2), RIGHT(D1509,2))))))))"),46088.96115120371)</f>
        <v>46088.96115</v>
      </c>
      <c r="C1509" s="60">
        <f>IFERROR(__xludf.DUMMYFUNCTION("INDIRECT(""'收支紀錄'!C""&amp;TO_TEXT(ROW()-$C$72))"),997.0)</f>
        <v>997</v>
      </c>
      <c r="D1509" s="63" t="str">
        <f>IFERROR(__xludf.DUMMYFUNCTION("INDIRECT(""'收支紀錄'!D""&amp;TO_TEXT(ROW()-$C$72))"),"今天")</f>
        <v>今天</v>
      </c>
      <c r="E1509" s="61" t="str">
        <f>IFERROR(__xludf.DUMMYFUNCTION("INDIRECT(""'收支紀錄'!E""&amp;TO_TEXT(ROW()-$C$72))"),"")</f>
        <v/>
      </c>
      <c r="F1509" s="61" t="str">
        <f>IFERROR(__xludf.DUMMYFUNCTION("INDIRECT(""'收支紀錄'!F""&amp;TO_TEXT(ROW()-$C$72))"),"")</f>
        <v/>
      </c>
      <c r="G1509" s="61" t="str">
        <f>IFERROR(__xludf.DUMMYFUNCTION("INDIRECT(""'收支紀錄'!G""&amp;TO_TEXT(ROW()-$C$72))"),"")</f>
        <v/>
      </c>
      <c r="H1509" s="61" t="str">
        <f>IFERROR(__xludf.DUMMYFUNCTION("INDIRECT(""'收支紀錄'!H""&amp;TO_TEXT(ROW()-$C$72))"),"食品酒水")</f>
        <v>食品酒水</v>
      </c>
      <c r="I1509" s="61" t="str">
        <f>IFERROR(__xludf.DUMMYFUNCTION("INDIRECT(""'收支紀錄'!I""&amp;TO_TEXT(ROW()-$C$72))"),"食材")</f>
        <v>食材</v>
      </c>
      <c r="J1509" s="61" t="str">
        <f>IFERROR(__xludf.DUMMYFUNCTION("INDIRECT(""'收支紀錄'!J""&amp;TO_TEXT(ROW()-$C$72))"),"")</f>
        <v/>
      </c>
      <c r="K1509" s="61" t="str">
        <f>IFERROR(__xludf.DUMMYFUNCTION("INDIRECT(""'收支紀錄'!K""&amp;TO_TEXT(ROW()-$C$72))"),"")</f>
        <v/>
      </c>
      <c r="L1509" s="61" t="str">
        <f>IFERROR(__xludf.DUMMYFUNCTION("INDIRECT(""'收支紀錄'!L""&amp;TO_TEXT(ROW()-$C$72))"),"")</f>
        <v/>
      </c>
      <c r="M1509" s="61" t="str">
        <f>IFERROR(__xludf.DUMMYFUNCTION("INDIRECT(""'收支紀錄'!M""&amp;TO_TEXT(ROW()-$C$72))"),"")</f>
        <v/>
      </c>
      <c r="N1509" s="61" t="str">
        <f>IFERROR(__xludf.DUMMYFUNCTION("INDIRECT(""'收支紀錄'!N""&amp;TO_TEXT(ROW()-$C$72))"),"")</f>
        <v/>
      </c>
      <c r="O1509" s="61" t="str">
        <f>IFERROR(__xludf.DUMMYFUNCTION("INDIRECT(""'收支紀錄'!O""&amp;TO_TEXT(ROW()-$C$72))"),"")</f>
        <v/>
      </c>
      <c r="P1509" s="61" t="str">
        <f>IFERROR(__xludf.DUMMYFUNCTION("INDIRECT(""'收支紀錄'!P""&amp;TO_TEXT(ROW()-$C$72))"),"")</f>
        <v/>
      </c>
      <c r="Q1509" s="61" t="str">
        <f>IFERROR(__xludf.DUMMYFUNCTION("INDIRECT(""'收支紀錄'!Q""&amp;TO_TEXT(ROW()-$C$72))"),"")</f>
        <v/>
      </c>
      <c r="R1509" s="61" t="str">
        <f>IFERROR(__xludf.DUMMYFUNCTION("INDIRECT(""'收支紀錄'!R""&amp;TO_TEXT(ROW()-$C$72))"),"")</f>
        <v/>
      </c>
      <c r="S1509" s="61" t="str">
        <f>IFERROR(__xludf.DUMMYFUNCTION("INDIRECT(""'收支紀錄'!S""&amp;TO_TEXT(ROW()-$C$72))"),"")</f>
        <v/>
      </c>
      <c r="T1509" s="61" t="str">
        <f>IFERROR(__xludf.DUMMYFUNCTION("INDIRECT(""'收支紀錄'!T""&amp;TO_TEXT(ROW()-$C$72))"),"")</f>
        <v/>
      </c>
      <c r="U1509" s="62" t="str">
        <f>IFERROR(__xludf.DUMMYFUNCTION("IF(T1509=""是"",TEXTJOIN("""", TRUE, ""$"", TO_TEXT(C1509), S1509),"""")"),"")</f>
        <v/>
      </c>
    </row>
    <row r="1510">
      <c r="A1510" s="58">
        <f>IFERROR(__xludf.DUMMYFUNCTION("INDIRECT(""'收支紀錄'!A""&amp;TO_TEXT(ROW()-$C$72))"),46088.96709839121)</f>
        <v>46088.9671</v>
      </c>
      <c r="B1510" s="59">
        <f>IFERROR(__xludf.DUMMYFUNCTION("IF(ISBLANK(D1510), """", IF(ISDATE(D1510), D1510, IF(D1510=""今天"", A1510, IF(D1510=""昨天 (-1 day)"", A1510-1, IF(D1510=""前天 (-2 days)"", A1510-2, IF(D1510=""明天 (+1 day)"", A1510+1, DATE(LEFT(D1510,4), MID(D1510,5,2), RIGHT(D1510,2))))))))"),46088.96709839121)</f>
        <v>46088.9671</v>
      </c>
      <c r="C1510" s="60">
        <f>IFERROR(__xludf.DUMMYFUNCTION("INDIRECT(""'收支紀錄'!C""&amp;TO_TEXT(ROW()-$C$72))"),845.0)</f>
        <v>845</v>
      </c>
      <c r="D1510" s="63" t="str">
        <f>IFERROR(__xludf.DUMMYFUNCTION("INDIRECT(""'收支紀錄'!D""&amp;TO_TEXT(ROW()-$C$72))"),"今天")</f>
        <v>今天</v>
      </c>
      <c r="E1510" s="61" t="str">
        <f>IFERROR(__xludf.DUMMYFUNCTION("INDIRECT(""'收支紀錄'!E""&amp;TO_TEXT(ROW()-$C$72))"),"")</f>
        <v/>
      </c>
      <c r="F1510" s="61" t="str">
        <f>IFERROR(__xludf.DUMMYFUNCTION("INDIRECT(""'收支紀錄'!F""&amp;TO_TEXT(ROW()-$C$72))"),"")</f>
        <v/>
      </c>
      <c r="G1510" s="61" t="str">
        <f>IFERROR(__xludf.DUMMYFUNCTION("INDIRECT(""'收支紀錄'!G""&amp;TO_TEXT(ROW()-$C$72))"),"")</f>
        <v/>
      </c>
      <c r="H1510" s="61" t="str">
        <f>IFERROR(__xludf.DUMMYFUNCTION("INDIRECT(""'收支紀錄'!H""&amp;TO_TEXT(ROW()-$C$72))"),"日常生活")</f>
        <v>日常生活</v>
      </c>
      <c r="I1510" s="61" t="str">
        <f>IFERROR(__xludf.DUMMYFUNCTION("INDIRECT(""'收支紀錄'!I""&amp;TO_TEXT(ROW()-$C$72))"),"")</f>
        <v/>
      </c>
      <c r="J1510" s="61" t="str">
        <f>IFERROR(__xludf.DUMMYFUNCTION("INDIRECT(""'收支紀錄'!J""&amp;TO_TEXT(ROW()-$C$72))"),"日常用品")</f>
        <v>日常用品</v>
      </c>
      <c r="K1510" s="61" t="str">
        <f>IFERROR(__xludf.DUMMYFUNCTION("INDIRECT(""'收支紀錄'!K""&amp;TO_TEXT(ROW()-$C$72))"),"")</f>
        <v/>
      </c>
      <c r="L1510" s="61" t="str">
        <f>IFERROR(__xludf.DUMMYFUNCTION("INDIRECT(""'收支紀錄'!L""&amp;TO_TEXT(ROW()-$C$72))"),"")</f>
        <v/>
      </c>
      <c r="M1510" s="61" t="str">
        <f>IFERROR(__xludf.DUMMYFUNCTION("INDIRECT(""'收支紀錄'!M""&amp;TO_TEXT(ROW()-$C$72))"),"")</f>
        <v/>
      </c>
      <c r="N1510" s="61" t="str">
        <f>IFERROR(__xludf.DUMMYFUNCTION("INDIRECT(""'收支紀錄'!N""&amp;TO_TEXT(ROW()-$C$72))"),"")</f>
        <v/>
      </c>
      <c r="O1510" s="61" t="str">
        <f>IFERROR(__xludf.DUMMYFUNCTION("INDIRECT(""'收支紀錄'!O""&amp;TO_TEXT(ROW()-$C$72))"),"")</f>
        <v/>
      </c>
      <c r="P1510" s="61" t="str">
        <f>IFERROR(__xludf.DUMMYFUNCTION("INDIRECT(""'收支紀錄'!P""&amp;TO_TEXT(ROW()-$C$72))"),"")</f>
        <v/>
      </c>
      <c r="Q1510" s="61" t="str">
        <f>IFERROR(__xludf.DUMMYFUNCTION("INDIRECT(""'收支紀錄'!Q""&amp;TO_TEXT(ROW()-$C$72))"),"")</f>
        <v/>
      </c>
      <c r="R1510" s="61" t="str">
        <f>IFERROR(__xludf.DUMMYFUNCTION("INDIRECT(""'收支紀錄'!R""&amp;TO_TEXT(ROW()-$C$72))"),"")</f>
        <v/>
      </c>
      <c r="S1510" s="61" t="str">
        <f>IFERROR(__xludf.DUMMYFUNCTION("INDIRECT(""'收支紀錄'!S""&amp;TO_TEXT(ROW()-$C$72))"),"")</f>
        <v/>
      </c>
      <c r="T1510" s="61" t="str">
        <f>IFERROR(__xludf.DUMMYFUNCTION("INDIRECT(""'收支紀錄'!T""&amp;TO_TEXT(ROW()-$C$72))"),"")</f>
        <v/>
      </c>
      <c r="U1510" s="62" t="str">
        <f>IFERROR(__xludf.DUMMYFUNCTION("IF(T1510=""是"",TEXTJOIN("""", TRUE, ""$"", TO_TEXT(C1510), S1510),"""")"),"")</f>
        <v/>
      </c>
    </row>
    <row r="1511">
      <c r="A1511" s="58">
        <f>IFERROR(__xludf.DUMMYFUNCTION("INDIRECT(""'收支紀錄'!A""&amp;TO_TEXT(ROW()-$C$72))"),46088.99260890046)</f>
        <v>46088.99261</v>
      </c>
      <c r="B1511" s="59">
        <f>IFERROR(__xludf.DUMMYFUNCTION("IF(ISBLANK(D1511), """", IF(ISDATE(D1511), D1511, IF(D1511=""今天"", A1511, IF(D1511=""昨天 (-1 day)"", A1511-1, IF(D1511=""前天 (-2 days)"", A1511-2, IF(D1511=""明天 (+1 day)"", A1511+1, DATE(LEFT(D1511,4), MID(D1511,5,2), RIGHT(D1511,2))))))))"),46088.99260890046)</f>
        <v>46088.99261</v>
      </c>
      <c r="C1511" s="60">
        <f>IFERROR(__xludf.DUMMYFUNCTION("INDIRECT(""'收支紀錄'!C""&amp;TO_TEXT(ROW()-$C$72))"),383.0)</f>
        <v>383</v>
      </c>
      <c r="D1511" s="63" t="str">
        <f>IFERROR(__xludf.DUMMYFUNCTION("INDIRECT(""'收支紀錄'!D""&amp;TO_TEXT(ROW()-$C$72))"),"今天")</f>
        <v>今天</v>
      </c>
      <c r="E1511" s="61" t="str">
        <f>IFERROR(__xludf.DUMMYFUNCTION("INDIRECT(""'收支紀錄'!E""&amp;TO_TEXT(ROW()-$C$72))"),"")</f>
        <v/>
      </c>
      <c r="F1511" s="61" t="str">
        <f>IFERROR(__xludf.DUMMYFUNCTION("INDIRECT(""'收支紀錄'!F""&amp;TO_TEXT(ROW()-$C$72))"),"")</f>
        <v/>
      </c>
      <c r="G1511" s="61" t="str">
        <f>IFERROR(__xludf.DUMMYFUNCTION("INDIRECT(""'收支紀錄'!G""&amp;TO_TEXT(ROW()-$C$72))"),"")</f>
        <v/>
      </c>
      <c r="H1511" s="61" t="str">
        <f>IFERROR(__xludf.DUMMYFUNCTION("INDIRECT(""'收支紀錄'!H""&amp;TO_TEXT(ROW()-$C$72))"),"食品酒水")</f>
        <v>食品酒水</v>
      </c>
      <c r="I1511" s="61" t="str">
        <f>IFERROR(__xludf.DUMMYFUNCTION("INDIRECT(""'收支紀錄'!I""&amp;TO_TEXT(ROW()-$C$72))"),"晚餐")</f>
        <v>晚餐</v>
      </c>
      <c r="J1511" s="61" t="str">
        <f>IFERROR(__xludf.DUMMYFUNCTION("INDIRECT(""'收支紀錄'!J""&amp;TO_TEXT(ROW()-$C$72))"),"")</f>
        <v/>
      </c>
      <c r="K1511" s="61" t="str">
        <f>IFERROR(__xludf.DUMMYFUNCTION("INDIRECT(""'收支紀錄'!K""&amp;TO_TEXT(ROW()-$C$72))"),"")</f>
        <v/>
      </c>
      <c r="L1511" s="61" t="str">
        <f>IFERROR(__xludf.DUMMYFUNCTION("INDIRECT(""'收支紀錄'!L""&amp;TO_TEXT(ROW()-$C$72))"),"")</f>
        <v/>
      </c>
      <c r="M1511" s="61" t="str">
        <f>IFERROR(__xludf.DUMMYFUNCTION("INDIRECT(""'收支紀錄'!M""&amp;TO_TEXT(ROW()-$C$72))"),"")</f>
        <v/>
      </c>
      <c r="N1511" s="61" t="str">
        <f>IFERROR(__xludf.DUMMYFUNCTION("INDIRECT(""'收支紀錄'!N""&amp;TO_TEXT(ROW()-$C$72))"),"")</f>
        <v/>
      </c>
      <c r="O1511" s="61" t="str">
        <f>IFERROR(__xludf.DUMMYFUNCTION("INDIRECT(""'收支紀錄'!O""&amp;TO_TEXT(ROW()-$C$72))"),"")</f>
        <v/>
      </c>
      <c r="P1511" s="61" t="str">
        <f>IFERROR(__xludf.DUMMYFUNCTION("INDIRECT(""'收支紀錄'!P""&amp;TO_TEXT(ROW()-$C$72))"),"")</f>
        <v/>
      </c>
      <c r="Q1511" s="61" t="str">
        <f>IFERROR(__xludf.DUMMYFUNCTION("INDIRECT(""'收支紀錄'!Q""&amp;TO_TEXT(ROW()-$C$72))"),"")</f>
        <v/>
      </c>
      <c r="R1511" s="61" t="str">
        <f>IFERROR(__xludf.DUMMYFUNCTION("INDIRECT(""'收支紀錄'!R""&amp;TO_TEXT(ROW()-$C$72))"),"")</f>
        <v/>
      </c>
      <c r="S1511" s="61" t="str">
        <f>IFERROR(__xludf.DUMMYFUNCTION("INDIRECT(""'收支紀錄'!S""&amp;TO_TEXT(ROW()-$C$72))"),"")</f>
        <v/>
      </c>
      <c r="T1511" s="61" t="str">
        <f>IFERROR(__xludf.DUMMYFUNCTION("INDIRECT(""'收支紀錄'!T""&amp;TO_TEXT(ROW()-$C$72))"),"")</f>
        <v/>
      </c>
      <c r="U1511" s="62" t="str">
        <f>IFERROR(__xludf.DUMMYFUNCTION("IF(T1511=""是"",TEXTJOIN("""", TRUE, ""$"", TO_TEXT(C1511), S1511),"""")"),"")</f>
        <v/>
      </c>
    </row>
    <row r="1512">
      <c r="A1512" s="58">
        <f>IFERROR(__xludf.DUMMYFUNCTION("INDIRECT(""'收支紀錄'!A""&amp;TO_TEXT(ROW()-$C$72))"),46088.99306956019)</f>
        <v>46088.99307</v>
      </c>
      <c r="B1512" s="59">
        <f>IFERROR(__xludf.DUMMYFUNCTION("IF(ISBLANK(D1512), """", IF(ISDATE(D1512), D1512, IF(D1512=""今天"", A1512, IF(D1512=""昨天 (-1 day)"", A1512-1, IF(D1512=""前天 (-2 days)"", A1512-2, IF(D1512=""明天 (+1 day)"", A1512+1, DATE(LEFT(D1512,4), MID(D1512,5,2), RIGHT(D1512,2))))))))"),46088.99306956019)</f>
        <v>46088.99307</v>
      </c>
      <c r="C1512" s="60">
        <f>IFERROR(__xludf.DUMMYFUNCTION("INDIRECT(""'收支紀錄'!C""&amp;TO_TEXT(ROW()-$C$72))"),200.0)</f>
        <v>200</v>
      </c>
      <c r="D1512" s="63" t="str">
        <f>IFERROR(__xludf.DUMMYFUNCTION("INDIRECT(""'收支紀錄'!D""&amp;TO_TEXT(ROW()-$C$72))"),"今天")</f>
        <v>今天</v>
      </c>
      <c r="E1512" s="61" t="str">
        <f>IFERROR(__xludf.DUMMYFUNCTION("INDIRECT(""'收支紀錄'!E""&amp;TO_TEXT(ROW()-$C$72))"),"")</f>
        <v/>
      </c>
      <c r="F1512" s="61" t="str">
        <f>IFERROR(__xludf.DUMMYFUNCTION("INDIRECT(""'收支紀錄'!F""&amp;TO_TEXT(ROW()-$C$72))"),"")</f>
        <v/>
      </c>
      <c r="G1512" s="61" t="str">
        <f>IFERROR(__xludf.DUMMYFUNCTION("INDIRECT(""'收支紀錄'!G""&amp;TO_TEXT(ROW()-$C$72))"),"")</f>
        <v/>
      </c>
      <c r="H1512" s="61" t="str">
        <f>IFERROR(__xludf.DUMMYFUNCTION("INDIRECT(""'收支紀錄'!H""&amp;TO_TEXT(ROW()-$C$72))"),"日常生活")</f>
        <v>日常生活</v>
      </c>
      <c r="I1512" s="61" t="str">
        <f>IFERROR(__xludf.DUMMYFUNCTION("INDIRECT(""'收支紀錄'!I""&amp;TO_TEXT(ROW()-$C$72))"),"")</f>
        <v/>
      </c>
      <c r="J1512" s="61" t="str">
        <f>IFERROR(__xludf.DUMMYFUNCTION("INDIRECT(""'收支紀錄'!J""&amp;TO_TEXT(ROW()-$C$72))"),"日常用品")</f>
        <v>日常用品</v>
      </c>
      <c r="K1512" s="61" t="str">
        <f>IFERROR(__xludf.DUMMYFUNCTION("INDIRECT(""'收支紀錄'!K""&amp;TO_TEXT(ROW()-$C$72))"),"")</f>
        <v/>
      </c>
      <c r="L1512" s="61" t="str">
        <f>IFERROR(__xludf.DUMMYFUNCTION("INDIRECT(""'收支紀錄'!L""&amp;TO_TEXT(ROW()-$C$72))"),"")</f>
        <v/>
      </c>
      <c r="M1512" s="61" t="str">
        <f>IFERROR(__xludf.DUMMYFUNCTION("INDIRECT(""'收支紀錄'!M""&amp;TO_TEXT(ROW()-$C$72))"),"")</f>
        <v/>
      </c>
      <c r="N1512" s="61" t="str">
        <f>IFERROR(__xludf.DUMMYFUNCTION("INDIRECT(""'收支紀錄'!N""&amp;TO_TEXT(ROW()-$C$72))"),"")</f>
        <v/>
      </c>
      <c r="O1512" s="61" t="str">
        <f>IFERROR(__xludf.DUMMYFUNCTION("INDIRECT(""'收支紀錄'!O""&amp;TO_TEXT(ROW()-$C$72))"),"")</f>
        <v/>
      </c>
      <c r="P1512" s="61" t="str">
        <f>IFERROR(__xludf.DUMMYFUNCTION("INDIRECT(""'收支紀錄'!P""&amp;TO_TEXT(ROW()-$C$72))"),"")</f>
        <v/>
      </c>
      <c r="Q1512" s="61" t="str">
        <f>IFERROR(__xludf.DUMMYFUNCTION("INDIRECT(""'收支紀錄'!Q""&amp;TO_TEXT(ROW()-$C$72))"),"")</f>
        <v/>
      </c>
      <c r="R1512" s="61" t="str">
        <f>IFERROR(__xludf.DUMMYFUNCTION("INDIRECT(""'收支紀錄'!R""&amp;TO_TEXT(ROW()-$C$72))"),"")</f>
        <v/>
      </c>
      <c r="S1512" s="61" t="str">
        <f>IFERROR(__xludf.DUMMYFUNCTION("INDIRECT(""'收支紀錄'!S""&amp;TO_TEXT(ROW()-$C$72))"),"")</f>
        <v/>
      </c>
      <c r="T1512" s="61" t="str">
        <f>IFERROR(__xludf.DUMMYFUNCTION("INDIRECT(""'收支紀錄'!T""&amp;TO_TEXT(ROW()-$C$72))"),"")</f>
        <v/>
      </c>
      <c r="U1512" s="62" t="str">
        <f>IFERROR(__xludf.DUMMYFUNCTION("IF(T1512=""是"",TEXTJOIN("""", TRUE, ""$"", TO_TEXT(C1512), S1512),"""")"),"")</f>
        <v/>
      </c>
    </row>
    <row r="1513">
      <c r="A1513" s="58">
        <f>IFERROR(__xludf.DUMMYFUNCTION("INDIRECT(""'收支紀錄'!A""&amp;TO_TEXT(ROW()-$C$72))"),46088.993264930556)</f>
        <v>46088.99326</v>
      </c>
      <c r="B1513" s="59">
        <f>IFERROR(__xludf.DUMMYFUNCTION("IF(ISBLANK(D1513), """", IF(ISDATE(D1513), D1513, IF(D1513=""今天"", A1513, IF(D1513=""昨天 (-1 day)"", A1513-1, IF(D1513=""前天 (-2 days)"", A1513-2, IF(D1513=""明天 (+1 day)"", A1513+1, DATE(LEFT(D1513,4), MID(D1513,5,2), RIGHT(D1513,2))))))))"),46088.993264930556)</f>
        <v>46088.99326</v>
      </c>
      <c r="C1513" s="60">
        <f>IFERROR(__xludf.DUMMYFUNCTION("INDIRECT(""'收支紀錄'!C""&amp;TO_TEXT(ROW()-$C$72))"),144.0)</f>
        <v>144</v>
      </c>
      <c r="D1513" s="63" t="str">
        <f>IFERROR(__xludf.DUMMYFUNCTION("INDIRECT(""'收支紀錄'!D""&amp;TO_TEXT(ROW()-$C$72))"),"今天")</f>
        <v>今天</v>
      </c>
      <c r="E1513" s="61" t="str">
        <f>IFERROR(__xludf.DUMMYFUNCTION("INDIRECT(""'收支紀錄'!E""&amp;TO_TEXT(ROW()-$C$72))"),"")</f>
        <v/>
      </c>
      <c r="F1513" s="61" t="str">
        <f>IFERROR(__xludf.DUMMYFUNCTION("INDIRECT(""'收支紀錄'!F""&amp;TO_TEXT(ROW()-$C$72))"),"")</f>
        <v/>
      </c>
      <c r="G1513" s="61" t="str">
        <f>IFERROR(__xludf.DUMMYFUNCTION("INDIRECT(""'收支紀錄'!G""&amp;TO_TEXT(ROW()-$C$72))"),"")</f>
        <v/>
      </c>
      <c r="H1513" s="61" t="str">
        <f>IFERROR(__xludf.DUMMYFUNCTION("INDIRECT(""'收支紀錄'!H""&amp;TO_TEXT(ROW()-$C$72))"),"日常生活")</f>
        <v>日常生活</v>
      </c>
      <c r="I1513" s="61" t="str">
        <f>IFERROR(__xludf.DUMMYFUNCTION("INDIRECT(""'收支紀錄'!I""&amp;TO_TEXT(ROW()-$C$72))"),"")</f>
        <v/>
      </c>
      <c r="J1513" s="61" t="str">
        <f>IFERROR(__xludf.DUMMYFUNCTION("INDIRECT(""'收支紀錄'!J""&amp;TO_TEXT(ROW()-$C$72))"),"日常用品")</f>
        <v>日常用品</v>
      </c>
      <c r="K1513" s="61" t="str">
        <f>IFERROR(__xludf.DUMMYFUNCTION("INDIRECT(""'收支紀錄'!K""&amp;TO_TEXT(ROW()-$C$72))"),"")</f>
        <v/>
      </c>
      <c r="L1513" s="61" t="str">
        <f>IFERROR(__xludf.DUMMYFUNCTION("INDIRECT(""'收支紀錄'!L""&amp;TO_TEXT(ROW()-$C$72))"),"")</f>
        <v/>
      </c>
      <c r="M1513" s="61" t="str">
        <f>IFERROR(__xludf.DUMMYFUNCTION("INDIRECT(""'收支紀錄'!M""&amp;TO_TEXT(ROW()-$C$72))"),"")</f>
        <v/>
      </c>
      <c r="N1513" s="61" t="str">
        <f>IFERROR(__xludf.DUMMYFUNCTION("INDIRECT(""'收支紀錄'!N""&amp;TO_TEXT(ROW()-$C$72))"),"")</f>
        <v/>
      </c>
      <c r="O1513" s="61" t="str">
        <f>IFERROR(__xludf.DUMMYFUNCTION("INDIRECT(""'收支紀錄'!O""&amp;TO_TEXT(ROW()-$C$72))"),"")</f>
        <v/>
      </c>
      <c r="P1513" s="61" t="str">
        <f>IFERROR(__xludf.DUMMYFUNCTION("INDIRECT(""'收支紀錄'!P""&amp;TO_TEXT(ROW()-$C$72))"),"")</f>
        <v/>
      </c>
      <c r="Q1513" s="61" t="str">
        <f>IFERROR(__xludf.DUMMYFUNCTION("INDIRECT(""'收支紀錄'!Q""&amp;TO_TEXT(ROW()-$C$72))"),"")</f>
        <v/>
      </c>
      <c r="R1513" s="61" t="str">
        <f>IFERROR(__xludf.DUMMYFUNCTION("INDIRECT(""'收支紀錄'!R""&amp;TO_TEXT(ROW()-$C$72))"),"")</f>
        <v/>
      </c>
      <c r="S1513" s="61" t="str">
        <f>IFERROR(__xludf.DUMMYFUNCTION("INDIRECT(""'收支紀錄'!S""&amp;TO_TEXT(ROW()-$C$72))"),"")</f>
        <v/>
      </c>
      <c r="T1513" s="61" t="str">
        <f>IFERROR(__xludf.DUMMYFUNCTION("INDIRECT(""'收支紀錄'!T""&amp;TO_TEXT(ROW()-$C$72))"),"")</f>
        <v/>
      </c>
      <c r="U1513" s="62" t="str">
        <f>IFERROR(__xludf.DUMMYFUNCTION("IF(T1513=""是"",TEXTJOIN("""", TRUE, ""$"", TO_TEXT(C1513), S1513),"""")"),"")</f>
        <v/>
      </c>
    </row>
    <row r="1514">
      <c r="A1514" s="58">
        <f>IFERROR(__xludf.DUMMYFUNCTION("INDIRECT(""'收支紀錄'!A""&amp;TO_TEXT(ROW()-$C$72))"),46089.320716539354)</f>
        <v>46089.32072</v>
      </c>
      <c r="B1514" s="59">
        <f>IFERROR(__xludf.DUMMYFUNCTION("IF(ISBLANK(D1514), """", IF(ISDATE(D1514), D1514, IF(D1514=""今天"", A1514, IF(D1514=""昨天 (-1 day)"", A1514-1, IF(D1514=""前天 (-2 days)"", A1514-2, IF(D1514=""明天 (+1 day)"", A1514+1, DATE(LEFT(D1514,4), MID(D1514,5,2), RIGHT(D1514,2))))))))"),46089.320716539354)</f>
        <v>46089.32072</v>
      </c>
      <c r="C1514" s="60">
        <f>IFERROR(__xludf.DUMMYFUNCTION("INDIRECT(""'收支紀錄'!C""&amp;TO_TEXT(ROW()-$C$72))"),189.0)</f>
        <v>189</v>
      </c>
      <c r="D1514" s="63" t="str">
        <f>IFERROR(__xludf.DUMMYFUNCTION("INDIRECT(""'收支紀錄'!D""&amp;TO_TEXT(ROW()-$C$72))"),"今天")</f>
        <v>今天</v>
      </c>
      <c r="E1514" s="61" t="str">
        <f>IFERROR(__xludf.DUMMYFUNCTION("INDIRECT(""'收支紀錄'!E""&amp;TO_TEXT(ROW()-$C$72))"),"")</f>
        <v/>
      </c>
      <c r="F1514" s="61" t="str">
        <f>IFERROR(__xludf.DUMMYFUNCTION("INDIRECT(""'收支紀錄'!F""&amp;TO_TEXT(ROW()-$C$72))"),"")</f>
        <v/>
      </c>
      <c r="G1514" s="61" t="str">
        <f>IFERROR(__xludf.DUMMYFUNCTION("INDIRECT(""'收支紀錄'!G""&amp;TO_TEXT(ROW()-$C$72))"),"")</f>
        <v/>
      </c>
      <c r="H1514" s="61" t="str">
        <f>IFERROR(__xludf.DUMMYFUNCTION("INDIRECT(""'收支紀錄'!H""&amp;TO_TEXT(ROW()-$C$72))"),"食品酒水")</f>
        <v>食品酒水</v>
      </c>
      <c r="I1514" s="61" t="str">
        <f>IFERROR(__xludf.DUMMYFUNCTION("INDIRECT(""'收支紀錄'!I""&amp;TO_TEXT(ROW()-$C$72))"),"早餐")</f>
        <v>早餐</v>
      </c>
      <c r="J1514" s="61" t="str">
        <f>IFERROR(__xludf.DUMMYFUNCTION("INDIRECT(""'收支紀錄'!J""&amp;TO_TEXT(ROW()-$C$72))"),"")</f>
        <v/>
      </c>
      <c r="K1514" s="61" t="str">
        <f>IFERROR(__xludf.DUMMYFUNCTION("INDIRECT(""'收支紀錄'!K""&amp;TO_TEXT(ROW()-$C$72))"),"")</f>
        <v/>
      </c>
      <c r="L1514" s="61" t="str">
        <f>IFERROR(__xludf.DUMMYFUNCTION("INDIRECT(""'收支紀錄'!L""&amp;TO_TEXT(ROW()-$C$72))"),"")</f>
        <v/>
      </c>
      <c r="M1514" s="61" t="str">
        <f>IFERROR(__xludf.DUMMYFUNCTION("INDIRECT(""'收支紀錄'!M""&amp;TO_TEXT(ROW()-$C$72))"),"")</f>
        <v/>
      </c>
      <c r="N1514" s="61" t="str">
        <f>IFERROR(__xludf.DUMMYFUNCTION("INDIRECT(""'收支紀錄'!N""&amp;TO_TEXT(ROW()-$C$72))"),"")</f>
        <v/>
      </c>
      <c r="O1514" s="61" t="str">
        <f>IFERROR(__xludf.DUMMYFUNCTION("INDIRECT(""'收支紀錄'!O""&amp;TO_TEXT(ROW()-$C$72))"),"")</f>
        <v/>
      </c>
      <c r="P1514" s="61" t="str">
        <f>IFERROR(__xludf.DUMMYFUNCTION("INDIRECT(""'收支紀錄'!P""&amp;TO_TEXT(ROW()-$C$72))"),"")</f>
        <v/>
      </c>
      <c r="Q1514" s="61" t="str">
        <f>IFERROR(__xludf.DUMMYFUNCTION("INDIRECT(""'收支紀錄'!Q""&amp;TO_TEXT(ROW()-$C$72))"),"")</f>
        <v/>
      </c>
      <c r="R1514" s="61" t="str">
        <f>IFERROR(__xludf.DUMMYFUNCTION("INDIRECT(""'收支紀錄'!R""&amp;TO_TEXT(ROW()-$C$72))"),"")</f>
        <v/>
      </c>
      <c r="S1514" s="61" t="str">
        <f>IFERROR(__xludf.DUMMYFUNCTION("INDIRECT(""'收支紀錄'!S""&amp;TO_TEXT(ROW()-$C$72))"),"")</f>
        <v/>
      </c>
      <c r="T1514" s="61" t="str">
        <f>IFERROR(__xludf.DUMMYFUNCTION("INDIRECT(""'收支紀錄'!T""&amp;TO_TEXT(ROW()-$C$72))"),"")</f>
        <v/>
      </c>
      <c r="U1514" s="62" t="str">
        <f>IFERROR(__xludf.DUMMYFUNCTION("IF(T1514=""是"",TEXTJOIN("""", TRUE, ""$"", TO_TEXT(C1514), S1514),"""")"),"")</f>
        <v/>
      </c>
    </row>
    <row r="1515">
      <c r="A1515" s="58">
        <f>IFERROR(__xludf.DUMMYFUNCTION("INDIRECT(""'收支紀錄'!A""&amp;TO_TEXT(ROW()-$C$72))"),46089.921870833336)</f>
        <v>46089.92187</v>
      </c>
      <c r="B1515" s="59">
        <f>IFERROR(__xludf.DUMMYFUNCTION("IF(ISBLANK(D1515), """", IF(ISDATE(D1515), D1515, IF(D1515=""今天"", A1515, IF(D1515=""昨天 (-1 day)"", A1515-1, IF(D1515=""前天 (-2 days)"", A1515-2, IF(D1515=""明天 (+1 day)"", A1515+1, DATE(LEFT(D1515,4), MID(D1515,5,2), RIGHT(D1515,2))))))))"),46089.921870833336)</f>
        <v>46089.92187</v>
      </c>
      <c r="C1515" s="60">
        <f>IFERROR(__xludf.DUMMYFUNCTION("INDIRECT(""'收支紀錄'!C""&amp;TO_TEXT(ROW()-$C$72))"),578.0)</f>
        <v>578</v>
      </c>
      <c r="D1515" s="63" t="str">
        <f>IFERROR(__xludf.DUMMYFUNCTION("INDIRECT(""'收支紀錄'!D""&amp;TO_TEXT(ROW()-$C$72))"),"今天")</f>
        <v>今天</v>
      </c>
      <c r="E1515" s="61" t="str">
        <f>IFERROR(__xludf.DUMMYFUNCTION("INDIRECT(""'收支紀錄'!E""&amp;TO_TEXT(ROW()-$C$72))"),"")</f>
        <v/>
      </c>
      <c r="F1515" s="61" t="str">
        <f>IFERROR(__xludf.DUMMYFUNCTION("INDIRECT(""'收支紀錄'!F""&amp;TO_TEXT(ROW()-$C$72))"),"")</f>
        <v/>
      </c>
      <c r="G1515" s="61" t="str">
        <f>IFERROR(__xludf.DUMMYFUNCTION("INDIRECT(""'收支紀錄'!G""&amp;TO_TEXT(ROW()-$C$72))"),"")</f>
        <v/>
      </c>
      <c r="H1515" s="61" t="str">
        <f>IFERROR(__xludf.DUMMYFUNCTION("INDIRECT(""'收支紀錄'!H""&amp;TO_TEXT(ROW()-$C$72))"),"行車交通")</f>
        <v>行車交通</v>
      </c>
      <c r="I1515" s="61" t="str">
        <f>IFERROR(__xludf.DUMMYFUNCTION("INDIRECT(""'收支紀錄'!I""&amp;TO_TEXT(ROW()-$C$72))"),"")</f>
        <v/>
      </c>
      <c r="J1515" s="61" t="str">
        <f>IFERROR(__xludf.DUMMYFUNCTION("INDIRECT(""'收支紀錄'!J""&amp;TO_TEXT(ROW()-$C$72))"),"")</f>
        <v/>
      </c>
      <c r="K1515" s="61" t="str">
        <f>IFERROR(__xludf.DUMMYFUNCTION("INDIRECT(""'收支紀錄'!K""&amp;TO_TEXT(ROW()-$C$72))"),"")</f>
        <v/>
      </c>
      <c r="L1515" s="61" t="str">
        <f>IFERROR(__xludf.DUMMYFUNCTION("INDIRECT(""'收支紀錄'!L""&amp;TO_TEXT(ROW()-$C$72))"),"加油")</f>
        <v>加油</v>
      </c>
      <c r="M1515" s="61" t="str">
        <f>IFERROR(__xludf.DUMMYFUNCTION("INDIRECT(""'收支紀錄'!M""&amp;TO_TEXT(ROW()-$C$72))"),"")</f>
        <v/>
      </c>
      <c r="N1515" s="61" t="str">
        <f>IFERROR(__xludf.DUMMYFUNCTION("INDIRECT(""'收支紀錄'!N""&amp;TO_TEXT(ROW()-$C$72))"),"")</f>
        <v/>
      </c>
      <c r="O1515" s="61" t="str">
        <f>IFERROR(__xludf.DUMMYFUNCTION("INDIRECT(""'收支紀錄'!O""&amp;TO_TEXT(ROW()-$C$72))"),"")</f>
        <v/>
      </c>
      <c r="P1515" s="61" t="str">
        <f>IFERROR(__xludf.DUMMYFUNCTION("INDIRECT(""'收支紀錄'!P""&amp;TO_TEXT(ROW()-$C$72))"),"")</f>
        <v/>
      </c>
      <c r="Q1515" s="61" t="str">
        <f>IFERROR(__xludf.DUMMYFUNCTION("INDIRECT(""'收支紀錄'!Q""&amp;TO_TEXT(ROW()-$C$72))"),"")</f>
        <v/>
      </c>
      <c r="R1515" s="61" t="str">
        <f>IFERROR(__xludf.DUMMYFUNCTION("INDIRECT(""'收支紀錄'!R""&amp;TO_TEXT(ROW()-$C$72))"),"")</f>
        <v/>
      </c>
      <c r="S1515" s="61" t="str">
        <f>IFERROR(__xludf.DUMMYFUNCTION("INDIRECT(""'收支紀錄'!S""&amp;TO_TEXT(ROW()-$C$72))"),"")</f>
        <v/>
      </c>
      <c r="T1515" s="61" t="str">
        <f>IFERROR(__xludf.DUMMYFUNCTION("INDIRECT(""'收支紀錄'!T""&amp;TO_TEXT(ROW()-$C$72))"),"")</f>
        <v/>
      </c>
      <c r="U1515" s="62" t="str">
        <f>IFERROR(__xludf.DUMMYFUNCTION("IF(T1515=""是"",TEXTJOIN("""", TRUE, ""$"", TO_TEXT(C1515), S1515),"""")"),"")</f>
        <v/>
      </c>
    </row>
    <row r="1516">
      <c r="A1516" s="58">
        <f>IFERROR(__xludf.DUMMYFUNCTION("INDIRECT(""'收支紀錄'!A""&amp;TO_TEXT(ROW()-$C$72))"),46089.92206414352)</f>
        <v>46089.92206</v>
      </c>
      <c r="B1516" s="59">
        <f>IFERROR(__xludf.DUMMYFUNCTION("IF(ISBLANK(D1516), """", IF(ISDATE(D1516), D1516, IF(D1516=""今天"", A1516, IF(D1516=""昨天 (-1 day)"", A1516-1, IF(D1516=""前天 (-2 days)"", A1516-2, IF(D1516=""明天 (+1 day)"", A1516+1, DATE(LEFT(D1516,4), MID(D1516,5,2), RIGHT(D1516,2))))))))"),46089.92206414352)</f>
        <v>46089.92206</v>
      </c>
      <c r="C1516" s="60">
        <f>IFERROR(__xludf.DUMMYFUNCTION("INDIRECT(""'收支紀錄'!C""&amp;TO_TEXT(ROW()-$C$72))"),200.0)</f>
        <v>200</v>
      </c>
      <c r="D1516" s="63" t="str">
        <f>IFERROR(__xludf.DUMMYFUNCTION("INDIRECT(""'收支紀錄'!D""&amp;TO_TEXT(ROW()-$C$72))"),"今天")</f>
        <v>今天</v>
      </c>
      <c r="E1516" s="61" t="str">
        <f>IFERROR(__xludf.DUMMYFUNCTION("INDIRECT(""'收支紀錄'!E""&amp;TO_TEXT(ROW()-$C$72))"),"")</f>
        <v/>
      </c>
      <c r="F1516" s="61" t="str">
        <f>IFERROR(__xludf.DUMMYFUNCTION("INDIRECT(""'收支紀錄'!F""&amp;TO_TEXT(ROW()-$C$72))"),"")</f>
        <v/>
      </c>
      <c r="G1516" s="61" t="str">
        <f>IFERROR(__xludf.DUMMYFUNCTION("INDIRECT(""'收支紀錄'!G""&amp;TO_TEXT(ROW()-$C$72))"),"")</f>
        <v/>
      </c>
      <c r="H1516" s="61" t="str">
        <f>IFERROR(__xludf.DUMMYFUNCTION("INDIRECT(""'收支紀錄'!H""&amp;TO_TEXT(ROW()-$C$72))"),"行車交通")</f>
        <v>行車交通</v>
      </c>
      <c r="I1516" s="61" t="str">
        <f>IFERROR(__xludf.DUMMYFUNCTION("INDIRECT(""'收支紀錄'!I""&amp;TO_TEXT(ROW()-$C$72))"),"")</f>
        <v/>
      </c>
      <c r="J1516" s="61" t="str">
        <f>IFERROR(__xludf.DUMMYFUNCTION("INDIRECT(""'收支紀錄'!J""&amp;TO_TEXT(ROW()-$C$72))"),"")</f>
        <v/>
      </c>
      <c r="K1516" s="61" t="str">
        <f>IFERROR(__xludf.DUMMYFUNCTION("INDIRECT(""'收支紀錄'!K""&amp;TO_TEXT(ROW()-$C$72))"),"")</f>
        <v/>
      </c>
      <c r="L1516" s="61" t="str">
        <f>IFERROR(__xludf.DUMMYFUNCTION("INDIRECT(""'收支紀錄'!L""&amp;TO_TEXT(ROW()-$C$72))"),"其他(洗車,罰單,配件)")</f>
        <v>其他(洗車,罰單,配件)</v>
      </c>
      <c r="M1516" s="61" t="str">
        <f>IFERROR(__xludf.DUMMYFUNCTION("INDIRECT(""'收支紀錄'!M""&amp;TO_TEXT(ROW()-$C$72))"),"")</f>
        <v/>
      </c>
      <c r="N1516" s="61" t="str">
        <f>IFERROR(__xludf.DUMMYFUNCTION("INDIRECT(""'收支紀錄'!N""&amp;TO_TEXT(ROW()-$C$72))"),"")</f>
        <v/>
      </c>
      <c r="O1516" s="61" t="str">
        <f>IFERROR(__xludf.DUMMYFUNCTION("INDIRECT(""'收支紀錄'!O""&amp;TO_TEXT(ROW()-$C$72))"),"")</f>
        <v/>
      </c>
      <c r="P1516" s="61" t="str">
        <f>IFERROR(__xludf.DUMMYFUNCTION("INDIRECT(""'收支紀錄'!P""&amp;TO_TEXT(ROW()-$C$72))"),"")</f>
        <v/>
      </c>
      <c r="Q1516" s="61" t="str">
        <f>IFERROR(__xludf.DUMMYFUNCTION("INDIRECT(""'收支紀錄'!Q""&amp;TO_TEXT(ROW()-$C$72))"),"")</f>
        <v/>
      </c>
      <c r="R1516" s="61" t="str">
        <f>IFERROR(__xludf.DUMMYFUNCTION("INDIRECT(""'收支紀錄'!R""&amp;TO_TEXT(ROW()-$C$72))"),"")</f>
        <v/>
      </c>
      <c r="S1516" s="61" t="str">
        <f>IFERROR(__xludf.DUMMYFUNCTION("INDIRECT(""'收支紀錄'!S""&amp;TO_TEXT(ROW()-$C$72))"),"")</f>
        <v/>
      </c>
      <c r="T1516" s="61" t="str">
        <f>IFERROR(__xludf.DUMMYFUNCTION("INDIRECT(""'收支紀錄'!T""&amp;TO_TEXT(ROW()-$C$72))"),"")</f>
        <v/>
      </c>
      <c r="U1516" s="62" t="str">
        <f>IFERROR(__xludf.DUMMYFUNCTION("IF(T1516=""是"",TEXTJOIN("""", TRUE, ""$"", TO_TEXT(C1516), S1516),"""")"),"")</f>
        <v/>
      </c>
    </row>
    <row r="1517">
      <c r="A1517" s="58">
        <f>IFERROR(__xludf.DUMMYFUNCTION("INDIRECT(""'收支紀錄'!A""&amp;TO_TEXT(ROW()-$C$72))"),46089.963048923615)</f>
        <v>46089.96305</v>
      </c>
      <c r="B1517" s="59">
        <f>IFERROR(__xludf.DUMMYFUNCTION("IF(ISBLANK(D1517), """", IF(ISDATE(D1517), D1517, IF(D1517=""今天"", A1517, IF(D1517=""昨天 (-1 day)"", A1517-1, IF(D1517=""前天 (-2 days)"", A1517-2, IF(D1517=""明天 (+1 day)"", A1517+1, DATE(LEFT(D1517,4), MID(D1517,5,2), RIGHT(D1517,2))))))))"),46089.963048923615)</f>
        <v>46089.96305</v>
      </c>
      <c r="C1517" s="60">
        <f>IFERROR(__xludf.DUMMYFUNCTION("INDIRECT(""'收支紀錄'!C""&amp;TO_TEXT(ROW()-$C$72))"),1386.0)</f>
        <v>1386</v>
      </c>
      <c r="D1517" s="63" t="str">
        <f>IFERROR(__xludf.DUMMYFUNCTION("INDIRECT(""'收支紀錄'!D""&amp;TO_TEXT(ROW()-$C$72))"),"今天")</f>
        <v>今天</v>
      </c>
      <c r="E1517" s="61" t="str">
        <f>IFERROR(__xludf.DUMMYFUNCTION("INDIRECT(""'收支紀錄'!E""&amp;TO_TEXT(ROW()-$C$72))"),"")</f>
        <v/>
      </c>
      <c r="F1517" s="61" t="str">
        <f>IFERROR(__xludf.DUMMYFUNCTION("INDIRECT(""'收支紀錄'!F""&amp;TO_TEXT(ROW()-$C$72))"),"")</f>
        <v/>
      </c>
      <c r="G1517" s="61" t="str">
        <f>IFERROR(__xludf.DUMMYFUNCTION("INDIRECT(""'收支紀錄'!G""&amp;TO_TEXT(ROW()-$C$72))"),"")</f>
        <v/>
      </c>
      <c r="H1517" s="61" t="str">
        <f>IFERROR(__xludf.DUMMYFUNCTION("INDIRECT(""'收支紀錄'!H""&amp;TO_TEXT(ROW()-$C$72))"),"日常生活")</f>
        <v>日常生活</v>
      </c>
      <c r="I1517" s="61" t="str">
        <f>IFERROR(__xludf.DUMMYFUNCTION("INDIRECT(""'收支紀錄'!I""&amp;TO_TEXT(ROW()-$C$72))"),"")</f>
        <v/>
      </c>
      <c r="J1517" s="61" t="str">
        <f>IFERROR(__xludf.DUMMYFUNCTION("INDIRECT(""'收支紀錄'!J""&amp;TO_TEXT(ROW()-$C$72))"),"日常用品")</f>
        <v>日常用品</v>
      </c>
      <c r="K1517" s="61" t="str">
        <f>IFERROR(__xludf.DUMMYFUNCTION("INDIRECT(""'收支紀錄'!K""&amp;TO_TEXT(ROW()-$C$72))"),"")</f>
        <v/>
      </c>
      <c r="L1517" s="61" t="str">
        <f>IFERROR(__xludf.DUMMYFUNCTION("INDIRECT(""'收支紀錄'!L""&amp;TO_TEXT(ROW()-$C$72))"),"")</f>
        <v/>
      </c>
      <c r="M1517" s="61" t="str">
        <f>IFERROR(__xludf.DUMMYFUNCTION("INDIRECT(""'收支紀錄'!M""&amp;TO_TEXT(ROW()-$C$72))"),"")</f>
        <v/>
      </c>
      <c r="N1517" s="61" t="str">
        <f>IFERROR(__xludf.DUMMYFUNCTION("INDIRECT(""'收支紀錄'!N""&amp;TO_TEXT(ROW()-$C$72))"),"")</f>
        <v/>
      </c>
      <c r="O1517" s="61" t="str">
        <f>IFERROR(__xludf.DUMMYFUNCTION("INDIRECT(""'收支紀錄'!O""&amp;TO_TEXT(ROW()-$C$72))"),"")</f>
        <v/>
      </c>
      <c r="P1517" s="61" t="str">
        <f>IFERROR(__xludf.DUMMYFUNCTION("INDIRECT(""'收支紀錄'!P""&amp;TO_TEXT(ROW()-$C$72))"),"")</f>
        <v/>
      </c>
      <c r="Q1517" s="61" t="str">
        <f>IFERROR(__xludf.DUMMYFUNCTION("INDIRECT(""'收支紀錄'!Q""&amp;TO_TEXT(ROW()-$C$72))"),"")</f>
        <v/>
      </c>
      <c r="R1517" s="61" t="str">
        <f>IFERROR(__xludf.DUMMYFUNCTION("INDIRECT(""'收支紀錄'!R""&amp;TO_TEXT(ROW()-$C$72))"),"")</f>
        <v/>
      </c>
      <c r="S1517" s="61" t="str">
        <f>IFERROR(__xludf.DUMMYFUNCTION("INDIRECT(""'收支紀錄'!S""&amp;TO_TEXT(ROW()-$C$72))"),"")</f>
        <v/>
      </c>
      <c r="T1517" s="61" t="str">
        <f>IFERROR(__xludf.DUMMYFUNCTION("INDIRECT(""'收支紀錄'!T""&amp;TO_TEXT(ROW()-$C$72))"),"")</f>
        <v/>
      </c>
      <c r="U1517" s="62" t="str">
        <f>IFERROR(__xludf.DUMMYFUNCTION("IF(T1517=""是"",TEXTJOIN("""", TRUE, ""$"", TO_TEXT(C1517), S1517),"""")"),"")</f>
        <v/>
      </c>
    </row>
    <row r="1518">
      <c r="A1518" s="58">
        <f>IFERROR(__xludf.DUMMYFUNCTION("INDIRECT(""'收支紀錄'!A""&amp;TO_TEXT(ROW()-$C$72))"),46089.96415511574)</f>
        <v>46089.96416</v>
      </c>
      <c r="B1518" s="59">
        <f>IFERROR(__xludf.DUMMYFUNCTION("IF(ISBLANK(D1518), """", IF(ISDATE(D1518), D1518, IF(D1518=""今天"", A1518, IF(D1518=""昨天 (-1 day)"", A1518-1, IF(D1518=""前天 (-2 days)"", A1518-2, IF(D1518=""明天 (+1 day)"", A1518+1, DATE(LEFT(D1518,4), MID(D1518,5,2), RIGHT(D1518,2))))))))"),46089.96415511574)</f>
        <v>46089.96416</v>
      </c>
      <c r="C1518" s="60">
        <f>IFERROR(__xludf.DUMMYFUNCTION("INDIRECT(""'收支紀錄'!C""&amp;TO_TEXT(ROW()-$C$72))"),749.0)</f>
        <v>749</v>
      </c>
      <c r="D1518" s="63" t="str">
        <f>IFERROR(__xludf.DUMMYFUNCTION("INDIRECT(""'收支紀錄'!D""&amp;TO_TEXT(ROW()-$C$72))"),"今天")</f>
        <v>今天</v>
      </c>
      <c r="E1518" s="61" t="str">
        <f>IFERROR(__xludf.DUMMYFUNCTION("INDIRECT(""'收支紀錄'!E""&amp;TO_TEXT(ROW()-$C$72))"),"")</f>
        <v/>
      </c>
      <c r="F1518" s="61" t="str">
        <f>IFERROR(__xludf.DUMMYFUNCTION("INDIRECT(""'收支紀錄'!F""&amp;TO_TEXT(ROW()-$C$72))"),"")</f>
        <v/>
      </c>
      <c r="G1518" s="61" t="str">
        <f>IFERROR(__xludf.DUMMYFUNCTION("INDIRECT(""'收支紀錄'!G""&amp;TO_TEXT(ROW()-$C$72))"),"")</f>
        <v/>
      </c>
      <c r="H1518" s="61" t="str">
        <f>IFERROR(__xludf.DUMMYFUNCTION("INDIRECT(""'收支紀錄'!H""&amp;TO_TEXT(ROW()-$C$72))"),"日常生活")</f>
        <v>日常生活</v>
      </c>
      <c r="I1518" s="61" t="str">
        <f>IFERROR(__xludf.DUMMYFUNCTION("INDIRECT(""'收支紀錄'!I""&amp;TO_TEXT(ROW()-$C$72))"),"")</f>
        <v/>
      </c>
      <c r="J1518" s="61" t="str">
        <f>IFERROR(__xludf.DUMMYFUNCTION("INDIRECT(""'收支紀錄'!J""&amp;TO_TEXT(ROW()-$C$72))"),"日常用品")</f>
        <v>日常用品</v>
      </c>
      <c r="K1518" s="61" t="str">
        <f>IFERROR(__xludf.DUMMYFUNCTION("INDIRECT(""'收支紀錄'!K""&amp;TO_TEXT(ROW()-$C$72))"),"")</f>
        <v/>
      </c>
      <c r="L1518" s="61" t="str">
        <f>IFERROR(__xludf.DUMMYFUNCTION("INDIRECT(""'收支紀錄'!L""&amp;TO_TEXT(ROW()-$C$72))"),"")</f>
        <v/>
      </c>
      <c r="M1518" s="61" t="str">
        <f>IFERROR(__xludf.DUMMYFUNCTION("INDIRECT(""'收支紀錄'!M""&amp;TO_TEXT(ROW()-$C$72))"),"")</f>
        <v/>
      </c>
      <c r="N1518" s="61" t="str">
        <f>IFERROR(__xludf.DUMMYFUNCTION("INDIRECT(""'收支紀錄'!N""&amp;TO_TEXT(ROW()-$C$72))"),"")</f>
        <v/>
      </c>
      <c r="O1518" s="61" t="str">
        <f>IFERROR(__xludf.DUMMYFUNCTION("INDIRECT(""'收支紀錄'!O""&amp;TO_TEXT(ROW()-$C$72))"),"")</f>
        <v/>
      </c>
      <c r="P1518" s="61" t="str">
        <f>IFERROR(__xludf.DUMMYFUNCTION("INDIRECT(""'收支紀錄'!P""&amp;TO_TEXT(ROW()-$C$72))"),"")</f>
        <v/>
      </c>
      <c r="Q1518" s="61" t="str">
        <f>IFERROR(__xludf.DUMMYFUNCTION("INDIRECT(""'收支紀錄'!Q""&amp;TO_TEXT(ROW()-$C$72))"),"")</f>
        <v/>
      </c>
      <c r="R1518" s="61" t="str">
        <f>IFERROR(__xludf.DUMMYFUNCTION("INDIRECT(""'收支紀錄'!R""&amp;TO_TEXT(ROW()-$C$72))"),"")</f>
        <v/>
      </c>
      <c r="S1518" s="61" t="str">
        <f>IFERROR(__xludf.DUMMYFUNCTION("INDIRECT(""'收支紀錄'!S""&amp;TO_TEXT(ROW()-$C$72))"),"")</f>
        <v/>
      </c>
      <c r="T1518" s="61" t="str">
        <f>IFERROR(__xludf.DUMMYFUNCTION("INDIRECT(""'收支紀錄'!T""&amp;TO_TEXT(ROW()-$C$72))"),"")</f>
        <v/>
      </c>
      <c r="U1518" s="62" t="str">
        <f>IFERROR(__xludf.DUMMYFUNCTION("IF(T1518=""是"",TEXTJOIN("""", TRUE, ""$"", TO_TEXT(C1518), S1518),"""")"),"")</f>
        <v/>
      </c>
    </row>
    <row r="1519">
      <c r="A1519" s="58">
        <f>IFERROR(__xludf.DUMMYFUNCTION("INDIRECT(""'收支紀錄'!A""&amp;TO_TEXT(ROW()-$C$72))"),46089.96435282407)</f>
        <v>46089.96435</v>
      </c>
      <c r="B1519" s="59">
        <f>IFERROR(__xludf.DUMMYFUNCTION("IF(ISBLANK(D1519), """", IF(ISDATE(D1519), D1519, IF(D1519=""今天"", A1519, IF(D1519=""昨天 (-1 day)"", A1519-1, IF(D1519=""前天 (-2 days)"", A1519-2, IF(D1519=""明天 (+1 day)"", A1519+1, DATE(LEFT(D1519,4), MID(D1519,5,2), RIGHT(D1519,2))))))))"),46089.96435282407)</f>
        <v>46089.96435</v>
      </c>
      <c r="C1519" s="60">
        <f>IFERROR(__xludf.DUMMYFUNCTION("INDIRECT(""'收支紀錄'!C""&amp;TO_TEXT(ROW()-$C$72))"),150.0)</f>
        <v>150</v>
      </c>
      <c r="D1519" s="63" t="str">
        <f>IFERROR(__xludf.DUMMYFUNCTION("INDIRECT(""'收支紀錄'!D""&amp;TO_TEXT(ROW()-$C$72))"),"今天")</f>
        <v>今天</v>
      </c>
      <c r="E1519" s="61" t="str">
        <f>IFERROR(__xludf.DUMMYFUNCTION("INDIRECT(""'收支紀錄'!E""&amp;TO_TEXT(ROW()-$C$72))"),"")</f>
        <v/>
      </c>
      <c r="F1519" s="61" t="str">
        <f>IFERROR(__xludf.DUMMYFUNCTION("INDIRECT(""'收支紀錄'!F""&amp;TO_TEXT(ROW()-$C$72))"),"")</f>
        <v/>
      </c>
      <c r="G1519" s="61" t="str">
        <f>IFERROR(__xludf.DUMMYFUNCTION("INDIRECT(""'收支紀錄'!G""&amp;TO_TEXT(ROW()-$C$72))"),"")</f>
        <v/>
      </c>
      <c r="H1519" s="61" t="str">
        <f>IFERROR(__xludf.DUMMYFUNCTION("INDIRECT(""'收支紀錄'!H""&amp;TO_TEXT(ROW()-$C$72))"),"食品酒水")</f>
        <v>食品酒水</v>
      </c>
      <c r="I1519" s="61" t="str">
        <f>IFERROR(__xludf.DUMMYFUNCTION("INDIRECT(""'收支紀錄'!I""&amp;TO_TEXT(ROW()-$C$72))"),"晚餐")</f>
        <v>晚餐</v>
      </c>
      <c r="J1519" s="61" t="str">
        <f>IFERROR(__xludf.DUMMYFUNCTION("INDIRECT(""'收支紀錄'!J""&amp;TO_TEXT(ROW()-$C$72))"),"")</f>
        <v/>
      </c>
      <c r="K1519" s="61" t="str">
        <f>IFERROR(__xludf.DUMMYFUNCTION("INDIRECT(""'收支紀錄'!K""&amp;TO_TEXT(ROW()-$C$72))"),"")</f>
        <v/>
      </c>
      <c r="L1519" s="61" t="str">
        <f>IFERROR(__xludf.DUMMYFUNCTION("INDIRECT(""'收支紀錄'!L""&amp;TO_TEXT(ROW()-$C$72))"),"")</f>
        <v/>
      </c>
      <c r="M1519" s="61" t="str">
        <f>IFERROR(__xludf.DUMMYFUNCTION("INDIRECT(""'收支紀錄'!M""&amp;TO_TEXT(ROW()-$C$72))"),"")</f>
        <v/>
      </c>
      <c r="N1519" s="61" t="str">
        <f>IFERROR(__xludf.DUMMYFUNCTION("INDIRECT(""'收支紀錄'!N""&amp;TO_TEXT(ROW()-$C$72))"),"")</f>
        <v/>
      </c>
      <c r="O1519" s="61" t="str">
        <f>IFERROR(__xludf.DUMMYFUNCTION("INDIRECT(""'收支紀錄'!O""&amp;TO_TEXT(ROW()-$C$72))"),"")</f>
        <v/>
      </c>
      <c r="P1519" s="61" t="str">
        <f>IFERROR(__xludf.DUMMYFUNCTION("INDIRECT(""'收支紀錄'!P""&amp;TO_TEXT(ROW()-$C$72))"),"")</f>
        <v/>
      </c>
      <c r="Q1519" s="61" t="str">
        <f>IFERROR(__xludf.DUMMYFUNCTION("INDIRECT(""'收支紀錄'!Q""&amp;TO_TEXT(ROW()-$C$72))"),"")</f>
        <v/>
      </c>
      <c r="R1519" s="61" t="str">
        <f>IFERROR(__xludf.DUMMYFUNCTION("INDIRECT(""'收支紀錄'!R""&amp;TO_TEXT(ROW()-$C$72))"),"")</f>
        <v/>
      </c>
      <c r="S1519" s="61" t="str">
        <f>IFERROR(__xludf.DUMMYFUNCTION("INDIRECT(""'收支紀錄'!S""&amp;TO_TEXT(ROW()-$C$72))"),"")</f>
        <v/>
      </c>
      <c r="T1519" s="61" t="str">
        <f>IFERROR(__xludf.DUMMYFUNCTION("INDIRECT(""'收支紀錄'!T""&amp;TO_TEXT(ROW()-$C$72))"),"")</f>
        <v/>
      </c>
      <c r="U1519" s="62" t="str">
        <f>IFERROR(__xludf.DUMMYFUNCTION("IF(T1519=""是"",TEXTJOIN("""", TRUE, ""$"", TO_TEXT(C1519), S1519),"""")"),"")</f>
        <v/>
      </c>
    </row>
    <row r="1520">
      <c r="A1520" s="58">
        <f>IFERROR(__xludf.DUMMYFUNCTION("INDIRECT(""'收支紀錄'!A""&amp;TO_TEXT(ROW()-$C$72))"),46089.965111990736)</f>
        <v>46089.96511</v>
      </c>
      <c r="B1520" s="59">
        <f>IFERROR(__xludf.DUMMYFUNCTION("IF(ISBLANK(D1520), """", IF(ISDATE(D1520), D1520, IF(D1520=""今天"", A1520, IF(D1520=""昨天 (-1 day)"", A1520-1, IF(D1520=""前天 (-2 days)"", A1520-2, IF(D1520=""明天 (+1 day)"", A1520+1, DATE(LEFT(D1520,4), MID(D1520,5,2), RIGHT(D1520,2))))))))"),46089.965111990736)</f>
        <v>46089.96511</v>
      </c>
      <c r="C1520" s="60">
        <f>IFERROR(__xludf.DUMMYFUNCTION("INDIRECT(""'收支紀錄'!C""&amp;TO_TEXT(ROW()-$C$72))"),80.0)</f>
        <v>80</v>
      </c>
      <c r="D1520" s="63" t="str">
        <f>IFERROR(__xludf.DUMMYFUNCTION("INDIRECT(""'收支紀錄'!D""&amp;TO_TEXT(ROW()-$C$72))"),"今天")</f>
        <v>今天</v>
      </c>
      <c r="E1520" s="61" t="str">
        <f>IFERROR(__xludf.DUMMYFUNCTION("INDIRECT(""'收支紀錄'!E""&amp;TO_TEXT(ROW()-$C$72))"),"")</f>
        <v/>
      </c>
      <c r="F1520" s="61" t="str">
        <f>IFERROR(__xludf.DUMMYFUNCTION("INDIRECT(""'收支紀錄'!F""&amp;TO_TEXT(ROW()-$C$72))"),"")</f>
        <v/>
      </c>
      <c r="G1520" s="61" t="str">
        <f>IFERROR(__xludf.DUMMYFUNCTION("INDIRECT(""'收支紀錄'!G""&amp;TO_TEXT(ROW()-$C$72))"),"")</f>
        <v/>
      </c>
      <c r="H1520" s="61" t="str">
        <f>IFERROR(__xludf.DUMMYFUNCTION("INDIRECT(""'收支紀錄'!H""&amp;TO_TEXT(ROW()-$C$72))"),"日常生活")</f>
        <v>日常生活</v>
      </c>
      <c r="I1520" s="61" t="str">
        <f>IFERROR(__xludf.DUMMYFUNCTION("INDIRECT(""'收支紀錄'!I""&amp;TO_TEXT(ROW()-$C$72))"),"")</f>
        <v/>
      </c>
      <c r="J1520" s="61" t="str">
        <f>IFERROR(__xludf.DUMMYFUNCTION("INDIRECT(""'收支紀錄'!J""&amp;TO_TEXT(ROW()-$C$72))"),"洗衣")</f>
        <v>洗衣</v>
      </c>
      <c r="K1520" s="61" t="str">
        <f>IFERROR(__xludf.DUMMYFUNCTION("INDIRECT(""'收支紀錄'!K""&amp;TO_TEXT(ROW()-$C$72))"),"")</f>
        <v/>
      </c>
      <c r="L1520" s="61" t="str">
        <f>IFERROR(__xludf.DUMMYFUNCTION("INDIRECT(""'收支紀錄'!L""&amp;TO_TEXT(ROW()-$C$72))"),"")</f>
        <v/>
      </c>
      <c r="M1520" s="61" t="str">
        <f>IFERROR(__xludf.DUMMYFUNCTION("INDIRECT(""'收支紀錄'!M""&amp;TO_TEXT(ROW()-$C$72))"),"")</f>
        <v/>
      </c>
      <c r="N1520" s="61" t="str">
        <f>IFERROR(__xludf.DUMMYFUNCTION("INDIRECT(""'收支紀錄'!N""&amp;TO_TEXT(ROW()-$C$72))"),"")</f>
        <v/>
      </c>
      <c r="O1520" s="61" t="str">
        <f>IFERROR(__xludf.DUMMYFUNCTION("INDIRECT(""'收支紀錄'!O""&amp;TO_TEXT(ROW()-$C$72))"),"")</f>
        <v/>
      </c>
      <c r="P1520" s="61" t="str">
        <f>IFERROR(__xludf.DUMMYFUNCTION("INDIRECT(""'收支紀錄'!P""&amp;TO_TEXT(ROW()-$C$72))"),"")</f>
        <v/>
      </c>
      <c r="Q1520" s="61" t="str">
        <f>IFERROR(__xludf.DUMMYFUNCTION("INDIRECT(""'收支紀錄'!Q""&amp;TO_TEXT(ROW()-$C$72))"),"")</f>
        <v/>
      </c>
      <c r="R1520" s="61" t="str">
        <f>IFERROR(__xludf.DUMMYFUNCTION("INDIRECT(""'收支紀錄'!R""&amp;TO_TEXT(ROW()-$C$72))"),"")</f>
        <v/>
      </c>
      <c r="S1520" s="61" t="str">
        <f>IFERROR(__xludf.DUMMYFUNCTION("INDIRECT(""'收支紀錄'!S""&amp;TO_TEXT(ROW()-$C$72))"),"")</f>
        <v/>
      </c>
      <c r="T1520" s="61" t="str">
        <f>IFERROR(__xludf.DUMMYFUNCTION("INDIRECT(""'收支紀錄'!T""&amp;TO_TEXT(ROW()-$C$72))"),"")</f>
        <v/>
      </c>
      <c r="U1520" s="62" t="str">
        <f>IFERROR(__xludf.DUMMYFUNCTION("IF(T1520=""是"",TEXTJOIN("""", TRUE, ""$"", TO_TEXT(C1520), S1520),"""")"),"")</f>
        <v/>
      </c>
    </row>
    <row r="1521">
      <c r="A1521" s="58">
        <f>IFERROR(__xludf.DUMMYFUNCTION("INDIRECT(""'收支紀錄'!A""&amp;TO_TEXT(ROW()-$C$72))"),46092.67579865741)</f>
        <v>46092.6758</v>
      </c>
      <c r="B1521" s="59">
        <f>IFERROR(__xludf.DUMMYFUNCTION("IF(ISBLANK(D1521), """", IF(ISDATE(D1521), D1521, IF(D1521=""今天"", A1521, IF(D1521=""昨天 (-1 day)"", A1521-1, IF(D1521=""前天 (-2 days)"", A1521-2, IF(D1521=""明天 (+1 day)"", A1521+1, DATE(LEFT(D1521,4), MID(D1521,5,2), RIGHT(D1521,2))))))))"),46092.67579865741)</f>
        <v>46092.6758</v>
      </c>
      <c r="C1521" s="60">
        <f>IFERROR(__xludf.DUMMYFUNCTION("INDIRECT(""'收支紀錄'!C""&amp;TO_TEXT(ROW()-$C$72))"),119.0)</f>
        <v>119</v>
      </c>
      <c r="D1521" s="63" t="str">
        <f>IFERROR(__xludf.DUMMYFUNCTION("INDIRECT(""'收支紀錄'!D""&amp;TO_TEXT(ROW()-$C$72))"),"今天")</f>
        <v>今天</v>
      </c>
      <c r="E1521" s="61" t="str">
        <f>IFERROR(__xludf.DUMMYFUNCTION("INDIRECT(""'收支紀錄'!E""&amp;TO_TEXT(ROW()-$C$72))"),"")</f>
        <v/>
      </c>
      <c r="F1521" s="61" t="str">
        <f>IFERROR(__xludf.DUMMYFUNCTION("INDIRECT(""'收支紀錄'!F""&amp;TO_TEXT(ROW()-$C$72))"),"")</f>
        <v/>
      </c>
      <c r="G1521" s="61" t="str">
        <f>IFERROR(__xludf.DUMMYFUNCTION("INDIRECT(""'收支紀錄'!G""&amp;TO_TEXT(ROW()-$C$72))"),"")</f>
        <v/>
      </c>
      <c r="H1521" s="61" t="str">
        <f>IFERROR(__xludf.DUMMYFUNCTION("INDIRECT(""'收支紀錄'!H""&amp;TO_TEXT(ROW()-$C$72))"),"日常生活")</f>
        <v>日常生活</v>
      </c>
      <c r="I1521" s="61" t="str">
        <f>IFERROR(__xludf.DUMMYFUNCTION("INDIRECT(""'收支紀錄'!I""&amp;TO_TEXT(ROW()-$C$72))"),"")</f>
        <v/>
      </c>
      <c r="J1521" s="61" t="str">
        <f>IFERROR(__xludf.DUMMYFUNCTION("INDIRECT(""'收支紀錄'!J""&amp;TO_TEXT(ROW()-$C$72))"),"日常用品")</f>
        <v>日常用品</v>
      </c>
      <c r="K1521" s="61" t="str">
        <f>IFERROR(__xludf.DUMMYFUNCTION("INDIRECT(""'收支紀錄'!K""&amp;TO_TEXT(ROW()-$C$72))"),"")</f>
        <v/>
      </c>
      <c r="L1521" s="61" t="str">
        <f>IFERROR(__xludf.DUMMYFUNCTION("INDIRECT(""'收支紀錄'!L""&amp;TO_TEXT(ROW()-$C$72))"),"")</f>
        <v/>
      </c>
      <c r="M1521" s="61" t="str">
        <f>IFERROR(__xludf.DUMMYFUNCTION("INDIRECT(""'收支紀錄'!M""&amp;TO_TEXT(ROW()-$C$72))"),"")</f>
        <v/>
      </c>
      <c r="N1521" s="61" t="str">
        <f>IFERROR(__xludf.DUMMYFUNCTION("INDIRECT(""'收支紀錄'!N""&amp;TO_TEXT(ROW()-$C$72))"),"")</f>
        <v/>
      </c>
      <c r="O1521" s="61" t="str">
        <f>IFERROR(__xludf.DUMMYFUNCTION("INDIRECT(""'收支紀錄'!O""&amp;TO_TEXT(ROW()-$C$72))"),"")</f>
        <v/>
      </c>
      <c r="P1521" s="61" t="str">
        <f>IFERROR(__xludf.DUMMYFUNCTION("INDIRECT(""'收支紀錄'!P""&amp;TO_TEXT(ROW()-$C$72))"),"")</f>
        <v/>
      </c>
      <c r="Q1521" s="61" t="str">
        <f>IFERROR(__xludf.DUMMYFUNCTION("INDIRECT(""'收支紀錄'!Q""&amp;TO_TEXT(ROW()-$C$72))"),"")</f>
        <v/>
      </c>
      <c r="R1521" s="61" t="str">
        <f>IFERROR(__xludf.DUMMYFUNCTION("INDIRECT(""'收支紀錄'!R""&amp;TO_TEXT(ROW()-$C$72))"),"")</f>
        <v/>
      </c>
      <c r="S1521" s="61" t="str">
        <f>IFERROR(__xludf.DUMMYFUNCTION("INDIRECT(""'收支紀錄'!S""&amp;TO_TEXT(ROW()-$C$72))"),"")</f>
        <v/>
      </c>
      <c r="T1521" s="61" t="str">
        <f>IFERROR(__xludf.DUMMYFUNCTION("INDIRECT(""'收支紀錄'!T""&amp;TO_TEXT(ROW()-$C$72))"),"")</f>
        <v/>
      </c>
      <c r="U1521" s="62" t="str">
        <f>IFERROR(__xludf.DUMMYFUNCTION("IF(T1521=""是"",TEXTJOIN("""", TRUE, ""$"", TO_TEXT(C1521), S1521),"""")"),"")</f>
        <v/>
      </c>
    </row>
    <row r="1522">
      <c r="A1522" s="58">
        <f>IFERROR(__xludf.DUMMYFUNCTION("INDIRECT(""'收支紀錄'!A""&amp;TO_TEXT(ROW()-$C$72))"),46092.79433287037)</f>
        <v>46092.79433</v>
      </c>
      <c r="B1522" s="59">
        <f>IFERROR(__xludf.DUMMYFUNCTION("IF(ISBLANK(D1522), """", IF(ISDATE(D1522), D1522, IF(D1522=""今天"", A1522, IF(D1522=""昨天 (-1 day)"", A1522-1, IF(D1522=""前天 (-2 days)"", A1522-2, IF(D1522=""明天 (+1 day)"", A1522+1, DATE(LEFT(D1522,4), MID(D1522,5,2), RIGHT(D1522,2))))))))"),46092.79433287037)</f>
        <v>46092.79433</v>
      </c>
      <c r="C1522" s="60">
        <f>IFERROR(__xludf.DUMMYFUNCTION("INDIRECT(""'收支紀錄'!C""&amp;TO_TEXT(ROW()-$C$72))"),315.0)</f>
        <v>315</v>
      </c>
      <c r="D1522" s="63" t="str">
        <f>IFERROR(__xludf.DUMMYFUNCTION("INDIRECT(""'收支紀錄'!D""&amp;TO_TEXT(ROW()-$C$72))"),"今天")</f>
        <v>今天</v>
      </c>
      <c r="E1522" s="61" t="str">
        <f>IFERROR(__xludf.DUMMYFUNCTION("INDIRECT(""'收支紀錄'!E""&amp;TO_TEXT(ROW()-$C$72))"),"")</f>
        <v/>
      </c>
      <c r="F1522" s="61" t="str">
        <f>IFERROR(__xludf.DUMMYFUNCTION("INDIRECT(""'收支紀錄'!F""&amp;TO_TEXT(ROW()-$C$72))"),"")</f>
        <v/>
      </c>
      <c r="G1522" s="61" t="str">
        <f>IFERROR(__xludf.DUMMYFUNCTION("INDIRECT(""'收支紀錄'!G""&amp;TO_TEXT(ROW()-$C$72))"),"")</f>
        <v/>
      </c>
      <c r="H1522" s="61" t="str">
        <f>IFERROR(__xludf.DUMMYFUNCTION("INDIRECT(""'收支紀錄'!H""&amp;TO_TEXT(ROW()-$C$72))"),"食品酒水")</f>
        <v>食品酒水</v>
      </c>
      <c r="I1522" s="61" t="str">
        <f>IFERROR(__xludf.DUMMYFUNCTION("INDIRECT(""'收支紀錄'!I""&amp;TO_TEXT(ROW()-$C$72))"),"晚餐")</f>
        <v>晚餐</v>
      </c>
      <c r="J1522" s="61" t="str">
        <f>IFERROR(__xludf.DUMMYFUNCTION("INDIRECT(""'收支紀錄'!J""&amp;TO_TEXT(ROW()-$C$72))"),"")</f>
        <v/>
      </c>
      <c r="K1522" s="61" t="str">
        <f>IFERROR(__xludf.DUMMYFUNCTION("INDIRECT(""'收支紀錄'!K""&amp;TO_TEXT(ROW()-$C$72))"),"")</f>
        <v/>
      </c>
      <c r="L1522" s="61" t="str">
        <f>IFERROR(__xludf.DUMMYFUNCTION("INDIRECT(""'收支紀錄'!L""&amp;TO_TEXT(ROW()-$C$72))"),"")</f>
        <v/>
      </c>
      <c r="M1522" s="61" t="str">
        <f>IFERROR(__xludf.DUMMYFUNCTION("INDIRECT(""'收支紀錄'!M""&amp;TO_TEXT(ROW()-$C$72))"),"")</f>
        <v/>
      </c>
      <c r="N1522" s="61" t="str">
        <f>IFERROR(__xludf.DUMMYFUNCTION("INDIRECT(""'收支紀錄'!N""&amp;TO_TEXT(ROW()-$C$72))"),"")</f>
        <v/>
      </c>
      <c r="O1522" s="61" t="str">
        <f>IFERROR(__xludf.DUMMYFUNCTION("INDIRECT(""'收支紀錄'!O""&amp;TO_TEXT(ROW()-$C$72))"),"")</f>
        <v/>
      </c>
      <c r="P1522" s="61" t="str">
        <f>IFERROR(__xludf.DUMMYFUNCTION("INDIRECT(""'收支紀錄'!P""&amp;TO_TEXT(ROW()-$C$72))"),"")</f>
        <v/>
      </c>
      <c r="Q1522" s="61" t="str">
        <f>IFERROR(__xludf.DUMMYFUNCTION("INDIRECT(""'收支紀錄'!Q""&amp;TO_TEXT(ROW()-$C$72))"),"")</f>
        <v/>
      </c>
      <c r="R1522" s="61" t="str">
        <f>IFERROR(__xludf.DUMMYFUNCTION("INDIRECT(""'收支紀錄'!R""&amp;TO_TEXT(ROW()-$C$72))"),"")</f>
        <v/>
      </c>
      <c r="S1522" s="61" t="str">
        <f>IFERROR(__xludf.DUMMYFUNCTION("INDIRECT(""'收支紀錄'!S""&amp;TO_TEXT(ROW()-$C$72))"),"")</f>
        <v/>
      </c>
      <c r="T1522" s="61" t="str">
        <f>IFERROR(__xludf.DUMMYFUNCTION("INDIRECT(""'收支紀錄'!T""&amp;TO_TEXT(ROW()-$C$72))"),"")</f>
        <v/>
      </c>
      <c r="U1522" s="62" t="str">
        <f>IFERROR(__xludf.DUMMYFUNCTION("IF(T1522=""是"",TEXTJOIN("""", TRUE, ""$"", TO_TEXT(C1522), S1522),"""")"),"")</f>
        <v/>
      </c>
    </row>
    <row r="1523">
      <c r="A1523" s="58">
        <f>IFERROR(__xludf.DUMMYFUNCTION("INDIRECT(""'收支紀錄'!A""&amp;TO_TEXT(ROW()-$C$72))"),46092.89805780092)</f>
        <v>46092.89806</v>
      </c>
      <c r="B1523" s="59">
        <f>IFERROR(__xludf.DUMMYFUNCTION("IF(ISBLANK(D1523), """", IF(ISDATE(D1523), D1523, IF(D1523=""今天"", A1523, IF(D1523=""昨天 (-1 day)"", A1523-1, IF(D1523=""前天 (-2 days)"", A1523-2, IF(D1523=""明天 (+1 day)"", A1523+1, DATE(LEFT(D1523,4), MID(D1523,5,2), RIGHT(D1523,2))))))))"),46092.89805780092)</f>
        <v>46092.89806</v>
      </c>
      <c r="C1523" s="60">
        <f>IFERROR(__xludf.DUMMYFUNCTION("INDIRECT(""'收支紀錄'!C""&amp;TO_TEXT(ROW()-$C$72))"),317.0)</f>
        <v>317</v>
      </c>
      <c r="D1523" s="63" t="str">
        <f>IFERROR(__xludf.DUMMYFUNCTION("INDIRECT(""'收支紀錄'!D""&amp;TO_TEXT(ROW()-$C$72))"),"今天")</f>
        <v>今天</v>
      </c>
      <c r="E1523" s="61" t="str">
        <f>IFERROR(__xludf.DUMMYFUNCTION("INDIRECT(""'收支紀錄'!E""&amp;TO_TEXT(ROW()-$C$72))"),"")</f>
        <v/>
      </c>
      <c r="F1523" s="61" t="str">
        <f>IFERROR(__xludf.DUMMYFUNCTION("INDIRECT(""'收支紀錄'!F""&amp;TO_TEXT(ROW()-$C$72))"),"")</f>
        <v/>
      </c>
      <c r="G1523" s="61" t="str">
        <f>IFERROR(__xludf.DUMMYFUNCTION("INDIRECT(""'收支紀錄'!G""&amp;TO_TEXT(ROW()-$C$72))"),"")</f>
        <v/>
      </c>
      <c r="H1523" s="61" t="str">
        <f>IFERROR(__xludf.DUMMYFUNCTION("INDIRECT(""'收支紀錄'!H""&amp;TO_TEXT(ROW()-$C$72))"),"日常生活")</f>
        <v>日常生活</v>
      </c>
      <c r="I1523" s="61" t="str">
        <f>IFERROR(__xludf.DUMMYFUNCTION("INDIRECT(""'收支紀錄'!I""&amp;TO_TEXT(ROW()-$C$72))"),"")</f>
        <v/>
      </c>
      <c r="J1523" s="61" t="str">
        <f>IFERROR(__xludf.DUMMYFUNCTION("INDIRECT(""'收支紀錄'!J""&amp;TO_TEXT(ROW()-$C$72))"),"日常用品")</f>
        <v>日常用品</v>
      </c>
      <c r="K1523" s="61" t="str">
        <f>IFERROR(__xludf.DUMMYFUNCTION("INDIRECT(""'收支紀錄'!K""&amp;TO_TEXT(ROW()-$C$72))"),"")</f>
        <v/>
      </c>
      <c r="L1523" s="61" t="str">
        <f>IFERROR(__xludf.DUMMYFUNCTION("INDIRECT(""'收支紀錄'!L""&amp;TO_TEXT(ROW()-$C$72))"),"")</f>
        <v/>
      </c>
      <c r="M1523" s="61" t="str">
        <f>IFERROR(__xludf.DUMMYFUNCTION("INDIRECT(""'收支紀錄'!M""&amp;TO_TEXT(ROW()-$C$72))"),"")</f>
        <v/>
      </c>
      <c r="N1523" s="61" t="str">
        <f>IFERROR(__xludf.DUMMYFUNCTION("INDIRECT(""'收支紀錄'!N""&amp;TO_TEXT(ROW()-$C$72))"),"")</f>
        <v/>
      </c>
      <c r="O1523" s="61" t="str">
        <f>IFERROR(__xludf.DUMMYFUNCTION("INDIRECT(""'收支紀錄'!O""&amp;TO_TEXT(ROW()-$C$72))"),"")</f>
        <v/>
      </c>
      <c r="P1523" s="61" t="str">
        <f>IFERROR(__xludf.DUMMYFUNCTION("INDIRECT(""'收支紀錄'!P""&amp;TO_TEXT(ROW()-$C$72))"),"")</f>
        <v/>
      </c>
      <c r="Q1523" s="61" t="str">
        <f>IFERROR(__xludf.DUMMYFUNCTION("INDIRECT(""'收支紀錄'!Q""&amp;TO_TEXT(ROW()-$C$72))"),"")</f>
        <v/>
      </c>
      <c r="R1523" s="61" t="str">
        <f>IFERROR(__xludf.DUMMYFUNCTION("INDIRECT(""'收支紀錄'!R""&amp;TO_TEXT(ROW()-$C$72))"),"")</f>
        <v/>
      </c>
      <c r="S1523" s="61" t="str">
        <f>IFERROR(__xludf.DUMMYFUNCTION("INDIRECT(""'收支紀錄'!S""&amp;TO_TEXT(ROW()-$C$72))"),"")</f>
        <v/>
      </c>
      <c r="T1523" s="61" t="str">
        <f>IFERROR(__xludf.DUMMYFUNCTION("INDIRECT(""'收支紀錄'!T""&amp;TO_TEXT(ROW()-$C$72))"),"")</f>
        <v/>
      </c>
      <c r="U1523" s="62" t="str">
        <f>IFERROR(__xludf.DUMMYFUNCTION("IF(T1523=""是"",TEXTJOIN("""", TRUE, ""$"", TO_TEXT(C1523), S1523),"""")"),"")</f>
        <v/>
      </c>
    </row>
    <row r="1524">
      <c r="A1524" s="58">
        <f>IFERROR(__xludf.DUMMYFUNCTION("INDIRECT(""'收支紀錄'!A""&amp;TO_TEXT(ROW()-$C$72))"),46092.968282002315)</f>
        <v>46092.96828</v>
      </c>
      <c r="B1524" s="59">
        <f>IFERROR(__xludf.DUMMYFUNCTION("IF(ISBLANK(D1524), """", IF(ISDATE(D1524), D1524, IF(D1524=""今天"", A1524, IF(D1524=""昨天 (-1 day)"", A1524-1, IF(D1524=""前天 (-2 days)"", A1524-2, IF(D1524=""明天 (+1 day)"", A1524+1, DATE(LEFT(D1524,4), MID(D1524,5,2), RIGHT(D1524,2))))))))"),46092.968282002315)</f>
        <v>46092.96828</v>
      </c>
      <c r="C1524" s="60">
        <f>IFERROR(__xludf.DUMMYFUNCTION("INDIRECT(""'收支紀錄'!C""&amp;TO_TEXT(ROW()-$C$72))"),2000.0)</f>
        <v>2000</v>
      </c>
      <c r="D1524" s="63" t="str">
        <f>IFERROR(__xludf.DUMMYFUNCTION("INDIRECT(""'收支紀錄'!D""&amp;TO_TEXT(ROW()-$C$72))"),"今天")</f>
        <v>今天</v>
      </c>
      <c r="E1524" s="61" t="str">
        <f>IFERROR(__xludf.DUMMYFUNCTION("INDIRECT(""'收支紀錄'!E""&amp;TO_TEXT(ROW()-$C$72))"),"")</f>
        <v/>
      </c>
      <c r="F1524" s="61" t="str">
        <f>IFERROR(__xludf.DUMMYFUNCTION("INDIRECT(""'收支紀錄'!F""&amp;TO_TEXT(ROW()-$C$72))"),"")</f>
        <v/>
      </c>
      <c r="G1524" s="61" t="str">
        <f>IFERROR(__xludf.DUMMYFUNCTION("INDIRECT(""'收支紀錄'!G""&amp;TO_TEXT(ROW()-$C$72))"),"")</f>
        <v/>
      </c>
      <c r="H1524" s="61" t="str">
        <f>IFERROR(__xludf.DUMMYFUNCTION("INDIRECT(""'收支紀錄'!H""&amp;TO_TEXT(ROW()-$C$72))"),"休閒娛樂")</f>
        <v>休閒娛樂</v>
      </c>
      <c r="I1524" s="61" t="str">
        <f>IFERROR(__xludf.DUMMYFUNCTION("INDIRECT(""'收支紀錄'!I""&amp;TO_TEXT(ROW()-$C$72))"),"")</f>
        <v/>
      </c>
      <c r="J1524" s="61" t="str">
        <f>IFERROR(__xludf.DUMMYFUNCTION("INDIRECT(""'收支紀錄'!J""&amp;TO_TEXT(ROW()-$C$72))"),"")</f>
        <v/>
      </c>
      <c r="K1524" s="61" t="str">
        <f>IFERROR(__xludf.DUMMYFUNCTION("INDIRECT(""'收支紀錄'!K""&amp;TO_TEXT(ROW()-$C$72))"),"")</f>
        <v/>
      </c>
      <c r="L1524" s="61" t="str">
        <f>IFERROR(__xludf.DUMMYFUNCTION("INDIRECT(""'收支紀錄'!L""&amp;TO_TEXT(ROW()-$C$72))"),"")</f>
        <v/>
      </c>
      <c r="M1524" s="61" t="str">
        <f>IFERROR(__xludf.DUMMYFUNCTION("INDIRECT(""'收支紀錄'!M""&amp;TO_TEXT(ROW()-$C$72))"),"婚禮")</f>
        <v>婚禮</v>
      </c>
      <c r="N1524" s="61" t="str">
        <f>IFERROR(__xludf.DUMMYFUNCTION("INDIRECT(""'收支紀錄'!N""&amp;TO_TEXT(ROW()-$C$72))"),"")</f>
        <v/>
      </c>
      <c r="O1524" s="61" t="str">
        <f>IFERROR(__xludf.DUMMYFUNCTION("INDIRECT(""'收支紀錄'!O""&amp;TO_TEXT(ROW()-$C$72))"),"")</f>
        <v/>
      </c>
      <c r="P1524" s="61" t="str">
        <f>IFERROR(__xludf.DUMMYFUNCTION("INDIRECT(""'收支紀錄'!P""&amp;TO_TEXT(ROW()-$C$72))"),"")</f>
        <v/>
      </c>
      <c r="Q1524" s="61" t="str">
        <f>IFERROR(__xludf.DUMMYFUNCTION("INDIRECT(""'收支紀錄'!Q""&amp;TO_TEXT(ROW()-$C$72))"),"")</f>
        <v/>
      </c>
      <c r="R1524" s="61" t="str">
        <f>IFERROR(__xludf.DUMMYFUNCTION("INDIRECT(""'收支紀錄'!R""&amp;TO_TEXT(ROW()-$C$72))"),"")</f>
        <v/>
      </c>
      <c r="S1524" s="61" t="str">
        <f>IFERROR(__xludf.DUMMYFUNCTION("INDIRECT(""'收支紀錄'!S""&amp;TO_TEXT(ROW()-$C$72))"),"拍婚紗用租西裝")</f>
        <v>拍婚紗用租西裝</v>
      </c>
      <c r="T1524" s="61" t="str">
        <f>IFERROR(__xludf.DUMMYFUNCTION("INDIRECT(""'收支紀錄'!T""&amp;TO_TEXT(ROW()-$C$72))"),"")</f>
        <v/>
      </c>
      <c r="U1524" s="62" t="str">
        <f>IFERROR(__xludf.DUMMYFUNCTION("IF(T1524=""是"",TEXTJOIN("""", TRUE, ""$"", TO_TEXT(C1524), S1524),"""")"),"")</f>
        <v/>
      </c>
    </row>
    <row r="1525">
      <c r="A1525" s="58">
        <f>IFERROR(__xludf.DUMMYFUNCTION("INDIRECT(""'收支紀錄'!A""&amp;TO_TEXT(ROW()-$C$72))"),46093.37039780093)</f>
        <v>46093.3704</v>
      </c>
      <c r="B1525" s="59">
        <f>IFERROR(__xludf.DUMMYFUNCTION("IF(ISBLANK(D1525), """", IF(ISDATE(D1525), D1525, IF(D1525=""今天"", A1525, IF(D1525=""昨天 (-1 day)"", A1525-1, IF(D1525=""前天 (-2 days)"", A1525-2, IF(D1525=""明天 (+1 day)"", A1525+1, DATE(LEFT(D1525,4), MID(D1525,5,2), RIGHT(D1525,2))))))))"),46093.37039780093)</f>
        <v>46093.3704</v>
      </c>
      <c r="C1525" s="60">
        <f>IFERROR(__xludf.DUMMYFUNCTION("INDIRECT(""'收支紀錄'!C""&amp;TO_TEXT(ROW()-$C$72))"),76.0)</f>
        <v>76</v>
      </c>
      <c r="D1525" s="63" t="str">
        <f>IFERROR(__xludf.DUMMYFUNCTION("INDIRECT(""'收支紀錄'!D""&amp;TO_TEXT(ROW()-$C$72))"),"今天")</f>
        <v>今天</v>
      </c>
      <c r="E1525" s="61" t="str">
        <f>IFERROR(__xludf.DUMMYFUNCTION("INDIRECT(""'收支紀錄'!E""&amp;TO_TEXT(ROW()-$C$72))"),"")</f>
        <v/>
      </c>
      <c r="F1525" s="61" t="str">
        <f>IFERROR(__xludf.DUMMYFUNCTION("INDIRECT(""'收支紀錄'!F""&amp;TO_TEXT(ROW()-$C$72))"),"")</f>
        <v/>
      </c>
      <c r="G1525" s="61" t="str">
        <f>IFERROR(__xludf.DUMMYFUNCTION("INDIRECT(""'收支紀錄'!G""&amp;TO_TEXT(ROW()-$C$72))"),"")</f>
        <v/>
      </c>
      <c r="H1525" s="61" t="str">
        <f>IFERROR(__xludf.DUMMYFUNCTION("INDIRECT(""'收支紀錄'!H""&amp;TO_TEXT(ROW()-$C$72))"),"食品酒水")</f>
        <v>食品酒水</v>
      </c>
      <c r="I1525" s="61" t="str">
        <f>IFERROR(__xludf.DUMMYFUNCTION("INDIRECT(""'收支紀錄'!I""&amp;TO_TEXT(ROW()-$C$72))"),"早餐")</f>
        <v>早餐</v>
      </c>
      <c r="J1525" s="61" t="str">
        <f>IFERROR(__xludf.DUMMYFUNCTION("INDIRECT(""'收支紀錄'!J""&amp;TO_TEXT(ROW()-$C$72))"),"")</f>
        <v/>
      </c>
      <c r="K1525" s="61" t="str">
        <f>IFERROR(__xludf.DUMMYFUNCTION("INDIRECT(""'收支紀錄'!K""&amp;TO_TEXT(ROW()-$C$72))"),"")</f>
        <v/>
      </c>
      <c r="L1525" s="61" t="str">
        <f>IFERROR(__xludf.DUMMYFUNCTION("INDIRECT(""'收支紀錄'!L""&amp;TO_TEXT(ROW()-$C$72))"),"")</f>
        <v/>
      </c>
      <c r="M1525" s="61" t="str">
        <f>IFERROR(__xludf.DUMMYFUNCTION("INDIRECT(""'收支紀錄'!M""&amp;TO_TEXT(ROW()-$C$72))"),"")</f>
        <v/>
      </c>
      <c r="N1525" s="61" t="str">
        <f>IFERROR(__xludf.DUMMYFUNCTION("INDIRECT(""'收支紀錄'!N""&amp;TO_TEXT(ROW()-$C$72))"),"")</f>
        <v/>
      </c>
      <c r="O1525" s="61" t="str">
        <f>IFERROR(__xludf.DUMMYFUNCTION("INDIRECT(""'收支紀錄'!O""&amp;TO_TEXT(ROW()-$C$72))"),"")</f>
        <v/>
      </c>
      <c r="P1525" s="61" t="str">
        <f>IFERROR(__xludf.DUMMYFUNCTION("INDIRECT(""'收支紀錄'!P""&amp;TO_TEXT(ROW()-$C$72))"),"")</f>
        <v/>
      </c>
      <c r="Q1525" s="61" t="str">
        <f>IFERROR(__xludf.DUMMYFUNCTION("INDIRECT(""'收支紀錄'!Q""&amp;TO_TEXT(ROW()-$C$72))"),"")</f>
        <v/>
      </c>
      <c r="R1525" s="61" t="str">
        <f>IFERROR(__xludf.DUMMYFUNCTION("INDIRECT(""'收支紀錄'!R""&amp;TO_TEXT(ROW()-$C$72))"),"")</f>
        <v/>
      </c>
      <c r="S1525" s="61" t="str">
        <f>IFERROR(__xludf.DUMMYFUNCTION("INDIRECT(""'收支紀錄'!S""&amp;TO_TEXT(ROW()-$C$72))"),"")</f>
        <v/>
      </c>
      <c r="T1525" s="61" t="str">
        <f>IFERROR(__xludf.DUMMYFUNCTION("INDIRECT(""'收支紀錄'!T""&amp;TO_TEXT(ROW()-$C$72))"),"")</f>
        <v/>
      </c>
      <c r="U1525" s="62" t="str">
        <f>IFERROR(__xludf.DUMMYFUNCTION("IF(T1525=""是"",TEXTJOIN("""", TRUE, ""$"", TO_TEXT(C1525), S1525),"""")"),"")</f>
        <v/>
      </c>
    </row>
    <row r="1526">
      <c r="A1526" s="58">
        <f>IFERROR(__xludf.DUMMYFUNCTION("INDIRECT(""'收支紀錄'!A""&amp;TO_TEXT(ROW()-$C$72))"),46093.96327317129)</f>
        <v>46093.96327</v>
      </c>
      <c r="B1526" s="59">
        <f>IFERROR(__xludf.DUMMYFUNCTION("IF(ISBLANK(D1526), """", IF(ISDATE(D1526), D1526, IF(D1526=""今天"", A1526, IF(D1526=""昨天 (-1 day)"", A1526-1, IF(D1526=""前天 (-2 days)"", A1526-2, IF(D1526=""明天 (+1 day)"", A1526+1, DATE(LEFT(D1526,4), MID(D1526,5,2), RIGHT(D1526,2))))))))"),46093.96327317129)</f>
        <v>46093.96327</v>
      </c>
      <c r="C1526" s="60">
        <f>IFERROR(__xludf.DUMMYFUNCTION("INDIRECT(""'收支紀錄'!C""&amp;TO_TEXT(ROW()-$C$72))"),500.0)</f>
        <v>500</v>
      </c>
      <c r="D1526" s="63" t="str">
        <f>IFERROR(__xludf.DUMMYFUNCTION("INDIRECT(""'收支紀錄'!D""&amp;TO_TEXT(ROW()-$C$72))"),"今天")</f>
        <v>今天</v>
      </c>
      <c r="E1526" s="61" t="str">
        <f>IFERROR(__xludf.DUMMYFUNCTION("INDIRECT(""'收支紀錄'!E""&amp;TO_TEXT(ROW()-$C$72))"),"")</f>
        <v/>
      </c>
      <c r="F1526" s="61" t="str">
        <f>IFERROR(__xludf.DUMMYFUNCTION("INDIRECT(""'收支紀錄'!F""&amp;TO_TEXT(ROW()-$C$72))"),"")</f>
        <v/>
      </c>
      <c r="G1526" s="61" t="str">
        <f>IFERROR(__xludf.DUMMYFUNCTION("INDIRECT(""'收支紀錄'!G""&amp;TO_TEXT(ROW()-$C$72))"),"")</f>
        <v/>
      </c>
      <c r="H1526" s="61" t="str">
        <f>IFERROR(__xludf.DUMMYFUNCTION("INDIRECT(""'收支紀錄'!H""&amp;TO_TEXT(ROW()-$C$72))"),"休閒娛樂")</f>
        <v>休閒娛樂</v>
      </c>
      <c r="I1526" s="61" t="str">
        <f>IFERROR(__xludf.DUMMYFUNCTION("INDIRECT(""'收支紀錄'!I""&amp;TO_TEXT(ROW()-$C$72))"),"")</f>
        <v/>
      </c>
      <c r="J1526" s="61" t="str">
        <f>IFERROR(__xludf.DUMMYFUNCTION("INDIRECT(""'收支紀錄'!J""&amp;TO_TEXT(ROW()-$C$72))"),"")</f>
        <v/>
      </c>
      <c r="K1526" s="61" t="str">
        <f>IFERROR(__xludf.DUMMYFUNCTION("INDIRECT(""'收支紀錄'!K""&amp;TO_TEXT(ROW()-$C$72))"),"")</f>
        <v/>
      </c>
      <c r="L1526" s="61" t="str">
        <f>IFERROR(__xludf.DUMMYFUNCTION("INDIRECT(""'收支紀錄'!L""&amp;TO_TEXT(ROW()-$C$72))"),"")</f>
        <v/>
      </c>
      <c r="M1526" s="61" t="str">
        <f>IFERROR(__xludf.DUMMYFUNCTION("INDIRECT(""'收支紀錄'!M""&amp;TO_TEXT(ROW()-$C$72))"),"旅遊度假")</f>
        <v>旅遊度假</v>
      </c>
      <c r="N1526" s="61" t="str">
        <f>IFERROR(__xludf.DUMMYFUNCTION("INDIRECT(""'收支紀錄'!N""&amp;TO_TEXT(ROW()-$C$72))"),"")</f>
        <v/>
      </c>
      <c r="O1526" s="61" t="str">
        <f>IFERROR(__xludf.DUMMYFUNCTION("INDIRECT(""'收支紀錄'!O""&amp;TO_TEXT(ROW()-$C$72))"),"")</f>
        <v/>
      </c>
      <c r="P1526" s="61" t="str">
        <f>IFERROR(__xludf.DUMMYFUNCTION("INDIRECT(""'收支紀錄'!P""&amp;TO_TEXT(ROW()-$C$72))"),"")</f>
        <v/>
      </c>
      <c r="Q1526" s="61" t="str">
        <f>IFERROR(__xludf.DUMMYFUNCTION("INDIRECT(""'收支紀錄'!Q""&amp;TO_TEXT(ROW()-$C$72))"),"")</f>
        <v/>
      </c>
      <c r="R1526" s="61" t="str">
        <f>IFERROR(__xludf.DUMMYFUNCTION("INDIRECT(""'收支紀錄'!R""&amp;TO_TEXT(ROW()-$C$72))"),"")</f>
        <v/>
      </c>
      <c r="S1526" s="61" t="str">
        <f>IFERROR(__xludf.DUMMYFUNCTION("INDIRECT(""'收支紀錄'!S""&amp;TO_TEXT(ROW()-$C$72))"),"拍婚紗：民俗公園入園費")</f>
        <v>拍婚紗：民俗公園入園費</v>
      </c>
      <c r="T1526" s="61" t="str">
        <f>IFERROR(__xludf.DUMMYFUNCTION("INDIRECT(""'收支紀錄'!T""&amp;TO_TEXT(ROW()-$C$72))"),"")</f>
        <v/>
      </c>
      <c r="U1526" s="62" t="str">
        <f>IFERROR(__xludf.DUMMYFUNCTION("IF(T1526=""是"",TEXTJOIN("""", TRUE, ""$"", TO_TEXT(C1526), S1526),"""")"),"")</f>
        <v/>
      </c>
    </row>
    <row r="1527">
      <c r="A1527" s="58">
        <f>IFERROR(__xludf.DUMMYFUNCTION("INDIRECT(""'收支紀錄'!A""&amp;TO_TEXT(ROW()-$C$72))"),46094.29153181713)</f>
        <v>46094.29153</v>
      </c>
      <c r="B1527" s="59">
        <f>IFERROR(__xludf.DUMMYFUNCTION("IF(ISBLANK(D1527), """", IF(ISDATE(D1527), D1527, IF(D1527=""今天"", A1527, IF(D1527=""昨天 (-1 day)"", A1527-1, IF(D1527=""前天 (-2 days)"", A1527-2, IF(D1527=""明天 (+1 day)"", A1527+1, DATE(LEFT(D1527,4), MID(D1527,5,2), RIGHT(D1527,2))))))))"),46092.29153181713)</f>
        <v>46092.29153</v>
      </c>
      <c r="C1527" s="60">
        <f>IFERROR(__xludf.DUMMYFUNCTION("INDIRECT(""'收支紀錄'!C""&amp;TO_TEXT(ROW()-$C$72))"),149.0)</f>
        <v>149</v>
      </c>
      <c r="D1527" s="63" t="str">
        <f>IFERROR(__xludf.DUMMYFUNCTION("INDIRECT(""'收支紀錄'!D""&amp;TO_TEXT(ROW()-$C$72))"),"前天 (-2 days)")</f>
        <v>前天 (-2 days)</v>
      </c>
      <c r="E1527" s="61" t="str">
        <f>IFERROR(__xludf.DUMMYFUNCTION("INDIRECT(""'收支紀錄'!E""&amp;TO_TEXT(ROW()-$C$72))"),"")</f>
        <v/>
      </c>
      <c r="F1527" s="61" t="str">
        <f>IFERROR(__xludf.DUMMYFUNCTION("INDIRECT(""'收支紀錄'!F""&amp;TO_TEXT(ROW()-$C$72))"),"")</f>
        <v/>
      </c>
      <c r="G1527" s="61" t="str">
        <f>IFERROR(__xludf.DUMMYFUNCTION("INDIRECT(""'收支紀錄'!G""&amp;TO_TEXT(ROW()-$C$72))"),"")</f>
        <v/>
      </c>
      <c r="H1527" s="61" t="str">
        <f>IFERROR(__xludf.DUMMYFUNCTION("INDIRECT(""'收支紀錄'!H""&amp;TO_TEXT(ROW()-$C$72))"),"休閒娛樂")</f>
        <v>休閒娛樂</v>
      </c>
      <c r="I1527" s="61" t="str">
        <f>IFERROR(__xludf.DUMMYFUNCTION("INDIRECT(""'收支紀錄'!I""&amp;TO_TEXT(ROW()-$C$72))"),"")</f>
        <v/>
      </c>
      <c r="J1527" s="61" t="str">
        <f>IFERROR(__xludf.DUMMYFUNCTION("INDIRECT(""'收支紀錄'!J""&amp;TO_TEXT(ROW()-$C$72))"),"")</f>
        <v/>
      </c>
      <c r="K1527" s="61" t="str">
        <f>IFERROR(__xludf.DUMMYFUNCTION("INDIRECT(""'收支紀錄'!K""&amp;TO_TEXT(ROW()-$C$72))"),"")</f>
        <v/>
      </c>
      <c r="L1527" s="61" t="str">
        <f>IFERROR(__xludf.DUMMYFUNCTION("INDIRECT(""'收支紀錄'!L""&amp;TO_TEXT(ROW()-$C$72))"),"")</f>
        <v/>
      </c>
      <c r="M1527" s="61" t="str">
        <f>IFERROR(__xludf.DUMMYFUNCTION("INDIRECT(""'收支紀錄'!M""&amp;TO_TEXT(ROW()-$C$72))"),"衣物鞋帽")</f>
        <v>衣物鞋帽</v>
      </c>
      <c r="N1527" s="61" t="str">
        <f>IFERROR(__xludf.DUMMYFUNCTION("INDIRECT(""'收支紀錄'!N""&amp;TO_TEXT(ROW()-$C$72))"),"")</f>
        <v/>
      </c>
      <c r="O1527" s="61" t="str">
        <f>IFERROR(__xludf.DUMMYFUNCTION("INDIRECT(""'收支紀錄'!O""&amp;TO_TEXT(ROW()-$C$72))"),"")</f>
        <v/>
      </c>
      <c r="P1527" s="61" t="str">
        <f>IFERROR(__xludf.DUMMYFUNCTION("INDIRECT(""'收支紀錄'!P""&amp;TO_TEXT(ROW()-$C$72))"),"")</f>
        <v/>
      </c>
      <c r="Q1527" s="61" t="str">
        <f>IFERROR(__xludf.DUMMYFUNCTION("INDIRECT(""'收支紀錄'!Q""&amp;TO_TEXT(ROW()-$C$72))"),"")</f>
        <v/>
      </c>
      <c r="R1527" s="61" t="str">
        <f>IFERROR(__xludf.DUMMYFUNCTION("INDIRECT(""'收支紀錄'!R""&amp;TO_TEXT(ROW()-$C$72))"),"")</f>
        <v/>
      </c>
      <c r="S1527" s="61" t="str">
        <f>IFERROR(__xludf.DUMMYFUNCTION("INDIRECT(""'收支紀錄'!S""&amp;TO_TEXT(ROW()-$C$72))"),"")</f>
        <v/>
      </c>
      <c r="T1527" s="61" t="str">
        <f>IFERROR(__xludf.DUMMYFUNCTION("INDIRECT(""'收支紀錄'!T""&amp;TO_TEXT(ROW()-$C$72))"),"")</f>
        <v/>
      </c>
      <c r="U1527" s="62" t="str">
        <f>IFERROR(__xludf.DUMMYFUNCTION("IF(T1527=""是"",TEXTJOIN("""", TRUE, ""$"", TO_TEXT(C1527), S1527),"""")"),"")</f>
        <v/>
      </c>
    </row>
    <row r="1528">
      <c r="A1528" s="58">
        <f>IFERROR(__xludf.DUMMYFUNCTION("INDIRECT(""'收支紀錄'!A""&amp;TO_TEXT(ROW()-$C$72))"),46095.40938116898)</f>
        <v>46095.40938</v>
      </c>
      <c r="B1528" s="59">
        <f>IFERROR(__xludf.DUMMYFUNCTION("IF(ISBLANK(D1528), """", IF(ISDATE(D1528), D1528, IF(D1528=""今天"", A1528, IF(D1528=""昨天 (-1 day)"", A1528-1, IF(D1528=""前天 (-2 days)"", A1528-2, IF(D1528=""明天 (+1 day)"", A1528+1, DATE(LEFT(D1528,4), MID(D1528,5,2), RIGHT(D1528,2))))))))"),46094.40938116898)</f>
        <v>46094.40938</v>
      </c>
      <c r="C1528" s="60">
        <f>IFERROR(__xludf.DUMMYFUNCTION("INDIRECT(""'收支紀錄'!C""&amp;TO_TEXT(ROW()-$C$72))"),2477.0)</f>
        <v>2477</v>
      </c>
      <c r="D1528" s="63" t="str">
        <f>IFERROR(__xludf.DUMMYFUNCTION("INDIRECT(""'收支紀錄'!D""&amp;TO_TEXT(ROW()-$C$72))"),"昨天 (-1 day)")</f>
        <v>昨天 (-1 day)</v>
      </c>
      <c r="E1528" s="61" t="str">
        <f>IFERROR(__xludf.DUMMYFUNCTION("INDIRECT(""'收支紀錄'!E""&amp;TO_TEXT(ROW()-$C$72))"),"")</f>
        <v/>
      </c>
      <c r="F1528" s="61" t="str">
        <f>IFERROR(__xludf.DUMMYFUNCTION("INDIRECT(""'收支紀錄'!F""&amp;TO_TEXT(ROW()-$C$72))"),"")</f>
        <v/>
      </c>
      <c r="G1528" s="61" t="str">
        <f>IFERROR(__xludf.DUMMYFUNCTION("INDIRECT(""'收支紀錄'!G""&amp;TO_TEXT(ROW()-$C$72))"),"")</f>
        <v/>
      </c>
      <c r="H1528" s="61" t="str">
        <f>IFERROR(__xludf.DUMMYFUNCTION("INDIRECT(""'收支紀錄'!H""&amp;TO_TEXT(ROW()-$C$72))"),"食品酒水")</f>
        <v>食品酒水</v>
      </c>
      <c r="I1528" s="61" t="str">
        <f>IFERROR(__xludf.DUMMYFUNCTION("INDIRECT(""'收支紀錄'!I""&amp;TO_TEXT(ROW()-$C$72))"),"晚餐")</f>
        <v>晚餐</v>
      </c>
      <c r="J1528" s="61" t="str">
        <f>IFERROR(__xludf.DUMMYFUNCTION("INDIRECT(""'收支紀錄'!J""&amp;TO_TEXT(ROW()-$C$72))"),"")</f>
        <v/>
      </c>
      <c r="K1528" s="61" t="str">
        <f>IFERROR(__xludf.DUMMYFUNCTION("INDIRECT(""'收支紀錄'!K""&amp;TO_TEXT(ROW()-$C$72))"),"")</f>
        <v/>
      </c>
      <c r="L1528" s="61" t="str">
        <f>IFERROR(__xludf.DUMMYFUNCTION("INDIRECT(""'收支紀錄'!L""&amp;TO_TEXT(ROW()-$C$72))"),"")</f>
        <v/>
      </c>
      <c r="M1528" s="61" t="str">
        <f>IFERROR(__xludf.DUMMYFUNCTION("INDIRECT(""'收支紀錄'!M""&amp;TO_TEXT(ROW()-$C$72))"),"")</f>
        <v/>
      </c>
      <c r="N1528" s="61" t="str">
        <f>IFERROR(__xludf.DUMMYFUNCTION("INDIRECT(""'收支紀錄'!N""&amp;TO_TEXT(ROW()-$C$72))"),"")</f>
        <v/>
      </c>
      <c r="O1528" s="61" t="str">
        <f>IFERROR(__xludf.DUMMYFUNCTION("INDIRECT(""'收支紀錄'!O""&amp;TO_TEXT(ROW()-$C$72))"),"")</f>
        <v/>
      </c>
      <c r="P1528" s="61" t="str">
        <f>IFERROR(__xludf.DUMMYFUNCTION("INDIRECT(""'收支紀錄'!P""&amp;TO_TEXT(ROW()-$C$72))"),"")</f>
        <v/>
      </c>
      <c r="Q1528" s="61" t="str">
        <f>IFERROR(__xludf.DUMMYFUNCTION("INDIRECT(""'收支紀錄'!Q""&amp;TO_TEXT(ROW()-$C$72))"),"")</f>
        <v/>
      </c>
      <c r="R1528" s="61" t="str">
        <f>IFERROR(__xludf.DUMMYFUNCTION("INDIRECT(""'收支紀錄'!R""&amp;TO_TEXT(ROW()-$C$72))"),"")</f>
        <v/>
      </c>
      <c r="S1528" s="61" t="str">
        <f>IFERROR(__xludf.DUMMYFUNCTION("INDIRECT(""'收支紀錄'!S""&amp;TO_TEXT(ROW()-$C$72))"),"海底撈")</f>
        <v>海底撈</v>
      </c>
      <c r="T1528" s="61" t="str">
        <f>IFERROR(__xludf.DUMMYFUNCTION("INDIRECT(""'收支紀錄'!T""&amp;TO_TEXT(ROW()-$C$72))"),"")</f>
        <v/>
      </c>
      <c r="U1528" s="62" t="str">
        <f>IFERROR(__xludf.DUMMYFUNCTION("IF(T1528=""是"",TEXTJOIN("""", TRUE, ""$"", TO_TEXT(C1528), S1528),"""")"),"")</f>
        <v/>
      </c>
    </row>
    <row r="1529">
      <c r="A1529" s="58">
        <f>IFERROR(__xludf.DUMMYFUNCTION("INDIRECT(""'收支紀錄'!A""&amp;TO_TEXT(ROW()-$C$72))"),46095.40964935185)</f>
        <v>46095.40965</v>
      </c>
      <c r="B1529" s="59">
        <f>IFERROR(__xludf.DUMMYFUNCTION("IF(ISBLANK(D1529), """", IF(ISDATE(D1529), D1529, IF(D1529=""今天"", A1529, IF(D1529=""昨天 (-1 day)"", A1529-1, IF(D1529=""前天 (-2 days)"", A1529-2, IF(D1529=""明天 (+1 day)"", A1529+1, DATE(LEFT(D1529,4), MID(D1529,5,2), RIGHT(D1529,2))))))))"),46094.40964935185)</f>
        <v>46094.40965</v>
      </c>
      <c r="C1529" s="60">
        <f>IFERROR(__xludf.DUMMYFUNCTION("INDIRECT(""'收支紀錄'!C""&amp;TO_TEXT(ROW()-$C$72))"),150.0)</f>
        <v>150</v>
      </c>
      <c r="D1529" s="63" t="str">
        <f>IFERROR(__xludf.DUMMYFUNCTION("INDIRECT(""'收支紀錄'!D""&amp;TO_TEXT(ROW()-$C$72))"),"昨天 (-1 day)")</f>
        <v>昨天 (-1 day)</v>
      </c>
      <c r="E1529" s="61" t="str">
        <f>IFERROR(__xludf.DUMMYFUNCTION("INDIRECT(""'收支紀錄'!E""&amp;TO_TEXT(ROW()-$C$72))"),"")</f>
        <v/>
      </c>
      <c r="F1529" s="61" t="str">
        <f>IFERROR(__xludf.DUMMYFUNCTION("INDIRECT(""'收支紀錄'!F""&amp;TO_TEXT(ROW()-$C$72))"),"")</f>
        <v/>
      </c>
      <c r="G1529" s="61" t="str">
        <f>IFERROR(__xludf.DUMMYFUNCTION("INDIRECT(""'收支紀錄'!G""&amp;TO_TEXT(ROW()-$C$72))"),"")</f>
        <v/>
      </c>
      <c r="H1529" s="61" t="str">
        <f>IFERROR(__xludf.DUMMYFUNCTION("INDIRECT(""'收支紀錄'!H""&amp;TO_TEXT(ROW()-$C$72))"),"行車交通")</f>
        <v>行車交通</v>
      </c>
      <c r="I1529" s="61" t="str">
        <f>IFERROR(__xludf.DUMMYFUNCTION("INDIRECT(""'收支紀錄'!I""&amp;TO_TEXT(ROW()-$C$72))"),"")</f>
        <v/>
      </c>
      <c r="J1529" s="61" t="str">
        <f>IFERROR(__xludf.DUMMYFUNCTION("INDIRECT(""'收支紀錄'!J""&amp;TO_TEXT(ROW()-$C$72))"),"")</f>
        <v/>
      </c>
      <c r="K1529" s="61" t="str">
        <f>IFERROR(__xludf.DUMMYFUNCTION("INDIRECT(""'收支紀錄'!K""&amp;TO_TEXT(ROW()-$C$72))"),"")</f>
        <v/>
      </c>
      <c r="L1529" s="61" t="str">
        <f>IFERROR(__xludf.DUMMYFUNCTION("INDIRECT(""'收支紀錄'!L""&amp;TO_TEXT(ROW()-$C$72))"),"停車")</f>
        <v>停車</v>
      </c>
      <c r="M1529" s="61" t="str">
        <f>IFERROR(__xludf.DUMMYFUNCTION("INDIRECT(""'收支紀錄'!M""&amp;TO_TEXT(ROW()-$C$72))"),"")</f>
        <v/>
      </c>
      <c r="N1529" s="61" t="str">
        <f>IFERROR(__xludf.DUMMYFUNCTION("INDIRECT(""'收支紀錄'!N""&amp;TO_TEXT(ROW()-$C$72))"),"")</f>
        <v/>
      </c>
      <c r="O1529" s="61" t="str">
        <f>IFERROR(__xludf.DUMMYFUNCTION("INDIRECT(""'收支紀錄'!O""&amp;TO_TEXT(ROW()-$C$72))"),"")</f>
        <v/>
      </c>
      <c r="P1529" s="61" t="str">
        <f>IFERROR(__xludf.DUMMYFUNCTION("INDIRECT(""'收支紀錄'!P""&amp;TO_TEXT(ROW()-$C$72))"),"")</f>
        <v/>
      </c>
      <c r="Q1529" s="61" t="str">
        <f>IFERROR(__xludf.DUMMYFUNCTION("INDIRECT(""'收支紀錄'!Q""&amp;TO_TEXT(ROW()-$C$72))"),"")</f>
        <v/>
      </c>
      <c r="R1529" s="61" t="str">
        <f>IFERROR(__xludf.DUMMYFUNCTION("INDIRECT(""'收支紀錄'!R""&amp;TO_TEXT(ROW()-$C$72))"),"")</f>
        <v/>
      </c>
      <c r="S1529" s="61" t="str">
        <f>IFERROR(__xludf.DUMMYFUNCTION("INDIRECT(""'收支紀錄'!S""&amp;TO_TEXT(ROW()-$C$72))"),"")</f>
        <v/>
      </c>
      <c r="T1529" s="61" t="str">
        <f>IFERROR(__xludf.DUMMYFUNCTION("INDIRECT(""'收支紀錄'!T""&amp;TO_TEXT(ROW()-$C$72))"),"")</f>
        <v/>
      </c>
      <c r="U1529" s="62" t="str">
        <f>IFERROR(__xludf.DUMMYFUNCTION("IF(T1529=""是"",TEXTJOIN("""", TRUE, ""$"", TO_TEXT(C1529), S1529),"""")"),"")</f>
        <v/>
      </c>
    </row>
    <row r="1530">
      <c r="A1530" s="58">
        <f>IFERROR(__xludf.DUMMYFUNCTION("INDIRECT(""'收支紀錄'!A""&amp;TO_TEXT(ROW()-$C$72))"),46095.410422500005)</f>
        <v>46095.41042</v>
      </c>
      <c r="B1530" s="59">
        <f>IFERROR(__xludf.DUMMYFUNCTION("IF(ISBLANK(D1530), """", IF(ISDATE(D1530), D1530, IF(D1530=""今天"", A1530, IF(D1530=""昨天 (-1 day)"", A1530-1, IF(D1530=""前天 (-2 days)"", A1530-2, IF(D1530=""明天 (+1 day)"", A1530+1, DATE(LEFT(D1530,4), MID(D1530,5,2), RIGHT(D1530,2))))))))"),46095.410422500005)</f>
        <v>46095.41042</v>
      </c>
      <c r="C1530" s="60">
        <f>IFERROR(__xludf.DUMMYFUNCTION("INDIRECT(""'收支紀錄'!C""&amp;TO_TEXT(ROW()-$C$72))"),30.0)</f>
        <v>30</v>
      </c>
      <c r="D1530" s="63" t="str">
        <f>IFERROR(__xludf.DUMMYFUNCTION("INDIRECT(""'收支紀錄'!D""&amp;TO_TEXT(ROW()-$C$72))"),"今天")</f>
        <v>今天</v>
      </c>
      <c r="E1530" s="61" t="str">
        <f>IFERROR(__xludf.DUMMYFUNCTION("INDIRECT(""'收支紀錄'!E""&amp;TO_TEXT(ROW()-$C$72))"),"")</f>
        <v/>
      </c>
      <c r="F1530" s="61" t="str">
        <f>IFERROR(__xludf.DUMMYFUNCTION("INDIRECT(""'收支紀錄'!F""&amp;TO_TEXT(ROW()-$C$72))"),"")</f>
        <v/>
      </c>
      <c r="G1530" s="61" t="str">
        <f>IFERROR(__xludf.DUMMYFUNCTION("INDIRECT(""'收支紀錄'!G""&amp;TO_TEXT(ROW()-$C$72))"),"")</f>
        <v/>
      </c>
      <c r="H1530" s="61" t="str">
        <f>IFERROR(__xludf.DUMMYFUNCTION("INDIRECT(""'收支紀錄'!H""&amp;TO_TEXT(ROW()-$C$72))"),"食品酒水")</f>
        <v>食品酒水</v>
      </c>
      <c r="I1530" s="61" t="str">
        <f>IFERROR(__xludf.DUMMYFUNCTION("INDIRECT(""'收支紀錄'!I""&amp;TO_TEXT(ROW()-$C$72))"),"早餐")</f>
        <v>早餐</v>
      </c>
      <c r="J1530" s="61" t="str">
        <f>IFERROR(__xludf.DUMMYFUNCTION("INDIRECT(""'收支紀錄'!J""&amp;TO_TEXT(ROW()-$C$72))"),"")</f>
        <v/>
      </c>
      <c r="K1530" s="61" t="str">
        <f>IFERROR(__xludf.DUMMYFUNCTION("INDIRECT(""'收支紀錄'!K""&amp;TO_TEXT(ROW()-$C$72))"),"")</f>
        <v/>
      </c>
      <c r="L1530" s="61" t="str">
        <f>IFERROR(__xludf.DUMMYFUNCTION("INDIRECT(""'收支紀錄'!L""&amp;TO_TEXT(ROW()-$C$72))"),"")</f>
        <v/>
      </c>
      <c r="M1530" s="61" t="str">
        <f>IFERROR(__xludf.DUMMYFUNCTION("INDIRECT(""'收支紀錄'!M""&amp;TO_TEXT(ROW()-$C$72))"),"")</f>
        <v/>
      </c>
      <c r="N1530" s="61" t="str">
        <f>IFERROR(__xludf.DUMMYFUNCTION("INDIRECT(""'收支紀錄'!N""&amp;TO_TEXT(ROW()-$C$72))"),"")</f>
        <v/>
      </c>
      <c r="O1530" s="61" t="str">
        <f>IFERROR(__xludf.DUMMYFUNCTION("INDIRECT(""'收支紀錄'!O""&amp;TO_TEXT(ROW()-$C$72))"),"")</f>
        <v/>
      </c>
      <c r="P1530" s="61" t="str">
        <f>IFERROR(__xludf.DUMMYFUNCTION("INDIRECT(""'收支紀錄'!P""&amp;TO_TEXT(ROW()-$C$72))"),"")</f>
        <v/>
      </c>
      <c r="Q1530" s="61" t="str">
        <f>IFERROR(__xludf.DUMMYFUNCTION("INDIRECT(""'收支紀錄'!Q""&amp;TO_TEXT(ROW()-$C$72))"),"")</f>
        <v/>
      </c>
      <c r="R1530" s="61" t="str">
        <f>IFERROR(__xludf.DUMMYFUNCTION("INDIRECT(""'收支紀錄'!R""&amp;TO_TEXT(ROW()-$C$72))"),"")</f>
        <v/>
      </c>
      <c r="S1530" s="61" t="str">
        <f>IFERROR(__xludf.DUMMYFUNCTION("INDIRECT(""'收支紀錄'!S""&amp;TO_TEXT(ROW()-$C$72))"),"")</f>
        <v/>
      </c>
      <c r="T1530" s="61" t="str">
        <f>IFERROR(__xludf.DUMMYFUNCTION("INDIRECT(""'收支紀錄'!T""&amp;TO_TEXT(ROW()-$C$72))"),"")</f>
        <v/>
      </c>
      <c r="U1530" s="62" t="str">
        <f>IFERROR(__xludf.DUMMYFUNCTION("IF(T1530=""是"",TEXTJOIN("""", TRUE, ""$"", TO_TEXT(C1530), S1530),"""")"),"")</f>
        <v/>
      </c>
    </row>
    <row r="1531">
      <c r="A1531" s="58">
        <f>IFERROR(__xludf.DUMMYFUNCTION("INDIRECT(""'收支紀錄'!A""&amp;TO_TEXT(ROW()-$C$72))"),46096.332374317135)</f>
        <v>46096.33237</v>
      </c>
      <c r="B1531" s="59">
        <f>IFERROR(__xludf.DUMMYFUNCTION("IF(ISBLANK(D1531), """", IF(ISDATE(D1531), D1531, IF(D1531=""今天"", A1531, IF(D1531=""昨天 (-1 day)"", A1531-1, IF(D1531=""前天 (-2 days)"", A1531-2, IF(D1531=""明天 (+1 day)"", A1531+1, DATE(LEFT(D1531,4), MID(D1531,5,2), RIGHT(D1531,2))))))))"),46096.332374317135)</f>
        <v>46096.33237</v>
      </c>
      <c r="C1531" s="60">
        <f>IFERROR(__xludf.DUMMYFUNCTION("INDIRECT(""'收支紀錄'!C""&amp;TO_TEXT(ROW()-$C$72))"),157.0)</f>
        <v>157</v>
      </c>
      <c r="D1531" s="63" t="str">
        <f>IFERROR(__xludf.DUMMYFUNCTION("INDIRECT(""'收支紀錄'!D""&amp;TO_TEXT(ROW()-$C$72))"),"今天")</f>
        <v>今天</v>
      </c>
      <c r="E1531" s="61" t="str">
        <f>IFERROR(__xludf.DUMMYFUNCTION("INDIRECT(""'收支紀錄'!E""&amp;TO_TEXT(ROW()-$C$72))"),"")</f>
        <v/>
      </c>
      <c r="F1531" s="61" t="str">
        <f>IFERROR(__xludf.DUMMYFUNCTION("INDIRECT(""'收支紀錄'!F""&amp;TO_TEXT(ROW()-$C$72))"),"")</f>
        <v/>
      </c>
      <c r="G1531" s="61" t="str">
        <f>IFERROR(__xludf.DUMMYFUNCTION("INDIRECT(""'收支紀錄'!G""&amp;TO_TEXT(ROW()-$C$72))"),"")</f>
        <v/>
      </c>
      <c r="H1531" s="61" t="str">
        <f>IFERROR(__xludf.DUMMYFUNCTION("INDIRECT(""'收支紀錄'!H""&amp;TO_TEXT(ROW()-$C$72))"),"食品酒水")</f>
        <v>食品酒水</v>
      </c>
      <c r="I1531" s="61" t="str">
        <f>IFERROR(__xludf.DUMMYFUNCTION("INDIRECT(""'收支紀錄'!I""&amp;TO_TEXT(ROW()-$C$72))"),"早餐")</f>
        <v>早餐</v>
      </c>
      <c r="J1531" s="61" t="str">
        <f>IFERROR(__xludf.DUMMYFUNCTION("INDIRECT(""'收支紀錄'!J""&amp;TO_TEXT(ROW()-$C$72))"),"")</f>
        <v/>
      </c>
      <c r="K1531" s="61" t="str">
        <f>IFERROR(__xludf.DUMMYFUNCTION("INDIRECT(""'收支紀錄'!K""&amp;TO_TEXT(ROW()-$C$72))"),"")</f>
        <v/>
      </c>
      <c r="L1531" s="61" t="str">
        <f>IFERROR(__xludf.DUMMYFUNCTION("INDIRECT(""'收支紀錄'!L""&amp;TO_TEXT(ROW()-$C$72))"),"")</f>
        <v/>
      </c>
      <c r="M1531" s="61" t="str">
        <f>IFERROR(__xludf.DUMMYFUNCTION("INDIRECT(""'收支紀錄'!M""&amp;TO_TEXT(ROW()-$C$72))"),"")</f>
        <v/>
      </c>
      <c r="N1531" s="61" t="str">
        <f>IFERROR(__xludf.DUMMYFUNCTION("INDIRECT(""'收支紀錄'!N""&amp;TO_TEXT(ROW()-$C$72))"),"")</f>
        <v/>
      </c>
      <c r="O1531" s="61" t="str">
        <f>IFERROR(__xludf.DUMMYFUNCTION("INDIRECT(""'收支紀錄'!O""&amp;TO_TEXT(ROW()-$C$72))"),"")</f>
        <v/>
      </c>
      <c r="P1531" s="61" t="str">
        <f>IFERROR(__xludf.DUMMYFUNCTION("INDIRECT(""'收支紀錄'!P""&amp;TO_TEXT(ROW()-$C$72))"),"")</f>
        <v/>
      </c>
      <c r="Q1531" s="61" t="str">
        <f>IFERROR(__xludf.DUMMYFUNCTION("INDIRECT(""'收支紀錄'!Q""&amp;TO_TEXT(ROW()-$C$72))"),"")</f>
        <v/>
      </c>
      <c r="R1531" s="61" t="str">
        <f>IFERROR(__xludf.DUMMYFUNCTION("INDIRECT(""'收支紀錄'!R""&amp;TO_TEXT(ROW()-$C$72))"),"")</f>
        <v/>
      </c>
      <c r="S1531" s="61" t="str">
        <f>IFERROR(__xludf.DUMMYFUNCTION("INDIRECT(""'收支紀錄'!S""&amp;TO_TEXT(ROW()-$C$72))"),"")</f>
        <v/>
      </c>
      <c r="T1531" s="61" t="str">
        <f>IFERROR(__xludf.DUMMYFUNCTION("INDIRECT(""'收支紀錄'!T""&amp;TO_TEXT(ROW()-$C$72))"),"")</f>
        <v/>
      </c>
      <c r="U1531" s="62" t="str">
        <f>IFERROR(__xludf.DUMMYFUNCTION("IF(T1531=""是"",TEXTJOIN("""", TRUE, ""$"", TO_TEXT(C1531), S1531),"""")"),"")</f>
        <v/>
      </c>
    </row>
    <row r="1532">
      <c r="A1532" s="58">
        <f>IFERROR(__xludf.DUMMYFUNCTION("INDIRECT(""'收支紀錄'!A""&amp;TO_TEXT(ROW()-$C$72))"),46096.39281967592)</f>
        <v>46096.39282</v>
      </c>
      <c r="B1532" s="59">
        <f>IFERROR(__xludf.DUMMYFUNCTION("IF(ISBLANK(D1532), """", IF(ISDATE(D1532), D1532, IF(D1532=""今天"", A1532, IF(D1532=""昨天 (-1 day)"", A1532-1, IF(D1532=""前天 (-2 days)"", A1532-2, IF(D1532=""明天 (+1 day)"", A1532+1, DATE(LEFT(D1532,4), MID(D1532,5,2), RIGHT(D1532,2))))))))"),46096.39281967592)</f>
        <v>46096.39282</v>
      </c>
      <c r="C1532" s="60">
        <f>IFERROR(__xludf.DUMMYFUNCTION("INDIRECT(""'收支紀錄'!C""&amp;TO_TEXT(ROW()-$C$72))"),556.0)</f>
        <v>556</v>
      </c>
      <c r="D1532" s="63" t="str">
        <f>IFERROR(__xludf.DUMMYFUNCTION("INDIRECT(""'收支紀錄'!D""&amp;TO_TEXT(ROW()-$C$72))"),"今天")</f>
        <v>今天</v>
      </c>
      <c r="E1532" s="61" t="str">
        <f>IFERROR(__xludf.DUMMYFUNCTION("INDIRECT(""'收支紀錄'!E""&amp;TO_TEXT(ROW()-$C$72))"),"")</f>
        <v/>
      </c>
      <c r="F1532" s="61" t="str">
        <f>IFERROR(__xludf.DUMMYFUNCTION("INDIRECT(""'收支紀錄'!F""&amp;TO_TEXT(ROW()-$C$72))"),"")</f>
        <v/>
      </c>
      <c r="G1532" s="61" t="str">
        <f>IFERROR(__xludf.DUMMYFUNCTION("INDIRECT(""'收支紀錄'!G""&amp;TO_TEXT(ROW()-$C$72))"),"")</f>
        <v/>
      </c>
      <c r="H1532" s="61" t="str">
        <f>IFERROR(__xludf.DUMMYFUNCTION("INDIRECT(""'收支紀錄'!H""&amp;TO_TEXT(ROW()-$C$72))"),"行車交通")</f>
        <v>行車交通</v>
      </c>
      <c r="I1532" s="61" t="str">
        <f>IFERROR(__xludf.DUMMYFUNCTION("INDIRECT(""'收支紀錄'!I""&amp;TO_TEXT(ROW()-$C$72))"),"")</f>
        <v/>
      </c>
      <c r="J1532" s="61" t="str">
        <f>IFERROR(__xludf.DUMMYFUNCTION("INDIRECT(""'收支紀錄'!J""&amp;TO_TEXT(ROW()-$C$72))"),"")</f>
        <v/>
      </c>
      <c r="K1532" s="61" t="str">
        <f>IFERROR(__xludf.DUMMYFUNCTION("INDIRECT(""'收支紀錄'!K""&amp;TO_TEXT(ROW()-$C$72))"),"")</f>
        <v/>
      </c>
      <c r="L1532" s="61" t="str">
        <f>IFERROR(__xludf.DUMMYFUNCTION("INDIRECT(""'收支紀錄'!L""&amp;TO_TEXT(ROW()-$C$72))"),"加油")</f>
        <v>加油</v>
      </c>
      <c r="M1532" s="61" t="str">
        <f>IFERROR(__xludf.DUMMYFUNCTION("INDIRECT(""'收支紀錄'!M""&amp;TO_TEXT(ROW()-$C$72))"),"")</f>
        <v/>
      </c>
      <c r="N1532" s="61" t="str">
        <f>IFERROR(__xludf.DUMMYFUNCTION("INDIRECT(""'收支紀錄'!N""&amp;TO_TEXT(ROW()-$C$72))"),"")</f>
        <v/>
      </c>
      <c r="O1532" s="61" t="str">
        <f>IFERROR(__xludf.DUMMYFUNCTION("INDIRECT(""'收支紀錄'!O""&amp;TO_TEXT(ROW()-$C$72))"),"")</f>
        <v/>
      </c>
      <c r="P1532" s="61" t="str">
        <f>IFERROR(__xludf.DUMMYFUNCTION("INDIRECT(""'收支紀錄'!P""&amp;TO_TEXT(ROW()-$C$72))"),"")</f>
        <v/>
      </c>
      <c r="Q1532" s="61" t="str">
        <f>IFERROR(__xludf.DUMMYFUNCTION("INDIRECT(""'收支紀錄'!Q""&amp;TO_TEXT(ROW()-$C$72))"),"")</f>
        <v/>
      </c>
      <c r="R1532" s="61" t="str">
        <f>IFERROR(__xludf.DUMMYFUNCTION("INDIRECT(""'收支紀錄'!R""&amp;TO_TEXT(ROW()-$C$72))"),"")</f>
        <v/>
      </c>
      <c r="S1532" s="61" t="str">
        <f>IFERROR(__xludf.DUMMYFUNCTION("INDIRECT(""'收支紀錄'!S""&amp;TO_TEXT(ROW()-$C$72))"),"")</f>
        <v/>
      </c>
      <c r="T1532" s="61" t="str">
        <f>IFERROR(__xludf.DUMMYFUNCTION("INDIRECT(""'收支紀錄'!T""&amp;TO_TEXT(ROW()-$C$72))"),"")</f>
        <v/>
      </c>
      <c r="U1532" s="62" t="str">
        <f>IFERROR(__xludf.DUMMYFUNCTION("IF(T1532=""是"",TEXTJOIN("""", TRUE, ""$"", TO_TEXT(C1532), S1532),"""")"),"")</f>
        <v/>
      </c>
    </row>
    <row r="1533">
      <c r="A1533" s="58">
        <f>IFERROR(__xludf.DUMMYFUNCTION("INDIRECT(""'收支紀錄'!A""&amp;TO_TEXT(ROW()-$C$72))"),46096.96792332176)</f>
        <v>46096.96792</v>
      </c>
      <c r="B1533" s="59">
        <f>IFERROR(__xludf.DUMMYFUNCTION("IF(ISBLANK(D1533), """", IF(ISDATE(D1533), D1533, IF(D1533=""今天"", A1533, IF(D1533=""昨天 (-1 day)"", A1533-1, IF(D1533=""前天 (-2 days)"", A1533-2, IF(D1533=""明天 (+1 day)"", A1533+1, DATE(LEFT(D1533,4), MID(D1533,5,2), RIGHT(D1533,2))))))))"),46096.96792332176)</f>
        <v>46096.96792</v>
      </c>
      <c r="C1533" s="60">
        <f>IFERROR(__xludf.DUMMYFUNCTION("INDIRECT(""'收支紀錄'!C""&amp;TO_TEXT(ROW()-$C$72))"),54.0)</f>
        <v>54</v>
      </c>
      <c r="D1533" s="63" t="str">
        <f>IFERROR(__xludf.DUMMYFUNCTION("INDIRECT(""'收支紀錄'!D""&amp;TO_TEXT(ROW()-$C$72))"),"今天")</f>
        <v>今天</v>
      </c>
      <c r="E1533" s="61" t="str">
        <f>IFERROR(__xludf.DUMMYFUNCTION("INDIRECT(""'收支紀錄'!E""&amp;TO_TEXT(ROW()-$C$72))"),"")</f>
        <v/>
      </c>
      <c r="F1533" s="61" t="str">
        <f>IFERROR(__xludf.DUMMYFUNCTION("INDIRECT(""'收支紀錄'!F""&amp;TO_TEXT(ROW()-$C$72))"),"")</f>
        <v/>
      </c>
      <c r="G1533" s="61" t="str">
        <f>IFERROR(__xludf.DUMMYFUNCTION("INDIRECT(""'收支紀錄'!G""&amp;TO_TEXT(ROW()-$C$72))"),"")</f>
        <v/>
      </c>
      <c r="H1533" s="61" t="str">
        <f>IFERROR(__xludf.DUMMYFUNCTION("INDIRECT(""'收支紀錄'!H""&amp;TO_TEXT(ROW()-$C$72))"),"食品酒水")</f>
        <v>食品酒水</v>
      </c>
      <c r="I1533" s="61" t="str">
        <f>IFERROR(__xludf.DUMMYFUNCTION("INDIRECT(""'收支紀錄'!I""&amp;TO_TEXT(ROW()-$C$72))"),"食材")</f>
        <v>食材</v>
      </c>
      <c r="J1533" s="61" t="str">
        <f>IFERROR(__xludf.DUMMYFUNCTION("INDIRECT(""'收支紀錄'!J""&amp;TO_TEXT(ROW()-$C$72))"),"")</f>
        <v/>
      </c>
      <c r="K1533" s="61" t="str">
        <f>IFERROR(__xludf.DUMMYFUNCTION("INDIRECT(""'收支紀錄'!K""&amp;TO_TEXT(ROW()-$C$72))"),"")</f>
        <v/>
      </c>
      <c r="L1533" s="61" t="str">
        <f>IFERROR(__xludf.DUMMYFUNCTION("INDIRECT(""'收支紀錄'!L""&amp;TO_TEXT(ROW()-$C$72))"),"")</f>
        <v/>
      </c>
      <c r="M1533" s="61" t="str">
        <f>IFERROR(__xludf.DUMMYFUNCTION("INDIRECT(""'收支紀錄'!M""&amp;TO_TEXT(ROW()-$C$72))"),"")</f>
        <v/>
      </c>
      <c r="N1533" s="61" t="str">
        <f>IFERROR(__xludf.DUMMYFUNCTION("INDIRECT(""'收支紀錄'!N""&amp;TO_TEXT(ROW()-$C$72))"),"")</f>
        <v/>
      </c>
      <c r="O1533" s="61" t="str">
        <f>IFERROR(__xludf.DUMMYFUNCTION("INDIRECT(""'收支紀錄'!O""&amp;TO_TEXT(ROW()-$C$72))"),"")</f>
        <v/>
      </c>
      <c r="P1533" s="61" t="str">
        <f>IFERROR(__xludf.DUMMYFUNCTION("INDIRECT(""'收支紀錄'!P""&amp;TO_TEXT(ROW()-$C$72))"),"")</f>
        <v/>
      </c>
      <c r="Q1533" s="61" t="str">
        <f>IFERROR(__xludf.DUMMYFUNCTION("INDIRECT(""'收支紀錄'!Q""&amp;TO_TEXT(ROW()-$C$72))"),"")</f>
        <v/>
      </c>
      <c r="R1533" s="61" t="str">
        <f>IFERROR(__xludf.DUMMYFUNCTION("INDIRECT(""'收支紀錄'!R""&amp;TO_TEXT(ROW()-$C$72))"),"")</f>
        <v/>
      </c>
      <c r="S1533" s="61" t="str">
        <f>IFERROR(__xludf.DUMMYFUNCTION("INDIRECT(""'收支紀錄'!S""&amp;TO_TEXT(ROW()-$C$72))"),"")</f>
        <v/>
      </c>
      <c r="T1533" s="61" t="str">
        <f>IFERROR(__xludf.DUMMYFUNCTION("INDIRECT(""'收支紀錄'!T""&amp;TO_TEXT(ROW()-$C$72))"),"")</f>
        <v/>
      </c>
      <c r="U1533" s="62" t="str">
        <f>IFERROR(__xludf.DUMMYFUNCTION("IF(T1533=""是"",TEXTJOIN("""", TRUE, ""$"", TO_TEXT(C1533), S1533),"""")"),"")</f>
        <v/>
      </c>
    </row>
    <row r="1534">
      <c r="A1534" s="58">
        <f>IFERROR(__xludf.DUMMYFUNCTION("INDIRECT(""'收支紀錄'!A""&amp;TO_TEXT(ROW()-$C$72))"),46096.96810947917)</f>
        <v>46096.96811</v>
      </c>
      <c r="B1534" s="59">
        <f>IFERROR(__xludf.DUMMYFUNCTION("IF(ISBLANK(D1534), """", IF(ISDATE(D1534), D1534, IF(D1534=""今天"", A1534, IF(D1534=""昨天 (-1 day)"", A1534-1, IF(D1534=""前天 (-2 days)"", A1534-2, IF(D1534=""明天 (+1 day)"", A1534+1, DATE(LEFT(D1534,4), MID(D1534,5,2), RIGHT(D1534,2))))))))"),46096.96810947917)</f>
        <v>46096.96811</v>
      </c>
      <c r="C1534" s="60">
        <f>IFERROR(__xludf.DUMMYFUNCTION("INDIRECT(""'收支紀錄'!C""&amp;TO_TEXT(ROW()-$C$72))"),100.0)</f>
        <v>100</v>
      </c>
      <c r="D1534" s="63" t="str">
        <f>IFERROR(__xludf.DUMMYFUNCTION("INDIRECT(""'收支紀錄'!D""&amp;TO_TEXT(ROW()-$C$72))"),"今天")</f>
        <v>今天</v>
      </c>
      <c r="E1534" s="61" t="str">
        <f>IFERROR(__xludf.DUMMYFUNCTION("INDIRECT(""'收支紀錄'!E""&amp;TO_TEXT(ROW()-$C$72))"),"")</f>
        <v/>
      </c>
      <c r="F1534" s="61" t="str">
        <f>IFERROR(__xludf.DUMMYFUNCTION("INDIRECT(""'收支紀錄'!F""&amp;TO_TEXT(ROW()-$C$72))"),"")</f>
        <v/>
      </c>
      <c r="G1534" s="61" t="str">
        <f>IFERROR(__xludf.DUMMYFUNCTION("INDIRECT(""'收支紀錄'!G""&amp;TO_TEXT(ROW()-$C$72))"),"")</f>
        <v/>
      </c>
      <c r="H1534" s="61" t="str">
        <f>IFERROR(__xludf.DUMMYFUNCTION("INDIRECT(""'收支紀錄'!H""&amp;TO_TEXT(ROW()-$C$72))"),"行車交通")</f>
        <v>行車交通</v>
      </c>
      <c r="I1534" s="61" t="str">
        <f>IFERROR(__xludf.DUMMYFUNCTION("INDIRECT(""'收支紀錄'!I""&amp;TO_TEXT(ROW()-$C$72))"),"")</f>
        <v/>
      </c>
      <c r="J1534" s="61" t="str">
        <f>IFERROR(__xludf.DUMMYFUNCTION("INDIRECT(""'收支紀錄'!J""&amp;TO_TEXT(ROW()-$C$72))"),"")</f>
        <v/>
      </c>
      <c r="K1534" s="61" t="str">
        <f>IFERROR(__xludf.DUMMYFUNCTION("INDIRECT(""'收支紀錄'!K""&amp;TO_TEXT(ROW()-$C$72))"),"")</f>
        <v/>
      </c>
      <c r="L1534" s="61" t="str">
        <f>IFERROR(__xludf.DUMMYFUNCTION("INDIRECT(""'收支紀錄'!L""&amp;TO_TEXT(ROW()-$C$72))"),"停車")</f>
        <v>停車</v>
      </c>
      <c r="M1534" s="61" t="str">
        <f>IFERROR(__xludf.DUMMYFUNCTION("INDIRECT(""'收支紀錄'!M""&amp;TO_TEXT(ROW()-$C$72))"),"")</f>
        <v/>
      </c>
      <c r="N1534" s="61" t="str">
        <f>IFERROR(__xludf.DUMMYFUNCTION("INDIRECT(""'收支紀錄'!N""&amp;TO_TEXT(ROW()-$C$72))"),"")</f>
        <v/>
      </c>
      <c r="O1534" s="61" t="str">
        <f>IFERROR(__xludf.DUMMYFUNCTION("INDIRECT(""'收支紀錄'!O""&amp;TO_TEXT(ROW()-$C$72))"),"")</f>
        <v/>
      </c>
      <c r="P1534" s="61" t="str">
        <f>IFERROR(__xludf.DUMMYFUNCTION("INDIRECT(""'收支紀錄'!P""&amp;TO_TEXT(ROW()-$C$72))"),"")</f>
        <v/>
      </c>
      <c r="Q1534" s="61" t="str">
        <f>IFERROR(__xludf.DUMMYFUNCTION("INDIRECT(""'收支紀錄'!Q""&amp;TO_TEXT(ROW()-$C$72))"),"")</f>
        <v/>
      </c>
      <c r="R1534" s="61" t="str">
        <f>IFERROR(__xludf.DUMMYFUNCTION("INDIRECT(""'收支紀錄'!R""&amp;TO_TEXT(ROW()-$C$72))"),"")</f>
        <v/>
      </c>
      <c r="S1534" s="61" t="str">
        <f>IFERROR(__xludf.DUMMYFUNCTION("INDIRECT(""'收支紀錄'!S""&amp;TO_TEXT(ROW()-$C$72))"),"")</f>
        <v/>
      </c>
      <c r="T1534" s="61" t="str">
        <f>IFERROR(__xludf.DUMMYFUNCTION("INDIRECT(""'收支紀錄'!T""&amp;TO_TEXT(ROW()-$C$72))"),"")</f>
        <v/>
      </c>
      <c r="U1534" s="62" t="str">
        <f>IFERROR(__xludf.DUMMYFUNCTION("IF(T1534=""是"",TEXTJOIN("""", TRUE, ""$"", TO_TEXT(C1534), S1534),"""")"),"")</f>
        <v/>
      </c>
    </row>
    <row r="1535">
      <c r="A1535" s="58">
        <f>IFERROR(__xludf.DUMMYFUNCTION("INDIRECT(""'收支紀錄'!A""&amp;TO_TEXT(ROW()-$C$72))"),46096.96865559027)</f>
        <v>46096.96866</v>
      </c>
      <c r="B1535" s="59">
        <f>IFERROR(__xludf.DUMMYFUNCTION("IF(ISBLANK(D1535), """", IF(ISDATE(D1535), D1535, IF(D1535=""今天"", A1535, IF(D1535=""昨天 (-1 day)"", A1535-1, IF(D1535=""前天 (-2 days)"", A1535-2, IF(D1535=""明天 (+1 day)"", A1535+1, DATE(LEFT(D1535,4), MID(D1535,5,2), RIGHT(D1535,2))))))))"),46096.96865559027)</f>
        <v>46096.96866</v>
      </c>
      <c r="C1535" s="60">
        <f>IFERROR(__xludf.DUMMYFUNCTION("INDIRECT(""'收支紀錄'!C""&amp;TO_TEXT(ROW()-$C$72))"),957.0)</f>
        <v>957</v>
      </c>
      <c r="D1535" s="63" t="str">
        <f>IFERROR(__xludf.DUMMYFUNCTION("INDIRECT(""'收支紀錄'!D""&amp;TO_TEXT(ROW()-$C$72))"),"今天")</f>
        <v>今天</v>
      </c>
      <c r="E1535" s="61" t="str">
        <f>IFERROR(__xludf.DUMMYFUNCTION("INDIRECT(""'收支紀錄'!E""&amp;TO_TEXT(ROW()-$C$72))"),"")</f>
        <v/>
      </c>
      <c r="F1535" s="61" t="str">
        <f>IFERROR(__xludf.DUMMYFUNCTION("INDIRECT(""'收支紀錄'!F""&amp;TO_TEXT(ROW()-$C$72))"),"")</f>
        <v/>
      </c>
      <c r="G1535" s="61" t="str">
        <f>IFERROR(__xludf.DUMMYFUNCTION("INDIRECT(""'收支紀錄'!G""&amp;TO_TEXT(ROW()-$C$72))"),"")</f>
        <v/>
      </c>
      <c r="H1535" s="61" t="str">
        <f>IFERROR(__xludf.DUMMYFUNCTION("INDIRECT(""'收支紀錄'!H""&amp;TO_TEXT(ROW()-$C$72))"),"日常生活")</f>
        <v>日常生活</v>
      </c>
      <c r="I1535" s="61" t="str">
        <f>IFERROR(__xludf.DUMMYFUNCTION("INDIRECT(""'收支紀錄'!I""&amp;TO_TEXT(ROW()-$C$72))"),"")</f>
        <v/>
      </c>
      <c r="J1535" s="61" t="str">
        <f>IFERROR(__xludf.DUMMYFUNCTION("INDIRECT(""'收支紀錄'!J""&amp;TO_TEXT(ROW()-$C$72))"),"日常用品")</f>
        <v>日常用品</v>
      </c>
      <c r="K1535" s="61" t="str">
        <f>IFERROR(__xludf.DUMMYFUNCTION("INDIRECT(""'收支紀錄'!K""&amp;TO_TEXT(ROW()-$C$72))"),"")</f>
        <v/>
      </c>
      <c r="L1535" s="61" t="str">
        <f>IFERROR(__xludf.DUMMYFUNCTION("INDIRECT(""'收支紀錄'!L""&amp;TO_TEXT(ROW()-$C$72))"),"")</f>
        <v/>
      </c>
      <c r="M1535" s="61" t="str">
        <f>IFERROR(__xludf.DUMMYFUNCTION("INDIRECT(""'收支紀錄'!M""&amp;TO_TEXT(ROW()-$C$72))"),"")</f>
        <v/>
      </c>
      <c r="N1535" s="61" t="str">
        <f>IFERROR(__xludf.DUMMYFUNCTION("INDIRECT(""'收支紀錄'!N""&amp;TO_TEXT(ROW()-$C$72))"),"")</f>
        <v/>
      </c>
      <c r="O1535" s="61" t="str">
        <f>IFERROR(__xludf.DUMMYFUNCTION("INDIRECT(""'收支紀錄'!O""&amp;TO_TEXT(ROW()-$C$72))"),"")</f>
        <v/>
      </c>
      <c r="P1535" s="61" t="str">
        <f>IFERROR(__xludf.DUMMYFUNCTION("INDIRECT(""'收支紀錄'!P""&amp;TO_TEXT(ROW()-$C$72))"),"")</f>
        <v/>
      </c>
      <c r="Q1535" s="61" t="str">
        <f>IFERROR(__xludf.DUMMYFUNCTION("INDIRECT(""'收支紀錄'!Q""&amp;TO_TEXT(ROW()-$C$72))"),"")</f>
        <v/>
      </c>
      <c r="R1535" s="61" t="str">
        <f>IFERROR(__xludf.DUMMYFUNCTION("INDIRECT(""'收支紀錄'!R""&amp;TO_TEXT(ROW()-$C$72))"),"")</f>
        <v/>
      </c>
      <c r="S1535" s="61" t="str">
        <f>IFERROR(__xludf.DUMMYFUNCTION("INDIRECT(""'收支紀錄'!S""&amp;TO_TEXT(ROW()-$C$72))"),"")</f>
        <v/>
      </c>
      <c r="T1535" s="61" t="str">
        <f>IFERROR(__xludf.DUMMYFUNCTION("INDIRECT(""'收支紀錄'!T""&amp;TO_TEXT(ROW()-$C$72))"),"")</f>
        <v/>
      </c>
      <c r="U1535" s="62" t="str">
        <f>IFERROR(__xludf.DUMMYFUNCTION("IF(T1535=""是"",TEXTJOIN("""", TRUE, ""$"", TO_TEXT(C1535), S1535),"""")"),"")</f>
        <v/>
      </c>
    </row>
    <row r="1536">
      <c r="A1536" s="58">
        <f>IFERROR(__xludf.DUMMYFUNCTION("INDIRECT(""'收支紀錄'!A""&amp;TO_TEXT(ROW()-$C$72))"),46096.96879965278)</f>
        <v>46096.9688</v>
      </c>
      <c r="B1536" s="59">
        <f>IFERROR(__xludf.DUMMYFUNCTION("IF(ISBLANK(D1536), """", IF(ISDATE(D1536), D1536, IF(D1536=""今天"", A1536, IF(D1536=""昨天 (-1 day)"", A1536-1, IF(D1536=""前天 (-2 days)"", A1536-2, IF(D1536=""明天 (+1 day)"", A1536+1, DATE(LEFT(D1536,4), MID(D1536,5,2), RIGHT(D1536,2))))))))"),46096.96879965278)</f>
        <v>46096.9688</v>
      </c>
      <c r="C1536" s="60">
        <f>IFERROR(__xludf.DUMMYFUNCTION("INDIRECT(""'收支紀錄'!C""&amp;TO_TEXT(ROW()-$C$72))"),548.0)</f>
        <v>548</v>
      </c>
      <c r="D1536" s="63" t="str">
        <f>IFERROR(__xludf.DUMMYFUNCTION("INDIRECT(""'收支紀錄'!D""&amp;TO_TEXT(ROW()-$C$72))"),"今天")</f>
        <v>今天</v>
      </c>
      <c r="E1536" s="61" t="str">
        <f>IFERROR(__xludf.DUMMYFUNCTION("INDIRECT(""'收支紀錄'!E""&amp;TO_TEXT(ROW()-$C$72))"),"")</f>
        <v/>
      </c>
      <c r="F1536" s="61" t="str">
        <f>IFERROR(__xludf.DUMMYFUNCTION("INDIRECT(""'收支紀錄'!F""&amp;TO_TEXT(ROW()-$C$72))"),"")</f>
        <v/>
      </c>
      <c r="G1536" s="61" t="str">
        <f>IFERROR(__xludf.DUMMYFUNCTION("INDIRECT(""'收支紀錄'!G""&amp;TO_TEXT(ROW()-$C$72))"),"")</f>
        <v/>
      </c>
      <c r="H1536" s="61" t="str">
        <f>IFERROR(__xludf.DUMMYFUNCTION("INDIRECT(""'收支紀錄'!H""&amp;TO_TEXT(ROW()-$C$72))"),"日常生活")</f>
        <v>日常生活</v>
      </c>
      <c r="I1536" s="61" t="str">
        <f>IFERROR(__xludf.DUMMYFUNCTION("INDIRECT(""'收支紀錄'!I""&amp;TO_TEXT(ROW()-$C$72))"),"")</f>
        <v/>
      </c>
      <c r="J1536" s="61" t="str">
        <f>IFERROR(__xludf.DUMMYFUNCTION("INDIRECT(""'收支紀錄'!J""&amp;TO_TEXT(ROW()-$C$72))"),"日常用品")</f>
        <v>日常用品</v>
      </c>
      <c r="K1536" s="61" t="str">
        <f>IFERROR(__xludf.DUMMYFUNCTION("INDIRECT(""'收支紀錄'!K""&amp;TO_TEXT(ROW()-$C$72))"),"")</f>
        <v/>
      </c>
      <c r="L1536" s="61" t="str">
        <f>IFERROR(__xludf.DUMMYFUNCTION("INDIRECT(""'收支紀錄'!L""&amp;TO_TEXT(ROW()-$C$72))"),"")</f>
        <v/>
      </c>
      <c r="M1536" s="61" t="str">
        <f>IFERROR(__xludf.DUMMYFUNCTION("INDIRECT(""'收支紀錄'!M""&amp;TO_TEXT(ROW()-$C$72))"),"")</f>
        <v/>
      </c>
      <c r="N1536" s="61" t="str">
        <f>IFERROR(__xludf.DUMMYFUNCTION("INDIRECT(""'收支紀錄'!N""&amp;TO_TEXT(ROW()-$C$72))"),"")</f>
        <v/>
      </c>
      <c r="O1536" s="61" t="str">
        <f>IFERROR(__xludf.DUMMYFUNCTION("INDIRECT(""'收支紀錄'!O""&amp;TO_TEXT(ROW()-$C$72))"),"")</f>
        <v/>
      </c>
      <c r="P1536" s="61" t="str">
        <f>IFERROR(__xludf.DUMMYFUNCTION("INDIRECT(""'收支紀錄'!P""&amp;TO_TEXT(ROW()-$C$72))"),"")</f>
        <v/>
      </c>
      <c r="Q1536" s="61" t="str">
        <f>IFERROR(__xludf.DUMMYFUNCTION("INDIRECT(""'收支紀錄'!Q""&amp;TO_TEXT(ROW()-$C$72))"),"")</f>
        <v/>
      </c>
      <c r="R1536" s="61" t="str">
        <f>IFERROR(__xludf.DUMMYFUNCTION("INDIRECT(""'收支紀錄'!R""&amp;TO_TEXT(ROW()-$C$72))"),"")</f>
        <v/>
      </c>
      <c r="S1536" s="61" t="str">
        <f>IFERROR(__xludf.DUMMYFUNCTION("INDIRECT(""'收支紀錄'!S""&amp;TO_TEXT(ROW()-$C$72))"),"")</f>
        <v/>
      </c>
      <c r="T1536" s="61" t="str">
        <f>IFERROR(__xludf.DUMMYFUNCTION("INDIRECT(""'收支紀錄'!T""&amp;TO_TEXT(ROW()-$C$72))"),"")</f>
        <v/>
      </c>
      <c r="U1536" s="62" t="str">
        <f>IFERROR(__xludf.DUMMYFUNCTION("IF(T1536=""是"",TEXTJOIN("""", TRUE, ""$"", TO_TEXT(C1536), S1536),"""")"),"")</f>
        <v/>
      </c>
    </row>
    <row r="1537">
      <c r="A1537" s="58">
        <f>IFERROR(__xludf.DUMMYFUNCTION("INDIRECT(""'收支紀錄'!A""&amp;TO_TEXT(ROW()-$C$72))"),46098.9134546412)</f>
        <v>46098.91345</v>
      </c>
      <c r="B1537" s="59">
        <f>IFERROR(__xludf.DUMMYFUNCTION("IF(ISBLANK(D1537), """", IF(ISDATE(D1537), D1537, IF(D1537=""今天"", A1537, IF(D1537=""昨天 (-1 day)"", A1537-1, IF(D1537=""前天 (-2 days)"", A1537-2, IF(D1537=""明天 (+1 day)"", A1537+1, DATE(LEFT(D1537,4), MID(D1537,5,2), RIGHT(D1537,2))))))))"),46098.9134546412)</f>
        <v>46098.91345</v>
      </c>
      <c r="C1537" s="60">
        <f>IFERROR(__xludf.DUMMYFUNCTION("INDIRECT(""'收支紀錄'!C""&amp;TO_TEXT(ROW()-$C$72))"),128.0)</f>
        <v>128</v>
      </c>
      <c r="D1537" s="63" t="str">
        <f>IFERROR(__xludf.DUMMYFUNCTION("INDIRECT(""'收支紀錄'!D""&amp;TO_TEXT(ROW()-$C$72))"),"今天")</f>
        <v>今天</v>
      </c>
      <c r="E1537" s="61" t="str">
        <f>IFERROR(__xludf.DUMMYFUNCTION("INDIRECT(""'收支紀錄'!E""&amp;TO_TEXT(ROW()-$C$72))"),"")</f>
        <v/>
      </c>
      <c r="F1537" s="61" t="str">
        <f>IFERROR(__xludf.DUMMYFUNCTION("INDIRECT(""'收支紀錄'!F""&amp;TO_TEXT(ROW()-$C$72))"),"")</f>
        <v/>
      </c>
      <c r="G1537" s="61" t="str">
        <f>IFERROR(__xludf.DUMMYFUNCTION("INDIRECT(""'收支紀錄'!G""&amp;TO_TEXT(ROW()-$C$72))"),"")</f>
        <v/>
      </c>
      <c r="H1537" s="61" t="str">
        <f>IFERROR(__xludf.DUMMYFUNCTION("INDIRECT(""'收支紀錄'!H""&amp;TO_TEXT(ROW()-$C$72))"),"行車交通")</f>
        <v>行車交通</v>
      </c>
      <c r="I1537" s="61" t="str">
        <f>IFERROR(__xludf.DUMMYFUNCTION("INDIRECT(""'收支紀錄'!I""&amp;TO_TEXT(ROW()-$C$72))"),"")</f>
        <v/>
      </c>
      <c r="J1537" s="61" t="str">
        <f>IFERROR(__xludf.DUMMYFUNCTION("INDIRECT(""'收支紀錄'!J""&amp;TO_TEXT(ROW()-$C$72))"),"")</f>
        <v/>
      </c>
      <c r="K1537" s="61" t="str">
        <f>IFERROR(__xludf.DUMMYFUNCTION("INDIRECT(""'收支紀錄'!K""&amp;TO_TEXT(ROW()-$C$72))"),"")</f>
        <v/>
      </c>
      <c r="L1537" s="61" t="str">
        <f>IFERROR(__xludf.DUMMYFUNCTION("INDIRECT(""'收支紀錄'!L""&amp;TO_TEXT(ROW()-$C$72))"),"加油")</f>
        <v>加油</v>
      </c>
      <c r="M1537" s="61" t="str">
        <f>IFERROR(__xludf.DUMMYFUNCTION("INDIRECT(""'收支紀錄'!M""&amp;TO_TEXT(ROW()-$C$72))"),"")</f>
        <v/>
      </c>
      <c r="N1537" s="61" t="str">
        <f>IFERROR(__xludf.DUMMYFUNCTION("INDIRECT(""'收支紀錄'!N""&amp;TO_TEXT(ROW()-$C$72))"),"")</f>
        <v/>
      </c>
      <c r="O1537" s="61" t="str">
        <f>IFERROR(__xludf.DUMMYFUNCTION("INDIRECT(""'收支紀錄'!O""&amp;TO_TEXT(ROW()-$C$72))"),"")</f>
        <v/>
      </c>
      <c r="P1537" s="61" t="str">
        <f>IFERROR(__xludf.DUMMYFUNCTION("INDIRECT(""'收支紀錄'!P""&amp;TO_TEXT(ROW()-$C$72))"),"")</f>
        <v/>
      </c>
      <c r="Q1537" s="61" t="str">
        <f>IFERROR(__xludf.DUMMYFUNCTION("INDIRECT(""'收支紀錄'!Q""&amp;TO_TEXT(ROW()-$C$72))"),"")</f>
        <v/>
      </c>
      <c r="R1537" s="61" t="str">
        <f>IFERROR(__xludf.DUMMYFUNCTION("INDIRECT(""'收支紀錄'!R""&amp;TO_TEXT(ROW()-$C$72))"),"")</f>
        <v/>
      </c>
      <c r="S1537" s="61" t="str">
        <f>IFERROR(__xludf.DUMMYFUNCTION("INDIRECT(""'收支紀錄'!S""&amp;TO_TEXT(ROW()-$C$72))"),"")</f>
        <v/>
      </c>
      <c r="T1537" s="61" t="str">
        <f>IFERROR(__xludf.DUMMYFUNCTION("INDIRECT(""'收支紀錄'!T""&amp;TO_TEXT(ROW()-$C$72))"),"")</f>
        <v/>
      </c>
      <c r="U1537" s="62" t="str">
        <f>IFERROR(__xludf.DUMMYFUNCTION("IF(T1537=""是"",TEXTJOIN("""", TRUE, ""$"", TO_TEXT(C1537), S1537),"""")"),"")</f>
        <v/>
      </c>
    </row>
    <row r="1538">
      <c r="A1538" s="58">
        <f>IFERROR(__xludf.DUMMYFUNCTION("INDIRECT(""'收支紀錄'!A""&amp;TO_TEXT(ROW()-$C$72))"),46100.770723877315)</f>
        <v>46100.77072</v>
      </c>
      <c r="B1538" s="59">
        <f>IFERROR(__xludf.DUMMYFUNCTION("IF(ISBLANK(D1538), """", IF(ISDATE(D1538), D1538, IF(D1538=""今天"", A1538, IF(D1538=""昨天 (-1 day)"", A1538-1, IF(D1538=""前天 (-2 days)"", A1538-2, IF(D1538=""明天 (+1 day)"", A1538+1, DATE(LEFT(D1538,4), MID(D1538,5,2), RIGHT(D1538,2))))))))"),46099.770723877315)</f>
        <v>46099.77072</v>
      </c>
      <c r="C1538" s="60">
        <f>IFERROR(__xludf.DUMMYFUNCTION("INDIRECT(""'收支紀錄'!C""&amp;TO_TEXT(ROW()-$C$72))"),303.0)</f>
        <v>303</v>
      </c>
      <c r="D1538" s="63" t="str">
        <f>IFERROR(__xludf.DUMMYFUNCTION("INDIRECT(""'收支紀錄'!D""&amp;TO_TEXT(ROW()-$C$72))"),"昨天 (-1 day)")</f>
        <v>昨天 (-1 day)</v>
      </c>
      <c r="E1538" s="61" t="str">
        <f>IFERROR(__xludf.DUMMYFUNCTION("INDIRECT(""'收支紀錄'!E""&amp;TO_TEXT(ROW()-$C$72))"),"")</f>
        <v/>
      </c>
      <c r="F1538" s="61" t="str">
        <f>IFERROR(__xludf.DUMMYFUNCTION("INDIRECT(""'收支紀錄'!F""&amp;TO_TEXT(ROW()-$C$72))"),"")</f>
        <v/>
      </c>
      <c r="G1538" s="61" t="str">
        <f>IFERROR(__xludf.DUMMYFUNCTION("INDIRECT(""'收支紀錄'!G""&amp;TO_TEXT(ROW()-$C$72))"),"")</f>
        <v/>
      </c>
      <c r="H1538" s="61" t="str">
        <f>IFERROR(__xludf.DUMMYFUNCTION("INDIRECT(""'收支紀錄'!H""&amp;TO_TEXT(ROW()-$C$72))"),"食品酒水")</f>
        <v>食品酒水</v>
      </c>
      <c r="I1538" s="61" t="str">
        <f>IFERROR(__xludf.DUMMYFUNCTION("INDIRECT(""'收支紀錄'!I""&amp;TO_TEXT(ROW()-$C$72))"),"晚餐")</f>
        <v>晚餐</v>
      </c>
      <c r="J1538" s="61" t="str">
        <f>IFERROR(__xludf.DUMMYFUNCTION("INDIRECT(""'收支紀錄'!J""&amp;TO_TEXT(ROW()-$C$72))"),"")</f>
        <v/>
      </c>
      <c r="K1538" s="61" t="str">
        <f>IFERROR(__xludf.DUMMYFUNCTION("INDIRECT(""'收支紀錄'!K""&amp;TO_TEXT(ROW()-$C$72))"),"")</f>
        <v/>
      </c>
      <c r="L1538" s="61" t="str">
        <f>IFERROR(__xludf.DUMMYFUNCTION("INDIRECT(""'收支紀錄'!L""&amp;TO_TEXT(ROW()-$C$72))"),"")</f>
        <v/>
      </c>
      <c r="M1538" s="61" t="str">
        <f>IFERROR(__xludf.DUMMYFUNCTION("INDIRECT(""'收支紀錄'!M""&amp;TO_TEXT(ROW()-$C$72))"),"")</f>
        <v/>
      </c>
      <c r="N1538" s="61" t="str">
        <f>IFERROR(__xludf.DUMMYFUNCTION("INDIRECT(""'收支紀錄'!N""&amp;TO_TEXT(ROW()-$C$72))"),"")</f>
        <v/>
      </c>
      <c r="O1538" s="61" t="str">
        <f>IFERROR(__xludf.DUMMYFUNCTION("INDIRECT(""'收支紀錄'!O""&amp;TO_TEXT(ROW()-$C$72))"),"")</f>
        <v/>
      </c>
      <c r="P1538" s="61" t="str">
        <f>IFERROR(__xludf.DUMMYFUNCTION("INDIRECT(""'收支紀錄'!P""&amp;TO_TEXT(ROW()-$C$72))"),"")</f>
        <v/>
      </c>
      <c r="Q1538" s="61" t="str">
        <f>IFERROR(__xludf.DUMMYFUNCTION("INDIRECT(""'收支紀錄'!Q""&amp;TO_TEXT(ROW()-$C$72))"),"")</f>
        <v/>
      </c>
      <c r="R1538" s="61" t="str">
        <f>IFERROR(__xludf.DUMMYFUNCTION("INDIRECT(""'收支紀錄'!R""&amp;TO_TEXT(ROW()-$C$72))"),"")</f>
        <v/>
      </c>
      <c r="S1538" s="61" t="str">
        <f>IFERROR(__xludf.DUMMYFUNCTION("INDIRECT(""'收支紀錄'!S""&amp;TO_TEXT(ROW()-$C$72))"),"")</f>
        <v/>
      </c>
      <c r="T1538" s="61" t="str">
        <f>IFERROR(__xludf.DUMMYFUNCTION("INDIRECT(""'收支紀錄'!T""&amp;TO_TEXT(ROW()-$C$72))"),"")</f>
        <v/>
      </c>
      <c r="U1538" s="62" t="str">
        <f>IFERROR(__xludf.DUMMYFUNCTION("IF(T1538=""是"",TEXTJOIN("""", TRUE, ""$"", TO_TEXT(C1538), S1538),"""")"),"")</f>
        <v/>
      </c>
    </row>
    <row r="1539">
      <c r="A1539" s="58">
        <f>IFERROR(__xludf.DUMMYFUNCTION("INDIRECT(""'收支紀錄'!A""&amp;TO_TEXT(ROW()-$C$72))"),46101.788807488425)</f>
        <v>46101.78881</v>
      </c>
      <c r="B1539" s="59">
        <f>IFERROR(__xludf.DUMMYFUNCTION("IF(ISBLANK(D1539), """", IF(ISDATE(D1539), D1539, IF(D1539=""今天"", A1539, IF(D1539=""昨天 (-1 day)"", A1539-1, IF(D1539=""前天 (-2 days)"", A1539-2, IF(D1539=""明天 (+1 day)"", A1539+1, DATE(LEFT(D1539,4), MID(D1539,5,2), RIGHT(D1539,2))))))))"),46101.788807488425)</f>
        <v>46101.78881</v>
      </c>
      <c r="C1539" s="60">
        <f>IFERROR(__xludf.DUMMYFUNCTION("INDIRECT(""'收支紀錄'!C""&amp;TO_TEXT(ROW()-$C$72))"),5014.0)</f>
        <v>5014</v>
      </c>
      <c r="D1539" s="63" t="str">
        <f>IFERROR(__xludf.DUMMYFUNCTION("INDIRECT(""'收支紀錄'!D""&amp;TO_TEXT(ROW()-$C$72))"),"今天")</f>
        <v>今天</v>
      </c>
      <c r="E1539" s="61" t="str">
        <f>IFERROR(__xludf.DUMMYFUNCTION("INDIRECT(""'收支紀錄'!E""&amp;TO_TEXT(ROW()-$C$72))"),"")</f>
        <v/>
      </c>
      <c r="F1539" s="61" t="str">
        <f>IFERROR(__xludf.DUMMYFUNCTION("INDIRECT(""'收支紀錄'!F""&amp;TO_TEXT(ROW()-$C$72))"),"")</f>
        <v/>
      </c>
      <c r="G1539" s="61" t="str">
        <f>IFERROR(__xludf.DUMMYFUNCTION("INDIRECT(""'收支紀錄'!G""&amp;TO_TEXT(ROW()-$C$72))"),"")</f>
        <v/>
      </c>
      <c r="H1539" s="61" t="str">
        <f>IFERROR(__xludf.DUMMYFUNCTION("INDIRECT(""'收支紀錄'!H""&amp;TO_TEXT(ROW()-$C$72))"),"日常生活")</f>
        <v>日常生活</v>
      </c>
      <c r="I1539" s="61" t="str">
        <f>IFERROR(__xludf.DUMMYFUNCTION("INDIRECT(""'收支紀錄'!I""&amp;TO_TEXT(ROW()-$C$72))"),"")</f>
        <v/>
      </c>
      <c r="J1539" s="61" t="str">
        <f>IFERROR(__xludf.DUMMYFUNCTION("INDIRECT(""'收支紀錄'!J""&amp;TO_TEXT(ROW()-$C$72))"),"日常用品")</f>
        <v>日常用品</v>
      </c>
      <c r="K1539" s="61" t="str">
        <f>IFERROR(__xludf.DUMMYFUNCTION("INDIRECT(""'收支紀錄'!K""&amp;TO_TEXT(ROW()-$C$72))"),"")</f>
        <v/>
      </c>
      <c r="L1539" s="61" t="str">
        <f>IFERROR(__xludf.DUMMYFUNCTION("INDIRECT(""'收支紀錄'!L""&amp;TO_TEXT(ROW()-$C$72))"),"")</f>
        <v/>
      </c>
      <c r="M1539" s="61" t="str">
        <f>IFERROR(__xludf.DUMMYFUNCTION("INDIRECT(""'收支紀錄'!M""&amp;TO_TEXT(ROW()-$C$72))"),"")</f>
        <v/>
      </c>
      <c r="N1539" s="61" t="str">
        <f>IFERROR(__xludf.DUMMYFUNCTION("INDIRECT(""'收支紀錄'!N""&amp;TO_TEXT(ROW()-$C$72))"),"")</f>
        <v/>
      </c>
      <c r="O1539" s="61" t="str">
        <f>IFERROR(__xludf.DUMMYFUNCTION("INDIRECT(""'收支紀錄'!O""&amp;TO_TEXT(ROW()-$C$72))"),"")</f>
        <v/>
      </c>
      <c r="P1539" s="61" t="str">
        <f>IFERROR(__xludf.DUMMYFUNCTION("INDIRECT(""'收支紀錄'!P""&amp;TO_TEXT(ROW()-$C$72))"),"")</f>
        <v/>
      </c>
      <c r="Q1539" s="61" t="str">
        <f>IFERROR(__xludf.DUMMYFUNCTION("INDIRECT(""'收支紀錄'!Q""&amp;TO_TEXT(ROW()-$C$72))"),"")</f>
        <v/>
      </c>
      <c r="R1539" s="61" t="str">
        <f>IFERROR(__xludf.DUMMYFUNCTION("INDIRECT(""'收支紀錄'!R""&amp;TO_TEXT(ROW()-$C$72))"),"")</f>
        <v/>
      </c>
      <c r="S1539" s="61" t="str">
        <f>IFERROR(__xludf.DUMMYFUNCTION("INDIRECT(""'收支紀錄'!S""&amp;TO_TEXT(ROW()-$C$72))"),"")</f>
        <v/>
      </c>
      <c r="T1539" s="61" t="str">
        <f>IFERROR(__xludf.DUMMYFUNCTION("INDIRECT(""'收支紀錄'!T""&amp;TO_TEXT(ROW()-$C$72))"),"")</f>
        <v/>
      </c>
      <c r="U1539" s="62" t="str">
        <f>IFERROR(__xludf.DUMMYFUNCTION("IF(T1539=""是"",TEXTJOIN("""", TRUE, ""$"", TO_TEXT(C1539), S1539),"""")"),"")</f>
        <v/>
      </c>
    </row>
    <row r="1540">
      <c r="A1540" s="58">
        <f>IFERROR(__xludf.DUMMYFUNCTION("INDIRECT(""'收支紀錄'!A""&amp;TO_TEXT(ROW()-$C$72))"),46102.40977974537)</f>
        <v>46102.40978</v>
      </c>
      <c r="B1540" s="59">
        <f>IFERROR(__xludf.DUMMYFUNCTION("IF(ISBLANK(D1540), """", IF(ISDATE(D1540), D1540, IF(D1540=""今天"", A1540, IF(D1540=""昨天 (-1 day)"", A1540-1, IF(D1540=""前天 (-2 days)"", A1540-2, IF(D1540=""明天 (+1 day)"", A1540+1, DATE(LEFT(D1540,4), MID(D1540,5,2), RIGHT(D1540,2))))))))"),46102.40977974537)</f>
        <v>46102.40978</v>
      </c>
      <c r="C1540" s="60">
        <f>IFERROR(__xludf.DUMMYFUNCTION("INDIRECT(""'收支紀錄'!C""&amp;TO_TEXT(ROW()-$C$72))"),181.0)</f>
        <v>181</v>
      </c>
      <c r="D1540" s="63" t="str">
        <f>IFERROR(__xludf.DUMMYFUNCTION("INDIRECT(""'收支紀錄'!D""&amp;TO_TEXT(ROW()-$C$72))"),"今天")</f>
        <v>今天</v>
      </c>
      <c r="E1540" s="61" t="str">
        <f>IFERROR(__xludf.DUMMYFUNCTION("INDIRECT(""'收支紀錄'!E""&amp;TO_TEXT(ROW()-$C$72))"),"")</f>
        <v/>
      </c>
      <c r="F1540" s="61" t="str">
        <f>IFERROR(__xludf.DUMMYFUNCTION("INDIRECT(""'收支紀錄'!F""&amp;TO_TEXT(ROW()-$C$72))"),"")</f>
        <v/>
      </c>
      <c r="G1540" s="61" t="str">
        <f>IFERROR(__xludf.DUMMYFUNCTION("INDIRECT(""'收支紀錄'!G""&amp;TO_TEXT(ROW()-$C$72))"),"")</f>
        <v/>
      </c>
      <c r="H1540" s="61" t="str">
        <f>IFERROR(__xludf.DUMMYFUNCTION("INDIRECT(""'收支紀錄'!H""&amp;TO_TEXT(ROW()-$C$72))"),"日常生活")</f>
        <v>日常生活</v>
      </c>
      <c r="I1540" s="61" t="str">
        <f>IFERROR(__xludf.DUMMYFUNCTION("INDIRECT(""'收支紀錄'!I""&amp;TO_TEXT(ROW()-$C$72))"),"")</f>
        <v/>
      </c>
      <c r="J1540" s="61" t="str">
        <f>IFERROR(__xludf.DUMMYFUNCTION("INDIRECT(""'收支紀錄'!J""&amp;TO_TEXT(ROW()-$C$72))"),"日常用品")</f>
        <v>日常用品</v>
      </c>
      <c r="K1540" s="61" t="str">
        <f>IFERROR(__xludf.DUMMYFUNCTION("INDIRECT(""'收支紀錄'!K""&amp;TO_TEXT(ROW()-$C$72))"),"")</f>
        <v/>
      </c>
      <c r="L1540" s="61" t="str">
        <f>IFERROR(__xludf.DUMMYFUNCTION("INDIRECT(""'收支紀錄'!L""&amp;TO_TEXT(ROW()-$C$72))"),"")</f>
        <v/>
      </c>
      <c r="M1540" s="61" t="str">
        <f>IFERROR(__xludf.DUMMYFUNCTION("INDIRECT(""'收支紀錄'!M""&amp;TO_TEXT(ROW()-$C$72))"),"")</f>
        <v/>
      </c>
      <c r="N1540" s="61" t="str">
        <f>IFERROR(__xludf.DUMMYFUNCTION("INDIRECT(""'收支紀錄'!N""&amp;TO_TEXT(ROW()-$C$72))"),"")</f>
        <v/>
      </c>
      <c r="O1540" s="61" t="str">
        <f>IFERROR(__xludf.DUMMYFUNCTION("INDIRECT(""'收支紀錄'!O""&amp;TO_TEXT(ROW()-$C$72))"),"")</f>
        <v/>
      </c>
      <c r="P1540" s="61" t="str">
        <f>IFERROR(__xludf.DUMMYFUNCTION("INDIRECT(""'收支紀錄'!P""&amp;TO_TEXT(ROW()-$C$72))"),"")</f>
        <v/>
      </c>
      <c r="Q1540" s="61" t="str">
        <f>IFERROR(__xludf.DUMMYFUNCTION("INDIRECT(""'收支紀錄'!Q""&amp;TO_TEXT(ROW()-$C$72))"),"")</f>
        <v/>
      </c>
      <c r="R1540" s="61" t="str">
        <f>IFERROR(__xludf.DUMMYFUNCTION("INDIRECT(""'收支紀錄'!R""&amp;TO_TEXT(ROW()-$C$72))"),"")</f>
        <v/>
      </c>
      <c r="S1540" s="61" t="str">
        <f>IFERROR(__xludf.DUMMYFUNCTION("INDIRECT(""'收支紀錄'!S""&amp;TO_TEXT(ROW()-$C$72))"),"")</f>
        <v/>
      </c>
      <c r="T1540" s="61" t="str">
        <f>IFERROR(__xludf.DUMMYFUNCTION("INDIRECT(""'收支紀錄'!T""&amp;TO_TEXT(ROW()-$C$72))"),"")</f>
        <v/>
      </c>
      <c r="U1540" s="62" t="str">
        <f>IFERROR(__xludf.DUMMYFUNCTION("IF(T1540=""是"",TEXTJOIN("""", TRUE, ""$"", TO_TEXT(C1540), S1540),"""")"),"")</f>
        <v/>
      </c>
    </row>
    <row r="1541">
      <c r="A1541" s="58">
        <f>IFERROR(__xludf.DUMMYFUNCTION("INDIRECT(""'收支紀錄'!A""&amp;TO_TEXT(ROW()-$C$72))"),46102.93613569444)</f>
        <v>46102.93614</v>
      </c>
      <c r="B1541" s="59">
        <f>IFERROR(__xludf.DUMMYFUNCTION("IF(ISBLANK(D1541), """", IF(ISDATE(D1541), D1541, IF(D1541=""今天"", A1541, IF(D1541=""昨天 (-1 day)"", A1541-1, IF(D1541=""前天 (-2 days)"", A1541-2, IF(D1541=""明天 (+1 day)"", A1541+1, DATE(LEFT(D1541,4), MID(D1541,5,2), RIGHT(D1541,2))))))))"),46102.93613569444)</f>
        <v>46102.93614</v>
      </c>
      <c r="C1541" s="60">
        <f>IFERROR(__xludf.DUMMYFUNCTION("INDIRECT(""'收支紀錄'!C""&amp;TO_TEXT(ROW()-$C$72))"),2830.0)</f>
        <v>2830</v>
      </c>
      <c r="D1541" s="63" t="str">
        <f>IFERROR(__xludf.DUMMYFUNCTION("INDIRECT(""'收支紀錄'!D""&amp;TO_TEXT(ROW()-$C$72))"),"今天")</f>
        <v>今天</v>
      </c>
      <c r="E1541" s="61" t="str">
        <f>IFERROR(__xludf.DUMMYFUNCTION("INDIRECT(""'收支紀錄'!E""&amp;TO_TEXT(ROW()-$C$72))"),"")</f>
        <v/>
      </c>
      <c r="F1541" s="61" t="str">
        <f>IFERROR(__xludf.DUMMYFUNCTION("INDIRECT(""'收支紀錄'!F""&amp;TO_TEXT(ROW()-$C$72))"),"")</f>
        <v/>
      </c>
      <c r="G1541" s="61" t="str">
        <f>IFERROR(__xludf.DUMMYFUNCTION("INDIRECT(""'收支紀錄'!G""&amp;TO_TEXT(ROW()-$C$72))"),"")</f>
        <v/>
      </c>
      <c r="H1541" s="61" t="str">
        <f>IFERROR(__xludf.DUMMYFUNCTION("INDIRECT(""'收支紀錄'!H""&amp;TO_TEXT(ROW()-$C$72))"),"食品酒水")</f>
        <v>食品酒水</v>
      </c>
      <c r="I1541" s="61" t="str">
        <f>IFERROR(__xludf.DUMMYFUNCTION("INDIRECT(""'收支紀錄'!I""&amp;TO_TEXT(ROW()-$C$72))"),"晚餐")</f>
        <v>晚餐</v>
      </c>
      <c r="J1541" s="61" t="str">
        <f>IFERROR(__xludf.DUMMYFUNCTION("INDIRECT(""'收支紀錄'!J""&amp;TO_TEXT(ROW()-$C$72))"),"")</f>
        <v/>
      </c>
      <c r="K1541" s="61" t="str">
        <f>IFERROR(__xludf.DUMMYFUNCTION("INDIRECT(""'收支紀錄'!K""&amp;TO_TEXT(ROW()-$C$72))"),"")</f>
        <v/>
      </c>
      <c r="L1541" s="61" t="str">
        <f>IFERROR(__xludf.DUMMYFUNCTION("INDIRECT(""'收支紀錄'!L""&amp;TO_TEXT(ROW()-$C$72))"),"")</f>
        <v/>
      </c>
      <c r="M1541" s="61" t="str">
        <f>IFERROR(__xludf.DUMMYFUNCTION("INDIRECT(""'收支紀錄'!M""&amp;TO_TEXT(ROW()-$C$72))"),"")</f>
        <v/>
      </c>
      <c r="N1541" s="61" t="str">
        <f>IFERROR(__xludf.DUMMYFUNCTION("INDIRECT(""'收支紀錄'!N""&amp;TO_TEXT(ROW()-$C$72))"),"")</f>
        <v/>
      </c>
      <c r="O1541" s="61" t="str">
        <f>IFERROR(__xludf.DUMMYFUNCTION("INDIRECT(""'收支紀錄'!O""&amp;TO_TEXT(ROW()-$C$72))"),"")</f>
        <v/>
      </c>
      <c r="P1541" s="61" t="str">
        <f>IFERROR(__xludf.DUMMYFUNCTION("INDIRECT(""'收支紀錄'!P""&amp;TO_TEXT(ROW()-$C$72))"),"")</f>
        <v/>
      </c>
      <c r="Q1541" s="61" t="str">
        <f>IFERROR(__xludf.DUMMYFUNCTION("INDIRECT(""'收支紀錄'!Q""&amp;TO_TEXT(ROW()-$C$72))"),"")</f>
        <v/>
      </c>
      <c r="R1541" s="61" t="str">
        <f>IFERROR(__xludf.DUMMYFUNCTION("INDIRECT(""'收支紀錄'!R""&amp;TO_TEXT(ROW()-$C$72))"),"")</f>
        <v/>
      </c>
      <c r="S1541" s="61" t="str">
        <f>IFERROR(__xludf.DUMMYFUNCTION("INDIRECT(""'收支紀錄'!S""&amp;TO_TEXT(ROW()-$C$72))"),"")</f>
        <v/>
      </c>
      <c r="T1541" s="61" t="str">
        <f>IFERROR(__xludf.DUMMYFUNCTION("INDIRECT(""'收支紀錄'!T""&amp;TO_TEXT(ROW()-$C$72))"),"")</f>
        <v/>
      </c>
      <c r="U1541" s="62" t="str">
        <f>IFERROR(__xludf.DUMMYFUNCTION("IF(T1541=""是"",TEXTJOIN("""", TRUE, ""$"", TO_TEXT(C1541), S1541),"""")"),"")</f>
        <v/>
      </c>
    </row>
    <row r="1542">
      <c r="A1542" s="58">
        <f>IFERROR(__xludf.DUMMYFUNCTION("INDIRECT(""'收支紀錄'!A""&amp;TO_TEXT(ROW()-$C$72))"),46103.9157308912)</f>
        <v>46103.91573</v>
      </c>
      <c r="B1542" s="59">
        <f>IFERROR(__xludf.DUMMYFUNCTION("IF(ISBLANK(D1542), """", IF(ISDATE(D1542), D1542, IF(D1542=""今天"", A1542, IF(D1542=""昨天 (-1 day)"", A1542-1, IF(D1542=""前天 (-2 days)"", A1542-2, IF(D1542=""明天 (+1 day)"", A1542+1, DATE(LEFT(D1542,4), MID(D1542,5,2), RIGHT(D1542,2))))))))"),46103.9157308912)</f>
        <v>46103.91573</v>
      </c>
      <c r="C1542" s="60">
        <f>IFERROR(__xludf.DUMMYFUNCTION("INDIRECT(""'收支紀錄'!C""&amp;TO_TEXT(ROW()-$C$72))"),100.0)</f>
        <v>100</v>
      </c>
      <c r="D1542" s="63" t="str">
        <f>IFERROR(__xludf.DUMMYFUNCTION("INDIRECT(""'收支紀錄'!D""&amp;TO_TEXT(ROW()-$C$72))"),"今天")</f>
        <v>今天</v>
      </c>
      <c r="E1542" s="61" t="str">
        <f>IFERROR(__xludf.DUMMYFUNCTION("INDIRECT(""'收支紀錄'!E""&amp;TO_TEXT(ROW()-$C$72))"),"")</f>
        <v/>
      </c>
      <c r="F1542" s="61" t="str">
        <f>IFERROR(__xludf.DUMMYFUNCTION("INDIRECT(""'收支紀錄'!F""&amp;TO_TEXT(ROW()-$C$72))"),"")</f>
        <v/>
      </c>
      <c r="G1542" s="61" t="str">
        <f>IFERROR(__xludf.DUMMYFUNCTION("INDIRECT(""'收支紀錄'!G""&amp;TO_TEXT(ROW()-$C$72))"),"")</f>
        <v/>
      </c>
      <c r="H1542" s="61" t="str">
        <f>IFERROR(__xludf.DUMMYFUNCTION("INDIRECT(""'收支紀錄'!H""&amp;TO_TEXT(ROW()-$C$72))"),"休閒娛樂")</f>
        <v>休閒娛樂</v>
      </c>
      <c r="I1542" s="61" t="str">
        <f>IFERROR(__xludf.DUMMYFUNCTION("INDIRECT(""'收支紀錄'!I""&amp;TO_TEXT(ROW()-$C$72))"),"")</f>
        <v/>
      </c>
      <c r="J1542" s="61" t="str">
        <f>IFERROR(__xludf.DUMMYFUNCTION("INDIRECT(""'收支紀錄'!J""&amp;TO_TEXT(ROW()-$C$72))"),"")</f>
        <v/>
      </c>
      <c r="K1542" s="61" t="str">
        <f>IFERROR(__xludf.DUMMYFUNCTION("INDIRECT(""'收支紀錄'!K""&amp;TO_TEXT(ROW()-$C$72))"),"")</f>
        <v/>
      </c>
      <c r="L1542" s="61" t="str">
        <f>IFERROR(__xludf.DUMMYFUNCTION("INDIRECT(""'收支紀錄'!L""&amp;TO_TEXT(ROW()-$C$72))"),"")</f>
        <v/>
      </c>
      <c r="M1542" s="61" t="str">
        <f>IFERROR(__xludf.DUMMYFUNCTION("INDIRECT(""'收支紀錄'!M""&amp;TO_TEXT(ROW()-$C$72))"),"運動健身")</f>
        <v>運動健身</v>
      </c>
      <c r="N1542" s="61" t="str">
        <f>IFERROR(__xludf.DUMMYFUNCTION("INDIRECT(""'收支紀錄'!N""&amp;TO_TEXT(ROW()-$C$72))"),"")</f>
        <v/>
      </c>
      <c r="O1542" s="61" t="str">
        <f>IFERROR(__xludf.DUMMYFUNCTION("INDIRECT(""'收支紀錄'!O""&amp;TO_TEXT(ROW()-$C$72))"),"")</f>
        <v/>
      </c>
      <c r="P1542" s="61" t="str">
        <f>IFERROR(__xludf.DUMMYFUNCTION("INDIRECT(""'收支紀錄'!P""&amp;TO_TEXT(ROW()-$C$72))"),"")</f>
        <v/>
      </c>
      <c r="Q1542" s="61" t="str">
        <f>IFERROR(__xludf.DUMMYFUNCTION("INDIRECT(""'收支紀錄'!Q""&amp;TO_TEXT(ROW()-$C$72))"),"")</f>
        <v/>
      </c>
      <c r="R1542" s="61" t="str">
        <f>IFERROR(__xludf.DUMMYFUNCTION("INDIRECT(""'收支紀錄'!R""&amp;TO_TEXT(ROW()-$C$72))"),"")</f>
        <v/>
      </c>
      <c r="S1542" s="61" t="str">
        <f>IFERROR(__xludf.DUMMYFUNCTION("INDIRECT(""'收支紀錄'!S""&amp;TO_TEXT(ROW()-$C$72))"),"")</f>
        <v/>
      </c>
      <c r="T1542" s="61" t="str">
        <f>IFERROR(__xludf.DUMMYFUNCTION("INDIRECT(""'收支紀錄'!T""&amp;TO_TEXT(ROW()-$C$72))"),"")</f>
        <v/>
      </c>
      <c r="U1542" s="62" t="str">
        <f>IFERROR(__xludf.DUMMYFUNCTION("IF(T1542=""是"",TEXTJOIN("""", TRUE, ""$"", TO_TEXT(C1542), S1542),"""")"),"")</f>
        <v/>
      </c>
    </row>
    <row r="1543">
      <c r="A1543" s="58">
        <f>IFERROR(__xludf.DUMMYFUNCTION("INDIRECT(""'收支紀錄'!A""&amp;TO_TEXT(ROW()-$C$72))"),46103.91597787037)</f>
        <v>46103.91598</v>
      </c>
      <c r="B1543" s="59">
        <f>IFERROR(__xludf.DUMMYFUNCTION("IF(ISBLANK(D1543), """", IF(ISDATE(D1543), D1543, IF(D1543=""今天"", A1543, IF(D1543=""昨天 (-1 day)"", A1543-1, IF(D1543=""前天 (-2 days)"", A1543-2, IF(D1543=""明天 (+1 day)"", A1543+1, DATE(LEFT(D1543,4), MID(D1543,5,2), RIGHT(D1543,2))))))))"),46103.91597787037)</f>
        <v>46103.91598</v>
      </c>
      <c r="C1543" s="60">
        <f>IFERROR(__xludf.DUMMYFUNCTION("INDIRECT(""'收支紀錄'!C""&amp;TO_TEXT(ROW()-$C$72))"),585.0)</f>
        <v>585</v>
      </c>
      <c r="D1543" s="63" t="str">
        <f>IFERROR(__xludf.DUMMYFUNCTION("INDIRECT(""'收支紀錄'!D""&amp;TO_TEXT(ROW()-$C$72))"),"今天")</f>
        <v>今天</v>
      </c>
      <c r="E1543" s="61" t="str">
        <f>IFERROR(__xludf.DUMMYFUNCTION("INDIRECT(""'收支紀錄'!E""&amp;TO_TEXT(ROW()-$C$72))"),"")</f>
        <v/>
      </c>
      <c r="F1543" s="61" t="str">
        <f>IFERROR(__xludf.DUMMYFUNCTION("INDIRECT(""'收支紀錄'!F""&amp;TO_TEXT(ROW()-$C$72))"),"")</f>
        <v/>
      </c>
      <c r="G1543" s="61" t="str">
        <f>IFERROR(__xludf.DUMMYFUNCTION("INDIRECT(""'收支紀錄'!G""&amp;TO_TEXT(ROW()-$C$72))"),"")</f>
        <v/>
      </c>
      <c r="H1543" s="61" t="str">
        <f>IFERROR(__xludf.DUMMYFUNCTION("INDIRECT(""'收支紀錄'!H""&amp;TO_TEXT(ROW()-$C$72))"),"行車交通")</f>
        <v>行車交通</v>
      </c>
      <c r="I1543" s="61" t="str">
        <f>IFERROR(__xludf.DUMMYFUNCTION("INDIRECT(""'收支紀錄'!I""&amp;TO_TEXT(ROW()-$C$72))"),"")</f>
        <v/>
      </c>
      <c r="J1543" s="61" t="str">
        <f>IFERROR(__xludf.DUMMYFUNCTION("INDIRECT(""'收支紀錄'!J""&amp;TO_TEXT(ROW()-$C$72))"),"")</f>
        <v/>
      </c>
      <c r="K1543" s="61" t="str">
        <f>IFERROR(__xludf.DUMMYFUNCTION("INDIRECT(""'收支紀錄'!K""&amp;TO_TEXT(ROW()-$C$72))"),"")</f>
        <v/>
      </c>
      <c r="L1543" s="61" t="str">
        <f>IFERROR(__xludf.DUMMYFUNCTION("INDIRECT(""'收支紀錄'!L""&amp;TO_TEXT(ROW()-$C$72))"),"加油")</f>
        <v>加油</v>
      </c>
      <c r="M1543" s="61" t="str">
        <f>IFERROR(__xludf.DUMMYFUNCTION("INDIRECT(""'收支紀錄'!M""&amp;TO_TEXT(ROW()-$C$72))"),"")</f>
        <v/>
      </c>
      <c r="N1543" s="61" t="str">
        <f>IFERROR(__xludf.DUMMYFUNCTION("INDIRECT(""'收支紀錄'!N""&amp;TO_TEXT(ROW()-$C$72))"),"")</f>
        <v/>
      </c>
      <c r="O1543" s="61" t="str">
        <f>IFERROR(__xludf.DUMMYFUNCTION("INDIRECT(""'收支紀錄'!O""&amp;TO_TEXT(ROW()-$C$72))"),"")</f>
        <v/>
      </c>
      <c r="P1543" s="61" t="str">
        <f>IFERROR(__xludf.DUMMYFUNCTION("INDIRECT(""'收支紀錄'!P""&amp;TO_TEXT(ROW()-$C$72))"),"")</f>
        <v/>
      </c>
      <c r="Q1543" s="61" t="str">
        <f>IFERROR(__xludf.DUMMYFUNCTION("INDIRECT(""'收支紀錄'!Q""&amp;TO_TEXT(ROW()-$C$72))"),"")</f>
        <v/>
      </c>
      <c r="R1543" s="61" t="str">
        <f>IFERROR(__xludf.DUMMYFUNCTION("INDIRECT(""'收支紀錄'!R""&amp;TO_TEXT(ROW()-$C$72))"),"")</f>
        <v/>
      </c>
      <c r="S1543" s="61" t="str">
        <f>IFERROR(__xludf.DUMMYFUNCTION("INDIRECT(""'收支紀錄'!S""&amp;TO_TEXT(ROW()-$C$72))"),"")</f>
        <v/>
      </c>
      <c r="T1543" s="61" t="str">
        <f>IFERROR(__xludf.DUMMYFUNCTION("INDIRECT(""'收支紀錄'!T""&amp;TO_TEXT(ROW()-$C$72))"),"")</f>
        <v/>
      </c>
      <c r="U1543" s="62" t="str">
        <f>IFERROR(__xludf.DUMMYFUNCTION("IF(T1543=""是"",TEXTJOIN("""", TRUE, ""$"", TO_TEXT(C1543), S1543),"""")"),"")</f>
        <v/>
      </c>
    </row>
    <row r="1544">
      <c r="A1544" s="58">
        <f>IFERROR(__xludf.DUMMYFUNCTION("INDIRECT(""'收支紀錄'!A""&amp;TO_TEXT(ROW()-$C$72))"),46103.91657552084)</f>
        <v>46103.91658</v>
      </c>
      <c r="B1544" s="59">
        <f>IFERROR(__xludf.DUMMYFUNCTION("IF(ISBLANK(D1544), """", IF(ISDATE(D1544), D1544, IF(D1544=""今天"", A1544, IF(D1544=""昨天 (-1 day)"", A1544-1, IF(D1544=""前天 (-2 days)"", A1544-2, IF(D1544=""明天 (+1 day)"", A1544+1, DATE(LEFT(D1544,4), MID(D1544,5,2), RIGHT(D1544,2))))))))"),46103.91657552084)</f>
        <v>46103.91658</v>
      </c>
      <c r="C1544" s="60">
        <f>IFERROR(__xludf.DUMMYFUNCTION("INDIRECT(""'收支紀錄'!C""&amp;TO_TEXT(ROW()-$C$72))"),1222.0)</f>
        <v>1222</v>
      </c>
      <c r="D1544" s="63" t="str">
        <f>IFERROR(__xludf.DUMMYFUNCTION("INDIRECT(""'收支紀錄'!D""&amp;TO_TEXT(ROW()-$C$72))"),"今天")</f>
        <v>今天</v>
      </c>
      <c r="E1544" s="61" t="str">
        <f>IFERROR(__xludf.DUMMYFUNCTION("INDIRECT(""'收支紀錄'!E""&amp;TO_TEXT(ROW()-$C$72))"),"")</f>
        <v/>
      </c>
      <c r="F1544" s="61" t="str">
        <f>IFERROR(__xludf.DUMMYFUNCTION("INDIRECT(""'收支紀錄'!F""&amp;TO_TEXT(ROW()-$C$72))"),"")</f>
        <v/>
      </c>
      <c r="G1544" s="61" t="str">
        <f>IFERROR(__xludf.DUMMYFUNCTION("INDIRECT(""'收支紀錄'!G""&amp;TO_TEXT(ROW()-$C$72))"),"")</f>
        <v/>
      </c>
      <c r="H1544" s="61" t="str">
        <f>IFERROR(__xludf.DUMMYFUNCTION("INDIRECT(""'收支紀錄'!H""&amp;TO_TEXT(ROW()-$C$72))"),"日常生活")</f>
        <v>日常生活</v>
      </c>
      <c r="I1544" s="61" t="str">
        <f>IFERROR(__xludf.DUMMYFUNCTION("INDIRECT(""'收支紀錄'!I""&amp;TO_TEXT(ROW()-$C$72))"),"")</f>
        <v/>
      </c>
      <c r="J1544" s="61" t="str">
        <f>IFERROR(__xludf.DUMMYFUNCTION("INDIRECT(""'收支紀錄'!J""&amp;TO_TEXT(ROW()-$C$72))"),"日常用品")</f>
        <v>日常用品</v>
      </c>
      <c r="K1544" s="61" t="str">
        <f>IFERROR(__xludf.DUMMYFUNCTION("INDIRECT(""'收支紀錄'!K""&amp;TO_TEXT(ROW()-$C$72))"),"")</f>
        <v/>
      </c>
      <c r="L1544" s="61" t="str">
        <f>IFERROR(__xludf.DUMMYFUNCTION("INDIRECT(""'收支紀錄'!L""&amp;TO_TEXT(ROW()-$C$72))"),"")</f>
        <v/>
      </c>
      <c r="M1544" s="61" t="str">
        <f>IFERROR(__xludf.DUMMYFUNCTION("INDIRECT(""'收支紀錄'!M""&amp;TO_TEXT(ROW()-$C$72))"),"")</f>
        <v/>
      </c>
      <c r="N1544" s="61" t="str">
        <f>IFERROR(__xludf.DUMMYFUNCTION("INDIRECT(""'收支紀錄'!N""&amp;TO_TEXT(ROW()-$C$72))"),"")</f>
        <v/>
      </c>
      <c r="O1544" s="61" t="str">
        <f>IFERROR(__xludf.DUMMYFUNCTION("INDIRECT(""'收支紀錄'!O""&amp;TO_TEXT(ROW()-$C$72))"),"")</f>
        <v/>
      </c>
      <c r="P1544" s="61" t="str">
        <f>IFERROR(__xludf.DUMMYFUNCTION("INDIRECT(""'收支紀錄'!P""&amp;TO_TEXT(ROW()-$C$72))"),"")</f>
        <v/>
      </c>
      <c r="Q1544" s="61" t="str">
        <f>IFERROR(__xludf.DUMMYFUNCTION("INDIRECT(""'收支紀錄'!Q""&amp;TO_TEXT(ROW()-$C$72))"),"")</f>
        <v/>
      </c>
      <c r="R1544" s="61" t="str">
        <f>IFERROR(__xludf.DUMMYFUNCTION("INDIRECT(""'收支紀錄'!R""&amp;TO_TEXT(ROW()-$C$72))"),"")</f>
        <v/>
      </c>
      <c r="S1544" s="61" t="str">
        <f>IFERROR(__xludf.DUMMYFUNCTION("INDIRECT(""'收支紀錄'!S""&amp;TO_TEXT(ROW()-$C$72))"),"")</f>
        <v/>
      </c>
      <c r="T1544" s="61" t="str">
        <f>IFERROR(__xludf.DUMMYFUNCTION("INDIRECT(""'收支紀錄'!T""&amp;TO_TEXT(ROW()-$C$72))"),"")</f>
        <v/>
      </c>
      <c r="U1544" s="62" t="str">
        <f>IFERROR(__xludf.DUMMYFUNCTION("IF(T1544=""是"",TEXTJOIN("""", TRUE, ""$"", TO_TEXT(C1544), S1544),"""")"),"")</f>
        <v/>
      </c>
    </row>
    <row r="1545">
      <c r="A1545" s="58">
        <f>IFERROR(__xludf.DUMMYFUNCTION("INDIRECT(""'收支紀錄'!A""&amp;TO_TEXT(ROW()-$C$72))"),46106.87595006944)</f>
        <v>46106.87595</v>
      </c>
      <c r="B1545" s="59">
        <f>IFERROR(__xludf.DUMMYFUNCTION("IF(ISBLANK(D1545), """", IF(ISDATE(D1545), D1545, IF(D1545=""今天"", A1545, IF(D1545=""昨天 (-1 day)"", A1545-1, IF(D1545=""前天 (-2 days)"", A1545-2, IF(D1545=""明天 (+1 day)"", A1545+1, DATE(LEFT(D1545,4), MID(D1545,5,2), RIGHT(D1545,2))))))))"),46104.87595006944)</f>
        <v>46104.87595</v>
      </c>
      <c r="C1545" s="60">
        <f>IFERROR(__xludf.DUMMYFUNCTION("INDIRECT(""'收支紀錄'!C""&amp;TO_TEXT(ROW()-$C$72))"),699.0)</f>
        <v>699</v>
      </c>
      <c r="D1545" s="63" t="str">
        <f>IFERROR(__xludf.DUMMYFUNCTION("INDIRECT(""'收支紀錄'!D""&amp;TO_TEXT(ROW()-$C$72))"),"前天 (-2 days)")</f>
        <v>前天 (-2 days)</v>
      </c>
      <c r="E1545" s="61" t="str">
        <f>IFERROR(__xludf.DUMMYFUNCTION("INDIRECT(""'收支紀錄'!E""&amp;TO_TEXT(ROW()-$C$72))"),"")</f>
        <v/>
      </c>
      <c r="F1545" s="61" t="str">
        <f>IFERROR(__xludf.DUMMYFUNCTION("INDIRECT(""'收支紀錄'!F""&amp;TO_TEXT(ROW()-$C$72))"),"")</f>
        <v/>
      </c>
      <c r="G1545" s="61" t="str">
        <f>IFERROR(__xludf.DUMMYFUNCTION("INDIRECT(""'收支紀錄'!G""&amp;TO_TEXT(ROW()-$C$72))"),"")</f>
        <v/>
      </c>
      <c r="H1545" s="61" t="str">
        <f>IFERROR(__xludf.DUMMYFUNCTION("INDIRECT(""'收支紀錄'!H""&amp;TO_TEXT(ROW()-$C$72))"),"行車交通")</f>
        <v>行車交通</v>
      </c>
      <c r="I1545" s="61" t="str">
        <f>IFERROR(__xludf.DUMMYFUNCTION("INDIRECT(""'收支紀錄'!I""&amp;TO_TEXT(ROW()-$C$72))"),"")</f>
        <v/>
      </c>
      <c r="J1545" s="61" t="str">
        <f>IFERROR(__xludf.DUMMYFUNCTION("INDIRECT(""'收支紀錄'!J""&amp;TO_TEXT(ROW()-$C$72))"),"")</f>
        <v/>
      </c>
      <c r="K1545" s="61" t="str">
        <f>IFERROR(__xludf.DUMMYFUNCTION("INDIRECT(""'收支紀錄'!K""&amp;TO_TEXT(ROW()-$C$72))"),"")</f>
        <v/>
      </c>
      <c r="L1545" s="61" t="str">
        <f>IFERROR(__xludf.DUMMYFUNCTION("INDIRECT(""'收支紀錄'!L""&amp;TO_TEXT(ROW()-$C$72))"),"捷運費")</f>
        <v>捷運費</v>
      </c>
      <c r="M1545" s="61" t="str">
        <f>IFERROR(__xludf.DUMMYFUNCTION("INDIRECT(""'收支紀錄'!M""&amp;TO_TEXT(ROW()-$C$72))"),"")</f>
        <v/>
      </c>
      <c r="N1545" s="61" t="str">
        <f>IFERROR(__xludf.DUMMYFUNCTION("INDIRECT(""'收支紀錄'!N""&amp;TO_TEXT(ROW()-$C$72))"),"")</f>
        <v/>
      </c>
      <c r="O1545" s="61" t="str">
        <f>IFERROR(__xludf.DUMMYFUNCTION("INDIRECT(""'收支紀錄'!O""&amp;TO_TEXT(ROW()-$C$72))"),"")</f>
        <v/>
      </c>
      <c r="P1545" s="61" t="str">
        <f>IFERROR(__xludf.DUMMYFUNCTION("INDIRECT(""'收支紀錄'!P""&amp;TO_TEXT(ROW()-$C$72))"),"")</f>
        <v/>
      </c>
      <c r="Q1545" s="61" t="str">
        <f>IFERROR(__xludf.DUMMYFUNCTION("INDIRECT(""'收支紀錄'!Q""&amp;TO_TEXT(ROW()-$C$72))"),"")</f>
        <v/>
      </c>
      <c r="R1545" s="61" t="str">
        <f>IFERROR(__xludf.DUMMYFUNCTION("INDIRECT(""'收支紀錄'!R""&amp;TO_TEXT(ROW()-$C$72))"),"")</f>
        <v/>
      </c>
      <c r="S1545" s="61" t="str">
        <f>IFERROR(__xludf.DUMMYFUNCTION("INDIRECT(""'收支紀錄'!S""&amp;TO_TEXT(ROW()-$C$72))"),"")</f>
        <v/>
      </c>
      <c r="T1545" s="61" t="str">
        <f>IFERROR(__xludf.DUMMYFUNCTION("INDIRECT(""'收支紀錄'!T""&amp;TO_TEXT(ROW()-$C$72))"),"")</f>
        <v/>
      </c>
      <c r="U1545" s="62" t="str">
        <f>IFERROR(__xludf.DUMMYFUNCTION("IF(T1545=""是"",TEXTJOIN("""", TRUE, ""$"", TO_TEXT(C1545), S1545),"""")"),"")</f>
        <v/>
      </c>
    </row>
    <row r="1546">
      <c r="A1546" s="58">
        <f>IFERROR(__xludf.DUMMYFUNCTION("INDIRECT(""'收支紀錄'!A""&amp;TO_TEXT(ROW()-$C$72))"),46108.6166584375)</f>
        <v>46108.61666</v>
      </c>
      <c r="B1546" s="59">
        <f>IFERROR(__xludf.DUMMYFUNCTION("IF(ISBLANK(D1546), """", IF(ISDATE(D1546), D1546, IF(D1546=""今天"", A1546, IF(D1546=""昨天 (-1 day)"", A1546-1, IF(D1546=""前天 (-2 days)"", A1546-2, IF(D1546=""明天 (+1 day)"", A1546+1, DATE(LEFT(D1546,4), MID(D1546,5,2), RIGHT(D1546,2))))))))"),46108.6166584375)</f>
        <v>46108.61666</v>
      </c>
      <c r="C1546" s="60">
        <f>IFERROR(__xludf.DUMMYFUNCTION("INDIRECT(""'收支紀錄'!C""&amp;TO_TEXT(ROW()-$C$72))"),79.0)</f>
        <v>79</v>
      </c>
      <c r="D1546" s="63" t="str">
        <f>IFERROR(__xludf.DUMMYFUNCTION("INDIRECT(""'收支紀錄'!D""&amp;TO_TEXT(ROW()-$C$72))"),"今天")</f>
        <v>今天</v>
      </c>
      <c r="E1546" s="61" t="str">
        <f>IFERROR(__xludf.DUMMYFUNCTION("INDIRECT(""'收支紀錄'!E""&amp;TO_TEXT(ROW()-$C$72))"),"")</f>
        <v/>
      </c>
      <c r="F1546" s="61" t="str">
        <f>IFERROR(__xludf.DUMMYFUNCTION("INDIRECT(""'收支紀錄'!F""&amp;TO_TEXT(ROW()-$C$72))"),"")</f>
        <v/>
      </c>
      <c r="G1546" s="61" t="str">
        <f>IFERROR(__xludf.DUMMYFUNCTION("INDIRECT(""'收支紀錄'!G""&amp;TO_TEXT(ROW()-$C$72))"),"")</f>
        <v/>
      </c>
      <c r="H1546" s="61" t="str">
        <f>IFERROR(__xludf.DUMMYFUNCTION("INDIRECT(""'收支紀錄'!H""&amp;TO_TEXT(ROW()-$C$72))"),"食品酒水")</f>
        <v>食品酒水</v>
      </c>
      <c r="I1546" s="61" t="str">
        <f>IFERROR(__xludf.DUMMYFUNCTION("INDIRECT(""'收支紀錄'!I""&amp;TO_TEXT(ROW()-$C$72))"),"早餐")</f>
        <v>早餐</v>
      </c>
      <c r="J1546" s="61" t="str">
        <f>IFERROR(__xludf.DUMMYFUNCTION("INDIRECT(""'收支紀錄'!J""&amp;TO_TEXT(ROW()-$C$72))"),"")</f>
        <v/>
      </c>
      <c r="K1546" s="61" t="str">
        <f>IFERROR(__xludf.DUMMYFUNCTION("INDIRECT(""'收支紀錄'!K""&amp;TO_TEXT(ROW()-$C$72))"),"")</f>
        <v/>
      </c>
      <c r="L1546" s="61" t="str">
        <f>IFERROR(__xludf.DUMMYFUNCTION("INDIRECT(""'收支紀錄'!L""&amp;TO_TEXT(ROW()-$C$72))"),"")</f>
        <v/>
      </c>
      <c r="M1546" s="61" t="str">
        <f>IFERROR(__xludf.DUMMYFUNCTION("INDIRECT(""'收支紀錄'!M""&amp;TO_TEXT(ROW()-$C$72))"),"")</f>
        <v/>
      </c>
      <c r="N1546" s="61" t="str">
        <f>IFERROR(__xludf.DUMMYFUNCTION("INDIRECT(""'收支紀錄'!N""&amp;TO_TEXT(ROW()-$C$72))"),"")</f>
        <v/>
      </c>
      <c r="O1546" s="61" t="str">
        <f>IFERROR(__xludf.DUMMYFUNCTION("INDIRECT(""'收支紀錄'!O""&amp;TO_TEXT(ROW()-$C$72))"),"")</f>
        <v/>
      </c>
      <c r="P1546" s="61" t="str">
        <f>IFERROR(__xludf.DUMMYFUNCTION("INDIRECT(""'收支紀錄'!P""&amp;TO_TEXT(ROW()-$C$72))"),"")</f>
        <v/>
      </c>
      <c r="Q1546" s="61" t="str">
        <f>IFERROR(__xludf.DUMMYFUNCTION("INDIRECT(""'收支紀錄'!Q""&amp;TO_TEXT(ROW()-$C$72))"),"")</f>
        <v/>
      </c>
      <c r="R1546" s="61" t="str">
        <f>IFERROR(__xludf.DUMMYFUNCTION("INDIRECT(""'收支紀錄'!R""&amp;TO_TEXT(ROW()-$C$72))"),"")</f>
        <v/>
      </c>
      <c r="S1546" s="61" t="str">
        <f>IFERROR(__xludf.DUMMYFUNCTION("INDIRECT(""'收支紀錄'!S""&amp;TO_TEXT(ROW()-$C$72))"),"")</f>
        <v/>
      </c>
      <c r="T1546" s="61" t="str">
        <f>IFERROR(__xludf.DUMMYFUNCTION("INDIRECT(""'收支紀錄'!T""&amp;TO_TEXT(ROW()-$C$72))"),"")</f>
        <v/>
      </c>
      <c r="U1546" s="62" t="str">
        <f>IFERROR(__xludf.DUMMYFUNCTION("IF(T1546=""是"",TEXTJOIN("""", TRUE, ""$"", TO_TEXT(C1546), S1546),"""")"),"")</f>
        <v/>
      </c>
    </row>
    <row r="1547">
      <c r="A1547" s="58">
        <f>IFERROR(__xludf.DUMMYFUNCTION("INDIRECT(""'收支紀錄'!A""&amp;TO_TEXT(ROW()-$C$72))"),46108.61695913195)</f>
        <v>46108.61696</v>
      </c>
      <c r="B1547" s="59">
        <f>IFERROR(__xludf.DUMMYFUNCTION("IF(ISBLANK(D1547), """", IF(ISDATE(D1547), D1547, IF(D1547=""今天"", A1547, IF(D1547=""昨天 (-1 day)"", A1547-1, IF(D1547=""前天 (-2 days)"", A1547-2, IF(D1547=""明天 (+1 day)"", A1547+1, DATE(LEFT(D1547,4), MID(D1547,5,2), RIGHT(D1547,2))))))))"),46107.61695913195)</f>
        <v>46107.61696</v>
      </c>
      <c r="C1547" s="60">
        <f>IFERROR(__xludf.DUMMYFUNCTION("INDIRECT(""'收支紀錄'!C""&amp;TO_TEXT(ROW()-$C$72))"),250.0)</f>
        <v>250</v>
      </c>
      <c r="D1547" s="63" t="str">
        <f>IFERROR(__xludf.DUMMYFUNCTION("INDIRECT(""'收支紀錄'!D""&amp;TO_TEXT(ROW()-$C$72))"),"昨天 (-1 day)")</f>
        <v>昨天 (-1 day)</v>
      </c>
      <c r="E1547" s="61" t="str">
        <f>IFERROR(__xludf.DUMMYFUNCTION("INDIRECT(""'收支紀錄'!E""&amp;TO_TEXT(ROW()-$C$72))"),"")</f>
        <v/>
      </c>
      <c r="F1547" s="61" t="str">
        <f>IFERROR(__xludf.DUMMYFUNCTION("INDIRECT(""'收支紀錄'!F""&amp;TO_TEXT(ROW()-$C$72))"),"")</f>
        <v/>
      </c>
      <c r="G1547" s="61" t="str">
        <f>IFERROR(__xludf.DUMMYFUNCTION("INDIRECT(""'收支紀錄'!G""&amp;TO_TEXT(ROW()-$C$72))"),"")</f>
        <v/>
      </c>
      <c r="H1547" s="61" t="str">
        <f>IFERROR(__xludf.DUMMYFUNCTION("INDIRECT(""'收支紀錄'!H""&amp;TO_TEXT(ROW()-$C$72))"),"醫療費用")</f>
        <v>醫療費用</v>
      </c>
      <c r="I1547" s="61" t="str">
        <f>IFERROR(__xludf.DUMMYFUNCTION("INDIRECT(""'收支紀錄'!I""&amp;TO_TEXT(ROW()-$C$72))"),"")</f>
        <v/>
      </c>
      <c r="J1547" s="61" t="str">
        <f>IFERROR(__xludf.DUMMYFUNCTION("INDIRECT(""'收支紀錄'!J""&amp;TO_TEXT(ROW()-$C$72))"),"")</f>
        <v/>
      </c>
      <c r="K1547" s="61" t="str">
        <f>IFERROR(__xludf.DUMMYFUNCTION("INDIRECT(""'收支紀錄'!K""&amp;TO_TEXT(ROW()-$C$72))"),"")</f>
        <v/>
      </c>
      <c r="L1547" s="61" t="str">
        <f>IFERROR(__xludf.DUMMYFUNCTION("INDIRECT(""'收支紀錄'!L""&amp;TO_TEXT(ROW()-$C$72))"),"")</f>
        <v/>
      </c>
      <c r="M1547" s="61" t="str">
        <f>IFERROR(__xludf.DUMMYFUNCTION("INDIRECT(""'收支紀錄'!M""&amp;TO_TEXT(ROW()-$C$72))"),"")</f>
        <v/>
      </c>
      <c r="N1547" s="61" t="str">
        <f>IFERROR(__xludf.DUMMYFUNCTION("INDIRECT(""'收支紀錄'!N""&amp;TO_TEXT(ROW()-$C$72))"),"")</f>
        <v/>
      </c>
      <c r="O1547" s="61" t="str">
        <f>IFERROR(__xludf.DUMMYFUNCTION("INDIRECT(""'收支紀錄'!O""&amp;TO_TEXT(ROW()-$C$72))"),"生病醫療")</f>
        <v>生病醫療</v>
      </c>
      <c r="P1547" s="61" t="str">
        <f>IFERROR(__xludf.DUMMYFUNCTION("INDIRECT(""'收支紀錄'!P""&amp;TO_TEXT(ROW()-$C$72))"),"")</f>
        <v/>
      </c>
      <c r="Q1547" s="61" t="str">
        <f>IFERROR(__xludf.DUMMYFUNCTION("INDIRECT(""'收支紀錄'!Q""&amp;TO_TEXT(ROW()-$C$72))"),"")</f>
        <v/>
      </c>
      <c r="R1547" s="61" t="str">
        <f>IFERROR(__xludf.DUMMYFUNCTION("INDIRECT(""'收支紀錄'!R""&amp;TO_TEXT(ROW()-$C$72))"),"")</f>
        <v/>
      </c>
      <c r="S1547" s="61" t="str">
        <f>IFERROR(__xludf.DUMMYFUNCTION("INDIRECT(""'收支紀錄'!S""&amp;TO_TEXT(ROW()-$C$72))"),"")</f>
        <v/>
      </c>
      <c r="T1547" s="61" t="str">
        <f>IFERROR(__xludf.DUMMYFUNCTION("INDIRECT(""'收支紀錄'!T""&amp;TO_TEXT(ROW()-$C$72))"),"")</f>
        <v/>
      </c>
      <c r="U1547" s="62" t="str">
        <f>IFERROR(__xludf.DUMMYFUNCTION("IF(T1547=""是"",TEXTJOIN("""", TRUE, ""$"", TO_TEXT(C1547), S1547),"""")"),"")</f>
        <v/>
      </c>
    </row>
    <row r="1548">
      <c r="A1548" s="58">
        <f>IFERROR(__xludf.DUMMYFUNCTION("INDIRECT(""'收支紀錄'!A""&amp;TO_TEXT(ROW()-$C$72))"),46108.61720778936)</f>
        <v>46108.61721</v>
      </c>
      <c r="B1548" s="59">
        <f>IFERROR(__xludf.DUMMYFUNCTION("IF(ISBLANK(D1548), """", IF(ISDATE(D1548), D1548, IF(D1548=""今天"", A1548, IF(D1548=""昨天 (-1 day)"", A1548-1, IF(D1548=""前天 (-2 days)"", A1548-2, IF(D1548=""明天 (+1 day)"", A1548+1, DATE(LEFT(D1548,4), MID(D1548,5,2), RIGHT(D1548,2))))))))"),46108.61720778936)</f>
        <v>46108.61721</v>
      </c>
      <c r="C1548" s="60">
        <f>IFERROR(__xludf.DUMMYFUNCTION("INDIRECT(""'收支紀錄'!C""&amp;TO_TEXT(ROW()-$C$72))"),150.0)</f>
        <v>150</v>
      </c>
      <c r="D1548" s="63" t="str">
        <f>IFERROR(__xludf.DUMMYFUNCTION("INDIRECT(""'收支紀錄'!D""&amp;TO_TEXT(ROW()-$C$72))"),"今天")</f>
        <v>今天</v>
      </c>
      <c r="E1548" s="61" t="str">
        <f>IFERROR(__xludf.DUMMYFUNCTION("INDIRECT(""'收支紀錄'!E""&amp;TO_TEXT(ROW()-$C$72))"),"")</f>
        <v/>
      </c>
      <c r="F1548" s="61" t="str">
        <f>IFERROR(__xludf.DUMMYFUNCTION("INDIRECT(""'收支紀錄'!F""&amp;TO_TEXT(ROW()-$C$72))"),"")</f>
        <v/>
      </c>
      <c r="G1548" s="61" t="str">
        <f>IFERROR(__xludf.DUMMYFUNCTION("INDIRECT(""'收支紀錄'!G""&amp;TO_TEXT(ROW()-$C$72))"),"")</f>
        <v/>
      </c>
      <c r="H1548" s="61" t="str">
        <f>IFERROR(__xludf.DUMMYFUNCTION("INDIRECT(""'收支紀錄'!H""&amp;TO_TEXT(ROW()-$C$72))"),"食品酒水")</f>
        <v>食品酒水</v>
      </c>
      <c r="I1548" s="61" t="str">
        <f>IFERROR(__xludf.DUMMYFUNCTION("INDIRECT(""'收支紀錄'!I""&amp;TO_TEXT(ROW()-$C$72))"),"午餐")</f>
        <v>午餐</v>
      </c>
      <c r="J1548" s="61" t="str">
        <f>IFERROR(__xludf.DUMMYFUNCTION("INDIRECT(""'收支紀錄'!J""&amp;TO_TEXT(ROW()-$C$72))"),"")</f>
        <v/>
      </c>
      <c r="K1548" s="61" t="str">
        <f>IFERROR(__xludf.DUMMYFUNCTION("INDIRECT(""'收支紀錄'!K""&amp;TO_TEXT(ROW()-$C$72))"),"")</f>
        <v/>
      </c>
      <c r="L1548" s="61" t="str">
        <f>IFERROR(__xludf.DUMMYFUNCTION("INDIRECT(""'收支紀錄'!L""&amp;TO_TEXT(ROW()-$C$72))"),"")</f>
        <v/>
      </c>
      <c r="M1548" s="61" t="str">
        <f>IFERROR(__xludf.DUMMYFUNCTION("INDIRECT(""'收支紀錄'!M""&amp;TO_TEXT(ROW()-$C$72))"),"")</f>
        <v/>
      </c>
      <c r="N1548" s="61" t="str">
        <f>IFERROR(__xludf.DUMMYFUNCTION("INDIRECT(""'收支紀錄'!N""&amp;TO_TEXT(ROW()-$C$72))"),"")</f>
        <v/>
      </c>
      <c r="O1548" s="61" t="str">
        <f>IFERROR(__xludf.DUMMYFUNCTION("INDIRECT(""'收支紀錄'!O""&amp;TO_TEXT(ROW()-$C$72))"),"")</f>
        <v/>
      </c>
      <c r="P1548" s="61" t="str">
        <f>IFERROR(__xludf.DUMMYFUNCTION("INDIRECT(""'收支紀錄'!P""&amp;TO_TEXT(ROW()-$C$72))"),"")</f>
        <v/>
      </c>
      <c r="Q1548" s="61" t="str">
        <f>IFERROR(__xludf.DUMMYFUNCTION("INDIRECT(""'收支紀錄'!Q""&amp;TO_TEXT(ROW()-$C$72))"),"")</f>
        <v/>
      </c>
      <c r="R1548" s="61" t="str">
        <f>IFERROR(__xludf.DUMMYFUNCTION("INDIRECT(""'收支紀錄'!R""&amp;TO_TEXT(ROW()-$C$72))"),"")</f>
        <v/>
      </c>
      <c r="S1548" s="61" t="str">
        <f>IFERROR(__xludf.DUMMYFUNCTION("INDIRECT(""'收支紀錄'!S""&amp;TO_TEXT(ROW()-$C$72))"),"")</f>
        <v/>
      </c>
      <c r="T1548" s="61" t="str">
        <f>IFERROR(__xludf.DUMMYFUNCTION("INDIRECT(""'收支紀錄'!T""&amp;TO_TEXT(ROW()-$C$72))"),"")</f>
        <v/>
      </c>
      <c r="U1548" s="62" t="str">
        <f>IFERROR(__xludf.DUMMYFUNCTION("IF(T1548=""是"",TEXTJOIN("""", TRUE, ""$"", TO_TEXT(C1548), S1548),"""")"),"")</f>
        <v/>
      </c>
    </row>
    <row r="1549">
      <c r="A1549" s="58">
        <f>IFERROR(__xludf.DUMMYFUNCTION("INDIRECT(""'收支紀錄'!A""&amp;TO_TEXT(ROW()-$C$72))"),46110.43041303241)</f>
        <v>46110.43041</v>
      </c>
      <c r="B1549" s="59">
        <f>IFERROR(__xludf.DUMMYFUNCTION("IF(ISBLANK(D1549), """", IF(ISDATE(D1549), D1549, IF(D1549=""今天"", A1549, IF(D1549=""昨天 (-1 day)"", A1549-1, IF(D1549=""前天 (-2 days)"", A1549-2, IF(D1549=""明天 (+1 day)"", A1549+1, DATE(LEFT(D1549,4), MID(D1549,5,2), RIGHT(D1549,2))))))))"),46110.43041303241)</f>
        <v>46110.43041</v>
      </c>
      <c r="C1549" s="60">
        <f>IFERROR(__xludf.DUMMYFUNCTION("INDIRECT(""'收支紀錄'!C""&amp;TO_TEXT(ROW()-$C$72))"),144.0)</f>
        <v>144</v>
      </c>
      <c r="D1549" s="63" t="str">
        <f>IFERROR(__xludf.DUMMYFUNCTION("INDIRECT(""'收支紀錄'!D""&amp;TO_TEXT(ROW()-$C$72))"),"今天")</f>
        <v>今天</v>
      </c>
      <c r="E1549" s="61" t="str">
        <f>IFERROR(__xludf.DUMMYFUNCTION("INDIRECT(""'收支紀錄'!E""&amp;TO_TEXT(ROW()-$C$72))"),"")</f>
        <v/>
      </c>
      <c r="F1549" s="61" t="str">
        <f>IFERROR(__xludf.DUMMYFUNCTION("INDIRECT(""'收支紀錄'!F""&amp;TO_TEXT(ROW()-$C$72))"),"")</f>
        <v/>
      </c>
      <c r="G1549" s="61" t="str">
        <f>IFERROR(__xludf.DUMMYFUNCTION("INDIRECT(""'收支紀錄'!G""&amp;TO_TEXT(ROW()-$C$72))"),"")</f>
        <v/>
      </c>
      <c r="H1549" s="61" t="str">
        <f>IFERROR(__xludf.DUMMYFUNCTION("INDIRECT(""'收支紀錄'!H""&amp;TO_TEXT(ROW()-$C$72))"),"食品酒水")</f>
        <v>食品酒水</v>
      </c>
      <c r="I1549" s="61" t="str">
        <f>IFERROR(__xludf.DUMMYFUNCTION("INDIRECT(""'收支紀錄'!I""&amp;TO_TEXT(ROW()-$C$72))"),"伴手禮")</f>
        <v>伴手禮</v>
      </c>
      <c r="J1549" s="61" t="str">
        <f>IFERROR(__xludf.DUMMYFUNCTION("INDIRECT(""'收支紀錄'!J""&amp;TO_TEXT(ROW()-$C$72))"),"")</f>
        <v/>
      </c>
      <c r="K1549" s="61" t="str">
        <f>IFERROR(__xludf.DUMMYFUNCTION("INDIRECT(""'收支紀錄'!K""&amp;TO_TEXT(ROW()-$C$72))"),"")</f>
        <v/>
      </c>
      <c r="L1549" s="61" t="str">
        <f>IFERROR(__xludf.DUMMYFUNCTION("INDIRECT(""'收支紀錄'!L""&amp;TO_TEXT(ROW()-$C$72))"),"")</f>
        <v/>
      </c>
      <c r="M1549" s="61" t="str">
        <f>IFERROR(__xludf.DUMMYFUNCTION("INDIRECT(""'收支紀錄'!M""&amp;TO_TEXT(ROW()-$C$72))"),"")</f>
        <v/>
      </c>
      <c r="N1549" s="61" t="str">
        <f>IFERROR(__xludf.DUMMYFUNCTION("INDIRECT(""'收支紀錄'!N""&amp;TO_TEXT(ROW()-$C$72))"),"")</f>
        <v/>
      </c>
      <c r="O1549" s="61" t="str">
        <f>IFERROR(__xludf.DUMMYFUNCTION("INDIRECT(""'收支紀錄'!O""&amp;TO_TEXT(ROW()-$C$72))"),"")</f>
        <v/>
      </c>
      <c r="P1549" s="61" t="str">
        <f>IFERROR(__xludf.DUMMYFUNCTION("INDIRECT(""'收支紀錄'!P""&amp;TO_TEXT(ROW()-$C$72))"),"")</f>
        <v/>
      </c>
      <c r="Q1549" s="61" t="str">
        <f>IFERROR(__xludf.DUMMYFUNCTION("INDIRECT(""'收支紀錄'!Q""&amp;TO_TEXT(ROW()-$C$72))"),"")</f>
        <v/>
      </c>
      <c r="R1549" s="61" t="str">
        <f>IFERROR(__xludf.DUMMYFUNCTION("INDIRECT(""'收支紀錄'!R""&amp;TO_TEXT(ROW()-$C$72))"),"")</f>
        <v/>
      </c>
      <c r="S1549" s="61" t="str">
        <f>IFERROR(__xludf.DUMMYFUNCTION("INDIRECT(""'收支紀錄'!S""&amp;TO_TEXT(ROW()-$C$72))"),"")</f>
        <v/>
      </c>
      <c r="T1549" s="61" t="str">
        <f>IFERROR(__xludf.DUMMYFUNCTION("INDIRECT(""'收支紀錄'!T""&amp;TO_TEXT(ROW()-$C$72))"),"")</f>
        <v/>
      </c>
      <c r="U1549" s="62" t="str">
        <f>IFERROR(__xludf.DUMMYFUNCTION("IF(T1549=""是"",TEXTJOIN("""", TRUE, ""$"", TO_TEXT(C1549), S1549),"""")"),"")</f>
        <v/>
      </c>
    </row>
    <row r="1550">
      <c r="A1550" s="58">
        <f>IFERROR(__xludf.DUMMYFUNCTION("INDIRECT(""'收支紀錄'!A""&amp;TO_TEXT(ROW()-$C$72))"),46110.43126640047)</f>
        <v>46110.43127</v>
      </c>
      <c r="B1550" s="59">
        <f>IFERROR(__xludf.DUMMYFUNCTION("IF(ISBLANK(D1550), """", IF(ISDATE(D1550), D1550, IF(D1550=""今天"", A1550, IF(D1550=""昨天 (-1 day)"", A1550-1, IF(D1550=""前天 (-2 days)"", A1550-2, IF(D1550=""明天 (+1 day)"", A1550+1, DATE(LEFT(D1550,4), MID(D1550,5,2), RIGHT(D1550,2))))))))"),46109.43126640047)</f>
        <v>46109.43127</v>
      </c>
      <c r="C1550" s="60">
        <f>IFERROR(__xludf.DUMMYFUNCTION("INDIRECT(""'收支紀錄'!C""&amp;TO_TEXT(ROW()-$C$72))"),135.0)</f>
        <v>135</v>
      </c>
      <c r="D1550" s="63" t="str">
        <f>IFERROR(__xludf.DUMMYFUNCTION("INDIRECT(""'收支紀錄'!D""&amp;TO_TEXT(ROW()-$C$72))"),"昨天 (-1 day)")</f>
        <v>昨天 (-1 day)</v>
      </c>
      <c r="E1550" s="61" t="str">
        <f>IFERROR(__xludf.DUMMYFUNCTION("INDIRECT(""'收支紀錄'!E""&amp;TO_TEXT(ROW()-$C$72))"),"")</f>
        <v/>
      </c>
      <c r="F1550" s="61" t="str">
        <f>IFERROR(__xludf.DUMMYFUNCTION("INDIRECT(""'收支紀錄'!F""&amp;TO_TEXT(ROW()-$C$72))"),"")</f>
        <v/>
      </c>
      <c r="G1550" s="61" t="str">
        <f>IFERROR(__xludf.DUMMYFUNCTION("INDIRECT(""'收支紀錄'!G""&amp;TO_TEXT(ROW()-$C$72))"),"")</f>
        <v/>
      </c>
      <c r="H1550" s="61" t="str">
        <f>IFERROR(__xludf.DUMMYFUNCTION("INDIRECT(""'收支紀錄'!H""&amp;TO_TEXT(ROW()-$C$72))"),"食品酒水")</f>
        <v>食品酒水</v>
      </c>
      <c r="I1550" s="61" t="str">
        <f>IFERROR(__xludf.DUMMYFUNCTION("INDIRECT(""'收支紀錄'!I""&amp;TO_TEXT(ROW()-$C$72))"),"晚餐")</f>
        <v>晚餐</v>
      </c>
      <c r="J1550" s="61" t="str">
        <f>IFERROR(__xludf.DUMMYFUNCTION("INDIRECT(""'收支紀錄'!J""&amp;TO_TEXT(ROW()-$C$72))"),"")</f>
        <v/>
      </c>
      <c r="K1550" s="61" t="str">
        <f>IFERROR(__xludf.DUMMYFUNCTION("INDIRECT(""'收支紀錄'!K""&amp;TO_TEXT(ROW()-$C$72))"),"")</f>
        <v/>
      </c>
      <c r="L1550" s="61" t="str">
        <f>IFERROR(__xludf.DUMMYFUNCTION("INDIRECT(""'收支紀錄'!L""&amp;TO_TEXT(ROW()-$C$72))"),"")</f>
        <v/>
      </c>
      <c r="M1550" s="61" t="str">
        <f>IFERROR(__xludf.DUMMYFUNCTION("INDIRECT(""'收支紀錄'!M""&amp;TO_TEXT(ROW()-$C$72))"),"")</f>
        <v/>
      </c>
      <c r="N1550" s="61" t="str">
        <f>IFERROR(__xludf.DUMMYFUNCTION("INDIRECT(""'收支紀錄'!N""&amp;TO_TEXT(ROW()-$C$72))"),"")</f>
        <v/>
      </c>
      <c r="O1550" s="61" t="str">
        <f>IFERROR(__xludf.DUMMYFUNCTION("INDIRECT(""'收支紀錄'!O""&amp;TO_TEXT(ROW()-$C$72))"),"")</f>
        <v/>
      </c>
      <c r="P1550" s="61" t="str">
        <f>IFERROR(__xludf.DUMMYFUNCTION("INDIRECT(""'收支紀錄'!P""&amp;TO_TEXT(ROW()-$C$72))"),"")</f>
        <v/>
      </c>
      <c r="Q1550" s="61" t="str">
        <f>IFERROR(__xludf.DUMMYFUNCTION("INDIRECT(""'收支紀錄'!Q""&amp;TO_TEXT(ROW()-$C$72))"),"")</f>
        <v/>
      </c>
      <c r="R1550" s="61" t="str">
        <f>IFERROR(__xludf.DUMMYFUNCTION("INDIRECT(""'收支紀錄'!R""&amp;TO_TEXT(ROW()-$C$72))"),"")</f>
        <v/>
      </c>
      <c r="S1550" s="61" t="str">
        <f>IFERROR(__xludf.DUMMYFUNCTION("INDIRECT(""'收支紀錄'!S""&amp;TO_TEXT(ROW()-$C$72))"),"")</f>
        <v/>
      </c>
      <c r="T1550" s="61" t="str">
        <f>IFERROR(__xludf.DUMMYFUNCTION("INDIRECT(""'收支紀錄'!T""&amp;TO_TEXT(ROW()-$C$72))"),"")</f>
        <v/>
      </c>
      <c r="U1550" s="62" t="str">
        <f>IFERROR(__xludf.DUMMYFUNCTION("IF(T1550=""是"",TEXTJOIN("""", TRUE, ""$"", TO_TEXT(C1550), S1550),"""")"),"")</f>
        <v/>
      </c>
    </row>
    <row r="1551">
      <c r="A1551" s="58">
        <f>IFERROR(__xludf.DUMMYFUNCTION("INDIRECT(""'收支紀錄'!A""&amp;TO_TEXT(ROW()-$C$72))"),46110.43239565972)</f>
        <v>46110.4324</v>
      </c>
      <c r="B1551" s="59">
        <f>IFERROR(__xludf.DUMMYFUNCTION("IF(ISBLANK(D1551), """", IF(ISDATE(D1551), D1551, IF(D1551=""今天"", A1551, IF(D1551=""昨天 (-1 day)"", A1551-1, IF(D1551=""前天 (-2 days)"", A1551-2, IF(D1551=""明天 (+1 day)"", A1551+1, DATE(LEFT(D1551,4), MID(D1551,5,2), RIGHT(D1551,2))))))))"),46109.43239565972)</f>
        <v>46109.4324</v>
      </c>
      <c r="C1551" s="60">
        <f>IFERROR(__xludf.DUMMYFUNCTION("INDIRECT(""'收支紀錄'!C""&amp;TO_TEXT(ROW()-$C$72))"),220.0)</f>
        <v>220</v>
      </c>
      <c r="D1551" s="63" t="str">
        <f>IFERROR(__xludf.DUMMYFUNCTION("INDIRECT(""'收支紀錄'!D""&amp;TO_TEXT(ROW()-$C$72))"),"昨天 (-1 day)")</f>
        <v>昨天 (-1 day)</v>
      </c>
      <c r="E1551" s="61" t="str">
        <f>IFERROR(__xludf.DUMMYFUNCTION("INDIRECT(""'收支紀錄'!E""&amp;TO_TEXT(ROW()-$C$72))"),"")</f>
        <v/>
      </c>
      <c r="F1551" s="61" t="str">
        <f>IFERROR(__xludf.DUMMYFUNCTION("INDIRECT(""'收支紀錄'!F""&amp;TO_TEXT(ROW()-$C$72))"),"")</f>
        <v/>
      </c>
      <c r="G1551" s="61" t="str">
        <f>IFERROR(__xludf.DUMMYFUNCTION("INDIRECT(""'收支紀錄'!G""&amp;TO_TEXT(ROW()-$C$72))"),"")</f>
        <v/>
      </c>
      <c r="H1551" s="61" t="str">
        <f>IFERROR(__xludf.DUMMYFUNCTION("INDIRECT(""'收支紀錄'!H""&amp;TO_TEXT(ROW()-$C$72))"),"食品酒水")</f>
        <v>食品酒水</v>
      </c>
      <c r="I1551" s="61" t="str">
        <f>IFERROR(__xludf.DUMMYFUNCTION("INDIRECT(""'收支紀錄'!I""&amp;TO_TEXT(ROW()-$C$72))"),"宵夜")</f>
        <v>宵夜</v>
      </c>
      <c r="J1551" s="61" t="str">
        <f>IFERROR(__xludf.DUMMYFUNCTION("INDIRECT(""'收支紀錄'!J""&amp;TO_TEXT(ROW()-$C$72))"),"")</f>
        <v/>
      </c>
      <c r="K1551" s="61" t="str">
        <f>IFERROR(__xludf.DUMMYFUNCTION("INDIRECT(""'收支紀錄'!K""&amp;TO_TEXT(ROW()-$C$72))"),"")</f>
        <v/>
      </c>
      <c r="L1551" s="61" t="str">
        <f>IFERROR(__xludf.DUMMYFUNCTION("INDIRECT(""'收支紀錄'!L""&amp;TO_TEXT(ROW()-$C$72))"),"")</f>
        <v/>
      </c>
      <c r="M1551" s="61" t="str">
        <f>IFERROR(__xludf.DUMMYFUNCTION("INDIRECT(""'收支紀錄'!M""&amp;TO_TEXT(ROW()-$C$72))"),"")</f>
        <v/>
      </c>
      <c r="N1551" s="61" t="str">
        <f>IFERROR(__xludf.DUMMYFUNCTION("INDIRECT(""'收支紀錄'!N""&amp;TO_TEXT(ROW()-$C$72))"),"")</f>
        <v/>
      </c>
      <c r="O1551" s="61" t="str">
        <f>IFERROR(__xludf.DUMMYFUNCTION("INDIRECT(""'收支紀錄'!O""&amp;TO_TEXT(ROW()-$C$72))"),"")</f>
        <v/>
      </c>
      <c r="P1551" s="61" t="str">
        <f>IFERROR(__xludf.DUMMYFUNCTION("INDIRECT(""'收支紀錄'!P""&amp;TO_TEXT(ROW()-$C$72))"),"")</f>
        <v/>
      </c>
      <c r="Q1551" s="61" t="str">
        <f>IFERROR(__xludf.DUMMYFUNCTION("INDIRECT(""'收支紀錄'!Q""&amp;TO_TEXT(ROW()-$C$72))"),"")</f>
        <v/>
      </c>
      <c r="R1551" s="61" t="str">
        <f>IFERROR(__xludf.DUMMYFUNCTION("INDIRECT(""'收支紀錄'!R""&amp;TO_TEXT(ROW()-$C$72))"),"")</f>
        <v/>
      </c>
      <c r="S1551" s="61" t="str">
        <f>IFERROR(__xludf.DUMMYFUNCTION("INDIRECT(""'收支紀錄'!S""&amp;TO_TEXT(ROW()-$C$72))"),"")</f>
        <v/>
      </c>
      <c r="T1551" s="61" t="str">
        <f>IFERROR(__xludf.DUMMYFUNCTION("INDIRECT(""'收支紀錄'!T""&amp;TO_TEXT(ROW()-$C$72))"),"")</f>
        <v/>
      </c>
      <c r="U1551" s="62" t="str">
        <f>IFERROR(__xludf.DUMMYFUNCTION("IF(T1551=""是"",TEXTJOIN("""", TRUE, ""$"", TO_TEXT(C1551), S1551),"""")"),"")</f>
        <v/>
      </c>
    </row>
    <row r="1552">
      <c r="A1552" s="58">
        <f>IFERROR(__xludf.DUMMYFUNCTION("INDIRECT(""'收支紀錄'!A""&amp;TO_TEXT(ROW()-$C$72))"),46110.43328585648)</f>
        <v>46110.43329</v>
      </c>
      <c r="B1552" s="59">
        <f>IFERROR(__xludf.DUMMYFUNCTION("IF(ISBLANK(D1552), """", IF(ISDATE(D1552), D1552, IF(D1552=""今天"", A1552, IF(D1552=""昨天 (-1 day)"", A1552-1, IF(D1552=""前天 (-2 days)"", A1552-2, IF(D1552=""明天 (+1 day)"", A1552+1, DATE(LEFT(D1552,4), MID(D1552,5,2), RIGHT(D1552,2))))))))"),46108.43328585648)</f>
        <v>46108.43329</v>
      </c>
      <c r="C1552" s="60">
        <f>IFERROR(__xludf.DUMMYFUNCTION("INDIRECT(""'收支紀錄'!C""&amp;TO_TEXT(ROW()-$C$72))"),1536.0)</f>
        <v>1536</v>
      </c>
      <c r="D1552" s="63" t="str">
        <f>IFERROR(__xludf.DUMMYFUNCTION("INDIRECT(""'收支紀錄'!D""&amp;TO_TEXT(ROW()-$C$72))"),"前天 (-2 days)")</f>
        <v>前天 (-2 days)</v>
      </c>
      <c r="E1552" s="61" t="str">
        <f>IFERROR(__xludf.DUMMYFUNCTION("INDIRECT(""'收支紀錄'!E""&amp;TO_TEXT(ROW()-$C$72))"),"")</f>
        <v/>
      </c>
      <c r="F1552" s="61" t="str">
        <f>IFERROR(__xludf.DUMMYFUNCTION("INDIRECT(""'收支紀錄'!F""&amp;TO_TEXT(ROW()-$C$72))"),"")</f>
        <v/>
      </c>
      <c r="G1552" s="61" t="str">
        <f>IFERROR(__xludf.DUMMYFUNCTION("INDIRECT(""'收支紀錄'!G""&amp;TO_TEXT(ROW()-$C$72))"),"")</f>
        <v/>
      </c>
      <c r="H1552" s="61" t="str">
        <f>IFERROR(__xludf.DUMMYFUNCTION("INDIRECT(""'收支紀錄'!H""&amp;TO_TEXT(ROW()-$C$72))"),"休閒娛樂")</f>
        <v>休閒娛樂</v>
      </c>
      <c r="I1552" s="61" t="str">
        <f>IFERROR(__xludf.DUMMYFUNCTION("INDIRECT(""'收支紀錄'!I""&amp;TO_TEXT(ROW()-$C$72))"),"")</f>
        <v/>
      </c>
      <c r="J1552" s="61" t="str">
        <f>IFERROR(__xludf.DUMMYFUNCTION("INDIRECT(""'收支紀錄'!J""&amp;TO_TEXT(ROW()-$C$72))"),"")</f>
        <v/>
      </c>
      <c r="K1552" s="61" t="str">
        <f>IFERROR(__xludf.DUMMYFUNCTION("INDIRECT(""'收支紀錄'!K""&amp;TO_TEXT(ROW()-$C$72))"),"")</f>
        <v/>
      </c>
      <c r="L1552" s="61" t="str">
        <f>IFERROR(__xludf.DUMMYFUNCTION("INDIRECT(""'收支紀錄'!L""&amp;TO_TEXT(ROW()-$C$72))"),"")</f>
        <v/>
      </c>
      <c r="M1552" s="61" t="str">
        <f>IFERROR(__xludf.DUMMYFUNCTION("INDIRECT(""'收支紀錄'!M""&amp;TO_TEXT(ROW()-$C$72))"),"旅遊度假")</f>
        <v>旅遊度假</v>
      </c>
      <c r="N1552" s="61" t="str">
        <f>IFERROR(__xludf.DUMMYFUNCTION("INDIRECT(""'收支紀錄'!N""&amp;TO_TEXT(ROW()-$C$72))"),"")</f>
        <v/>
      </c>
      <c r="O1552" s="61" t="str">
        <f>IFERROR(__xludf.DUMMYFUNCTION("INDIRECT(""'收支紀錄'!O""&amp;TO_TEXT(ROW()-$C$72))"),"")</f>
        <v/>
      </c>
      <c r="P1552" s="61" t="str">
        <f>IFERROR(__xludf.DUMMYFUNCTION("INDIRECT(""'收支紀錄'!P""&amp;TO_TEXT(ROW()-$C$72))"),"")</f>
        <v/>
      </c>
      <c r="Q1552" s="61" t="str">
        <f>IFERROR(__xludf.DUMMYFUNCTION("INDIRECT(""'收支紀錄'!Q""&amp;TO_TEXT(ROW()-$C$72))"),"")</f>
        <v/>
      </c>
      <c r="R1552" s="61" t="str">
        <f>IFERROR(__xludf.DUMMYFUNCTION("INDIRECT(""'收支紀錄'!R""&amp;TO_TEXT(ROW()-$C$72))"),"")</f>
        <v/>
      </c>
      <c r="S1552" s="61" t="str">
        <f>IFERROR(__xludf.DUMMYFUNCTION("INDIRECT(""'收支紀錄'!S""&amp;TO_TEXT(ROW()-$C$72))"),"")</f>
        <v/>
      </c>
      <c r="T1552" s="61" t="str">
        <f>IFERROR(__xludf.DUMMYFUNCTION("INDIRECT(""'收支紀錄'!T""&amp;TO_TEXT(ROW()-$C$72))"),"")</f>
        <v/>
      </c>
      <c r="U1552" s="62" t="str">
        <f>IFERROR(__xludf.DUMMYFUNCTION("IF(T1552=""是"",TEXTJOIN("""", TRUE, ""$"", TO_TEXT(C1552), S1552),"""")"),"")</f>
        <v/>
      </c>
    </row>
    <row r="1553">
      <c r="A1553" s="58">
        <f>IFERROR(__xludf.DUMMYFUNCTION("INDIRECT(""'收支紀錄'!A""&amp;TO_TEXT(ROW()-$C$72))"),46110.45000804398)</f>
        <v>46110.45001</v>
      </c>
      <c r="B1553" s="59">
        <f>IFERROR(__xludf.DUMMYFUNCTION("IF(ISBLANK(D1553), """", IF(ISDATE(D1553), D1553, IF(D1553=""今天"", A1553, IF(D1553=""昨天 (-1 day)"", A1553-1, IF(D1553=""前天 (-2 days)"", A1553-2, IF(D1553=""明天 (+1 day)"", A1553+1, DATE(LEFT(D1553,4), MID(D1553,5,2), RIGHT(D1553,2))))))))"),46110.45000804398)</f>
        <v>46110.45001</v>
      </c>
      <c r="C1553" s="60">
        <f>IFERROR(__xludf.DUMMYFUNCTION("INDIRECT(""'收支紀錄'!C""&amp;TO_TEXT(ROW()-$C$72))"),452.0)</f>
        <v>452</v>
      </c>
      <c r="D1553" s="63" t="str">
        <f>IFERROR(__xludf.DUMMYFUNCTION("INDIRECT(""'收支紀錄'!D""&amp;TO_TEXT(ROW()-$C$72))"),"今天")</f>
        <v>今天</v>
      </c>
      <c r="E1553" s="61" t="str">
        <f>IFERROR(__xludf.DUMMYFUNCTION("INDIRECT(""'收支紀錄'!E""&amp;TO_TEXT(ROW()-$C$72))"),"")</f>
        <v/>
      </c>
      <c r="F1553" s="61" t="str">
        <f>IFERROR(__xludf.DUMMYFUNCTION("INDIRECT(""'收支紀錄'!F""&amp;TO_TEXT(ROW()-$C$72))"),"")</f>
        <v/>
      </c>
      <c r="G1553" s="61" t="str">
        <f>IFERROR(__xludf.DUMMYFUNCTION("INDIRECT(""'收支紀錄'!G""&amp;TO_TEXT(ROW()-$C$72))"),"")</f>
        <v/>
      </c>
      <c r="H1553" s="61" t="str">
        <f>IFERROR(__xludf.DUMMYFUNCTION("INDIRECT(""'收支紀錄'!H""&amp;TO_TEXT(ROW()-$C$72))"),"房屋支出")</f>
        <v>房屋支出</v>
      </c>
      <c r="I1553" s="61" t="str">
        <f>IFERROR(__xludf.DUMMYFUNCTION("INDIRECT(""'收支紀錄'!I""&amp;TO_TEXT(ROW()-$C$72))"),"")</f>
        <v/>
      </c>
      <c r="J1553" s="61" t="str">
        <f>IFERROR(__xludf.DUMMYFUNCTION("INDIRECT(""'收支紀錄'!J""&amp;TO_TEXT(ROW()-$C$72))"),"")</f>
        <v/>
      </c>
      <c r="K1553" s="61" t="str">
        <f>IFERROR(__xludf.DUMMYFUNCTION("INDIRECT(""'收支紀錄'!K""&amp;TO_TEXT(ROW()-$C$72))"),"租屋電費")</f>
        <v>租屋電費</v>
      </c>
      <c r="L1553" s="61" t="str">
        <f>IFERROR(__xludf.DUMMYFUNCTION("INDIRECT(""'收支紀錄'!L""&amp;TO_TEXT(ROW()-$C$72))"),"")</f>
        <v/>
      </c>
      <c r="M1553" s="61" t="str">
        <f>IFERROR(__xludf.DUMMYFUNCTION("INDIRECT(""'收支紀錄'!M""&amp;TO_TEXT(ROW()-$C$72))"),"")</f>
        <v/>
      </c>
      <c r="N1553" s="61" t="str">
        <f>IFERROR(__xludf.DUMMYFUNCTION("INDIRECT(""'收支紀錄'!N""&amp;TO_TEXT(ROW()-$C$72))"),"")</f>
        <v/>
      </c>
      <c r="O1553" s="61" t="str">
        <f>IFERROR(__xludf.DUMMYFUNCTION("INDIRECT(""'收支紀錄'!O""&amp;TO_TEXT(ROW()-$C$72))"),"")</f>
        <v/>
      </c>
      <c r="P1553" s="61" t="str">
        <f>IFERROR(__xludf.DUMMYFUNCTION("INDIRECT(""'收支紀錄'!P""&amp;TO_TEXT(ROW()-$C$72))"),"")</f>
        <v/>
      </c>
      <c r="Q1553" s="61" t="str">
        <f>IFERROR(__xludf.DUMMYFUNCTION("INDIRECT(""'收支紀錄'!Q""&amp;TO_TEXT(ROW()-$C$72))"),"")</f>
        <v/>
      </c>
      <c r="R1553" s="61" t="str">
        <f>IFERROR(__xludf.DUMMYFUNCTION("INDIRECT(""'收支紀錄'!R""&amp;TO_TEXT(ROW()-$C$72))"),"")</f>
        <v/>
      </c>
      <c r="S1553" s="61" t="str">
        <f>IFERROR(__xludf.DUMMYFUNCTION("INDIRECT(""'收支紀錄'!S""&amp;TO_TEXT(ROW()-$C$72))"),"")</f>
        <v/>
      </c>
      <c r="T1553" s="61" t="str">
        <f>IFERROR(__xludf.DUMMYFUNCTION("INDIRECT(""'收支紀錄'!T""&amp;TO_TEXT(ROW()-$C$72))"),"")</f>
        <v/>
      </c>
      <c r="U1553" s="62" t="str">
        <f>IFERROR(__xludf.DUMMYFUNCTION("IF(T1553=""是"",TEXTJOIN("""", TRUE, ""$"", TO_TEXT(C1553), S1553),"""")"),"")</f>
        <v/>
      </c>
    </row>
    <row r="1554">
      <c r="A1554" s="58">
        <f>IFERROR(__xludf.DUMMYFUNCTION("INDIRECT(""'收支紀錄'!A""&amp;TO_TEXT(ROW()-$C$72))"),46110.587255590275)</f>
        <v>46110.58726</v>
      </c>
      <c r="B1554" s="59">
        <f>IFERROR(__xludf.DUMMYFUNCTION("IF(ISBLANK(D1554), """", IF(ISDATE(D1554), D1554, IF(D1554=""今天"", A1554, IF(D1554=""昨天 (-1 day)"", A1554-1, IF(D1554=""前天 (-2 days)"", A1554-2, IF(D1554=""明天 (+1 day)"", A1554+1, DATE(LEFT(D1554,4), MID(D1554,5,2), RIGHT(D1554,2))))))))"),46110.587255590275)</f>
        <v>46110.58726</v>
      </c>
      <c r="C1554" s="60">
        <f>IFERROR(__xludf.DUMMYFUNCTION("INDIRECT(""'收支紀錄'!C""&amp;TO_TEXT(ROW()-$C$72))"),5000.0)</f>
        <v>5000</v>
      </c>
      <c r="D1554" s="63" t="str">
        <f>IFERROR(__xludf.DUMMYFUNCTION("INDIRECT(""'收支紀錄'!D""&amp;TO_TEXT(ROW()-$C$72))"),"今天")</f>
        <v>今天</v>
      </c>
      <c r="E1554" s="61" t="str">
        <f>IFERROR(__xludf.DUMMYFUNCTION("INDIRECT(""'收支紀錄'!E""&amp;TO_TEXT(ROW()-$C$72))"),"")</f>
        <v/>
      </c>
      <c r="F1554" s="61" t="str">
        <f>IFERROR(__xludf.DUMMYFUNCTION("INDIRECT(""'收支紀錄'!F""&amp;TO_TEXT(ROW()-$C$72))"),"")</f>
        <v/>
      </c>
      <c r="G1554" s="61" t="str">
        <f>IFERROR(__xludf.DUMMYFUNCTION("INDIRECT(""'收支紀錄'!G""&amp;TO_TEXT(ROW()-$C$72))"),"")</f>
        <v/>
      </c>
      <c r="H1554" s="61" t="str">
        <f>IFERROR(__xludf.DUMMYFUNCTION("INDIRECT(""'收支紀錄'!H""&amp;TO_TEXT(ROW()-$C$72))"),"人情往來")</f>
        <v>人情往來</v>
      </c>
      <c r="I1554" s="61" t="str">
        <f>IFERROR(__xludf.DUMMYFUNCTION("INDIRECT(""'收支紀錄'!I""&amp;TO_TEXT(ROW()-$C$72))"),"")</f>
        <v/>
      </c>
      <c r="J1554" s="61" t="str">
        <f>IFERROR(__xludf.DUMMYFUNCTION("INDIRECT(""'收支紀錄'!J""&amp;TO_TEXT(ROW()-$C$72))"),"")</f>
        <v/>
      </c>
      <c r="K1554" s="61" t="str">
        <f>IFERROR(__xludf.DUMMYFUNCTION("INDIRECT(""'收支紀錄'!K""&amp;TO_TEXT(ROW()-$C$72))"),"")</f>
        <v/>
      </c>
      <c r="L1554" s="61" t="str">
        <f>IFERROR(__xludf.DUMMYFUNCTION("INDIRECT(""'收支紀錄'!L""&amp;TO_TEXT(ROW()-$C$72))"),"")</f>
        <v/>
      </c>
      <c r="M1554" s="61" t="str">
        <f>IFERROR(__xludf.DUMMYFUNCTION("INDIRECT(""'收支紀錄'!M""&amp;TO_TEXT(ROW()-$C$72))"),"")</f>
        <v/>
      </c>
      <c r="N1554" s="61" t="str">
        <f>IFERROR(__xludf.DUMMYFUNCTION("INDIRECT(""'收支紀錄'!N""&amp;TO_TEXT(ROW()-$C$72))"),"")</f>
        <v/>
      </c>
      <c r="O1554" s="61" t="str">
        <f>IFERROR(__xludf.DUMMYFUNCTION("INDIRECT(""'收支紀錄'!O""&amp;TO_TEXT(ROW()-$C$72))"),"")</f>
        <v/>
      </c>
      <c r="P1554" s="61" t="str">
        <f>IFERROR(__xludf.DUMMYFUNCTION("INDIRECT(""'收支紀錄'!P""&amp;TO_TEXT(ROW()-$C$72))"),"")</f>
        <v/>
      </c>
      <c r="Q1554" s="61" t="str">
        <f>IFERROR(__xludf.DUMMYFUNCTION("INDIRECT(""'收支紀錄'!Q""&amp;TO_TEXT(ROW()-$C$72))"),"慈善捐款")</f>
        <v>慈善捐款</v>
      </c>
      <c r="R1554" s="61" t="str">
        <f>IFERROR(__xludf.DUMMYFUNCTION("INDIRECT(""'收支紀錄'!R""&amp;TO_TEXT(ROW()-$C$72))"),"")</f>
        <v/>
      </c>
      <c r="S1554" s="61" t="str">
        <f>IFERROR(__xludf.DUMMYFUNCTION("INDIRECT(""'收支紀錄'!S""&amp;TO_TEXT(ROW()-$C$72))"),"捐款")</f>
        <v>捐款</v>
      </c>
      <c r="T1554" s="61" t="str">
        <f>IFERROR(__xludf.DUMMYFUNCTION("INDIRECT(""'收支紀錄'!T""&amp;TO_TEXT(ROW()-$C$72))"),"是")</f>
        <v>是</v>
      </c>
      <c r="U1554" s="62" t="str">
        <f>IFERROR(__xludf.DUMMYFUNCTION("IF(T1554=""是"",TEXTJOIN("""", TRUE, ""$"", TO_TEXT(C1554), S1554),"""")"),"$5000捐款")</f>
        <v>$5000捐款</v>
      </c>
    </row>
    <row r="1555">
      <c r="A1555" s="58">
        <f>IFERROR(__xludf.DUMMYFUNCTION("INDIRECT(""'收支紀錄'!A""&amp;TO_TEXT(ROW()-$C$72))"),46110.88495472222)</f>
        <v>46110.88495</v>
      </c>
      <c r="B1555" s="59">
        <f>IFERROR(__xludf.DUMMYFUNCTION("IF(ISBLANK(D1555), """", IF(ISDATE(D1555), D1555, IF(D1555=""今天"", A1555, IF(D1555=""昨天 (-1 day)"", A1555-1, IF(D1555=""前天 (-2 days)"", A1555-2, IF(D1555=""明天 (+1 day)"", A1555+1, DATE(LEFT(D1555,4), MID(D1555,5,2), RIGHT(D1555,2))))))))"),46110.88495472222)</f>
        <v>46110.88495</v>
      </c>
      <c r="C1555" s="60">
        <f>IFERROR(__xludf.DUMMYFUNCTION("INDIRECT(""'收支紀錄'!C""&amp;TO_TEXT(ROW()-$C$72))"),585.0)</f>
        <v>585</v>
      </c>
      <c r="D1555" s="63" t="str">
        <f>IFERROR(__xludf.DUMMYFUNCTION("INDIRECT(""'收支紀錄'!D""&amp;TO_TEXT(ROW()-$C$72))"),"今天")</f>
        <v>今天</v>
      </c>
      <c r="E1555" s="61" t="str">
        <f>IFERROR(__xludf.DUMMYFUNCTION("INDIRECT(""'收支紀錄'!E""&amp;TO_TEXT(ROW()-$C$72))"),"")</f>
        <v/>
      </c>
      <c r="F1555" s="61" t="str">
        <f>IFERROR(__xludf.DUMMYFUNCTION("INDIRECT(""'收支紀錄'!F""&amp;TO_TEXT(ROW()-$C$72))"),"")</f>
        <v/>
      </c>
      <c r="G1555" s="61" t="str">
        <f>IFERROR(__xludf.DUMMYFUNCTION("INDIRECT(""'收支紀錄'!G""&amp;TO_TEXT(ROW()-$C$72))"),"")</f>
        <v/>
      </c>
      <c r="H1555" s="61" t="str">
        <f>IFERROR(__xludf.DUMMYFUNCTION("INDIRECT(""'收支紀錄'!H""&amp;TO_TEXT(ROW()-$C$72))"),"食品酒水")</f>
        <v>食品酒水</v>
      </c>
      <c r="I1555" s="61" t="str">
        <f>IFERROR(__xludf.DUMMYFUNCTION("INDIRECT(""'收支紀錄'!I""&amp;TO_TEXT(ROW()-$C$72))"),"晚餐")</f>
        <v>晚餐</v>
      </c>
      <c r="J1555" s="61" t="str">
        <f>IFERROR(__xludf.DUMMYFUNCTION("INDIRECT(""'收支紀錄'!J""&amp;TO_TEXT(ROW()-$C$72))"),"")</f>
        <v/>
      </c>
      <c r="K1555" s="61" t="str">
        <f>IFERROR(__xludf.DUMMYFUNCTION("INDIRECT(""'收支紀錄'!K""&amp;TO_TEXT(ROW()-$C$72))"),"")</f>
        <v/>
      </c>
      <c r="L1555" s="61" t="str">
        <f>IFERROR(__xludf.DUMMYFUNCTION("INDIRECT(""'收支紀錄'!L""&amp;TO_TEXT(ROW()-$C$72))"),"")</f>
        <v/>
      </c>
      <c r="M1555" s="61" t="str">
        <f>IFERROR(__xludf.DUMMYFUNCTION("INDIRECT(""'收支紀錄'!M""&amp;TO_TEXT(ROW()-$C$72))"),"")</f>
        <v/>
      </c>
      <c r="N1555" s="61" t="str">
        <f>IFERROR(__xludf.DUMMYFUNCTION("INDIRECT(""'收支紀錄'!N""&amp;TO_TEXT(ROW()-$C$72))"),"")</f>
        <v/>
      </c>
      <c r="O1555" s="61" t="str">
        <f>IFERROR(__xludf.DUMMYFUNCTION("INDIRECT(""'收支紀錄'!O""&amp;TO_TEXT(ROW()-$C$72))"),"")</f>
        <v/>
      </c>
      <c r="P1555" s="61" t="str">
        <f>IFERROR(__xludf.DUMMYFUNCTION("INDIRECT(""'收支紀錄'!P""&amp;TO_TEXT(ROW()-$C$72))"),"")</f>
        <v/>
      </c>
      <c r="Q1555" s="61" t="str">
        <f>IFERROR(__xludf.DUMMYFUNCTION("INDIRECT(""'收支紀錄'!Q""&amp;TO_TEXT(ROW()-$C$72))"),"")</f>
        <v/>
      </c>
      <c r="R1555" s="61" t="str">
        <f>IFERROR(__xludf.DUMMYFUNCTION("INDIRECT(""'收支紀錄'!R""&amp;TO_TEXT(ROW()-$C$72))"),"")</f>
        <v/>
      </c>
      <c r="S1555" s="61" t="str">
        <f>IFERROR(__xludf.DUMMYFUNCTION("INDIRECT(""'收支紀錄'!S""&amp;TO_TEXT(ROW()-$C$72))"),"")</f>
        <v/>
      </c>
      <c r="T1555" s="61" t="str">
        <f>IFERROR(__xludf.DUMMYFUNCTION("INDIRECT(""'收支紀錄'!T""&amp;TO_TEXT(ROW()-$C$72))"),"")</f>
        <v/>
      </c>
      <c r="U1555" s="62" t="str">
        <f>IFERROR(__xludf.DUMMYFUNCTION("IF(T1555=""是"",TEXTJOIN("""", TRUE, ""$"", TO_TEXT(C1555), S1555),"""")"),"")</f>
        <v/>
      </c>
    </row>
    <row r="1556">
      <c r="A1556" s="58">
        <f>IFERROR(__xludf.DUMMYFUNCTION("INDIRECT(""'收支紀錄'!A""&amp;TO_TEXT(ROW()-$C$72))"),46111.6403053588)</f>
        <v>46111.64031</v>
      </c>
      <c r="B1556" s="59">
        <f>IFERROR(__xludf.DUMMYFUNCTION("IF(ISBLANK(D1556), """", IF(ISDATE(D1556), D1556, IF(D1556=""今天"", A1556, IF(D1556=""昨天 (-1 day)"", A1556-1, IF(D1556=""前天 (-2 days)"", A1556-2, IF(D1556=""明天 (+1 day)"", A1556+1, DATE(LEFT(D1556,4), MID(D1556,5,2), RIGHT(D1556,2))))))))"),46111.6403053588)</f>
        <v>46111.64031</v>
      </c>
      <c r="C1556" s="60">
        <f>IFERROR(__xludf.DUMMYFUNCTION("INDIRECT(""'收支紀錄'!C""&amp;TO_TEXT(ROW()-$C$72))"),638.0)</f>
        <v>638</v>
      </c>
      <c r="D1556" s="63" t="str">
        <f>IFERROR(__xludf.DUMMYFUNCTION("INDIRECT(""'收支紀錄'!D""&amp;TO_TEXT(ROW()-$C$72))"),"今天")</f>
        <v>今天</v>
      </c>
      <c r="E1556" s="61" t="str">
        <f>IFERROR(__xludf.DUMMYFUNCTION("INDIRECT(""'收支紀錄'!E""&amp;TO_TEXT(ROW()-$C$72))"),"")</f>
        <v/>
      </c>
      <c r="F1556" s="61" t="str">
        <f>IFERROR(__xludf.DUMMYFUNCTION("INDIRECT(""'收支紀錄'!F""&amp;TO_TEXT(ROW()-$C$72))"),"")</f>
        <v/>
      </c>
      <c r="G1556" s="61" t="str">
        <f>IFERROR(__xludf.DUMMYFUNCTION("INDIRECT(""'收支紀錄'!G""&amp;TO_TEXT(ROW()-$C$72))"),"")</f>
        <v/>
      </c>
      <c r="H1556" s="61" t="str">
        <f>IFERROR(__xludf.DUMMYFUNCTION("INDIRECT(""'收支紀錄'!H""&amp;TO_TEXT(ROW()-$C$72))"),"日常生活")</f>
        <v>日常生活</v>
      </c>
      <c r="I1556" s="61" t="str">
        <f>IFERROR(__xludf.DUMMYFUNCTION("INDIRECT(""'收支紀錄'!I""&amp;TO_TEXT(ROW()-$C$72))"),"")</f>
        <v/>
      </c>
      <c r="J1556" s="61" t="str">
        <f>IFERROR(__xludf.DUMMYFUNCTION("INDIRECT(""'收支紀錄'!J""&amp;TO_TEXT(ROW()-$C$72))"),"電話費")</f>
        <v>電話費</v>
      </c>
      <c r="K1556" s="61" t="str">
        <f>IFERROR(__xludf.DUMMYFUNCTION("INDIRECT(""'收支紀錄'!K""&amp;TO_TEXT(ROW()-$C$72))"),"")</f>
        <v/>
      </c>
      <c r="L1556" s="61" t="str">
        <f>IFERROR(__xludf.DUMMYFUNCTION("INDIRECT(""'收支紀錄'!L""&amp;TO_TEXT(ROW()-$C$72))"),"")</f>
        <v/>
      </c>
      <c r="M1556" s="61" t="str">
        <f>IFERROR(__xludf.DUMMYFUNCTION("INDIRECT(""'收支紀錄'!M""&amp;TO_TEXT(ROW()-$C$72))"),"")</f>
        <v/>
      </c>
      <c r="N1556" s="61" t="str">
        <f>IFERROR(__xludf.DUMMYFUNCTION("INDIRECT(""'收支紀錄'!N""&amp;TO_TEXT(ROW()-$C$72))"),"")</f>
        <v/>
      </c>
      <c r="O1556" s="61" t="str">
        <f>IFERROR(__xludf.DUMMYFUNCTION("INDIRECT(""'收支紀錄'!O""&amp;TO_TEXT(ROW()-$C$72))"),"")</f>
        <v/>
      </c>
      <c r="P1556" s="61" t="str">
        <f>IFERROR(__xludf.DUMMYFUNCTION("INDIRECT(""'收支紀錄'!P""&amp;TO_TEXT(ROW()-$C$72))"),"")</f>
        <v/>
      </c>
      <c r="Q1556" s="61" t="str">
        <f>IFERROR(__xludf.DUMMYFUNCTION("INDIRECT(""'收支紀錄'!Q""&amp;TO_TEXT(ROW()-$C$72))"),"")</f>
        <v/>
      </c>
      <c r="R1556" s="61" t="str">
        <f>IFERROR(__xludf.DUMMYFUNCTION("INDIRECT(""'收支紀錄'!R""&amp;TO_TEXT(ROW()-$C$72))"),"")</f>
        <v/>
      </c>
      <c r="S1556" s="61" t="str">
        <f>IFERROR(__xludf.DUMMYFUNCTION("INDIRECT(""'收支紀錄'!S""&amp;TO_TEXT(ROW()-$C$72))"),"")</f>
        <v/>
      </c>
      <c r="T1556" s="61" t="str">
        <f>IFERROR(__xludf.DUMMYFUNCTION("INDIRECT(""'收支紀錄'!T""&amp;TO_TEXT(ROW()-$C$72))"),"")</f>
        <v/>
      </c>
      <c r="U1556" s="62" t="str">
        <f>IFERROR(__xludf.DUMMYFUNCTION("IF(T1556=""是"",TEXTJOIN("""", TRUE, ""$"", TO_TEXT(C1556), S1556),"""")"),"")</f>
        <v/>
      </c>
    </row>
    <row r="1557">
      <c r="A1557" s="58">
        <f>IFERROR(__xludf.DUMMYFUNCTION("INDIRECT(""'收支紀錄'!A""&amp;TO_TEXT(ROW()-$C$72))"),46111.833761284724)</f>
        <v>46111.83376</v>
      </c>
      <c r="B1557" s="59">
        <f>IFERROR(__xludf.DUMMYFUNCTION("IF(ISBLANK(D1557), """", IF(ISDATE(D1557), D1557, IF(D1557=""今天"", A1557, IF(D1557=""昨天 (-1 day)"", A1557-1, IF(D1557=""前天 (-2 days)"", A1557-2, IF(D1557=""明天 (+1 day)"", A1557+1, DATE(LEFT(D1557,4), MID(D1557,5,2), RIGHT(D1557,2))))))))"),46111.833761284724)</f>
        <v>46111.83376</v>
      </c>
      <c r="C1557" s="60">
        <f>IFERROR(__xludf.DUMMYFUNCTION("INDIRECT(""'收支紀錄'!C""&amp;TO_TEXT(ROW()-$C$72))"),125.0)</f>
        <v>125</v>
      </c>
      <c r="D1557" s="63" t="str">
        <f>IFERROR(__xludf.DUMMYFUNCTION("INDIRECT(""'收支紀錄'!D""&amp;TO_TEXT(ROW()-$C$72))"),"今天")</f>
        <v>今天</v>
      </c>
      <c r="E1557" s="61" t="str">
        <f>IFERROR(__xludf.DUMMYFUNCTION("INDIRECT(""'收支紀錄'!E""&amp;TO_TEXT(ROW()-$C$72))"),"")</f>
        <v/>
      </c>
      <c r="F1557" s="61" t="str">
        <f>IFERROR(__xludf.DUMMYFUNCTION("INDIRECT(""'收支紀錄'!F""&amp;TO_TEXT(ROW()-$C$72))"),"")</f>
        <v/>
      </c>
      <c r="G1557" s="61" t="str">
        <f>IFERROR(__xludf.DUMMYFUNCTION("INDIRECT(""'收支紀錄'!G""&amp;TO_TEXT(ROW()-$C$72))"),"")</f>
        <v/>
      </c>
      <c r="H1557" s="61" t="str">
        <f>IFERROR(__xludf.DUMMYFUNCTION("INDIRECT(""'收支紀錄'!H""&amp;TO_TEXT(ROW()-$C$72))"),"食品酒水")</f>
        <v>食品酒水</v>
      </c>
      <c r="I1557" s="61" t="str">
        <f>IFERROR(__xludf.DUMMYFUNCTION("INDIRECT(""'收支紀錄'!I""&amp;TO_TEXT(ROW()-$C$72))"),"晚餐")</f>
        <v>晚餐</v>
      </c>
      <c r="J1557" s="61" t="str">
        <f>IFERROR(__xludf.DUMMYFUNCTION("INDIRECT(""'收支紀錄'!J""&amp;TO_TEXT(ROW()-$C$72))"),"")</f>
        <v/>
      </c>
      <c r="K1557" s="61" t="str">
        <f>IFERROR(__xludf.DUMMYFUNCTION("INDIRECT(""'收支紀錄'!K""&amp;TO_TEXT(ROW()-$C$72))"),"")</f>
        <v/>
      </c>
      <c r="L1557" s="61" t="str">
        <f>IFERROR(__xludf.DUMMYFUNCTION("INDIRECT(""'收支紀錄'!L""&amp;TO_TEXT(ROW()-$C$72))"),"")</f>
        <v/>
      </c>
      <c r="M1557" s="61" t="str">
        <f>IFERROR(__xludf.DUMMYFUNCTION("INDIRECT(""'收支紀錄'!M""&amp;TO_TEXT(ROW()-$C$72))"),"")</f>
        <v/>
      </c>
      <c r="N1557" s="61" t="str">
        <f>IFERROR(__xludf.DUMMYFUNCTION("INDIRECT(""'收支紀錄'!N""&amp;TO_TEXT(ROW()-$C$72))"),"")</f>
        <v/>
      </c>
      <c r="O1557" s="61" t="str">
        <f>IFERROR(__xludf.DUMMYFUNCTION("INDIRECT(""'收支紀錄'!O""&amp;TO_TEXT(ROW()-$C$72))"),"")</f>
        <v/>
      </c>
      <c r="P1557" s="61" t="str">
        <f>IFERROR(__xludf.DUMMYFUNCTION("INDIRECT(""'收支紀錄'!P""&amp;TO_TEXT(ROW()-$C$72))"),"")</f>
        <v/>
      </c>
      <c r="Q1557" s="61" t="str">
        <f>IFERROR(__xludf.DUMMYFUNCTION("INDIRECT(""'收支紀錄'!Q""&amp;TO_TEXT(ROW()-$C$72))"),"")</f>
        <v/>
      </c>
      <c r="R1557" s="61" t="str">
        <f>IFERROR(__xludf.DUMMYFUNCTION("INDIRECT(""'收支紀錄'!R""&amp;TO_TEXT(ROW()-$C$72))"),"")</f>
        <v/>
      </c>
      <c r="S1557" s="61" t="str">
        <f>IFERROR(__xludf.DUMMYFUNCTION("INDIRECT(""'收支紀錄'!S""&amp;TO_TEXT(ROW()-$C$72))"),"")</f>
        <v/>
      </c>
      <c r="T1557" s="61" t="str">
        <f>IFERROR(__xludf.DUMMYFUNCTION("INDIRECT(""'收支紀錄'!T""&amp;TO_TEXT(ROW()-$C$72))"),"")</f>
        <v/>
      </c>
      <c r="U1557" s="62" t="str">
        <f>IFERROR(__xludf.DUMMYFUNCTION("IF(T1557=""是"",TEXTJOIN("""", TRUE, ""$"", TO_TEXT(C1557), S1557),"""")"),"")</f>
        <v/>
      </c>
    </row>
    <row r="1558">
      <c r="A1558" s="58">
        <f>IFERROR(__xludf.DUMMYFUNCTION("INDIRECT(""'收支紀錄'!A""&amp;TO_TEXT(ROW()-$C$72))"),46113.50833215278)</f>
        <v>46113.50833</v>
      </c>
      <c r="B1558" s="59">
        <f>IFERROR(__xludf.DUMMYFUNCTION("IF(ISBLANK(D1558), """", IF(ISDATE(D1558), D1558, IF(D1558=""今天"", A1558, IF(D1558=""昨天 (-1 day)"", A1558-1, IF(D1558=""前天 (-2 days)"", A1558-2, IF(D1558=""明天 (+1 day)"", A1558+1, DATE(LEFT(D1558,4), MID(D1558,5,2), RIGHT(D1558,2))))))))"),46113.50833215278)</f>
        <v>46113.50833</v>
      </c>
      <c r="C1558" s="60">
        <f>IFERROR(__xludf.DUMMYFUNCTION("INDIRECT(""'收支紀錄'!C""&amp;TO_TEXT(ROW()-$C$72))"),6000.0)</f>
        <v>6000</v>
      </c>
      <c r="D1558" s="63" t="str">
        <f>IFERROR(__xludf.DUMMYFUNCTION("INDIRECT(""'收支紀錄'!D""&amp;TO_TEXT(ROW()-$C$72))"),"今天")</f>
        <v>今天</v>
      </c>
      <c r="E1558" s="61" t="str">
        <f>IFERROR(__xludf.DUMMYFUNCTION("INDIRECT(""'收支紀錄'!E""&amp;TO_TEXT(ROW()-$C$72))"),"")</f>
        <v/>
      </c>
      <c r="F1558" s="61" t="str">
        <f>IFERROR(__xludf.DUMMYFUNCTION("INDIRECT(""'收支紀錄'!F""&amp;TO_TEXT(ROW()-$C$72))"),"")</f>
        <v/>
      </c>
      <c r="G1558" s="61" t="str">
        <f>IFERROR(__xludf.DUMMYFUNCTION("INDIRECT(""'收支紀錄'!G""&amp;TO_TEXT(ROW()-$C$72))"),"")</f>
        <v/>
      </c>
      <c r="H1558" s="61" t="str">
        <f>IFERROR(__xludf.DUMMYFUNCTION("INDIRECT(""'收支紀錄'!H""&amp;TO_TEXT(ROW()-$C$72))"),"房屋支出")</f>
        <v>房屋支出</v>
      </c>
      <c r="I1558" s="61" t="str">
        <f>IFERROR(__xludf.DUMMYFUNCTION("INDIRECT(""'收支紀錄'!I""&amp;TO_TEXT(ROW()-$C$72))"),"")</f>
        <v/>
      </c>
      <c r="J1558" s="61" t="str">
        <f>IFERROR(__xludf.DUMMYFUNCTION("INDIRECT(""'收支紀錄'!J""&amp;TO_TEXT(ROW()-$C$72))"),"")</f>
        <v/>
      </c>
      <c r="K1558" s="61" t="str">
        <f>IFERROR(__xludf.DUMMYFUNCTION("INDIRECT(""'收支紀錄'!K""&amp;TO_TEXT(ROW()-$C$72))"),"租屋")</f>
        <v>租屋</v>
      </c>
      <c r="L1558" s="61" t="str">
        <f>IFERROR(__xludf.DUMMYFUNCTION("INDIRECT(""'收支紀錄'!L""&amp;TO_TEXT(ROW()-$C$72))"),"")</f>
        <v/>
      </c>
      <c r="M1558" s="61" t="str">
        <f>IFERROR(__xludf.DUMMYFUNCTION("INDIRECT(""'收支紀錄'!M""&amp;TO_TEXT(ROW()-$C$72))"),"")</f>
        <v/>
      </c>
      <c r="N1558" s="61" t="str">
        <f>IFERROR(__xludf.DUMMYFUNCTION("INDIRECT(""'收支紀錄'!N""&amp;TO_TEXT(ROW()-$C$72))"),"")</f>
        <v/>
      </c>
      <c r="O1558" s="61" t="str">
        <f>IFERROR(__xludf.DUMMYFUNCTION("INDIRECT(""'收支紀錄'!O""&amp;TO_TEXT(ROW()-$C$72))"),"")</f>
        <v/>
      </c>
      <c r="P1558" s="61" t="str">
        <f>IFERROR(__xludf.DUMMYFUNCTION("INDIRECT(""'收支紀錄'!P""&amp;TO_TEXT(ROW()-$C$72))"),"")</f>
        <v/>
      </c>
      <c r="Q1558" s="61" t="str">
        <f>IFERROR(__xludf.DUMMYFUNCTION("INDIRECT(""'收支紀錄'!Q""&amp;TO_TEXT(ROW()-$C$72))"),"")</f>
        <v/>
      </c>
      <c r="R1558" s="61" t="str">
        <f>IFERROR(__xludf.DUMMYFUNCTION("INDIRECT(""'收支紀錄'!R""&amp;TO_TEXT(ROW()-$C$72))"),"")</f>
        <v/>
      </c>
      <c r="S1558" s="61" t="str">
        <f>IFERROR(__xludf.DUMMYFUNCTION("INDIRECT(""'收支紀錄'!S""&amp;TO_TEXT(ROW()-$C$72))"),"")</f>
        <v/>
      </c>
      <c r="T1558" s="61" t="str">
        <f>IFERROR(__xludf.DUMMYFUNCTION("INDIRECT(""'收支紀錄'!T""&amp;TO_TEXT(ROW()-$C$72))"),"")</f>
        <v/>
      </c>
      <c r="U1558" s="62" t="str">
        <f>IFERROR(__xludf.DUMMYFUNCTION("IF(T1558=""是"",TEXTJOIN("""", TRUE, ""$"", TO_TEXT(C1558), S1558),"""")"),"")</f>
        <v/>
      </c>
    </row>
    <row r="1559">
      <c r="A1559" s="58">
        <f>IFERROR(__xludf.DUMMYFUNCTION("INDIRECT(""'收支紀錄'!A""&amp;TO_TEXT(ROW()-$C$72))"),46113.508497800925)</f>
        <v>46113.5085</v>
      </c>
      <c r="B1559" s="59">
        <f>IFERROR(__xludf.DUMMYFUNCTION("IF(ISBLANK(D1559), """", IF(ISDATE(D1559), D1559, IF(D1559=""今天"", A1559, IF(D1559=""昨天 (-1 day)"", A1559-1, IF(D1559=""前天 (-2 days)"", A1559-2, IF(D1559=""明天 (+1 day)"", A1559+1, DATE(LEFT(D1559,4), MID(D1559,5,2), RIGHT(D1559,2))))))))"),46113.508497800925)</f>
        <v>46113.5085</v>
      </c>
      <c r="C1559" s="60">
        <f>IFERROR(__xludf.DUMMYFUNCTION("INDIRECT(""'收支紀錄'!C""&amp;TO_TEXT(ROW()-$C$72))"),20000.0)</f>
        <v>20000</v>
      </c>
      <c r="D1559" s="63" t="str">
        <f>IFERROR(__xludf.DUMMYFUNCTION("INDIRECT(""'收支紀錄'!D""&amp;TO_TEXT(ROW()-$C$72))"),"今天")</f>
        <v>今天</v>
      </c>
      <c r="E1559" s="61" t="str">
        <f>IFERROR(__xludf.DUMMYFUNCTION("INDIRECT(""'收支紀錄'!E""&amp;TO_TEXT(ROW()-$C$72))"),"")</f>
        <v/>
      </c>
      <c r="F1559" s="61" t="str">
        <f>IFERROR(__xludf.DUMMYFUNCTION("INDIRECT(""'收支紀錄'!F""&amp;TO_TEXT(ROW()-$C$72))"),"")</f>
        <v/>
      </c>
      <c r="G1559" s="61" t="str">
        <f>IFERROR(__xludf.DUMMYFUNCTION("INDIRECT(""'收支紀錄'!G""&amp;TO_TEXT(ROW()-$C$72))"),"")</f>
        <v/>
      </c>
      <c r="H1559" s="61" t="str">
        <f>IFERROR(__xludf.DUMMYFUNCTION("INDIRECT(""'收支紀錄'!H""&amp;TO_TEXT(ROW()-$C$72))"),"房屋支出")</f>
        <v>房屋支出</v>
      </c>
      <c r="I1559" s="61" t="str">
        <f>IFERROR(__xludf.DUMMYFUNCTION("INDIRECT(""'收支紀錄'!I""&amp;TO_TEXT(ROW()-$C$72))"),"")</f>
        <v/>
      </c>
      <c r="J1559" s="61" t="str">
        <f>IFERROR(__xludf.DUMMYFUNCTION("INDIRECT(""'收支紀錄'!J""&amp;TO_TEXT(ROW()-$C$72))"),"")</f>
        <v/>
      </c>
      <c r="K1559" s="61" t="str">
        <f>IFERROR(__xludf.DUMMYFUNCTION("INDIRECT(""'收支紀錄'!K""&amp;TO_TEXT(ROW()-$C$72))"),"文心1房貸代繳")</f>
        <v>文心1房貸代繳</v>
      </c>
      <c r="L1559" s="61" t="str">
        <f>IFERROR(__xludf.DUMMYFUNCTION("INDIRECT(""'收支紀錄'!L""&amp;TO_TEXT(ROW()-$C$72))"),"")</f>
        <v/>
      </c>
      <c r="M1559" s="61" t="str">
        <f>IFERROR(__xludf.DUMMYFUNCTION("INDIRECT(""'收支紀錄'!M""&amp;TO_TEXT(ROW()-$C$72))"),"")</f>
        <v/>
      </c>
      <c r="N1559" s="61" t="str">
        <f>IFERROR(__xludf.DUMMYFUNCTION("INDIRECT(""'收支紀錄'!N""&amp;TO_TEXT(ROW()-$C$72))"),"")</f>
        <v/>
      </c>
      <c r="O1559" s="61" t="str">
        <f>IFERROR(__xludf.DUMMYFUNCTION("INDIRECT(""'收支紀錄'!O""&amp;TO_TEXT(ROW()-$C$72))"),"")</f>
        <v/>
      </c>
      <c r="P1559" s="61" t="str">
        <f>IFERROR(__xludf.DUMMYFUNCTION("INDIRECT(""'收支紀錄'!P""&amp;TO_TEXT(ROW()-$C$72))"),"")</f>
        <v/>
      </c>
      <c r="Q1559" s="61" t="str">
        <f>IFERROR(__xludf.DUMMYFUNCTION("INDIRECT(""'收支紀錄'!Q""&amp;TO_TEXT(ROW()-$C$72))"),"")</f>
        <v/>
      </c>
      <c r="R1559" s="61" t="str">
        <f>IFERROR(__xludf.DUMMYFUNCTION("INDIRECT(""'收支紀錄'!R""&amp;TO_TEXT(ROW()-$C$72))"),"")</f>
        <v/>
      </c>
      <c r="S1559" s="61" t="str">
        <f>IFERROR(__xludf.DUMMYFUNCTION("INDIRECT(""'收支紀錄'!S""&amp;TO_TEXT(ROW()-$C$72))"),"")</f>
        <v/>
      </c>
      <c r="T1559" s="61" t="str">
        <f>IFERROR(__xludf.DUMMYFUNCTION("INDIRECT(""'收支紀錄'!T""&amp;TO_TEXT(ROW()-$C$72))"),"")</f>
        <v/>
      </c>
      <c r="U1559" s="62" t="str">
        <f>IFERROR(__xludf.DUMMYFUNCTION("IF(T1559=""是"",TEXTJOIN("""", TRUE, ""$"", TO_TEXT(C1559), S1559),"""")"),"")</f>
        <v/>
      </c>
    </row>
    <row r="1560">
      <c r="A1560" s="58">
        <f>IFERROR(__xludf.DUMMYFUNCTION("INDIRECT(""'收支紀錄'!A""&amp;TO_TEXT(ROW()-$C$72))"),46113.508709560185)</f>
        <v>46113.50871</v>
      </c>
      <c r="B1560" s="59">
        <f>IFERROR(__xludf.DUMMYFUNCTION("IF(ISBLANK(D1560), """", IF(ISDATE(D1560), D1560, IF(D1560=""今天"", A1560, IF(D1560=""昨天 (-1 day)"", A1560-1, IF(D1560=""前天 (-2 days)"", A1560-2, IF(D1560=""明天 (+1 day)"", A1560+1, DATE(LEFT(D1560,4), MID(D1560,5,2), RIGHT(D1560,2))))))))"),46113.508709560185)</f>
        <v>46113.50871</v>
      </c>
      <c r="C1560" s="60">
        <f>IFERROR(__xludf.DUMMYFUNCTION("INDIRECT(""'收支紀錄'!C""&amp;TO_TEXT(ROW()-$C$72))"),6000.0)</f>
        <v>6000</v>
      </c>
      <c r="D1560" s="63" t="str">
        <f>IFERROR(__xludf.DUMMYFUNCTION("INDIRECT(""'收支紀錄'!D""&amp;TO_TEXT(ROW()-$C$72))"),"今天")</f>
        <v>今天</v>
      </c>
      <c r="E1560" s="61" t="str">
        <f>IFERROR(__xludf.DUMMYFUNCTION("INDIRECT(""'收支紀錄'!E""&amp;TO_TEXT(ROW()-$C$72))"),"其他業外")</f>
        <v>其他業外</v>
      </c>
      <c r="F1560" s="61" t="str">
        <f>IFERROR(__xludf.DUMMYFUNCTION("INDIRECT(""'收支紀錄'!F""&amp;TO_TEXT(ROW()-$C$72))"),"")</f>
        <v/>
      </c>
      <c r="G1560" s="61" t="str">
        <f>IFERROR(__xludf.DUMMYFUNCTION("INDIRECT(""'收支紀錄'!G""&amp;TO_TEXT(ROW()-$C$72))"),"房屋補貼")</f>
        <v>房屋補貼</v>
      </c>
      <c r="H1560" s="61" t="str">
        <f>IFERROR(__xludf.DUMMYFUNCTION("INDIRECT(""'收支紀錄'!H""&amp;TO_TEXT(ROW()-$C$72))"),"")</f>
        <v/>
      </c>
      <c r="I1560" s="61" t="str">
        <f>IFERROR(__xludf.DUMMYFUNCTION("INDIRECT(""'收支紀錄'!I""&amp;TO_TEXT(ROW()-$C$72))"),"")</f>
        <v/>
      </c>
      <c r="J1560" s="61" t="str">
        <f>IFERROR(__xludf.DUMMYFUNCTION("INDIRECT(""'收支紀錄'!J""&amp;TO_TEXT(ROW()-$C$72))"),"")</f>
        <v/>
      </c>
      <c r="K1560" s="61" t="str">
        <f>IFERROR(__xludf.DUMMYFUNCTION("INDIRECT(""'收支紀錄'!K""&amp;TO_TEXT(ROW()-$C$72))"),"")</f>
        <v/>
      </c>
      <c r="L1560" s="61" t="str">
        <f>IFERROR(__xludf.DUMMYFUNCTION("INDIRECT(""'收支紀錄'!L""&amp;TO_TEXT(ROW()-$C$72))"),"")</f>
        <v/>
      </c>
      <c r="M1560" s="61" t="str">
        <f>IFERROR(__xludf.DUMMYFUNCTION("INDIRECT(""'收支紀錄'!M""&amp;TO_TEXT(ROW()-$C$72))"),"")</f>
        <v/>
      </c>
      <c r="N1560" s="61" t="str">
        <f>IFERROR(__xludf.DUMMYFUNCTION("INDIRECT(""'收支紀錄'!N""&amp;TO_TEXT(ROW()-$C$72))"),"")</f>
        <v/>
      </c>
      <c r="O1560" s="61" t="str">
        <f>IFERROR(__xludf.DUMMYFUNCTION("INDIRECT(""'收支紀錄'!O""&amp;TO_TEXT(ROW()-$C$72))"),"")</f>
        <v/>
      </c>
      <c r="P1560" s="61" t="str">
        <f>IFERROR(__xludf.DUMMYFUNCTION("INDIRECT(""'收支紀錄'!P""&amp;TO_TEXT(ROW()-$C$72))"),"")</f>
        <v/>
      </c>
      <c r="Q1560" s="61" t="str">
        <f>IFERROR(__xludf.DUMMYFUNCTION("INDIRECT(""'收支紀錄'!Q""&amp;TO_TEXT(ROW()-$C$72))"),"")</f>
        <v/>
      </c>
      <c r="R1560" s="61" t="str">
        <f>IFERROR(__xludf.DUMMYFUNCTION("INDIRECT(""'收支紀錄'!R""&amp;TO_TEXT(ROW()-$C$72))"),"")</f>
        <v/>
      </c>
      <c r="S1560" s="61" t="str">
        <f>IFERROR(__xludf.DUMMYFUNCTION("INDIRECT(""'收支紀錄'!S""&amp;TO_TEXT(ROW()-$C$72))"),"")</f>
        <v/>
      </c>
      <c r="T1560" s="61" t="str">
        <f>IFERROR(__xludf.DUMMYFUNCTION("INDIRECT(""'收支紀錄'!T""&amp;TO_TEXT(ROW()-$C$72))"),"")</f>
        <v/>
      </c>
      <c r="U1560" s="62" t="str">
        <f>IFERROR(__xludf.DUMMYFUNCTION("IF(T1560=""是"",TEXTJOIN("""", TRUE, ""$"", TO_TEXT(C1560), S1560),"""")"),"")</f>
        <v/>
      </c>
    </row>
    <row r="1561">
      <c r="A1561" s="58">
        <f>IFERROR(__xludf.DUMMYFUNCTION("INDIRECT(""'收支紀錄'!A""&amp;TO_TEXT(ROW()-$C$72))"),46115.959197511576)</f>
        <v>46115.9592</v>
      </c>
      <c r="B1561" s="59">
        <f>IFERROR(__xludf.DUMMYFUNCTION("IF(ISBLANK(D1561), """", IF(ISDATE(D1561), D1561, IF(D1561=""今天"", A1561, IF(D1561=""昨天 (-1 day)"", A1561-1, IF(D1561=""前天 (-2 days)"", A1561-2, IF(D1561=""明天 (+1 day)"", A1561+1, DATE(LEFT(D1561,4), MID(D1561,5,2), RIGHT(D1561,2))))))))"),46115.959197511576)</f>
        <v>46115.9592</v>
      </c>
      <c r="C1561" s="60">
        <f>IFERROR(__xludf.DUMMYFUNCTION("INDIRECT(""'收支紀錄'!C""&amp;TO_TEXT(ROW()-$C$72))"),120.0)</f>
        <v>120</v>
      </c>
      <c r="D1561" s="63" t="str">
        <f>IFERROR(__xludf.DUMMYFUNCTION("INDIRECT(""'收支紀錄'!D""&amp;TO_TEXT(ROW()-$C$72))"),"今天")</f>
        <v>今天</v>
      </c>
      <c r="E1561" s="61" t="str">
        <f>IFERROR(__xludf.DUMMYFUNCTION("INDIRECT(""'收支紀錄'!E""&amp;TO_TEXT(ROW()-$C$72))"),"")</f>
        <v/>
      </c>
      <c r="F1561" s="61" t="str">
        <f>IFERROR(__xludf.DUMMYFUNCTION("INDIRECT(""'收支紀錄'!F""&amp;TO_TEXT(ROW()-$C$72))"),"")</f>
        <v/>
      </c>
      <c r="G1561" s="61" t="str">
        <f>IFERROR(__xludf.DUMMYFUNCTION("INDIRECT(""'收支紀錄'!G""&amp;TO_TEXT(ROW()-$C$72))"),"")</f>
        <v/>
      </c>
      <c r="H1561" s="61" t="str">
        <f>IFERROR(__xludf.DUMMYFUNCTION("INDIRECT(""'收支紀錄'!H""&amp;TO_TEXT(ROW()-$C$72))"),"食品酒水")</f>
        <v>食品酒水</v>
      </c>
      <c r="I1561" s="61" t="str">
        <f>IFERROR(__xludf.DUMMYFUNCTION("INDIRECT(""'收支紀錄'!I""&amp;TO_TEXT(ROW()-$C$72))"),"飲料酒水")</f>
        <v>飲料酒水</v>
      </c>
      <c r="J1561" s="61" t="str">
        <f>IFERROR(__xludf.DUMMYFUNCTION("INDIRECT(""'收支紀錄'!J""&amp;TO_TEXT(ROW()-$C$72))"),"")</f>
        <v/>
      </c>
      <c r="K1561" s="61" t="str">
        <f>IFERROR(__xludf.DUMMYFUNCTION("INDIRECT(""'收支紀錄'!K""&amp;TO_TEXT(ROW()-$C$72))"),"")</f>
        <v/>
      </c>
      <c r="L1561" s="61" t="str">
        <f>IFERROR(__xludf.DUMMYFUNCTION("INDIRECT(""'收支紀錄'!L""&amp;TO_TEXT(ROW()-$C$72))"),"")</f>
        <v/>
      </c>
      <c r="M1561" s="61" t="str">
        <f>IFERROR(__xludf.DUMMYFUNCTION("INDIRECT(""'收支紀錄'!M""&amp;TO_TEXT(ROW()-$C$72))"),"")</f>
        <v/>
      </c>
      <c r="N1561" s="61" t="str">
        <f>IFERROR(__xludf.DUMMYFUNCTION("INDIRECT(""'收支紀錄'!N""&amp;TO_TEXT(ROW()-$C$72))"),"")</f>
        <v/>
      </c>
      <c r="O1561" s="61" t="str">
        <f>IFERROR(__xludf.DUMMYFUNCTION("INDIRECT(""'收支紀錄'!O""&amp;TO_TEXT(ROW()-$C$72))"),"")</f>
        <v/>
      </c>
      <c r="P1561" s="61" t="str">
        <f>IFERROR(__xludf.DUMMYFUNCTION("INDIRECT(""'收支紀錄'!P""&amp;TO_TEXT(ROW()-$C$72))"),"")</f>
        <v/>
      </c>
      <c r="Q1561" s="61" t="str">
        <f>IFERROR(__xludf.DUMMYFUNCTION("INDIRECT(""'收支紀錄'!Q""&amp;TO_TEXT(ROW()-$C$72))"),"")</f>
        <v/>
      </c>
      <c r="R1561" s="61" t="str">
        <f>IFERROR(__xludf.DUMMYFUNCTION("INDIRECT(""'收支紀錄'!R""&amp;TO_TEXT(ROW()-$C$72))"),"")</f>
        <v/>
      </c>
      <c r="S1561" s="61" t="str">
        <f>IFERROR(__xludf.DUMMYFUNCTION("INDIRECT(""'收支紀錄'!S""&amp;TO_TEXT(ROW()-$C$72))"),"")</f>
        <v/>
      </c>
      <c r="T1561" s="61" t="str">
        <f>IFERROR(__xludf.DUMMYFUNCTION("INDIRECT(""'收支紀錄'!T""&amp;TO_TEXT(ROW()-$C$72))"),"")</f>
        <v/>
      </c>
      <c r="U1561" s="62" t="str">
        <f>IFERROR(__xludf.DUMMYFUNCTION("IF(T1561=""是"",TEXTJOIN("""", TRUE, ""$"", TO_TEXT(C1561), S1561),"""")"),"")</f>
        <v/>
      </c>
    </row>
    <row r="1562">
      <c r="A1562" s="58">
        <f>IFERROR(__xludf.DUMMYFUNCTION("INDIRECT(""'收支紀錄'!A""&amp;TO_TEXT(ROW()-$C$72))"),46115.959392060184)</f>
        <v>46115.95939</v>
      </c>
      <c r="B1562" s="59">
        <f>IFERROR(__xludf.DUMMYFUNCTION("IF(ISBLANK(D1562), """", IF(ISDATE(D1562), D1562, IF(D1562=""今天"", A1562, IF(D1562=""昨天 (-1 day)"", A1562-1, IF(D1562=""前天 (-2 days)"", A1562-2, IF(D1562=""明天 (+1 day)"", A1562+1, DATE(LEFT(D1562,4), MID(D1562,5,2), RIGHT(D1562,2))))))))"),46114.959392060184)</f>
        <v>46114.95939</v>
      </c>
      <c r="C1562" s="60">
        <f>IFERROR(__xludf.DUMMYFUNCTION("INDIRECT(""'收支紀錄'!C""&amp;TO_TEXT(ROW()-$C$72))"),135.0)</f>
        <v>135</v>
      </c>
      <c r="D1562" s="63" t="str">
        <f>IFERROR(__xludf.DUMMYFUNCTION("INDIRECT(""'收支紀錄'!D""&amp;TO_TEXT(ROW()-$C$72))"),"昨天 (-1 day)")</f>
        <v>昨天 (-1 day)</v>
      </c>
      <c r="E1562" s="61" t="str">
        <f>IFERROR(__xludf.DUMMYFUNCTION("INDIRECT(""'收支紀錄'!E""&amp;TO_TEXT(ROW()-$C$72))"),"")</f>
        <v/>
      </c>
      <c r="F1562" s="61" t="str">
        <f>IFERROR(__xludf.DUMMYFUNCTION("INDIRECT(""'收支紀錄'!F""&amp;TO_TEXT(ROW()-$C$72))"),"")</f>
        <v/>
      </c>
      <c r="G1562" s="61" t="str">
        <f>IFERROR(__xludf.DUMMYFUNCTION("INDIRECT(""'收支紀錄'!G""&amp;TO_TEXT(ROW()-$C$72))"),"")</f>
        <v/>
      </c>
      <c r="H1562" s="61" t="str">
        <f>IFERROR(__xludf.DUMMYFUNCTION("INDIRECT(""'收支紀錄'!H""&amp;TO_TEXT(ROW()-$C$72))"),"行車交通")</f>
        <v>行車交通</v>
      </c>
      <c r="I1562" s="61" t="str">
        <f>IFERROR(__xludf.DUMMYFUNCTION("INDIRECT(""'收支紀錄'!I""&amp;TO_TEXT(ROW()-$C$72))"),"")</f>
        <v/>
      </c>
      <c r="J1562" s="61" t="str">
        <f>IFERROR(__xludf.DUMMYFUNCTION("INDIRECT(""'收支紀錄'!J""&amp;TO_TEXT(ROW()-$C$72))"),"")</f>
        <v/>
      </c>
      <c r="K1562" s="61" t="str">
        <f>IFERROR(__xludf.DUMMYFUNCTION("INDIRECT(""'收支紀錄'!K""&amp;TO_TEXT(ROW()-$C$72))"),"")</f>
        <v/>
      </c>
      <c r="L1562" s="61" t="str">
        <f>IFERROR(__xludf.DUMMYFUNCTION("INDIRECT(""'收支紀錄'!L""&amp;TO_TEXT(ROW()-$C$72))"),"高鐵")</f>
        <v>高鐵</v>
      </c>
      <c r="M1562" s="61" t="str">
        <f>IFERROR(__xludf.DUMMYFUNCTION("INDIRECT(""'收支紀錄'!M""&amp;TO_TEXT(ROW()-$C$72))"),"")</f>
        <v/>
      </c>
      <c r="N1562" s="61" t="str">
        <f>IFERROR(__xludf.DUMMYFUNCTION("INDIRECT(""'收支紀錄'!N""&amp;TO_TEXT(ROW()-$C$72))"),"")</f>
        <v/>
      </c>
      <c r="O1562" s="61" t="str">
        <f>IFERROR(__xludf.DUMMYFUNCTION("INDIRECT(""'收支紀錄'!O""&amp;TO_TEXT(ROW()-$C$72))"),"")</f>
        <v/>
      </c>
      <c r="P1562" s="61" t="str">
        <f>IFERROR(__xludf.DUMMYFUNCTION("INDIRECT(""'收支紀錄'!P""&amp;TO_TEXT(ROW()-$C$72))"),"")</f>
        <v/>
      </c>
      <c r="Q1562" s="61" t="str">
        <f>IFERROR(__xludf.DUMMYFUNCTION("INDIRECT(""'收支紀錄'!Q""&amp;TO_TEXT(ROW()-$C$72))"),"")</f>
        <v/>
      </c>
      <c r="R1562" s="61" t="str">
        <f>IFERROR(__xludf.DUMMYFUNCTION("INDIRECT(""'收支紀錄'!R""&amp;TO_TEXT(ROW()-$C$72))"),"")</f>
        <v/>
      </c>
      <c r="S1562" s="61" t="str">
        <f>IFERROR(__xludf.DUMMYFUNCTION("INDIRECT(""'收支紀錄'!S""&amp;TO_TEXT(ROW()-$C$72))"),"")</f>
        <v/>
      </c>
      <c r="T1562" s="61" t="str">
        <f>IFERROR(__xludf.DUMMYFUNCTION("INDIRECT(""'收支紀錄'!T""&amp;TO_TEXT(ROW()-$C$72))"),"")</f>
        <v/>
      </c>
      <c r="U1562" s="62" t="str">
        <f>IFERROR(__xludf.DUMMYFUNCTION("IF(T1562=""是"",TEXTJOIN("""", TRUE, ""$"", TO_TEXT(C1562), S1562),"""")"),"")</f>
        <v/>
      </c>
    </row>
    <row r="1563">
      <c r="A1563" s="58">
        <f>IFERROR(__xludf.DUMMYFUNCTION("INDIRECT(""'收支紀錄'!A""&amp;TO_TEXT(ROW()-$C$72))"),46116.80139108797)</f>
        <v>46116.80139</v>
      </c>
      <c r="B1563" s="59">
        <f>IFERROR(__xludf.DUMMYFUNCTION("IF(ISBLANK(D1563), """", IF(ISDATE(D1563), D1563, IF(D1563=""今天"", A1563, IF(D1563=""昨天 (-1 day)"", A1563-1, IF(D1563=""前天 (-2 days)"", A1563-2, IF(D1563=""明天 (+1 day)"", A1563+1, DATE(LEFT(D1563,4), MID(D1563,5,2), RIGHT(D1563,2))))))))"),46116.80139108797)</f>
        <v>46116.80139</v>
      </c>
      <c r="C1563" s="60">
        <f>IFERROR(__xludf.DUMMYFUNCTION("INDIRECT(""'收支紀錄'!C""&amp;TO_TEXT(ROW()-$C$72))"),204.0)</f>
        <v>204</v>
      </c>
      <c r="D1563" s="63" t="str">
        <f>IFERROR(__xludf.DUMMYFUNCTION("INDIRECT(""'收支紀錄'!D""&amp;TO_TEXT(ROW()-$C$72))"),"今天")</f>
        <v>今天</v>
      </c>
      <c r="E1563" s="61" t="str">
        <f>IFERROR(__xludf.DUMMYFUNCTION("INDIRECT(""'收支紀錄'!E""&amp;TO_TEXT(ROW()-$C$72))"),"")</f>
        <v/>
      </c>
      <c r="F1563" s="61" t="str">
        <f>IFERROR(__xludf.DUMMYFUNCTION("INDIRECT(""'收支紀錄'!F""&amp;TO_TEXT(ROW()-$C$72))"),"")</f>
        <v/>
      </c>
      <c r="G1563" s="61" t="str">
        <f>IFERROR(__xludf.DUMMYFUNCTION("INDIRECT(""'收支紀錄'!G""&amp;TO_TEXT(ROW()-$C$72))"),"")</f>
        <v/>
      </c>
      <c r="H1563" s="61" t="str">
        <f>IFERROR(__xludf.DUMMYFUNCTION("INDIRECT(""'收支紀錄'!H""&amp;TO_TEXT(ROW()-$C$72))"),"行車交通")</f>
        <v>行車交通</v>
      </c>
      <c r="I1563" s="61" t="str">
        <f>IFERROR(__xludf.DUMMYFUNCTION("INDIRECT(""'收支紀錄'!I""&amp;TO_TEXT(ROW()-$C$72))"),"")</f>
        <v/>
      </c>
      <c r="J1563" s="61" t="str">
        <f>IFERROR(__xludf.DUMMYFUNCTION("INDIRECT(""'收支紀錄'!J""&amp;TO_TEXT(ROW()-$C$72))"),"")</f>
        <v/>
      </c>
      <c r="K1563" s="61" t="str">
        <f>IFERROR(__xludf.DUMMYFUNCTION("INDIRECT(""'收支紀錄'!K""&amp;TO_TEXT(ROW()-$C$72))"),"")</f>
        <v/>
      </c>
      <c r="L1563" s="61" t="str">
        <f>IFERROR(__xludf.DUMMYFUNCTION("INDIRECT(""'收支紀錄'!L""&amp;TO_TEXT(ROW()-$C$72))"),"計程車/Uber")</f>
        <v>計程車/Uber</v>
      </c>
      <c r="M1563" s="61" t="str">
        <f>IFERROR(__xludf.DUMMYFUNCTION("INDIRECT(""'收支紀錄'!M""&amp;TO_TEXT(ROW()-$C$72))"),"")</f>
        <v/>
      </c>
      <c r="N1563" s="61" t="str">
        <f>IFERROR(__xludf.DUMMYFUNCTION("INDIRECT(""'收支紀錄'!N""&amp;TO_TEXT(ROW()-$C$72))"),"")</f>
        <v/>
      </c>
      <c r="O1563" s="61" t="str">
        <f>IFERROR(__xludf.DUMMYFUNCTION("INDIRECT(""'收支紀錄'!O""&amp;TO_TEXT(ROW()-$C$72))"),"")</f>
        <v/>
      </c>
      <c r="P1563" s="61" t="str">
        <f>IFERROR(__xludf.DUMMYFUNCTION("INDIRECT(""'收支紀錄'!P""&amp;TO_TEXT(ROW()-$C$72))"),"")</f>
        <v/>
      </c>
      <c r="Q1563" s="61" t="str">
        <f>IFERROR(__xludf.DUMMYFUNCTION("INDIRECT(""'收支紀錄'!Q""&amp;TO_TEXT(ROW()-$C$72))"),"")</f>
        <v/>
      </c>
      <c r="R1563" s="61" t="str">
        <f>IFERROR(__xludf.DUMMYFUNCTION("INDIRECT(""'收支紀錄'!R""&amp;TO_TEXT(ROW()-$C$72))"),"")</f>
        <v/>
      </c>
      <c r="S1563" s="61" t="str">
        <f>IFERROR(__xludf.DUMMYFUNCTION("INDIRECT(""'收支紀錄'!S""&amp;TO_TEXT(ROW()-$C$72))"),"")</f>
        <v/>
      </c>
      <c r="T1563" s="61" t="str">
        <f>IFERROR(__xludf.DUMMYFUNCTION("INDIRECT(""'收支紀錄'!T""&amp;TO_TEXT(ROW()-$C$72))"),"")</f>
        <v/>
      </c>
      <c r="U1563" s="62" t="str">
        <f>IFERROR(__xludf.DUMMYFUNCTION("IF(T1563=""是"",TEXTJOIN("""", TRUE, ""$"", TO_TEXT(C1563), S1563),"""")"),"")</f>
        <v/>
      </c>
    </row>
    <row r="1564">
      <c r="A1564" s="58">
        <f>IFERROR(__xludf.DUMMYFUNCTION("INDIRECT(""'收支紀錄'!A""&amp;TO_TEXT(ROW()-$C$72))"),46116.84833729167)</f>
        <v>46116.84834</v>
      </c>
      <c r="B1564" s="59">
        <f>IFERROR(__xludf.DUMMYFUNCTION("IF(ISBLANK(D1564), """", IF(ISDATE(D1564), D1564, IF(D1564=""今天"", A1564, IF(D1564=""昨天 (-1 day)"", A1564-1, IF(D1564=""前天 (-2 days)"", A1564-2, IF(D1564=""明天 (+1 day)"", A1564+1, DATE(LEFT(D1564,4), MID(D1564,5,2), RIGHT(D1564,2))))))))"),46116.84833729167)</f>
        <v>46116.84834</v>
      </c>
      <c r="C1564" s="60">
        <f>IFERROR(__xludf.DUMMYFUNCTION("INDIRECT(""'收支紀錄'!C""&amp;TO_TEXT(ROW()-$C$72))"),765.0)</f>
        <v>765</v>
      </c>
      <c r="D1564" s="63" t="str">
        <f>IFERROR(__xludf.DUMMYFUNCTION("INDIRECT(""'收支紀錄'!D""&amp;TO_TEXT(ROW()-$C$72))"),"今天")</f>
        <v>今天</v>
      </c>
      <c r="E1564" s="61" t="str">
        <f>IFERROR(__xludf.DUMMYFUNCTION("INDIRECT(""'收支紀錄'!E""&amp;TO_TEXT(ROW()-$C$72))"),"")</f>
        <v/>
      </c>
      <c r="F1564" s="61" t="str">
        <f>IFERROR(__xludf.DUMMYFUNCTION("INDIRECT(""'收支紀錄'!F""&amp;TO_TEXT(ROW()-$C$72))"),"")</f>
        <v/>
      </c>
      <c r="G1564" s="61" t="str">
        <f>IFERROR(__xludf.DUMMYFUNCTION("INDIRECT(""'收支紀錄'!G""&amp;TO_TEXT(ROW()-$C$72))"),"")</f>
        <v/>
      </c>
      <c r="H1564" s="61" t="str">
        <f>IFERROR(__xludf.DUMMYFUNCTION("INDIRECT(""'收支紀錄'!H""&amp;TO_TEXT(ROW()-$C$72))"),"行車交通")</f>
        <v>行車交通</v>
      </c>
      <c r="I1564" s="61" t="str">
        <f>IFERROR(__xludf.DUMMYFUNCTION("INDIRECT(""'收支紀錄'!I""&amp;TO_TEXT(ROW()-$C$72))"),"")</f>
        <v/>
      </c>
      <c r="J1564" s="61" t="str">
        <f>IFERROR(__xludf.DUMMYFUNCTION("INDIRECT(""'收支紀錄'!J""&amp;TO_TEXT(ROW()-$C$72))"),"")</f>
        <v/>
      </c>
      <c r="K1564" s="61" t="str">
        <f>IFERROR(__xludf.DUMMYFUNCTION("INDIRECT(""'收支紀錄'!K""&amp;TO_TEXT(ROW()-$C$72))"),"")</f>
        <v/>
      </c>
      <c r="L1564" s="61" t="str">
        <f>IFERROR(__xludf.DUMMYFUNCTION("INDIRECT(""'收支紀錄'!L""&amp;TO_TEXT(ROW()-$C$72))"),"高鐵")</f>
        <v>高鐵</v>
      </c>
      <c r="M1564" s="61" t="str">
        <f>IFERROR(__xludf.DUMMYFUNCTION("INDIRECT(""'收支紀錄'!M""&amp;TO_TEXT(ROW()-$C$72))"),"")</f>
        <v/>
      </c>
      <c r="N1564" s="61" t="str">
        <f>IFERROR(__xludf.DUMMYFUNCTION("INDIRECT(""'收支紀錄'!N""&amp;TO_TEXT(ROW()-$C$72))"),"")</f>
        <v/>
      </c>
      <c r="O1564" s="61" t="str">
        <f>IFERROR(__xludf.DUMMYFUNCTION("INDIRECT(""'收支紀錄'!O""&amp;TO_TEXT(ROW()-$C$72))"),"")</f>
        <v/>
      </c>
      <c r="P1564" s="61" t="str">
        <f>IFERROR(__xludf.DUMMYFUNCTION("INDIRECT(""'收支紀錄'!P""&amp;TO_TEXT(ROW()-$C$72))"),"")</f>
        <v/>
      </c>
      <c r="Q1564" s="61" t="str">
        <f>IFERROR(__xludf.DUMMYFUNCTION("INDIRECT(""'收支紀錄'!Q""&amp;TO_TEXT(ROW()-$C$72))"),"")</f>
        <v/>
      </c>
      <c r="R1564" s="61" t="str">
        <f>IFERROR(__xludf.DUMMYFUNCTION("INDIRECT(""'收支紀錄'!R""&amp;TO_TEXT(ROW()-$C$72))"),"")</f>
        <v/>
      </c>
      <c r="S1564" s="61" t="str">
        <f>IFERROR(__xludf.DUMMYFUNCTION("INDIRECT(""'收支紀錄'!S""&amp;TO_TEXT(ROW()-$C$72))"),"")</f>
        <v/>
      </c>
      <c r="T1564" s="61" t="str">
        <f>IFERROR(__xludf.DUMMYFUNCTION("INDIRECT(""'收支紀錄'!T""&amp;TO_TEXT(ROW()-$C$72))"),"")</f>
        <v/>
      </c>
      <c r="U1564" s="62" t="str">
        <f>IFERROR(__xludf.DUMMYFUNCTION("IF(T1564=""是"",TEXTJOIN("""", TRUE, ""$"", TO_TEXT(C1564), S1564),"""")"),"")</f>
        <v/>
      </c>
    </row>
    <row r="1565">
      <c r="A1565" s="58">
        <f>IFERROR(__xludf.DUMMYFUNCTION("INDIRECT(""'收支紀錄'!A""&amp;TO_TEXT(ROW()-$C$72))"),46116.86646989583)</f>
        <v>46116.86647</v>
      </c>
      <c r="B1565" s="59">
        <f>IFERROR(__xludf.DUMMYFUNCTION("IF(ISBLANK(D1565), """", IF(ISDATE(D1565), D1565, IF(D1565=""今天"", A1565, IF(D1565=""昨天 (-1 day)"", A1565-1, IF(D1565=""前天 (-2 days)"", A1565-2, IF(D1565=""明天 (+1 day)"", A1565+1, DATE(LEFT(D1565,4), MID(D1565,5,2), RIGHT(D1565,2))))))))"),46116.86646989583)</f>
        <v>46116.86647</v>
      </c>
      <c r="C1565" s="60">
        <f>IFERROR(__xludf.DUMMYFUNCTION("INDIRECT(""'收支紀錄'!C""&amp;TO_TEXT(ROW()-$C$72))"),550.0)</f>
        <v>550</v>
      </c>
      <c r="D1565" s="63" t="str">
        <f>IFERROR(__xludf.DUMMYFUNCTION("INDIRECT(""'收支紀錄'!D""&amp;TO_TEXT(ROW()-$C$72))"),"今天")</f>
        <v>今天</v>
      </c>
      <c r="E1565" s="61" t="str">
        <f>IFERROR(__xludf.DUMMYFUNCTION("INDIRECT(""'收支紀錄'!E""&amp;TO_TEXT(ROW()-$C$72))"),"")</f>
        <v/>
      </c>
      <c r="F1565" s="61" t="str">
        <f>IFERROR(__xludf.DUMMYFUNCTION("INDIRECT(""'收支紀錄'!F""&amp;TO_TEXT(ROW()-$C$72))"),"")</f>
        <v/>
      </c>
      <c r="G1565" s="61" t="str">
        <f>IFERROR(__xludf.DUMMYFUNCTION("INDIRECT(""'收支紀錄'!G""&amp;TO_TEXT(ROW()-$C$72))"),"")</f>
        <v/>
      </c>
      <c r="H1565" s="61" t="str">
        <f>IFERROR(__xludf.DUMMYFUNCTION("INDIRECT(""'收支紀錄'!H""&amp;TO_TEXT(ROW()-$C$72))"),"食品酒水")</f>
        <v>食品酒水</v>
      </c>
      <c r="I1565" s="61" t="str">
        <f>IFERROR(__xludf.DUMMYFUNCTION("INDIRECT(""'收支紀錄'!I""&amp;TO_TEXT(ROW()-$C$72))"),"食材")</f>
        <v>食材</v>
      </c>
      <c r="J1565" s="61" t="str">
        <f>IFERROR(__xludf.DUMMYFUNCTION("INDIRECT(""'收支紀錄'!J""&amp;TO_TEXT(ROW()-$C$72))"),"")</f>
        <v/>
      </c>
      <c r="K1565" s="61" t="str">
        <f>IFERROR(__xludf.DUMMYFUNCTION("INDIRECT(""'收支紀錄'!K""&amp;TO_TEXT(ROW()-$C$72))"),"")</f>
        <v/>
      </c>
      <c r="L1565" s="61" t="str">
        <f>IFERROR(__xludf.DUMMYFUNCTION("INDIRECT(""'收支紀錄'!L""&amp;TO_TEXT(ROW()-$C$72))"),"")</f>
        <v/>
      </c>
      <c r="M1565" s="61" t="str">
        <f>IFERROR(__xludf.DUMMYFUNCTION("INDIRECT(""'收支紀錄'!M""&amp;TO_TEXT(ROW()-$C$72))"),"")</f>
        <v/>
      </c>
      <c r="N1565" s="61" t="str">
        <f>IFERROR(__xludf.DUMMYFUNCTION("INDIRECT(""'收支紀錄'!N""&amp;TO_TEXT(ROW()-$C$72))"),"")</f>
        <v/>
      </c>
      <c r="O1565" s="61" t="str">
        <f>IFERROR(__xludf.DUMMYFUNCTION("INDIRECT(""'收支紀錄'!O""&amp;TO_TEXT(ROW()-$C$72))"),"")</f>
        <v/>
      </c>
      <c r="P1565" s="61" t="str">
        <f>IFERROR(__xludf.DUMMYFUNCTION("INDIRECT(""'收支紀錄'!P""&amp;TO_TEXT(ROW()-$C$72))"),"")</f>
        <v/>
      </c>
      <c r="Q1565" s="61" t="str">
        <f>IFERROR(__xludf.DUMMYFUNCTION("INDIRECT(""'收支紀錄'!Q""&amp;TO_TEXT(ROW()-$C$72))"),"")</f>
        <v/>
      </c>
      <c r="R1565" s="61" t="str">
        <f>IFERROR(__xludf.DUMMYFUNCTION("INDIRECT(""'收支紀錄'!R""&amp;TO_TEXT(ROW()-$C$72))"),"")</f>
        <v/>
      </c>
      <c r="S1565" s="61" t="str">
        <f>IFERROR(__xludf.DUMMYFUNCTION("INDIRECT(""'收支紀錄'!S""&amp;TO_TEXT(ROW()-$C$72))"),"")</f>
        <v/>
      </c>
      <c r="T1565" s="61" t="str">
        <f>IFERROR(__xludf.DUMMYFUNCTION("INDIRECT(""'收支紀錄'!T""&amp;TO_TEXT(ROW()-$C$72))"),"")</f>
        <v/>
      </c>
      <c r="U1565" s="62" t="str">
        <f>IFERROR(__xludf.DUMMYFUNCTION("IF(T1565=""是"",TEXTJOIN("""", TRUE, ""$"", TO_TEXT(C1565), S1565),"""")"),"")</f>
        <v/>
      </c>
    </row>
    <row r="1566">
      <c r="A1566" s="58">
        <f>IFERROR(__xludf.DUMMYFUNCTION("INDIRECT(""'收支紀錄'!A""&amp;TO_TEXT(ROW()-$C$72))"),46116.87332953703)</f>
        <v>46116.87333</v>
      </c>
      <c r="B1566" s="59">
        <f>IFERROR(__xludf.DUMMYFUNCTION("IF(ISBLANK(D1566), """", IF(ISDATE(D1566), D1566, IF(D1566=""今天"", A1566, IF(D1566=""昨天 (-1 day)"", A1566-1, IF(D1566=""前天 (-2 days)"", A1566-2, IF(D1566=""明天 (+1 day)"", A1566+1, DATE(LEFT(D1566,4), MID(D1566,5,2), RIGHT(D1566,2))))))))"),46116.87332953703)</f>
        <v>46116.87333</v>
      </c>
      <c r="C1566" s="60">
        <f>IFERROR(__xludf.DUMMYFUNCTION("INDIRECT(""'收支紀錄'!C""&amp;TO_TEXT(ROW()-$C$72))"),1480.0)</f>
        <v>1480</v>
      </c>
      <c r="D1566" s="63" t="str">
        <f>IFERROR(__xludf.DUMMYFUNCTION("INDIRECT(""'收支紀錄'!D""&amp;TO_TEXT(ROW()-$C$72))"),"今天")</f>
        <v>今天</v>
      </c>
      <c r="E1566" s="61" t="str">
        <f>IFERROR(__xludf.DUMMYFUNCTION("INDIRECT(""'收支紀錄'!E""&amp;TO_TEXT(ROW()-$C$72))"),"")</f>
        <v/>
      </c>
      <c r="F1566" s="61" t="str">
        <f>IFERROR(__xludf.DUMMYFUNCTION("INDIRECT(""'收支紀錄'!F""&amp;TO_TEXT(ROW()-$C$72))"),"")</f>
        <v/>
      </c>
      <c r="G1566" s="61" t="str">
        <f>IFERROR(__xludf.DUMMYFUNCTION("INDIRECT(""'收支紀錄'!G""&amp;TO_TEXT(ROW()-$C$72))"),"")</f>
        <v/>
      </c>
      <c r="H1566" s="61" t="str">
        <f>IFERROR(__xludf.DUMMYFUNCTION("INDIRECT(""'收支紀錄'!H""&amp;TO_TEXT(ROW()-$C$72))"),"人情往來")</f>
        <v>人情往來</v>
      </c>
      <c r="I1566" s="61" t="str">
        <f>IFERROR(__xludf.DUMMYFUNCTION("INDIRECT(""'收支紀錄'!I""&amp;TO_TEXT(ROW()-$C$72))"),"")</f>
        <v/>
      </c>
      <c r="J1566" s="61" t="str">
        <f>IFERROR(__xludf.DUMMYFUNCTION("INDIRECT(""'收支紀錄'!J""&amp;TO_TEXT(ROW()-$C$72))"),"")</f>
        <v/>
      </c>
      <c r="K1566" s="61" t="str">
        <f>IFERROR(__xludf.DUMMYFUNCTION("INDIRECT(""'收支紀錄'!K""&amp;TO_TEXT(ROW()-$C$72))"),"")</f>
        <v/>
      </c>
      <c r="L1566" s="61" t="str">
        <f>IFERROR(__xludf.DUMMYFUNCTION("INDIRECT(""'收支紀錄'!L""&amp;TO_TEXT(ROW()-$C$72))"),"")</f>
        <v/>
      </c>
      <c r="M1566" s="61" t="str">
        <f>IFERROR(__xludf.DUMMYFUNCTION("INDIRECT(""'收支紀錄'!M""&amp;TO_TEXT(ROW()-$C$72))"),"")</f>
        <v/>
      </c>
      <c r="N1566" s="61" t="str">
        <f>IFERROR(__xludf.DUMMYFUNCTION("INDIRECT(""'收支紀錄'!N""&amp;TO_TEXT(ROW()-$C$72))"),"")</f>
        <v/>
      </c>
      <c r="O1566" s="61" t="str">
        <f>IFERROR(__xludf.DUMMYFUNCTION("INDIRECT(""'收支紀錄'!O""&amp;TO_TEXT(ROW()-$C$72))"),"")</f>
        <v/>
      </c>
      <c r="P1566" s="61" t="str">
        <f>IFERROR(__xludf.DUMMYFUNCTION("INDIRECT(""'收支紀錄'!P""&amp;TO_TEXT(ROW()-$C$72))"),"")</f>
        <v/>
      </c>
      <c r="Q1566" s="61" t="str">
        <f>IFERROR(__xludf.DUMMYFUNCTION("INDIRECT(""'收支紀錄'!Q""&amp;TO_TEXT(ROW()-$C$72))"),"送禮請客")</f>
        <v>送禮請客</v>
      </c>
      <c r="R1566" s="61" t="str">
        <f>IFERROR(__xludf.DUMMYFUNCTION("INDIRECT(""'收支紀錄'!R""&amp;TO_TEXT(ROW()-$C$72))"),"")</f>
        <v/>
      </c>
      <c r="S1566" s="61" t="str">
        <f>IFERROR(__xludf.DUMMYFUNCTION("INDIRECT(""'收支紀錄'!S""&amp;TO_TEXT(ROW()-$C$72))"),"花")</f>
        <v>花</v>
      </c>
      <c r="T1566" s="61" t="str">
        <f>IFERROR(__xludf.DUMMYFUNCTION("INDIRECT(""'收支紀錄'!T""&amp;TO_TEXT(ROW()-$C$72))"),"")</f>
        <v/>
      </c>
      <c r="U1566" s="62" t="str">
        <f>IFERROR(__xludf.DUMMYFUNCTION("IF(T1566=""是"",TEXTJOIN("""", TRUE, ""$"", TO_TEXT(C1566), S1566),"""")"),"")</f>
        <v/>
      </c>
    </row>
    <row r="1567">
      <c r="A1567" s="58">
        <f>IFERROR(__xludf.DUMMYFUNCTION("INDIRECT(""'收支紀錄'!A""&amp;TO_TEXT(ROW()-$C$72))"),46117.41089619213)</f>
        <v>46117.4109</v>
      </c>
      <c r="B1567" s="59">
        <f>IFERROR(__xludf.DUMMYFUNCTION("IF(ISBLANK(D1567), """", IF(ISDATE(D1567), D1567, IF(D1567=""今天"", A1567, IF(D1567=""昨天 (-1 day)"", A1567-1, IF(D1567=""前天 (-2 days)"", A1567-2, IF(D1567=""明天 (+1 day)"", A1567+1, DATE(LEFT(D1567,4), MID(D1567,5,2), RIGHT(D1567,2))))))))"),46117.41089619213)</f>
        <v>46117.4109</v>
      </c>
      <c r="C1567" s="60">
        <f>IFERROR(__xludf.DUMMYFUNCTION("INDIRECT(""'收支紀錄'!C""&amp;TO_TEXT(ROW()-$C$72))"),250.0)</f>
        <v>250</v>
      </c>
      <c r="D1567" s="63" t="str">
        <f>IFERROR(__xludf.DUMMYFUNCTION("INDIRECT(""'收支紀錄'!D""&amp;TO_TEXT(ROW()-$C$72))"),"今天")</f>
        <v>今天</v>
      </c>
      <c r="E1567" s="61" t="str">
        <f>IFERROR(__xludf.DUMMYFUNCTION("INDIRECT(""'收支紀錄'!E""&amp;TO_TEXT(ROW()-$C$72))"),"")</f>
        <v/>
      </c>
      <c r="F1567" s="61" t="str">
        <f>IFERROR(__xludf.DUMMYFUNCTION("INDIRECT(""'收支紀錄'!F""&amp;TO_TEXT(ROW()-$C$72))"),"")</f>
        <v/>
      </c>
      <c r="G1567" s="61" t="str">
        <f>IFERROR(__xludf.DUMMYFUNCTION("INDIRECT(""'收支紀錄'!G""&amp;TO_TEXT(ROW()-$C$72))"),"")</f>
        <v/>
      </c>
      <c r="H1567" s="61" t="str">
        <f>IFERROR(__xludf.DUMMYFUNCTION("INDIRECT(""'收支紀錄'!H""&amp;TO_TEXT(ROW()-$C$72))"),"食品酒水")</f>
        <v>食品酒水</v>
      </c>
      <c r="I1567" s="61" t="str">
        <f>IFERROR(__xludf.DUMMYFUNCTION("INDIRECT(""'收支紀錄'!I""&amp;TO_TEXT(ROW()-$C$72))"),"早餐")</f>
        <v>早餐</v>
      </c>
      <c r="J1567" s="61" t="str">
        <f>IFERROR(__xludf.DUMMYFUNCTION("INDIRECT(""'收支紀錄'!J""&amp;TO_TEXT(ROW()-$C$72))"),"")</f>
        <v/>
      </c>
      <c r="K1567" s="61" t="str">
        <f>IFERROR(__xludf.DUMMYFUNCTION("INDIRECT(""'收支紀錄'!K""&amp;TO_TEXT(ROW()-$C$72))"),"")</f>
        <v/>
      </c>
      <c r="L1567" s="61" t="str">
        <f>IFERROR(__xludf.DUMMYFUNCTION("INDIRECT(""'收支紀錄'!L""&amp;TO_TEXT(ROW()-$C$72))"),"")</f>
        <v/>
      </c>
      <c r="M1567" s="61" t="str">
        <f>IFERROR(__xludf.DUMMYFUNCTION("INDIRECT(""'收支紀錄'!M""&amp;TO_TEXT(ROW()-$C$72))"),"")</f>
        <v/>
      </c>
      <c r="N1567" s="61" t="str">
        <f>IFERROR(__xludf.DUMMYFUNCTION("INDIRECT(""'收支紀錄'!N""&amp;TO_TEXT(ROW()-$C$72))"),"")</f>
        <v/>
      </c>
      <c r="O1567" s="61" t="str">
        <f>IFERROR(__xludf.DUMMYFUNCTION("INDIRECT(""'收支紀錄'!O""&amp;TO_TEXT(ROW()-$C$72))"),"")</f>
        <v/>
      </c>
      <c r="P1567" s="61" t="str">
        <f>IFERROR(__xludf.DUMMYFUNCTION("INDIRECT(""'收支紀錄'!P""&amp;TO_TEXT(ROW()-$C$72))"),"")</f>
        <v/>
      </c>
      <c r="Q1567" s="61" t="str">
        <f>IFERROR(__xludf.DUMMYFUNCTION("INDIRECT(""'收支紀錄'!Q""&amp;TO_TEXT(ROW()-$C$72))"),"")</f>
        <v/>
      </c>
      <c r="R1567" s="61" t="str">
        <f>IFERROR(__xludf.DUMMYFUNCTION("INDIRECT(""'收支紀錄'!R""&amp;TO_TEXT(ROW()-$C$72))"),"")</f>
        <v/>
      </c>
      <c r="S1567" s="61" t="str">
        <f>IFERROR(__xludf.DUMMYFUNCTION("INDIRECT(""'收支紀錄'!S""&amp;TO_TEXT(ROW()-$C$72))"),"")</f>
        <v/>
      </c>
      <c r="T1567" s="61" t="str">
        <f>IFERROR(__xludf.DUMMYFUNCTION("INDIRECT(""'收支紀錄'!T""&amp;TO_TEXT(ROW()-$C$72))"),"")</f>
        <v/>
      </c>
      <c r="U1567" s="62" t="str">
        <f>IFERROR(__xludf.DUMMYFUNCTION("IF(T1567=""是"",TEXTJOIN("""", TRUE, ""$"", TO_TEXT(C1567), S1567),"""")"),"")</f>
        <v/>
      </c>
    </row>
    <row r="1568">
      <c r="A1568" s="58">
        <f>IFERROR(__xludf.DUMMYFUNCTION("INDIRECT(""'收支紀錄'!A""&amp;TO_TEXT(ROW()-$C$72))"),46118.665083217595)</f>
        <v>46118.66508</v>
      </c>
      <c r="B1568" s="59">
        <f>IFERROR(__xludf.DUMMYFUNCTION("IF(ISBLANK(D1568), """", IF(ISDATE(D1568), D1568, IF(D1568=""今天"", A1568, IF(D1568=""昨天 (-1 day)"", A1568-1, IF(D1568=""前天 (-2 days)"", A1568-2, IF(D1568=""明天 (+1 day)"", A1568+1, DATE(LEFT(D1568,4), MID(D1568,5,2), RIGHT(D1568,2))))))))"),46118.665083217595)</f>
        <v>46118.66508</v>
      </c>
      <c r="C1568" s="60">
        <f>IFERROR(__xludf.DUMMYFUNCTION("INDIRECT(""'收支紀錄'!C""&amp;TO_TEXT(ROW()-$C$72))"),2409.0)</f>
        <v>2409</v>
      </c>
      <c r="D1568" s="63" t="str">
        <f>IFERROR(__xludf.DUMMYFUNCTION("INDIRECT(""'收支紀錄'!D""&amp;TO_TEXT(ROW()-$C$72))"),"今天")</f>
        <v>今天</v>
      </c>
      <c r="E1568" s="61" t="str">
        <f>IFERROR(__xludf.DUMMYFUNCTION("INDIRECT(""'收支紀錄'!E""&amp;TO_TEXT(ROW()-$C$72))"),"")</f>
        <v/>
      </c>
      <c r="F1568" s="61" t="str">
        <f>IFERROR(__xludf.DUMMYFUNCTION("INDIRECT(""'收支紀錄'!F""&amp;TO_TEXT(ROW()-$C$72))"),"")</f>
        <v/>
      </c>
      <c r="G1568" s="61" t="str">
        <f>IFERROR(__xludf.DUMMYFUNCTION("INDIRECT(""'收支紀錄'!G""&amp;TO_TEXT(ROW()-$C$72))"),"")</f>
        <v/>
      </c>
      <c r="H1568" s="61" t="str">
        <f>IFERROR(__xludf.DUMMYFUNCTION("INDIRECT(""'收支紀錄'!H""&amp;TO_TEXT(ROW()-$C$72))"),"食品酒水")</f>
        <v>食品酒水</v>
      </c>
      <c r="I1568" s="61" t="str">
        <f>IFERROR(__xludf.DUMMYFUNCTION("INDIRECT(""'收支紀錄'!I""&amp;TO_TEXT(ROW()-$C$72))"),"食材")</f>
        <v>食材</v>
      </c>
      <c r="J1568" s="61" t="str">
        <f>IFERROR(__xludf.DUMMYFUNCTION("INDIRECT(""'收支紀錄'!J""&amp;TO_TEXT(ROW()-$C$72))"),"")</f>
        <v/>
      </c>
      <c r="K1568" s="61" t="str">
        <f>IFERROR(__xludf.DUMMYFUNCTION("INDIRECT(""'收支紀錄'!K""&amp;TO_TEXT(ROW()-$C$72))"),"")</f>
        <v/>
      </c>
      <c r="L1568" s="61" t="str">
        <f>IFERROR(__xludf.DUMMYFUNCTION("INDIRECT(""'收支紀錄'!L""&amp;TO_TEXT(ROW()-$C$72))"),"")</f>
        <v/>
      </c>
      <c r="M1568" s="61" t="str">
        <f>IFERROR(__xludf.DUMMYFUNCTION("INDIRECT(""'收支紀錄'!M""&amp;TO_TEXT(ROW()-$C$72))"),"")</f>
        <v/>
      </c>
      <c r="N1568" s="61" t="str">
        <f>IFERROR(__xludf.DUMMYFUNCTION("INDIRECT(""'收支紀錄'!N""&amp;TO_TEXT(ROW()-$C$72))"),"")</f>
        <v/>
      </c>
      <c r="O1568" s="61" t="str">
        <f>IFERROR(__xludf.DUMMYFUNCTION("INDIRECT(""'收支紀錄'!O""&amp;TO_TEXT(ROW()-$C$72))"),"")</f>
        <v/>
      </c>
      <c r="P1568" s="61" t="str">
        <f>IFERROR(__xludf.DUMMYFUNCTION("INDIRECT(""'收支紀錄'!P""&amp;TO_TEXT(ROW()-$C$72))"),"")</f>
        <v/>
      </c>
      <c r="Q1568" s="61" t="str">
        <f>IFERROR(__xludf.DUMMYFUNCTION("INDIRECT(""'收支紀錄'!Q""&amp;TO_TEXT(ROW()-$C$72))"),"")</f>
        <v/>
      </c>
      <c r="R1568" s="61" t="str">
        <f>IFERROR(__xludf.DUMMYFUNCTION("INDIRECT(""'收支紀錄'!R""&amp;TO_TEXT(ROW()-$C$72))"),"")</f>
        <v/>
      </c>
      <c r="S1568" s="61" t="str">
        <f>IFERROR(__xludf.DUMMYFUNCTION("INDIRECT(""'收支紀錄'!S""&amp;TO_TEXT(ROW()-$C$72))"),"")</f>
        <v/>
      </c>
      <c r="T1568" s="61" t="str">
        <f>IFERROR(__xludf.DUMMYFUNCTION("INDIRECT(""'收支紀錄'!T""&amp;TO_TEXT(ROW()-$C$72))"),"")</f>
        <v/>
      </c>
      <c r="U1568" s="62" t="str">
        <f>IFERROR(__xludf.DUMMYFUNCTION("IF(T1568=""是"",TEXTJOIN("""", TRUE, ""$"", TO_TEXT(C1568), S1568),"""")"),"")</f>
        <v/>
      </c>
    </row>
    <row r="1569">
      <c r="A1569" s="58">
        <f>IFERROR(__xludf.DUMMYFUNCTION("INDIRECT(""'收支紀錄'!A""&amp;TO_TEXT(ROW()-$C$72))"),46118.898301967594)</f>
        <v>46118.8983</v>
      </c>
      <c r="B1569" s="59">
        <f>IFERROR(__xludf.DUMMYFUNCTION("IF(ISBLANK(D1569), """", IF(ISDATE(D1569), D1569, IF(D1569=""今天"", A1569, IF(D1569=""昨天 (-1 day)"", A1569-1, IF(D1569=""前天 (-2 days)"", A1569-2, IF(D1569=""明天 (+1 day)"", A1569+1, DATE(LEFT(D1569,4), MID(D1569,5,2), RIGHT(D1569,2))))))))"),46118.898301967594)</f>
        <v>46118.8983</v>
      </c>
      <c r="C1569" s="60">
        <f>IFERROR(__xludf.DUMMYFUNCTION("INDIRECT(""'收支紀錄'!C""&amp;TO_TEXT(ROW()-$C$72))"),107300.0)</f>
        <v>107300</v>
      </c>
      <c r="D1569" s="63" t="str">
        <f>IFERROR(__xludf.DUMMYFUNCTION("INDIRECT(""'收支紀錄'!D""&amp;TO_TEXT(ROW()-$C$72))"),"今天")</f>
        <v>今天</v>
      </c>
      <c r="E1569" s="61" t="str">
        <f>IFERROR(__xludf.DUMMYFUNCTION("INDIRECT(""'收支紀錄'!E""&amp;TO_TEXT(ROW()-$C$72))"),"工作")</f>
        <v>工作</v>
      </c>
      <c r="F1569" s="61" t="str">
        <f>IFERROR(__xludf.DUMMYFUNCTION("INDIRECT(""'收支紀錄'!F""&amp;TO_TEXT(ROW()-$C$72))"),"底薪")</f>
        <v>底薪</v>
      </c>
      <c r="G1569" s="61" t="str">
        <f>IFERROR(__xludf.DUMMYFUNCTION("INDIRECT(""'收支紀錄'!G""&amp;TO_TEXT(ROW()-$C$72))"),"")</f>
        <v/>
      </c>
      <c r="H1569" s="61" t="str">
        <f>IFERROR(__xludf.DUMMYFUNCTION("INDIRECT(""'收支紀錄'!H""&amp;TO_TEXT(ROW()-$C$72))"),"")</f>
        <v/>
      </c>
      <c r="I1569" s="61" t="str">
        <f>IFERROR(__xludf.DUMMYFUNCTION("INDIRECT(""'收支紀錄'!I""&amp;TO_TEXT(ROW()-$C$72))"),"")</f>
        <v/>
      </c>
      <c r="J1569" s="61" t="str">
        <f>IFERROR(__xludf.DUMMYFUNCTION("INDIRECT(""'收支紀錄'!J""&amp;TO_TEXT(ROW()-$C$72))"),"")</f>
        <v/>
      </c>
      <c r="K1569" s="61" t="str">
        <f>IFERROR(__xludf.DUMMYFUNCTION("INDIRECT(""'收支紀錄'!K""&amp;TO_TEXT(ROW()-$C$72))"),"")</f>
        <v/>
      </c>
      <c r="L1569" s="61" t="str">
        <f>IFERROR(__xludf.DUMMYFUNCTION("INDIRECT(""'收支紀錄'!L""&amp;TO_TEXT(ROW()-$C$72))"),"")</f>
        <v/>
      </c>
      <c r="M1569" s="61" t="str">
        <f>IFERROR(__xludf.DUMMYFUNCTION("INDIRECT(""'收支紀錄'!M""&amp;TO_TEXT(ROW()-$C$72))"),"")</f>
        <v/>
      </c>
      <c r="N1569" s="61" t="str">
        <f>IFERROR(__xludf.DUMMYFUNCTION("INDIRECT(""'收支紀錄'!N""&amp;TO_TEXT(ROW()-$C$72))"),"")</f>
        <v/>
      </c>
      <c r="O1569" s="61" t="str">
        <f>IFERROR(__xludf.DUMMYFUNCTION("INDIRECT(""'收支紀錄'!O""&amp;TO_TEXT(ROW()-$C$72))"),"")</f>
        <v/>
      </c>
      <c r="P1569" s="61" t="str">
        <f>IFERROR(__xludf.DUMMYFUNCTION("INDIRECT(""'收支紀錄'!P""&amp;TO_TEXT(ROW()-$C$72))"),"")</f>
        <v/>
      </c>
      <c r="Q1569" s="61" t="str">
        <f>IFERROR(__xludf.DUMMYFUNCTION("INDIRECT(""'收支紀錄'!Q""&amp;TO_TEXT(ROW()-$C$72))"),"")</f>
        <v/>
      </c>
      <c r="R1569" s="61" t="str">
        <f>IFERROR(__xludf.DUMMYFUNCTION("INDIRECT(""'收支紀錄'!R""&amp;TO_TEXT(ROW()-$C$72))"),"")</f>
        <v/>
      </c>
      <c r="S1569" s="61" t="str">
        <f>IFERROR(__xludf.DUMMYFUNCTION("INDIRECT(""'收支紀錄'!S""&amp;TO_TEXT(ROW()-$C$72))"),"")</f>
        <v/>
      </c>
      <c r="T1569" s="61" t="str">
        <f>IFERROR(__xludf.DUMMYFUNCTION("INDIRECT(""'收支紀錄'!T""&amp;TO_TEXT(ROW()-$C$72))"),"")</f>
        <v/>
      </c>
      <c r="U1569" s="62" t="str">
        <f>IFERROR(__xludf.DUMMYFUNCTION("IF(T1569=""是"",TEXTJOIN("""", TRUE, ""$"", TO_TEXT(C1569), S1569),"""")"),"")</f>
        <v/>
      </c>
    </row>
    <row r="1570">
      <c r="A1570" s="58">
        <f>IFERROR(__xludf.DUMMYFUNCTION("INDIRECT(""'收支紀錄'!A""&amp;TO_TEXT(ROW()-$C$72))"),46118.8986733912)</f>
        <v>46118.89867</v>
      </c>
      <c r="B1570" s="59">
        <f>IFERROR(__xludf.DUMMYFUNCTION("IF(ISBLANK(D1570), """", IF(ISDATE(D1570), D1570, IF(D1570=""今天"", A1570, IF(D1570=""昨天 (-1 day)"", A1570-1, IF(D1570=""前天 (-2 days)"", A1570-2, IF(D1570=""明天 (+1 day)"", A1570+1, DATE(LEFT(D1570,4), MID(D1570,5,2), RIGHT(D1570,2))))))))"),46118.8986733912)</f>
        <v>46118.89867</v>
      </c>
      <c r="C1570" s="60">
        <f>IFERROR(__xludf.DUMMYFUNCTION("INDIRECT(""'收支紀錄'!C""&amp;TO_TEXT(ROW()-$C$72))"),6927.0)</f>
        <v>6927</v>
      </c>
      <c r="D1570" s="63" t="str">
        <f>IFERROR(__xludf.DUMMYFUNCTION("INDIRECT(""'收支紀錄'!D""&amp;TO_TEXT(ROW()-$C$72))"),"今天")</f>
        <v>今天</v>
      </c>
      <c r="E1570" s="61" t="str">
        <f>IFERROR(__xludf.DUMMYFUNCTION("INDIRECT(""'收支紀錄'!E""&amp;TO_TEXT(ROW()-$C$72))"),"工作")</f>
        <v>工作</v>
      </c>
      <c r="F1570" s="61" t="str">
        <f>IFERROR(__xludf.DUMMYFUNCTION("INDIRECT(""'收支紀錄'!F""&amp;TO_TEXT(ROW()-$C$72))"),"加班/津貼")</f>
        <v>加班/津貼</v>
      </c>
      <c r="G1570" s="61" t="str">
        <f>IFERROR(__xludf.DUMMYFUNCTION("INDIRECT(""'收支紀錄'!G""&amp;TO_TEXT(ROW()-$C$72))"),"")</f>
        <v/>
      </c>
      <c r="H1570" s="61" t="str">
        <f>IFERROR(__xludf.DUMMYFUNCTION("INDIRECT(""'收支紀錄'!H""&amp;TO_TEXT(ROW()-$C$72))"),"")</f>
        <v/>
      </c>
      <c r="I1570" s="61" t="str">
        <f>IFERROR(__xludf.DUMMYFUNCTION("INDIRECT(""'收支紀錄'!I""&amp;TO_TEXT(ROW()-$C$72))"),"")</f>
        <v/>
      </c>
      <c r="J1570" s="61" t="str">
        <f>IFERROR(__xludf.DUMMYFUNCTION("INDIRECT(""'收支紀錄'!J""&amp;TO_TEXT(ROW()-$C$72))"),"")</f>
        <v/>
      </c>
      <c r="K1570" s="61" t="str">
        <f>IFERROR(__xludf.DUMMYFUNCTION("INDIRECT(""'收支紀錄'!K""&amp;TO_TEXT(ROW()-$C$72))"),"")</f>
        <v/>
      </c>
      <c r="L1570" s="61" t="str">
        <f>IFERROR(__xludf.DUMMYFUNCTION("INDIRECT(""'收支紀錄'!L""&amp;TO_TEXT(ROW()-$C$72))"),"")</f>
        <v/>
      </c>
      <c r="M1570" s="61" t="str">
        <f>IFERROR(__xludf.DUMMYFUNCTION("INDIRECT(""'收支紀錄'!M""&amp;TO_TEXT(ROW()-$C$72))"),"")</f>
        <v/>
      </c>
      <c r="N1570" s="61" t="str">
        <f>IFERROR(__xludf.DUMMYFUNCTION("INDIRECT(""'收支紀錄'!N""&amp;TO_TEXT(ROW()-$C$72))"),"")</f>
        <v/>
      </c>
      <c r="O1570" s="61" t="str">
        <f>IFERROR(__xludf.DUMMYFUNCTION("INDIRECT(""'收支紀錄'!O""&amp;TO_TEXT(ROW()-$C$72))"),"")</f>
        <v/>
      </c>
      <c r="P1570" s="61" t="str">
        <f>IFERROR(__xludf.DUMMYFUNCTION("INDIRECT(""'收支紀錄'!P""&amp;TO_TEXT(ROW()-$C$72))"),"")</f>
        <v/>
      </c>
      <c r="Q1570" s="61" t="str">
        <f>IFERROR(__xludf.DUMMYFUNCTION("INDIRECT(""'收支紀錄'!Q""&amp;TO_TEXT(ROW()-$C$72))"),"")</f>
        <v/>
      </c>
      <c r="R1570" s="61" t="str">
        <f>IFERROR(__xludf.DUMMYFUNCTION("INDIRECT(""'收支紀錄'!R""&amp;TO_TEXT(ROW()-$C$72))"),"")</f>
        <v/>
      </c>
      <c r="S1570" s="61" t="str">
        <f>IFERROR(__xludf.DUMMYFUNCTION("INDIRECT(""'收支紀錄'!S""&amp;TO_TEXT(ROW()-$C$72))"),"")</f>
        <v/>
      </c>
      <c r="T1570" s="61" t="str">
        <f>IFERROR(__xludf.DUMMYFUNCTION("INDIRECT(""'收支紀錄'!T""&amp;TO_TEXT(ROW()-$C$72))"),"")</f>
        <v/>
      </c>
      <c r="U1570" s="62" t="str">
        <f>IFERROR(__xludf.DUMMYFUNCTION("IF(T1570=""是"",TEXTJOIN("""", TRUE, ""$"", TO_TEXT(C1570), S1570),"""")"),"")</f>
        <v/>
      </c>
    </row>
    <row r="1571">
      <c r="A1571" s="58">
        <f>IFERROR(__xludf.DUMMYFUNCTION("INDIRECT(""'收支紀錄'!A""&amp;TO_TEXT(ROW()-$C$72))"),46118.89926077546)</f>
        <v>46118.89926</v>
      </c>
      <c r="B1571" s="59">
        <f>IFERROR(__xludf.DUMMYFUNCTION("IF(ISBLANK(D1571), """", IF(ISDATE(D1571), D1571, IF(D1571=""今天"", A1571, IF(D1571=""昨天 (-1 day)"", A1571-1, IF(D1571=""前天 (-2 days)"", A1571-2, IF(D1571=""明天 (+1 day)"", A1571+1, DATE(LEFT(D1571,4), MID(D1571,5,2), RIGHT(D1571,2))))))))"),46118.89926077546)</f>
        <v>46118.89926</v>
      </c>
      <c r="C1571" s="60">
        <f>IFERROR(__xludf.DUMMYFUNCTION("INDIRECT(""'收支紀錄'!C""&amp;TO_TEXT(ROW()-$C$72))"),5000.0)</f>
        <v>5000</v>
      </c>
      <c r="D1571" s="63" t="str">
        <f>IFERROR(__xludf.DUMMYFUNCTION("INDIRECT(""'收支紀錄'!D""&amp;TO_TEXT(ROW()-$C$72))"),"今天")</f>
        <v>今天</v>
      </c>
      <c r="E1571" s="61" t="str">
        <f>IFERROR(__xludf.DUMMYFUNCTION("INDIRECT(""'收支紀錄'!E""&amp;TO_TEXT(ROW()-$C$72))"),"工作")</f>
        <v>工作</v>
      </c>
      <c r="F1571" s="61" t="str">
        <f>IFERROR(__xludf.DUMMYFUNCTION("INDIRECT(""'收支紀錄'!F""&amp;TO_TEXT(ROW()-$C$72))"),"加班/津貼")</f>
        <v>加班/津貼</v>
      </c>
      <c r="G1571" s="61" t="str">
        <f>IFERROR(__xludf.DUMMYFUNCTION("INDIRECT(""'收支紀錄'!G""&amp;TO_TEXT(ROW()-$C$72))"),"")</f>
        <v/>
      </c>
      <c r="H1571" s="61" t="str">
        <f>IFERROR(__xludf.DUMMYFUNCTION("INDIRECT(""'收支紀錄'!H""&amp;TO_TEXT(ROW()-$C$72))"),"")</f>
        <v/>
      </c>
      <c r="I1571" s="61" t="str">
        <f>IFERROR(__xludf.DUMMYFUNCTION("INDIRECT(""'收支紀錄'!I""&amp;TO_TEXT(ROW()-$C$72))"),"")</f>
        <v/>
      </c>
      <c r="J1571" s="61" t="str">
        <f>IFERROR(__xludf.DUMMYFUNCTION("INDIRECT(""'收支紀錄'!J""&amp;TO_TEXT(ROW()-$C$72))"),"")</f>
        <v/>
      </c>
      <c r="K1571" s="61" t="str">
        <f>IFERROR(__xludf.DUMMYFUNCTION("INDIRECT(""'收支紀錄'!K""&amp;TO_TEXT(ROW()-$C$72))"),"")</f>
        <v/>
      </c>
      <c r="L1571" s="61" t="str">
        <f>IFERROR(__xludf.DUMMYFUNCTION("INDIRECT(""'收支紀錄'!L""&amp;TO_TEXT(ROW()-$C$72))"),"")</f>
        <v/>
      </c>
      <c r="M1571" s="61" t="str">
        <f>IFERROR(__xludf.DUMMYFUNCTION("INDIRECT(""'收支紀錄'!M""&amp;TO_TEXT(ROW()-$C$72))"),"")</f>
        <v/>
      </c>
      <c r="N1571" s="61" t="str">
        <f>IFERROR(__xludf.DUMMYFUNCTION("INDIRECT(""'收支紀錄'!N""&amp;TO_TEXT(ROW()-$C$72))"),"")</f>
        <v/>
      </c>
      <c r="O1571" s="61" t="str">
        <f>IFERROR(__xludf.DUMMYFUNCTION("INDIRECT(""'收支紀錄'!O""&amp;TO_TEXT(ROW()-$C$72))"),"")</f>
        <v/>
      </c>
      <c r="P1571" s="61" t="str">
        <f>IFERROR(__xludf.DUMMYFUNCTION("INDIRECT(""'收支紀錄'!P""&amp;TO_TEXT(ROW()-$C$72))"),"")</f>
        <v/>
      </c>
      <c r="Q1571" s="61" t="str">
        <f>IFERROR(__xludf.DUMMYFUNCTION("INDIRECT(""'收支紀錄'!Q""&amp;TO_TEXT(ROW()-$C$72))"),"")</f>
        <v/>
      </c>
      <c r="R1571" s="61" t="str">
        <f>IFERROR(__xludf.DUMMYFUNCTION("INDIRECT(""'收支紀錄'!R""&amp;TO_TEXT(ROW()-$C$72))"),"")</f>
        <v/>
      </c>
      <c r="S1571" s="61" t="str">
        <f>IFERROR(__xludf.DUMMYFUNCTION("INDIRECT(""'收支紀錄'!S""&amp;TO_TEXT(ROW()-$C$72))"),"其他加項(?)")</f>
        <v>其他加項(?)</v>
      </c>
      <c r="T1571" s="61" t="str">
        <f>IFERROR(__xludf.DUMMYFUNCTION("INDIRECT(""'收支紀錄'!T""&amp;TO_TEXT(ROW()-$C$72))"),"是")</f>
        <v>是</v>
      </c>
      <c r="U1571" s="62" t="str">
        <f>IFERROR(__xludf.DUMMYFUNCTION("IF(T1571=""是"",TEXTJOIN("""", TRUE, ""$"", TO_TEXT(C1571), S1571),"""")"),"$5000其他加項(?)")</f>
        <v>$5000其他加項(?)</v>
      </c>
    </row>
    <row r="1572">
      <c r="A1572" s="58">
        <f>IFERROR(__xludf.DUMMYFUNCTION("INDIRECT(""'收支紀錄'!A""&amp;TO_TEXT(ROW()-$C$72))"),46118.899721712965)</f>
        <v>46118.89972</v>
      </c>
      <c r="B1572" s="59">
        <f>IFERROR(__xludf.DUMMYFUNCTION("IF(ISBLANK(D1572), """", IF(ISDATE(D1572), D1572, IF(D1572=""今天"", A1572, IF(D1572=""昨天 (-1 day)"", A1572-1, IF(D1572=""前天 (-2 days)"", A1572-2, IF(D1572=""明天 (+1 day)"", A1572+1, DATE(LEFT(D1572,4), MID(D1572,5,2), RIGHT(D1572,2))))))))"),46118.899721712965)</f>
        <v>46118.89972</v>
      </c>
      <c r="C1572" s="60">
        <f>IFERROR(__xludf.DUMMYFUNCTION("INDIRECT(""'收支紀錄'!C""&amp;TO_TEXT(ROW()-$C$72))"),4292.0)</f>
        <v>4292</v>
      </c>
      <c r="D1572" s="63" t="str">
        <f>IFERROR(__xludf.DUMMYFUNCTION("INDIRECT(""'收支紀錄'!D""&amp;TO_TEXT(ROW()-$C$72))"),"今天")</f>
        <v>今天</v>
      </c>
      <c r="E1572" s="61" t="str">
        <f>IFERROR(__xludf.DUMMYFUNCTION("INDIRECT(""'收支紀錄'!E""&amp;TO_TEXT(ROW()-$C$72))"),"")</f>
        <v/>
      </c>
      <c r="F1572" s="61" t="str">
        <f>IFERROR(__xludf.DUMMYFUNCTION("INDIRECT(""'收支紀錄'!F""&amp;TO_TEXT(ROW()-$C$72))"),"")</f>
        <v/>
      </c>
      <c r="G1572" s="61" t="str">
        <f>IFERROR(__xludf.DUMMYFUNCTION("INDIRECT(""'收支紀錄'!G""&amp;TO_TEXT(ROW()-$C$72))"),"")</f>
        <v/>
      </c>
      <c r="H1572" s="61" t="str">
        <f>IFERROR(__xludf.DUMMYFUNCTION("INDIRECT(""'收支紀錄'!H""&amp;TO_TEXT(ROW()-$C$72))"),"投資及其他")</f>
        <v>投資及其他</v>
      </c>
      <c r="I1572" s="61" t="str">
        <f>IFERROR(__xludf.DUMMYFUNCTION("INDIRECT(""'收支紀錄'!I""&amp;TO_TEXT(ROW()-$C$72))"),"")</f>
        <v/>
      </c>
      <c r="J1572" s="61" t="str">
        <f>IFERROR(__xludf.DUMMYFUNCTION("INDIRECT(""'收支紀錄'!J""&amp;TO_TEXT(ROW()-$C$72))"),"")</f>
        <v/>
      </c>
      <c r="K1572" s="61" t="str">
        <f>IFERROR(__xludf.DUMMYFUNCTION("INDIRECT(""'收支紀錄'!K""&amp;TO_TEXT(ROW()-$C$72))"),"")</f>
        <v/>
      </c>
      <c r="L1572" s="61" t="str">
        <f>IFERROR(__xludf.DUMMYFUNCTION("INDIRECT(""'收支紀錄'!L""&amp;TO_TEXT(ROW()-$C$72))"),"")</f>
        <v/>
      </c>
      <c r="M1572" s="61" t="str">
        <f>IFERROR(__xludf.DUMMYFUNCTION("INDIRECT(""'收支紀錄'!M""&amp;TO_TEXT(ROW()-$C$72))"),"")</f>
        <v/>
      </c>
      <c r="N1572" s="61" t="str">
        <f>IFERROR(__xludf.DUMMYFUNCTION("INDIRECT(""'收支紀錄'!N""&amp;TO_TEXT(ROW()-$C$72))"),"")</f>
        <v/>
      </c>
      <c r="O1572" s="61" t="str">
        <f>IFERROR(__xludf.DUMMYFUNCTION("INDIRECT(""'收支紀錄'!O""&amp;TO_TEXT(ROW()-$C$72))"),"")</f>
        <v/>
      </c>
      <c r="P1572" s="61" t="str">
        <f>IFERROR(__xludf.DUMMYFUNCTION("INDIRECT(""'收支紀錄'!P""&amp;TO_TEXT(ROW()-$C$72))"),"")</f>
        <v/>
      </c>
      <c r="Q1572" s="61" t="str">
        <f>IFERROR(__xludf.DUMMYFUNCTION("INDIRECT(""'收支紀錄'!Q""&amp;TO_TEXT(ROW()-$C$72))"),"")</f>
        <v/>
      </c>
      <c r="R1572" s="61" t="str">
        <f>IFERROR(__xludf.DUMMYFUNCTION("INDIRECT(""'收支紀錄'!R""&amp;TO_TEXT(ROW()-$C$72))"),"公司認股")</f>
        <v>公司認股</v>
      </c>
      <c r="S1572" s="61" t="str">
        <f>IFERROR(__xludf.DUMMYFUNCTION("INDIRECT(""'收支紀錄'!S""&amp;TO_TEXT(ROW()-$C$72))"),"")</f>
        <v/>
      </c>
      <c r="T1572" s="61" t="str">
        <f>IFERROR(__xludf.DUMMYFUNCTION("INDIRECT(""'收支紀錄'!T""&amp;TO_TEXT(ROW()-$C$72))"),"")</f>
        <v/>
      </c>
      <c r="U1572" s="62" t="str">
        <f>IFERROR(__xludf.DUMMYFUNCTION("IF(T1572=""是"",TEXTJOIN("""", TRUE, ""$"", TO_TEXT(C1572), S1572),"""")"),"")</f>
        <v/>
      </c>
    </row>
    <row r="1573">
      <c r="A1573" s="58">
        <f>IFERROR(__xludf.DUMMYFUNCTION("INDIRECT(""'收支紀錄'!A""&amp;TO_TEXT(ROW()-$C$72))"),46118.899975520835)</f>
        <v>46118.89998</v>
      </c>
      <c r="B1573" s="59">
        <f>IFERROR(__xludf.DUMMYFUNCTION("IF(ISBLANK(D1573), """", IF(ISDATE(D1573), D1573, IF(D1573=""今天"", A1573, IF(D1573=""昨天 (-1 day)"", A1573-1, IF(D1573=""前天 (-2 days)"", A1573-2, IF(D1573=""明天 (+1 day)"", A1573+1, DATE(LEFT(D1573,4), MID(D1573,5,2), RIGHT(D1573,2))))))))"),46118.899975520835)</f>
        <v>46118.89998</v>
      </c>
      <c r="C1573" s="60">
        <f>IFERROR(__xludf.DUMMYFUNCTION("INDIRECT(""'收支紀錄'!C""&amp;TO_TEXT(ROW()-$C$72))"),1900.0)</f>
        <v>1900</v>
      </c>
      <c r="D1573" s="63" t="str">
        <f>IFERROR(__xludf.DUMMYFUNCTION("INDIRECT(""'收支紀錄'!D""&amp;TO_TEXT(ROW()-$C$72))"),"今天")</f>
        <v>今天</v>
      </c>
      <c r="E1573" s="61" t="str">
        <f>IFERROR(__xludf.DUMMYFUNCTION("INDIRECT(""'收支紀錄'!E""&amp;TO_TEXT(ROW()-$C$72))"),"")</f>
        <v/>
      </c>
      <c r="F1573" s="61" t="str">
        <f>IFERROR(__xludf.DUMMYFUNCTION("INDIRECT(""'收支紀錄'!F""&amp;TO_TEXT(ROW()-$C$72))"),"")</f>
        <v/>
      </c>
      <c r="G1573" s="61" t="str">
        <f>IFERROR(__xludf.DUMMYFUNCTION("INDIRECT(""'收支紀錄'!G""&amp;TO_TEXT(ROW()-$C$72))"),"")</f>
        <v/>
      </c>
      <c r="H1573" s="61" t="str">
        <f>IFERROR(__xludf.DUMMYFUNCTION("INDIRECT(""'收支紀錄'!H""&amp;TO_TEXT(ROW()-$C$72))"),"食品酒水")</f>
        <v>食品酒水</v>
      </c>
      <c r="I1573" s="61" t="str">
        <f>IFERROR(__xludf.DUMMYFUNCTION("INDIRECT(""'收支紀錄'!I""&amp;TO_TEXT(ROW()-$C$72))"),"前月公司餐費扣款")</f>
        <v>前月公司餐費扣款</v>
      </c>
      <c r="J1573" s="61" t="str">
        <f>IFERROR(__xludf.DUMMYFUNCTION("INDIRECT(""'收支紀錄'!J""&amp;TO_TEXT(ROW()-$C$72))"),"")</f>
        <v/>
      </c>
      <c r="K1573" s="61" t="str">
        <f>IFERROR(__xludf.DUMMYFUNCTION("INDIRECT(""'收支紀錄'!K""&amp;TO_TEXT(ROW()-$C$72))"),"")</f>
        <v/>
      </c>
      <c r="L1573" s="61" t="str">
        <f>IFERROR(__xludf.DUMMYFUNCTION("INDIRECT(""'收支紀錄'!L""&amp;TO_TEXT(ROW()-$C$72))"),"")</f>
        <v/>
      </c>
      <c r="M1573" s="61" t="str">
        <f>IFERROR(__xludf.DUMMYFUNCTION("INDIRECT(""'收支紀錄'!M""&amp;TO_TEXT(ROW()-$C$72))"),"")</f>
        <v/>
      </c>
      <c r="N1573" s="61" t="str">
        <f>IFERROR(__xludf.DUMMYFUNCTION("INDIRECT(""'收支紀錄'!N""&amp;TO_TEXT(ROW()-$C$72))"),"")</f>
        <v/>
      </c>
      <c r="O1573" s="61" t="str">
        <f>IFERROR(__xludf.DUMMYFUNCTION("INDIRECT(""'收支紀錄'!O""&amp;TO_TEXT(ROW()-$C$72))"),"")</f>
        <v/>
      </c>
      <c r="P1573" s="61" t="str">
        <f>IFERROR(__xludf.DUMMYFUNCTION("INDIRECT(""'收支紀錄'!P""&amp;TO_TEXT(ROW()-$C$72))"),"")</f>
        <v/>
      </c>
      <c r="Q1573" s="61" t="str">
        <f>IFERROR(__xludf.DUMMYFUNCTION("INDIRECT(""'收支紀錄'!Q""&amp;TO_TEXT(ROW()-$C$72))"),"")</f>
        <v/>
      </c>
      <c r="R1573" s="61" t="str">
        <f>IFERROR(__xludf.DUMMYFUNCTION("INDIRECT(""'收支紀錄'!R""&amp;TO_TEXT(ROW()-$C$72))"),"")</f>
        <v/>
      </c>
      <c r="S1573" s="61" t="str">
        <f>IFERROR(__xludf.DUMMYFUNCTION("INDIRECT(""'收支紀錄'!S""&amp;TO_TEXT(ROW()-$C$72))"),"")</f>
        <v/>
      </c>
      <c r="T1573" s="61" t="str">
        <f>IFERROR(__xludf.DUMMYFUNCTION("INDIRECT(""'收支紀錄'!T""&amp;TO_TEXT(ROW()-$C$72))"),"")</f>
        <v/>
      </c>
      <c r="U1573" s="62" t="str">
        <f>IFERROR(__xludf.DUMMYFUNCTION("IF(T1573=""是"",TEXTJOIN("""", TRUE, ""$"", TO_TEXT(C1573), S1573),"""")"),"")</f>
        <v/>
      </c>
    </row>
    <row r="1574">
      <c r="A1574" s="58">
        <f>IFERROR(__xludf.DUMMYFUNCTION("INDIRECT(""'收支紀錄'!A""&amp;TO_TEXT(ROW()-$C$72))"),46118.90057737268)</f>
        <v>46118.90058</v>
      </c>
      <c r="B1574" s="59">
        <f>IFERROR(__xludf.DUMMYFUNCTION("IF(ISBLANK(D1574), """", IF(ISDATE(D1574), D1574, IF(D1574=""今天"", A1574, IF(D1574=""昨天 (-1 day)"", A1574-1, IF(D1574=""前天 (-2 days)"", A1574-2, IF(D1574=""明天 (+1 day)"", A1574+1, DATE(LEFT(D1574,4), MID(D1574,5,2), RIGHT(D1574,2))))))))"),46118.90057737268)</f>
        <v>46118.90058</v>
      </c>
      <c r="C1574" s="60">
        <f>IFERROR(__xludf.DUMMYFUNCTION("INDIRECT(""'收支紀錄'!C""&amp;TO_TEXT(ROW()-$C$72))"),6307.0)</f>
        <v>6307</v>
      </c>
      <c r="D1574" s="63" t="str">
        <f>IFERROR(__xludf.DUMMYFUNCTION("INDIRECT(""'收支紀錄'!D""&amp;TO_TEXT(ROW()-$C$72))"),"今天")</f>
        <v>今天</v>
      </c>
      <c r="E1574" s="61" t="str">
        <f>IFERROR(__xludf.DUMMYFUNCTION("INDIRECT(""'收支紀錄'!E""&amp;TO_TEXT(ROW()-$C$72))"),"")</f>
        <v/>
      </c>
      <c r="F1574" s="61" t="str">
        <f>IFERROR(__xludf.DUMMYFUNCTION("INDIRECT(""'收支紀錄'!F""&amp;TO_TEXT(ROW()-$C$72))"),"")</f>
        <v/>
      </c>
      <c r="G1574" s="61" t="str">
        <f>IFERROR(__xludf.DUMMYFUNCTION("INDIRECT(""'收支紀錄'!G""&amp;TO_TEXT(ROW()-$C$72))"),"")</f>
        <v/>
      </c>
      <c r="H1574" s="61" t="str">
        <f>IFERROR(__xludf.DUMMYFUNCTION("INDIRECT(""'收支紀錄'!H""&amp;TO_TEXT(ROW()-$C$72))"),"稅金保險")</f>
        <v>稅金保險</v>
      </c>
      <c r="I1574" s="61" t="str">
        <f>IFERROR(__xludf.DUMMYFUNCTION("INDIRECT(""'收支紀錄'!I""&amp;TO_TEXT(ROW()-$C$72))"),"")</f>
        <v/>
      </c>
      <c r="J1574" s="61" t="str">
        <f>IFERROR(__xludf.DUMMYFUNCTION("INDIRECT(""'收支紀錄'!J""&amp;TO_TEXT(ROW()-$C$72))"),"")</f>
        <v/>
      </c>
      <c r="K1574" s="61" t="str">
        <f>IFERROR(__xludf.DUMMYFUNCTION("INDIRECT(""'收支紀錄'!K""&amp;TO_TEXT(ROW()-$C$72))"),"")</f>
        <v/>
      </c>
      <c r="L1574" s="61" t="str">
        <f>IFERROR(__xludf.DUMMYFUNCTION("INDIRECT(""'收支紀錄'!L""&amp;TO_TEXT(ROW()-$C$72))"),"")</f>
        <v/>
      </c>
      <c r="M1574" s="61" t="str">
        <f>IFERROR(__xludf.DUMMYFUNCTION("INDIRECT(""'收支紀錄'!M""&amp;TO_TEXT(ROW()-$C$72))"),"")</f>
        <v/>
      </c>
      <c r="N1574" s="61" t="str">
        <f>IFERROR(__xludf.DUMMYFUNCTION("INDIRECT(""'收支紀錄'!N""&amp;TO_TEXT(ROW()-$C$72))"),"勞健保")</f>
        <v>勞健保</v>
      </c>
      <c r="O1574" s="61" t="str">
        <f>IFERROR(__xludf.DUMMYFUNCTION("INDIRECT(""'收支紀錄'!O""&amp;TO_TEXT(ROW()-$C$72))"),"")</f>
        <v/>
      </c>
      <c r="P1574" s="61" t="str">
        <f>IFERROR(__xludf.DUMMYFUNCTION("INDIRECT(""'收支紀錄'!P""&amp;TO_TEXT(ROW()-$C$72))"),"")</f>
        <v/>
      </c>
      <c r="Q1574" s="61" t="str">
        <f>IFERROR(__xludf.DUMMYFUNCTION("INDIRECT(""'收支紀錄'!Q""&amp;TO_TEXT(ROW()-$C$72))"),"")</f>
        <v/>
      </c>
      <c r="R1574" s="61" t="str">
        <f>IFERROR(__xludf.DUMMYFUNCTION("INDIRECT(""'收支紀錄'!R""&amp;TO_TEXT(ROW()-$C$72))"),"")</f>
        <v/>
      </c>
      <c r="S1574" s="61" t="str">
        <f>IFERROR(__xludf.DUMMYFUNCTION("INDIRECT(""'收支紀錄'!S""&amp;TO_TEXT(ROW()-$C$72))"),"")</f>
        <v/>
      </c>
      <c r="T1574" s="61" t="str">
        <f>IFERROR(__xludf.DUMMYFUNCTION("INDIRECT(""'收支紀錄'!T""&amp;TO_TEXT(ROW()-$C$72))"),"")</f>
        <v/>
      </c>
      <c r="U1574" s="62" t="str">
        <f>IFERROR(__xludf.DUMMYFUNCTION("IF(T1574=""是"",TEXTJOIN("""", TRUE, ""$"", TO_TEXT(C1574), S1574),"""")"),"")</f>
        <v/>
      </c>
    </row>
    <row r="1575">
      <c r="A1575" s="58">
        <f>IFERROR(__xludf.DUMMYFUNCTION("INDIRECT(""'收支紀錄'!A""&amp;TO_TEXT(ROW()-$C$72))"),46118.90078982639)</f>
        <v>46118.90079</v>
      </c>
      <c r="B1575" s="59">
        <f>IFERROR(__xludf.DUMMYFUNCTION("IF(ISBLANK(D1575), """", IF(ISDATE(D1575), D1575, IF(D1575=""今天"", A1575, IF(D1575=""昨天 (-1 day)"", A1575-1, IF(D1575=""前天 (-2 days)"", A1575-2, IF(D1575=""明天 (+1 day)"", A1575+1, DATE(LEFT(D1575,4), MID(D1575,5,2), RIGHT(D1575,2))))))))"),46118.90078982639)</f>
        <v>46118.90079</v>
      </c>
      <c r="C1575" s="60">
        <f>IFERROR(__xludf.DUMMYFUNCTION("INDIRECT(""'收支紀錄'!C""&amp;TO_TEXT(ROW()-$C$72))"),4050.0)</f>
        <v>4050</v>
      </c>
      <c r="D1575" s="63" t="str">
        <f>IFERROR(__xludf.DUMMYFUNCTION("INDIRECT(""'收支紀錄'!D""&amp;TO_TEXT(ROW()-$C$72))"),"今天")</f>
        <v>今天</v>
      </c>
      <c r="E1575" s="61" t="str">
        <f>IFERROR(__xludf.DUMMYFUNCTION("INDIRECT(""'收支紀錄'!E""&amp;TO_TEXT(ROW()-$C$72))"),"")</f>
        <v/>
      </c>
      <c r="F1575" s="61" t="str">
        <f>IFERROR(__xludf.DUMMYFUNCTION("INDIRECT(""'收支紀錄'!F""&amp;TO_TEXT(ROW()-$C$72))"),"")</f>
        <v/>
      </c>
      <c r="G1575" s="61" t="str">
        <f>IFERROR(__xludf.DUMMYFUNCTION("INDIRECT(""'收支紀錄'!G""&amp;TO_TEXT(ROW()-$C$72))"),"")</f>
        <v/>
      </c>
      <c r="H1575" s="61" t="str">
        <f>IFERROR(__xludf.DUMMYFUNCTION("INDIRECT(""'收支紀錄'!H""&amp;TO_TEXT(ROW()-$C$72))"),"稅金保險")</f>
        <v>稅金保險</v>
      </c>
      <c r="I1575" s="61" t="str">
        <f>IFERROR(__xludf.DUMMYFUNCTION("INDIRECT(""'收支紀錄'!I""&amp;TO_TEXT(ROW()-$C$72))"),"")</f>
        <v/>
      </c>
      <c r="J1575" s="61" t="str">
        <f>IFERROR(__xludf.DUMMYFUNCTION("INDIRECT(""'收支紀錄'!J""&amp;TO_TEXT(ROW()-$C$72))"),"")</f>
        <v/>
      </c>
      <c r="K1575" s="61" t="str">
        <f>IFERROR(__xludf.DUMMYFUNCTION("INDIRECT(""'收支紀錄'!K""&amp;TO_TEXT(ROW()-$C$72))"),"")</f>
        <v/>
      </c>
      <c r="L1575" s="61" t="str">
        <f>IFERROR(__xludf.DUMMYFUNCTION("INDIRECT(""'收支紀錄'!L""&amp;TO_TEXT(ROW()-$C$72))"),"")</f>
        <v/>
      </c>
      <c r="M1575" s="61" t="str">
        <f>IFERROR(__xludf.DUMMYFUNCTION("INDIRECT(""'收支紀錄'!M""&amp;TO_TEXT(ROW()-$C$72))"),"")</f>
        <v/>
      </c>
      <c r="N1575" s="61" t="str">
        <f>IFERROR(__xludf.DUMMYFUNCTION("INDIRECT(""'收支紀錄'!N""&amp;TO_TEXT(ROW()-$C$72))"),"稅金")</f>
        <v>稅金</v>
      </c>
      <c r="O1575" s="61" t="str">
        <f>IFERROR(__xludf.DUMMYFUNCTION("INDIRECT(""'收支紀錄'!O""&amp;TO_TEXT(ROW()-$C$72))"),"")</f>
        <v/>
      </c>
      <c r="P1575" s="61" t="str">
        <f>IFERROR(__xludf.DUMMYFUNCTION("INDIRECT(""'收支紀錄'!P""&amp;TO_TEXT(ROW()-$C$72))"),"")</f>
        <v/>
      </c>
      <c r="Q1575" s="61" t="str">
        <f>IFERROR(__xludf.DUMMYFUNCTION("INDIRECT(""'收支紀錄'!Q""&amp;TO_TEXT(ROW()-$C$72))"),"")</f>
        <v/>
      </c>
      <c r="R1575" s="61" t="str">
        <f>IFERROR(__xludf.DUMMYFUNCTION("INDIRECT(""'收支紀錄'!R""&amp;TO_TEXT(ROW()-$C$72))"),"")</f>
        <v/>
      </c>
      <c r="S1575" s="61" t="str">
        <f>IFERROR(__xludf.DUMMYFUNCTION("INDIRECT(""'收支紀錄'!S""&amp;TO_TEXT(ROW()-$C$72))"),"")</f>
        <v/>
      </c>
      <c r="T1575" s="61" t="str">
        <f>IFERROR(__xludf.DUMMYFUNCTION("INDIRECT(""'收支紀錄'!T""&amp;TO_TEXT(ROW()-$C$72))"),"")</f>
        <v/>
      </c>
      <c r="U1575" s="62" t="str">
        <f>IFERROR(__xludf.DUMMYFUNCTION("IF(T1575=""是"",TEXTJOIN("""", TRUE, ""$"", TO_TEXT(C1575), S1575),"""")"),"")</f>
        <v/>
      </c>
    </row>
    <row r="1576">
      <c r="A1576" s="58">
        <f>IFERROR(__xludf.DUMMYFUNCTION("INDIRECT(""'收支紀錄'!A""&amp;TO_TEXT(ROW()-$C$72))"),46118.90098569445)</f>
        <v>46118.90099</v>
      </c>
      <c r="B1576" s="59">
        <f>IFERROR(__xludf.DUMMYFUNCTION("IF(ISBLANK(D1576), """", IF(ISDATE(D1576), D1576, IF(D1576=""今天"", A1576, IF(D1576=""昨天 (-1 day)"", A1576-1, IF(D1576=""前天 (-2 days)"", A1576-2, IF(D1576=""明天 (+1 day)"", A1576+1, DATE(LEFT(D1576,4), MID(D1576,5,2), RIGHT(D1576,2))))))))"),46118.90098569445)</f>
        <v>46118.90099</v>
      </c>
      <c r="C1576" s="60">
        <f>IFERROR(__xludf.DUMMYFUNCTION("INDIRECT(""'收支紀錄'!C""&amp;TO_TEXT(ROW()-$C$72))"),537.0)</f>
        <v>537</v>
      </c>
      <c r="D1576" s="63" t="str">
        <f>IFERROR(__xludf.DUMMYFUNCTION("INDIRECT(""'收支紀錄'!D""&amp;TO_TEXT(ROW()-$C$72))"),"今天")</f>
        <v>今天</v>
      </c>
      <c r="E1576" s="61" t="str">
        <f>IFERROR(__xludf.DUMMYFUNCTION("INDIRECT(""'收支紀錄'!E""&amp;TO_TEXT(ROW()-$C$72))"),"")</f>
        <v/>
      </c>
      <c r="F1576" s="61" t="str">
        <f>IFERROR(__xludf.DUMMYFUNCTION("INDIRECT(""'收支紀錄'!F""&amp;TO_TEXT(ROW()-$C$72))"),"")</f>
        <v/>
      </c>
      <c r="G1576" s="61" t="str">
        <f>IFERROR(__xludf.DUMMYFUNCTION("INDIRECT(""'收支紀錄'!G""&amp;TO_TEXT(ROW()-$C$72))"),"")</f>
        <v/>
      </c>
      <c r="H1576" s="61" t="str">
        <f>IFERROR(__xludf.DUMMYFUNCTION("INDIRECT(""'收支紀錄'!H""&amp;TO_TEXT(ROW()-$C$72))"),"休閒娛樂")</f>
        <v>休閒娛樂</v>
      </c>
      <c r="I1576" s="61" t="str">
        <f>IFERROR(__xludf.DUMMYFUNCTION("INDIRECT(""'收支紀錄'!I""&amp;TO_TEXT(ROW()-$C$72))"),"")</f>
        <v/>
      </c>
      <c r="J1576" s="61" t="str">
        <f>IFERROR(__xludf.DUMMYFUNCTION("INDIRECT(""'收支紀錄'!J""&amp;TO_TEXT(ROW()-$C$72))"),"")</f>
        <v/>
      </c>
      <c r="K1576" s="61" t="str">
        <f>IFERROR(__xludf.DUMMYFUNCTION("INDIRECT(""'收支紀錄'!K""&amp;TO_TEXT(ROW()-$C$72))"),"")</f>
        <v/>
      </c>
      <c r="L1576" s="61" t="str">
        <f>IFERROR(__xludf.DUMMYFUNCTION("INDIRECT(""'收支紀錄'!L""&amp;TO_TEXT(ROW()-$C$72))"),"")</f>
        <v/>
      </c>
      <c r="M1576" s="61" t="str">
        <f>IFERROR(__xludf.DUMMYFUNCTION("INDIRECT(""'收支紀錄'!M""&amp;TO_TEXT(ROW()-$C$72))"),"公司福利金")</f>
        <v>公司福利金</v>
      </c>
      <c r="N1576" s="61" t="str">
        <f>IFERROR(__xludf.DUMMYFUNCTION("INDIRECT(""'收支紀錄'!N""&amp;TO_TEXT(ROW()-$C$72))"),"")</f>
        <v/>
      </c>
      <c r="O1576" s="61" t="str">
        <f>IFERROR(__xludf.DUMMYFUNCTION("INDIRECT(""'收支紀錄'!O""&amp;TO_TEXT(ROW()-$C$72))"),"")</f>
        <v/>
      </c>
      <c r="P1576" s="61" t="str">
        <f>IFERROR(__xludf.DUMMYFUNCTION("INDIRECT(""'收支紀錄'!P""&amp;TO_TEXT(ROW()-$C$72))"),"")</f>
        <v/>
      </c>
      <c r="Q1576" s="61" t="str">
        <f>IFERROR(__xludf.DUMMYFUNCTION("INDIRECT(""'收支紀錄'!Q""&amp;TO_TEXT(ROW()-$C$72))"),"")</f>
        <v/>
      </c>
      <c r="R1576" s="61" t="str">
        <f>IFERROR(__xludf.DUMMYFUNCTION("INDIRECT(""'收支紀錄'!R""&amp;TO_TEXT(ROW()-$C$72))"),"")</f>
        <v/>
      </c>
      <c r="S1576" s="61" t="str">
        <f>IFERROR(__xludf.DUMMYFUNCTION("INDIRECT(""'收支紀錄'!S""&amp;TO_TEXT(ROW()-$C$72))"),"")</f>
        <v/>
      </c>
      <c r="T1576" s="61" t="str">
        <f>IFERROR(__xludf.DUMMYFUNCTION("INDIRECT(""'收支紀錄'!T""&amp;TO_TEXT(ROW()-$C$72))"),"")</f>
        <v/>
      </c>
      <c r="U1576" s="62" t="str">
        <f>IFERROR(__xludf.DUMMYFUNCTION("IF(T1576=""是"",TEXTJOIN("""", TRUE, ""$"", TO_TEXT(C1576), S1576),"""")"),"")</f>
        <v/>
      </c>
    </row>
    <row r="1577">
      <c r="A1577" s="58">
        <f>IFERROR(__xludf.DUMMYFUNCTION("INDIRECT(""'收支紀錄'!A""&amp;TO_TEXT(ROW()-$C$72))"),46118.90451662037)</f>
        <v>46118.90452</v>
      </c>
      <c r="B1577" s="59">
        <f>IFERROR(__xludf.DUMMYFUNCTION("IF(ISBLANK(D1577), """", IF(ISDATE(D1577), D1577, IF(D1577=""今天"", A1577, IF(D1577=""昨天 (-1 day)"", A1577-1, IF(D1577=""前天 (-2 days)"", A1577-2, IF(D1577=""明天 (+1 day)"", A1577+1, DATE(LEFT(D1577,4), MID(D1577,5,2), RIGHT(D1577,2))))))))"),46112.0)</f>
        <v>46112</v>
      </c>
      <c r="C1577" s="60">
        <f>IFERROR(__xludf.DUMMYFUNCTION("INDIRECT(""'收支紀錄'!C""&amp;TO_TEXT(ROW()-$C$72))"),191.0)</f>
        <v>191</v>
      </c>
      <c r="D1577" s="63">
        <f>IFERROR(__xludf.DUMMYFUNCTION("INDIRECT(""'收支紀錄'!D""&amp;TO_TEXT(ROW()-$C$72))"),2.0260331E7)</f>
        <v>20260331</v>
      </c>
      <c r="E1577" s="61" t="str">
        <f>IFERROR(__xludf.DUMMYFUNCTION("INDIRECT(""'收支紀錄'!E""&amp;TO_TEXT(ROW()-$C$72))"),"")</f>
        <v/>
      </c>
      <c r="F1577" s="61" t="str">
        <f>IFERROR(__xludf.DUMMYFUNCTION("INDIRECT(""'收支紀錄'!F""&amp;TO_TEXT(ROW()-$C$72))"),"")</f>
        <v/>
      </c>
      <c r="G1577" s="61" t="str">
        <f>IFERROR(__xludf.DUMMYFUNCTION("INDIRECT(""'收支紀錄'!G""&amp;TO_TEXT(ROW()-$C$72))"),"")</f>
        <v/>
      </c>
      <c r="H1577" s="61" t="str">
        <f>IFERROR(__xludf.DUMMYFUNCTION("INDIRECT(""'收支紀錄'!H""&amp;TO_TEXT(ROW()-$C$72))"),"行車交通")</f>
        <v>行車交通</v>
      </c>
      <c r="I1577" s="61" t="str">
        <f>IFERROR(__xludf.DUMMYFUNCTION("INDIRECT(""'收支紀錄'!I""&amp;TO_TEXT(ROW()-$C$72))"),"")</f>
        <v/>
      </c>
      <c r="J1577" s="61" t="str">
        <f>IFERROR(__xludf.DUMMYFUNCTION("INDIRECT(""'收支紀錄'!J""&amp;TO_TEXT(ROW()-$C$72))"),"")</f>
        <v/>
      </c>
      <c r="K1577" s="61" t="str">
        <f>IFERROR(__xludf.DUMMYFUNCTION("INDIRECT(""'收支紀錄'!K""&amp;TO_TEXT(ROW()-$C$72))"),"")</f>
        <v/>
      </c>
      <c r="L1577" s="61" t="str">
        <f>IFERROR(__xludf.DUMMYFUNCTION("INDIRECT(""'收支紀錄'!L""&amp;TO_TEXT(ROW()-$C$72))"),"停車")</f>
        <v>停車</v>
      </c>
      <c r="M1577" s="61" t="str">
        <f>IFERROR(__xludf.DUMMYFUNCTION("INDIRECT(""'收支紀錄'!M""&amp;TO_TEXT(ROW()-$C$72))"),"")</f>
        <v/>
      </c>
      <c r="N1577" s="61" t="str">
        <f>IFERROR(__xludf.DUMMYFUNCTION("INDIRECT(""'收支紀錄'!N""&amp;TO_TEXT(ROW()-$C$72))"),"")</f>
        <v/>
      </c>
      <c r="O1577" s="61" t="str">
        <f>IFERROR(__xludf.DUMMYFUNCTION("INDIRECT(""'收支紀錄'!O""&amp;TO_TEXT(ROW()-$C$72))"),"")</f>
        <v/>
      </c>
      <c r="P1577" s="61" t="str">
        <f>IFERROR(__xludf.DUMMYFUNCTION("INDIRECT(""'收支紀錄'!P""&amp;TO_TEXT(ROW()-$C$72))"),"")</f>
        <v/>
      </c>
      <c r="Q1577" s="61" t="str">
        <f>IFERROR(__xludf.DUMMYFUNCTION("INDIRECT(""'收支紀錄'!Q""&amp;TO_TEXT(ROW()-$C$72))"),"")</f>
        <v/>
      </c>
      <c r="R1577" s="61" t="str">
        <f>IFERROR(__xludf.DUMMYFUNCTION("INDIRECT(""'收支紀錄'!R""&amp;TO_TEXT(ROW()-$C$72))"),"")</f>
        <v/>
      </c>
      <c r="S1577" s="61" t="str">
        <f>IFERROR(__xludf.DUMMYFUNCTION("INDIRECT(""'收支紀錄'!S""&amp;TO_TEXT(ROW()-$C$72))"),"")</f>
        <v/>
      </c>
      <c r="T1577" s="61" t="str">
        <f>IFERROR(__xludf.DUMMYFUNCTION("INDIRECT(""'收支紀錄'!T""&amp;TO_TEXT(ROW()-$C$72))"),"")</f>
        <v/>
      </c>
      <c r="U1577" s="62" t="str">
        <f>IFERROR(__xludf.DUMMYFUNCTION("IF(T1577=""是"",TEXTJOIN("""", TRUE, ""$"", TO_TEXT(C1577), S1577),"""")"),"")</f>
        <v/>
      </c>
    </row>
    <row r="1578">
      <c r="A1578" s="58">
        <f>IFERROR(__xludf.DUMMYFUNCTION("INDIRECT(""'收支紀錄'!A""&amp;TO_TEXT(ROW()-$C$72))"),46118.90509768519)</f>
        <v>46118.9051</v>
      </c>
      <c r="B1578" s="59">
        <f>IFERROR(__xludf.DUMMYFUNCTION("IF(ISBLANK(D1578), """", IF(ISDATE(D1578), D1578, IF(D1578=""今天"", A1578, IF(D1578=""昨天 (-1 day)"", A1578-1, IF(D1578=""前天 (-2 days)"", A1578-2, IF(D1578=""明天 (+1 day)"", A1578+1, DATE(LEFT(D1578,4), MID(D1578,5,2), RIGHT(D1578,2))))))))"),46103.0)</f>
        <v>46103</v>
      </c>
      <c r="C1578" s="60">
        <f>IFERROR(__xludf.DUMMYFUNCTION("INDIRECT(""'收支紀錄'!C""&amp;TO_TEXT(ROW()-$C$72))"),400.0)</f>
        <v>400</v>
      </c>
      <c r="D1578" s="63">
        <f>IFERROR(__xludf.DUMMYFUNCTION("INDIRECT(""'收支紀錄'!D""&amp;TO_TEXT(ROW()-$C$72))"),2.0260322E7)</f>
        <v>20260322</v>
      </c>
      <c r="E1578" s="61" t="str">
        <f>IFERROR(__xludf.DUMMYFUNCTION("INDIRECT(""'收支紀錄'!E""&amp;TO_TEXT(ROW()-$C$72))"),"")</f>
        <v/>
      </c>
      <c r="F1578" s="61" t="str">
        <f>IFERROR(__xludf.DUMMYFUNCTION("INDIRECT(""'收支紀錄'!F""&amp;TO_TEXT(ROW()-$C$72))"),"")</f>
        <v/>
      </c>
      <c r="G1578" s="61" t="str">
        <f>IFERROR(__xludf.DUMMYFUNCTION("INDIRECT(""'收支紀錄'!G""&amp;TO_TEXT(ROW()-$C$72))"),"")</f>
        <v/>
      </c>
      <c r="H1578" s="61" t="str">
        <f>IFERROR(__xludf.DUMMYFUNCTION("INDIRECT(""'收支紀錄'!H""&amp;TO_TEXT(ROW()-$C$72))"),"行車交通")</f>
        <v>行車交通</v>
      </c>
      <c r="I1578" s="61" t="str">
        <f>IFERROR(__xludf.DUMMYFUNCTION("INDIRECT(""'收支紀錄'!I""&amp;TO_TEXT(ROW()-$C$72))"),"")</f>
        <v/>
      </c>
      <c r="J1578" s="61" t="str">
        <f>IFERROR(__xludf.DUMMYFUNCTION("INDIRECT(""'收支紀錄'!J""&amp;TO_TEXT(ROW()-$C$72))"),"")</f>
        <v/>
      </c>
      <c r="K1578" s="61" t="str">
        <f>IFERROR(__xludf.DUMMYFUNCTION("INDIRECT(""'收支紀錄'!K""&amp;TO_TEXT(ROW()-$C$72))"),"")</f>
        <v/>
      </c>
      <c r="L1578" s="61" t="str">
        <f>IFERROR(__xludf.DUMMYFUNCTION("INDIRECT(""'收支紀錄'!L""&amp;TO_TEXT(ROW()-$C$72))"),"Etag")</f>
        <v>Etag</v>
      </c>
      <c r="M1578" s="61" t="str">
        <f>IFERROR(__xludf.DUMMYFUNCTION("INDIRECT(""'收支紀錄'!M""&amp;TO_TEXT(ROW()-$C$72))"),"")</f>
        <v/>
      </c>
      <c r="N1578" s="61" t="str">
        <f>IFERROR(__xludf.DUMMYFUNCTION("INDIRECT(""'收支紀錄'!N""&amp;TO_TEXT(ROW()-$C$72))"),"")</f>
        <v/>
      </c>
      <c r="O1578" s="61" t="str">
        <f>IFERROR(__xludf.DUMMYFUNCTION("INDIRECT(""'收支紀錄'!O""&amp;TO_TEXT(ROW()-$C$72))"),"")</f>
        <v/>
      </c>
      <c r="P1578" s="61" t="str">
        <f>IFERROR(__xludf.DUMMYFUNCTION("INDIRECT(""'收支紀錄'!P""&amp;TO_TEXT(ROW()-$C$72))"),"")</f>
        <v/>
      </c>
      <c r="Q1578" s="61" t="str">
        <f>IFERROR(__xludf.DUMMYFUNCTION("INDIRECT(""'收支紀錄'!Q""&amp;TO_TEXT(ROW()-$C$72))"),"")</f>
        <v/>
      </c>
      <c r="R1578" s="61" t="str">
        <f>IFERROR(__xludf.DUMMYFUNCTION("INDIRECT(""'收支紀錄'!R""&amp;TO_TEXT(ROW()-$C$72))"),"")</f>
        <v/>
      </c>
      <c r="S1578" s="61" t="str">
        <f>IFERROR(__xludf.DUMMYFUNCTION("INDIRECT(""'收支紀錄'!S""&amp;TO_TEXT(ROW()-$C$72))"),"")</f>
        <v/>
      </c>
      <c r="T1578" s="61" t="str">
        <f>IFERROR(__xludf.DUMMYFUNCTION("INDIRECT(""'收支紀錄'!T""&amp;TO_TEXT(ROW()-$C$72))"),"")</f>
        <v/>
      </c>
      <c r="U1578" s="62" t="str">
        <f>IFERROR(__xludf.DUMMYFUNCTION("IF(T1578=""是"",TEXTJOIN("""", TRUE, ""$"", TO_TEXT(C1578), S1578),"""")"),"")</f>
        <v/>
      </c>
    </row>
    <row r="1579">
      <c r="A1579" s="58">
        <f>IFERROR(__xludf.DUMMYFUNCTION("INDIRECT(""'收支紀錄'!A""&amp;TO_TEXT(ROW()-$C$72))"),46118.9063377662)</f>
        <v>46118.90634</v>
      </c>
      <c r="B1579" s="59">
        <f>IFERROR(__xludf.DUMMYFUNCTION("IF(ISBLANK(D1579), """", IF(ISDATE(D1579), D1579, IF(D1579=""今天"", A1579, IF(D1579=""昨天 (-1 day)"", A1579-1, IF(D1579=""前天 (-2 days)"", A1579-2, IF(D1579=""明天 (+1 day)"", A1579+1, DATE(LEFT(D1579,4), MID(D1579,5,2), RIGHT(D1579,2))))))))"),46112.0)</f>
        <v>46112</v>
      </c>
      <c r="C1579" s="60">
        <f>IFERROR(__xludf.DUMMYFUNCTION("INDIRECT(""'收支紀錄'!C""&amp;TO_TEXT(ROW()-$C$72))"),528.0)</f>
        <v>528</v>
      </c>
      <c r="D1579" s="63">
        <f>IFERROR(__xludf.DUMMYFUNCTION("INDIRECT(""'收支紀錄'!D""&amp;TO_TEXT(ROW()-$C$72))"),2.0260331E7)</f>
        <v>20260331</v>
      </c>
      <c r="E1579" s="61" t="str">
        <f>IFERROR(__xludf.DUMMYFUNCTION("INDIRECT(""'收支紀錄'!E""&amp;TO_TEXT(ROW()-$C$72))"),"")</f>
        <v/>
      </c>
      <c r="F1579" s="61" t="str">
        <f>IFERROR(__xludf.DUMMYFUNCTION("INDIRECT(""'收支紀錄'!F""&amp;TO_TEXT(ROW()-$C$72))"),"")</f>
        <v/>
      </c>
      <c r="G1579" s="61" t="str">
        <f>IFERROR(__xludf.DUMMYFUNCTION("INDIRECT(""'收支紀錄'!G""&amp;TO_TEXT(ROW()-$C$72))"),"")</f>
        <v/>
      </c>
      <c r="H1579" s="61" t="str">
        <f>IFERROR(__xludf.DUMMYFUNCTION("INDIRECT(""'收支紀錄'!H""&amp;TO_TEXT(ROW()-$C$72))"),"房屋支出")</f>
        <v>房屋支出</v>
      </c>
      <c r="I1579" s="61" t="str">
        <f>IFERROR(__xludf.DUMMYFUNCTION("INDIRECT(""'收支紀錄'!I""&amp;TO_TEXT(ROW()-$C$72))"),"")</f>
        <v/>
      </c>
      <c r="J1579" s="61" t="str">
        <f>IFERROR(__xludf.DUMMYFUNCTION("INDIRECT(""'收支紀錄'!J""&amp;TO_TEXT(ROW()-$C$72))"),"")</f>
        <v/>
      </c>
      <c r="K1579" s="61" t="str">
        <f>IFERROR(__xludf.DUMMYFUNCTION("INDIRECT(""'收支紀錄'!K""&amp;TO_TEXT(ROW()-$C$72))"),"瓦斯費")</f>
        <v>瓦斯費</v>
      </c>
      <c r="L1579" s="61" t="str">
        <f>IFERROR(__xludf.DUMMYFUNCTION("INDIRECT(""'收支紀錄'!L""&amp;TO_TEXT(ROW()-$C$72))"),"")</f>
        <v/>
      </c>
      <c r="M1579" s="61" t="str">
        <f>IFERROR(__xludf.DUMMYFUNCTION("INDIRECT(""'收支紀錄'!M""&amp;TO_TEXT(ROW()-$C$72))"),"")</f>
        <v/>
      </c>
      <c r="N1579" s="61" t="str">
        <f>IFERROR(__xludf.DUMMYFUNCTION("INDIRECT(""'收支紀錄'!N""&amp;TO_TEXT(ROW()-$C$72))"),"")</f>
        <v/>
      </c>
      <c r="O1579" s="61" t="str">
        <f>IFERROR(__xludf.DUMMYFUNCTION("INDIRECT(""'收支紀錄'!O""&amp;TO_TEXT(ROW()-$C$72))"),"")</f>
        <v/>
      </c>
      <c r="P1579" s="61" t="str">
        <f>IFERROR(__xludf.DUMMYFUNCTION("INDIRECT(""'收支紀錄'!P""&amp;TO_TEXT(ROW()-$C$72))"),"")</f>
        <v/>
      </c>
      <c r="Q1579" s="61" t="str">
        <f>IFERROR(__xludf.DUMMYFUNCTION("INDIRECT(""'收支紀錄'!Q""&amp;TO_TEXT(ROW()-$C$72))"),"")</f>
        <v/>
      </c>
      <c r="R1579" s="61" t="str">
        <f>IFERROR(__xludf.DUMMYFUNCTION("INDIRECT(""'收支紀錄'!R""&amp;TO_TEXT(ROW()-$C$72))"),"")</f>
        <v/>
      </c>
      <c r="S1579" s="61" t="str">
        <f>IFERROR(__xludf.DUMMYFUNCTION("INDIRECT(""'收支紀錄'!S""&amp;TO_TEXT(ROW()-$C$72))"),"")</f>
        <v/>
      </c>
      <c r="T1579" s="61" t="str">
        <f>IFERROR(__xludf.DUMMYFUNCTION("INDIRECT(""'收支紀錄'!T""&amp;TO_TEXT(ROW()-$C$72))"),"")</f>
        <v/>
      </c>
      <c r="U1579" s="62" t="str">
        <f>IFERROR(__xludf.DUMMYFUNCTION("IF(T1579=""是"",TEXTJOIN("""", TRUE, ""$"", TO_TEXT(C1579), S1579),"""")"),"")</f>
        <v/>
      </c>
    </row>
    <row r="1580">
      <c r="A1580" s="58">
        <f>IFERROR(__xludf.DUMMYFUNCTION("INDIRECT(""'收支紀錄'!A""&amp;TO_TEXT(ROW()-$C$72))"),46118.906792800924)</f>
        <v>46118.90679</v>
      </c>
      <c r="B1580" s="59">
        <f>IFERROR(__xludf.DUMMYFUNCTION("IF(ISBLANK(D1580), """", IF(ISDATE(D1580), D1580, IF(D1580=""今天"", A1580, IF(D1580=""昨天 (-1 day)"", A1580-1, IF(D1580=""前天 (-2 days)"", A1580-2, IF(D1580=""明天 (+1 day)"", A1580+1, DATE(LEFT(D1580,4), MID(D1580,5,2), RIGHT(D1580,2))))))))"),46112.0)</f>
        <v>46112</v>
      </c>
      <c r="C1580" s="60">
        <f>IFERROR(__xludf.DUMMYFUNCTION("INDIRECT(""'收支紀錄'!C""&amp;TO_TEXT(ROW()-$C$72))"),205.0)</f>
        <v>205</v>
      </c>
      <c r="D1580" s="63">
        <f>IFERROR(__xludf.DUMMYFUNCTION("INDIRECT(""'收支紀錄'!D""&amp;TO_TEXT(ROW()-$C$72))"),2.0260331E7)</f>
        <v>20260331</v>
      </c>
      <c r="E1580" s="61" t="str">
        <f>IFERROR(__xludf.DUMMYFUNCTION("INDIRECT(""'收支紀錄'!E""&amp;TO_TEXT(ROW()-$C$72))"),"")</f>
        <v/>
      </c>
      <c r="F1580" s="61" t="str">
        <f>IFERROR(__xludf.DUMMYFUNCTION("INDIRECT(""'收支紀錄'!F""&amp;TO_TEXT(ROW()-$C$72))"),"")</f>
        <v/>
      </c>
      <c r="G1580" s="61" t="str">
        <f>IFERROR(__xludf.DUMMYFUNCTION("INDIRECT(""'收支紀錄'!G""&amp;TO_TEXT(ROW()-$C$72))"),"")</f>
        <v/>
      </c>
      <c r="H1580" s="61" t="str">
        <f>IFERROR(__xludf.DUMMYFUNCTION("INDIRECT(""'收支紀錄'!H""&amp;TO_TEXT(ROW()-$C$72))"),"房屋支出")</f>
        <v>房屋支出</v>
      </c>
      <c r="I1580" s="61" t="str">
        <f>IFERROR(__xludf.DUMMYFUNCTION("INDIRECT(""'收支紀錄'!I""&amp;TO_TEXT(ROW()-$C$72))"),"")</f>
        <v/>
      </c>
      <c r="J1580" s="61" t="str">
        <f>IFERROR(__xludf.DUMMYFUNCTION("INDIRECT(""'收支紀錄'!J""&amp;TO_TEXT(ROW()-$C$72))"),"")</f>
        <v/>
      </c>
      <c r="K1580" s="61" t="str">
        <f>IFERROR(__xludf.DUMMYFUNCTION("INDIRECT(""'收支紀錄'!K""&amp;TO_TEXT(ROW()-$C$72))"),"水費")</f>
        <v>水費</v>
      </c>
      <c r="L1580" s="61" t="str">
        <f>IFERROR(__xludf.DUMMYFUNCTION("INDIRECT(""'收支紀錄'!L""&amp;TO_TEXT(ROW()-$C$72))"),"")</f>
        <v/>
      </c>
      <c r="M1580" s="61" t="str">
        <f>IFERROR(__xludf.DUMMYFUNCTION("INDIRECT(""'收支紀錄'!M""&amp;TO_TEXT(ROW()-$C$72))"),"")</f>
        <v/>
      </c>
      <c r="N1580" s="61" t="str">
        <f>IFERROR(__xludf.DUMMYFUNCTION("INDIRECT(""'收支紀錄'!N""&amp;TO_TEXT(ROW()-$C$72))"),"")</f>
        <v/>
      </c>
      <c r="O1580" s="61" t="str">
        <f>IFERROR(__xludf.DUMMYFUNCTION("INDIRECT(""'收支紀錄'!O""&amp;TO_TEXT(ROW()-$C$72))"),"")</f>
        <v/>
      </c>
      <c r="P1580" s="61" t="str">
        <f>IFERROR(__xludf.DUMMYFUNCTION("INDIRECT(""'收支紀錄'!P""&amp;TO_TEXT(ROW()-$C$72))"),"")</f>
        <v/>
      </c>
      <c r="Q1580" s="61" t="str">
        <f>IFERROR(__xludf.DUMMYFUNCTION("INDIRECT(""'收支紀錄'!Q""&amp;TO_TEXT(ROW()-$C$72))"),"")</f>
        <v/>
      </c>
      <c r="R1580" s="61" t="str">
        <f>IFERROR(__xludf.DUMMYFUNCTION("INDIRECT(""'收支紀錄'!R""&amp;TO_TEXT(ROW()-$C$72))"),"")</f>
        <v/>
      </c>
      <c r="S1580" s="61" t="str">
        <f>IFERROR(__xludf.DUMMYFUNCTION("INDIRECT(""'收支紀錄'!S""&amp;TO_TEXT(ROW()-$C$72))"),"")</f>
        <v/>
      </c>
      <c r="T1580" s="61" t="str">
        <f>IFERROR(__xludf.DUMMYFUNCTION("INDIRECT(""'收支紀錄'!T""&amp;TO_TEXT(ROW()-$C$72))"),"")</f>
        <v/>
      </c>
      <c r="U1580" s="62" t="str">
        <f>IFERROR(__xludf.DUMMYFUNCTION("IF(T1580=""是"",TEXTJOIN("""", TRUE, ""$"", TO_TEXT(C1580), S1580),"""")"),"")</f>
        <v/>
      </c>
    </row>
    <row r="1581">
      <c r="A1581" s="58">
        <f>IFERROR(__xludf.DUMMYFUNCTION("INDIRECT(""'收支紀錄'!A""&amp;TO_TEXT(ROW()-$C$72))"),46119.77226439815)</f>
        <v>46119.77226</v>
      </c>
      <c r="B1581" s="59">
        <f>IFERROR(__xludf.DUMMYFUNCTION("IF(ISBLANK(D1581), """", IF(ISDATE(D1581), D1581, IF(D1581=""今天"", A1581, IF(D1581=""昨天 (-1 day)"", A1581-1, IF(D1581=""前天 (-2 days)"", A1581-2, IF(D1581=""明天 (+1 day)"", A1581+1, DATE(LEFT(D1581,4), MID(D1581,5,2), RIGHT(D1581,2))))))))"),46118.77226439815)</f>
        <v>46118.77226</v>
      </c>
      <c r="C1581" s="60">
        <f>IFERROR(__xludf.DUMMYFUNCTION("INDIRECT(""'收支紀錄'!C""&amp;TO_TEXT(ROW()-$C$72))"),210.0)</f>
        <v>210</v>
      </c>
      <c r="D1581" s="63" t="str">
        <f>IFERROR(__xludf.DUMMYFUNCTION("INDIRECT(""'收支紀錄'!D""&amp;TO_TEXT(ROW()-$C$72))"),"昨天 (-1 day)")</f>
        <v>昨天 (-1 day)</v>
      </c>
      <c r="E1581" s="61" t="str">
        <f>IFERROR(__xludf.DUMMYFUNCTION("INDIRECT(""'收支紀錄'!E""&amp;TO_TEXT(ROW()-$C$72))"),"")</f>
        <v/>
      </c>
      <c r="F1581" s="61" t="str">
        <f>IFERROR(__xludf.DUMMYFUNCTION("INDIRECT(""'收支紀錄'!F""&amp;TO_TEXT(ROW()-$C$72))"),"")</f>
        <v/>
      </c>
      <c r="G1581" s="61" t="str">
        <f>IFERROR(__xludf.DUMMYFUNCTION("INDIRECT(""'收支紀錄'!G""&amp;TO_TEXT(ROW()-$C$72))"),"")</f>
        <v/>
      </c>
      <c r="H1581" s="61" t="str">
        <f>IFERROR(__xludf.DUMMYFUNCTION("INDIRECT(""'收支紀錄'!H""&amp;TO_TEXT(ROW()-$C$72))"),"日常生活")</f>
        <v>日常生活</v>
      </c>
      <c r="I1581" s="61" t="str">
        <f>IFERROR(__xludf.DUMMYFUNCTION("INDIRECT(""'收支紀錄'!I""&amp;TO_TEXT(ROW()-$C$72))"),"")</f>
        <v/>
      </c>
      <c r="J1581" s="61" t="str">
        <f>IFERROR(__xludf.DUMMYFUNCTION("INDIRECT(""'收支紀錄'!J""&amp;TO_TEXT(ROW()-$C$72))"),"日常用品")</f>
        <v>日常用品</v>
      </c>
      <c r="K1581" s="61" t="str">
        <f>IFERROR(__xludf.DUMMYFUNCTION("INDIRECT(""'收支紀錄'!K""&amp;TO_TEXT(ROW()-$C$72))"),"")</f>
        <v/>
      </c>
      <c r="L1581" s="61" t="str">
        <f>IFERROR(__xludf.DUMMYFUNCTION("INDIRECT(""'收支紀錄'!L""&amp;TO_TEXT(ROW()-$C$72))"),"")</f>
        <v/>
      </c>
      <c r="M1581" s="61" t="str">
        <f>IFERROR(__xludf.DUMMYFUNCTION("INDIRECT(""'收支紀錄'!M""&amp;TO_TEXT(ROW()-$C$72))"),"")</f>
        <v/>
      </c>
      <c r="N1581" s="61" t="str">
        <f>IFERROR(__xludf.DUMMYFUNCTION("INDIRECT(""'收支紀錄'!N""&amp;TO_TEXT(ROW()-$C$72))"),"")</f>
        <v/>
      </c>
      <c r="O1581" s="61" t="str">
        <f>IFERROR(__xludf.DUMMYFUNCTION("INDIRECT(""'收支紀錄'!O""&amp;TO_TEXT(ROW()-$C$72))"),"")</f>
        <v/>
      </c>
      <c r="P1581" s="61" t="str">
        <f>IFERROR(__xludf.DUMMYFUNCTION("INDIRECT(""'收支紀錄'!P""&amp;TO_TEXT(ROW()-$C$72))"),"")</f>
        <v/>
      </c>
      <c r="Q1581" s="61" t="str">
        <f>IFERROR(__xludf.DUMMYFUNCTION("INDIRECT(""'收支紀錄'!Q""&amp;TO_TEXT(ROW()-$C$72))"),"")</f>
        <v/>
      </c>
      <c r="R1581" s="61" t="str">
        <f>IFERROR(__xludf.DUMMYFUNCTION("INDIRECT(""'收支紀錄'!R""&amp;TO_TEXT(ROW()-$C$72))"),"")</f>
        <v/>
      </c>
      <c r="S1581" s="61" t="str">
        <f>IFERROR(__xludf.DUMMYFUNCTION("INDIRECT(""'收支紀錄'!S""&amp;TO_TEXT(ROW()-$C$72))"),"")</f>
        <v/>
      </c>
      <c r="T1581" s="61" t="str">
        <f>IFERROR(__xludf.DUMMYFUNCTION("INDIRECT(""'收支紀錄'!T""&amp;TO_TEXT(ROW()-$C$72))"),"")</f>
        <v/>
      </c>
      <c r="U1581" s="62" t="str">
        <f>IFERROR(__xludf.DUMMYFUNCTION("IF(T1581=""是"",TEXTJOIN("""", TRUE, ""$"", TO_TEXT(C1581), S1581),"""")"),"")</f>
        <v/>
      </c>
    </row>
    <row r="1582">
      <c r="A1582" s="58">
        <f>IFERROR(__xludf.DUMMYFUNCTION("INDIRECT(""'收支紀錄'!A""&amp;TO_TEXT(ROW()-$C$72))"),46119.77258372685)</f>
        <v>46119.77258</v>
      </c>
      <c r="B1582" s="59">
        <f>IFERROR(__xludf.DUMMYFUNCTION("IF(ISBLANK(D1582), """", IF(ISDATE(D1582), D1582, IF(D1582=""今天"", A1582, IF(D1582=""昨天 (-1 day)"", A1582-1, IF(D1582=""前天 (-2 days)"", A1582-2, IF(D1582=""明天 (+1 day)"", A1582+1, DATE(LEFT(D1582,4), MID(D1582,5,2), RIGHT(D1582,2))))))))"),46119.77258372685)</f>
        <v>46119.77258</v>
      </c>
      <c r="C1582" s="60">
        <f>IFERROR(__xludf.DUMMYFUNCTION("INDIRECT(""'收支紀錄'!C""&amp;TO_TEXT(ROW()-$C$72))"),108.0)</f>
        <v>108</v>
      </c>
      <c r="D1582" s="63" t="str">
        <f>IFERROR(__xludf.DUMMYFUNCTION("INDIRECT(""'收支紀錄'!D""&amp;TO_TEXT(ROW()-$C$72))"),"今天")</f>
        <v>今天</v>
      </c>
      <c r="E1582" s="61" t="str">
        <f>IFERROR(__xludf.DUMMYFUNCTION("INDIRECT(""'收支紀錄'!E""&amp;TO_TEXT(ROW()-$C$72))"),"")</f>
        <v/>
      </c>
      <c r="F1582" s="61" t="str">
        <f>IFERROR(__xludf.DUMMYFUNCTION("INDIRECT(""'收支紀錄'!F""&amp;TO_TEXT(ROW()-$C$72))"),"")</f>
        <v/>
      </c>
      <c r="G1582" s="61" t="str">
        <f>IFERROR(__xludf.DUMMYFUNCTION("INDIRECT(""'收支紀錄'!G""&amp;TO_TEXT(ROW()-$C$72))"),"")</f>
        <v/>
      </c>
      <c r="H1582" s="61" t="str">
        <f>IFERROR(__xludf.DUMMYFUNCTION("INDIRECT(""'收支紀錄'!H""&amp;TO_TEXT(ROW()-$C$72))"),"行車交通")</f>
        <v>行車交通</v>
      </c>
      <c r="I1582" s="61" t="str">
        <f>IFERROR(__xludf.DUMMYFUNCTION("INDIRECT(""'收支紀錄'!I""&amp;TO_TEXT(ROW()-$C$72))"),"")</f>
        <v/>
      </c>
      <c r="J1582" s="61" t="str">
        <f>IFERROR(__xludf.DUMMYFUNCTION("INDIRECT(""'收支紀錄'!J""&amp;TO_TEXT(ROW()-$C$72))"),"")</f>
        <v/>
      </c>
      <c r="K1582" s="61" t="str">
        <f>IFERROR(__xludf.DUMMYFUNCTION("INDIRECT(""'收支紀錄'!K""&amp;TO_TEXT(ROW()-$C$72))"),"")</f>
        <v/>
      </c>
      <c r="L1582" s="61" t="str">
        <f>IFERROR(__xludf.DUMMYFUNCTION("INDIRECT(""'收支紀錄'!L""&amp;TO_TEXT(ROW()-$C$72))"),"計程車/Uber")</f>
        <v>計程車/Uber</v>
      </c>
      <c r="M1582" s="61" t="str">
        <f>IFERROR(__xludf.DUMMYFUNCTION("INDIRECT(""'收支紀錄'!M""&amp;TO_TEXT(ROW()-$C$72))"),"")</f>
        <v/>
      </c>
      <c r="N1582" s="61" t="str">
        <f>IFERROR(__xludf.DUMMYFUNCTION("INDIRECT(""'收支紀錄'!N""&amp;TO_TEXT(ROW()-$C$72))"),"")</f>
        <v/>
      </c>
      <c r="O1582" s="61" t="str">
        <f>IFERROR(__xludf.DUMMYFUNCTION("INDIRECT(""'收支紀錄'!O""&amp;TO_TEXT(ROW()-$C$72))"),"")</f>
        <v/>
      </c>
      <c r="P1582" s="61" t="str">
        <f>IFERROR(__xludf.DUMMYFUNCTION("INDIRECT(""'收支紀錄'!P""&amp;TO_TEXT(ROW()-$C$72))"),"")</f>
        <v/>
      </c>
      <c r="Q1582" s="61" t="str">
        <f>IFERROR(__xludf.DUMMYFUNCTION("INDIRECT(""'收支紀錄'!Q""&amp;TO_TEXT(ROW()-$C$72))"),"")</f>
        <v/>
      </c>
      <c r="R1582" s="61" t="str">
        <f>IFERROR(__xludf.DUMMYFUNCTION("INDIRECT(""'收支紀錄'!R""&amp;TO_TEXT(ROW()-$C$72))"),"")</f>
        <v/>
      </c>
      <c r="S1582" s="61" t="str">
        <f>IFERROR(__xludf.DUMMYFUNCTION("INDIRECT(""'收支紀錄'!S""&amp;TO_TEXT(ROW()-$C$72))"),"")</f>
        <v/>
      </c>
      <c r="T1582" s="61" t="str">
        <f>IFERROR(__xludf.DUMMYFUNCTION("INDIRECT(""'收支紀錄'!T""&amp;TO_TEXT(ROW()-$C$72))"),"")</f>
        <v/>
      </c>
      <c r="U1582" s="62" t="str">
        <f>IFERROR(__xludf.DUMMYFUNCTION("IF(T1582=""是"",TEXTJOIN("""", TRUE, ""$"", TO_TEXT(C1582), S1582),"""")"),"")</f>
        <v/>
      </c>
    </row>
    <row r="1583">
      <c r="A1583" s="58">
        <f>IFERROR(__xludf.DUMMYFUNCTION("INDIRECT(""'收支紀錄'!A""&amp;TO_TEXT(ROW()-$C$72))"),46120.83706954861)</f>
        <v>46120.83707</v>
      </c>
      <c r="B1583" s="59">
        <f>IFERROR(__xludf.DUMMYFUNCTION("IF(ISBLANK(D1583), """", IF(ISDATE(D1583), D1583, IF(D1583=""今天"", A1583, IF(D1583=""昨天 (-1 day)"", A1583-1, IF(D1583=""前天 (-2 days)"", A1583-2, IF(D1583=""明天 (+1 day)"", A1583+1, DATE(LEFT(D1583,4), MID(D1583,5,2), RIGHT(D1583,2))))))))"),46120.83706954861)</f>
        <v>46120.83707</v>
      </c>
      <c r="C1583" s="60">
        <f>IFERROR(__xludf.DUMMYFUNCTION("INDIRECT(""'收支紀錄'!C""&amp;TO_TEXT(ROW()-$C$72))"),124.0)</f>
        <v>124</v>
      </c>
      <c r="D1583" s="63" t="str">
        <f>IFERROR(__xludf.DUMMYFUNCTION("INDIRECT(""'收支紀錄'!D""&amp;TO_TEXT(ROW()-$C$72))"),"今天")</f>
        <v>今天</v>
      </c>
      <c r="E1583" s="61" t="str">
        <f>IFERROR(__xludf.DUMMYFUNCTION("INDIRECT(""'收支紀錄'!E""&amp;TO_TEXT(ROW()-$C$72))"),"")</f>
        <v/>
      </c>
      <c r="F1583" s="61" t="str">
        <f>IFERROR(__xludf.DUMMYFUNCTION("INDIRECT(""'收支紀錄'!F""&amp;TO_TEXT(ROW()-$C$72))"),"")</f>
        <v/>
      </c>
      <c r="G1583" s="61" t="str">
        <f>IFERROR(__xludf.DUMMYFUNCTION("INDIRECT(""'收支紀錄'!G""&amp;TO_TEXT(ROW()-$C$72))"),"")</f>
        <v/>
      </c>
      <c r="H1583" s="61" t="str">
        <f>IFERROR(__xludf.DUMMYFUNCTION("INDIRECT(""'收支紀錄'!H""&amp;TO_TEXT(ROW()-$C$72))"),"行車交通")</f>
        <v>行車交通</v>
      </c>
      <c r="I1583" s="61" t="str">
        <f>IFERROR(__xludf.DUMMYFUNCTION("INDIRECT(""'收支紀錄'!I""&amp;TO_TEXT(ROW()-$C$72))"),"")</f>
        <v/>
      </c>
      <c r="J1583" s="61" t="str">
        <f>IFERROR(__xludf.DUMMYFUNCTION("INDIRECT(""'收支紀錄'!J""&amp;TO_TEXT(ROW()-$C$72))"),"")</f>
        <v/>
      </c>
      <c r="K1583" s="61" t="str">
        <f>IFERROR(__xludf.DUMMYFUNCTION("INDIRECT(""'收支紀錄'!K""&amp;TO_TEXT(ROW()-$C$72))"),"")</f>
        <v/>
      </c>
      <c r="L1583" s="61" t="str">
        <f>IFERROR(__xludf.DUMMYFUNCTION("INDIRECT(""'收支紀錄'!L""&amp;TO_TEXT(ROW()-$C$72))"),"加油")</f>
        <v>加油</v>
      </c>
      <c r="M1583" s="61" t="str">
        <f>IFERROR(__xludf.DUMMYFUNCTION("INDIRECT(""'收支紀錄'!M""&amp;TO_TEXT(ROW()-$C$72))"),"")</f>
        <v/>
      </c>
      <c r="N1583" s="61" t="str">
        <f>IFERROR(__xludf.DUMMYFUNCTION("INDIRECT(""'收支紀錄'!N""&amp;TO_TEXT(ROW()-$C$72))"),"")</f>
        <v/>
      </c>
      <c r="O1583" s="61" t="str">
        <f>IFERROR(__xludf.DUMMYFUNCTION("INDIRECT(""'收支紀錄'!O""&amp;TO_TEXT(ROW()-$C$72))"),"")</f>
        <v/>
      </c>
      <c r="P1583" s="61" t="str">
        <f>IFERROR(__xludf.DUMMYFUNCTION("INDIRECT(""'收支紀錄'!P""&amp;TO_TEXT(ROW()-$C$72))"),"")</f>
        <v/>
      </c>
      <c r="Q1583" s="61" t="str">
        <f>IFERROR(__xludf.DUMMYFUNCTION("INDIRECT(""'收支紀錄'!Q""&amp;TO_TEXT(ROW()-$C$72))"),"")</f>
        <v/>
      </c>
      <c r="R1583" s="61" t="str">
        <f>IFERROR(__xludf.DUMMYFUNCTION("INDIRECT(""'收支紀錄'!R""&amp;TO_TEXT(ROW()-$C$72))"),"")</f>
        <v/>
      </c>
      <c r="S1583" s="61" t="str">
        <f>IFERROR(__xludf.DUMMYFUNCTION("INDIRECT(""'收支紀錄'!S""&amp;TO_TEXT(ROW()-$C$72))"),"")</f>
        <v/>
      </c>
      <c r="T1583" s="61" t="str">
        <f>IFERROR(__xludf.DUMMYFUNCTION("INDIRECT(""'收支紀錄'!T""&amp;TO_TEXT(ROW()-$C$72))"),"")</f>
        <v/>
      </c>
      <c r="U1583" s="62" t="str">
        <f>IFERROR(__xludf.DUMMYFUNCTION("IF(T1583=""是"",TEXTJOIN("""", TRUE, ""$"", TO_TEXT(C1583), S1583),"""")"),"")</f>
        <v/>
      </c>
    </row>
    <row r="1584">
      <c r="A1584" s="58">
        <f>IFERROR(__xludf.DUMMYFUNCTION("INDIRECT(""'收支紀錄'!A""&amp;TO_TEXT(ROW()-$C$72))"),46121.8312353588)</f>
        <v>46121.83124</v>
      </c>
      <c r="B1584" s="59">
        <f>IFERROR(__xludf.DUMMYFUNCTION("IF(ISBLANK(D1584), """", IF(ISDATE(D1584), D1584, IF(D1584=""今天"", A1584, IF(D1584=""昨天 (-1 day)"", A1584-1, IF(D1584=""前天 (-2 days)"", A1584-2, IF(D1584=""明天 (+1 day)"", A1584+1, DATE(LEFT(D1584,4), MID(D1584,5,2), RIGHT(D1584,2))))))))"),46121.8312353588)</f>
        <v>46121.83124</v>
      </c>
      <c r="C1584" s="60">
        <f>IFERROR(__xludf.DUMMYFUNCTION("INDIRECT(""'收支紀錄'!C""&amp;TO_TEXT(ROW()-$C$72))"),550.0)</f>
        <v>550</v>
      </c>
      <c r="D1584" s="63" t="str">
        <f>IFERROR(__xludf.DUMMYFUNCTION("INDIRECT(""'收支紀錄'!D""&amp;TO_TEXT(ROW()-$C$72))"),"今天")</f>
        <v>今天</v>
      </c>
      <c r="E1584" s="61" t="str">
        <f>IFERROR(__xludf.DUMMYFUNCTION("INDIRECT(""'收支紀錄'!E""&amp;TO_TEXT(ROW()-$C$72))"),"")</f>
        <v/>
      </c>
      <c r="F1584" s="61" t="str">
        <f>IFERROR(__xludf.DUMMYFUNCTION("INDIRECT(""'收支紀錄'!F""&amp;TO_TEXT(ROW()-$C$72))"),"")</f>
        <v/>
      </c>
      <c r="G1584" s="61" t="str">
        <f>IFERROR(__xludf.DUMMYFUNCTION("INDIRECT(""'收支紀錄'!G""&amp;TO_TEXT(ROW()-$C$72))"),"")</f>
        <v/>
      </c>
      <c r="H1584" s="61" t="str">
        <f>IFERROR(__xludf.DUMMYFUNCTION("INDIRECT(""'收支紀錄'!H""&amp;TO_TEXT(ROW()-$C$72))"),"食品酒水")</f>
        <v>食品酒水</v>
      </c>
      <c r="I1584" s="61" t="str">
        <f>IFERROR(__xludf.DUMMYFUNCTION("INDIRECT(""'收支紀錄'!I""&amp;TO_TEXT(ROW()-$C$72))"),"食材")</f>
        <v>食材</v>
      </c>
      <c r="J1584" s="61" t="str">
        <f>IFERROR(__xludf.DUMMYFUNCTION("INDIRECT(""'收支紀錄'!J""&amp;TO_TEXT(ROW()-$C$72))"),"")</f>
        <v/>
      </c>
      <c r="K1584" s="61" t="str">
        <f>IFERROR(__xludf.DUMMYFUNCTION("INDIRECT(""'收支紀錄'!K""&amp;TO_TEXT(ROW()-$C$72))"),"")</f>
        <v/>
      </c>
      <c r="L1584" s="61" t="str">
        <f>IFERROR(__xludf.DUMMYFUNCTION("INDIRECT(""'收支紀錄'!L""&amp;TO_TEXT(ROW()-$C$72))"),"")</f>
        <v/>
      </c>
      <c r="M1584" s="61" t="str">
        <f>IFERROR(__xludf.DUMMYFUNCTION("INDIRECT(""'收支紀錄'!M""&amp;TO_TEXT(ROW()-$C$72))"),"")</f>
        <v/>
      </c>
      <c r="N1584" s="61" t="str">
        <f>IFERROR(__xludf.DUMMYFUNCTION("INDIRECT(""'收支紀錄'!N""&amp;TO_TEXT(ROW()-$C$72))"),"")</f>
        <v/>
      </c>
      <c r="O1584" s="61" t="str">
        <f>IFERROR(__xludf.DUMMYFUNCTION("INDIRECT(""'收支紀錄'!O""&amp;TO_TEXT(ROW()-$C$72))"),"")</f>
        <v/>
      </c>
      <c r="P1584" s="61" t="str">
        <f>IFERROR(__xludf.DUMMYFUNCTION("INDIRECT(""'收支紀錄'!P""&amp;TO_TEXT(ROW()-$C$72))"),"")</f>
        <v/>
      </c>
      <c r="Q1584" s="61" t="str">
        <f>IFERROR(__xludf.DUMMYFUNCTION("INDIRECT(""'收支紀錄'!Q""&amp;TO_TEXT(ROW()-$C$72))"),"")</f>
        <v/>
      </c>
      <c r="R1584" s="61" t="str">
        <f>IFERROR(__xludf.DUMMYFUNCTION("INDIRECT(""'收支紀錄'!R""&amp;TO_TEXT(ROW()-$C$72))"),"")</f>
        <v/>
      </c>
      <c r="S1584" s="61" t="str">
        <f>IFERROR(__xludf.DUMMYFUNCTION("INDIRECT(""'收支紀錄'!S""&amp;TO_TEXT(ROW()-$C$72))"),"")</f>
        <v/>
      </c>
      <c r="T1584" s="61" t="str">
        <f>IFERROR(__xludf.DUMMYFUNCTION("INDIRECT(""'收支紀錄'!T""&amp;TO_TEXT(ROW()-$C$72))"),"")</f>
        <v/>
      </c>
      <c r="U1584" s="62" t="str">
        <f>IFERROR(__xludf.DUMMYFUNCTION("IF(T1584=""是"",TEXTJOIN("""", TRUE, ""$"", TO_TEXT(C1584), S1584),"""")"),"")</f>
        <v/>
      </c>
    </row>
    <row r="1585">
      <c r="A1585" s="58">
        <f>IFERROR(__xludf.DUMMYFUNCTION("INDIRECT(""'收支紀錄'!A""&amp;TO_TEXT(ROW()-$C$72))"),46121.917102164356)</f>
        <v>46121.9171</v>
      </c>
      <c r="B1585" s="59">
        <f>IFERROR(__xludf.DUMMYFUNCTION("IF(ISBLANK(D1585), """", IF(ISDATE(D1585), D1585, IF(D1585=""今天"", A1585, IF(D1585=""昨天 (-1 day)"", A1585-1, IF(D1585=""前天 (-2 days)"", A1585-2, IF(D1585=""明天 (+1 day)"", A1585+1, DATE(LEFT(D1585,4), MID(D1585,5,2), RIGHT(D1585,2))))))))"),46121.917102164356)</f>
        <v>46121.9171</v>
      </c>
      <c r="C1585" s="60">
        <f>IFERROR(__xludf.DUMMYFUNCTION("INDIRECT(""'收支紀錄'!C""&amp;TO_TEXT(ROW()-$C$72))"),687.0)</f>
        <v>687</v>
      </c>
      <c r="D1585" s="63" t="str">
        <f>IFERROR(__xludf.DUMMYFUNCTION("INDIRECT(""'收支紀錄'!D""&amp;TO_TEXT(ROW()-$C$72))"),"今天")</f>
        <v>今天</v>
      </c>
      <c r="E1585" s="61" t="str">
        <f>IFERROR(__xludf.DUMMYFUNCTION("INDIRECT(""'收支紀錄'!E""&amp;TO_TEXT(ROW()-$C$72))"),"")</f>
        <v/>
      </c>
      <c r="F1585" s="61" t="str">
        <f>IFERROR(__xludf.DUMMYFUNCTION("INDIRECT(""'收支紀錄'!F""&amp;TO_TEXT(ROW()-$C$72))"),"")</f>
        <v/>
      </c>
      <c r="G1585" s="61" t="str">
        <f>IFERROR(__xludf.DUMMYFUNCTION("INDIRECT(""'收支紀錄'!G""&amp;TO_TEXT(ROW()-$C$72))"),"")</f>
        <v/>
      </c>
      <c r="H1585" s="61" t="str">
        <f>IFERROR(__xludf.DUMMYFUNCTION("INDIRECT(""'收支紀錄'!H""&amp;TO_TEXT(ROW()-$C$72))"),"行車交通")</f>
        <v>行車交通</v>
      </c>
      <c r="I1585" s="61" t="str">
        <f>IFERROR(__xludf.DUMMYFUNCTION("INDIRECT(""'收支紀錄'!I""&amp;TO_TEXT(ROW()-$C$72))"),"")</f>
        <v/>
      </c>
      <c r="J1585" s="61" t="str">
        <f>IFERROR(__xludf.DUMMYFUNCTION("INDIRECT(""'收支紀錄'!J""&amp;TO_TEXT(ROW()-$C$72))"),"")</f>
        <v/>
      </c>
      <c r="K1585" s="61" t="str">
        <f>IFERROR(__xludf.DUMMYFUNCTION("INDIRECT(""'收支紀錄'!K""&amp;TO_TEXT(ROW()-$C$72))"),"")</f>
        <v/>
      </c>
      <c r="L1585" s="61" t="str">
        <f>IFERROR(__xludf.DUMMYFUNCTION("INDIRECT(""'收支紀錄'!L""&amp;TO_TEXT(ROW()-$C$72))"),"加油")</f>
        <v>加油</v>
      </c>
      <c r="M1585" s="61" t="str">
        <f>IFERROR(__xludf.DUMMYFUNCTION("INDIRECT(""'收支紀錄'!M""&amp;TO_TEXT(ROW()-$C$72))"),"")</f>
        <v/>
      </c>
      <c r="N1585" s="61" t="str">
        <f>IFERROR(__xludf.DUMMYFUNCTION("INDIRECT(""'收支紀錄'!N""&amp;TO_TEXT(ROW()-$C$72))"),"")</f>
        <v/>
      </c>
      <c r="O1585" s="61" t="str">
        <f>IFERROR(__xludf.DUMMYFUNCTION("INDIRECT(""'收支紀錄'!O""&amp;TO_TEXT(ROW()-$C$72))"),"")</f>
        <v/>
      </c>
      <c r="P1585" s="61" t="str">
        <f>IFERROR(__xludf.DUMMYFUNCTION("INDIRECT(""'收支紀錄'!P""&amp;TO_TEXT(ROW()-$C$72))"),"")</f>
        <v/>
      </c>
      <c r="Q1585" s="61" t="str">
        <f>IFERROR(__xludf.DUMMYFUNCTION("INDIRECT(""'收支紀錄'!Q""&amp;TO_TEXT(ROW()-$C$72))"),"")</f>
        <v/>
      </c>
      <c r="R1585" s="61" t="str">
        <f>IFERROR(__xludf.DUMMYFUNCTION("INDIRECT(""'收支紀錄'!R""&amp;TO_TEXT(ROW()-$C$72))"),"")</f>
        <v/>
      </c>
      <c r="S1585" s="61" t="str">
        <f>IFERROR(__xludf.DUMMYFUNCTION("INDIRECT(""'收支紀錄'!S""&amp;TO_TEXT(ROW()-$C$72))"),"")</f>
        <v/>
      </c>
      <c r="T1585" s="61" t="str">
        <f>IFERROR(__xludf.DUMMYFUNCTION("INDIRECT(""'收支紀錄'!T""&amp;TO_TEXT(ROW()-$C$72))"),"")</f>
        <v/>
      </c>
      <c r="U1585" s="62" t="str">
        <f>IFERROR(__xludf.DUMMYFUNCTION("IF(T1585=""是"",TEXTJOIN("""", TRUE, ""$"", TO_TEXT(C1585), S1585),"""")"),"")</f>
        <v/>
      </c>
    </row>
    <row r="1586">
      <c r="A1586" s="58">
        <f>IFERROR(__xludf.DUMMYFUNCTION("INDIRECT(""'收支紀錄'!A""&amp;TO_TEXT(ROW()-$C$72))"),46122.32118175926)</f>
        <v>46122.32118</v>
      </c>
      <c r="B1586" s="59">
        <f>IFERROR(__xludf.DUMMYFUNCTION("IF(ISBLANK(D1586), """", IF(ISDATE(D1586), D1586, IF(D1586=""今天"", A1586, IF(D1586=""昨天 (-1 day)"", A1586-1, IF(D1586=""前天 (-2 days)"", A1586-2, IF(D1586=""明天 (+1 day)"", A1586+1, DATE(LEFT(D1586,4), MID(D1586,5,2), RIGHT(D1586,2))))))))"),46122.32118175926)</f>
        <v>46122.32118</v>
      </c>
      <c r="C1586" s="60">
        <f>IFERROR(__xludf.DUMMYFUNCTION("INDIRECT(""'收支紀錄'!C""&amp;TO_TEXT(ROW()-$C$72))"),690.0)</f>
        <v>690</v>
      </c>
      <c r="D1586" s="63" t="str">
        <f>IFERROR(__xludf.DUMMYFUNCTION("INDIRECT(""'收支紀錄'!D""&amp;TO_TEXT(ROW()-$C$72))"),"今天")</f>
        <v>今天</v>
      </c>
      <c r="E1586" s="61" t="str">
        <f>IFERROR(__xludf.DUMMYFUNCTION("INDIRECT(""'收支紀錄'!E""&amp;TO_TEXT(ROW()-$C$72))"),"")</f>
        <v/>
      </c>
      <c r="F1586" s="61" t="str">
        <f>IFERROR(__xludf.DUMMYFUNCTION("INDIRECT(""'收支紀錄'!F""&amp;TO_TEXT(ROW()-$C$72))"),"")</f>
        <v/>
      </c>
      <c r="G1586" s="61" t="str">
        <f>IFERROR(__xludf.DUMMYFUNCTION("INDIRECT(""'收支紀錄'!G""&amp;TO_TEXT(ROW()-$C$72))"),"")</f>
        <v/>
      </c>
      <c r="H1586" s="61" t="str">
        <f>IFERROR(__xludf.DUMMYFUNCTION("INDIRECT(""'收支紀錄'!H""&amp;TO_TEXT(ROW()-$C$72))"),"休閒娛樂")</f>
        <v>休閒娛樂</v>
      </c>
      <c r="I1586" s="61" t="str">
        <f>IFERROR(__xludf.DUMMYFUNCTION("INDIRECT(""'收支紀錄'!I""&amp;TO_TEXT(ROW()-$C$72))"),"")</f>
        <v/>
      </c>
      <c r="J1586" s="61" t="str">
        <f>IFERROR(__xludf.DUMMYFUNCTION("INDIRECT(""'收支紀錄'!J""&amp;TO_TEXT(ROW()-$C$72))"),"")</f>
        <v/>
      </c>
      <c r="K1586" s="61" t="str">
        <f>IFERROR(__xludf.DUMMYFUNCTION("INDIRECT(""'收支紀錄'!K""&amp;TO_TEXT(ROW()-$C$72))"),"")</f>
        <v/>
      </c>
      <c r="L1586" s="61" t="str">
        <f>IFERROR(__xludf.DUMMYFUNCTION("INDIRECT(""'收支紀錄'!L""&amp;TO_TEXT(ROW()-$C$72))"),"")</f>
        <v/>
      </c>
      <c r="M1586" s="61" t="str">
        <f>IFERROR(__xludf.DUMMYFUNCTION("INDIRECT(""'收支紀錄'!M""&amp;TO_TEXT(ROW()-$C$72))"),"Netflix")</f>
        <v>Netflix</v>
      </c>
      <c r="N1586" s="61" t="str">
        <f>IFERROR(__xludf.DUMMYFUNCTION("INDIRECT(""'收支紀錄'!N""&amp;TO_TEXT(ROW()-$C$72))"),"")</f>
        <v/>
      </c>
      <c r="O1586" s="61" t="str">
        <f>IFERROR(__xludf.DUMMYFUNCTION("INDIRECT(""'收支紀錄'!O""&amp;TO_TEXT(ROW()-$C$72))"),"")</f>
        <v/>
      </c>
      <c r="P1586" s="61" t="str">
        <f>IFERROR(__xludf.DUMMYFUNCTION("INDIRECT(""'收支紀錄'!P""&amp;TO_TEXT(ROW()-$C$72))"),"")</f>
        <v/>
      </c>
      <c r="Q1586" s="61" t="str">
        <f>IFERROR(__xludf.DUMMYFUNCTION("INDIRECT(""'收支紀錄'!Q""&amp;TO_TEXT(ROW()-$C$72))"),"")</f>
        <v/>
      </c>
      <c r="R1586" s="61" t="str">
        <f>IFERROR(__xludf.DUMMYFUNCTION("INDIRECT(""'收支紀錄'!R""&amp;TO_TEXT(ROW()-$C$72))"),"")</f>
        <v/>
      </c>
      <c r="S1586" s="61" t="str">
        <f>IFERROR(__xludf.DUMMYFUNCTION("INDIRECT(""'收支紀錄'!S""&amp;TO_TEXT(ROW()-$C$72))"),"")</f>
        <v/>
      </c>
      <c r="T1586" s="61" t="str">
        <f>IFERROR(__xludf.DUMMYFUNCTION("INDIRECT(""'收支紀錄'!T""&amp;TO_TEXT(ROW()-$C$72))"),"")</f>
        <v/>
      </c>
      <c r="U1586" s="62" t="str">
        <f>IFERROR(__xludf.DUMMYFUNCTION("IF(T1586=""是"",TEXTJOIN("""", TRUE, ""$"", TO_TEXT(C1586), S1586),"""")"),"")</f>
        <v/>
      </c>
    </row>
    <row r="1587">
      <c r="A1587" s="58">
        <f>IFERROR(__xludf.DUMMYFUNCTION("INDIRECT(""'收支紀錄'!A""&amp;TO_TEXT(ROW()-$C$72))"),46123.41965224537)</f>
        <v>46123.41965</v>
      </c>
      <c r="B1587" s="59">
        <f>IFERROR(__xludf.DUMMYFUNCTION("IF(ISBLANK(D1587), """", IF(ISDATE(D1587), D1587, IF(D1587=""今天"", A1587, IF(D1587=""昨天 (-1 day)"", A1587-1, IF(D1587=""前天 (-2 days)"", A1587-2, IF(D1587=""明天 (+1 day)"", A1587+1, DATE(LEFT(D1587,4), MID(D1587,5,2), RIGHT(D1587,2))))))))"),46123.41965224537)</f>
        <v>46123.41965</v>
      </c>
      <c r="C1587" s="60">
        <f>IFERROR(__xludf.DUMMYFUNCTION("INDIRECT(""'收支紀錄'!C""&amp;TO_TEXT(ROW()-$C$72))"),187.0)</f>
        <v>187</v>
      </c>
      <c r="D1587" s="63" t="str">
        <f>IFERROR(__xludf.DUMMYFUNCTION("INDIRECT(""'收支紀錄'!D""&amp;TO_TEXT(ROW()-$C$72))"),"今天")</f>
        <v>今天</v>
      </c>
      <c r="E1587" s="61" t="str">
        <f>IFERROR(__xludf.DUMMYFUNCTION("INDIRECT(""'收支紀錄'!E""&amp;TO_TEXT(ROW()-$C$72))"),"")</f>
        <v/>
      </c>
      <c r="F1587" s="61" t="str">
        <f>IFERROR(__xludf.DUMMYFUNCTION("INDIRECT(""'收支紀錄'!F""&amp;TO_TEXT(ROW()-$C$72))"),"")</f>
        <v/>
      </c>
      <c r="G1587" s="61" t="str">
        <f>IFERROR(__xludf.DUMMYFUNCTION("INDIRECT(""'收支紀錄'!G""&amp;TO_TEXT(ROW()-$C$72))"),"")</f>
        <v/>
      </c>
      <c r="H1587" s="61" t="str">
        <f>IFERROR(__xludf.DUMMYFUNCTION("INDIRECT(""'收支紀錄'!H""&amp;TO_TEXT(ROW()-$C$72))"),"食品酒水")</f>
        <v>食品酒水</v>
      </c>
      <c r="I1587" s="61" t="str">
        <f>IFERROR(__xludf.DUMMYFUNCTION("INDIRECT(""'收支紀錄'!I""&amp;TO_TEXT(ROW()-$C$72))"),"早餐")</f>
        <v>早餐</v>
      </c>
      <c r="J1587" s="61" t="str">
        <f>IFERROR(__xludf.DUMMYFUNCTION("INDIRECT(""'收支紀錄'!J""&amp;TO_TEXT(ROW()-$C$72))"),"")</f>
        <v/>
      </c>
      <c r="K1587" s="61" t="str">
        <f>IFERROR(__xludf.DUMMYFUNCTION("INDIRECT(""'收支紀錄'!K""&amp;TO_TEXT(ROW()-$C$72))"),"")</f>
        <v/>
      </c>
      <c r="L1587" s="61" t="str">
        <f>IFERROR(__xludf.DUMMYFUNCTION("INDIRECT(""'收支紀錄'!L""&amp;TO_TEXT(ROW()-$C$72))"),"")</f>
        <v/>
      </c>
      <c r="M1587" s="61" t="str">
        <f>IFERROR(__xludf.DUMMYFUNCTION("INDIRECT(""'收支紀錄'!M""&amp;TO_TEXT(ROW()-$C$72))"),"")</f>
        <v/>
      </c>
      <c r="N1587" s="61" t="str">
        <f>IFERROR(__xludf.DUMMYFUNCTION("INDIRECT(""'收支紀錄'!N""&amp;TO_TEXT(ROW()-$C$72))"),"")</f>
        <v/>
      </c>
      <c r="O1587" s="61" t="str">
        <f>IFERROR(__xludf.DUMMYFUNCTION("INDIRECT(""'收支紀錄'!O""&amp;TO_TEXT(ROW()-$C$72))"),"")</f>
        <v/>
      </c>
      <c r="P1587" s="61" t="str">
        <f>IFERROR(__xludf.DUMMYFUNCTION("INDIRECT(""'收支紀錄'!P""&amp;TO_TEXT(ROW()-$C$72))"),"")</f>
        <v/>
      </c>
      <c r="Q1587" s="61" t="str">
        <f>IFERROR(__xludf.DUMMYFUNCTION("INDIRECT(""'收支紀錄'!Q""&amp;TO_TEXT(ROW()-$C$72))"),"")</f>
        <v/>
      </c>
      <c r="R1587" s="61" t="str">
        <f>IFERROR(__xludf.DUMMYFUNCTION("INDIRECT(""'收支紀錄'!R""&amp;TO_TEXT(ROW()-$C$72))"),"")</f>
        <v/>
      </c>
      <c r="S1587" s="61" t="str">
        <f>IFERROR(__xludf.DUMMYFUNCTION("INDIRECT(""'收支紀錄'!S""&amp;TO_TEXT(ROW()-$C$72))"),"")</f>
        <v/>
      </c>
      <c r="T1587" s="61" t="str">
        <f>IFERROR(__xludf.DUMMYFUNCTION("INDIRECT(""'收支紀錄'!T""&amp;TO_TEXT(ROW()-$C$72))"),"")</f>
        <v/>
      </c>
      <c r="U1587" s="62" t="str">
        <f>IFERROR(__xludf.DUMMYFUNCTION("IF(T1587=""是"",TEXTJOIN("""", TRUE, ""$"", TO_TEXT(C1587), S1587),"""")"),"")</f>
        <v/>
      </c>
    </row>
    <row r="1588">
      <c r="A1588" s="58">
        <f>IFERROR(__xludf.DUMMYFUNCTION("INDIRECT(""'收支紀錄'!A""&amp;TO_TEXT(ROW()-$C$72))"),46125.513180925926)</f>
        <v>46125.51318</v>
      </c>
      <c r="B1588" s="59">
        <f>IFERROR(__xludf.DUMMYFUNCTION("IF(ISBLANK(D1588), """", IF(ISDATE(D1588), D1588, IF(D1588=""今天"", A1588, IF(D1588=""昨天 (-1 day)"", A1588-1, IF(D1588=""前天 (-2 days)"", A1588-2, IF(D1588=""明天 (+1 day)"", A1588+1, DATE(LEFT(D1588,4), MID(D1588,5,2), RIGHT(D1588,2))))))))"),46124.513180925926)</f>
        <v>46124.51318</v>
      </c>
      <c r="C1588" s="60">
        <f>IFERROR(__xludf.DUMMYFUNCTION("INDIRECT(""'收支紀錄'!C""&amp;TO_TEXT(ROW()-$C$72))"),3956.0)</f>
        <v>3956</v>
      </c>
      <c r="D1588" s="63" t="str">
        <f>IFERROR(__xludf.DUMMYFUNCTION("INDIRECT(""'收支紀錄'!D""&amp;TO_TEXT(ROW()-$C$72))"),"昨天 (-1 day)")</f>
        <v>昨天 (-1 day)</v>
      </c>
      <c r="E1588" s="61" t="str">
        <f>IFERROR(__xludf.DUMMYFUNCTION("INDIRECT(""'收支紀錄'!E""&amp;TO_TEXT(ROW()-$C$72))"),"")</f>
        <v/>
      </c>
      <c r="F1588" s="61" t="str">
        <f>IFERROR(__xludf.DUMMYFUNCTION("INDIRECT(""'收支紀錄'!F""&amp;TO_TEXT(ROW()-$C$72))"),"")</f>
        <v/>
      </c>
      <c r="G1588" s="61" t="str">
        <f>IFERROR(__xludf.DUMMYFUNCTION("INDIRECT(""'收支紀錄'!G""&amp;TO_TEXT(ROW()-$C$72))"),"")</f>
        <v/>
      </c>
      <c r="H1588" s="61" t="str">
        <f>IFERROR(__xludf.DUMMYFUNCTION("INDIRECT(""'收支紀錄'!H""&amp;TO_TEXT(ROW()-$C$72))"),"休閒娛樂")</f>
        <v>休閒娛樂</v>
      </c>
      <c r="I1588" s="61" t="str">
        <f>IFERROR(__xludf.DUMMYFUNCTION("INDIRECT(""'收支紀錄'!I""&amp;TO_TEXT(ROW()-$C$72))"),"")</f>
        <v/>
      </c>
      <c r="J1588" s="61" t="str">
        <f>IFERROR(__xludf.DUMMYFUNCTION("INDIRECT(""'收支紀錄'!J""&amp;TO_TEXT(ROW()-$C$72))"),"")</f>
        <v/>
      </c>
      <c r="K1588" s="61" t="str">
        <f>IFERROR(__xludf.DUMMYFUNCTION("INDIRECT(""'收支紀錄'!K""&amp;TO_TEXT(ROW()-$C$72))"),"")</f>
        <v/>
      </c>
      <c r="L1588" s="61" t="str">
        <f>IFERROR(__xludf.DUMMYFUNCTION("INDIRECT(""'收支紀錄'!L""&amp;TO_TEXT(ROW()-$C$72))"),"")</f>
        <v/>
      </c>
      <c r="M1588" s="61" t="str">
        <f>IFERROR(__xludf.DUMMYFUNCTION("INDIRECT(""'收支紀錄'!M""&amp;TO_TEXT(ROW()-$C$72))"),"衣物鞋帽")</f>
        <v>衣物鞋帽</v>
      </c>
      <c r="N1588" s="61" t="str">
        <f>IFERROR(__xludf.DUMMYFUNCTION("INDIRECT(""'收支紀錄'!N""&amp;TO_TEXT(ROW()-$C$72))"),"")</f>
        <v/>
      </c>
      <c r="O1588" s="61" t="str">
        <f>IFERROR(__xludf.DUMMYFUNCTION("INDIRECT(""'收支紀錄'!O""&amp;TO_TEXT(ROW()-$C$72))"),"")</f>
        <v/>
      </c>
      <c r="P1588" s="61" t="str">
        <f>IFERROR(__xludf.DUMMYFUNCTION("INDIRECT(""'收支紀錄'!P""&amp;TO_TEXT(ROW()-$C$72))"),"")</f>
        <v/>
      </c>
      <c r="Q1588" s="61" t="str">
        <f>IFERROR(__xludf.DUMMYFUNCTION("INDIRECT(""'收支紀錄'!Q""&amp;TO_TEXT(ROW()-$C$72))"),"")</f>
        <v/>
      </c>
      <c r="R1588" s="61" t="str">
        <f>IFERROR(__xludf.DUMMYFUNCTION("INDIRECT(""'收支紀錄'!R""&amp;TO_TEXT(ROW()-$C$72))"),"")</f>
        <v/>
      </c>
      <c r="S1588" s="61" t="str">
        <f>IFERROR(__xludf.DUMMYFUNCTION("INDIRECT(""'收支紀錄'!S""&amp;TO_TEXT(ROW()-$C$72))"),"寶puma鞋+運動內衣")</f>
        <v>寶puma鞋+運動內衣</v>
      </c>
      <c r="T1588" s="61" t="str">
        <f>IFERROR(__xludf.DUMMYFUNCTION("INDIRECT(""'收支紀錄'!T""&amp;TO_TEXT(ROW()-$C$72))"),"是")</f>
        <v>是</v>
      </c>
      <c r="U1588" s="62" t="str">
        <f>IFERROR(__xludf.DUMMYFUNCTION("IF(T1588=""是"",TEXTJOIN("""", TRUE, ""$"", TO_TEXT(C1588), S1588),"""")"),"$3956寶puma鞋+運動內衣")</f>
        <v>$3956寶puma鞋+運動內衣</v>
      </c>
    </row>
    <row r="1589">
      <c r="A1589" s="58">
        <f>IFERROR(__xludf.DUMMYFUNCTION("INDIRECT(""'收支紀錄'!A""&amp;TO_TEXT(ROW()-$C$72))"),46125.51351362269)</f>
        <v>46125.51351</v>
      </c>
      <c r="B1589" s="59">
        <f>IFERROR(__xludf.DUMMYFUNCTION("IF(ISBLANK(D1589), """", IF(ISDATE(D1589), D1589, IF(D1589=""今天"", A1589, IF(D1589=""昨天 (-1 day)"", A1589-1, IF(D1589=""前天 (-2 days)"", A1589-2, IF(D1589=""明天 (+1 day)"", A1589+1, DATE(LEFT(D1589,4), MID(D1589,5,2), RIGHT(D1589,2))))))))"),46124.51351362269)</f>
        <v>46124.51351</v>
      </c>
      <c r="C1589" s="60">
        <f>IFERROR(__xludf.DUMMYFUNCTION("INDIRECT(""'收支紀錄'!C""&amp;TO_TEXT(ROW()-$C$72))"),2000.0)</f>
        <v>2000</v>
      </c>
      <c r="D1589" s="63" t="str">
        <f>IFERROR(__xludf.DUMMYFUNCTION("INDIRECT(""'收支紀錄'!D""&amp;TO_TEXT(ROW()-$C$72))"),"昨天 (-1 day)")</f>
        <v>昨天 (-1 day)</v>
      </c>
      <c r="E1589" s="61" t="str">
        <f>IFERROR(__xludf.DUMMYFUNCTION("INDIRECT(""'收支紀錄'!E""&amp;TO_TEXT(ROW()-$C$72))"),"")</f>
        <v/>
      </c>
      <c r="F1589" s="61" t="str">
        <f>IFERROR(__xludf.DUMMYFUNCTION("INDIRECT(""'收支紀錄'!F""&amp;TO_TEXT(ROW()-$C$72))"),"")</f>
        <v/>
      </c>
      <c r="G1589" s="61" t="str">
        <f>IFERROR(__xludf.DUMMYFUNCTION("INDIRECT(""'收支紀錄'!G""&amp;TO_TEXT(ROW()-$C$72))"),"")</f>
        <v/>
      </c>
      <c r="H1589" s="61" t="str">
        <f>IFERROR(__xludf.DUMMYFUNCTION("INDIRECT(""'收支紀錄'!H""&amp;TO_TEXT(ROW()-$C$72))"),"休閒娛樂")</f>
        <v>休閒娛樂</v>
      </c>
      <c r="I1589" s="61" t="str">
        <f>IFERROR(__xludf.DUMMYFUNCTION("INDIRECT(""'收支紀錄'!I""&amp;TO_TEXT(ROW()-$C$72))"),"")</f>
        <v/>
      </c>
      <c r="J1589" s="61" t="str">
        <f>IFERROR(__xludf.DUMMYFUNCTION("INDIRECT(""'收支紀錄'!J""&amp;TO_TEXT(ROW()-$C$72))"),"")</f>
        <v/>
      </c>
      <c r="K1589" s="61" t="str">
        <f>IFERROR(__xludf.DUMMYFUNCTION("INDIRECT(""'收支紀錄'!K""&amp;TO_TEXT(ROW()-$C$72))"),"")</f>
        <v/>
      </c>
      <c r="L1589" s="61" t="str">
        <f>IFERROR(__xludf.DUMMYFUNCTION("INDIRECT(""'收支紀錄'!L""&amp;TO_TEXT(ROW()-$C$72))"),"")</f>
        <v/>
      </c>
      <c r="M1589" s="61" t="str">
        <f>IFERROR(__xludf.DUMMYFUNCTION("INDIRECT(""'收支紀錄'!M""&amp;TO_TEXT(ROW()-$C$72))"),"衣物鞋帽")</f>
        <v>衣物鞋帽</v>
      </c>
      <c r="N1589" s="61" t="str">
        <f>IFERROR(__xludf.DUMMYFUNCTION("INDIRECT(""'收支紀錄'!N""&amp;TO_TEXT(ROW()-$C$72))"),"")</f>
        <v/>
      </c>
      <c r="O1589" s="61" t="str">
        <f>IFERROR(__xludf.DUMMYFUNCTION("INDIRECT(""'收支紀錄'!O""&amp;TO_TEXT(ROW()-$C$72))"),"")</f>
        <v/>
      </c>
      <c r="P1589" s="61" t="str">
        <f>IFERROR(__xludf.DUMMYFUNCTION("INDIRECT(""'收支紀錄'!P""&amp;TO_TEXT(ROW()-$C$72))"),"")</f>
        <v/>
      </c>
      <c r="Q1589" s="61" t="str">
        <f>IFERROR(__xludf.DUMMYFUNCTION("INDIRECT(""'收支紀錄'!Q""&amp;TO_TEXT(ROW()-$C$72))"),"")</f>
        <v/>
      </c>
      <c r="R1589" s="61" t="str">
        <f>IFERROR(__xludf.DUMMYFUNCTION("INDIRECT(""'收支紀錄'!R""&amp;TO_TEXT(ROW()-$C$72))"),"")</f>
        <v/>
      </c>
      <c r="S1589" s="61" t="str">
        <f>IFERROR(__xludf.DUMMYFUNCTION("INDIRECT(""'收支紀錄'!S""&amp;TO_TEXT(ROW()-$C$72))"),"寶Pedro 包")</f>
        <v>寶Pedro 包</v>
      </c>
      <c r="T1589" s="61" t="str">
        <f>IFERROR(__xludf.DUMMYFUNCTION("INDIRECT(""'收支紀錄'!T""&amp;TO_TEXT(ROW()-$C$72))"),"否")</f>
        <v>否</v>
      </c>
      <c r="U1589" s="62" t="str">
        <f>IFERROR(__xludf.DUMMYFUNCTION("IF(T1589=""是"",TEXTJOIN("""", TRUE, ""$"", TO_TEXT(C1589), S1589),"""")"),"")</f>
        <v/>
      </c>
    </row>
    <row r="1590">
      <c r="A1590" s="58">
        <f>IFERROR(__xludf.DUMMYFUNCTION("INDIRECT(""'收支紀錄'!A""&amp;TO_TEXT(ROW()-$C$72))"),46125.514446875)</f>
        <v>46125.51445</v>
      </c>
      <c r="B1590" s="59">
        <f>IFERROR(__xludf.DUMMYFUNCTION("IF(ISBLANK(D1590), """", IF(ISDATE(D1590), D1590, IF(D1590=""今天"", A1590, IF(D1590=""昨天 (-1 day)"", A1590-1, IF(D1590=""前天 (-2 days)"", A1590-2, IF(D1590=""明天 (+1 day)"", A1590+1, DATE(LEFT(D1590,4), MID(D1590,5,2), RIGHT(D1590,2))))))))"),46124.514446875)</f>
        <v>46124.51445</v>
      </c>
      <c r="C1590" s="60">
        <f>IFERROR(__xludf.DUMMYFUNCTION("INDIRECT(""'收支紀錄'!C""&amp;TO_TEXT(ROW()-$C$72))"),93.0)</f>
        <v>93</v>
      </c>
      <c r="D1590" s="63" t="str">
        <f>IFERROR(__xludf.DUMMYFUNCTION("INDIRECT(""'收支紀錄'!D""&amp;TO_TEXT(ROW()-$C$72))"),"昨天 (-1 day)")</f>
        <v>昨天 (-1 day)</v>
      </c>
      <c r="E1590" s="61" t="str">
        <f>IFERROR(__xludf.DUMMYFUNCTION("INDIRECT(""'收支紀錄'!E""&amp;TO_TEXT(ROW()-$C$72))"),"")</f>
        <v/>
      </c>
      <c r="F1590" s="61" t="str">
        <f>IFERROR(__xludf.DUMMYFUNCTION("INDIRECT(""'收支紀錄'!F""&amp;TO_TEXT(ROW()-$C$72))"),"")</f>
        <v/>
      </c>
      <c r="G1590" s="61" t="str">
        <f>IFERROR(__xludf.DUMMYFUNCTION("INDIRECT(""'收支紀錄'!G""&amp;TO_TEXT(ROW()-$C$72))"),"")</f>
        <v/>
      </c>
      <c r="H1590" s="61" t="str">
        <f>IFERROR(__xludf.DUMMYFUNCTION("INDIRECT(""'收支紀錄'!H""&amp;TO_TEXT(ROW()-$C$72))"),"行車交通")</f>
        <v>行車交通</v>
      </c>
      <c r="I1590" s="61" t="str">
        <f>IFERROR(__xludf.DUMMYFUNCTION("INDIRECT(""'收支紀錄'!I""&amp;TO_TEXT(ROW()-$C$72))"),"")</f>
        <v/>
      </c>
      <c r="J1590" s="61" t="str">
        <f>IFERROR(__xludf.DUMMYFUNCTION("INDIRECT(""'收支紀錄'!J""&amp;TO_TEXT(ROW()-$C$72))"),"")</f>
        <v/>
      </c>
      <c r="K1590" s="61" t="str">
        <f>IFERROR(__xludf.DUMMYFUNCTION("INDIRECT(""'收支紀錄'!K""&amp;TO_TEXT(ROW()-$C$72))"),"")</f>
        <v/>
      </c>
      <c r="L1590" s="61" t="str">
        <f>IFERROR(__xludf.DUMMYFUNCTION("INDIRECT(""'收支紀錄'!L""&amp;TO_TEXT(ROW()-$C$72))"),"計程車/Uber")</f>
        <v>計程車/Uber</v>
      </c>
      <c r="M1590" s="61" t="str">
        <f>IFERROR(__xludf.DUMMYFUNCTION("INDIRECT(""'收支紀錄'!M""&amp;TO_TEXT(ROW()-$C$72))"),"")</f>
        <v/>
      </c>
      <c r="N1590" s="61" t="str">
        <f>IFERROR(__xludf.DUMMYFUNCTION("INDIRECT(""'收支紀錄'!N""&amp;TO_TEXT(ROW()-$C$72))"),"")</f>
        <v/>
      </c>
      <c r="O1590" s="61" t="str">
        <f>IFERROR(__xludf.DUMMYFUNCTION("INDIRECT(""'收支紀錄'!O""&amp;TO_TEXT(ROW()-$C$72))"),"")</f>
        <v/>
      </c>
      <c r="P1590" s="61" t="str">
        <f>IFERROR(__xludf.DUMMYFUNCTION("INDIRECT(""'收支紀錄'!P""&amp;TO_TEXT(ROW()-$C$72))"),"")</f>
        <v/>
      </c>
      <c r="Q1590" s="61" t="str">
        <f>IFERROR(__xludf.DUMMYFUNCTION("INDIRECT(""'收支紀錄'!Q""&amp;TO_TEXT(ROW()-$C$72))"),"")</f>
        <v/>
      </c>
      <c r="R1590" s="61" t="str">
        <f>IFERROR(__xludf.DUMMYFUNCTION("INDIRECT(""'收支紀錄'!R""&amp;TO_TEXT(ROW()-$C$72))"),"")</f>
        <v/>
      </c>
      <c r="S1590" s="61" t="str">
        <f>IFERROR(__xludf.DUMMYFUNCTION("INDIRECT(""'收支紀錄'!S""&amp;TO_TEXT(ROW()-$C$72))"),"")</f>
        <v/>
      </c>
      <c r="T1590" s="61" t="str">
        <f>IFERROR(__xludf.DUMMYFUNCTION("INDIRECT(""'收支紀錄'!T""&amp;TO_TEXT(ROW()-$C$72))"),"")</f>
        <v/>
      </c>
      <c r="U1590" s="62" t="str">
        <f>IFERROR(__xludf.DUMMYFUNCTION("IF(T1590=""是"",TEXTJOIN("""", TRUE, ""$"", TO_TEXT(C1590), S1590),"""")"),"")</f>
        <v/>
      </c>
    </row>
    <row r="1591">
      <c r="A1591" s="58">
        <f>IFERROR(__xludf.DUMMYFUNCTION("INDIRECT(""'收支紀錄'!A""&amp;TO_TEXT(ROW()-$C$72))"),46125.51464962963)</f>
        <v>46125.51465</v>
      </c>
      <c r="B1591" s="59">
        <f>IFERROR(__xludf.DUMMYFUNCTION("IF(ISBLANK(D1591), """", IF(ISDATE(D1591), D1591, IF(D1591=""今天"", A1591, IF(D1591=""昨天 (-1 day)"", A1591-1, IF(D1591=""前天 (-2 days)"", A1591-2, IF(D1591=""明天 (+1 day)"", A1591+1, DATE(LEFT(D1591,4), MID(D1591,5,2), RIGHT(D1591,2))))))))"),46124.51464962963)</f>
        <v>46124.51465</v>
      </c>
      <c r="C1591" s="60">
        <f>IFERROR(__xludf.DUMMYFUNCTION("INDIRECT(""'收支紀錄'!C""&amp;TO_TEXT(ROW()-$C$72))"),40.0)</f>
        <v>40</v>
      </c>
      <c r="D1591" s="63" t="str">
        <f>IFERROR(__xludf.DUMMYFUNCTION("INDIRECT(""'收支紀錄'!D""&amp;TO_TEXT(ROW()-$C$72))"),"昨天 (-1 day)")</f>
        <v>昨天 (-1 day)</v>
      </c>
      <c r="E1591" s="61" t="str">
        <f>IFERROR(__xludf.DUMMYFUNCTION("INDIRECT(""'收支紀錄'!E""&amp;TO_TEXT(ROW()-$C$72))"),"")</f>
        <v/>
      </c>
      <c r="F1591" s="61" t="str">
        <f>IFERROR(__xludf.DUMMYFUNCTION("INDIRECT(""'收支紀錄'!F""&amp;TO_TEXT(ROW()-$C$72))"),"")</f>
        <v/>
      </c>
      <c r="G1591" s="61" t="str">
        <f>IFERROR(__xludf.DUMMYFUNCTION("INDIRECT(""'收支紀錄'!G""&amp;TO_TEXT(ROW()-$C$72))"),"")</f>
        <v/>
      </c>
      <c r="H1591" s="61" t="str">
        <f>IFERROR(__xludf.DUMMYFUNCTION("INDIRECT(""'收支紀錄'!H""&amp;TO_TEXT(ROW()-$C$72))"),"行車交通")</f>
        <v>行車交通</v>
      </c>
      <c r="I1591" s="61" t="str">
        <f>IFERROR(__xludf.DUMMYFUNCTION("INDIRECT(""'收支紀錄'!I""&amp;TO_TEXT(ROW()-$C$72))"),"")</f>
        <v/>
      </c>
      <c r="J1591" s="61" t="str">
        <f>IFERROR(__xludf.DUMMYFUNCTION("INDIRECT(""'收支紀錄'!J""&amp;TO_TEXT(ROW()-$C$72))"),"")</f>
        <v/>
      </c>
      <c r="K1591" s="61" t="str">
        <f>IFERROR(__xludf.DUMMYFUNCTION("INDIRECT(""'收支紀錄'!K""&amp;TO_TEXT(ROW()-$C$72))"),"")</f>
        <v/>
      </c>
      <c r="L1591" s="61" t="str">
        <f>IFERROR(__xludf.DUMMYFUNCTION("INDIRECT(""'收支紀錄'!L""&amp;TO_TEXT(ROW()-$C$72))"),"停車")</f>
        <v>停車</v>
      </c>
      <c r="M1591" s="61" t="str">
        <f>IFERROR(__xludf.DUMMYFUNCTION("INDIRECT(""'收支紀錄'!M""&amp;TO_TEXT(ROW()-$C$72))"),"")</f>
        <v/>
      </c>
      <c r="N1591" s="61" t="str">
        <f>IFERROR(__xludf.DUMMYFUNCTION("INDIRECT(""'收支紀錄'!N""&amp;TO_TEXT(ROW()-$C$72))"),"")</f>
        <v/>
      </c>
      <c r="O1591" s="61" t="str">
        <f>IFERROR(__xludf.DUMMYFUNCTION("INDIRECT(""'收支紀錄'!O""&amp;TO_TEXT(ROW()-$C$72))"),"")</f>
        <v/>
      </c>
      <c r="P1591" s="61" t="str">
        <f>IFERROR(__xludf.DUMMYFUNCTION("INDIRECT(""'收支紀錄'!P""&amp;TO_TEXT(ROW()-$C$72))"),"")</f>
        <v/>
      </c>
      <c r="Q1591" s="61" t="str">
        <f>IFERROR(__xludf.DUMMYFUNCTION("INDIRECT(""'收支紀錄'!Q""&amp;TO_TEXT(ROW()-$C$72))"),"")</f>
        <v/>
      </c>
      <c r="R1591" s="61" t="str">
        <f>IFERROR(__xludf.DUMMYFUNCTION("INDIRECT(""'收支紀錄'!R""&amp;TO_TEXT(ROW()-$C$72))"),"")</f>
        <v/>
      </c>
      <c r="S1591" s="61" t="str">
        <f>IFERROR(__xludf.DUMMYFUNCTION("INDIRECT(""'收支紀錄'!S""&amp;TO_TEXT(ROW()-$C$72))"),"")</f>
        <v/>
      </c>
      <c r="T1591" s="61" t="str">
        <f>IFERROR(__xludf.DUMMYFUNCTION("INDIRECT(""'收支紀錄'!T""&amp;TO_TEXT(ROW()-$C$72))"),"")</f>
        <v/>
      </c>
      <c r="U1591" s="62" t="str">
        <f>IFERROR(__xludf.DUMMYFUNCTION("IF(T1591=""是"",TEXTJOIN("""", TRUE, ""$"", TO_TEXT(C1591), S1591),"""")"),"")</f>
        <v/>
      </c>
    </row>
    <row r="1592">
      <c r="A1592" s="58">
        <f>IFERROR(__xludf.DUMMYFUNCTION("INDIRECT(""'收支紀錄'!A""&amp;TO_TEXT(ROW()-$C$72))"),46125.55821509259)</f>
        <v>46125.55822</v>
      </c>
      <c r="B1592" s="59">
        <f>IFERROR(__xludf.DUMMYFUNCTION("IF(ISBLANK(D1592), """", IF(ISDATE(D1592), D1592, IF(D1592=""今天"", A1592, IF(D1592=""昨天 (-1 day)"", A1592-1, IF(D1592=""前天 (-2 days)"", A1592-2, IF(D1592=""明天 (+1 day)"", A1592+1, DATE(LEFT(D1592,4), MID(D1592,5,2), RIGHT(D1592,2))))))))"),46124.55821509259)</f>
        <v>46124.55822</v>
      </c>
      <c r="C1592" s="60">
        <f>IFERROR(__xludf.DUMMYFUNCTION("INDIRECT(""'收支紀錄'!C""&amp;TO_TEXT(ROW()-$C$72))"),2627.0)</f>
        <v>2627</v>
      </c>
      <c r="D1592" s="63" t="str">
        <f>IFERROR(__xludf.DUMMYFUNCTION("INDIRECT(""'收支紀錄'!D""&amp;TO_TEXT(ROW()-$C$72))"),"昨天 (-1 day)")</f>
        <v>昨天 (-1 day)</v>
      </c>
      <c r="E1592" s="61" t="str">
        <f>IFERROR(__xludf.DUMMYFUNCTION("INDIRECT(""'收支紀錄'!E""&amp;TO_TEXT(ROW()-$C$72))"),"")</f>
        <v/>
      </c>
      <c r="F1592" s="61" t="str">
        <f>IFERROR(__xludf.DUMMYFUNCTION("INDIRECT(""'收支紀錄'!F""&amp;TO_TEXT(ROW()-$C$72))"),"")</f>
        <v/>
      </c>
      <c r="G1592" s="61" t="str">
        <f>IFERROR(__xludf.DUMMYFUNCTION("INDIRECT(""'收支紀錄'!G""&amp;TO_TEXT(ROW()-$C$72))"),"")</f>
        <v/>
      </c>
      <c r="H1592" s="61" t="str">
        <f>IFERROR(__xludf.DUMMYFUNCTION("INDIRECT(""'收支紀錄'!H""&amp;TO_TEXT(ROW()-$C$72))"),"食品酒水")</f>
        <v>食品酒水</v>
      </c>
      <c r="I1592" s="61" t="str">
        <f>IFERROR(__xludf.DUMMYFUNCTION("INDIRECT(""'收支紀錄'!I""&amp;TO_TEXT(ROW()-$C$72))"),"晚餐")</f>
        <v>晚餐</v>
      </c>
      <c r="J1592" s="61" t="str">
        <f>IFERROR(__xludf.DUMMYFUNCTION("INDIRECT(""'收支紀錄'!J""&amp;TO_TEXT(ROW()-$C$72))"),"")</f>
        <v/>
      </c>
      <c r="K1592" s="61" t="str">
        <f>IFERROR(__xludf.DUMMYFUNCTION("INDIRECT(""'收支紀錄'!K""&amp;TO_TEXT(ROW()-$C$72))"),"")</f>
        <v/>
      </c>
      <c r="L1592" s="61" t="str">
        <f>IFERROR(__xludf.DUMMYFUNCTION("INDIRECT(""'收支紀錄'!L""&amp;TO_TEXT(ROW()-$C$72))"),"")</f>
        <v/>
      </c>
      <c r="M1592" s="61" t="str">
        <f>IFERROR(__xludf.DUMMYFUNCTION("INDIRECT(""'收支紀錄'!M""&amp;TO_TEXT(ROW()-$C$72))"),"")</f>
        <v/>
      </c>
      <c r="N1592" s="61" t="str">
        <f>IFERROR(__xludf.DUMMYFUNCTION("INDIRECT(""'收支紀錄'!N""&amp;TO_TEXT(ROW()-$C$72))"),"")</f>
        <v/>
      </c>
      <c r="O1592" s="61" t="str">
        <f>IFERROR(__xludf.DUMMYFUNCTION("INDIRECT(""'收支紀錄'!O""&amp;TO_TEXT(ROW()-$C$72))"),"")</f>
        <v/>
      </c>
      <c r="P1592" s="61" t="str">
        <f>IFERROR(__xludf.DUMMYFUNCTION("INDIRECT(""'收支紀錄'!P""&amp;TO_TEXT(ROW()-$C$72))"),"")</f>
        <v/>
      </c>
      <c r="Q1592" s="61" t="str">
        <f>IFERROR(__xludf.DUMMYFUNCTION("INDIRECT(""'收支紀錄'!Q""&amp;TO_TEXT(ROW()-$C$72))"),"")</f>
        <v/>
      </c>
      <c r="R1592" s="61" t="str">
        <f>IFERROR(__xludf.DUMMYFUNCTION("INDIRECT(""'收支紀錄'!R""&amp;TO_TEXT(ROW()-$C$72))"),"")</f>
        <v/>
      </c>
      <c r="S1592" s="61" t="str">
        <f>IFERROR(__xludf.DUMMYFUNCTION("INDIRECT(""'收支紀錄'!S""&amp;TO_TEXT(ROW()-$C$72))"),"燒肉中山*2")</f>
        <v>燒肉中山*2</v>
      </c>
      <c r="T1592" s="61" t="str">
        <f>IFERROR(__xludf.DUMMYFUNCTION("INDIRECT(""'收支紀錄'!T""&amp;TO_TEXT(ROW()-$C$72))"),"否")</f>
        <v>否</v>
      </c>
      <c r="U1592" s="62" t="str">
        <f>IFERROR(__xludf.DUMMYFUNCTION("IF(T1592=""是"",TEXTJOIN("""", TRUE, ""$"", TO_TEXT(C1592), S1592),"""")"),"")</f>
        <v/>
      </c>
    </row>
    <row r="1593">
      <c r="A1593" s="58">
        <f>IFERROR(__xludf.DUMMYFUNCTION("INDIRECT(""'收支紀錄'!A""&amp;TO_TEXT(ROW()-$C$72))"),46125.55851481482)</f>
        <v>46125.55851</v>
      </c>
      <c r="B1593" s="59">
        <f>IFERROR(__xludf.DUMMYFUNCTION("IF(ISBLANK(D1593), """", IF(ISDATE(D1593), D1593, IF(D1593=""今天"", A1593, IF(D1593=""昨天 (-1 day)"", A1593-1, IF(D1593=""前天 (-2 days)"", A1593-2, IF(D1593=""明天 (+1 day)"", A1593+1, DATE(LEFT(D1593,4), MID(D1593,5,2), RIGHT(D1593,2))))))))"),46124.55851481482)</f>
        <v>46124.55851</v>
      </c>
      <c r="C1593" s="60">
        <f>IFERROR(__xludf.DUMMYFUNCTION("INDIRECT(""'收支紀錄'!C""&amp;TO_TEXT(ROW()-$C$72))"),269.0)</f>
        <v>269</v>
      </c>
      <c r="D1593" s="63" t="str">
        <f>IFERROR(__xludf.DUMMYFUNCTION("INDIRECT(""'收支紀錄'!D""&amp;TO_TEXT(ROW()-$C$72))"),"昨天 (-1 day)")</f>
        <v>昨天 (-1 day)</v>
      </c>
      <c r="E1593" s="61" t="str">
        <f>IFERROR(__xludf.DUMMYFUNCTION("INDIRECT(""'收支紀錄'!E""&amp;TO_TEXT(ROW()-$C$72))"),"")</f>
        <v/>
      </c>
      <c r="F1593" s="61" t="str">
        <f>IFERROR(__xludf.DUMMYFUNCTION("INDIRECT(""'收支紀錄'!F""&amp;TO_TEXT(ROW()-$C$72))"),"")</f>
        <v/>
      </c>
      <c r="G1593" s="61" t="str">
        <f>IFERROR(__xludf.DUMMYFUNCTION("INDIRECT(""'收支紀錄'!G""&amp;TO_TEXT(ROW()-$C$72))"),"")</f>
        <v/>
      </c>
      <c r="H1593" s="61" t="str">
        <f>IFERROR(__xludf.DUMMYFUNCTION("INDIRECT(""'收支紀錄'!H""&amp;TO_TEXT(ROW()-$C$72))"),"日常生活")</f>
        <v>日常生活</v>
      </c>
      <c r="I1593" s="61" t="str">
        <f>IFERROR(__xludf.DUMMYFUNCTION("INDIRECT(""'收支紀錄'!I""&amp;TO_TEXT(ROW()-$C$72))"),"")</f>
        <v/>
      </c>
      <c r="J1593" s="61" t="str">
        <f>IFERROR(__xludf.DUMMYFUNCTION("INDIRECT(""'收支紀錄'!J""&amp;TO_TEXT(ROW()-$C$72))"),"日常用品")</f>
        <v>日常用品</v>
      </c>
      <c r="K1593" s="61" t="str">
        <f>IFERROR(__xludf.DUMMYFUNCTION("INDIRECT(""'收支紀錄'!K""&amp;TO_TEXT(ROW()-$C$72))"),"")</f>
        <v/>
      </c>
      <c r="L1593" s="61" t="str">
        <f>IFERROR(__xludf.DUMMYFUNCTION("INDIRECT(""'收支紀錄'!L""&amp;TO_TEXT(ROW()-$C$72))"),"")</f>
        <v/>
      </c>
      <c r="M1593" s="61" t="str">
        <f>IFERROR(__xludf.DUMMYFUNCTION("INDIRECT(""'收支紀錄'!M""&amp;TO_TEXT(ROW()-$C$72))"),"")</f>
        <v/>
      </c>
      <c r="N1593" s="61" t="str">
        <f>IFERROR(__xludf.DUMMYFUNCTION("INDIRECT(""'收支紀錄'!N""&amp;TO_TEXT(ROW()-$C$72))"),"")</f>
        <v/>
      </c>
      <c r="O1593" s="61" t="str">
        <f>IFERROR(__xludf.DUMMYFUNCTION("INDIRECT(""'收支紀錄'!O""&amp;TO_TEXT(ROW()-$C$72))"),"")</f>
        <v/>
      </c>
      <c r="P1593" s="61" t="str">
        <f>IFERROR(__xludf.DUMMYFUNCTION("INDIRECT(""'收支紀錄'!P""&amp;TO_TEXT(ROW()-$C$72))"),"")</f>
        <v/>
      </c>
      <c r="Q1593" s="61" t="str">
        <f>IFERROR(__xludf.DUMMYFUNCTION("INDIRECT(""'收支紀錄'!Q""&amp;TO_TEXT(ROW()-$C$72))"),"")</f>
        <v/>
      </c>
      <c r="R1593" s="61" t="str">
        <f>IFERROR(__xludf.DUMMYFUNCTION("INDIRECT(""'收支紀錄'!R""&amp;TO_TEXT(ROW()-$C$72))"),"")</f>
        <v/>
      </c>
      <c r="S1593" s="61" t="str">
        <f>IFERROR(__xludf.DUMMYFUNCTION("INDIRECT(""'收支紀錄'!S""&amp;TO_TEXT(ROW()-$C$72))"),"")</f>
        <v/>
      </c>
      <c r="T1593" s="61" t="str">
        <f>IFERROR(__xludf.DUMMYFUNCTION("INDIRECT(""'收支紀錄'!T""&amp;TO_TEXT(ROW()-$C$72))"),"")</f>
        <v/>
      </c>
      <c r="U1593" s="62" t="str">
        <f>IFERROR(__xludf.DUMMYFUNCTION("IF(T1593=""是"",TEXTJOIN("""", TRUE, ""$"", TO_TEXT(C1593), S1593),"""")"),"")</f>
        <v/>
      </c>
    </row>
    <row r="1594">
      <c r="A1594" s="58">
        <f>IFERROR(__xludf.DUMMYFUNCTION("INDIRECT(""'收支紀錄'!A""&amp;TO_TEXT(ROW()-$C$72))"),46125.55977087963)</f>
        <v>46125.55977</v>
      </c>
      <c r="B1594" s="59">
        <f>IFERROR(__xludf.DUMMYFUNCTION("IF(ISBLANK(D1594), """", IF(ISDATE(D1594), D1594, IF(D1594=""今天"", A1594, IF(D1594=""昨天 (-1 day)"", A1594-1, IF(D1594=""前天 (-2 days)"", A1594-2, IF(D1594=""明天 (+1 day)"", A1594+1, DATE(LEFT(D1594,4), MID(D1594,5,2), RIGHT(D1594,2))))))))"),46123.55977087963)</f>
        <v>46123.55977</v>
      </c>
      <c r="C1594" s="60">
        <f>IFERROR(__xludf.DUMMYFUNCTION("INDIRECT(""'收支紀錄'!C""&amp;TO_TEXT(ROW()-$C$72))"),1951.0)</f>
        <v>1951</v>
      </c>
      <c r="D1594" s="63" t="str">
        <f>IFERROR(__xludf.DUMMYFUNCTION("INDIRECT(""'收支紀錄'!D""&amp;TO_TEXT(ROW()-$C$72))"),"前天 (-2 days)")</f>
        <v>前天 (-2 days)</v>
      </c>
      <c r="E1594" s="61" t="str">
        <f>IFERROR(__xludf.DUMMYFUNCTION("INDIRECT(""'收支紀錄'!E""&amp;TO_TEXT(ROW()-$C$72))"),"")</f>
        <v/>
      </c>
      <c r="F1594" s="61" t="str">
        <f>IFERROR(__xludf.DUMMYFUNCTION("INDIRECT(""'收支紀錄'!F""&amp;TO_TEXT(ROW()-$C$72))"),"")</f>
        <v/>
      </c>
      <c r="G1594" s="61" t="str">
        <f>IFERROR(__xludf.DUMMYFUNCTION("INDIRECT(""'收支紀錄'!G""&amp;TO_TEXT(ROW()-$C$72))"),"")</f>
        <v/>
      </c>
      <c r="H1594" s="61" t="str">
        <f>IFERROR(__xludf.DUMMYFUNCTION("INDIRECT(""'收支紀錄'!H""&amp;TO_TEXT(ROW()-$C$72))"),"休閒娛樂")</f>
        <v>休閒娛樂</v>
      </c>
      <c r="I1594" s="61" t="str">
        <f>IFERROR(__xludf.DUMMYFUNCTION("INDIRECT(""'收支紀錄'!I""&amp;TO_TEXT(ROW()-$C$72))"),"")</f>
        <v/>
      </c>
      <c r="J1594" s="61" t="str">
        <f>IFERROR(__xludf.DUMMYFUNCTION("INDIRECT(""'收支紀錄'!J""&amp;TO_TEXT(ROW()-$C$72))"),"")</f>
        <v/>
      </c>
      <c r="K1594" s="61" t="str">
        <f>IFERROR(__xludf.DUMMYFUNCTION("INDIRECT(""'收支紀錄'!K""&amp;TO_TEXT(ROW()-$C$72))"),"")</f>
        <v/>
      </c>
      <c r="L1594" s="61" t="str">
        <f>IFERROR(__xludf.DUMMYFUNCTION("INDIRECT(""'收支紀錄'!L""&amp;TO_TEXT(ROW()-$C$72))"),"")</f>
        <v/>
      </c>
      <c r="M1594" s="61" t="str">
        <f>IFERROR(__xludf.DUMMYFUNCTION("INDIRECT(""'收支紀錄'!M""&amp;TO_TEXT(ROW()-$C$72))"),"衣物鞋帽")</f>
        <v>衣物鞋帽</v>
      </c>
      <c r="N1594" s="61" t="str">
        <f>IFERROR(__xludf.DUMMYFUNCTION("INDIRECT(""'收支紀錄'!N""&amp;TO_TEXT(ROW()-$C$72))"),"")</f>
        <v/>
      </c>
      <c r="O1594" s="61" t="str">
        <f>IFERROR(__xludf.DUMMYFUNCTION("INDIRECT(""'收支紀錄'!O""&amp;TO_TEXT(ROW()-$C$72))"),"")</f>
        <v/>
      </c>
      <c r="P1594" s="61" t="str">
        <f>IFERROR(__xludf.DUMMYFUNCTION("INDIRECT(""'收支紀錄'!P""&amp;TO_TEXT(ROW()-$C$72))"),"")</f>
        <v/>
      </c>
      <c r="Q1594" s="61" t="str">
        <f>IFERROR(__xludf.DUMMYFUNCTION("INDIRECT(""'收支紀錄'!Q""&amp;TO_TEXT(ROW()-$C$72))"),"")</f>
        <v/>
      </c>
      <c r="R1594" s="61" t="str">
        <f>IFERROR(__xludf.DUMMYFUNCTION("INDIRECT(""'收支紀錄'!R""&amp;TO_TEXT(ROW()-$C$72))"),"")</f>
        <v/>
      </c>
      <c r="S1594" s="61" t="str">
        <f>IFERROR(__xludf.DUMMYFUNCTION("INDIRECT(""'收支紀錄'!S""&amp;TO_TEXT(ROW()-$C$72))"),"麗寶鞋")</f>
        <v>麗寶鞋</v>
      </c>
      <c r="T1594" s="61" t="str">
        <f>IFERROR(__xludf.DUMMYFUNCTION("INDIRECT(""'收支紀錄'!T""&amp;TO_TEXT(ROW()-$C$72))"),"")</f>
        <v/>
      </c>
      <c r="U1594" s="62" t="str">
        <f>IFERROR(__xludf.DUMMYFUNCTION("IF(T1594=""是"",TEXTJOIN("""", TRUE, ""$"", TO_TEXT(C1594), S1594),"""")"),"")</f>
        <v/>
      </c>
    </row>
    <row r="1595">
      <c r="A1595" s="58">
        <f>IFERROR(__xludf.DUMMYFUNCTION("INDIRECT(""'收支紀錄'!A""&amp;TO_TEXT(ROW()-$C$72))"),46125.56043858796)</f>
        <v>46125.56044</v>
      </c>
      <c r="B1595" s="59">
        <f>IFERROR(__xludf.DUMMYFUNCTION("IF(ISBLANK(D1595), """", IF(ISDATE(D1595), D1595, IF(D1595=""今天"", A1595, IF(D1595=""昨天 (-1 day)"", A1595-1, IF(D1595=""前天 (-2 days)"", A1595-2, IF(D1595=""明天 (+1 day)"", A1595+1, DATE(LEFT(D1595,4), MID(D1595,5,2), RIGHT(D1595,2))))))))"),46123.56043858796)</f>
        <v>46123.56044</v>
      </c>
      <c r="C1595" s="60">
        <f>IFERROR(__xludf.DUMMYFUNCTION("INDIRECT(""'收支紀錄'!C""&amp;TO_TEXT(ROW()-$C$72))"),300.0)</f>
        <v>300</v>
      </c>
      <c r="D1595" s="63" t="str">
        <f>IFERROR(__xludf.DUMMYFUNCTION("INDIRECT(""'收支紀錄'!D""&amp;TO_TEXT(ROW()-$C$72))"),"前天 (-2 days)")</f>
        <v>前天 (-2 days)</v>
      </c>
      <c r="E1595" s="61" t="str">
        <f>IFERROR(__xludf.DUMMYFUNCTION("INDIRECT(""'收支紀錄'!E""&amp;TO_TEXT(ROW()-$C$72))"),"")</f>
        <v/>
      </c>
      <c r="F1595" s="61" t="str">
        <f>IFERROR(__xludf.DUMMYFUNCTION("INDIRECT(""'收支紀錄'!F""&amp;TO_TEXT(ROW()-$C$72))"),"")</f>
        <v/>
      </c>
      <c r="G1595" s="61" t="str">
        <f>IFERROR(__xludf.DUMMYFUNCTION("INDIRECT(""'收支紀錄'!G""&amp;TO_TEXT(ROW()-$C$72))"),"")</f>
        <v/>
      </c>
      <c r="H1595" s="61" t="str">
        <f>IFERROR(__xludf.DUMMYFUNCTION("INDIRECT(""'收支紀錄'!H""&amp;TO_TEXT(ROW()-$C$72))"),"食品酒水")</f>
        <v>食品酒水</v>
      </c>
      <c r="I1595" s="61" t="str">
        <f>IFERROR(__xludf.DUMMYFUNCTION("INDIRECT(""'收支紀錄'!I""&amp;TO_TEXT(ROW()-$C$72))"),"午餐")</f>
        <v>午餐</v>
      </c>
      <c r="J1595" s="61" t="str">
        <f>IFERROR(__xludf.DUMMYFUNCTION("INDIRECT(""'收支紀錄'!J""&amp;TO_TEXT(ROW()-$C$72))"),"")</f>
        <v/>
      </c>
      <c r="K1595" s="61" t="str">
        <f>IFERROR(__xludf.DUMMYFUNCTION("INDIRECT(""'收支紀錄'!K""&amp;TO_TEXT(ROW()-$C$72))"),"")</f>
        <v/>
      </c>
      <c r="L1595" s="61" t="str">
        <f>IFERROR(__xludf.DUMMYFUNCTION("INDIRECT(""'收支紀錄'!L""&amp;TO_TEXT(ROW()-$C$72))"),"")</f>
        <v/>
      </c>
      <c r="M1595" s="61" t="str">
        <f>IFERROR(__xludf.DUMMYFUNCTION("INDIRECT(""'收支紀錄'!M""&amp;TO_TEXT(ROW()-$C$72))"),"")</f>
        <v/>
      </c>
      <c r="N1595" s="61" t="str">
        <f>IFERROR(__xludf.DUMMYFUNCTION("INDIRECT(""'收支紀錄'!N""&amp;TO_TEXT(ROW()-$C$72))"),"")</f>
        <v/>
      </c>
      <c r="O1595" s="61" t="str">
        <f>IFERROR(__xludf.DUMMYFUNCTION("INDIRECT(""'收支紀錄'!O""&amp;TO_TEXT(ROW()-$C$72))"),"")</f>
        <v/>
      </c>
      <c r="P1595" s="61" t="str">
        <f>IFERROR(__xludf.DUMMYFUNCTION("INDIRECT(""'收支紀錄'!P""&amp;TO_TEXT(ROW()-$C$72))"),"")</f>
        <v/>
      </c>
      <c r="Q1595" s="61" t="str">
        <f>IFERROR(__xludf.DUMMYFUNCTION("INDIRECT(""'收支紀錄'!Q""&amp;TO_TEXT(ROW()-$C$72))"),"")</f>
        <v/>
      </c>
      <c r="R1595" s="61" t="str">
        <f>IFERROR(__xludf.DUMMYFUNCTION("INDIRECT(""'收支紀錄'!R""&amp;TO_TEXT(ROW()-$C$72))"),"")</f>
        <v/>
      </c>
      <c r="S1595" s="61" t="str">
        <f>IFERROR(__xludf.DUMMYFUNCTION("INDIRECT(""'收支紀錄'!S""&amp;TO_TEXT(ROW()-$C$72))"),"")</f>
        <v/>
      </c>
      <c r="T1595" s="61" t="str">
        <f>IFERROR(__xludf.DUMMYFUNCTION("INDIRECT(""'收支紀錄'!T""&amp;TO_TEXT(ROW()-$C$72))"),"")</f>
        <v/>
      </c>
      <c r="U1595" s="62" t="str">
        <f>IFERROR(__xludf.DUMMYFUNCTION("IF(T1595=""是"",TEXTJOIN("""", TRUE, ""$"", TO_TEXT(C1595), S1595),"""")"),"")</f>
        <v/>
      </c>
    </row>
    <row r="1596">
      <c r="A1596" s="58">
        <f>IFERROR(__xludf.DUMMYFUNCTION("INDIRECT(""'收支紀錄'!A""&amp;TO_TEXT(ROW()-$C$72))"),46125.93794179398)</f>
        <v>46125.93794</v>
      </c>
      <c r="B1596" s="59">
        <f>IFERROR(__xludf.DUMMYFUNCTION("IF(ISBLANK(D1596), """", IF(ISDATE(D1596), D1596, IF(D1596=""今天"", A1596, IF(D1596=""昨天 (-1 day)"", A1596-1, IF(D1596=""前天 (-2 days)"", A1596-2, IF(D1596=""明天 (+1 day)"", A1596+1, DATE(LEFT(D1596,4), MID(D1596,5,2), RIGHT(D1596,2))))))))"),46125.93794179398)</f>
        <v>46125.93794</v>
      </c>
      <c r="C1596" s="60">
        <f>IFERROR(__xludf.DUMMYFUNCTION("INDIRECT(""'收支紀錄'!C""&amp;TO_TEXT(ROW()-$C$72))"),7120.0)</f>
        <v>7120</v>
      </c>
      <c r="D1596" s="63" t="str">
        <f>IFERROR(__xludf.DUMMYFUNCTION("INDIRECT(""'收支紀錄'!D""&amp;TO_TEXT(ROW()-$C$72))"),"今天")</f>
        <v>今天</v>
      </c>
      <c r="E1596" s="61" t="str">
        <f>IFERROR(__xludf.DUMMYFUNCTION("INDIRECT(""'收支紀錄'!E""&amp;TO_TEXT(ROW()-$C$72))"),"")</f>
        <v/>
      </c>
      <c r="F1596" s="61" t="str">
        <f>IFERROR(__xludf.DUMMYFUNCTION("INDIRECT(""'收支紀錄'!F""&amp;TO_TEXT(ROW()-$C$72))"),"")</f>
        <v/>
      </c>
      <c r="G1596" s="61" t="str">
        <f>IFERROR(__xludf.DUMMYFUNCTION("INDIRECT(""'收支紀錄'!G""&amp;TO_TEXT(ROW()-$C$72))"),"")</f>
        <v/>
      </c>
      <c r="H1596" s="61" t="str">
        <f>IFERROR(__xludf.DUMMYFUNCTION("INDIRECT(""'收支紀錄'!H""&amp;TO_TEXT(ROW()-$C$72))"),"行車交通")</f>
        <v>行車交通</v>
      </c>
      <c r="I1596" s="61" t="str">
        <f>IFERROR(__xludf.DUMMYFUNCTION("INDIRECT(""'收支紀錄'!I""&amp;TO_TEXT(ROW()-$C$72))"),"")</f>
        <v/>
      </c>
      <c r="J1596" s="61" t="str">
        <f>IFERROR(__xludf.DUMMYFUNCTION("INDIRECT(""'收支紀錄'!J""&amp;TO_TEXT(ROW()-$C$72))"),"")</f>
        <v/>
      </c>
      <c r="K1596" s="61" t="str">
        <f>IFERROR(__xludf.DUMMYFUNCTION("INDIRECT(""'收支紀錄'!K""&amp;TO_TEXT(ROW()-$C$72))"),"")</f>
        <v/>
      </c>
      <c r="L1596" s="61" t="str">
        <f>IFERROR(__xludf.DUMMYFUNCTION("INDIRECT(""'收支紀錄'!L""&amp;TO_TEXT(ROW()-$C$72))"),"車-保險稅金")</f>
        <v>車-保險稅金</v>
      </c>
      <c r="M1596" s="61" t="str">
        <f>IFERROR(__xludf.DUMMYFUNCTION("INDIRECT(""'收支紀錄'!M""&amp;TO_TEXT(ROW()-$C$72))"),"")</f>
        <v/>
      </c>
      <c r="N1596" s="61" t="str">
        <f>IFERROR(__xludf.DUMMYFUNCTION("INDIRECT(""'收支紀錄'!N""&amp;TO_TEXT(ROW()-$C$72))"),"")</f>
        <v/>
      </c>
      <c r="O1596" s="61" t="str">
        <f>IFERROR(__xludf.DUMMYFUNCTION("INDIRECT(""'收支紀錄'!O""&amp;TO_TEXT(ROW()-$C$72))"),"")</f>
        <v/>
      </c>
      <c r="P1596" s="61" t="str">
        <f>IFERROR(__xludf.DUMMYFUNCTION("INDIRECT(""'收支紀錄'!P""&amp;TO_TEXT(ROW()-$C$72))"),"")</f>
        <v/>
      </c>
      <c r="Q1596" s="61" t="str">
        <f>IFERROR(__xludf.DUMMYFUNCTION("INDIRECT(""'收支紀錄'!Q""&amp;TO_TEXT(ROW()-$C$72))"),"")</f>
        <v/>
      </c>
      <c r="R1596" s="61" t="str">
        <f>IFERROR(__xludf.DUMMYFUNCTION("INDIRECT(""'收支紀錄'!R""&amp;TO_TEXT(ROW()-$C$72))"),"")</f>
        <v/>
      </c>
      <c r="S1596" s="61" t="str">
        <f>IFERROR(__xludf.DUMMYFUNCTION("INDIRECT(""'收支紀錄'!S""&amp;TO_TEXT(ROW()-$C$72))"),"牌照稅")</f>
        <v>牌照稅</v>
      </c>
      <c r="T1596" s="61" t="str">
        <f>IFERROR(__xludf.DUMMYFUNCTION("INDIRECT(""'收支紀錄'!T""&amp;TO_TEXT(ROW()-$C$72))"),"是")</f>
        <v>是</v>
      </c>
      <c r="U1596" s="62" t="str">
        <f>IFERROR(__xludf.DUMMYFUNCTION("IF(T1596=""是"",TEXTJOIN("""", TRUE, ""$"", TO_TEXT(C1596), S1596),"""")"),"$7120牌照稅")</f>
        <v>$7120牌照稅</v>
      </c>
    </row>
    <row r="1597">
      <c r="A1597" s="58">
        <f>IFERROR(__xludf.DUMMYFUNCTION("INDIRECT(""'收支紀錄'!A""&amp;TO_TEXT(ROW()-$C$72))"),46126.38632527778)</f>
        <v>46126.38633</v>
      </c>
      <c r="B1597" s="59">
        <f>IFERROR(__xludf.DUMMYFUNCTION("IF(ISBLANK(D1597), """", IF(ISDATE(D1597), D1597, IF(D1597=""今天"", A1597, IF(D1597=""昨天 (-1 day)"", A1597-1, IF(D1597=""前天 (-2 days)"", A1597-2, IF(D1597=""明天 (+1 day)"", A1597+1, DATE(LEFT(D1597,4), MID(D1597,5,2), RIGHT(D1597,2))))))))"),46126.38632527778)</f>
        <v>46126.38633</v>
      </c>
      <c r="C1597" s="60">
        <f>IFERROR(__xludf.DUMMYFUNCTION("INDIRECT(""'收支紀錄'!C""&amp;TO_TEXT(ROW()-$C$72))"),351.0)</f>
        <v>351</v>
      </c>
      <c r="D1597" s="63" t="str">
        <f>IFERROR(__xludf.DUMMYFUNCTION("INDIRECT(""'收支紀錄'!D""&amp;TO_TEXT(ROW()-$C$72))"),"今天")</f>
        <v>今天</v>
      </c>
      <c r="E1597" s="61" t="str">
        <f>IFERROR(__xludf.DUMMYFUNCTION("INDIRECT(""'收支紀錄'!E""&amp;TO_TEXT(ROW()-$C$72))"),"")</f>
        <v/>
      </c>
      <c r="F1597" s="61" t="str">
        <f>IFERROR(__xludf.DUMMYFUNCTION("INDIRECT(""'收支紀錄'!F""&amp;TO_TEXT(ROW()-$C$72))"),"")</f>
        <v/>
      </c>
      <c r="G1597" s="61" t="str">
        <f>IFERROR(__xludf.DUMMYFUNCTION("INDIRECT(""'收支紀錄'!G""&amp;TO_TEXT(ROW()-$C$72))"),"")</f>
        <v/>
      </c>
      <c r="H1597" s="61" t="str">
        <f>IFERROR(__xludf.DUMMYFUNCTION("INDIRECT(""'收支紀錄'!H""&amp;TO_TEXT(ROW()-$C$72))"),"日常生活")</f>
        <v>日常生活</v>
      </c>
      <c r="I1597" s="61" t="str">
        <f>IFERROR(__xludf.DUMMYFUNCTION("INDIRECT(""'收支紀錄'!I""&amp;TO_TEXT(ROW()-$C$72))"),"")</f>
        <v/>
      </c>
      <c r="J1597" s="61" t="str">
        <f>IFERROR(__xludf.DUMMYFUNCTION("INDIRECT(""'收支紀錄'!J""&amp;TO_TEXT(ROW()-$C$72))"),"日常用品")</f>
        <v>日常用品</v>
      </c>
      <c r="K1597" s="61" t="str">
        <f>IFERROR(__xludf.DUMMYFUNCTION("INDIRECT(""'收支紀錄'!K""&amp;TO_TEXT(ROW()-$C$72))"),"")</f>
        <v/>
      </c>
      <c r="L1597" s="61" t="str">
        <f>IFERROR(__xludf.DUMMYFUNCTION("INDIRECT(""'收支紀錄'!L""&amp;TO_TEXT(ROW()-$C$72))"),"")</f>
        <v/>
      </c>
      <c r="M1597" s="61" t="str">
        <f>IFERROR(__xludf.DUMMYFUNCTION("INDIRECT(""'收支紀錄'!M""&amp;TO_TEXT(ROW()-$C$72))"),"")</f>
        <v/>
      </c>
      <c r="N1597" s="61" t="str">
        <f>IFERROR(__xludf.DUMMYFUNCTION("INDIRECT(""'收支紀錄'!N""&amp;TO_TEXT(ROW()-$C$72))"),"")</f>
        <v/>
      </c>
      <c r="O1597" s="61" t="str">
        <f>IFERROR(__xludf.DUMMYFUNCTION("INDIRECT(""'收支紀錄'!O""&amp;TO_TEXT(ROW()-$C$72))"),"")</f>
        <v/>
      </c>
      <c r="P1597" s="61" t="str">
        <f>IFERROR(__xludf.DUMMYFUNCTION("INDIRECT(""'收支紀錄'!P""&amp;TO_TEXT(ROW()-$C$72))"),"")</f>
        <v/>
      </c>
      <c r="Q1597" s="61" t="str">
        <f>IFERROR(__xludf.DUMMYFUNCTION("INDIRECT(""'收支紀錄'!Q""&amp;TO_TEXT(ROW()-$C$72))"),"")</f>
        <v/>
      </c>
      <c r="R1597" s="61" t="str">
        <f>IFERROR(__xludf.DUMMYFUNCTION("INDIRECT(""'收支紀錄'!R""&amp;TO_TEXT(ROW()-$C$72))"),"")</f>
        <v/>
      </c>
      <c r="S1597" s="61" t="str">
        <f>IFERROR(__xludf.DUMMYFUNCTION("INDIRECT(""'收支紀錄'!S""&amp;TO_TEXT(ROW()-$C$72))"),"")</f>
        <v/>
      </c>
      <c r="T1597" s="61" t="str">
        <f>IFERROR(__xludf.DUMMYFUNCTION("INDIRECT(""'收支紀錄'!T""&amp;TO_TEXT(ROW()-$C$72))"),"否")</f>
        <v>否</v>
      </c>
      <c r="U1597" s="62" t="str">
        <f>IFERROR(__xludf.DUMMYFUNCTION("IF(T1597=""是"",TEXTJOIN("""", TRUE, ""$"", TO_TEXT(C1597), S1597),"""")"),"")</f>
        <v/>
      </c>
    </row>
    <row r="1598">
      <c r="A1598" s="58">
        <f>IFERROR(__xludf.DUMMYFUNCTION("INDIRECT(""'收支紀錄'!A""&amp;TO_TEXT(ROW()-$C$72))"),46126.868111840275)</f>
        <v>46126.86811</v>
      </c>
      <c r="B1598" s="59">
        <f>IFERROR(__xludf.DUMMYFUNCTION("IF(ISBLANK(D1598), """", IF(ISDATE(D1598), D1598, IF(D1598=""今天"", A1598, IF(D1598=""昨天 (-1 day)"", A1598-1, IF(D1598=""前天 (-2 days)"", A1598-2, IF(D1598=""明天 (+1 day)"", A1598+1, DATE(LEFT(D1598,4), MID(D1598,5,2), RIGHT(D1598,2))))))))"),46126.868111840275)</f>
        <v>46126.86811</v>
      </c>
      <c r="C1598" s="60">
        <f>IFERROR(__xludf.DUMMYFUNCTION("INDIRECT(""'收支紀錄'!C""&amp;TO_TEXT(ROW()-$C$72))"),80.0)</f>
        <v>80</v>
      </c>
      <c r="D1598" s="63" t="str">
        <f>IFERROR(__xludf.DUMMYFUNCTION("INDIRECT(""'收支紀錄'!D""&amp;TO_TEXT(ROW()-$C$72))"),"今天")</f>
        <v>今天</v>
      </c>
      <c r="E1598" s="61" t="str">
        <f>IFERROR(__xludf.DUMMYFUNCTION("INDIRECT(""'收支紀錄'!E""&amp;TO_TEXT(ROW()-$C$72))"),"")</f>
        <v/>
      </c>
      <c r="F1598" s="61" t="str">
        <f>IFERROR(__xludf.DUMMYFUNCTION("INDIRECT(""'收支紀錄'!F""&amp;TO_TEXT(ROW()-$C$72))"),"")</f>
        <v/>
      </c>
      <c r="G1598" s="61" t="str">
        <f>IFERROR(__xludf.DUMMYFUNCTION("INDIRECT(""'收支紀錄'!G""&amp;TO_TEXT(ROW()-$C$72))"),"")</f>
        <v/>
      </c>
      <c r="H1598" s="61" t="str">
        <f>IFERROR(__xludf.DUMMYFUNCTION("INDIRECT(""'收支紀錄'!H""&amp;TO_TEXT(ROW()-$C$72))"),"食品酒水")</f>
        <v>食品酒水</v>
      </c>
      <c r="I1598" s="61" t="str">
        <f>IFERROR(__xludf.DUMMYFUNCTION("INDIRECT(""'收支紀錄'!I""&amp;TO_TEXT(ROW()-$C$72))"),"宵夜")</f>
        <v>宵夜</v>
      </c>
      <c r="J1598" s="61" t="str">
        <f>IFERROR(__xludf.DUMMYFUNCTION("INDIRECT(""'收支紀錄'!J""&amp;TO_TEXT(ROW()-$C$72))"),"")</f>
        <v/>
      </c>
      <c r="K1598" s="61" t="str">
        <f>IFERROR(__xludf.DUMMYFUNCTION("INDIRECT(""'收支紀錄'!K""&amp;TO_TEXT(ROW()-$C$72))"),"")</f>
        <v/>
      </c>
      <c r="L1598" s="61" t="str">
        <f>IFERROR(__xludf.DUMMYFUNCTION("INDIRECT(""'收支紀錄'!L""&amp;TO_TEXT(ROW()-$C$72))"),"")</f>
        <v/>
      </c>
      <c r="M1598" s="61" t="str">
        <f>IFERROR(__xludf.DUMMYFUNCTION("INDIRECT(""'收支紀錄'!M""&amp;TO_TEXT(ROW()-$C$72))"),"")</f>
        <v/>
      </c>
      <c r="N1598" s="61" t="str">
        <f>IFERROR(__xludf.DUMMYFUNCTION("INDIRECT(""'收支紀錄'!N""&amp;TO_TEXT(ROW()-$C$72))"),"")</f>
        <v/>
      </c>
      <c r="O1598" s="61" t="str">
        <f>IFERROR(__xludf.DUMMYFUNCTION("INDIRECT(""'收支紀錄'!O""&amp;TO_TEXT(ROW()-$C$72))"),"")</f>
        <v/>
      </c>
      <c r="P1598" s="61" t="str">
        <f>IFERROR(__xludf.DUMMYFUNCTION("INDIRECT(""'收支紀錄'!P""&amp;TO_TEXT(ROW()-$C$72))"),"")</f>
        <v/>
      </c>
      <c r="Q1598" s="61" t="str">
        <f>IFERROR(__xludf.DUMMYFUNCTION("INDIRECT(""'收支紀錄'!Q""&amp;TO_TEXT(ROW()-$C$72))"),"")</f>
        <v/>
      </c>
      <c r="R1598" s="61" t="str">
        <f>IFERROR(__xludf.DUMMYFUNCTION("INDIRECT(""'收支紀錄'!R""&amp;TO_TEXT(ROW()-$C$72))"),"")</f>
        <v/>
      </c>
      <c r="S1598" s="61" t="str">
        <f>IFERROR(__xludf.DUMMYFUNCTION("INDIRECT(""'收支紀錄'!S""&amp;TO_TEXT(ROW()-$C$72))"),"")</f>
        <v/>
      </c>
      <c r="T1598" s="61" t="str">
        <f>IFERROR(__xludf.DUMMYFUNCTION("INDIRECT(""'收支紀錄'!T""&amp;TO_TEXT(ROW()-$C$72))"),"")</f>
        <v/>
      </c>
      <c r="U1598" s="62" t="str">
        <f>IFERROR(__xludf.DUMMYFUNCTION("IF(T1598=""是"",TEXTJOIN("""", TRUE, ""$"", TO_TEXT(C1598), S1598),"""")"),"")</f>
        <v/>
      </c>
    </row>
    <row r="1599">
      <c r="A1599" s="58">
        <f>IFERROR(__xludf.DUMMYFUNCTION("INDIRECT(""'收支紀錄'!A""&amp;TO_TEXT(ROW()-$C$72))"),46127.87642457176)</f>
        <v>46127.87642</v>
      </c>
      <c r="B1599" s="59">
        <f>IFERROR(__xludf.DUMMYFUNCTION("IF(ISBLANK(D1599), """", IF(ISDATE(D1599), D1599, IF(D1599=""今天"", A1599, IF(D1599=""昨天 (-1 day)"", A1599-1, IF(D1599=""前天 (-2 days)"", A1599-2, IF(D1599=""明天 (+1 day)"", A1599+1, DATE(LEFT(D1599,4), MID(D1599,5,2), RIGHT(D1599,2))))))))"),46320.0)</f>
        <v>46320</v>
      </c>
      <c r="C1599" s="60">
        <f>IFERROR(__xludf.DUMMYFUNCTION("INDIRECT(""'收支紀錄'!C""&amp;TO_TEXT(ROW()-$C$72))"),2030.0)</f>
        <v>2030</v>
      </c>
      <c r="D1599" s="63">
        <f>IFERROR(__xludf.DUMMYFUNCTION("INDIRECT(""'收支紀錄'!D""&amp;TO_TEXT(ROW()-$C$72))"),2.0261025E7)</f>
        <v>20261025</v>
      </c>
      <c r="E1599" s="61" t="str">
        <f>IFERROR(__xludf.DUMMYFUNCTION("INDIRECT(""'收支紀錄'!E""&amp;TO_TEXT(ROW()-$C$72))"),"")</f>
        <v/>
      </c>
      <c r="F1599" s="61" t="str">
        <f>IFERROR(__xludf.DUMMYFUNCTION("INDIRECT(""'收支紀錄'!F""&amp;TO_TEXT(ROW()-$C$72))"),"")</f>
        <v/>
      </c>
      <c r="G1599" s="61" t="str">
        <f>IFERROR(__xludf.DUMMYFUNCTION("INDIRECT(""'收支紀錄'!G""&amp;TO_TEXT(ROW()-$C$72))"),"")</f>
        <v/>
      </c>
      <c r="H1599" s="61" t="str">
        <f>IFERROR(__xludf.DUMMYFUNCTION("INDIRECT(""'收支紀錄'!H""&amp;TO_TEXT(ROW()-$C$72))"),"休閒娛樂")</f>
        <v>休閒娛樂</v>
      </c>
      <c r="I1599" s="61" t="str">
        <f>IFERROR(__xludf.DUMMYFUNCTION("INDIRECT(""'收支紀錄'!I""&amp;TO_TEXT(ROW()-$C$72))"),"")</f>
        <v/>
      </c>
      <c r="J1599" s="61" t="str">
        <f>IFERROR(__xludf.DUMMYFUNCTION("INDIRECT(""'收支紀錄'!J""&amp;TO_TEXT(ROW()-$C$72))"),"")</f>
        <v/>
      </c>
      <c r="K1599" s="61" t="str">
        <f>IFERROR(__xludf.DUMMYFUNCTION("INDIRECT(""'收支紀錄'!K""&amp;TO_TEXT(ROW()-$C$72))"),"")</f>
        <v/>
      </c>
      <c r="L1599" s="61" t="str">
        <f>IFERROR(__xludf.DUMMYFUNCTION("INDIRECT(""'收支紀錄'!L""&amp;TO_TEXT(ROW()-$C$72))"),"")</f>
        <v/>
      </c>
      <c r="M1599" s="61" t="str">
        <f>IFERROR(__xludf.DUMMYFUNCTION("INDIRECT(""'收支紀錄'!M""&amp;TO_TEXT(ROW()-$C$72))"),"旅遊度假")</f>
        <v>旅遊度假</v>
      </c>
      <c r="N1599" s="61" t="str">
        <f>IFERROR(__xludf.DUMMYFUNCTION("INDIRECT(""'收支紀錄'!N""&amp;TO_TEXT(ROW()-$C$72))"),"")</f>
        <v/>
      </c>
      <c r="O1599" s="61" t="str">
        <f>IFERROR(__xludf.DUMMYFUNCTION("INDIRECT(""'收支紀錄'!O""&amp;TO_TEXT(ROW()-$C$72))"),"")</f>
        <v/>
      </c>
      <c r="P1599" s="61" t="str">
        <f>IFERROR(__xludf.DUMMYFUNCTION("INDIRECT(""'收支紀錄'!P""&amp;TO_TEXT(ROW()-$C$72))"),"")</f>
        <v/>
      </c>
      <c r="Q1599" s="61" t="str">
        <f>IFERROR(__xludf.DUMMYFUNCTION("INDIRECT(""'收支紀錄'!Q""&amp;TO_TEXT(ROW()-$C$72))"),"")</f>
        <v/>
      </c>
      <c r="R1599" s="61" t="str">
        <f>IFERROR(__xludf.DUMMYFUNCTION("INDIRECT(""'收支紀錄'!R""&amp;TO_TEXT(ROW()-$C$72))"),"")</f>
        <v/>
      </c>
      <c r="S1599" s="61" t="str">
        <f>IFERROR(__xludf.DUMMYFUNCTION("INDIRECT(""'收支紀錄'!S""&amp;TO_TEXT(ROW()-$C$72))"),"烤雞馬拉松")</f>
        <v>烤雞馬拉松</v>
      </c>
      <c r="T1599" s="61" t="str">
        <f>IFERROR(__xludf.DUMMYFUNCTION("INDIRECT(""'收支紀錄'!T""&amp;TO_TEXT(ROW()-$C$72))"),"")</f>
        <v/>
      </c>
      <c r="U1599" s="62" t="str">
        <f>IFERROR(__xludf.DUMMYFUNCTION("IF(T1599=""是"",TEXTJOIN("""", TRUE, ""$"", TO_TEXT(C1599), S1599),"""")"),"")</f>
        <v/>
      </c>
    </row>
    <row r="1600">
      <c r="A1600" s="58">
        <f>IFERROR(__xludf.DUMMYFUNCTION("INDIRECT(""'收支紀錄'!A""&amp;TO_TEXT(ROW()-$C$72))"),46129.79846070602)</f>
        <v>46129.79846</v>
      </c>
      <c r="B1600" s="59">
        <f>IFERROR(__xludf.DUMMYFUNCTION("IF(ISBLANK(D1600), """", IF(ISDATE(D1600), D1600, IF(D1600=""今天"", A1600, IF(D1600=""昨天 (-1 day)"", A1600-1, IF(D1600=""前天 (-2 days)"", A1600-2, IF(D1600=""明天 (+1 day)"", A1600+1, DATE(LEFT(D1600,4), MID(D1600,5,2), RIGHT(D1600,2))))))))"),46128.79846070602)</f>
        <v>46128.79846</v>
      </c>
      <c r="C1600" s="60">
        <f>IFERROR(__xludf.DUMMYFUNCTION("INDIRECT(""'收支紀錄'!C""&amp;TO_TEXT(ROW()-$C$72))"),150.0)</f>
        <v>150</v>
      </c>
      <c r="D1600" s="63" t="str">
        <f>IFERROR(__xludf.DUMMYFUNCTION("INDIRECT(""'收支紀錄'!D""&amp;TO_TEXT(ROW()-$C$72))"),"昨天 (-1 day)")</f>
        <v>昨天 (-1 day)</v>
      </c>
      <c r="E1600" s="61" t="str">
        <f>IFERROR(__xludf.DUMMYFUNCTION("INDIRECT(""'收支紀錄'!E""&amp;TO_TEXT(ROW()-$C$72))"),"")</f>
        <v/>
      </c>
      <c r="F1600" s="61" t="str">
        <f>IFERROR(__xludf.DUMMYFUNCTION("INDIRECT(""'收支紀錄'!F""&amp;TO_TEXT(ROW()-$C$72))"),"")</f>
        <v/>
      </c>
      <c r="G1600" s="61" t="str">
        <f>IFERROR(__xludf.DUMMYFUNCTION("INDIRECT(""'收支紀錄'!G""&amp;TO_TEXT(ROW()-$C$72))"),"")</f>
        <v/>
      </c>
      <c r="H1600" s="61" t="str">
        <f>IFERROR(__xludf.DUMMYFUNCTION("INDIRECT(""'收支紀錄'!H""&amp;TO_TEXT(ROW()-$C$72))"),"休閒娛樂")</f>
        <v>休閒娛樂</v>
      </c>
      <c r="I1600" s="61" t="str">
        <f>IFERROR(__xludf.DUMMYFUNCTION("INDIRECT(""'收支紀錄'!I""&amp;TO_TEXT(ROW()-$C$72))"),"")</f>
        <v/>
      </c>
      <c r="J1600" s="61" t="str">
        <f>IFERROR(__xludf.DUMMYFUNCTION("INDIRECT(""'收支紀錄'!J""&amp;TO_TEXT(ROW()-$C$72))"),"")</f>
        <v/>
      </c>
      <c r="K1600" s="61" t="str">
        <f>IFERROR(__xludf.DUMMYFUNCTION("INDIRECT(""'收支紀錄'!K""&amp;TO_TEXT(ROW()-$C$72))"),"")</f>
        <v/>
      </c>
      <c r="L1600" s="61" t="str">
        <f>IFERROR(__xludf.DUMMYFUNCTION("INDIRECT(""'收支紀錄'!L""&amp;TO_TEXT(ROW()-$C$72))"),"")</f>
        <v/>
      </c>
      <c r="M1600" s="61" t="str">
        <f>IFERROR(__xludf.DUMMYFUNCTION("INDIRECT(""'收支紀錄'!M""&amp;TO_TEXT(ROW()-$C$72))"),"運動健身")</f>
        <v>運動健身</v>
      </c>
      <c r="N1600" s="61" t="str">
        <f>IFERROR(__xludf.DUMMYFUNCTION("INDIRECT(""'收支紀錄'!N""&amp;TO_TEXT(ROW()-$C$72))"),"")</f>
        <v/>
      </c>
      <c r="O1600" s="61" t="str">
        <f>IFERROR(__xludf.DUMMYFUNCTION("INDIRECT(""'收支紀錄'!O""&amp;TO_TEXT(ROW()-$C$72))"),"")</f>
        <v/>
      </c>
      <c r="P1600" s="61" t="str">
        <f>IFERROR(__xludf.DUMMYFUNCTION("INDIRECT(""'收支紀錄'!P""&amp;TO_TEXT(ROW()-$C$72))"),"")</f>
        <v/>
      </c>
      <c r="Q1600" s="61" t="str">
        <f>IFERROR(__xludf.DUMMYFUNCTION("INDIRECT(""'收支紀錄'!Q""&amp;TO_TEXT(ROW()-$C$72))"),"")</f>
        <v/>
      </c>
      <c r="R1600" s="61" t="str">
        <f>IFERROR(__xludf.DUMMYFUNCTION("INDIRECT(""'收支紀錄'!R""&amp;TO_TEXT(ROW()-$C$72))"),"")</f>
        <v/>
      </c>
      <c r="S1600" s="61" t="str">
        <f>IFERROR(__xludf.DUMMYFUNCTION("INDIRECT(""'收支紀錄'!S""&amp;TO_TEXT(ROW()-$C$72))"),"")</f>
        <v/>
      </c>
      <c r="T1600" s="61" t="str">
        <f>IFERROR(__xludf.DUMMYFUNCTION("INDIRECT(""'收支紀錄'!T""&amp;TO_TEXT(ROW()-$C$72))"),"")</f>
        <v/>
      </c>
      <c r="U1600" s="62" t="str">
        <f>IFERROR(__xludf.DUMMYFUNCTION("IF(T1600=""是"",TEXTJOIN("""", TRUE, ""$"", TO_TEXT(C1600), S1600),"""")"),"")</f>
        <v/>
      </c>
    </row>
    <row r="1601">
      <c r="A1601" s="58">
        <f>IFERROR(__xludf.DUMMYFUNCTION("INDIRECT(""'收支紀錄'!A""&amp;TO_TEXT(ROW()-$C$72))"),46130.93916685185)</f>
        <v>46130.93917</v>
      </c>
      <c r="B1601" s="59">
        <f>IFERROR(__xludf.DUMMYFUNCTION("IF(ISBLANK(D1601), """", IF(ISDATE(D1601), D1601, IF(D1601=""今天"", A1601, IF(D1601=""昨天 (-1 day)"", A1601-1, IF(D1601=""前天 (-2 days)"", A1601-2, IF(D1601=""明天 (+1 day)"", A1601+1, DATE(LEFT(D1601,4), MID(D1601,5,2), RIGHT(D1601,2))))))))"),46130.93916685185)</f>
        <v>46130.93917</v>
      </c>
      <c r="C1601" s="60">
        <f>IFERROR(__xludf.DUMMYFUNCTION("INDIRECT(""'收支紀錄'!C""&amp;TO_TEXT(ROW()-$C$72))"),139.0)</f>
        <v>139</v>
      </c>
      <c r="D1601" s="63" t="str">
        <f>IFERROR(__xludf.DUMMYFUNCTION("INDIRECT(""'收支紀錄'!D""&amp;TO_TEXT(ROW()-$C$72))"),"今天")</f>
        <v>今天</v>
      </c>
      <c r="E1601" s="61" t="str">
        <f>IFERROR(__xludf.DUMMYFUNCTION("INDIRECT(""'收支紀錄'!E""&amp;TO_TEXT(ROW()-$C$72))"),"")</f>
        <v/>
      </c>
      <c r="F1601" s="61" t="str">
        <f>IFERROR(__xludf.DUMMYFUNCTION("INDIRECT(""'收支紀錄'!F""&amp;TO_TEXT(ROW()-$C$72))"),"")</f>
        <v/>
      </c>
      <c r="G1601" s="61" t="str">
        <f>IFERROR(__xludf.DUMMYFUNCTION("INDIRECT(""'收支紀錄'!G""&amp;TO_TEXT(ROW()-$C$72))"),"")</f>
        <v/>
      </c>
      <c r="H1601" s="61" t="str">
        <f>IFERROR(__xludf.DUMMYFUNCTION("INDIRECT(""'收支紀錄'!H""&amp;TO_TEXT(ROW()-$C$72))"),"日常生活")</f>
        <v>日常生活</v>
      </c>
      <c r="I1601" s="61" t="str">
        <f>IFERROR(__xludf.DUMMYFUNCTION("INDIRECT(""'收支紀錄'!I""&amp;TO_TEXT(ROW()-$C$72))"),"")</f>
        <v/>
      </c>
      <c r="J1601" s="61" t="str">
        <f>IFERROR(__xludf.DUMMYFUNCTION("INDIRECT(""'收支紀錄'!J""&amp;TO_TEXT(ROW()-$C$72))"),"日常用品")</f>
        <v>日常用品</v>
      </c>
      <c r="K1601" s="61" t="str">
        <f>IFERROR(__xludf.DUMMYFUNCTION("INDIRECT(""'收支紀錄'!K""&amp;TO_TEXT(ROW()-$C$72))"),"")</f>
        <v/>
      </c>
      <c r="L1601" s="61" t="str">
        <f>IFERROR(__xludf.DUMMYFUNCTION("INDIRECT(""'收支紀錄'!L""&amp;TO_TEXT(ROW()-$C$72))"),"")</f>
        <v/>
      </c>
      <c r="M1601" s="61" t="str">
        <f>IFERROR(__xludf.DUMMYFUNCTION("INDIRECT(""'收支紀錄'!M""&amp;TO_TEXT(ROW()-$C$72))"),"")</f>
        <v/>
      </c>
      <c r="N1601" s="61" t="str">
        <f>IFERROR(__xludf.DUMMYFUNCTION("INDIRECT(""'收支紀錄'!N""&amp;TO_TEXT(ROW()-$C$72))"),"")</f>
        <v/>
      </c>
      <c r="O1601" s="61" t="str">
        <f>IFERROR(__xludf.DUMMYFUNCTION("INDIRECT(""'收支紀錄'!O""&amp;TO_TEXT(ROW()-$C$72))"),"")</f>
        <v/>
      </c>
      <c r="P1601" s="61" t="str">
        <f>IFERROR(__xludf.DUMMYFUNCTION("INDIRECT(""'收支紀錄'!P""&amp;TO_TEXT(ROW()-$C$72))"),"")</f>
        <v/>
      </c>
      <c r="Q1601" s="61" t="str">
        <f>IFERROR(__xludf.DUMMYFUNCTION("INDIRECT(""'收支紀錄'!Q""&amp;TO_TEXT(ROW()-$C$72))"),"")</f>
        <v/>
      </c>
      <c r="R1601" s="61" t="str">
        <f>IFERROR(__xludf.DUMMYFUNCTION("INDIRECT(""'收支紀錄'!R""&amp;TO_TEXT(ROW()-$C$72))"),"")</f>
        <v/>
      </c>
      <c r="S1601" s="61" t="str">
        <f>IFERROR(__xludf.DUMMYFUNCTION("INDIRECT(""'收支紀錄'!S""&amp;TO_TEXT(ROW()-$C$72))"),"")</f>
        <v/>
      </c>
      <c r="T1601" s="61" t="str">
        <f>IFERROR(__xludf.DUMMYFUNCTION("INDIRECT(""'收支紀錄'!T""&amp;TO_TEXT(ROW()-$C$72))"),"")</f>
        <v/>
      </c>
      <c r="U1601" s="62" t="str">
        <f>IFERROR(__xludf.DUMMYFUNCTION("IF(T1601=""是"",TEXTJOIN("""", TRUE, ""$"", TO_TEXT(C1601), S1601),"""")"),"")</f>
        <v/>
      </c>
    </row>
    <row r="1602">
      <c r="A1602" s="58">
        <f>IFERROR(__xludf.DUMMYFUNCTION("INDIRECT(""'收支紀錄'!A""&amp;TO_TEXT(ROW()-$C$72))"),46130.93965409722)</f>
        <v>46130.93965</v>
      </c>
      <c r="B1602" s="59">
        <f>IFERROR(__xludf.DUMMYFUNCTION("IF(ISBLANK(D1602), """", IF(ISDATE(D1602), D1602, IF(D1602=""今天"", A1602, IF(D1602=""昨天 (-1 day)"", A1602-1, IF(D1602=""前天 (-2 days)"", A1602-2, IF(D1602=""明天 (+1 day)"", A1602+1, DATE(LEFT(D1602,4), MID(D1602,5,2), RIGHT(D1602,2))))))))"),46130.93965409722)</f>
        <v>46130.93965</v>
      </c>
      <c r="C1602" s="60">
        <f>IFERROR(__xludf.DUMMYFUNCTION("INDIRECT(""'收支紀錄'!C""&amp;TO_TEXT(ROW()-$C$72))"),592.0)</f>
        <v>592</v>
      </c>
      <c r="D1602" s="63" t="str">
        <f>IFERROR(__xludf.DUMMYFUNCTION("INDIRECT(""'收支紀錄'!D""&amp;TO_TEXT(ROW()-$C$72))"),"今天")</f>
        <v>今天</v>
      </c>
      <c r="E1602" s="61" t="str">
        <f>IFERROR(__xludf.DUMMYFUNCTION("INDIRECT(""'收支紀錄'!E""&amp;TO_TEXT(ROW()-$C$72))"),"")</f>
        <v/>
      </c>
      <c r="F1602" s="61" t="str">
        <f>IFERROR(__xludf.DUMMYFUNCTION("INDIRECT(""'收支紀錄'!F""&amp;TO_TEXT(ROW()-$C$72))"),"")</f>
        <v/>
      </c>
      <c r="G1602" s="61" t="str">
        <f>IFERROR(__xludf.DUMMYFUNCTION("INDIRECT(""'收支紀錄'!G""&amp;TO_TEXT(ROW()-$C$72))"),"")</f>
        <v/>
      </c>
      <c r="H1602" s="61" t="str">
        <f>IFERROR(__xludf.DUMMYFUNCTION("INDIRECT(""'收支紀錄'!H""&amp;TO_TEXT(ROW()-$C$72))"),"行車交通")</f>
        <v>行車交通</v>
      </c>
      <c r="I1602" s="61" t="str">
        <f>IFERROR(__xludf.DUMMYFUNCTION("INDIRECT(""'收支紀錄'!I""&amp;TO_TEXT(ROW()-$C$72))"),"")</f>
        <v/>
      </c>
      <c r="J1602" s="61" t="str">
        <f>IFERROR(__xludf.DUMMYFUNCTION("INDIRECT(""'收支紀錄'!J""&amp;TO_TEXT(ROW()-$C$72))"),"")</f>
        <v/>
      </c>
      <c r="K1602" s="61" t="str">
        <f>IFERROR(__xludf.DUMMYFUNCTION("INDIRECT(""'收支紀錄'!K""&amp;TO_TEXT(ROW()-$C$72))"),"")</f>
        <v/>
      </c>
      <c r="L1602" s="61" t="str">
        <f>IFERROR(__xludf.DUMMYFUNCTION("INDIRECT(""'收支紀錄'!L""&amp;TO_TEXT(ROW()-$C$72))"),"加油")</f>
        <v>加油</v>
      </c>
      <c r="M1602" s="61" t="str">
        <f>IFERROR(__xludf.DUMMYFUNCTION("INDIRECT(""'收支紀錄'!M""&amp;TO_TEXT(ROW()-$C$72))"),"")</f>
        <v/>
      </c>
      <c r="N1602" s="61" t="str">
        <f>IFERROR(__xludf.DUMMYFUNCTION("INDIRECT(""'收支紀錄'!N""&amp;TO_TEXT(ROW()-$C$72))"),"")</f>
        <v/>
      </c>
      <c r="O1602" s="61" t="str">
        <f>IFERROR(__xludf.DUMMYFUNCTION("INDIRECT(""'收支紀錄'!O""&amp;TO_TEXT(ROW()-$C$72))"),"")</f>
        <v/>
      </c>
      <c r="P1602" s="61" t="str">
        <f>IFERROR(__xludf.DUMMYFUNCTION("INDIRECT(""'收支紀錄'!P""&amp;TO_TEXT(ROW()-$C$72))"),"")</f>
        <v/>
      </c>
      <c r="Q1602" s="61" t="str">
        <f>IFERROR(__xludf.DUMMYFUNCTION("INDIRECT(""'收支紀錄'!Q""&amp;TO_TEXT(ROW()-$C$72))"),"")</f>
        <v/>
      </c>
      <c r="R1602" s="61" t="str">
        <f>IFERROR(__xludf.DUMMYFUNCTION("INDIRECT(""'收支紀錄'!R""&amp;TO_TEXT(ROW()-$C$72))"),"")</f>
        <v/>
      </c>
      <c r="S1602" s="61" t="str">
        <f>IFERROR(__xludf.DUMMYFUNCTION("INDIRECT(""'收支紀錄'!S""&amp;TO_TEXT(ROW()-$C$72))"),"")</f>
        <v/>
      </c>
      <c r="T1602" s="61" t="str">
        <f>IFERROR(__xludf.DUMMYFUNCTION("INDIRECT(""'收支紀錄'!T""&amp;TO_TEXT(ROW()-$C$72))"),"")</f>
        <v/>
      </c>
      <c r="U1602" s="62" t="str">
        <f>IFERROR(__xludf.DUMMYFUNCTION("IF(T1602=""是"",TEXTJOIN("""", TRUE, ""$"", TO_TEXT(C1602), S1602),"""")"),"")</f>
        <v/>
      </c>
    </row>
    <row r="1603">
      <c r="A1603" s="58">
        <f>IFERROR(__xludf.DUMMYFUNCTION("INDIRECT(""'收支紀錄'!A""&amp;TO_TEXT(ROW()-$C$72))"),46133.554006875)</f>
        <v>46133.55401</v>
      </c>
      <c r="B1603" s="59">
        <f>IFERROR(__xludf.DUMMYFUNCTION("IF(ISBLANK(D1603), """", IF(ISDATE(D1603), D1603, IF(D1603=""今天"", A1603, IF(D1603=""昨天 (-1 day)"", A1603-1, IF(D1603=""前天 (-2 days)"", A1603-2, IF(D1603=""明天 (+1 day)"", A1603+1, DATE(LEFT(D1603,4), MID(D1603,5,2), RIGHT(D1603,2))))))))"),46132.554006875)</f>
        <v>46132.55401</v>
      </c>
      <c r="C1603" s="60">
        <f>IFERROR(__xludf.DUMMYFUNCTION("INDIRECT(""'收支紀錄'!C""&amp;TO_TEXT(ROW()-$C$72))"),500.0)</f>
        <v>500</v>
      </c>
      <c r="D1603" s="63" t="str">
        <f>IFERROR(__xludf.DUMMYFUNCTION("INDIRECT(""'收支紀錄'!D""&amp;TO_TEXT(ROW()-$C$72))"),"昨天 (-1 day)")</f>
        <v>昨天 (-1 day)</v>
      </c>
      <c r="E1603" s="61" t="str">
        <f>IFERROR(__xludf.DUMMYFUNCTION("INDIRECT(""'收支紀錄'!E""&amp;TO_TEXT(ROW()-$C$72))"),"")</f>
        <v/>
      </c>
      <c r="F1603" s="61" t="str">
        <f>IFERROR(__xludf.DUMMYFUNCTION("INDIRECT(""'收支紀錄'!F""&amp;TO_TEXT(ROW()-$C$72))"),"")</f>
        <v/>
      </c>
      <c r="G1603" s="61" t="str">
        <f>IFERROR(__xludf.DUMMYFUNCTION("INDIRECT(""'收支紀錄'!G""&amp;TO_TEXT(ROW()-$C$72))"),"")</f>
        <v/>
      </c>
      <c r="H1603" s="61" t="str">
        <f>IFERROR(__xludf.DUMMYFUNCTION("INDIRECT(""'收支紀錄'!H""&amp;TO_TEXT(ROW()-$C$72))"),"日常生活")</f>
        <v>日常生活</v>
      </c>
      <c r="I1603" s="61" t="str">
        <f>IFERROR(__xludf.DUMMYFUNCTION("INDIRECT(""'收支紀錄'!I""&amp;TO_TEXT(ROW()-$C$72))"),"")</f>
        <v/>
      </c>
      <c r="J1603" s="61" t="str">
        <f>IFERROR(__xludf.DUMMYFUNCTION("INDIRECT(""'收支紀錄'!J""&amp;TO_TEXT(ROW()-$C$72))"),"日常用品")</f>
        <v>日常用品</v>
      </c>
      <c r="K1603" s="61" t="str">
        <f>IFERROR(__xludf.DUMMYFUNCTION("INDIRECT(""'收支紀錄'!K""&amp;TO_TEXT(ROW()-$C$72))"),"")</f>
        <v/>
      </c>
      <c r="L1603" s="61" t="str">
        <f>IFERROR(__xludf.DUMMYFUNCTION("INDIRECT(""'收支紀錄'!L""&amp;TO_TEXT(ROW()-$C$72))"),"")</f>
        <v/>
      </c>
      <c r="M1603" s="61" t="str">
        <f>IFERROR(__xludf.DUMMYFUNCTION("INDIRECT(""'收支紀錄'!M""&amp;TO_TEXT(ROW()-$C$72))"),"")</f>
        <v/>
      </c>
      <c r="N1603" s="61" t="str">
        <f>IFERROR(__xludf.DUMMYFUNCTION("INDIRECT(""'收支紀錄'!N""&amp;TO_TEXT(ROW()-$C$72))"),"")</f>
        <v/>
      </c>
      <c r="O1603" s="61" t="str">
        <f>IFERROR(__xludf.DUMMYFUNCTION("INDIRECT(""'收支紀錄'!O""&amp;TO_TEXT(ROW()-$C$72))"),"")</f>
        <v/>
      </c>
      <c r="P1603" s="61" t="str">
        <f>IFERROR(__xludf.DUMMYFUNCTION("INDIRECT(""'收支紀錄'!P""&amp;TO_TEXT(ROW()-$C$72))"),"")</f>
        <v/>
      </c>
      <c r="Q1603" s="61" t="str">
        <f>IFERROR(__xludf.DUMMYFUNCTION("INDIRECT(""'收支紀錄'!Q""&amp;TO_TEXT(ROW()-$C$72))"),"")</f>
        <v/>
      </c>
      <c r="R1603" s="61" t="str">
        <f>IFERROR(__xludf.DUMMYFUNCTION("INDIRECT(""'收支紀錄'!R""&amp;TO_TEXT(ROW()-$C$72))"),"")</f>
        <v/>
      </c>
      <c r="S1603" s="61" t="str">
        <f>IFERROR(__xludf.DUMMYFUNCTION("INDIRECT(""'收支紀錄'!S""&amp;TO_TEXT(ROW()-$C$72))"),"")</f>
        <v/>
      </c>
      <c r="T1603" s="61" t="str">
        <f>IFERROR(__xludf.DUMMYFUNCTION("INDIRECT(""'收支紀錄'!T""&amp;TO_TEXT(ROW()-$C$72))"),"")</f>
        <v/>
      </c>
      <c r="U1603" s="62" t="str">
        <f>IFERROR(__xludf.DUMMYFUNCTION("IF(T1603=""是"",TEXTJOIN("""", TRUE, ""$"", TO_TEXT(C1603), S1603),"""")"),"")</f>
        <v/>
      </c>
    </row>
    <row r="1604">
      <c r="A1604" s="58">
        <f>IFERROR(__xludf.DUMMYFUNCTION("INDIRECT(""'收支紀錄'!A""&amp;TO_TEXT(ROW()-$C$72))"),46135.55541449074)</f>
        <v>46135.55541</v>
      </c>
      <c r="B1604" s="59">
        <f>IFERROR(__xludf.DUMMYFUNCTION("IF(ISBLANK(D1604), """", IF(ISDATE(D1604), D1604, IF(D1604=""今天"", A1604, IF(D1604=""昨天 (-1 day)"", A1604-1, IF(D1604=""前天 (-2 days)"", A1604-2, IF(D1604=""明天 (+1 day)"", A1604+1, DATE(LEFT(D1604,4), MID(D1604,5,2), RIGHT(D1604,2))))))))"),46135.55541449074)</f>
        <v>46135.55541</v>
      </c>
      <c r="C1604" s="60">
        <f>IFERROR(__xludf.DUMMYFUNCTION("INDIRECT(""'收支紀錄'!C""&amp;TO_TEXT(ROW()-$C$72))"),85.0)</f>
        <v>85</v>
      </c>
      <c r="D1604" s="63" t="str">
        <f>IFERROR(__xludf.DUMMYFUNCTION("INDIRECT(""'收支紀錄'!D""&amp;TO_TEXT(ROW()-$C$72))"),"今天")</f>
        <v>今天</v>
      </c>
      <c r="E1604" s="61" t="str">
        <f>IFERROR(__xludf.DUMMYFUNCTION("INDIRECT(""'收支紀錄'!E""&amp;TO_TEXT(ROW()-$C$72))"),"")</f>
        <v/>
      </c>
      <c r="F1604" s="61" t="str">
        <f>IFERROR(__xludf.DUMMYFUNCTION("INDIRECT(""'收支紀錄'!F""&amp;TO_TEXT(ROW()-$C$72))"),"")</f>
        <v/>
      </c>
      <c r="G1604" s="61" t="str">
        <f>IFERROR(__xludf.DUMMYFUNCTION("INDIRECT(""'收支紀錄'!G""&amp;TO_TEXT(ROW()-$C$72))"),"")</f>
        <v/>
      </c>
      <c r="H1604" s="61" t="str">
        <f>IFERROR(__xludf.DUMMYFUNCTION("INDIRECT(""'收支紀錄'!H""&amp;TO_TEXT(ROW()-$C$72))"),"食品酒水")</f>
        <v>食品酒水</v>
      </c>
      <c r="I1604" s="61" t="str">
        <f>IFERROR(__xludf.DUMMYFUNCTION("INDIRECT(""'收支紀錄'!I""&amp;TO_TEXT(ROW()-$C$72))"),"早餐")</f>
        <v>早餐</v>
      </c>
      <c r="J1604" s="61" t="str">
        <f>IFERROR(__xludf.DUMMYFUNCTION("INDIRECT(""'收支紀錄'!J""&amp;TO_TEXT(ROW()-$C$72))"),"")</f>
        <v/>
      </c>
      <c r="K1604" s="61" t="str">
        <f>IFERROR(__xludf.DUMMYFUNCTION("INDIRECT(""'收支紀錄'!K""&amp;TO_TEXT(ROW()-$C$72))"),"")</f>
        <v/>
      </c>
      <c r="L1604" s="61" t="str">
        <f>IFERROR(__xludf.DUMMYFUNCTION("INDIRECT(""'收支紀錄'!L""&amp;TO_TEXT(ROW()-$C$72))"),"")</f>
        <v/>
      </c>
      <c r="M1604" s="61" t="str">
        <f>IFERROR(__xludf.DUMMYFUNCTION("INDIRECT(""'收支紀錄'!M""&amp;TO_TEXT(ROW()-$C$72))"),"")</f>
        <v/>
      </c>
      <c r="N1604" s="61" t="str">
        <f>IFERROR(__xludf.DUMMYFUNCTION("INDIRECT(""'收支紀錄'!N""&amp;TO_TEXT(ROW()-$C$72))"),"")</f>
        <v/>
      </c>
      <c r="O1604" s="61" t="str">
        <f>IFERROR(__xludf.DUMMYFUNCTION("INDIRECT(""'收支紀錄'!O""&amp;TO_TEXT(ROW()-$C$72))"),"")</f>
        <v/>
      </c>
      <c r="P1604" s="61" t="str">
        <f>IFERROR(__xludf.DUMMYFUNCTION("INDIRECT(""'收支紀錄'!P""&amp;TO_TEXT(ROW()-$C$72))"),"")</f>
        <v/>
      </c>
      <c r="Q1604" s="61" t="str">
        <f>IFERROR(__xludf.DUMMYFUNCTION("INDIRECT(""'收支紀錄'!Q""&amp;TO_TEXT(ROW()-$C$72))"),"")</f>
        <v/>
      </c>
      <c r="R1604" s="61" t="str">
        <f>IFERROR(__xludf.DUMMYFUNCTION("INDIRECT(""'收支紀錄'!R""&amp;TO_TEXT(ROW()-$C$72))"),"")</f>
        <v/>
      </c>
      <c r="S1604" s="61" t="str">
        <f>IFERROR(__xludf.DUMMYFUNCTION("INDIRECT(""'收支紀錄'!S""&amp;TO_TEXT(ROW()-$C$72))"),"")</f>
        <v/>
      </c>
      <c r="T1604" s="61" t="str">
        <f>IFERROR(__xludf.DUMMYFUNCTION("INDIRECT(""'收支紀錄'!T""&amp;TO_TEXT(ROW()-$C$72))"),"")</f>
        <v/>
      </c>
      <c r="U1604" s="62" t="str">
        <f>IFERROR(__xludf.DUMMYFUNCTION("IF(T1604=""是"",TEXTJOIN("""", TRUE, ""$"", TO_TEXT(C1604), S1604),"""")"),"")</f>
        <v/>
      </c>
    </row>
    <row r="1605">
      <c r="A1605" s="58">
        <f>IFERROR(__xludf.DUMMYFUNCTION("INDIRECT(""'收支紀錄'!A""&amp;TO_TEXT(ROW()-$C$72))"),46138.44488178241)</f>
        <v>46138.44488</v>
      </c>
      <c r="B1605" s="59">
        <f>IFERROR(__xludf.DUMMYFUNCTION("IF(ISBLANK(D1605), """", IF(ISDATE(D1605), D1605, IF(D1605=""今天"", A1605, IF(D1605=""昨天 (-1 day)"", A1605-1, IF(D1605=""前天 (-2 days)"", A1605-2, IF(D1605=""明天 (+1 day)"", A1605+1, DATE(LEFT(D1605,4), MID(D1605,5,2), RIGHT(D1605,2))))))))"),46138.44488178241)</f>
        <v>46138.44488</v>
      </c>
      <c r="C1605" s="60">
        <f>IFERROR(__xludf.DUMMYFUNCTION("INDIRECT(""'收支紀錄'!C""&amp;TO_TEXT(ROW()-$C$72))"),215.0)</f>
        <v>215</v>
      </c>
      <c r="D1605" s="63" t="str">
        <f>IFERROR(__xludf.DUMMYFUNCTION("INDIRECT(""'收支紀錄'!D""&amp;TO_TEXT(ROW()-$C$72))"),"今天")</f>
        <v>今天</v>
      </c>
      <c r="E1605" s="61" t="str">
        <f>IFERROR(__xludf.DUMMYFUNCTION("INDIRECT(""'收支紀錄'!E""&amp;TO_TEXT(ROW()-$C$72))"),"")</f>
        <v/>
      </c>
      <c r="F1605" s="61" t="str">
        <f>IFERROR(__xludf.DUMMYFUNCTION("INDIRECT(""'收支紀錄'!F""&amp;TO_TEXT(ROW()-$C$72))"),"")</f>
        <v/>
      </c>
      <c r="G1605" s="61" t="str">
        <f>IFERROR(__xludf.DUMMYFUNCTION("INDIRECT(""'收支紀錄'!G""&amp;TO_TEXT(ROW()-$C$72))"),"")</f>
        <v/>
      </c>
      <c r="H1605" s="61" t="str">
        <f>IFERROR(__xludf.DUMMYFUNCTION("INDIRECT(""'收支紀錄'!H""&amp;TO_TEXT(ROW()-$C$72))"),"食品酒水")</f>
        <v>食品酒水</v>
      </c>
      <c r="I1605" s="61" t="str">
        <f>IFERROR(__xludf.DUMMYFUNCTION("INDIRECT(""'收支紀錄'!I""&amp;TO_TEXT(ROW()-$C$72))"),"早餐")</f>
        <v>早餐</v>
      </c>
      <c r="J1605" s="61" t="str">
        <f>IFERROR(__xludf.DUMMYFUNCTION("INDIRECT(""'收支紀錄'!J""&amp;TO_TEXT(ROW()-$C$72))"),"")</f>
        <v/>
      </c>
      <c r="K1605" s="61" t="str">
        <f>IFERROR(__xludf.DUMMYFUNCTION("INDIRECT(""'收支紀錄'!K""&amp;TO_TEXT(ROW()-$C$72))"),"")</f>
        <v/>
      </c>
      <c r="L1605" s="61" t="str">
        <f>IFERROR(__xludf.DUMMYFUNCTION("INDIRECT(""'收支紀錄'!L""&amp;TO_TEXT(ROW()-$C$72))"),"")</f>
        <v/>
      </c>
      <c r="M1605" s="61" t="str">
        <f>IFERROR(__xludf.DUMMYFUNCTION("INDIRECT(""'收支紀錄'!M""&amp;TO_TEXT(ROW()-$C$72))"),"")</f>
        <v/>
      </c>
      <c r="N1605" s="61" t="str">
        <f>IFERROR(__xludf.DUMMYFUNCTION("INDIRECT(""'收支紀錄'!N""&amp;TO_TEXT(ROW()-$C$72))"),"")</f>
        <v/>
      </c>
      <c r="O1605" s="61" t="str">
        <f>IFERROR(__xludf.DUMMYFUNCTION("INDIRECT(""'收支紀錄'!O""&amp;TO_TEXT(ROW()-$C$72))"),"")</f>
        <v/>
      </c>
      <c r="P1605" s="61" t="str">
        <f>IFERROR(__xludf.DUMMYFUNCTION("INDIRECT(""'收支紀錄'!P""&amp;TO_TEXT(ROW()-$C$72))"),"")</f>
        <v/>
      </c>
      <c r="Q1605" s="61" t="str">
        <f>IFERROR(__xludf.DUMMYFUNCTION("INDIRECT(""'收支紀錄'!Q""&amp;TO_TEXT(ROW()-$C$72))"),"")</f>
        <v/>
      </c>
      <c r="R1605" s="61" t="str">
        <f>IFERROR(__xludf.DUMMYFUNCTION("INDIRECT(""'收支紀錄'!R""&amp;TO_TEXT(ROW()-$C$72))"),"")</f>
        <v/>
      </c>
      <c r="S1605" s="61" t="str">
        <f>IFERROR(__xludf.DUMMYFUNCTION("INDIRECT(""'收支紀錄'!S""&amp;TO_TEXT(ROW()-$C$72))"),"")</f>
        <v/>
      </c>
      <c r="T1605" s="61" t="str">
        <f>IFERROR(__xludf.DUMMYFUNCTION("INDIRECT(""'收支紀錄'!T""&amp;TO_TEXT(ROW()-$C$72))"),"")</f>
        <v/>
      </c>
      <c r="U1605" s="62" t="str">
        <f>IFERROR(__xludf.DUMMYFUNCTION("IF(T1605=""是"",TEXTJOIN("""", TRUE, ""$"", TO_TEXT(C1605), S1605),"""")"),"")</f>
        <v/>
      </c>
    </row>
    <row r="1606">
      <c r="A1606" s="58">
        <f>IFERROR(__xludf.DUMMYFUNCTION("INDIRECT(""'收支紀錄'!A""&amp;TO_TEXT(ROW()-$C$72))"),46138.44551053241)</f>
        <v>46138.44551</v>
      </c>
      <c r="B1606" s="59">
        <f>IFERROR(__xludf.DUMMYFUNCTION("IF(ISBLANK(D1606), """", IF(ISDATE(D1606), D1606, IF(D1606=""今天"", A1606, IF(D1606=""昨天 (-1 day)"", A1606-1, IF(D1606=""前天 (-2 days)"", A1606-2, IF(D1606=""明天 (+1 day)"", A1606+1, DATE(LEFT(D1606,4), MID(D1606,5,2), RIGHT(D1606,2))))))))"),46136.44551053241)</f>
        <v>46136.44551</v>
      </c>
      <c r="C1606" s="60">
        <f>IFERROR(__xludf.DUMMYFUNCTION("INDIRECT(""'收支紀錄'!C""&amp;TO_TEXT(ROW()-$C$72))"),150.0)</f>
        <v>150</v>
      </c>
      <c r="D1606" s="63" t="str">
        <f>IFERROR(__xludf.DUMMYFUNCTION("INDIRECT(""'收支紀錄'!D""&amp;TO_TEXT(ROW()-$C$72))"),"前天 (-2 days)")</f>
        <v>前天 (-2 days)</v>
      </c>
      <c r="E1606" s="61" t="str">
        <f>IFERROR(__xludf.DUMMYFUNCTION("INDIRECT(""'收支紀錄'!E""&amp;TO_TEXT(ROW()-$C$72))"),"")</f>
        <v/>
      </c>
      <c r="F1606" s="61" t="str">
        <f>IFERROR(__xludf.DUMMYFUNCTION("INDIRECT(""'收支紀錄'!F""&amp;TO_TEXT(ROW()-$C$72))"),"")</f>
        <v/>
      </c>
      <c r="G1606" s="61" t="str">
        <f>IFERROR(__xludf.DUMMYFUNCTION("INDIRECT(""'收支紀錄'!G""&amp;TO_TEXT(ROW()-$C$72))"),"")</f>
        <v/>
      </c>
      <c r="H1606" s="61" t="str">
        <f>IFERROR(__xludf.DUMMYFUNCTION("INDIRECT(""'收支紀錄'!H""&amp;TO_TEXT(ROW()-$C$72))"),"行車交通")</f>
        <v>行車交通</v>
      </c>
      <c r="I1606" s="61" t="str">
        <f>IFERROR(__xludf.DUMMYFUNCTION("INDIRECT(""'收支紀錄'!I""&amp;TO_TEXT(ROW()-$C$72))"),"")</f>
        <v/>
      </c>
      <c r="J1606" s="61" t="str">
        <f>IFERROR(__xludf.DUMMYFUNCTION("INDIRECT(""'收支紀錄'!J""&amp;TO_TEXT(ROW()-$C$72))"),"")</f>
        <v/>
      </c>
      <c r="K1606" s="61" t="str">
        <f>IFERROR(__xludf.DUMMYFUNCTION("INDIRECT(""'收支紀錄'!K""&amp;TO_TEXT(ROW()-$C$72))"),"")</f>
        <v/>
      </c>
      <c r="L1606" s="61" t="str">
        <f>IFERROR(__xludf.DUMMYFUNCTION("INDIRECT(""'收支紀錄'!L""&amp;TO_TEXT(ROW()-$C$72))"),"計程車/Uber")</f>
        <v>計程車/Uber</v>
      </c>
      <c r="M1606" s="61" t="str">
        <f>IFERROR(__xludf.DUMMYFUNCTION("INDIRECT(""'收支紀錄'!M""&amp;TO_TEXT(ROW()-$C$72))"),"")</f>
        <v/>
      </c>
      <c r="N1606" s="61" t="str">
        <f>IFERROR(__xludf.DUMMYFUNCTION("INDIRECT(""'收支紀錄'!N""&amp;TO_TEXT(ROW()-$C$72))"),"")</f>
        <v/>
      </c>
      <c r="O1606" s="61" t="str">
        <f>IFERROR(__xludf.DUMMYFUNCTION("INDIRECT(""'收支紀錄'!O""&amp;TO_TEXT(ROW()-$C$72))"),"")</f>
        <v/>
      </c>
      <c r="P1606" s="61" t="str">
        <f>IFERROR(__xludf.DUMMYFUNCTION("INDIRECT(""'收支紀錄'!P""&amp;TO_TEXT(ROW()-$C$72))"),"")</f>
        <v/>
      </c>
      <c r="Q1606" s="61" t="str">
        <f>IFERROR(__xludf.DUMMYFUNCTION("INDIRECT(""'收支紀錄'!Q""&amp;TO_TEXT(ROW()-$C$72))"),"")</f>
        <v/>
      </c>
      <c r="R1606" s="61" t="str">
        <f>IFERROR(__xludf.DUMMYFUNCTION("INDIRECT(""'收支紀錄'!R""&amp;TO_TEXT(ROW()-$C$72))"),"")</f>
        <v/>
      </c>
      <c r="S1606" s="61" t="str">
        <f>IFERROR(__xludf.DUMMYFUNCTION("INDIRECT(""'收支紀錄'!S""&amp;TO_TEXT(ROW()-$C$72))"),"")</f>
        <v/>
      </c>
      <c r="T1606" s="61" t="str">
        <f>IFERROR(__xludf.DUMMYFUNCTION("INDIRECT(""'收支紀錄'!T""&amp;TO_TEXT(ROW()-$C$72))"),"")</f>
        <v/>
      </c>
      <c r="U1606" s="62" t="str">
        <f>IFERROR(__xludf.DUMMYFUNCTION("IF(T1606=""是"",TEXTJOIN("""", TRUE, ""$"", TO_TEXT(C1606), S1606),"""")"),"")</f>
        <v/>
      </c>
    </row>
    <row r="1607">
      <c r="A1607" s="58">
        <f>IFERROR(__xludf.DUMMYFUNCTION("INDIRECT(""'收支紀錄'!A""&amp;TO_TEXT(ROW()-$C$72))"),46139.82664135417)</f>
        <v>46139.82664</v>
      </c>
      <c r="B1607" s="59">
        <f>IFERROR(__xludf.DUMMYFUNCTION("IF(ISBLANK(D1607), """", IF(ISDATE(D1607), D1607, IF(D1607=""今天"", A1607, IF(D1607=""昨天 (-1 day)"", A1607-1, IF(D1607=""前天 (-2 days)"", A1607-2, IF(D1607=""明天 (+1 day)"", A1607+1, DATE(LEFT(D1607,4), MID(D1607,5,2), RIGHT(D1607,2))))))))"),46139.82664135417)</f>
        <v>46139.82664</v>
      </c>
      <c r="C1607" s="60">
        <f>IFERROR(__xludf.DUMMYFUNCTION("INDIRECT(""'收支紀錄'!C""&amp;TO_TEXT(ROW()-$C$72))"),142.0)</f>
        <v>142</v>
      </c>
      <c r="D1607" s="63" t="str">
        <f>IFERROR(__xludf.DUMMYFUNCTION("INDIRECT(""'收支紀錄'!D""&amp;TO_TEXT(ROW()-$C$72))"),"今天")</f>
        <v>今天</v>
      </c>
      <c r="E1607" s="61" t="str">
        <f>IFERROR(__xludf.DUMMYFUNCTION("INDIRECT(""'收支紀錄'!E""&amp;TO_TEXT(ROW()-$C$72))"),"")</f>
        <v/>
      </c>
      <c r="F1607" s="61" t="str">
        <f>IFERROR(__xludf.DUMMYFUNCTION("INDIRECT(""'收支紀錄'!F""&amp;TO_TEXT(ROW()-$C$72))"),"")</f>
        <v/>
      </c>
      <c r="G1607" s="61" t="str">
        <f>IFERROR(__xludf.DUMMYFUNCTION("INDIRECT(""'收支紀錄'!G""&amp;TO_TEXT(ROW()-$C$72))"),"")</f>
        <v/>
      </c>
      <c r="H1607" s="61" t="str">
        <f>IFERROR(__xludf.DUMMYFUNCTION("INDIRECT(""'收支紀錄'!H""&amp;TO_TEXT(ROW()-$C$72))"),"行車交通")</f>
        <v>行車交通</v>
      </c>
      <c r="I1607" s="61" t="str">
        <f>IFERROR(__xludf.DUMMYFUNCTION("INDIRECT(""'收支紀錄'!I""&amp;TO_TEXT(ROW()-$C$72))"),"")</f>
        <v/>
      </c>
      <c r="J1607" s="61" t="str">
        <f>IFERROR(__xludf.DUMMYFUNCTION("INDIRECT(""'收支紀錄'!J""&amp;TO_TEXT(ROW()-$C$72))"),"")</f>
        <v/>
      </c>
      <c r="K1607" s="61" t="str">
        <f>IFERROR(__xludf.DUMMYFUNCTION("INDIRECT(""'收支紀錄'!K""&amp;TO_TEXT(ROW()-$C$72))"),"")</f>
        <v/>
      </c>
      <c r="L1607" s="61" t="str">
        <f>IFERROR(__xludf.DUMMYFUNCTION("INDIRECT(""'收支紀錄'!L""&amp;TO_TEXT(ROW()-$C$72))"),"加油")</f>
        <v>加油</v>
      </c>
      <c r="M1607" s="61" t="str">
        <f>IFERROR(__xludf.DUMMYFUNCTION("INDIRECT(""'收支紀錄'!M""&amp;TO_TEXT(ROW()-$C$72))"),"")</f>
        <v/>
      </c>
      <c r="N1607" s="61" t="str">
        <f>IFERROR(__xludf.DUMMYFUNCTION("INDIRECT(""'收支紀錄'!N""&amp;TO_TEXT(ROW()-$C$72))"),"")</f>
        <v/>
      </c>
      <c r="O1607" s="61" t="str">
        <f>IFERROR(__xludf.DUMMYFUNCTION("INDIRECT(""'收支紀錄'!O""&amp;TO_TEXT(ROW()-$C$72))"),"")</f>
        <v/>
      </c>
      <c r="P1607" s="61" t="str">
        <f>IFERROR(__xludf.DUMMYFUNCTION("INDIRECT(""'收支紀錄'!P""&amp;TO_TEXT(ROW()-$C$72))"),"")</f>
        <v/>
      </c>
      <c r="Q1607" s="61" t="str">
        <f>IFERROR(__xludf.DUMMYFUNCTION("INDIRECT(""'收支紀錄'!Q""&amp;TO_TEXT(ROW()-$C$72))"),"")</f>
        <v/>
      </c>
      <c r="R1607" s="61" t="str">
        <f>IFERROR(__xludf.DUMMYFUNCTION("INDIRECT(""'收支紀錄'!R""&amp;TO_TEXT(ROW()-$C$72))"),"")</f>
        <v/>
      </c>
      <c r="S1607" s="61" t="str">
        <f>IFERROR(__xludf.DUMMYFUNCTION("INDIRECT(""'收支紀錄'!S""&amp;TO_TEXT(ROW()-$C$72))"),"")</f>
        <v/>
      </c>
      <c r="T1607" s="61" t="str">
        <f>IFERROR(__xludf.DUMMYFUNCTION("INDIRECT(""'收支紀錄'!T""&amp;TO_TEXT(ROW()-$C$72))"),"")</f>
        <v/>
      </c>
      <c r="U1607" s="62" t="str">
        <f>IFERROR(__xludf.DUMMYFUNCTION("IF(T1607=""是"",TEXTJOIN("""", TRUE, ""$"", TO_TEXT(C1607), S1607),"""")"),"")</f>
        <v/>
      </c>
    </row>
    <row r="1608">
      <c r="A1608" s="58">
        <f>IFERROR(__xludf.DUMMYFUNCTION("INDIRECT(""'收支紀錄'!A""&amp;TO_TEXT(ROW()-$C$72))"),46139.84503596065)</f>
        <v>46139.84504</v>
      </c>
      <c r="B1608" s="59">
        <f>IFERROR(__xludf.DUMMYFUNCTION("IF(ISBLANK(D1608), """", IF(ISDATE(D1608), D1608, IF(D1608=""今天"", A1608, IF(D1608=""昨天 (-1 day)"", A1608-1, IF(D1608=""前天 (-2 days)"", A1608-2, IF(D1608=""明天 (+1 day)"", A1608+1, DATE(LEFT(D1608,4), MID(D1608,5,2), RIGHT(D1608,2))))))))"),46138.84503596065)</f>
        <v>46138.84504</v>
      </c>
      <c r="C1608" s="60">
        <f>IFERROR(__xludf.DUMMYFUNCTION("INDIRECT(""'收支紀錄'!C""&amp;TO_TEXT(ROW()-$C$72))"),1459.0)</f>
        <v>1459</v>
      </c>
      <c r="D1608" s="63" t="str">
        <f>IFERROR(__xludf.DUMMYFUNCTION("INDIRECT(""'收支紀錄'!D""&amp;TO_TEXT(ROW()-$C$72))"),"昨天 (-1 day)")</f>
        <v>昨天 (-1 day)</v>
      </c>
      <c r="E1608" s="61" t="str">
        <f>IFERROR(__xludf.DUMMYFUNCTION("INDIRECT(""'收支紀錄'!E""&amp;TO_TEXT(ROW()-$C$72))"),"")</f>
        <v/>
      </c>
      <c r="F1608" s="61" t="str">
        <f>IFERROR(__xludf.DUMMYFUNCTION("INDIRECT(""'收支紀錄'!F""&amp;TO_TEXT(ROW()-$C$72))"),"")</f>
        <v/>
      </c>
      <c r="G1608" s="61" t="str">
        <f>IFERROR(__xludf.DUMMYFUNCTION("INDIRECT(""'收支紀錄'!G""&amp;TO_TEXT(ROW()-$C$72))"),"")</f>
        <v/>
      </c>
      <c r="H1608" s="61" t="str">
        <f>IFERROR(__xludf.DUMMYFUNCTION("INDIRECT(""'收支紀錄'!H""&amp;TO_TEXT(ROW()-$C$72))"),"日常生活")</f>
        <v>日常生活</v>
      </c>
      <c r="I1608" s="61" t="str">
        <f>IFERROR(__xludf.DUMMYFUNCTION("INDIRECT(""'收支紀錄'!I""&amp;TO_TEXT(ROW()-$C$72))"),"")</f>
        <v/>
      </c>
      <c r="J1608" s="61" t="str">
        <f>IFERROR(__xludf.DUMMYFUNCTION("INDIRECT(""'收支紀錄'!J""&amp;TO_TEXT(ROW()-$C$72))"),"日常用品")</f>
        <v>日常用品</v>
      </c>
      <c r="K1608" s="61" t="str">
        <f>IFERROR(__xludf.DUMMYFUNCTION("INDIRECT(""'收支紀錄'!K""&amp;TO_TEXT(ROW()-$C$72))"),"")</f>
        <v/>
      </c>
      <c r="L1608" s="61" t="str">
        <f>IFERROR(__xludf.DUMMYFUNCTION("INDIRECT(""'收支紀錄'!L""&amp;TO_TEXT(ROW()-$C$72))"),"")</f>
        <v/>
      </c>
      <c r="M1608" s="61" t="str">
        <f>IFERROR(__xludf.DUMMYFUNCTION("INDIRECT(""'收支紀錄'!M""&amp;TO_TEXT(ROW()-$C$72))"),"")</f>
        <v/>
      </c>
      <c r="N1608" s="61" t="str">
        <f>IFERROR(__xludf.DUMMYFUNCTION("INDIRECT(""'收支紀錄'!N""&amp;TO_TEXT(ROW()-$C$72))"),"")</f>
        <v/>
      </c>
      <c r="O1608" s="61" t="str">
        <f>IFERROR(__xludf.DUMMYFUNCTION("INDIRECT(""'收支紀錄'!O""&amp;TO_TEXT(ROW()-$C$72))"),"")</f>
        <v/>
      </c>
      <c r="P1608" s="61" t="str">
        <f>IFERROR(__xludf.DUMMYFUNCTION("INDIRECT(""'收支紀錄'!P""&amp;TO_TEXT(ROW()-$C$72))"),"")</f>
        <v/>
      </c>
      <c r="Q1608" s="61" t="str">
        <f>IFERROR(__xludf.DUMMYFUNCTION("INDIRECT(""'收支紀錄'!Q""&amp;TO_TEXT(ROW()-$C$72))"),"")</f>
        <v/>
      </c>
      <c r="R1608" s="61" t="str">
        <f>IFERROR(__xludf.DUMMYFUNCTION("INDIRECT(""'收支紀錄'!R""&amp;TO_TEXT(ROW()-$C$72))"),"")</f>
        <v/>
      </c>
      <c r="S1608" s="61" t="str">
        <f>IFERROR(__xludf.DUMMYFUNCTION("INDIRECT(""'收支紀錄'!S""&amp;TO_TEXT(ROW()-$C$72))"),"")</f>
        <v/>
      </c>
      <c r="T1608" s="61" t="str">
        <f>IFERROR(__xludf.DUMMYFUNCTION("INDIRECT(""'收支紀錄'!T""&amp;TO_TEXT(ROW()-$C$72))"),"")</f>
        <v/>
      </c>
      <c r="U1608" s="62" t="str">
        <f>IFERROR(__xludf.DUMMYFUNCTION("IF(T1608=""是"",TEXTJOIN("""", TRUE, ""$"", TO_TEXT(C1608), S1608),"""")"),"")</f>
        <v/>
      </c>
    </row>
    <row r="1609">
      <c r="A1609" s="58">
        <f>IFERROR(__xludf.DUMMYFUNCTION("INDIRECT(""'收支紀錄'!A""&amp;TO_TEXT(ROW()-$C$72))"),46139.92198623843)</f>
        <v>46139.92199</v>
      </c>
      <c r="B1609" s="59">
        <f>IFERROR(__xludf.DUMMYFUNCTION("IF(ISBLANK(D1609), """", IF(ISDATE(D1609), D1609, IF(D1609=""今天"", A1609, IF(D1609=""昨天 (-1 day)"", A1609-1, IF(D1609=""前天 (-2 days)"", A1609-2, IF(D1609=""明天 (+1 day)"", A1609+1, DATE(LEFT(D1609,4), MID(D1609,5,2), RIGHT(D1609,2))))))))"),46139.92198623843)</f>
        <v>46139.92199</v>
      </c>
      <c r="C1609" s="60">
        <f>IFERROR(__xludf.DUMMYFUNCTION("INDIRECT(""'收支紀錄'!C""&amp;TO_TEXT(ROW()-$C$72))"),1200.0)</f>
        <v>1200</v>
      </c>
      <c r="D1609" s="63" t="str">
        <f>IFERROR(__xludf.DUMMYFUNCTION("INDIRECT(""'收支紀錄'!D""&amp;TO_TEXT(ROW()-$C$72))"),"今天")</f>
        <v>今天</v>
      </c>
      <c r="E1609" s="61" t="str">
        <f>IFERROR(__xludf.DUMMYFUNCTION("INDIRECT(""'收支紀錄'!E""&amp;TO_TEXT(ROW()-$C$72))"),"")</f>
        <v/>
      </c>
      <c r="F1609" s="61" t="str">
        <f>IFERROR(__xludf.DUMMYFUNCTION("INDIRECT(""'收支紀錄'!F""&amp;TO_TEXT(ROW()-$C$72))"),"")</f>
        <v/>
      </c>
      <c r="G1609" s="61" t="str">
        <f>IFERROR(__xludf.DUMMYFUNCTION("INDIRECT(""'收支紀錄'!G""&amp;TO_TEXT(ROW()-$C$72))"),"")</f>
        <v/>
      </c>
      <c r="H1609" s="61" t="str">
        <f>IFERROR(__xludf.DUMMYFUNCTION("INDIRECT(""'收支紀錄'!H""&amp;TO_TEXT(ROW()-$C$72))"),"行車交通")</f>
        <v>行車交通</v>
      </c>
      <c r="I1609" s="61" t="str">
        <f>IFERROR(__xludf.DUMMYFUNCTION("INDIRECT(""'收支紀錄'!I""&amp;TO_TEXT(ROW()-$C$72))"),"")</f>
        <v/>
      </c>
      <c r="J1609" s="61" t="str">
        <f>IFERROR(__xludf.DUMMYFUNCTION("INDIRECT(""'收支紀錄'!J""&amp;TO_TEXT(ROW()-$C$72))"),"")</f>
        <v/>
      </c>
      <c r="K1609" s="61" t="str">
        <f>IFERROR(__xludf.DUMMYFUNCTION("INDIRECT(""'收支紀錄'!K""&amp;TO_TEXT(ROW()-$C$72))"),"")</f>
        <v/>
      </c>
      <c r="L1609" s="61" t="str">
        <f>IFERROR(__xludf.DUMMYFUNCTION("INDIRECT(""'收支紀錄'!L""&amp;TO_TEXT(ROW()-$C$72))"),"其他(洗車,罰單,配件)")</f>
        <v>其他(洗車,罰單,配件)</v>
      </c>
      <c r="M1609" s="61" t="str">
        <f>IFERROR(__xludf.DUMMYFUNCTION("INDIRECT(""'收支紀錄'!M""&amp;TO_TEXT(ROW()-$C$72))"),"")</f>
        <v/>
      </c>
      <c r="N1609" s="61" t="str">
        <f>IFERROR(__xludf.DUMMYFUNCTION("INDIRECT(""'收支紀錄'!N""&amp;TO_TEXT(ROW()-$C$72))"),"")</f>
        <v/>
      </c>
      <c r="O1609" s="61" t="str">
        <f>IFERROR(__xludf.DUMMYFUNCTION("INDIRECT(""'收支紀錄'!O""&amp;TO_TEXT(ROW()-$C$72))"),"")</f>
        <v/>
      </c>
      <c r="P1609" s="61" t="str">
        <f>IFERROR(__xludf.DUMMYFUNCTION("INDIRECT(""'收支紀錄'!P""&amp;TO_TEXT(ROW()-$C$72))"),"")</f>
        <v/>
      </c>
      <c r="Q1609" s="61" t="str">
        <f>IFERROR(__xludf.DUMMYFUNCTION("INDIRECT(""'收支紀錄'!Q""&amp;TO_TEXT(ROW()-$C$72))"),"")</f>
        <v/>
      </c>
      <c r="R1609" s="61" t="str">
        <f>IFERROR(__xludf.DUMMYFUNCTION("INDIRECT(""'收支紀錄'!R""&amp;TO_TEXT(ROW()-$C$72))"),"")</f>
        <v/>
      </c>
      <c r="S1609" s="61" t="str">
        <f>IFERROR(__xludf.DUMMYFUNCTION("INDIRECT(""'收支紀錄'!S""&amp;TO_TEXT(ROW()-$C$72))"),"")</f>
        <v/>
      </c>
      <c r="T1609" s="61" t="str">
        <f>IFERROR(__xludf.DUMMYFUNCTION("INDIRECT(""'收支紀錄'!T""&amp;TO_TEXT(ROW()-$C$72))"),"")</f>
        <v/>
      </c>
      <c r="U1609" s="62" t="str">
        <f>IFERROR(__xludf.DUMMYFUNCTION("IF(T1609=""是"",TEXTJOIN("""", TRUE, ""$"", TO_TEXT(C1609), S1609),"""")"),"")</f>
        <v/>
      </c>
    </row>
    <row r="1610">
      <c r="A1610" s="58">
        <f>IFERROR(__xludf.DUMMYFUNCTION("INDIRECT(""'收支紀錄'!A""&amp;TO_TEXT(ROW()-$C$72))"),46139.92213065972)</f>
        <v>46139.92213</v>
      </c>
      <c r="B1610" s="59">
        <f>IFERROR(__xludf.DUMMYFUNCTION("IF(ISBLANK(D1610), """", IF(ISDATE(D1610), D1610, IF(D1610=""今天"", A1610, IF(D1610=""昨天 (-1 day)"", A1610-1, IF(D1610=""前天 (-2 days)"", A1610-2, IF(D1610=""明天 (+1 day)"", A1610+1, DATE(LEFT(D1610,4), MID(D1610,5,2), RIGHT(D1610,2))))))))"),46139.92213065972)</f>
        <v>46139.92213</v>
      </c>
      <c r="C1610" s="60">
        <f>IFERROR(__xludf.DUMMYFUNCTION("INDIRECT(""'收支紀錄'!C""&amp;TO_TEXT(ROW()-$C$72))"),144.0)</f>
        <v>144</v>
      </c>
      <c r="D1610" s="63" t="str">
        <f>IFERROR(__xludf.DUMMYFUNCTION("INDIRECT(""'收支紀錄'!D""&amp;TO_TEXT(ROW()-$C$72))"),"今天")</f>
        <v>今天</v>
      </c>
      <c r="E1610" s="61" t="str">
        <f>IFERROR(__xludf.DUMMYFUNCTION("INDIRECT(""'收支紀錄'!E""&amp;TO_TEXT(ROW()-$C$72))"),"")</f>
        <v/>
      </c>
      <c r="F1610" s="61" t="str">
        <f>IFERROR(__xludf.DUMMYFUNCTION("INDIRECT(""'收支紀錄'!F""&amp;TO_TEXT(ROW()-$C$72))"),"")</f>
        <v/>
      </c>
      <c r="G1610" s="61" t="str">
        <f>IFERROR(__xludf.DUMMYFUNCTION("INDIRECT(""'收支紀錄'!G""&amp;TO_TEXT(ROW()-$C$72))"),"")</f>
        <v/>
      </c>
      <c r="H1610" s="61" t="str">
        <f>IFERROR(__xludf.DUMMYFUNCTION("INDIRECT(""'收支紀錄'!H""&amp;TO_TEXT(ROW()-$C$72))"),"食品酒水")</f>
        <v>食品酒水</v>
      </c>
      <c r="I1610" s="61" t="str">
        <f>IFERROR(__xludf.DUMMYFUNCTION("INDIRECT(""'收支紀錄'!I""&amp;TO_TEXT(ROW()-$C$72))"),"晚餐")</f>
        <v>晚餐</v>
      </c>
      <c r="J1610" s="61" t="str">
        <f>IFERROR(__xludf.DUMMYFUNCTION("INDIRECT(""'收支紀錄'!J""&amp;TO_TEXT(ROW()-$C$72))"),"")</f>
        <v/>
      </c>
      <c r="K1610" s="61" t="str">
        <f>IFERROR(__xludf.DUMMYFUNCTION("INDIRECT(""'收支紀錄'!K""&amp;TO_TEXT(ROW()-$C$72))"),"")</f>
        <v/>
      </c>
      <c r="L1610" s="61" t="str">
        <f>IFERROR(__xludf.DUMMYFUNCTION("INDIRECT(""'收支紀錄'!L""&amp;TO_TEXT(ROW()-$C$72))"),"")</f>
        <v/>
      </c>
      <c r="M1610" s="61" t="str">
        <f>IFERROR(__xludf.DUMMYFUNCTION("INDIRECT(""'收支紀錄'!M""&amp;TO_TEXT(ROW()-$C$72))"),"")</f>
        <v/>
      </c>
      <c r="N1610" s="61" t="str">
        <f>IFERROR(__xludf.DUMMYFUNCTION("INDIRECT(""'收支紀錄'!N""&amp;TO_TEXT(ROW()-$C$72))"),"")</f>
        <v/>
      </c>
      <c r="O1610" s="61" t="str">
        <f>IFERROR(__xludf.DUMMYFUNCTION("INDIRECT(""'收支紀錄'!O""&amp;TO_TEXT(ROW()-$C$72))"),"")</f>
        <v/>
      </c>
      <c r="P1610" s="61" t="str">
        <f>IFERROR(__xludf.DUMMYFUNCTION("INDIRECT(""'收支紀錄'!P""&amp;TO_TEXT(ROW()-$C$72))"),"")</f>
        <v/>
      </c>
      <c r="Q1610" s="61" t="str">
        <f>IFERROR(__xludf.DUMMYFUNCTION("INDIRECT(""'收支紀錄'!Q""&amp;TO_TEXT(ROW()-$C$72))"),"")</f>
        <v/>
      </c>
      <c r="R1610" s="61" t="str">
        <f>IFERROR(__xludf.DUMMYFUNCTION("INDIRECT(""'收支紀錄'!R""&amp;TO_TEXT(ROW()-$C$72))"),"")</f>
        <v/>
      </c>
      <c r="S1610" s="61" t="str">
        <f>IFERROR(__xludf.DUMMYFUNCTION("INDIRECT(""'收支紀錄'!S""&amp;TO_TEXT(ROW()-$C$72))"),"")</f>
        <v/>
      </c>
      <c r="T1610" s="61" t="str">
        <f>IFERROR(__xludf.DUMMYFUNCTION("INDIRECT(""'收支紀錄'!T""&amp;TO_TEXT(ROW()-$C$72))"),"")</f>
        <v/>
      </c>
      <c r="U1610" s="62" t="str">
        <f>IFERROR(__xludf.DUMMYFUNCTION("IF(T1610=""是"",TEXTJOIN("""", TRUE, ""$"", TO_TEXT(C1610), S1610),"""")"),"")</f>
        <v/>
      </c>
    </row>
    <row r="1611">
      <c r="A1611" s="58">
        <f>IFERROR(__xludf.DUMMYFUNCTION("INDIRECT(""'收支紀錄'!A""&amp;TO_TEXT(ROW()-$C$72))"),46140.919728865745)</f>
        <v>46140.91973</v>
      </c>
      <c r="B1611" s="59">
        <f>IFERROR(__xludf.DUMMYFUNCTION("IF(ISBLANK(D1611), """", IF(ISDATE(D1611), D1611, IF(D1611=""今天"", A1611, IF(D1611=""昨天 (-1 day)"", A1611-1, IF(D1611=""前天 (-2 days)"", A1611-2, IF(D1611=""明天 (+1 day)"", A1611+1, DATE(LEFT(D1611,4), MID(D1611,5,2), RIGHT(D1611,2))))))))"),46140.919728865745)</f>
        <v>46140.91973</v>
      </c>
      <c r="C1611" s="60">
        <f>IFERROR(__xludf.DUMMYFUNCTION("INDIRECT(""'收支紀錄'!C""&amp;TO_TEXT(ROW()-$C$72))"),200.0)</f>
        <v>200</v>
      </c>
      <c r="D1611" s="63" t="str">
        <f>IFERROR(__xludf.DUMMYFUNCTION("INDIRECT(""'收支紀錄'!D""&amp;TO_TEXT(ROW()-$C$72))"),"今天")</f>
        <v>今天</v>
      </c>
      <c r="E1611" s="61" t="str">
        <f>IFERROR(__xludf.DUMMYFUNCTION("INDIRECT(""'收支紀錄'!E""&amp;TO_TEXT(ROW()-$C$72))"),"")</f>
        <v/>
      </c>
      <c r="F1611" s="61" t="str">
        <f>IFERROR(__xludf.DUMMYFUNCTION("INDIRECT(""'收支紀錄'!F""&amp;TO_TEXT(ROW()-$C$72))"),"")</f>
        <v/>
      </c>
      <c r="G1611" s="61" t="str">
        <f>IFERROR(__xludf.DUMMYFUNCTION("INDIRECT(""'收支紀錄'!G""&amp;TO_TEXT(ROW()-$C$72))"),"")</f>
        <v/>
      </c>
      <c r="H1611" s="61" t="str">
        <f>IFERROR(__xludf.DUMMYFUNCTION("INDIRECT(""'收支紀錄'!H""&amp;TO_TEXT(ROW()-$C$72))"),"行車交通")</f>
        <v>行車交通</v>
      </c>
      <c r="I1611" s="61" t="str">
        <f>IFERROR(__xludf.DUMMYFUNCTION("INDIRECT(""'收支紀錄'!I""&amp;TO_TEXT(ROW()-$C$72))"),"")</f>
        <v/>
      </c>
      <c r="J1611" s="61" t="str">
        <f>IFERROR(__xludf.DUMMYFUNCTION("INDIRECT(""'收支紀錄'!J""&amp;TO_TEXT(ROW()-$C$72))"),"")</f>
        <v/>
      </c>
      <c r="K1611" s="61" t="str">
        <f>IFERROR(__xludf.DUMMYFUNCTION("INDIRECT(""'收支紀錄'!K""&amp;TO_TEXT(ROW()-$C$72))"),"")</f>
        <v/>
      </c>
      <c r="L1611" s="61" t="str">
        <f>IFERROR(__xludf.DUMMYFUNCTION("INDIRECT(""'收支紀錄'!L""&amp;TO_TEXT(ROW()-$C$72))"),"加油")</f>
        <v>加油</v>
      </c>
      <c r="M1611" s="61" t="str">
        <f>IFERROR(__xludf.DUMMYFUNCTION("INDIRECT(""'收支紀錄'!M""&amp;TO_TEXT(ROW()-$C$72))"),"")</f>
        <v/>
      </c>
      <c r="N1611" s="61" t="str">
        <f>IFERROR(__xludf.DUMMYFUNCTION("INDIRECT(""'收支紀錄'!N""&amp;TO_TEXT(ROW()-$C$72))"),"")</f>
        <v/>
      </c>
      <c r="O1611" s="61" t="str">
        <f>IFERROR(__xludf.DUMMYFUNCTION("INDIRECT(""'收支紀錄'!O""&amp;TO_TEXT(ROW()-$C$72))"),"")</f>
        <v/>
      </c>
      <c r="P1611" s="61" t="str">
        <f>IFERROR(__xludf.DUMMYFUNCTION("INDIRECT(""'收支紀錄'!P""&amp;TO_TEXT(ROW()-$C$72))"),"")</f>
        <v/>
      </c>
      <c r="Q1611" s="61" t="str">
        <f>IFERROR(__xludf.DUMMYFUNCTION("INDIRECT(""'收支紀錄'!Q""&amp;TO_TEXT(ROW()-$C$72))"),"")</f>
        <v/>
      </c>
      <c r="R1611" s="61" t="str">
        <f>IFERROR(__xludf.DUMMYFUNCTION("INDIRECT(""'收支紀錄'!R""&amp;TO_TEXT(ROW()-$C$72))"),"")</f>
        <v/>
      </c>
      <c r="S1611" s="61" t="str">
        <f>IFERROR(__xludf.DUMMYFUNCTION("INDIRECT(""'收支紀錄'!S""&amp;TO_TEXT(ROW()-$C$72))"),"")</f>
        <v/>
      </c>
      <c r="T1611" s="61" t="str">
        <f>IFERROR(__xludf.DUMMYFUNCTION("INDIRECT(""'收支紀錄'!T""&amp;TO_TEXT(ROW()-$C$72))"),"")</f>
        <v/>
      </c>
      <c r="U1611" s="62" t="str">
        <f>IFERROR(__xludf.DUMMYFUNCTION("IF(T1611=""是"",TEXTJOIN("""", TRUE, ""$"", TO_TEXT(C1611), S1611),"""")"),"")</f>
        <v/>
      </c>
    </row>
    <row r="1612">
      <c r="A1612" s="58">
        <f>IFERROR(__xludf.DUMMYFUNCTION("INDIRECT(""'收支紀錄'!A""&amp;TO_TEXT(ROW()-$C$72))"),46142.03912318287)</f>
        <v>46142.03912</v>
      </c>
      <c r="B1612" s="59">
        <f>IFERROR(__xludf.DUMMYFUNCTION("IF(ISBLANK(D1612), """", IF(ISDATE(D1612), D1612, IF(D1612=""今天"", A1612, IF(D1612=""昨天 (-1 day)"", A1612-1, IF(D1612=""前天 (-2 days)"", A1612-2, IF(D1612=""明天 (+1 day)"", A1612+1, DATE(LEFT(D1612,4), MID(D1612,5,2), RIGHT(D1612,2))))))))"),46141.03912318287)</f>
        <v>46141.03912</v>
      </c>
      <c r="C1612" s="60">
        <f>IFERROR(__xludf.DUMMYFUNCTION("INDIRECT(""'收支紀錄'!C""&amp;TO_TEXT(ROW()-$C$72))"),165.0)</f>
        <v>165</v>
      </c>
      <c r="D1612" s="63" t="str">
        <f>IFERROR(__xludf.DUMMYFUNCTION("INDIRECT(""'收支紀錄'!D""&amp;TO_TEXT(ROW()-$C$72))"),"昨天 (-1 day)")</f>
        <v>昨天 (-1 day)</v>
      </c>
      <c r="E1612" s="61" t="str">
        <f>IFERROR(__xludf.DUMMYFUNCTION("INDIRECT(""'收支紀錄'!E""&amp;TO_TEXT(ROW()-$C$72))"),"")</f>
        <v/>
      </c>
      <c r="F1612" s="61" t="str">
        <f>IFERROR(__xludf.DUMMYFUNCTION("INDIRECT(""'收支紀錄'!F""&amp;TO_TEXT(ROW()-$C$72))"),"")</f>
        <v/>
      </c>
      <c r="G1612" s="61" t="str">
        <f>IFERROR(__xludf.DUMMYFUNCTION("INDIRECT(""'收支紀錄'!G""&amp;TO_TEXT(ROW()-$C$72))"),"")</f>
        <v/>
      </c>
      <c r="H1612" s="61" t="str">
        <f>IFERROR(__xludf.DUMMYFUNCTION("INDIRECT(""'收支紀錄'!H""&amp;TO_TEXT(ROW()-$C$72))"),"行車交通")</f>
        <v>行車交通</v>
      </c>
      <c r="I1612" s="61" t="str">
        <f>IFERROR(__xludf.DUMMYFUNCTION("INDIRECT(""'收支紀錄'!I""&amp;TO_TEXT(ROW()-$C$72))"),"")</f>
        <v/>
      </c>
      <c r="J1612" s="61" t="str">
        <f>IFERROR(__xludf.DUMMYFUNCTION("INDIRECT(""'收支紀錄'!J""&amp;TO_TEXT(ROW()-$C$72))"),"")</f>
        <v/>
      </c>
      <c r="K1612" s="61" t="str">
        <f>IFERROR(__xludf.DUMMYFUNCTION("INDIRECT(""'收支紀錄'!K""&amp;TO_TEXT(ROW()-$C$72))"),"")</f>
        <v/>
      </c>
      <c r="L1612" s="61" t="str">
        <f>IFERROR(__xludf.DUMMYFUNCTION("INDIRECT(""'收支紀錄'!L""&amp;TO_TEXT(ROW()-$C$72))"),"計程車/Uber")</f>
        <v>計程車/Uber</v>
      </c>
      <c r="M1612" s="61" t="str">
        <f>IFERROR(__xludf.DUMMYFUNCTION("INDIRECT(""'收支紀錄'!M""&amp;TO_TEXT(ROW()-$C$72))"),"")</f>
        <v/>
      </c>
      <c r="N1612" s="61" t="str">
        <f>IFERROR(__xludf.DUMMYFUNCTION("INDIRECT(""'收支紀錄'!N""&amp;TO_TEXT(ROW()-$C$72))"),"")</f>
        <v/>
      </c>
      <c r="O1612" s="61" t="str">
        <f>IFERROR(__xludf.DUMMYFUNCTION("INDIRECT(""'收支紀錄'!O""&amp;TO_TEXT(ROW()-$C$72))"),"")</f>
        <v/>
      </c>
      <c r="P1612" s="61" t="str">
        <f>IFERROR(__xludf.DUMMYFUNCTION("INDIRECT(""'收支紀錄'!P""&amp;TO_TEXT(ROW()-$C$72))"),"")</f>
        <v/>
      </c>
      <c r="Q1612" s="61" t="str">
        <f>IFERROR(__xludf.DUMMYFUNCTION("INDIRECT(""'收支紀錄'!Q""&amp;TO_TEXT(ROW()-$C$72))"),"")</f>
        <v/>
      </c>
      <c r="R1612" s="61" t="str">
        <f>IFERROR(__xludf.DUMMYFUNCTION("INDIRECT(""'收支紀錄'!R""&amp;TO_TEXT(ROW()-$C$72))"),"")</f>
        <v/>
      </c>
      <c r="S1612" s="61" t="str">
        <f>IFERROR(__xludf.DUMMYFUNCTION("INDIRECT(""'收支紀錄'!S""&amp;TO_TEXT(ROW()-$C$72))"),"")</f>
        <v/>
      </c>
      <c r="T1612" s="61" t="str">
        <f>IFERROR(__xludf.DUMMYFUNCTION("INDIRECT(""'收支紀錄'!T""&amp;TO_TEXT(ROW()-$C$72))"),"")</f>
        <v/>
      </c>
      <c r="U1612" s="62" t="str">
        <f>IFERROR(__xludf.DUMMYFUNCTION("IF(T1612=""是"",TEXTJOIN("""", TRUE, ""$"", TO_TEXT(C1612), S1612),"""")"),"")</f>
        <v/>
      </c>
    </row>
    <row r="1613">
      <c r="A1613" s="58">
        <f>IFERROR(__xludf.DUMMYFUNCTION("INDIRECT(""'收支紀錄'!A""&amp;TO_TEXT(ROW()-$C$72))"),46142.03956350694)</f>
        <v>46142.03956</v>
      </c>
      <c r="B1613" s="59">
        <f>IFERROR(__xludf.DUMMYFUNCTION("IF(ISBLANK(D1613), """", IF(ISDATE(D1613), D1613, IF(D1613=""今天"", A1613, IF(D1613=""昨天 (-1 day)"", A1613-1, IF(D1613=""前天 (-2 days)"", A1613-2, IF(D1613=""明天 (+1 day)"", A1613+1, DATE(LEFT(D1613,4), MID(D1613,5,2), RIGHT(D1613,2))))))))"),46142.03956350694)</f>
        <v>46142.03956</v>
      </c>
      <c r="C1613" s="60">
        <f>IFERROR(__xludf.DUMMYFUNCTION("INDIRECT(""'收支紀錄'!C""&amp;TO_TEXT(ROW()-$C$72))"),620.0)</f>
        <v>620</v>
      </c>
      <c r="D1613" s="63" t="str">
        <f>IFERROR(__xludf.DUMMYFUNCTION("INDIRECT(""'收支紀錄'!D""&amp;TO_TEXT(ROW()-$C$72))"),"今天")</f>
        <v>今天</v>
      </c>
      <c r="E1613" s="61" t="str">
        <f>IFERROR(__xludf.DUMMYFUNCTION("INDIRECT(""'收支紀錄'!E""&amp;TO_TEXT(ROW()-$C$72))"),"")</f>
        <v/>
      </c>
      <c r="F1613" s="61" t="str">
        <f>IFERROR(__xludf.DUMMYFUNCTION("INDIRECT(""'收支紀錄'!F""&amp;TO_TEXT(ROW()-$C$72))"),"")</f>
        <v/>
      </c>
      <c r="G1613" s="61" t="str">
        <f>IFERROR(__xludf.DUMMYFUNCTION("INDIRECT(""'收支紀錄'!G""&amp;TO_TEXT(ROW()-$C$72))"),"")</f>
        <v/>
      </c>
      <c r="H1613" s="61" t="str">
        <f>IFERROR(__xludf.DUMMYFUNCTION("INDIRECT(""'收支紀錄'!H""&amp;TO_TEXT(ROW()-$C$72))"),"進修學習")</f>
        <v>進修學習</v>
      </c>
      <c r="I1613" s="61" t="str">
        <f>IFERROR(__xludf.DUMMYFUNCTION("INDIRECT(""'收支紀錄'!I""&amp;TO_TEXT(ROW()-$C$72))"),"")</f>
        <v/>
      </c>
      <c r="J1613" s="61" t="str">
        <f>IFERROR(__xludf.DUMMYFUNCTION("INDIRECT(""'收支紀錄'!J""&amp;TO_TEXT(ROW()-$C$72))"),"")</f>
        <v/>
      </c>
      <c r="K1613" s="61" t="str">
        <f>IFERROR(__xludf.DUMMYFUNCTION("INDIRECT(""'收支紀錄'!K""&amp;TO_TEXT(ROW()-$C$72))"),"")</f>
        <v/>
      </c>
      <c r="L1613" s="61" t="str">
        <f>IFERROR(__xludf.DUMMYFUNCTION("INDIRECT(""'收支紀錄'!L""&amp;TO_TEXT(ROW()-$C$72))"),"")</f>
        <v/>
      </c>
      <c r="M1613" s="61" t="str">
        <f>IFERROR(__xludf.DUMMYFUNCTION("INDIRECT(""'收支紀錄'!M""&amp;TO_TEXT(ROW()-$C$72))"),"")</f>
        <v/>
      </c>
      <c r="N1613" s="61" t="str">
        <f>IFERROR(__xludf.DUMMYFUNCTION("INDIRECT(""'收支紀錄'!N""&amp;TO_TEXT(ROW()-$C$72))"),"")</f>
        <v/>
      </c>
      <c r="O1613" s="61" t="str">
        <f>IFERROR(__xludf.DUMMYFUNCTION("INDIRECT(""'收支紀錄'!O""&amp;TO_TEXT(ROW()-$C$72))"),"")</f>
        <v/>
      </c>
      <c r="P1613" s="61" t="str">
        <f>IFERROR(__xludf.DUMMYFUNCTION("INDIRECT(""'收支紀錄'!P""&amp;TO_TEXT(ROW()-$C$72))"),"網上學習")</f>
        <v>網上學習</v>
      </c>
      <c r="Q1613" s="61" t="str">
        <f>IFERROR(__xludf.DUMMYFUNCTION("INDIRECT(""'收支紀錄'!Q""&amp;TO_TEXT(ROW()-$C$72))"),"")</f>
        <v/>
      </c>
      <c r="R1613" s="61" t="str">
        <f>IFERROR(__xludf.DUMMYFUNCTION("INDIRECT(""'收支紀錄'!R""&amp;TO_TEXT(ROW()-$C$72))"),"")</f>
        <v/>
      </c>
      <c r="S1613" s="61" t="str">
        <f>IFERROR(__xludf.DUMMYFUNCTION("INDIRECT(""'收支紀錄'!S""&amp;TO_TEXT(ROW()-$C$72))"),"Openrouter")</f>
        <v>Openrouter</v>
      </c>
      <c r="T1613" s="61" t="str">
        <f>IFERROR(__xludf.DUMMYFUNCTION("INDIRECT(""'收支紀錄'!T""&amp;TO_TEXT(ROW()-$C$72))"),"否")</f>
        <v>否</v>
      </c>
      <c r="U1613" s="62" t="str">
        <f>IFERROR(__xludf.DUMMYFUNCTION("IF(T1613=""是"",TEXTJOIN("""", TRUE, ""$"", TO_TEXT(C1613), S1613),"""")"),"")</f>
        <v/>
      </c>
    </row>
    <row r="1614">
      <c r="A1614" s="58">
        <f>IFERROR(__xludf.DUMMYFUNCTION("INDIRECT(""'收支紀錄'!A""&amp;TO_TEXT(ROW()-$C$72))"),46142.04007449074)</f>
        <v>46142.04007</v>
      </c>
      <c r="B1614" s="59">
        <f>IFERROR(__xludf.DUMMYFUNCTION("IF(ISBLANK(D1614), """", IF(ISDATE(D1614), D1614, IF(D1614=""今天"", A1614, IF(D1614=""昨天 (-1 day)"", A1614-1, IF(D1614=""前天 (-2 days)"", A1614-2, IF(D1614=""明天 (+1 day)"", A1614+1, DATE(LEFT(D1614,4), MID(D1614,5,2), RIGHT(D1614,2))))))))"),46142.04007449074)</f>
        <v>46142.04007</v>
      </c>
      <c r="C1614" s="60">
        <f>IFERROR(__xludf.DUMMYFUNCTION("INDIRECT(""'收支紀錄'!C""&amp;TO_TEXT(ROW()-$C$72))"),174.0)</f>
        <v>174</v>
      </c>
      <c r="D1614" s="63" t="str">
        <f>IFERROR(__xludf.DUMMYFUNCTION("INDIRECT(""'收支紀錄'!D""&amp;TO_TEXT(ROW()-$C$72))"),"今天")</f>
        <v>今天</v>
      </c>
      <c r="E1614" s="61" t="str">
        <f>IFERROR(__xludf.DUMMYFUNCTION("INDIRECT(""'收支紀錄'!E""&amp;TO_TEXT(ROW()-$C$72))"),"")</f>
        <v/>
      </c>
      <c r="F1614" s="61" t="str">
        <f>IFERROR(__xludf.DUMMYFUNCTION("INDIRECT(""'收支紀錄'!F""&amp;TO_TEXT(ROW()-$C$72))"),"")</f>
        <v/>
      </c>
      <c r="G1614" s="61" t="str">
        <f>IFERROR(__xludf.DUMMYFUNCTION("INDIRECT(""'收支紀錄'!G""&amp;TO_TEXT(ROW()-$C$72))"),"")</f>
        <v/>
      </c>
      <c r="H1614" s="61" t="str">
        <f>IFERROR(__xludf.DUMMYFUNCTION("INDIRECT(""'收支紀錄'!H""&amp;TO_TEXT(ROW()-$C$72))"),"行車交通")</f>
        <v>行車交通</v>
      </c>
      <c r="I1614" s="61" t="str">
        <f>IFERROR(__xludf.DUMMYFUNCTION("INDIRECT(""'收支紀錄'!I""&amp;TO_TEXT(ROW()-$C$72))"),"")</f>
        <v/>
      </c>
      <c r="J1614" s="61" t="str">
        <f>IFERROR(__xludf.DUMMYFUNCTION("INDIRECT(""'收支紀錄'!J""&amp;TO_TEXT(ROW()-$C$72))"),"")</f>
        <v/>
      </c>
      <c r="K1614" s="61" t="str">
        <f>IFERROR(__xludf.DUMMYFUNCTION("INDIRECT(""'收支紀錄'!K""&amp;TO_TEXT(ROW()-$C$72))"),"")</f>
        <v/>
      </c>
      <c r="L1614" s="61" t="str">
        <f>IFERROR(__xludf.DUMMYFUNCTION("INDIRECT(""'收支紀錄'!L""&amp;TO_TEXT(ROW()-$C$72))"),"計程車/Uber")</f>
        <v>計程車/Uber</v>
      </c>
      <c r="M1614" s="61" t="str">
        <f>IFERROR(__xludf.DUMMYFUNCTION("INDIRECT(""'收支紀錄'!M""&amp;TO_TEXT(ROW()-$C$72))"),"")</f>
        <v/>
      </c>
      <c r="N1614" s="61" t="str">
        <f>IFERROR(__xludf.DUMMYFUNCTION("INDIRECT(""'收支紀錄'!N""&amp;TO_TEXT(ROW()-$C$72))"),"")</f>
        <v/>
      </c>
      <c r="O1614" s="61" t="str">
        <f>IFERROR(__xludf.DUMMYFUNCTION("INDIRECT(""'收支紀錄'!O""&amp;TO_TEXT(ROW()-$C$72))"),"")</f>
        <v/>
      </c>
      <c r="P1614" s="61" t="str">
        <f>IFERROR(__xludf.DUMMYFUNCTION("INDIRECT(""'收支紀錄'!P""&amp;TO_TEXT(ROW()-$C$72))"),"")</f>
        <v/>
      </c>
      <c r="Q1614" s="61" t="str">
        <f>IFERROR(__xludf.DUMMYFUNCTION("INDIRECT(""'收支紀錄'!Q""&amp;TO_TEXT(ROW()-$C$72))"),"")</f>
        <v/>
      </c>
      <c r="R1614" s="61" t="str">
        <f>IFERROR(__xludf.DUMMYFUNCTION("INDIRECT(""'收支紀錄'!R""&amp;TO_TEXT(ROW()-$C$72))"),"")</f>
        <v/>
      </c>
      <c r="S1614" s="61" t="str">
        <f>IFERROR(__xludf.DUMMYFUNCTION("INDIRECT(""'收支紀錄'!S""&amp;TO_TEXT(ROW()-$C$72))"),"")</f>
        <v/>
      </c>
      <c r="T1614" s="61" t="str">
        <f>IFERROR(__xludf.DUMMYFUNCTION("INDIRECT(""'收支紀錄'!T""&amp;TO_TEXT(ROW()-$C$72))"),"")</f>
        <v/>
      </c>
      <c r="U1614" s="62" t="str">
        <f>IFERROR(__xludf.DUMMYFUNCTION("IF(T1614=""是"",TEXTJOIN("""", TRUE, ""$"", TO_TEXT(C1614), S1614),"""")"),"")</f>
        <v/>
      </c>
    </row>
    <row r="1615">
      <c r="A1615" s="58">
        <f>IFERROR(__xludf.DUMMYFUNCTION("INDIRECT(""'收支紀錄'!A""&amp;TO_TEXT(ROW()-$C$72))"),46143.45887966435)</f>
        <v>46143.45888</v>
      </c>
      <c r="B1615" s="59">
        <f>IFERROR(__xludf.DUMMYFUNCTION("IF(ISBLANK(D1615), """", IF(ISDATE(D1615), D1615, IF(D1615=""今天"", A1615, IF(D1615=""昨天 (-1 day)"", A1615-1, IF(D1615=""前天 (-2 days)"", A1615-2, IF(D1615=""明天 (+1 day)"", A1615+1, DATE(LEFT(D1615,4), MID(D1615,5,2), RIGHT(D1615,2))))))))"),46143.45887966435)</f>
        <v>46143.45888</v>
      </c>
      <c r="C1615" s="60">
        <f>IFERROR(__xludf.DUMMYFUNCTION("INDIRECT(""'收支紀錄'!C""&amp;TO_TEXT(ROW()-$C$72))"),20000.0)</f>
        <v>20000</v>
      </c>
      <c r="D1615" s="63" t="str">
        <f>IFERROR(__xludf.DUMMYFUNCTION("INDIRECT(""'收支紀錄'!D""&amp;TO_TEXT(ROW()-$C$72))"),"今天")</f>
        <v>今天</v>
      </c>
      <c r="E1615" s="61" t="str">
        <f>IFERROR(__xludf.DUMMYFUNCTION("INDIRECT(""'收支紀錄'!E""&amp;TO_TEXT(ROW()-$C$72))"),"")</f>
        <v/>
      </c>
      <c r="F1615" s="61" t="str">
        <f>IFERROR(__xludf.DUMMYFUNCTION("INDIRECT(""'收支紀錄'!F""&amp;TO_TEXT(ROW()-$C$72))"),"")</f>
        <v/>
      </c>
      <c r="G1615" s="61" t="str">
        <f>IFERROR(__xludf.DUMMYFUNCTION("INDIRECT(""'收支紀錄'!G""&amp;TO_TEXT(ROW()-$C$72))"),"")</f>
        <v/>
      </c>
      <c r="H1615" s="61" t="str">
        <f>IFERROR(__xludf.DUMMYFUNCTION("INDIRECT(""'收支紀錄'!H""&amp;TO_TEXT(ROW()-$C$72))"),"房屋支出")</f>
        <v>房屋支出</v>
      </c>
      <c r="I1615" s="61" t="str">
        <f>IFERROR(__xludf.DUMMYFUNCTION("INDIRECT(""'收支紀錄'!I""&amp;TO_TEXT(ROW()-$C$72))"),"")</f>
        <v/>
      </c>
      <c r="J1615" s="61" t="str">
        <f>IFERROR(__xludf.DUMMYFUNCTION("INDIRECT(""'收支紀錄'!J""&amp;TO_TEXT(ROW()-$C$72))"),"")</f>
        <v/>
      </c>
      <c r="K1615" s="61" t="str">
        <f>IFERROR(__xludf.DUMMYFUNCTION("INDIRECT(""'收支紀錄'!K""&amp;TO_TEXT(ROW()-$C$72))"),"文心1房貸代繳")</f>
        <v>文心1房貸代繳</v>
      </c>
      <c r="L1615" s="61" t="str">
        <f>IFERROR(__xludf.DUMMYFUNCTION("INDIRECT(""'收支紀錄'!L""&amp;TO_TEXT(ROW()-$C$72))"),"")</f>
        <v/>
      </c>
      <c r="M1615" s="61" t="str">
        <f>IFERROR(__xludf.DUMMYFUNCTION("INDIRECT(""'收支紀錄'!M""&amp;TO_TEXT(ROW()-$C$72))"),"")</f>
        <v/>
      </c>
      <c r="N1615" s="61" t="str">
        <f>IFERROR(__xludf.DUMMYFUNCTION("INDIRECT(""'收支紀錄'!N""&amp;TO_TEXT(ROW()-$C$72))"),"")</f>
        <v/>
      </c>
      <c r="O1615" s="61" t="str">
        <f>IFERROR(__xludf.DUMMYFUNCTION("INDIRECT(""'收支紀錄'!O""&amp;TO_TEXT(ROW()-$C$72))"),"")</f>
        <v/>
      </c>
      <c r="P1615" s="61" t="str">
        <f>IFERROR(__xludf.DUMMYFUNCTION("INDIRECT(""'收支紀錄'!P""&amp;TO_TEXT(ROW()-$C$72))"),"")</f>
        <v/>
      </c>
      <c r="Q1615" s="61" t="str">
        <f>IFERROR(__xludf.DUMMYFUNCTION("INDIRECT(""'收支紀錄'!Q""&amp;TO_TEXT(ROW()-$C$72))"),"")</f>
        <v/>
      </c>
      <c r="R1615" s="61" t="str">
        <f>IFERROR(__xludf.DUMMYFUNCTION("INDIRECT(""'收支紀錄'!R""&amp;TO_TEXT(ROW()-$C$72))"),"")</f>
        <v/>
      </c>
      <c r="S1615" s="61" t="str">
        <f>IFERROR(__xludf.DUMMYFUNCTION("INDIRECT(""'收支紀錄'!S""&amp;TO_TEXT(ROW()-$C$72))"),"")</f>
        <v/>
      </c>
      <c r="T1615" s="61" t="str">
        <f>IFERROR(__xludf.DUMMYFUNCTION("INDIRECT(""'收支紀錄'!T""&amp;TO_TEXT(ROW()-$C$72))"),"")</f>
        <v/>
      </c>
      <c r="U1615" s="62" t="str">
        <f>IFERROR(__xludf.DUMMYFUNCTION("IF(T1615=""是"",TEXTJOIN("""", TRUE, ""$"", TO_TEXT(C1615), S1615),"""")"),"")</f>
        <v/>
      </c>
    </row>
    <row r="1616">
      <c r="A1616" s="58">
        <f>IFERROR(__xludf.DUMMYFUNCTION("INDIRECT(""'收支紀錄'!A""&amp;TO_TEXT(ROW()-$C$72))"),46143.45903762731)</f>
        <v>46143.45904</v>
      </c>
      <c r="B1616" s="59">
        <f>IFERROR(__xludf.DUMMYFUNCTION("IF(ISBLANK(D1616), """", IF(ISDATE(D1616), D1616, IF(D1616=""今天"", A1616, IF(D1616=""昨天 (-1 day)"", A1616-1, IF(D1616=""前天 (-2 days)"", A1616-2, IF(D1616=""明天 (+1 day)"", A1616+1, DATE(LEFT(D1616,4), MID(D1616,5,2), RIGHT(D1616,2))))))))"),46143.45903762731)</f>
        <v>46143.45904</v>
      </c>
      <c r="C1616" s="60">
        <f>IFERROR(__xludf.DUMMYFUNCTION("INDIRECT(""'收支紀錄'!C""&amp;TO_TEXT(ROW()-$C$72))"),6000.0)</f>
        <v>6000</v>
      </c>
      <c r="D1616" s="63" t="str">
        <f>IFERROR(__xludf.DUMMYFUNCTION("INDIRECT(""'收支紀錄'!D""&amp;TO_TEXT(ROW()-$C$72))"),"今天")</f>
        <v>今天</v>
      </c>
      <c r="E1616" s="61" t="str">
        <f>IFERROR(__xludf.DUMMYFUNCTION("INDIRECT(""'收支紀錄'!E""&amp;TO_TEXT(ROW()-$C$72))"),"")</f>
        <v/>
      </c>
      <c r="F1616" s="61" t="str">
        <f>IFERROR(__xludf.DUMMYFUNCTION("INDIRECT(""'收支紀錄'!F""&amp;TO_TEXT(ROW()-$C$72))"),"")</f>
        <v/>
      </c>
      <c r="G1616" s="61" t="str">
        <f>IFERROR(__xludf.DUMMYFUNCTION("INDIRECT(""'收支紀錄'!G""&amp;TO_TEXT(ROW()-$C$72))"),"")</f>
        <v/>
      </c>
      <c r="H1616" s="61" t="str">
        <f>IFERROR(__xludf.DUMMYFUNCTION("INDIRECT(""'收支紀錄'!H""&amp;TO_TEXT(ROW()-$C$72))"),"房屋支出")</f>
        <v>房屋支出</v>
      </c>
      <c r="I1616" s="61" t="str">
        <f>IFERROR(__xludf.DUMMYFUNCTION("INDIRECT(""'收支紀錄'!I""&amp;TO_TEXT(ROW()-$C$72))"),"")</f>
        <v/>
      </c>
      <c r="J1616" s="61" t="str">
        <f>IFERROR(__xludf.DUMMYFUNCTION("INDIRECT(""'收支紀錄'!J""&amp;TO_TEXT(ROW()-$C$72))"),"")</f>
        <v/>
      </c>
      <c r="K1616" s="61" t="str">
        <f>IFERROR(__xludf.DUMMYFUNCTION("INDIRECT(""'收支紀錄'!K""&amp;TO_TEXT(ROW()-$C$72))"),"租屋")</f>
        <v>租屋</v>
      </c>
      <c r="L1616" s="61" t="str">
        <f>IFERROR(__xludf.DUMMYFUNCTION("INDIRECT(""'收支紀錄'!L""&amp;TO_TEXT(ROW()-$C$72))"),"")</f>
        <v/>
      </c>
      <c r="M1616" s="61" t="str">
        <f>IFERROR(__xludf.DUMMYFUNCTION("INDIRECT(""'收支紀錄'!M""&amp;TO_TEXT(ROW()-$C$72))"),"")</f>
        <v/>
      </c>
      <c r="N1616" s="61" t="str">
        <f>IFERROR(__xludf.DUMMYFUNCTION("INDIRECT(""'收支紀錄'!N""&amp;TO_TEXT(ROW()-$C$72))"),"")</f>
        <v/>
      </c>
      <c r="O1616" s="61" t="str">
        <f>IFERROR(__xludf.DUMMYFUNCTION("INDIRECT(""'收支紀錄'!O""&amp;TO_TEXT(ROW()-$C$72))"),"")</f>
        <v/>
      </c>
      <c r="P1616" s="61" t="str">
        <f>IFERROR(__xludf.DUMMYFUNCTION("INDIRECT(""'收支紀錄'!P""&amp;TO_TEXT(ROW()-$C$72))"),"")</f>
        <v/>
      </c>
      <c r="Q1616" s="61" t="str">
        <f>IFERROR(__xludf.DUMMYFUNCTION("INDIRECT(""'收支紀錄'!Q""&amp;TO_TEXT(ROW()-$C$72))"),"")</f>
        <v/>
      </c>
      <c r="R1616" s="61" t="str">
        <f>IFERROR(__xludf.DUMMYFUNCTION("INDIRECT(""'收支紀錄'!R""&amp;TO_TEXT(ROW()-$C$72))"),"")</f>
        <v/>
      </c>
      <c r="S1616" s="61" t="str">
        <f>IFERROR(__xludf.DUMMYFUNCTION("INDIRECT(""'收支紀錄'!S""&amp;TO_TEXT(ROW()-$C$72))"),"")</f>
        <v/>
      </c>
      <c r="T1616" s="61" t="str">
        <f>IFERROR(__xludf.DUMMYFUNCTION("INDIRECT(""'收支紀錄'!T""&amp;TO_TEXT(ROW()-$C$72))"),"")</f>
        <v/>
      </c>
      <c r="U1616" s="62" t="str">
        <f>IFERROR(__xludf.DUMMYFUNCTION("IF(T1616=""是"",TEXTJOIN("""", TRUE, ""$"", TO_TEXT(C1616), S1616),"""")"),"")</f>
        <v/>
      </c>
    </row>
    <row r="1617">
      <c r="A1617" s="58">
        <f>IFERROR(__xludf.DUMMYFUNCTION("INDIRECT(""'收支紀錄'!A""&amp;TO_TEXT(ROW()-$C$72))"),46143.45923091435)</f>
        <v>46143.45923</v>
      </c>
      <c r="B1617" s="59">
        <f>IFERROR(__xludf.DUMMYFUNCTION("IF(ISBLANK(D1617), """", IF(ISDATE(D1617), D1617, IF(D1617=""今天"", A1617, IF(D1617=""昨天 (-1 day)"", A1617-1, IF(D1617=""前天 (-2 days)"", A1617-2, IF(D1617=""明天 (+1 day)"", A1617+1, DATE(LEFT(D1617,4), MID(D1617,5,2), RIGHT(D1617,2))))))))"),46143.45923091435)</f>
        <v>46143.45923</v>
      </c>
      <c r="C1617" s="60">
        <f>IFERROR(__xludf.DUMMYFUNCTION("INDIRECT(""'收支紀錄'!C""&amp;TO_TEXT(ROW()-$C$72))"),6000.0)</f>
        <v>6000</v>
      </c>
      <c r="D1617" s="63" t="str">
        <f>IFERROR(__xludf.DUMMYFUNCTION("INDIRECT(""'收支紀錄'!D""&amp;TO_TEXT(ROW()-$C$72))"),"今天")</f>
        <v>今天</v>
      </c>
      <c r="E1617" s="61" t="str">
        <f>IFERROR(__xludf.DUMMYFUNCTION("INDIRECT(""'收支紀錄'!E""&amp;TO_TEXT(ROW()-$C$72))"),"其他業外")</f>
        <v>其他業外</v>
      </c>
      <c r="F1617" s="61" t="str">
        <f>IFERROR(__xludf.DUMMYFUNCTION("INDIRECT(""'收支紀錄'!F""&amp;TO_TEXT(ROW()-$C$72))"),"")</f>
        <v/>
      </c>
      <c r="G1617" s="61" t="str">
        <f>IFERROR(__xludf.DUMMYFUNCTION("INDIRECT(""'收支紀錄'!G""&amp;TO_TEXT(ROW()-$C$72))"),"房屋補貼")</f>
        <v>房屋補貼</v>
      </c>
      <c r="H1617" s="61" t="str">
        <f>IFERROR(__xludf.DUMMYFUNCTION("INDIRECT(""'收支紀錄'!H""&amp;TO_TEXT(ROW()-$C$72))"),"")</f>
        <v/>
      </c>
      <c r="I1617" s="61" t="str">
        <f>IFERROR(__xludf.DUMMYFUNCTION("INDIRECT(""'收支紀錄'!I""&amp;TO_TEXT(ROW()-$C$72))"),"")</f>
        <v/>
      </c>
      <c r="J1617" s="61" t="str">
        <f>IFERROR(__xludf.DUMMYFUNCTION("INDIRECT(""'收支紀錄'!J""&amp;TO_TEXT(ROW()-$C$72))"),"")</f>
        <v/>
      </c>
      <c r="K1617" s="61" t="str">
        <f>IFERROR(__xludf.DUMMYFUNCTION("INDIRECT(""'收支紀錄'!K""&amp;TO_TEXT(ROW()-$C$72))"),"")</f>
        <v/>
      </c>
      <c r="L1617" s="61" t="str">
        <f>IFERROR(__xludf.DUMMYFUNCTION("INDIRECT(""'收支紀錄'!L""&amp;TO_TEXT(ROW()-$C$72))"),"")</f>
        <v/>
      </c>
      <c r="M1617" s="61" t="str">
        <f>IFERROR(__xludf.DUMMYFUNCTION("INDIRECT(""'收支紀錄'!M""&amp;TO_TEXT(ROW()-$C$72))"),"")</f>
        <v/>
      </c>
      <c r="N1617" s="61" t="str">
        <f>IFERROR(__xludf.DUMMYFUNCTION("INDIRECT(""'收支紀錄'!N""&amp;TO_TEXT(ROW()-$C$72))"),"")</f>
        <v/>
      </c>
      <c r="O1617" s="61" t="str">
        <f>IFERROR(__xludf.DUMMYFUNCTION("INDIRECT(""'收支紀錄'!O""&amp;TO_TEXT(ROW()-$C$72))"),"")</f>
        <v/>
      </c>
      <c r="P1617" s="61" t="str">
        <f>IFERROR(__xludf.DUMMYFUNCTION("INDIRECT(""'收支紀錄'!P""&amp;TO_TEXT(ROW()-$C$72))"),"")</f>
        <v/>
      </c>
      <c r="Q1617" s="61" t="str">
        <f>IFERROR(__xludf.DUMMYFUNCTION("INDIRECT(""'收支紀錄'!Q""&amp;TO_TEXT(ROW()-$C$72))"),"")</f>
        <v/>
      </c>
      <c r="R1617" s="61" t="str">
        <f>IFERROR(__xludf.DUMMYFUNCTION("INDIRECT(""'收支紀錄'!R""&amp;TO_TEXT(ROW()-$C$72))"),"")</f>
        <v/>
      </c>
      <c r="S1617" s="61" t="str">
        <f>IFERROR(__xludf.DUMMYFUNCTION("INDIRECT(""'收支紀錄'!S""&amp;TO_TEXT(ROW()-$C$72))"),"")</f>
        <v/>
      </c>
      <c r="T1617" s="61" t="str">
        <f>IFERROR(__xludf.DUMMYFUNCTION("INDIRECT(""'收支紀錄'!T""&amp;TO_TEXT(ROW()-$C$72))"),"")</f>
        <v/>
      </c>
      <c r="U1617" s="62" t="str">
        <f>IFERROR(__xludf.DUMMYFUNCTION("IF(T1617=""是"",TEXTJOIN("""", TRUE, ""$"", TO_TEXT(C1617), S1617),"""")"),"")</f>
        <v/>
      </c>
    </row>
    <row r="1618">
      <c r="A1618" s="58">
        <f>IFERROR(__xludf.DUMMYFUNCTION("INDIRECT(""'收支紀錄'!A""&amp;TO_TEXT(ROW()-$C$72))"),46143.77587087963)</f>
        <v>46143.77587</v>
      </c>
      <c r="B1618" s="59">
        <f>IFERROR(__xludf.DUMMYFUNCTION("IF(ISBLANK(D1618), """", IF(ISDATE(D1618), D1618, IF(D1618=""今天"", A1618, IF(D1618=""昨天 (-1 day)"", A1618-1, IF(D1618=""前天 (-2 days)"", A1618-2, IF(D1618=""明天 (+1 day)"", A1618+1, DATE(LEFT(D1618,4), MID(D1618,5,2), RIGHT(D1618,2))))))))"),46143.77587087963)</f>
        <v>46143.77587</v>
      </c>
      <c r="C1618" s="60">
        <f>IFERROR(__xludf.DUMMYFUNCTION("INDIRECT(""'收支紀錄'!C""&amp;TO_TEXT(ROW()-$C$72))"),570.0)</f>
        <v>570</v>
      </c>
      <c r="D1618" s="63" t="str">
        <f>IFERROR(__xludf.DUMMYFUNCTION("INDIRECT(""'收支紀錄'!D""&amp;TO_TEXT(ROW()-$C$72))"),"今天")</f>
        <v>今天</v>
      </c>
      <c r="E1618" s="61" t="str">
        <f>IFERROR(__xludf.DUMMYFUNCTION("INDIRECT(""'收支紀錄'!E""&amp;TO_TEXT(ROW()-$C$72))"),"")</f>
        <v/>
      </c>
      <c r="F1618" s="61" t="str">
        <f>IFERROR(__xludf.DUMMYFUNCTION("INDIRECT(""'收支紀錄'!F""&amp;TO_TEXT(ROW()-$C$72))"),"")</f>
        <v/>
      </c>
      <c r="G1618" s="61" t="str">
        <f>IFERROR(__xludf.DUMMYFUNCTION("INDIRECT(""'收支紀錄'!G""&amp;TO_TEXT(ROW()-$C$72))"),"")</f>
        <v/>
      </c>
      <c r="H1618" s="61" t="str">
        <f>IFERROR(__xludf.DUMMYFUNCTION("INDIRECT(""'收支紀錄'!H""&amp;TO_TEXT(ROW()-$C$72))"),"食品酒水")</f>
        <v>食品酒水</v>
      </c>
      <c r="I1618" s="61" t="str">
        <f>IFERROR(__xludf.DUMMYFUNCTION("INDIRECT(""'收支紀錄'!I""&amp;TO_TEXT(ROW()-$C$72))"),"午餐")</f>
        <v>午餐</v>
      </c>
      <c r="J1618" s="61" t="str">
        <f>IFERROR(__xludf.DUMMYFUNCTION("INDIRECT(""'收支紀錄'!J""&amp;TO_TEXT(ROW()-$C$72))"),"")</f>
        <v/>
      </c>
      <c r="K1618" s="61" t="str">
        <f>IFERROR(__xludf.DUMMYFUNCTION("INDIRECT(""'收支紀錄'!K""&amp;TO_TEXT(ROW()-$C$72))"),"")</f>
        <v/>
      </c>
      <c r="L1618" s="61" t="str">
        <f>IFERROR(__xludf.DUMMYFUNCTION("INDIRECT(""'收支紀錄'!L""&amp;TO_TEXT(ROW()-$C$72))"),"")</f>
        <v/>
      </c>
      <c r="M1618" s="61" t="str">
        <f>IFERROR(__xludf.DUMMYFUNCTION("INDIRECT(""'收支紀錄'!M""&amp;TO_TEXT(ROW()-$C$72))"),"")</f>
        <v/>
      </c>
      <c r="N1618" s="61" t="str">
        <f>IFERROR(__xludf.DUMMYFUNCTION("INDIRECT(""'收支紀錄'!N""&amp;TO_TEXT(ROW()-$C$72))"),"")</f>
        <v/>
      </c>
      <c r="O1618" s="61" t="str">
        <f>IFERROR(__xludf.DUMMYFUNCTION("INDIRECT(""'收支紀錄'!O""&amp;TO_TEXT(ROW()-$C$72))"),"")</f>
        <v/>
      </c>
      <c r="P1618" s="61" t="str">
        <f>IFERROR(__xludf.DUMMYFUNCTION("INDIRECT(""'收支紀錄'!P""&amp;TO_TEXT(ROW()-$C$72))"),"")</f>
        <v/>
      </c>
      <c r="Q1618" s="61" t="str">
        <f>IFERROR(__xludf.DUMMYFUNCTION("INDIRECT(""'收支紀錄'!Q""&amp;TO_TEXT(ROW()-$C$72))"),"")</f>
        <v/>
      </c>
      <c r="R1618" s="61" t="str">
        <f>IFERROR(__xludf.DUMMYFUNCTION("INDIRECT(""'收支紀錄'!R""&amp;TO_TEXT(ROW()-$C$72))"),"")</f>
        <v/>
      </c>
      <c r="S1618" s="61" t="str">
        <f>IFERROR(__xludf.DUMMYFUNCTION("INDIRECT(""'收支紀錄'!S""&amp;TO_TEXT(ROW()-$C$72))"),"")</f>
        <v/>
      </c>
      <c r="T1618" s="61" t="str">
        <f>IFERROR(__xludf.DUMMYFUNCTION("INDIRECT(""'收支紀錄'!T""&amp;TO_TEXT(ROW()-$C$72))"),"")</f>
        <v/>
      </c>
      <c r="U1618" s="62" t="str">
        <f>IFERROR(__xludf.DUMMYFUNCTION("IF(T1618=""是"",TEXTJOIN("""", TRUE, ""$"", TO_TEXT(C1618), S1618),"""")"),"")</f>
        <v/>
      </c>
    </row>
    <row r="1619">
      <c r="A1619" s="58">
        <f>IFERROR(__xludf.DUMMYFUNCTION("INDIRECT(""'收支紀錄'!A""&amp;TO_TEXT(ROW()-$C$72))"),46143.776018958335)</f>
        <v>46143.77602</v>
      </c>
      <c r="B1619" s="59">
        <f>IFERROR(__xludf.DUMMYFUNCTION("IF(ISBLANK(D1619), """", IF(ISDATE(D1619), D1619, IF(D1619=""今天"", A1619, IF(D1619=""昨天 (-1 day)"", A1619-1, IF(D1619=""前天 (-2 days)"", A1619-2, IF(D1619=""明天 (+1 day)"", A1619+1, DATE(LEFT(D1619,4), MID(D1619,5,2), RIGHT(D1619,2))))))))"),46143.776018958335)</f>
        <v>46143.77602</v>
      </c>
      <c r="C1619" s="60">
        <f>IFERROR(__xludf.DUMMYFUNCTION("INDIRECT(""'收支紀錄'!C""&amp;TO_TEXT(ROW()-$C$72))"),919.0)</f>
        <v>919</v>
      </c>
      <c r="D1619" s="63" t="str">
        <f>IFERROR(__xludf.DUMMYFUNCTION("INDIRECT(""'收支紀錄'!D""&amp;TO_TEXT(ROW()-$C$72))"),"今天")</f>
        <v>今天</v>
      </c>
      <c r="E1619" s="61" t="str">
        <f>IFERROR(__xludf.DUMMYFUNCTION("INDIRECT(""'收支紀錄'!E""&amp;TO_TEXT(ROW()-$C$72))"),"")</f>
        <v/>
      </c>
      <c r="F1619" s="61" t="str">
        <f>IFERROR(__xludf.DUMMYFUNCTION("INDIRECT(""'收支紀錄'!F""&amp;TO_TEXT(ROW()-$C$72))"),"")</f>
        <v/>
      </c>
      <c r="G1619" s="61" t="str">
        <f>IFERROR(__xludf.DUMMYFUNCTION("INDIRECT(""'收支紀錄'!G""&amp;TO_TEXT(ROW()-$C$72))"),"")</f>
        <v/>
      </c>
      <c r="H1619" s="61" t="str">
        <f>IFERROR(__xludf.DUMMYFUNCTION("INDIRECT(""'收支紀錄'!H""&amp;TO_TEXT(ROW()-$C$72))"),"行車交通")</f>
        <v>行車交通</v>
      </c>
      <c r="I1619" s="61" t="str">
        <f>IFERROR(__xludf.DUMMYFUNCTION("INDIRECT(""'收支紀錄'!I""&amp;TO_TEXT(ROW()-$C$72))"),"")</f>
        <v/>
      </c>
      <c r="J1619" s="61" t="str">
        <f>IFERROR(__xludf.DUMMYFUNCTION("INDIRECT(""'收支紀錄'!J""&amp;TO_TEXT(ROW()-$C$72))"),"")</f>
        <v/>
      </c>
      <c r="K1619" s="61" t="str">
        <f>IFERROR(__xludf.DUMMYFUNCTION("INDIRECT(""'收支紀錄'!K""&amp;TO_TEXT(ROW()-$C$72))"),"")</f>
        <v/>
      </c>
      <c r="L1619" s="61" t="str">
        <f>IFERROR(__xludf.DUMMYFUNCTION("INDIRECT(""'收支紀錄'!L""&amp;TO_TEXT(ROW()-$C$72))"),"加油")</f>
        <v>加油</v>
      </c>
      <c r="M1619" s="61" t="str">
        <f>IFERROR(__xludf.DUMMYFUNCTION("INDIRECT(""'收支紀錄'!M""&amp;TO_TEXT(ROW()-$C$72))"),"")</f>
        <v/>
      </c>
      <c r="N1619" s="61" t="str">
        <f>IFERROR(__xludf.DUMMYFUNCTION("INDIRECT(""'收支紀錄'!N""&amp;TO_TEXT(ROW()-$C$72))"),"")</f>
        <v/>
      </c>
      <c r="O1619" s="61" t="str">
        <f>IFERROR(__xludf.DUMMYFUNCTION("INDIRECT(""'收支紀錄'!O""&amp;TO_TEXT(ROW()-$C$72))"),"")</f>
        <v/>
      </c>
      <c r="P1619" s="61" t="str">
        <f>IFERROR(__xludf.DUMMYFUNCTION("INDIRECT(""'收支紀錄'!P""&amp;TO_TEXT(ROW()-$C$72))"),"")</f>
        <v/>
      </c>
      <c r="Q1619" s="61" t="str">
        <f>IFERROR(__xludf.DUMMYFUNCTION("INDIRECT(""'收支紀錄'!Q""&amp;TO_TEXT(ROW()-$C$72))"),"")</f>
        <v/>
      </c>
      <c r="R1619" s="61" t="str">
        <f>IFERROR(__xludf.DUMMYFUNCTION("INDIRECT(""'收支紀錄'!R""&amp;TO_TEXT(ROW()-$C$72))"),"")</f>
        <v/>
      </c>
      <c r="S1619" s="61" t="str">
        <f>IFERROR(__xludf.DUMMYFUNCTION("INDIRECT(""'收支紀錄'!S""&amp;TO_TEXT(ROW()-$C$72))"),"")</f>
        <v/>
      </c>
      <c r="T1619" s="61" t="str">
        <f>IFERROR(__xludf.DUMMYFUNCTION("INDIRECT(""'收支紀錄'!T""&amp;TO_TEXT(ROW()-$C$72))"),"")</f>
        <v/>
      </c>
      <c r="U1619" s="62" t="str">
        <f>IFERROR(__xludf.DUMMYFUNCTION("IF(T1619=""是"",TEXTJOIN("""", TRUE, ""$"", TO_TEXT(C1619), S1619),"""")"),"")</f>
        <v/>
      </c>
    </row>
    <row r="1620">
      <c r="A1620" s="58">
        <f>IFERROR(__xludf.DUMMYFUNCTION("INDIRECT(""'收支紀錄'!A""&amp;TO_TEXT(ROW()-$C$72))"),46143.776182118054)</f>
        <v>46143.77618</v>
      </c>
      <c r="B1620" s="59">
        <f>IFERROR(__xludf.DUMMYFUNCTION("IF(ISBLANK(D1620), """", IF(ISDATE(D1620), D1620, IF(D1620=""今天"", A1620, IF(D1620=""昨天 (-1 day)"", A1620-1, IF(D1620=""前天 (-2 days)"", A1620-2, IF(D1620=""明天 (+1 day)"", A1620+1, DATE(LEFT(D1620,4), MID(D1620,5,2), RIGHT(D1620,2))))))))"),46143.776182118054)</f>
        <v>46143.77618</v>
      </c>
      <c r="C1620" s="60">
        <f>IFERROR(__xludf.DUMMYFUNCTION("INDIRECT(""'收支紀錄'!C""&amp;TO_TEXT(ROW()-$C$72))"),30.0)</f>
        <v>30</v>
      </c>
      <c r="D1620" s="63" t="str">
        <f>IFERROR(__xludf.DUMMYFUNCTION("INDIRECT(""'收支紀錄'!D""&amp;TO_TEXT(ROW()-$C$72))"),"今天")</f>
        <v>今天</v>
      </c>
      <c r="E1620" s="61" t="str">
        <f>IFERROR(__xludf.DUMMYFUNCTION("INDIRECT(""'收支紀錄'!E""&amp;TO_TEXT(ROW()-$C$72))"),"")</f>
        <v/>
      </c>
      <c r="F1620" s="61" t="str">
        <f>IFERROR(__xludf.DUMMYFUNCTION("INDIRECT(""'收支紀錄'!F""&amp;TO_TEXT(ROW()-$C$72))"),"")</f>
        <v/>
      </c>
      <c r="G1620" s="61" t="str">
        <f>IFERROR(__xludf.DUMMYFUNCTION("INDIRECT(""'收支紀錄'!G""&amp;TO_TEXT(ROW()-$C$72))"),"")</f>
        <v/>
      </c>
      <c r="H1620" s="61" t="str">
        <f>IFERROR(__xludf.DUMMYFUNCTION("INDIRECT(""'收支紀錄'!H""&amp;TO_TEXT(ROW()-$C$72))"),"行車交通")</f>
        <v>行車交通</v>
      </c>
      <c r="I1620" s="61" t="str">
        <f>IFERROR(__xludf.DUMMYFUNCTION("INDIRECT(""'收支紀錄'!I""&amp;TO_TEXT(ROW()-$C$72))"),"")</f>
        <v/>
      </c>
      <c r="J1620" s="61" t="str">
        <f>IFERROR(__xludf.DUMMYFUNCTION("INDIRECT(""'收支紀錄'!J""&amp;TO_TEXT(ROW()-$C$72))"),"")</f>
        <v/>
      </c>
      <c r="K1620" s="61" t="str">
        <f>IFERROR(__xludf.DUMMYFUNCTION("INDIRECT(""'收支紀錄'!K""&amp;TO_TEXT(ROW()-$C$72))"),"")</f>
        <v/>
      </c>
      <c r="L1620" s="61" t="str">
        <f>IFERROR(__xludf.DUMMYFUNCTION("INDIRECT(""'收支紀錄'!L""&amp;TO_TEXT(ROW()-$C$72))"),"其他(洗車,罰單,配件)")</f>
        <v>其他(洗車,罰單,配件)</v>
      </c>
      <c r="M1620" s="61" t="str">
        <f>IFERROR(__xludf.DUMMYFUNCTION("INDIRECT(""'收支紀錄'!M""&amp;TO_TEXT(ROW()-$C$72))"),"")</f>
        <v/>
      </c>
      <c r="N1620" s="61" t="str">
        <f>IFERROR(__xludf.DUMMYFUNCTION("INDIRECT(""'收支紀錄'!N""&amp;TO_TEXT(ROW()-$C$72))"),"")</f>
        <v/>
      </c>
      <c r="O1620" s="61" t="str">
        <f>IFERROR(__xludf.DUMMYFUNCTION("INDIRECT(""'收支紀錄'!O""&amp;TO_TEXT(ROW()-$C$72))"),"")</f>
        <v/>
      </c>
      <c r="P1620" s="61" t="str">
        <f>IFERROR(__xludf.DUMMYFUNCTION("INDIRECT(""'收支紀錄'!P""&amp;TO_TEXT(ROW()-$C$72))"),"")</f>
        <v/>
      </c>
      <c r="Q1620" s="61" t="str">
        <f>IFERROR(__xludf.DUMMYFUNCTION("INDIRECT(""'收支紀錄'!Q""&amp;TO_TEXT(ROW()-$C$72))"),"")</f>
        <v/>
      </c>
      <c r="R1620" s="61" t="str">
        <f>IFERROR(__xludf.DUMMYFUNCTION("INDIRECT(""'收支紀錄'!R""&amp;TO_TEXT(ROW()-$C$72))"),"")</f>
        <v/>
      </c>
      <c r="S1620" s="61" t="str">
        <f>IFERROR(__xludf.DUMMYFUNCTION("INDIRECT(""'收支紀錄'!S""&amp;TO_TEXT(ROW()-$C$72))"),"")</f>
        <v/>
      </c>
      <c r="T1620" s="61" t="str">
        <f>IFERROR(__xludf.DUMMYFUNCTION("INDIRECT(""'收支紀錄'!T""&amp;TO_TEXT(ROW()-$C$72))"),"")</f>
        <v/>
      </c>
      <c r="U1620" s="62" t="str">
        <f>IFERROR(__xludf.DUMMYFUNCTION("IF(T1620=""是"",TEXTJOIN("""", TRUE, ""$"", TO_TEXT(C1620), S1620),"""")"),"")</f>
        <v/>
      </c>
    </row>
    <row r="1621">
      <c r="A1621" s="58">
        <f>IFERROR(__xludf.DUMMYFUNCTION("INDIRECT(""'收支紀錄'!A""&amp;TO_TEXT(ROW()-$C$72))"),46143.77668122685)</f>
        <v>46143.77668</v>
      </c>
      <c r="B1621" s="59">
        <f>IFERROR(__xludf.DUMMYFUNCTION("IF(ISBLANK(D1621), """", IF(ISDATE(D1621), D1621, IF(D1621=""今天"", A1621, IF(D1621=""昨天 (-1 day)"", A1621-1, IF(D1621=""前天 (-2 days)"", A1621-2, IF(D1621=""明天 (+1 day)"", A1621+1, DATE(LEFT(D1621,4), MID(D1621,5,2), RIGHT(D1621,2))))))))"),46143.77668122685)</f>
        <v>46143.77668</v>
      </c>
      <c r="C1621" s="60">
        <f>IFERROR(__xludf.DUMMYFUNCTION("INDIRECT(""'收支紀錄'!C""&amp;TO_TEXT(ROW()-$C$72))"),240.0)</f>
        <v>240</v>
      </c>
      <c r="D1621" s="63" t="str">
        <f>IFERROR(__xludf.DUMMYFUNCTION("INDIRECT(""'收支紀錄'!D""&amp;TO_TEXT(ROW()-$C$72))"),"今天")</f>
        <v>今天</v>
      </c>
      <c r="E1621" s="61" t="str">
        <f>IFERROR(__xludf.DUMMYFUNCTION("INDIRECT(""'收支紀錄'!E""&amp;TO_TEXT(ROW()-$C$72))"),"")</f>
        <v/>
      </c>
      <c r="F1621" s="61" t="str">
        <f>IFERROR(__xludf.DUMMYFUNCTION("INDIRECT(""'收支紀錄'!F""&amp;TO_TEXT(ROW()-$C$72))"),"")</f>
        <v/>
      </c>
      <c r="G1621" s="61" t="str">
        <f>IFERROR(__xludf.DUMMYFUNCTION("INDIRECT(""'收支紀錄'!G""&amp;TO_TEXT(ROW()-$C$72))"),"")</f>
        <v/>
      </c>
      <c r="H1621" s="61" t="str">
        <f>IFERROR(__xludf.DUMMYFUNCTION("INDIRECT(""'收支紀錄'!H""&amp;TO_TEXT(ROW()-$C$72))"),"食品酒水")</f>
        <v>食品酒水</v>
      </c>
      <c r="I1621" s="61" t="str">
        <f>IFERROR(__xludf.DUMMYFUNCTION("INDIRECT(""'收支紀錄'!I""&amp;TO_TEXT(ROW()-$C$72))"),"食材")</f>
        <v>食材</v>
      </c>
      <c r="J1621" s="61" t="str">
        <f>IFERROR(__xludf.DUMMYFUNCTION("INDIRECT(""'收支紀錄'!J""&amp;TO_TEXT(ROW()-$C$72))"),"")</f>
        <v/>
      </c>
      <c r="K1621" s="61" t="str">
        <f>IFERROR(__xludf.DUMMYFUNCTION("INDIRECT(""'收支紀錄'!K""&amp;TO_TEXT(ROW()-$C$72))"),"")</f>
        <v/>
      </c>
      <c r="L1621" s="61" t="str">
        <f>IFERROR(__xludf.DUMMYFUNCTION("INDIRECT(""'收支紀錄'!L""&amp;TO_TEXT(ROW()-$C$72))"),"")</f>
        <v/>
      </c>
      <c r="M1621" s="61" t="str">
        <f>IFERROR(__xludf.DUMMYFUNCTION("INDIRECT(""'收支紀錄'!M""&amp;TO_TEXT(ROW()-$C$72))"),"")</f>
        <v/>
      </c>
      <c r="N1621" s="61" t="str">
        <f>IFERROR(__xludf.DUMMYFUNCTION("INDIRECT(""'收支紀錄'!N""&amp;TO_TEXT(ROW()-$C$72))"),"")</f>
        <v/>
      </c>
      <c r="O1621" s="61" t="str">
        <f>IFERROR(__xludf.DUMMYFUNCTION("INDIRECT(""'收支紀錄'!O""&amp;TO_TEXT(ROW()-$C$72))"),"")</f>
        <v/>
      </c>
      <c r="P1621" s="61" t="str">
        <f>IFERROR(__xludf.DUMMYFUNCTION("INDIRECT(""'收支紀錄'!P""&amp;TO_TEXT(ROW()-$C$72))"),"")</f>
        <v/>
      </c>
      <c r="Q1621" s="61" t="str">
        <f>IFERROR(__xludf.DUMMYFUNCTION("INDIRECT(""'收支紀錄'!Q""&amp;TO_TEXT(ROW()-$C$72))"),"")</f>
        <v/>
      </c>
      <c r="R1621" s="61" t="str">
        <f>IFERROR(__xludf.DUMMYFUNCTION("INDIRECT(""'收支紀錄'!R""&amp;TO_TEXT(ROW()-$C$72))"),"")</f>
        <v/>
      </c>
      <c r="S1621" s="61" t="str">
        <f>IFERROR(__xludf.DUMMYFUNCTION("INDIRECT(""'收支紀錄'!S""&amp;TO_TEXT(ROW()-$C$72))"),"")</f>
        <v/>
      </c>
      <c r="T1621" s="61" t="str">
        <f>IFERROR(__xludf.DUMMYFUNCTION("INDIRECT(""'收支紀錄'!T""&amp;TO_TEXT(ROW()-$C$72))"),"")</f>
        <v/>
      </c>
      <c r="U1621" s="62" t="str">
        <f>IFERROR(__xludf.DUMMYFUNCTION("IF(T1621=""是"",TEXTJOIN("""", TRUE, ""$"", TO_TEXT(C1621), S1621),"""")"),"")</f>
        <v/>
      </c>
    </row>
    <row r="1622">
      <c r="A1622" s="58">
        <f>IFERROR(__xludf.DUMMYFUNCTION("INDIRECT(""'收支紀錄'!A""&amp;TO_TEXT(ROW()-$C$72))"),46144.07704174769)</f>
        <v>46144.07704</v>
      </c>
      <c r="B1622" s="59">
        <f>IFERROR(__xludf.DUMMYFUNCTION("IF(ISBLANK(D1622), """", IF(ISDATE(D1622), D1622, IF(D1622=""今天"", A1622, IF(D1622=""昨天 (-1 day)"", A1622-1, IF(D1622=""前天 (-2 days)"", A1622-2, IF(D1622=""明天 (+1 day)"", A1622+1, DATE(LEFT(D1622,4), MID(D1622,5,2), RIGHT(D1622,2))))))))"),46143.07704174769)</f>
        <v>46143.07704</v>
      </c>
      <c r="C1622" s="60">
        <f>IFERROR(__xludf.DUMMYFUNCTION("INDIRECT(""'收支紀錄'!C""&amp;TO_TEXT(ROW()-$C$72))"),78.0)</f>
        <v>78</v>
      </c>
      <c r="D1622" s="63" t="str">
        <f>IFERROR(__xludf.DUMMYFUNCTION("INDIRECT(""'收支紀錄'!D""&amp;TO_TEXT(ROW()-$C$72))"),"昨天 (-1 day)")</f>
        <v>昨天 (-1 day)</v>
      </c>
      <c r="E1622" s="61" t="str">
        <f>IFERROR(__xludf.DUMMYFUNCTION("INDIRECT(""'收支紀錄'!E""&amp;TO_TEXT(ROW()-$C$72))"),"")</f>
        <v/>
      </c>
      <c r="F1622" s="61" t="str">
        <f>IFERROR(__xludf.DUMMYFUNCTION("INDIRECT(""'收支紀錄'!F""&amp;TO_TEXT(ROW()-$C$72))"),"")</f>
        <v/>
      </c>
      <c r="G1622" s="61" t="str">
        <f>IFERROR(__xludf.DUMMYFUNCTION("INDIRECT(""'收支紀錄'!G""&amp;TO_TEXT(ROW()-$C$72))"),"")</f>
        <v/>
      </c>
      <c r="H1622" s="61" t="str">
        <f>IFERROR(__xludf.DUMMYFUNCTION("INDIRECT(""'收支紀錄'!H""&amp;TO_TEXT(ROW()-$C$72))"),"食品酒水")</f>
        <v>食品酒水</v>
      </c>
      <c r="I1622" s="61" t="str">
        <f>IFERROR(__xludf.DUMMYFUNCTION("INDIRECT(""'收支紀錄'!I""&amp;TO_TEXT(ROW()-$C$72))"),"宵夜")</f>
        <v>宵夜</v>
      </c>
      <c r="J1622" s="61" t="str">
        <f>IFERROR(__xludf.DUMMYFUNCTION("INDIRECT(""'收支紀錄'!J""&amp;TO_TEXT(ROW()-$C$72))"),"")</f>
        <v/>
      </c>
      <c r="K1622" s="61" t="str">
        <f>IFERROR(__xludf.DUMMYFUNCTION("INDIRECT(""'收支紀錄'!K""&amp;TO_TEXT(ROW()-$C$72))"),"")</f>
        <v/>
      </c>
      <c r="L1622" s="61" t="str">
        <f>IFERROR(__xludf.DUMMYFUNCTION("INDIRECT(""'收支紀錄'!L""&amp;TO_TEXT(ROW()-$C$72))"),"")</f>
        <v/>
      </c>
      <c r="M1622" s="61" t="str">
        <f>IFERROR(__xludf.DUMMYFUNCTION("INDIRECT(""'收支紀錄'!M""&amp;TO_TEXT(ROW()-$C$72))"),"")</f>
        <v/>
      </c>
      <c r="N1622" s="61" t="str">
        <f>IFERROR(__xludf.DUMMYFUNCTION("INDIRECT(""'收支紀錄'!N""&amp;TO_TEXT(ROW()-$C$72))"),"")</f>
        <v/>
      </c>
      <c r="O1622" s="61" t="str">
        <f>IFERROR(__xludf.DUMMYFUNCTION("INDIRECT(""'收支紀錄'!O""&amp;TO_TEXT(ROW()-$C$72))"),"")</f>
        <v/>
      </c>
      <c r="P1622" s="61" t="str">
        <f>IFERROR(__xludf.DUMMYFUNCTION("INDIRECT(""'收支紀錄'!P""&amp;TO_TEXT(ROW()-$C$72))"),"")</f>
        <v/>
      </c>
      <c r="Q1622" s="61" t="str">
        <f>IFERROR(__xludf.DUMMYFUNCTION("INDIRECT(""'收支紀錄'!Q""&amp;TO_TEXT(ROW()-$C$72))"),"")</f>
        <v/>
      </c>
      <c r="R1622" s="61" t="str">
        <f>IFERROR(__xludf.DUMMYFUNCTION("INDIRECT(""'收支紀錄'!R""&amp;TO_TEXT(ROW()-$C$72))"),"")</f>
        <v/>
      </c>
      <c r="S1622" s="61" t="str">
        <f>IFERROR(__xludf.DUMMYFUNCTION("INDIRECT(""'收支紀錄'!S""&amp;TO_TEXT(ROW()-$C$72))"),"")</f>
        <v/>
      </c>
      <c r="T1622" s="61" t="str">
        <f>IFERROR(__xludf.DUMMYFUNCTION("INDIRECT(""'收支紀錄'!T""&amp;TO_TEXT(ROW()-$C$72))"),"")</f>
        <v/>
      </c>
      <c r="U1622" s="62" t="str">
        <f>IFERROR(__xludf.DUMMYFUNCTION("IF(T1622=""是"",TEXTJOIN("""", TRUE, ""$"", TO_TEXT(C1622), S1622),"""")"),"")</f>
        <v/>
      </c>
    </row>
    <row r="1623">
      <c r="A1623" s="58">
        <f>IFERROR(__xludf.DUMMYFUNCTION("INDIRECT(""'收支紀錄'!A""&amp;TO_TEXT(ROW()-$C$72))"),46145.70203356481)</f>
        <v>46145.70203</v>
      </c>
      <c r="B1623" s="59">
        <f>IFERROR(__xludf.DUMMYFUNCTION("IF(ISBLANK(D1623), """", IF(ISDATE(D1623), D1623, IF(D1623=""今天"", A1623, IF(D1623=""昨天 (-1 day)"", A1623-1, IF(D1623=""前天 (-2 days)"", A1623-2, IF(D1623=""明天 (+1 day)"", A1623+1, DATE(LEFT(D1623,4), MID(D1623,5,2), RIGHT(D1623,2))))))))"),46145.70203356481)</f>
        <v>46145.70203</v>
      </c>
      <c r="C1623" s="60">
        <f>IFERROR(__xludf.DUMMYFUNCTION("INDIRECT(""'收支紀錄'!C""&amp;TO_TEXT(ROW()-$C$72))"),2280.0)</f>
        <v>2280</v>
      </c>
      <c r="D1623" s="63" t="str">
        <f>IFERROR(__xludf.DUMMYFUNCTION("INDIRECT(""'收支紀錄'!D""&amp;TO_TEXT(ROW()-$C$72))"),"今天")</f>
        <v>今天</v>
      </c>
      <c r="E1623" s="61" t="str">
        <f>IFERROR(__xludf.DUMMYFUNCTION("INDIRECT(""'收支紀錄'!E""&amp;TO_TEXT(ROW()-$C$72))"),"")</f>
        <v/>
      </c>
      <c r="F1623" s="61" t="str">
        <f>IFERROR(__xludf.DUMMYFUNCTION("INDIRECT(""'收支紀錄'!F""&amp;TO_TEXT(ROW()-$C$72))"),"")</f>
        <v/>
      </c>
      <c r="G1623" s="61" t="str">
        <f>IFERROR(__xludf.DUMMYFUNCTION("INDIRECT(""'收支紀錄'!G""&amp;TO_TEXT(ROW()-$C$72))"),"")</f>
        <v/>
      </c>
      <c r="H1623" s="61" t="str">
        <f>IFERROR(__xludf.DUMMYFUNCTION("INDIRECT(""'收支紀錄'!H""&amp;TO_TEXT(ROW()-$C$72))"),"日常生活")</f>
        <v>日常生活</v>
      </c>
      <c r="I1623" s="61" t="str">
        <f>IFERROR(__xludf.DUMMYFUNCTION("INDIRECT(""'收支紀錄'!I""&amp;TO_TEXT(ROW()-$C$72))"),"")</f>
        <v/>
      </c>
      <c r="J1623" s="61" t="str">
        <f>IFERROR(__xludf.DUMMYFUNCTION("INDIRECT(""'收支紀錄'!J""&amp;TO_TEXT(ROW()-$C$72))"),"日常用品")</f>
        <v>日常用品</v>
      </c>
      <c r="K1623" s="61" t="str">
        <f>IFERROR(__xludf.DUMMYFUNCTION("INDIRECT(""'收支紀錄'!K""&amp;TO_TEXT(ROW()-$C$72))"),"")</f>
        <v/>
      </c>
      <c r="L1623" s="61" t="str">
        <f>IFERROR(__xludf.DUMMYFUNCTION("INDIRECT(""'收支紀錄'!L""&amp;TO_TEXT(ROW()-$C$72))"),"")</f>
        <v/>
      </c>
      <c r="M1623" s="61" t="str">
        <f>IFERROR(__xludf.DUMMYFUNCTION("INDIRECT(""'收支紀錄'!M""&amp;TO_TEXT(ROW()-$C$72))"),"")</f>
        <v/>
      </c>
      <c r="N1623" s="61" t="str">
        <f>IFERROR(__xludf.DUMMYFUNCTION("INDIRECT(""'收支紀錄'!N""&amp;TO_TEXT(ROW()-$C$72))"),"")</f>
        <v/>
      </c>
      <c r="O1623" s="61" t="str">
        <f>IFERROR(__xludf.DUMMYFUNCTION("INDIRECT(""'收支紀錄'!O""&amp;TO_TEXT(ROW()-$C$72))"),"")</f>
        <v/>
      </c>
      <c r="P1623" s="61" t="str">
        <f>IFERROR(__xludf.DUMMYFUNCTION("INDIRECT(""'收支紀錄'!P""&amp;TO_TEXT(ROW()-$C$72))"),"")</f>
        <v/>
      </c>
      <c r="Q1623" s="61" t="str">
        <f>IFERROR(__xludf.DUMMYFUNCTION("INDIRECT(""'收支紀錄'!Q""&amp;TO_TEXT(ROW()-$C$72))"),"")</f>
        <v/>
      </c>
      <c r="R1623" s="61" t="str">
        <f>IFERROR(__xludf.DUMMYFUNCTION("INDIRECT(""'收支紀錄'!R""&amp;TO_TEXT(ROW()-$C$72))"),"")</f>
        <v/>
      </c>
      <c r="S1623" s="61" t="str">
        <f>IFERROR(__xludf.DUMMYFUNCTION("INDIRECT(""'收支紀錄'!S""&amp;TO_TEXT(ROW()-$C$72))"),"安全帽")</f>
        <v>安全帽</v>
      </c>
      <c r="T1623" s="61" t="str">
        <f>IFERROR(__xludf.DUMMYFUNCTION("INDIRECT(""'收支紀錄'!T""&amp;TO_TEXT(ROW()-$C$72))"),"")</f>
        <v/>
      </c>
      <c r="U1623" s="62" t="str">
        <f>IFERROR(__xludf.DUMMYFUNCTION("IF(T1623=""是"",TEXTJOIN("""", TRUE, ""$"", TO_TEXT(C1623), S1623),"""")"),"")</f>
        <v/>
      </c>
    </row>
    <row r="1624">
      <c r="A1624" s="58">
        <f>IFERROR(__xludf.DUMMYFUNCTION("INDIRECT(""'收支紀錄'!A""&amp;TO_TEXT(ROW()-$C$72))"),46145.702922129625)</f>
        <v>46145.70292</v>
      </c>
      <c r="B1624" s="59">
        <f>IFERROR(__xludf.DUMMYFUNCTION("IF(ISBLANK(D1624), """", IF(ISDATE(D1624), D1624, IF(D1624=""今天"", A1624, IF(D1624=""昨天 (-1 day)"", A1624-1, IF(D1624=""前天 (-2 days)"", A1624-2, IF(D1624=""明天 (+1 day)"", A1624+1, DATE(LEFT(D1624,4), MID(D1624,5,2), RIGHT(D1624,2))))))))"),46144.702922129625)</f>
        <v>46144.70292</v>
      </c>
      <c r="C1624" s="60">
        <f>IFERROR(__xludf.DUMMYFUNCTION("INDIRECT(""'收支紀錄'!C""&amp;TO_TEXT(ROW()-$C$72))"),145.0)</f>
        <v>145</v>
      </c>
      <c r="D1624" s="63" t="str">
        <f>IFERROR(__xludf.DUMMYFUNCTION("INDIRECT(""'收支紀錄'!D""&amp;TO_TEXT(ROW()-$C$72))"),"昨天 (-1 day)")</f>
        <v>昨天 (-1 day)</v>
      </c>
      <c r="E1624" s="61" t="str">
        <f>IFERROR(__xludf.DUMMYFUNCTION("INDIRECT(""'收支紀錄'!E""&amp;TO_TEXT(ROW()-$C$72))"),"")</f>
        <v/>
      </c>
      <c r="F1624" s="61" t="str">
        <f>IFERROR(__xludf.DUMMYFUNCTION("INDIRECT(""'收支紀錄'!F""&amp;TO_TEXT(ROW()-$C$72))"),"")</f>
        <v/>
      </c>
      <c r="G1624" s="61" t="str">
        <f>IFERROR(__xludf.DUMMYFUNCTION("INDIRECT(""'收支紀錄'!G""&amp;TO_TEXT(ROW()-$C$72))"),"")</f>
        <v/>
      </c>
      <c r="H1624" s="61" t="str">
        <f>IFERROR(__xludf.DUMMYFUNCTION("INDIRECT(""'收支紀錄'!H""&amp;TO_TEXT(ROW()-$C$72))"),"食品酒水")</f>
        <v>食品酒水</v>
      </c>
      <c r="I1624" s="61" t="str">
        <f>IFERROR(__xludf.DUMMYFUNCTION("INDIRECT(""'收支紀錄'!I""&amp;TO_TEXT(ROW()-$C$72))"),"下午茶")</f>
        <v>下午茶</v>
      </c>
      <c r="J1624" s="61" t="str">
        <f>IFERROR(__xludf.DUMMYFUNCTION("INDIRECT(""'收支紀錄'!J""&amp;TO_TEXT(ROW()-$C$72))"),"")</f>
        <v/>
      </c>
      <c r="K1624" s="61" t="str">
        <f>IFERROR(__xludf.DUMMYFUNCTION("INDIRECT(""'收支紀錄'!K""&amp;TO_TEXT(ROW()-$C$72))"),"")</f>
        <v/>
      </c>
      <c r="L1624" s="61" t="str">
        <f>IFERROR(__xludf.DUMMYFUNCTION("INDIRECT(""'收支紀錄'!L""&amp;TO_TEXT(ROW()-$C$72))"),"")</f>
        <v/>
      </c>
      <c r="M1624" s="61" t="str">
        <f>IFERROR(__xludf.DUMMYFUNCTION("INDIRECT(""'收支紀錄'!M""&amp;TO_TEXT(ROW()-$C$72))"),"")</f>
        <v/>
      </c>
      <c r="N1624" s="61" t="str">
        <f>IFERROR(__xludf.DUMMYFUNCTION("INDIRECT(""'收支紀錄'!N""&amp;TO_TEXT(ROW()-$C$72))"),"")</f>
        <v/>
      </c>
      <c r="O1624" s="61" t="str">
        <f>IFERROR(__xludf.DUMMYFUNCTION("INDIRECT(""'收支紀錄'!O""&amp;TO_TEXT(ROW()-$C$72))"),"")</f>
        <v/>
      </c>
      <c r="P1624" s="61" t="str">
        <f>IFERROR(__xludf.DUMMYFUNCTION("INDIRECT(""'收支紀錄'!P""&amp;TO_TEXT(ROW()-$C$72))"),"")</f>
        <v/>
      </c>
      <c r="Q1624" s="61" t="str">
        <f>IFERROR(__xludf.DUMMYFUNCTION("INDIRECT(""'收支紀錄'!Q""&amp;TO_TEXT(ROW()-$C$72))"),"")</f>
        <v/>
      </c>
      <c r="R1624" s="61" t="str">
        <f>IFERROR(__xludf.DUMMYFUNCTION("INDIRECT(""'收支紀錄'!R""&amp;TO_TEXT(ROW()-$C$72))"),"")</f>
        <v/>
      </c>
      <c r="S1624" s="61" t="str">
        <f>IFERROR(__xludf.DUMMYFUNCTION("INDIRECT(""'收支紀錄'!S""&amp;TO_TEXT(ROW()-$C$72))"),"")</f>
        <v/>
      </c>
      <c r="T1624" s="61" t="str">
        <f>IFERROR(__xludf.DUMMYFUNCTION("INDIRECT(""'收支紀錄'!T""&amp;TO_TEXT(ROW()-$C$72))"),"")</f>
        <v/>
      </c>
      <c r="U1624" s="62" t="str">
        <f>IFERROR(__xludf.DUMMYFUNCTION("IF(T1624=""是"",TEXTJOIN("""", TRUE, ""$"", TO_TEXT(C1624), S1624),"""")"),"")</f>
        <v/>
      </c>
    </row>
    <row r="1625">
      <c r="A1625" s="58">
        <f>IFERROR(__xludf.DUMMYFUNCTION("INDIRECT(""'收支紀錄'!A""&amp;TO_TEXT(ROW()-$C$72))"),46145.70307993055)</f>
        <v>46145.70308</v>
      </c>
      <c r="B1625" s="59">
        <f>IFERROR(__xludf.DUMMYFUNCTION("IF(ISBLANK(D1625), """", IF(ISDATE(D1625), D1625, IF(D1625=""今天"", A1625, IF(D1625=""昨天 (-1 day)"", A1625-1, IF(D1625=""前天 (-2 days)"", A1625-2, IF(D1625=""明天 (+1 day)"", A1625+1, DATE(LEFT(D1625,4), MID(D1625,5,2), RIGHT(D1625,2))))))))"),46144.70307993055)</f>
        <v>46144.70308</v>
      </c>
      <c r="C1625" s="60">
        <f>IFERROR(__xludf.DUMMYFUNCTION("INDIRECT(""'收支紀錄'!C""&amp;TO_TEXT(ROW()-$C$72))"),225.0)</f>
        <v>225</v>
      </c>
      <c r="D1625" s="63" t="str">
        <f>IFERROR(__xludf.DUMMYFUNCTION("INDIRECT(""'收支紀錄'!D""&amp;TO_TEXT(ROW()-$C$72))"),"昨天 (-1 day)")</f>
        <v>昨天 (-1 day)</v>
      </c>
      <c r="E1625" s="61" t="str">
        <f>IFERROR(__xludf.DUMMYFUNCTION("INDIRECT(""'收支紀錄'!E""&amp;TO_TEXT(ROW()-$C$72))"),"")</f>
        <v/>
      </c>
      <c r="F1625" s="61" t="str">
        <f>IFERROR(__xludf.DUMMYFUNCTION("INDIRECT(""'收支紀錄'!F""&amp;TO_TEXT(ROW()-$C$72))"),"")</f>
        <v/>
      </c>
      <c r="G1625" s="61" t="str">
        <f>IFERROR(__xludf.DUMMYFUNCTION("INDIRECT(""'收支紀錄'!G""&amp;TO_TEXT(ROW()-$C$72))"),"")</f>
        <v/>
      </c>
      <c r="H1625" s="61" t="str">
        <f>IFERROR(__xludf.DUMMYFUNCTION("INDIRECT(""'收支紀錄'!H""&amp;TO_TEXT(ROW()-$C$72))"),"食品酒水")</f>
        <v>食品酒水</v>
      </c>
      <c r="I1625" s="61" t="str">
        <f>IFERROR(__xludf.DUMMYFUNCTION("INDIRECT(""'收支紀錄'!I""&amp;TO_TEXT(ROW()-$C$72))"),"晚餐")</f>
        <v>晚餐</v>
      </c>
      <c r="J1625" s="61" t="str">
        <f>IFERROR(__xludf.DUMMYFUNCTION("INDIRECT(""'收支紀錄'!J""&amp;TO_TEXT(ROW()-$C$72))"),"")</f>
        <v/>
      </c>
      <c r="K1625" s="61" t="str">
        <f>IFERROR(__xludf.DUMMYFUNCTION("INDIRECT(""'收支紀錄'!K""&amp;TO_TEXT(ROW()-$C$72))"),"")</f>
        <v/>
      </c>
      <c r="L1625" s="61" t="str">
        <f>IFERROR(__xludf.DUMMYFUNCTION("INDIRECT(""'收支紀錄'!L""&amp;TO_TEXT(ROW()-$C$72))"),"")</f>
        <v/>
      </c>
      <c r="M1625" s="61" t="str">
        <f>IFERROR(__xludf.DUMMYFUNCTION("INDIRECT(""'收支紀錄'!M""&amp;TO_TEXT(ROW()-$C$72))"),"")</f>
        <v/>
      </c>
      <c r="N1625" s="61" t="str">
        <f>IFERROR(__xludf.DUMMYFUNCTION("INDIRECT(""'收支紀錄'!N""&amp;TO_TEXT(ROW()-$C$72))"),"")</f>
        <v/>
      </c>
      <c r="O1625" s="61" t="str">
        <f>IFERROR(__xludf.DUMMYFUNCTION("INDIRECT(""'收支紀錄'!O""&amp;TO_TEXT(ROW()-$C$72))"),"")</f>
        <v/>
      </c>
      <c r="P1625" s="61" t="str">
        <f>IFERROR(__xludf.DUMMYFUNCTION("INDIRECT(""'收支紀錄'!P""&amp;TO_TEXT(ROW()-$C$72))"),"")</f>
        <v/>
      </c>
      <c r="Q1625" s="61" t="str">
        <f>IFERROR(__xludf.DUMMYFUNCTION("INDIRECT(""'收支紀錄'!Q""&amp;TO_TEXT(ROW()-$C$72))"),"")</f>
        <v/>
      </c>
      <c r="R1625" s="61" t="str">
        <f>IFERROR(__xludf.DUMMYFUNCTION("INDIRECT(""'收支紀錄'!R""&amp;TO_TEXT(ROW()-$C$72))"),"")</f>
        <v/>
      </c>
      <c r="S1625" s="61" t="str">
        <f>IFERROR(__xludf.DUMMYFUNCTION("INDIRECT(""'收支紀錄'!S""&amp;TO_TEXT(ROW()-$C$72))"),"")</f>
        <v/>
      </c>
      <c r="T1625" s="61" t="str">
        <f>IFERROR(__xludf.DUMMYFUNCTION("INDIRECT(""'收支紀錄'!T""&amp;TO_TEXT(ROW()-$C$72))"),"")</f>
        <v/>
      </c>
      <c r="U1625" s="62" t="str">
        <f>IFERROR(__xludf.DUMMYFUNCTION("IF(T1625=""是"",TEXTJOIN("""", TRUE, ""$"", TO_TEXT(C1625), S1625),"""")"),"")</f>
        <v/>
      </c>
    </row>
    <row r="1626">
      <c r="A1626" s="58">
        <f>IFERROR(__xludf.DUMMYFUNCTION("INDIRECT(""'收支紀錄'!A""&amp;TO_TEXT(ROW()-$C$72))"),46145.7032196875)</f>
        <v>46145.70322</v>
      </c>
      <c r="B1626" s="59">
        <f>IFERROR(__xludf.DUMMYFUNCTION("IF(ISBLANK(D1626), """", IF(ISDATE(D1626), D1626, IF(D1626=""今天"", A1626, IF(D1626=""昨天 (-1 day)"", A1626-1, IF(D1626=""前天 (-2 days)"", A1626-2, IF(D1626=""明天 (+1 day)"", A1626+1, DATE(LEFT(D1626,4), MID(D1626,5,2), RIGHT(D1626,2))))))))"),46144.7032196875)</f>
        <v>46144.70322</v>
      </c>
      <c r="C1626" s="60">
        <f>IFERROR(__xludf.DUMMYFUNCTION("INDIRECT(""'收支紀錄'!C""&amp;TO_TEXT(ROW()-$C$72))"),260.0)</f>
        <v>260</v>
      </c>
      <c r="D1626" s="63" t="str">
        <f>IFERROR(__xludf.DUMMYFUNCTION("INDIRECT(""'收支紀錄'!D""&amp;TO_TEXT(ROW()-$C$72))"),"昨天 (-1 day)")</f>
        <v>昨天 (-1 day)</v>
      </c>
      <c r="E1626" s="61" t="str">
        <f>IFERROR(__xludf.DUMMYFUNCTION("INDIRECT(""'收支紀錄'!E""&amp;TO_TEXT(ROW()-$C$72))"),"")</f>
        <v/>
      </c>
      <c r="F1626" s="61" t="str">
        <f>IFERROR(__xludf.DUMMYFUNCTION("INDIRECT(""'收支紀錄'!F""&amp;TO_TEXT(ROW()-$C$72))"),"")</f>
        <v/>
      </c>
      <c r="G1626" s="61" t="str">
        <f>IFERROR(__xludf.DUMMYFUNCTION("INDIRECT(""'收支紀錄'!G""&amp;TO_TEXT(ROW()-$C$72))"),"")</f>
        <v/>
      </c>
      <c r="H1626" s="61" t="str">
        <f>IFERROR(__xludf.DUMMYFUNCTION("INDIRECT(""'收支紀錄'!H""&amp;TO_TEXT(ROW()-$C$72))"),"食品酒水")</f>
        <v>食品酒水</v>
      </c>
      <c r="I1626" s="61" t="str">
        <f>IFERROR(__xludf.DUMMYFUNCTION("INDIRECT(""'收支紀錄'!I""&amp;TO_TEXT(ROW()-$C$72))"),"晚餐")</f>
        <v>晚餐</v>
      </c>
      <c r="J1626" s="61" t="str">
        <f>IFERROR(__xludf.DUMMYFUNCTION("INDIRECT(""'收支紀錄'!J""&amp;TO_TEXT(ROW()-$C$72))"),"")</f>
        <v/>
      </c>
      <c r="K1626" s="61" t="str">
        <f>IFERROR(__xludf.DUMMYFUNCTION("INDIRECT(""'收支紀錄'!K""&amp;TO_TEXT(ROW()-$C$72))"),"")</f>
        <v/>
      </c>
      <c r="L1626" s="61" t="str">
        <f>IFERROR(__xludf.DUMMYFUNCTION("INDIRECT(""'收支紀錄'!L""&amp;TO_TEXT(ROW()-$C$72))"),"")</f>
        <v/>
      </c>
      <c r="M1626" s="61" t="str">
        <f>IFERROR(__xludf.DUMMYFUNCTION("INDIRECT(""'收支紀錄'!M""&amp;TO_TEXT(ROW()-$C$72))"),"")</f>
        <v/>
      </c>
      <c r="N1626" s="61" t="str">
        <f>IFERROR(__xludf.DUMMYFUNCTION("INDIRECT(""'收支紀錄'!N""&amp;TO_TEXT(ROW()-$C$72))"),"")</f>
        <v/>
      </c>
      <c r="O1626" s="61" t="str">
        <f>IFERROR(__xludf.DUMMYFUNCTION("INDIRECT(""'收支紀錄'!O""&amp;TO_TEXT(ROW()-$C$72))"),"")</f>
        <v/>
      </c>
      <c r="P1626" s="61" t="str">
        <f>IFERROR(__xludf.DUMMYFUNCTION("INDIRECT(""'收支紀錄'!P""&amp;TO_TEXT(ROW()-$C$72))"),"")</f>
        <v/>
      </c>
      <c r="Q1626" s="61" t="str">
        <f>IFERROR(__xludf.DUMMYFUNCTION("INDIRECT(""'收支紀錄'!Q""&amp;TO_TEXT(ROW()-$C$72))"),"")</f>
        <v/>
      </c>
      <c r="R1626" s="61" t="str">
        <f>IFERROR(__xludf.DUMMYFUNCTION("INDIRECT(""'收支紀錄'!R""&amp;TO_TEXT(ROW()-$C$72))"),"")</f>
        <v/>
      </c>
      <c r="S1626" s="61" t="str">
        <f>IFERROR(__xludf.DUMMYFUNCTION("INDIRECT(""'收支紀錄'!S""&amp;TO_TEXT(ROW()-$C$72))"),"")</f>
        <v/>
      </c>
      <c r="T1626" s="61" t="str">
        <f>IFERROR(__xludf.DUMMYFUNCTION("INDIRECT(""'收支紀錄'!T""&amp;TO_TEXT(ROW()-$C$72))"),"")</f>
        <v/>
      </c>
      <c r="U1626" s="62" t="str">
        <f>IFERROR(__xludf.DUMMYFUNCTION("IF(T1626=""是"",TEXTJOIN("""", TRUE, ""$"", TO_TEXT(C1626), S1626),"""")"),"")</f>
        <v/>
      </c>
    </row>
    <row r="1627">
      <c r="A1627" s="58">
        <f>IFERROR(__xludf.DUMMYFUNCTION("INDIRECT(""'收支紀錄'!A""&amp;TO_TEXT(ROW()-$C$72))"),46145.8503391088)</f>
        <v>46145.85034</v>
      </c>
      <c r="B1627" s="59">
        <f>IFERROR(__xludf.DUMMYFUNCTION("IF(ISBLANK(D1627), """", IF(ISDATE(D1627), D1627, IF(D1627=""今天"", A1627, IF(D1627=""昨天 (-1 day)"", A1627-1, IF(D1627=""前天 (-2 days)"", A1627-2, IF(D1627=""明天 (+1 day)"", A1627+1, DATE(LEFT(D1627,4), MID(D1627,5,2), RIGHT(D1627,2))))))))"),46145.8503391088)</f>
        <v>46145.85034</v>
      </c>
      <c r="C1627" s="60">
        <f>IFERROR(__xludf.DUMMYFUNCTION("INDIRECT(""'收支紀錄'!C""&amp;TO_TEXT(ROW()-$C$72))"),7802.0)</f>
        <v>7802</v>
      </c>
      <c r="D1627" s="63" t="str">
        <f>IFERROR(__xludf.DUMMYFUNCTION("INDIRECT(""'收支紀錄'!D""&amp;TO_TEXT(ROW()-$C$72))"),"今天")</f>
        <v>今天</v>
      </c>
      <c r="E1627" s="61" t="str">
        <f>IFERROR(__xludf.DUMMYFUNCTION("INDIRECT(""'收支紀錄'!E""&amp;TO_TEXT(ROW()-$C$72))"),"")</f>
        <v/>
      </c>
      <c r="F1627" s="61" t="str">
        <f>IFERROR(__xludf.DUMMYFUNCTION("INDIRECT(""'收支紀錄'!F""&amp;TO_TEXT(ROW()-$C$72))"),"")</f>
        <v/>
      </c>
      <c r="G1627" s="61" t="str">
        <f>IFERROR(__xludf.DUMMYFUNCTION("INDIRECT(""'收支紀錄'!G""&amp;TO_TEXT(ROW()-$C$72))"),"")</f>
        <v/>
      </c>
      <c r="H1627" s="61" t="str">
        <f>IFERROR(__xludf.DUMMYFUNCTION("INDIRECT(""'收支紀錄'!H""&amp;TO_TEXT(ROW()-$C$72))"),"房屋支出")</f>
        <v>房屋支出</v>
      </c>
      <c r="I1627" s="61" t="str">
        <f>IFERROR(__xludf.DUMMYFUNCTION("INDIRECT(""'收支紀錄'!I""&amp;TO_TEXT(ROW()-$C$72))"),"")</f>
        <v/>
      </c>
      <c r="J1627" s="61" t="str">
        <f>IFERROR(__xludf.DUMMYFUNCTION("INDIRECT(""'收支紀錄'!J""&amp;TO_TEXT(ROW()-$C$72))"),"")</f>
        <v/>
      </c>
      <c r="K1627" s="61" t="str">
        <f>IFERROR(__xludf.DUMMYFUNCTION("INDIRECT(""'收支紀錄'!K""&amp;TO_TEXT(ROW()-$C$72))"),"管理費")</f>
        <v>管理費</v>
      </c>
      <c r="L1627" s="61" t="str">
        <f>IFERROR(__xludf.DUMMYFUNCTION("INDIRECT(""'收支紀錄'!L""&amp;TO_TEXT(ROW()-$C$72))"),"")</f>
        <v/>
      </c>
      <c r="M1627" s="61" t="str">
        <f>IFERROR(__xludf.DUMMYFUNCTION("INDIRECT(""'收支紀錄'!M""&amp;TO_TEXT(ROW()-$C$72))"),"")</f>
        <v/>
      </c>
      <c r="N1627" s="61" t="str">
        <f>IFERROR(__xludf.DUMMYFUNCTION("INDIRECT(""'收支紀錄'!N""&amp;TO_TEXT(ROW()-$C$72))"),"")</f>
        <v/>
      </c>
      <c r="O1627" s="61" t="str">
        <f>IFERROR(__xludf.DUMMYFUNCTION("INDIRECT(""'收支紀錄'!O""&amp;TO_TEXT(ROW()-$C$72))"),"")</f>
        <v/>
      </c>
      <c r="P1627" s="61" t="str">
        <f>IFERROR(__xludf.DUMMYFUNCTION("INDIRECT(""'收支紀錄'!P""&amp;TO_TEXT(ROW()-$C$72))"),"")</f>
        <v/>
      </c>
      <c r="Q1627" s="61" t="str">
        <f>IFERROR(__xludf.DUMMYFUNCTION("INDIRECT(""'收支紀錄'!Q""&amp;TO_TEXT(ROW()-$C$72))"),"")</f>
        <v/>
      </c>
      <c r="R1627" s="61" t="str">
        <f>IFERROR(__xludf.DUMMYFUNCTION("INDIRECT(""'收支紀錄'!R""&amp;TO_TEXT(ROW()-$C$72))"),"")</f>
        <v/>
      </c>
      <c r="S1627" s="61" t="str">
        <f>IFERROR(__xludf.DUMMYFUNCTION("INDIRECT(""'收支紀錄'!S""&amp;TO_TEXT(ROW()-$C$72))"),"")</f>
        <v/>
      </c>
      <c r="T1627" s="61" t="str">
        <f>IFERROR(__xludf.DUMMYFUNCTION("INDIRECT(""'收支紀錄'!T""&amp;TO_TEXT(ROW()-$C$72))"),"")</f>
        <v/>
      </c>
      <c r="U1627" s="62" t="str">
        <f>IFERROR(__xludf.DUMMYFUNCTION("IF(T1627=""是"",TEXTJOIN("""", TRUE, ""$"", TO_TEXT(C1627), S1627),"""")"),"")</f>
        <v/>
      </c>
    </row>
    <row r="1628">
      <c r="A1628" s="58">
        <f>IFERROR(__xludf.DUMMYFUNCTION("INDIRECT(""'收支紀錄'!A""&amp;TO_TEXT(ROW()-$C$72))"),46147.92743491898)</f>
        <v>46147.92743</v>
      </c>
      <c r="B1628" s="59">
        <f>IFERROR(__xludf.DUMMYFUNCTION("IF(ISBLANK(D1628), """", IF(ISDATE(D1628), D1628, IF(D1628=""今天"", A1628, IF(D1628=""昨天 (-1 day)"", A1628-1, IF(D1628=""前天 (-2 days)"", A1628-2, IF(D1628=""明天 (+1 day)"", A1628+1, DATE(LEFT(D1628,4), MID(D1628,5,2), RIGHT(D1628,2))))))))"),46147.92743491898)</f>
        <v>46147.92743</v>
      </c>
      <c r="C1628" s="60">
        <f>IFERROR(__xludf.DUMMYFUNCTION("INDIRECT(""'收支紀錄'!C""&amp;TO_TEXT(ROW()-$C$72))"),105512.0)</f>
        <v>105512</v>
      </c>
      <c r="D1628" s="63" t="str">
        <f>IFERROR(__xludf.DUMMYFUNCTION("INDIRECT(""'收支紀錄'!D""&amp;TO_TEXT(ROW()-$C$72))"),"今天")</f>
        <v>今天</v>
      </c>
      <c r="E1628" s="61" t="str">
        <f>IFERROR(__xludf.DUMMYFUNCTION("INDIRECT(""'收支紀錄'!E""&amp;TO_TEXT(ROW()-$C$72))"),"工作")</f>
        <v>工作</v>
      </c>
      <c r="F1628" s="61" t="str">
        <f>IFERROR(__xludf.DUMMYFUNCTION("INDIRECT(""'收支紀錄'!F""&amp;TO_TEXT(ROW()-$C$72))"),"底薪")</f>
        <v>底薪</v>
      </c>
      <c r="G1628" s="61" t="str">
        <f>IFERROR(__xludf.DUMMYFUNCTION("INDIRECT(""'收支紀錄'!G""&amp;TO_TEXT(ROW()-$C$72))"),"")</f>
        <v/>
      </c>
      <c r="H1628" s="61" t="str">
        <f>IFERROR(__xludf.DUMMYFUNCTION("INDIRECT(""'收支紀錄'!H""&amp;TO_TEXT(ROW()-$C$72))"),"")</f>
        <v/>
      </c>
      <c r="I1628" s="61" t="str">
        <f>IFERROR(__xludf.DUMMYFUNCTION("INDIRECT(""'收支紀錄'!I""&amp;TO_TEXT(ROW()-$C$72))"),"")</f>
        <v/>
      </c>
      <c r="J1628" s="61" t="str">
        <f>IFERROR(__xludf.DUMMYFUNCTION("INDIRECT(""'收支紀錄'!J""&amp;TO_TEXT(ROW()-$C$72))"),"")</f>
        <v/>
      </c>
      <c r="K1628" s="61" t="str">
        <f>IFERROR(__xludf.DUMMYFUNCTION("INDIRECT(""'收支紀錄'!K""&amp;TO_TEXT(ROW()-$C$72))"),"")</f>
        <v/>
      </c>
      <c r="L1628" s="61" t="str">
        <f>IFERROR(__xludf.DUMMYFUNCTION("INDIRECT(""'收支紀錄'!L""&amp;TO_TEXT(ROW()-$C$72))"),"")</f>
        <v/>
      </c>
      <c r="M1628" s="61" t="str">
        <f>IFERROR(__xludf.DUMMYFUNCTION("INDIRECT(""'收支紀錄'!M""&amp;TO_TEXT(ROW()-$C$72))"),"")</f>
        <v/>
      </c>
      <c r="N1628" s="61" t="str">
        <f>IFERROR(__xludf.DUMMYFUNCTION("INDIRECT(""'收支紀錄'!N""&amp;TO_TEXT(ROW()-$C$72))"),"")</f>
        <v/>
      </c>
      <c r="O1628" s="61" t="str">
        <f>IFERROR(__xludf.DUMMYFUNCTION("INDIRECT(""'收支紀錄'!O""&amp;TO_TEXT(ROW()-$C$72))"),"")</f>
        <v/>
      </c>
      <c r="P1628" s="61" t="str">
        <f>IFERROR(__xludf.DUMMYFUNCTION("INDIRECT(""'收支紀錄'!P""&amp;TO_TEXT(ROW()-$C$72))"),"")</f>
        <v/>
      </c>
      <c r="Q1628" s="61" t="str">
        <f>IFERROR(__xludf.DUMMYFUNCTION("INDIRECT(""'收支紀錄'!Q""&amp;TO_TEXT(ROW()-$C$72))"),"")</f>
        <v/>
      </c>
      <c r="R1628" s="61" t="str">
        <f>IFERROR(__xludf.DUMMYFUNCTION("INDIRECT(""'收支紀錄'!R""&amp;TO_TEXT(ROW()-$C$72))"),"")</f>
        <v/>
      </c>
      <c r="S1628" s="61" t="str">
        <f>IFERROR(__xludf.DUMMYFUNCTION("INDIRECT(""'收支紀錄'!S""&amp;TO_TEXT(ROW()-$C$72))")," $1788請假")</f>
        <v> $1788請假</v>
      </c>
      <c r="T1628" s="61" t="str">
        <f>IFERROR(__xludf.DUMMYFUNCTION("INDIRECT(""'收支紀錄'!T""&amp;TO_TEXT(ROW()-$C$72))"),"是")</f>
        <v>是</v>
      </c>
      <c r="U1628" s="62" t="str">
        <f>IFERROR(__xludf.DUMMYFUNCTION("IF(T1628=""是"",TEXTJOIN("""", TRUE, ""$"", TO_TEXT(C1628), S1628),"""")"),"$105512 $1788請假")</f>
        <v>$105512 $1788請假</v>
      </c>
    </row>
    <row r="1629">
      <c r="A1629" s="58">
        <f>IFERROR(__xludf.DUMMYFUNCTION("INDIRECT(""'收支紀錄'!A""&amp;TO_TEXT(ROW()-$C$72))"),46147.92783572916)</f>
        <v>46147.92784</v>
      </c>
      <c r="B1629" s="59">
        <f>IFERROR(__xludf.DUMMYFUNCTION("IF(ISBLANK(D1629), """", IF(ISDATE(D1629), D1629, IF(D1629=""今天"", A1629, IF(D1629=""昨天 (-1 day)"", A1629-1, IF(D1629=""前天 (-2 days)"", A1629-2, IF(D1629=""明天 (+1 day)"", A1629+1, DATE(LEFT(D1629,4), MID(D1629,5,2), RIGHT(D1629,2))))))))"),46147.92783572916)</f>
        <v>46147.92784</v>
      </c>
      <c r="C1629" s="60">
        <f>IFERROR(__xludf.DUMMYFUNCTION("INDIRECT(""'收支紀錄'!C""&amp;TO_TEXT(ROW()-$C$72))"),2691.0)</f>
        <v>2691</v>
      </c>
      <c r="D1629" s="63" t="str">
        <f>IFERROR(__xludf.DUMMYFUNCTION("INDIRECT(""'收支紀錄'!D""&amp;TO_TEXT(ROW()-$C$72))"),"今天")</f>
        <v>今天</v>
      </c>
      <c r="E1629" s="61" t="str">
        <f>IFERROR(__xludf.DUMMYFUNCTION("INDIRECT(""'收支紀錄'!E""&amp;TO_TEXT(ROW()-$C$72))"),"工作")</f>
        <v>工作</v>
      </c>
      <c r="F1629" s="61" t="str">
        <f>IFERROR(__xludf.DUMMYFUNCTION("INDIRECT(""'收支紀錄'!F""&amp;TO_TEXT(ROW()-$C$72))"),"加班/津貼")</f>
        <v>加班/津貼</v>
      </c>
      <c r="G1629" s="61" t="str">
        <f>IFERROR(__xludf.DUMMYFUNCTION("INDIRECT(""'收支紀錄'!G""&amp;TO_TEXT(ROW()-$C$72))"),"")</f>
        <v/>
      </c>
      <c r="H1629" s="61" t="str">
        <f>IFERROR(__xludf.DUMMYFUNCTION("INDIRECT(""'收支紀錄'!H""&amp;TO_TEXT(ROW()-$C$72))"),"")</f>
        <v/>
      </c>
      <c r="I1629" s="61" t="str">
        <f>IFERROR(__xludf.DUMMYFUNCTION("INDIRECT(""'收支紀錄'!I""&amp;TO_TEXT(ROW()-$C$72))"),"")</f>
        <v/>
      </c>
      <c r="J1629" s="61" t="str">
        <f>IFERROR(__xludf.DUMMYFUNCTION("INDIRECT(""'收支紀錄'!J""&amp;TO_TEXT(ROW()-$C$72))"),"")</f>
        <v/>
      </c>
      <c r="K1629" s="61" t="str">
        <f>IFERROR(__xludf.DUMMYFUNCTION("INDIRECT(""'收支紀錄'!K""&amp;TO_TEXT(ROW()-$C$72))"),"")</f>
        <v/>
      </c>
      <c r="L1629" s="61" t="str">
        <f>IFERROR(__xludf.DUMMYFUNCTION("INDIRECT(""'收支紀錄'!L""&amp;TO_TEXT(ROW()-$C$72))"),"")</f>
        <v/>
      </c>
      <c r="M1629" s="61" t="str">
        <f>IFERROR(__xludf.DUMMYFUNCTION("INDIRECT(""'收支紀錄'!M""&amp;TO_TEXT(ROW()-$C$72))"),"")</f>
        <v/>
      </c>
      <c r="N1629" s="61" t="str">
        <f>IFERROR(__xludf.DUMMYFUNCTION("INDIRECT(""'收支紀錄'!N""&amp;TO_TEXT(ROW()-$C$72))"),"")</f>
        <v/>
      </c>
      <c r="O1629" s="61" t="str">
        <f>IFERROR(__xludf.DUMMYFUNCTION("INDIRECT(""'收支紀錄'!O""&amp;TO_TEXT(ROW()-$C$72))"),"")</f>
        <v/>
      </c>
      <c r="P1629" s="61" t="str">
        <f>IFERROR(__xludf.DUMMYFUNCTION("INDIRECT(""'收支紀錄'!P""&amp;TO_TEXT(ROW()-$C$72))"),"")</f>
        <v/>
      </c>
      <c r="Q1629" s="61" t="str">
        <f>IFERROR(__xludf.DUMMYFUNCTION("INDIRECT(""'收支紀錄'!Q""&amp;TO_TEXT(ROW()-$C$72))"),"")</f>
        <v/>
      </c>
      <c r="R1629" s="61" t="str">
        <f>IFERROR(__xludf.DUMMYFUNCTION("INDIRECT(""'收支紀錄'!R""&amp;TO_TEXT(ROW()-$C$72))"),"")</f>
        <v/>
      </c>
      <c r="S1629" s="61" t="str">
        <f>IFERROR(__xludf.DUMMYFUNCTION("INDIRECT(""'收支紀錄'!S""&amp;TO_TEXT(ROW()-$C$72))"),"")</f>
        <v/>
      </c>
      <c r="T1629" s="61" t="str">
        <f>IFERROR(__xludf.DUMMYFUNCTION("INDIRECT(""'收支紀錄'!T""&amp;TO_TEXT(ROW()-$C$72))"),"")</f>
        <v/>
      </c>
      <c r="U1629" s="62" t="str">
        <f>IFERROR(__xludf.DUMMYFUNCTION("IF(T1629=""是"",TEXTJOIN("""", TRUE, ""$"", TO_TEXT(C1629), S1629),"""")"),"")</f>
        <v/>
      </c>
    </row>
    <row r="1630">
      <c r="A1630" s="58">
        <f>IFERROR(__xludf.DUMMYFUNCTION("INDIRECT(""'收支紀錄'!A""&amp;TO_TEXT(ROW()-$C$72))"),46147.928299756946)</f>
        <v>46147.9283</v>
      </c>
      <c r="B1630" s="59">
        <f>IFERROR(__xludf.DUMMYFUNCTION("IF(ISBLANK(D1630), """", IF(ISDATE(D1630), D1630, IF(D1630=""今天"", A1630, IF(D1630=""昨天 (-1 day)"", A1630-1, IF(D1630=""前天 (-2 days)"", A1630-2, IF(D1630=""明天 (+1 day)"", A1630+1, DATE(LEFT(D1630,4), MID(D1630,5,2), RIGHT(D1630,2))))))))"),46147.928299756946)</f>
        <v>46147.9283</v>
      </c>
      <c r="C1630" s="60">
        <f>IFERROR(__xludf.DUMMYFUNCTION("INDIRECT(""'收支紀錄'!C""&amp;TO_TEXT(ROW()-$C$72))"),107300.0)</f>
        <v>107300</v>
      </c>
      <c r="D1630" s="63" t="str">
        <f>IFERROR(__xludf.DUMMYFUNCTION("INDIRECT(""'收支紀錄'!D""&amp;TO_TEXT(ROW()-$C$72))"),"今天")</f>
        <v>今天</v>
      </c>
      <c r="E1630" s="61" t="str">
        <f>IFERROR(__xludf.DUMMYFUNCTION("INDIRECT(""'收支紀錄'!E""&amp;TO_TEXT(ROW()-$C$72))"),"工作")</f>
        <v>工作</v>
      </c>
      <c r="F1630" s="61" t="str">
        <f>IFERROR(__xludf.DUMMYFUNCTION("INDIRECT(""'收支紀錄'!F""&amp;TO_TEXT(ROW()-$C$72))"),"加班/津貼")</f>
        <v>加班/津貼</v>
      </c>
      <c r="G1630" s="61" t="str">
        <f>IFERROR(__xludf.DUMMYFUNCTION("INDIRECT(""'收支紀錄'!G""&amp;TO_TEXT(ROW()-$C$72))"),"")</f>
        <v/>
      </c>
      <c r="H1630" s="61" t="str">
        <f>IFERROR(__xludf.DUMMYFUNCTION("INDIRECT(""'收支紀錄'!H""&amp;TO_TEXT(ROW()-$C$72))"),"")</f>
        <v/>
      </c>
      <c r="I1630" s="61" t="str">
        <f>IFERROR(__xludf.DUMMYFUNCTION("INDIRECT(""'收支紀錄'!I""&amp;TO_TEXT(ROW()-$C$72))"),"")</f>
        <v/>
      </c>
      <c r="J1630" s="61" t="str">
        <f>IFERROR(__xludf.DUMMYFUNCTION("INDIRECT(""'收支紀錄'!J""&amp;TO_TEXT(ROW()-$C$72))"),"")</f>
        <v/>
      </c>
      <c r="K1630" s="61" t="str">
        <f>IFERROR(__xludf.DUMMYFUNCTION("INDIRECT(""'收支紀錄'!K""&amp;TO_TEXT(ROW()-$C$72))"),"")</f>
        <v/>
      </c>
      <c r="L1630" s="61" t="str">
        <f>IFERROR(__xludf.DUMMYFUNCTION("INDIRECT(""'收支紀錄'!L""&amp;TO_TEXT(ROW()-$C$72))"),"")</f>
        <v/>
      </c>
      <c r="M1630" s="61" t="str">
        <f>IFERROR(__xludf.DUMMYFUNCTION("INDIRECT(""'收支紀錄'!M""&amp;TO_TEXT(ROW()-$C$72))"),"")</f>
        <v/>
      </c>
      <c r="N1630" s="61" t="str">
        <f>IFERROR(__xludf.DUMMYFUNCTION("INDIRECT(""'收支紀錄'!N""&amp;TO_TEXT(ROW()-$C$72))"),"")</f>
        <v/>
      </c>
      <c r="O1630" s="61" t="str">
        <f>IFERROR(__xludf.DUMMYFUNCTION("INDIRECT(""'收支紀錄'!O""&amp;TO_TEXT(ROW()-$C$72))"),"")</f>
        <v/>
      </c>
      <c r="P1630" s="61" t="str">
        <f>IFERROR(__xludf.DUMMYFUNCTION("INDIRECT(""'收支紀錄'!P""&amp;TO_TEXT(ROW()-$C$72))"),"")</f>
        <v/>
      </c>
      <c r="Q1630" s="61" t="str">
        <f>IFERROR(__xludf.DUMMYFUNCTION("INDIRECT(""'收支紀錄'!Q""&amp;TO_TEXT(ROW()-$C$72))"),"")</f>
        <v/>
      </c>
      <c r="R1630" s="61" t="str">
        <f>IFERROR(__xludf.DUMMYFUNCTION("INDIRECT(""'收支紀錄'!R""&amp;TO_TEXT(ROW()-$C$72))"),"")</f>
        <v/>
      </c>
      <c r="S1630" s="61" t="str">
        <f>IFERROR(__xludf.DUMMYFUNCTION("INDIRECT(""'收支紀錄'!S""&amp;TO_TEXT(ROW()-$C$72))"),"家庭日獎金")</f>
        <v>家庭日獎金</v>
      </c>
      <c r="T1630" s="61" t="str">
        <f>IFERROR(__xludf.DUMMYFUNCTION("INDIRECT(""'收支紀錄'!T""&amp;TO_TEXT(ROW()-$C$72))"),"是")</f>
        <v>是</v>
      </c>
      <c r="U1630" s="62" t="str">
        <f>IFERROR(__xludf.DUMMYFUNCTION("IF(T1630=""是"",TEXTJOIN("""", TRUE, ""$"", TO_TEXT(C1630), S1630),"""")"),"$107300家庭日獎金")</f>
        <v>$107300家庭日獎金</v>
      </c>
    </row>
    <row r="1631">
      <c r="A1631" s="58">
        <f>IFERROR(__xludf.DUMMYFUNCTION("INDIRECT(""'收支紀錄'!A""&amp;TO_TEXT(ROW()-$C$72))"),46147.93025929398)</f>
        <v>46147.93026</v>
      </c>
      <c r="B1631" s="59">
        <f>IFERROR(__xludf.DUMMYFUNCTION("IF(ISBLANK(D1631), """", IF(ISDATE(D1631), D1631, IF(D1631=""今天"", A1631, IF(D1631=""昨天 (-1 day)"", A1631-1, IF(D1631=""前天 (-2 days)"", A1631-2, IF(D1631=""明天 (+1 day)"", A1631+1, DATE(LEFT(D1631,4), MID(D1631,5,2), RIGHT(D1631,2))))))))"),46147.93025929398)</f>
        <v>46147.93026</v>
      </c>
      <c r="C1631" s="60">
        <f>IFERROR(__xludf.DUMMYFUNCTION("INDIRECT(""'收支紀錄'!C""&amp;TO_TEXT(ROW()-$C$72))"),1319.0)</f>
        <v>1319</v>
      </c>
      <c r="D1631" s="63" t="str">
        <f>IFERROR(__xludf.DUMMYFUNCTION("INDIRECT(""'收支紀錄'!D""&amp;TO_TEXT(ROW()-$C$72))"),"今天")</f>
        <v>今天</v>
      </c>
      <c r="E1631" s="61" t="str">
        <f>IFERROR(__xludf.DUMMYFUNCTION("INDIRECT(""'收支紀錄'!E""&amp;TO_TEXT(ROW()-$C$72))"),"")</f>
        <v/>
      </c>
      <c r="F1631" s="61" t="str">
        <f>IFERROR(__xludf.DUMMYFUNCTION("INDIRECT(""'收支紀錄'!F""&amp;TO_TEXT(ROW()-$C$72))"),"")</f>
        <v/>
      </c>
      <c r="G1631" s="61" t="str">
        <f>IFERROR(__xludf.DUMMYFUNCTION("INDIRECT(""'收支紀錄'!G""&amp;TO_TEXT(ROW()-$C$72))"),"")</f>
        <v/>
      </c>
      <c r="H1631" s="61" t="str">
        <f>IFERROR(__xludf.DUMMYFUNCTION("INDIRECT(""'收支紀錄'!H""&amp;TO_TEXT(ROW()-$C$72))"),"食品酒水")</f>
        <v>食品酒水</v>
      </c>
      <c r="I1631" s="61" t="str">
        <f>IFERROR(__xludf.DUMMYFUNCTION("INDIRECT(""'收支紀錄'!I""&amp;TO_TEXT(ROW()-$C$72))"),"前月公司餐費扣款")</f>
        <v>前月公司餐費扣款</v>
      </c>
      <c r="J1631" s="61" t="str">
        <f>IFERROR(__xludf.DUMMYFUNCTION("INDIRECT(""'收支紀錄'!J""&amp;TO_TEXT(ROW()-$C$72))"),"")</f>
        <v/>
      </c>
      <c r="K1631" s="61" t="str">
        <f>IFERROR(__xludf.DUMMYFUNCTION("INDIRECT(""'收支紀錄'!K""&amp;TO_TEXT(ROW()-$C$72))"),"")</f>
        <v/>
      </c>
      <c r="L1631" s="61" t="str">
        <f>IFERROR(__xludf.DUMMYFUNCTION("INDIRECT(""'收支紀錄'!L""&amp;TO_TEXT(ROW()-$C$72))"),"")</f>
        <v/>
      </c>
      <c r="M1631" s="61" t="str">
        <f>IFERROR(__xludf.DUMMYFUNCTION("INDIRECT(""'收支紀錄'!M""&amp;TO_TEXT(ROW()-$C$72))"),"")</f>
        <v/>
      </c>
      <c r="N1631" s="61" t="str">
        <f>IFERROR(__xludf.DUMMYFUNCTION("INDIRECT(""'收支紀錄'!N""&amp;TO_TEXT(ROW()-$C$72))"),"")</f>
        <v/>
      </c>
      <c r="O1631" s="61" t="str">
        <f>IFERROR(__xludf.DUMMYFUNCTION("INDIRECT(""'收支紀錄'!O""&amp;TO_TEXT(ROW()-$C$72))"),"")</f>
        <v/>
      </c>
      <c r="P1631" s="61" t="str">
        <f>IFERROR(__xludf.DUMMYFUNCTION("INDIRECT(""'收支紀錄'!P""&amp;TO_TEXT(ROW()-$C$72))"),"")</f>
        <v/>
      </c>
      <c r="Q1631" s="61" t="str">
        <f>IFERROR(__xludf.DUMMYFUNCTION("INDIRECT(""'收支紀錄'!Q""&amp;TO_TEXT(ROW()-$C$72))"),"")</f>
        <v/>
      </c>
      <c r="R1631" s="61" t="str">
        <f>IFERROR(__xludf.DUMMYFUNCTION("INDIRECT(""'收支紀錄'!R""&amp;TO_TEXT(ROW()-$C$72))"),"")</f>
        <v/>
      </c>
      <c r="S1631" s="61" t="str">
        <f>IFERROR(__xludf.DUMMYFUNCTION("INDIRECT(""'收支紀錄'!S""&amp;TO_TEXT(ROW()-$C$72))"),"")</f>
        <v/>
      </c>
      <c r="T1631" s="61" t="str">
        <f>IFERROR(__xludf.DUMMYFUNCTION("INDIRECT(""'收支紀錄'!T""&amp;TO_TEXT(ROW()-$C$72))"),"")</f>
        <v/>
      </c>
      <c r="U1631" s="62" t="str">
        <f>IFERROR(__xludf.DUMMYFUNCTION("IF(T1631=""是"",TEXTJOIN("""", TRUE, ""$"", TO_TEXT(C1631), S1631),"""")"),"")</f>
        <v/>
      </c>
    </row>
    <row r="1632">
      <c r="A1632" s="58">
        <f>IFERROR(__xludf.DUMMYFUNCTION("INDIRECT(""'收支紀錄'!A""&amp;TO_TEXT(ROW()-$C$72))"),46147.930565347226)</f>
        <v>46147.93057</v>
      </c>
      <c r="B1632" s="59">
        <f>IFERROR(__xludf.DUMMYFUNCTION("IF(ISBLANK(D1632), """", IF(ISDATE(D1632), D1632, IF(D1632=""今天"", A1632, IF(D1632=""昨天 (-1 day)"", A1632-1, IF(D1632=""前天 (-2 days)"", A1632-2, IF(D1632=""明天 (+1 day)"", A1632+1, DATE(LEFT(D1632,4), MID(D1632,5,2), RIGHT(D1632,2))))))))"),46147.930565347226)</f>
        <v>46147.93057</v>
      </c>
      <c r="C1632" s="60">
        <f>IFERROR(__xludf.DUMMYFUNCTION("INDIRECT(""'收支紀錄'!C""&amp;TO_TEXT(ROW()-$C$72))"),4292.0)</f>
        <v>4292</v>
      </c>
      <c r="D1632" s="63" t="str">
        <f>IFERROR(__xludf.DUMMYFUNCTION("INDIRECT(""'收支紀錄'!D""&amp;TO_TEXT(ROW()-$C$72))"),"今天")</f>
        <v>今天</v>
      </c>
      <c r="E1632" s="61" t="str">
        <f>IFERROR(__xludf.DUMMYFUNCTION("INDIRECT(""'收支紀錄'!E""&amp;TO_TEXT(ROW()-$C$72))"),"")</f>
        <v/>
      </c>
      <c r="F1632" s="61" t="str">
        <f>IFERROR(__xludf.DUMMYFUNCTION("INDIRECT(""'收支紀錄'!F""&amp;TO_TEXT(ROW()-$C$72))"),"")</f>
        <v/>
      </c>
      <c r="G1632" s="61" t="str">
        <f>IFERROR(__xludf.DUMMYFUNCTION("INDIRECT(""'收支紀錄'!G""&amp;TO_TEXT(ROW()-$C$72))"),"")</f>
        <v/>
      </c>
      <c r="H1632" s="61" t="str">
        <f>IFERROR(__xludf.DUMMYFUNCTION("INDIRECT(""'收支紀錄'!H""&amp;TO_TEXT(ROW()-$C$72))"),"投資及其他")</f>
        <v>投資及其他</v>
      </c>
      <c r="I1632" s="61" t="str">
        <f>IFERROR(__xludf.DUMMYFUNCTION("INDIRECT(""'收支紀錄'!I""&amp;TO_TEXT(ROW()-$C$72))"),"")</f>
        <v/>
      </c>
      <c r="J1632" s="61" t="str">
        <f>IFERROR(__xludf.DUMMYFUNCTION("INDIRECT(""'收支紀錄'!J""&amp;TO_TEXT(ROW()-$C$72))"),"")</f>
        <v/>
      </c>
      <c r="K1632" s="61" t="str">
        <f>IFERROR(__xludf.DUMMYFUNCTION("INDIRECT(""'收支紀錄'!K""&amp;TO_TEXT(ROW()-$C$72))"),"")</f>
        <v/>
      </c>
      <c r="L1632" s="61" t="str">
        <f>IFERROR(__xludf.DUMMYFUNCTION("INDIRECT(""'收支紀錄'!L""&amp;TO_TEXT(ROW()-$C$72))"),"")</f>
        <v/>
      </c>
      <c r="M1632" s="61" t="str">
        <f>IFERROR(__xludf.DUMMYFUNCTION("INDIRECT(""'收支紀錄'!M""&amp;TO_TEXT(ROW()-$C$72))"),"")</f>
        <v/>
      </c>
      <c r="N1632" s="61" t="str">
        <f>IFERROR(__xludf.DUMMYFUNCTION("INDIRECT(""'收支紀錄'!N""&amp;TO_TEXT(ROW()-$C$72))"),"")</f>
        <v/>
      </c>
      <c r="O1632" s="61" t="str">
        <f>IFERROR(__xludf.DUMMYFUNCTION("INDIRECT(""'收支紀錄'!O""&amp;TO_TEXT(ROW()-$C$72))"),"")</f>
        <v/>
      </c>
      <c r="P1632" s="61" t="str">
        <f>IFERROR(__xludf.DUMMYFUNCTION("INDIRECT(""'收支紀錄'!P""&amp;TO_TEXT(ROW()-$C$72))"),"")</f>
        <v/>
      </c>
      <c r="Q1632" s="61" t="str">
        <f>IFERROR(__xludf.DUMMYFUNCTION("INDIRECT(""'收支紀錄'!Q""&amp;TO_TEXT(ROW()-$C$72))"),"")</f>
        <v/>
      </c>
      <c r="R1632" s="61" t="str">
        <f>IFERROR(__xludf.DUMMYFUNCTION("INDIRECT(""'收支紀錄'!R""&amp;TO_TEXT(ROW()-$C$72))"),"公司認股")</f>
        <v>公司認股</v>
      </c>
      <c r="S1632" s="61" t="str">
        <f>IFERROR(__xludf.DUMMYFUNCTION("INDIRECT(""'收支紀錄'!S""&amp;TO_TEXT(ROW()-$C$72))"),"")</f>
        <v/>
      </c>
      <c r="T1632" s="61" t="str">
        <f>IFERROR(__xludf.DUMMYFUNCTION("INDIRECT(""'收支紀錄'!T""&amp;TO_TEXT(ROW()-$C$72))"),"")</f>
        <v/>
      </c>
      <c r="U1632" s="62" t="str">
        <f>IFERROR(__xludf.DUMMYFUNCTION("IF(T1632=""是"",TEXTJOIN("""", TRUE, ""$"", TO_TEXT(C1632), S1632),"""")"),"")</f>
        <v/>
      </c>
    </row>
    <row r="1633">
      <c r="A1633" s="58">
        <f>IFERROR(__xludf.DUMMYFUNCTION("INDIRECT(""'收支紀錄'!A""&amp;TO_TEXT(ROW()-$C$72))"),46147.93125554398)</f>
        <v>46147.93126</v>
      </c>
      <c r="B1633" s="59">
        <f>IFERROR(__xludf.DUMMYFUNCTION("IF(ISBLANK(D1633), """", IF(ISDATE(D1633), D1633, IF(D1633=""今天"", A1633, IF(D1633=""昨天 (-1 day)"", A1633-1, IF(D1633=""前天 (-2 days)"", A1633-2, IF(D1633=""明天 (+1 day)"", A1633+1, DATE(LEFT(D1633,4), MID(D1633,5,2), RIGHT(D1633,2))))))))"),46147.93125554398)</f>
        <v>46147.93126</v>
      </c>
      <c r="C1633" s="60">
        <f>IFERROR(__xludf.DUMMYFUNCTION("INDIRECT(""'收支紀錄'!C""&amp;TO_TEXT(ROW()-$C$72))"),8465.0)</f>
        <v>8465</v>
      </c>
      <c r="D1633" s="63" t="str">
        <f>IFERROR(__xludf.DUMMYFUNCTION("INDIRECT(""'收支紀錄'!D""&amp;TO_TEXT(ROW()-$C$72))"),"今天")</f>
        <v>今天</v>
      </c>
      <c r="E1633" s="61" t="str">
        <f>IFERROR(__xludf.DUMMYFUNCTION("INDIRECT(""'收支紀錄'!E""&amp;TO_TEXT(ROW()-$C$72))"),"")</f>
        <v/>
      </c>
      <c r="F1633" s="61" t="str">
        <f>IFERROR(__xludf.DUMMYFUNCTION("INDIRECT(""'收支紀錄'!F""&amp;TO_TEXT(ROW()-$C$72))"),"")</f>
        <v/>
      </c>
      <c r="G1633" s="61" t="str">
        <f>IFERROR(__xludf.DUMMYFUNCTION("INDIRECT(""'收支紀錄'!G""&amp;TO_TEXT(ROW()-$C$72))"),"")</f>
        <v/>
      </c>
      <c r="H1633" s="61" t="str">
        <f>IFERROR(__xludf.DUMMYFUNCTION("INDIRECT(""'收支紀錄'!H""&amp;TO_TEXT(ROW()-$C$72))"),"稅金保險")</f>
        <v>稅金保險</v>
      </c>
      <c r="I1633" s="61" t="str">
        <f>IFERROR(__xludf.DUMMYFUNCTION("INDIRECT(""'收支紀錄'!I""&amp;TO_TEXT(ROW()-$C$72))"),"")</f>
        <v/>
      </c>
      <c r="J1633" s="61" t="str">
        <f>IFERROR(__xludf.DUMMYFUNCTION("INDIRECT(""'收支紀錄'!J""&amp;TO_TEXT(ROW()-$C$72))"),"")</f>
        <v/>
      </c>
      <c r="K1633" s="61" t="str">
        <f>IFERROR(__xludf.DUMMYFUNCTION("INDIRECT(""'收支紀錄'!K""&amp;TO_TEXT(ROW()-$C$72))"),"")</f>
        <v/>
      </c>
      <c r="L1633" s="61" t="str">
        <f>IFERROR(__xludf.DUMMYFUNCTION("INDIRECT(""'收支紀錄'!L""&amp;TO_TEXT(ROW()-$C$72))"),"")</f>
        <v/>
      </c>
      <c r="M1633" s="61" t="str">
        <f>IFERROR(__xludf.DUMMYFUNCTION("INDIRECT(""'收支紀錄'!M""&amp;TO_TEXT(ROW()-$C$72))"),"")</f>
        <v/>
      </c>
      <c r="N1633" s="61" t="str">
        <f>IFERROR(__xludf.DUMMYFUNCTION("INDIRECT(""'收支紀錄'!N""&amp;TO_TEXT(ROW()-$C$72))"),"勞健保")</f>
        <v>勞健保</v>
      </c>
      <c r="O1633" s="61" t="str">
        <f>IFERROR(__xludf.DUMMYFUNCTION("INDIRECT(""'收支紀錄'!O""&amp;TO_TEXT(ROW()-$C$72))"),"")</f>
        <v/>
      </c>
      <c r="P1633" s="61" t="str">
        <f>IFERROR(__xludf.DUMMYFUNCTION("INDIRECT(""'收支紀錄'!P""&amp;TO_TEXT(ROW()-$C$72))"),"")</f>
        <v/>
      </c>
      <c r="Q1633" s="61" t="str">
        <f>IFERROR(__xludf.DUMMYFUNCTION("INDIRECT(""'收支紀錄'!Q""&amp;TO_TEXT(ROW()-$C$72))"),"")</f>
        <v/>
      </c>
      <c r="R1633" s="61" t="str">
        <f>IFERROR(__xludf.DUMMYFUNCTION("INDIRECT(""'收支紀錄'!R""&amp;TO_TEXT(ROW()-$C$72))"),"")</f>
        <v/>
      </c>
      <c r="S1633" s="61" t="str">
        <f>IFERROR(__xludf.DUMMYFUNCTION("INDIRECT(""'收支紀錄'!S""&amp;TO_TEXT(ROW()-$C$72))"),"")</f>
        <v/>
      </c>
      <c r="T1633" s="61" t="str">
        <f>IFERROR(__xludf.DUMMYFUNCTION("INDIRECT(""'收支紀錄'!T""&amp;TO_TEXT(ROW()-$C$72))"),"")</f>
        <v/>
      </c>
      <c r="U1633" s="62" t="str">
        <f>IFERROR(__xludf.DUMMYFUNCTION("IF(T1633=""是"",TEXTJOIN("""", TRUE, ""$"", TO_TEXT(C1633), S1633),"""")"),"")</f>
        <v/>
      </c>
    </row>
    <row r="1634">
      <c r="A1634" s="58">
        <f>IFERROR(__xludf.DUMMYFUNCTION("INDIRECT(""'收支紀錄'!A""&amp;TO_TEXT(ROW()-$C$72))"),46147.93145628472)</f>
        <v>46147.93146</v>
      </c>
      <c r="B1634" s="59">
        <f>IFERROR(__xludf.DUMMYFUNCTION("IF(ISBLANK(D1634), """", IF(ISDATE(D1634), D1634, IF(D1634=""今天"", A1634, IF(D1634=""昨天 (-1 day)"", A1634-1, IF(D1634=""前天 (-2 days)"", A1634-2, IF(D1634=""明天 (+1 day)"", A1634+1, DATE(LEFT(D1634,4), MID(D1634,5,2), RIGHT(D1634,2))))))))"),46147.93145628472)</f>
        <v>46147.93146</v>
      </c>
      <c r="C1634" s="60">
        <f>IFERROR(__xludf.DUMMYFUNCTION("INDIRECT(""'收支紀錄'!C""&amp;TO_TEXT(ROW()-$C$72))"),537.0)</f>
        <v>537</v>
      </c>
      <c r="D1634" s="63" t="str">
        <f>IFERROR(__xludf.DUMMYFUNCTION("INDIRECT(""'收支紀錄'!D""&amp;TO_TEXT(ROW()-$C$72))"),"今天")</f>
        <v>今天</v>
      </c>
      <c r="E1634" s="61" t="str">
        <f>IFERROR(__xludf.DUMMYFUNCTION("INDIRECT(""'收支紀錄'!E""&amp;TO_TEXT(ROW()-$C$72))"),"")</f>
        <v/>
      </c>
      <c r="F1634" s="61" t="str">
        <f>IFERROR(__xludf.DUMMYFUNCTION("INDIRECT(""'收支紀錄'!F""&amp;TO_TEXT(ROW()-$C$72))"),"")</f>
        <v/>
      </c>
      <c r="G1634" s="61" t="str">
        <f>IFERROR(__xludf.DUMMYFUNCTION("INDIRECT(""'收支紀錄'!G""&amp;TO_TEXT(ROW()-$C$72))"),"")</f>
        <v/>
      </c>
      <c r="H1634" s="61" t="str">
        <f>IFERROR(__xludf.DUMMYFUNCTION("INDIRECT(""'收支紀錄'!H""&amp;TO_TEXT(ROW()-$C$72))"),"休閒娛樂")</f>
        <v>休閒娛樂</v>
      </c>
      <c r="I1634" s="61" t="str">
        <f>IFERROR(__xludf.DUMMYFUNCTION("INDIRECT(""'收支紀錄'!I""&amp;TO_TEXT(ROW()-$C$72))"),"")</f>
        <v/>
      </c>
      <c r="J1634" s="61" t="str">
        <f>IFERROR(__xludf.DUMMYFUNCTION("INDIRECT(""'收支紀錄'!J""&amp;TO_TEXT(ROW()-$C$72))"),"")</f>
        <v/>
      </c>
      <c r="K1634" s="61" t="str">
        <f>IFERROR(__xludf.DUMMYFUNCTION("INDIRECT(""'收支紀錄'!K""&amp;TO_TEXT(ROW()-$C$72))"),"")</f>
        <v/>
      </c>
      <c r="L1634" s="61" t="str">
        <f>IFERROR(__xludf.DUMMYFUNCTION("INDIRECT(""'收支紀錄'!L""&amp;TO_TEXT(ROW()-$C$72))"),"")</f>
        <v/>
      </c>
      <c r="M1634" s="61" t="str">
        <f>IFERROR(__xludf.DUMMYFUNCTION("INDIRECT(""'收支紀錄'!M""&amp;TO_TEXT(ROW()-$C$72))"),"公司福利金")</f>
        <v>公司福利金</v>
      </c>
      <c r="N1634" s="61" t="str">
        <f>IFERROR(__xludf.DUMMYFUNCTION("INDIRECT(""'收支紀錄'!N""&amp;TO_TEXT(ROW()-$C$72))"),"")</f>
        <v/>
      </c>
      <c r="O1634" s="61" t="str">
        <f>IFERROR(__xludf.DUMMYFUNCTION("INDIRECT(""'收支紀錄'!O""&amp;TO_TEXT(ROW()-$C$72))"),"")</f>
        <v/>
      </c>
      <c r="P1634" s="61" t="str">
        <f>IFERROR(__xludf.DUMMYFUNCTION("INDIRECT(""'收支紀錄'!P""&amp;TO_TEXT(ROW()-$C$72))"),"")</f>
        <v/>
      </c>
      <c r="Q1634" s="61" t="str">
        <f>IFERROR(__xludf.DUMMYFUNCTION("INDIRECT(""'收支紀錄'!Q""&amp;TO_TEXT(ROW()-$C$72))"),"")</f>
        <v/>
      </c>
      <c r="R1634" s="61" t="str">
        <f>IFERROR(__xludf.DUMMYFUNCTION("INDIRECT(""'收支紀錄'!R""&amp;TO_TEXT(ROW()-$C$72))"),"")</f>
        <v/>
      </c>
      <c r="S1634" s="61" t="str">
        <f>IFERROR(__xludf.DUMMYFUNCTION("INDIRECT(""'收支紀錄'!S""&amp;TO_TEXT(ROW()-$C$72))"),"")</f>
        <v/>
      </c>
      <c r="T1634" s="61" t="str">
        <f>IFERROR(__xludf.DUMMYFUNCTION("INDIRECT(""'收支紀錄'!T""&amp;TO_TEXT(ROW()-$C$72))"),"")</f>
        <v/>
      </c>
      <c r="U1634" s="62" t="str">
        <f>IFERROR(__xludf.DUMMYFUNCTION("IF(T1634=""是"",TEXTJOIN("""", TRUE, ""$"", TO_TEXT(C1634), S1634),"""")"),"")</f>
        <v/>
      </c>
    </row>
    <row r="1635">
      <c r="A1635" s="58">
        <f>IFERROR(__xludf.DUMMYFUNCTION("INDIRECT(""'收支紀錄'!A""&amp;TO_TEXT(ROW()-$C$72))"),46147.93165737268)</f>
        <v>46147.93166</v>
      </c>
      <c r="B1635" s="59">
        <f>IFERROR(__xludf.DUMMYFUNCTION("IF(ISBLANK(D1635), """", IF(ISDATE(D1635), D1635, IF(D1635=""今天"", A1635, IF(D1635=""昨天 (-1 day)"", A1635-1, IF(D1635=""前天 (-2 days)"", A1635-2, IF(D1635=""明天 (+1 day)"", A1635+1, DATE(LEFT(D1635,4), MID(D1635,5,2), RIGHT(D1635,2))))))))"),46147.93165737268)</f>
        <v>46147.93166</v>
      </c>
      <c r="C1635" s="60">
        <f>IFERROR(__xludf.DUMMYFUNCTION("INDIRECT(""'收支紀錄'!C""&amp;TO_TEXT(ROW()-$C$72))"),8575.0)</f>
        <v>8575</v>
      </c>
      <c r="D1635" s="63" t="str">
        <f>IFERROR(__xludf.DUMMYFUNCTION("INDIRECT(""'收支紀錄'!D""&amp;TO_TEXT(ROW()-$C$72))"),"今天")</f>
        <v>今天</v>
      </c>
      <c r="E1635" s="61" t="str">
        <f>IFERROR(__xludf.DUMMYFUNCTION("INDIRECT(""'收支紀錄'!E""&amp;TO_TEXT(ROW()-$C$72))"),"")</f>
        <v/>
      </c>
      <c r="F1635" s="61" t="str">
        <f>IFERROR(__xludf.DUMMYFUNCTION("INDIRECT(""'收支紀錄'!F""&amp;TO_TEXT(ROW()-$C$72))"),"")</f>
        <v/>
      </c>
      <c r="G1635" s="61" t="str">
        <f>IFERROR(__xludf.DUMMYFUNCTION("INDIRECT(""'收支紀錄'!G""&amp;TO_TEXT(ROW()-$C$72))"),"")</f>
        <v/>
      </c>
      <c r="H1635" s="61" t="str">
        <f>IFERROR(__xludf.DUMMYFUNCTION("INDIRECT(""'收支紀錄'!H""&amp;TO_TEXT(ROW()-$C$72))"),"稅金保險")</f>
        <v>稅金保險</v>
      </c>
      <c r="I1635" s="61" t="str">
        <f>IFERROR(__xludf.DUMMYFUNCTION("INDIRECT(""'收支紀錄'!I""&amp;TO_TEXT(ROW()-$C$72))"),"")</f>
        <v/>
      </c>
      <c r="J1635" s="61" t="str">
        <f>IFERROR(__xludf.DUMMYFUNCTION("INDIRECT(""'收支紀錄'!J""&amp;TO_TEXT(ROW()-$C$72))"),"")</f>
        <v/>
      </c>
      <c r="K1635" s="61" t="str">
        <f>IFERROR(__xludf.DUMMYFUNCTION("INDIRECT(""'收支紀錄'!K""&amp;TO_TEXT(ROW()-$C$72))"),"")</f>
        <v/>
      </c>
      <c r="L1635" s="61" t="str">
        <f>IFERROR(__xludf.DUMMYFUNCTION("INDIRECT(""'收支紀錄'!L""&amp;TO_TEXT(ROW()-$C$72))"),"")</f>
        <v/>
      </c>
      <c r="M1635" s="61" t="str">
        <f>IFERROR(__xludf.DUMMYFUNCTION("INDIRECT(""'收支紀錄'!M""&amp;TO_TEXT(ROW()-$C$72))"),"")</f>
        <v/>
      </c>
      <c r="N1635" s="61" t="str">
        <f>IFERROR(__xludf.DUMMYFUNCTION("INDIRECT(""'收支紀錄'!N""&amp;TO_TEXT(ROW()-$C$72))"),"稅金")</f>
        <v>稅金</v>
      </c>
      <c r="O1635" s="61" t="str">
        <f>IFERROR(__xludf.DUMMYFUNCTION("INDIRECT(""'收支紀錄'!O""&amp;TO_TEXT(ROW()-$C$72))"),"")</f>
        <v/>
      </c>
      <c r="P1635" s="61" t="str">
        <f>IFERROR(__xludf.DUMMYFUNCTION("INDIRECT(""'收支紀錄'!P""&amp;TO_TEXT(ROW()-$C$72))"),"")</f>
        <v/>
      </c>
      <c r="Q1635" s="61" t="str">
        <f>IFERROR(__xludf.DUMMYFUNCTION("INDIRECT(""'收支紀錄'!Q""&amp;TO_TEXT(ROW()-$C$72))"),"")</f>
        <v/>
      </c>
      <c r="R1635" s="61" t="str">
        <f>IFERROR(__xludf.DUMMYFUNCTION("INDIRECT(""'收支紀錄'!R""&amp;TO_TEXT(ROW()-$C$72))"),"")</f>
        <v/>
      </c>
      <c r="S1635" s="61" t="str">
        <f>IFERROR(__xludf.DUMMYFUNCTION("INDIRECT(""'收支紀錄'!S""&amp;TO_TEXT(ROW()-$C$72))"),"")</f>
        <v/>
      </c>
      <c r="T1635" s="61" t="str">
        <f>IFERROR(__xludf.DUMMYFUNCTION("INDIRECT(""'收支紀錄'!T""&amp;TO_TEXT(ROW()-$C$72))"),"")</f>
        <v/>
      </c>
      <c r="U1635" s="62" t="str">
        <f>IFERROR(__xludf.DUMMYFUNCTION("IF(T1635=""是"",TEXTJOIN("""", TRUE, ""$"", TO_TEXT(C1635), S1635),"""")"),"")</f>
        <v/>
      </c>
    </row>
    <row r="1636">
      <c r="A1636" s="58">
        <f>IFERROR(__xludf.DUMMYFUNCTION("INDIRECT(""'收支紀錄'!A""&amp;TO_TEXT(ROW()-$C$72))"),46147.93293634259)</f>
        <v>46147.93294</v>
      </c>
      <c r="B1636" s="59">
        <f>IFERROR(__xludf.DUMMYFUNCTION("IF(ISBLANK(D1636), """", IF(ISDATE(D1636), D1636, IF(D1636=""今天"", A1636, IF(D1636=""昨天 (-1 day)"", A1636-1, IF(D1636=""前天 (-2 days)"", A1636-2, IF(D1636=""明天 (+1 day)"", A1636+1, DATE(LEFT(D1636,4), MID(D1636,5,2), RIGHT(D1636,2))))))))"),46147.93293634259)</f>
        <v>46147.93294</v>
      </c>
      <c r="C1636" s="60">
        <f>IFERROR(__xludf.DUMMYFUNCTION("INDIRECT(""'收支紀錄'!C""&amp;TO_TEXT(ROW()-$C$72))"),230.0)</f>
        <v>230</v>
      </c>
      <c r="D1636" s="63" t="str">
        <f>IFERROR(__xludf.DUMMYFUNCTION("INDIRECT(""'收支紀錄'!D""&amp;TO_TEXT(ROW()-$C$72))"),"今天")</f>
        <v>今天</v>
      </c>
      <c r="E1636" s="61" t="str">
        <f>IFERROR(__xludf.DUMMYFUNCTION("INDIRECT(""'收支紀錄'!E""&amp;TO_TEXT(ROW()-$C$72))"),"")</f>
        <v/>
      </c>
      <c r="F1636" s="61" t="str">
        <f>IFERROR(__xludf.DUMMYFUNCTION("INDIRECT(""'收支紀錄'!F""&amp;TO_TEXT(ROW()-$C$72))"),"")</f>
        <v/>
      </c>
      <c r="G1636" s="61" t="str">
        <f>IFERROR(__xludf.DUMMYFUNCTION("INDIRECT(""'收支紀錄'!G""&amp;TO_TEXT(ROW()-$C$72))"),"")</f>
        <v/>
      </c>
      <c r="H1636" s="61" t="str">
        <f>IFERROR(__xludf.DUMMYFUNCTION("INDIRECT(""'收支紀錄'!H""&amp;TO_TEXT(ROW()-$C$72))"),"房屋支出")</f>
        <v>房屋支出</v>
      </c>
      <c r="I1636" s="61" t="str">
        <f>IFERROR(__xludf.DUMMYFUNCTION("INDIRECT(""'收支紀錄'!I""&amp;TO_TEXT(ROW()-$C$72))"),"")</f>
        <v/>
      </c>
      <c r="J1636" s="61" t="str">
        <f>IFERROR(__xludf.DUMMYFUNCTION("INDIRECT(""'收支紀錄'!J""&amp;TO_TEXT(ROW()-$C$72))"),"")</f>
        <v/>
      </c>
      <c r="K1636" s="61" t="str">
        <f>IFERROR(__xludf.DUMMYFUNCTION("INDIRECT(""'收支紀錄'!K""&amp;TO_TEXT(ROW()-$C$72))"),"水費")</f>
        <v>水費</v>
      </c>
      <c r="L1636" s="61" t="str">
        <f>IFERROR(__xludf.DUMMYFUNCTION("INDIRECT(""'收支紀錄'!L""&amp;TO_TEXT(ROW()-$C$72))"),"")</f>
        <v/>
      </c>
      <c r="M1636" s="61" t="str">
        <f>IFERROR(__xludf.DUMMYFUNCTION("INDIRECT(""'收支紀錄'!M""&amp;TO_TEXT(ROW()-$C$72))"),"")</f>
        <v/>
      </c>
      <c r="N1636" s="61" t="str">
        <f>IFERROR(__xludf.DUMMYFUNCTION("INDIRECT(""'收支紀錄'!N""&amp;TO_TEXT(ROW()-$C$72))"),"")</f>
        <v/>
      </c>
      <c r="O1636" s="61" t="str">
        <f>IFERROR(__xludf.DUMMYFUNCTION("INDIRECT(""'收支紀錄'!O""&amp;TO_TEXT(ROW()-$C$72))"),"")</f>
        <v/>
      </c>
      <c r="P1636" s="61" t="str">
        <f>IFERROR(__xludf.DUMMYFUNCTION("INDIRECT(""'收支紀錄'!P""&amp;TO_TEXT(ROW()-$C$72))"),"")</f>
        <v/>
      </c>
      <c r="Q1636" s="61" t="str">
        <f>IFERROR(__xludf.DUMMYFUNCTION("INDIRECT(""'收支紀錄'!Q""&amp;TO_TEXT(ROW()-$C$72))"),"")</f>
        <v/>
      </c>
      <c r="R1636" s="61" t="str">
        <f>IFERROR(__xludf.DUMMYFUNCTION("INDIRECT(""'收支紀錄'!R""&amp;TO_TEXT(ROW()-$C$72))"),"")</f>
        <v/>
      </c>
      <c r="S1636" s="61" t="str">
        <f>IFERROR(__xludf.DUMMYFUNCTION("INDIRECT(""'收支紀錄'!S""&amp;TO_TEXT(ROW()-$C$72))"),"")</f>
        <v/>
      </c>
      <c r="T1636" s="61" t="str">
        <f>IFERROR(__xludf.DUMMYFUNCTION("INDIRECT(""'收支紀錄'!T""&amp;TO_TEXT(ROW()-$C$72))"),"")</f>
        <v/>
      </c>
      <c r="U1636" s="62" t="str">
        <f>IFERROR(__xludf.DUMMYFUNCTION("IF(T1636=""是"",TEXTJOIN("""", TRUE, ""$"", TO_TEXT(C1636), S1636),"""")"),"")</f>
        <v/>
      </c>
    </row>
    <row r="1637">
      <c r="A1637" s="58">
        <f>IFERROR(__xludf.DUMMYFUNCTION("INDIRECT(""'收支紀錄'!A""&amp;TO_TEXT(ROW()-$C$72))"),46147.93401116898)</f>
        <v>46147.93401</v>
      </c>
      <c r="B1637" s="59">
        <f>IFERROR(__xludf.DUMMYFUNCTION("IF(ISBLANK(D1637), """", IF(ISDATE(D1637), D1637, IF(D1637=""今天"", A1637, IF(D1637=""昨天 (-1 day)"", A1637-1, IF(D1637=""前天 (-2 days)"", A1637-2, IF(D1637=""明天 (+1 day)"", A1637+1, DATE(LEFT(D1637,4), MID(D1637,5,2), RIGHT(D1637,2))))))))"),46142.0)</f>
        <v>46142</v>
      </c>
      <c r="C1637" s="60">
        <f>IFERROR(__xludf.DUMMYFUNCTION("INDIRECT(""'收支紀錄'!C""&amp;TO_TEXT(ROW()-$C$72))"),1050.0)</f>
        <v>1050</v>
      </c>
      <c r="D1637" s="63">
        <f>IFERROR(__xludf.DUMMYFUNCTION("INDIRECT(""'收支紀錄'!D""&amp;TO_TEXT(ROW()-$C$72))"),2.026043E7)</f>
        <v>20260430</v>
      </c>
      <c r="E1637" s="61" t="str">
        <f>IFERROR(__xludf.DUMMYFUNCTION("INDIRECT(""'收支紀錄'!E""&amp;TO_TEXT(ROW()-$C$72))"),"")</f>
        <v/>
      </c>
      <c r="F1637" s="61" t="str">
        <f>IFERROR(__xludf.DUMMYFUNCTION("INDIRECT(""'收支紀錄'!F""&amp;TO_TEXT(ROW()-$C$72))"),"")</f>
        <v/>
      </c>
      <c r="G1637" s="61" t="str">
        <f>IFERROR(__xludf.DUMMYFUNCTION("INDIRECT(""'收支紀錄'!G""&amp;TO_TEXT(ROW()-$C$72))"),"")</f>
        <v/>
      </c>
      <c r="H1637" s="61" t="str">
        <f>IFERROR(__xludf.DUMMYFUNCTION("INDIRECT(""'收支紀錄'!H""&amp;TO_TEXT(ROW()-$C$72))"),"房屋支出")</f>
        <v>房屋支出</v>
      </c>
      <c r="I1637" s="61" t="str">
        <f>IFERROR(__xludf.DUMMYFUNCTION("INDIRECT(""'收支紀錄'!I""&amp;TO_TEXT(ROW()-$C$72))"),"")</f>
        <v/>
      </c>
      <c r="J1637" s="61" t="str">
        <f>IFERROR(__xludf.DUMMYFUNCTION("INDIRECT(""'收支紀錄'!J""&amp;TO_TEXT(ROW()-$C$72))"),"")</f>
        <v/>
      </c>
      <c r="K1637" s="61" t="str">
        <f>IFERROR(__xludf.DUMMYFUNCTION("INDIRECT(""'收支紀錄'!K""&amp;TO_TEXT(ROW()-$C$72))"),"電費")</f>
        <v>電費</v>
      </c>
      <c r="L1637" s="61" t="str">
        <f>IFERROR(__xludf.DUMMYFUNCTION("INDIRECT(""'收支紀錄'!L""&amp;TO_TEXT(ROW()-$C$72))"),"")</f>
        <v/>
      </c>
      <c r="M1637" s="61" t="str">
        <f>IFERROR(__xludf.DUMMYFUNCTION("INDIRECT(""'收支紀錄'!M""&amp;TO_TEXT(ROW()-$C$72))"),"")</f>
        <v/>
      </c>
      <c r="N1637" s="61" t="str">
        <f>IFERROR(__xludf.DUMMYFUNCTION("INDIRECT(""'收支紀錄'!N""&amp;TO_TEXT(ROW()-$C$72))"),"")</f>
        <v/>
      </c>
      <c r="O1637" s="61" t="str">
        <f>IFERROR(__xludf.DUMMYFUNCTION("INDIRECT(""'收支紀錄'!O""&amp;TO_TEXT(ROW()-$C$72))"),"")</f>
        <v/>
      </c>
      <c r="P1637" s="61" t="str">
        <f>IFERROR(__xludf.DUMMYFUNCTION("INDIRECT(""'收支紀錄'!P""&amp;TO_TEXT(ROW()-$C$72))"),"")</f>
        <v/>
      </c>
      <c r="Q1637" s="61" t="str">
        <f>IFERROR(__xludf.DUMMYFUNCTION("INDIRECT(""'收支紀錄'!Q""&amp;TO_TEXT(ROW()-$C$72))"),"")</f>
        <v/>
      </c>
      <c r="R1637" s="61" t="str">
        <f>IFERROR(__xludf.DUMMYFUNCTION("INDIRECT(""'收支紀錄'!R""&amp;TO_TEXT(ROW()-$C$72))"),"")</f>
        <v/>
      </c>
      <c r="S1637" s="61" t="str">
        <f>IFERROR(__xludf.DUMMYFUNCTION("INDIRECT(""'收支紀錄'!S""&amp;TO_TEXT(ROW()-$C$72))"),"")</f>
        <v/>
      </c>
      <c r="T1637" s="61" t="str">
        <f>IFERROR(__xludf.DUMMYFUNCTION("INDIRECT(""'收支紀錄'!T""&amp;TO_TEXT(ROW()-$C$72))"),"")</f>
        <v/>
      </c>
      <c r="U1637" s="62" t="str">
        <f>IFERROR(__xludf.DUMMYFUNCTION("IF(T1637=""是"",TEXTJOIN("""", TRUE, ""$"", TO_TEXT(C1637), S1637),"""")"),"")</f>
        <v/>
      </c>
    </row>
    <row r="1638">
      <c r="A1638" s="58">
        <f>IFERROR(__xludf.DUMMYFUNCTION("INDIRECT(""'收支紀錄'!A""&amp;TO_TEXT(ROW()-$C$72))"),46147.934616053244)</f>
        <v>46147.93462</v>
      </c>
      <c r="B1638" s="59">
        <f>IFERROR(__xludf.DUMMYFUNCTION("IF(ISBLANK(D1638), """", IF(ISDATE(D1638), D1638, IF(D1638=""今天"", A1638, IF(D1638=""昨天 (-1 day)"", A1638-1, IF(D1638=""前天 (-2 days)"", A1638-2, IF(D1638=""明天 (+1 day)"", A1638+1, DATE(LEFT(D1638,4), MID(D1638,5,2), RIGHT(D1638,2))))))))"),46142.0)</f>
        <v>46142</v>
      </c>
      <c r="C1638" s="60">
        <f>IFERROR(__xludf.DUMMYFUNCTION("INDIRECT(""'收支紀錄'!C""&amp;TO_TEXT(ROW()-$C$72))"),102.0)</f>
        <v>102</v>
      </c>
      <c r="D1638" s="63">
        <f>IFERROR(__xludf.DUMMYFUNCTION("INDIRECT(""'收支紀錄'!D""&amp;TO_TEXT(ROW()-$C$72))"),2.026043E7)</f>
        <v>20260430</v>
      </c>
      <c r="E1638" s="61" t="str">
        <f>IFERROR(__xludf.DUMMYFUNCTION("INDIRECT(""'收支紀錄'!E""&amp;TO_TEXT(ROW()-$C$72))"),"")</f>
        <v/>
      </c>
      <c r="F1638" s="61" t="str">
        <f>IFERROR(__xludf.DUMMYFUNCTION("INDIRECT(""'收支紀錄'!F""&amp;TO_TEXT(ROW()-$C$72))"),"")</f>
        <v/>
      </c>
      <c r="G1638" s="61" t="str">
        <f>IFERROR(__xludf.DUMMYFUNCTION("INDIRECT(""'收支紀錄'!G""&amp;TO_TEXT(ROW()-$C$72))"),"")</f>
        <v/>
      </c>
      <c r="H1638" s="61" t="str">
        <f>IFERROR(__xludf.DUMMYFUNCTION("INDIRECT(""'收支紀錄'!H""&amp;TO_TEXT(ROW()-$C$72))"),"行車交通")</f>
        <v>行車交通</v>
      </c>
      <c r="I1638" s="61" t="str">
        <f>IFERROR(__xludf.DUMMYFUNCTION("INDIRECT(""'收支紀錄'!I""&amp;TO_TEXT(ROW()-$C$72))"),"")</f>
        <v/>
      </c>
      <c r="J1638" s="61" t="str">
        <f>IFERROR(__xludf.DUMMYFUNCTION("INDIRECT(""'收支紀錄'!J""&amp;TO_TEXT(ROW()-$C$72))"),"")</f>
        <v/>
      </c>
      <c r="K1638" s="61" t="str">
        <f>IFERROR(__xludf.DUMMYFUNCTION("INDIRECT(""'收支紀錄'!K""&amp;TO_TEXT(ROW()-$C$72))"),"")</f>
        <v/>
      </c>
      <c r="L1638" s="61" t="str">
        <f>IFERROR(__xludf.DUMMYFUNCTION("INDIRECT(""'收支紀錄'!L""&amp;TO_TEXT(ROW()-$C$72))"),"停車")</f>
        <v>停車</v>
      </c>
      <c r="M1638" s="61" t="str">
        <f>IFERROR(__xludf.DUMMYFUNCTION("INDIRECT(""'收支紀錄'!M""&amp;TO_TEXT(ROW()-$C$72))"),"")</f>
        <v/>
      </c>
      <c r="N1638" s="61" t="str">
        <f>IFERROR(__xludf.DUMMYFUNCTION("INDIRECT(""'收支紀錄'!N""&amp;TO_TEXT(ROW()-$C$72))"),"")</f>
        <v/>
      </c>
      <c r="O1638" s="61" t="str">
        <f>IFERROR(__xludf.DUMMYFUNCTION("INDIRECT(""'收支紀錄'!O""&amp;TO_TEXT(ROW()-$C$72))"),"")</f>
        <v/>
      </c>
      <c r="P1638" s="61" t="str">
        <f>IFERROR(__xludf.DUMMYFUNCTION("INDIRECT(""'收支紀錄'!P""&amp;TO_TEXT(ROW()-$C$72))"),"")</f>
        <v/>
      </c>
      <c r="Q1638" s="61" t="str">
        <f>IFERROR(__xludf.DUMMYFUNCTION("INDIRECT(""'收支紀錄'!Q""&amp;TO_TEXT(ROW()-$C$72))"),"")</f>
        <v/>
      </c>
      <c r="R1638" s="61" t="str">
        <f>IFERROR(__xludf.DUMMYFUNCTION("INDIRECT(""'收支紀錄'!R""&amp;TO_TEXT(ROW()-$C$72))"),"")</f>
        <v/>
      </c>
      <c r="S1638" s="61" t="str">
        <f>IFERROR(__xludf.DUMMYFUNCTION("INDIRECT(""'收支紀錄'!S""&amp;TO_TEXT(ROW()-$C$72))"),"")</f>
        <v/>
      </c>
      <c r="T1638" s="61" t="str">
        <f>IFERROR(__xludf.DUMMYFUNCTION("INDIRECT(""'收支紀錄'!T""&amp;TO_TEXT(ROW()-$C$72))"),"")</f>
        <v/>
      </c>
      <c r="U1638" s="62" t="str">
        <f>IFERROR(__xludf.DUMMYFUNCTION("IF(T1638=""是"",TEXTJOIN("""", TRUE, ""$"", TO_TEXT(C1638), S1638),"""")"),"")</f>
        <v/>
      </c>
    </row>
    <row r="1639">
      <c r="A1639" s="58">
        <f>IFERROR(__xludf.DUMMYFUNCTION("INDIRECT(""'收支紀錄'!A""&amp;TO_TEXT(ROW()-$C$72))"),46149.89084229167)</f>
        <v>46149.89084</v>
      </c>
      <c r="B1639" s="59">
        <f>IFERROR(__xludf.DUMMYFUNCTION("IF(ISBLANK(D1639), """", IF(ISDATE(D1639), D1639, IF(D1639=""今天"", A1639, IF(D1639=""昨天 (-1 day)"", A1639-1, IF(D1639=""前天 (-2 days)"", A1639-2, IF(D1639=""明天 (+1 day)"", A1639+1, DATE(LEFT(D1639,4), MID(D1639,5,2), RIGHT(D1639,2))))))))"),46149.89084229167)</f>
        <v>46149.89084</v>
      </c>
      <c r="C1639" s="60">
        <f>IFERROR(__xludf.DUMMYFUNCTION("INDIRECT(""'收支紀錄'!C""&amp;TO_TEXT(ROW()-$C$72))"),256.0)</f>
        <v>256</v>
      </c>
      <c r="D1639" s="63" t="str">
        <f>IFERROR(__xludf.DUMMYFUNCTION("INDIRECT(""'收支紀錄'!D""&amp;TO_TEXT(ROW()-$C$72))"),"今天")</f>
        <v>今天</v>
      </c>
      <c r="E1639" s="61" t="str">
        <f>IFERROR(__xludf.DUMMYFUNCTION("INDIRECT(""'收支紀錄'!E""&amp;TO_TEXT(ROW()-$C$72))"),"")</f>
        <v/>
      </c>
      <c r="F1639" s="61" t="str">
        <f>IFERROR(__xludf.DUMMYFUNCTION("INDIRECT(""'收支紀錄'!F""&amp;TO_TEXT(ROW()-$C$72))"),"")</f>
        <v/>
      </c>
      <c r="G1639" s="61" t="str">
        <f>IFERROR(__xludf.DUMMYFUNCTION("INDIRECT(""'收支紀錄'!G""&amp;TO_TEXT(ROW()-$C$72))"),"")</f>
        <v/>
      </c>
      <c r="H1639" s="61" t="str">
        <f>IFERROR(__xludf.DUMMYFUNCTION("INDIRECT(""'收支紀錄'!H""&amp;TO_TEXT(ROW()-$C$72))"),"食品酒水")</f>
        <v>食品酒水</v>
      </c>
      <c r="I1639" s="61" t="str">
        <f>IFERROR(__xludf.DUMMYFUNCTION("INDIRECT(""'收支紀錄'!I""&amp;TO_TEXT(ROW()-$C$72))"),"午餐")</f>
        <v>午餐</v>
      </c>
      <c r="J1639" s="61" t="str">
        <f>IFERROR(__xludf.DUMMYFUNCTION("INDIRECT(""'收支紀錄'!J""&amp;TO_TEXT(ROW()-$C$72))"),"")</f>
        <v/>
      </c>
      <c r="K1639" s="61" t="str">
        <f>IFERROR(__xludf.DUMMYFUNCTION("INDIRECT(""'收支紀錄'!K""&amp;TO_TEXT(ROW()-$C$72))"),"")</f>
        <v/>
      </c>
      <c r="L1639" s="61" t="str">
        <f>IFERROR(__xludf.DUMMYFUNCTION("INDIRECT(""'收支紀錄'!L""&amp;TO_TEXT(ROW()-$C$72))"),"")</f>
        <v/>
      </c>
      <c r="M1639" s="61" t="str">
        <f>IFERROR(__xludf.DUMMYFUNCTION("INDIRECT(""'收支紀錄'!M""&amp;TO_TEXT(ROW()-$C$72))"),"")</f>
        <v/>
      </c>
      <c r="N1639" s="61" t="str">
        <f>IFERROR(__xludf.DUMMYFUNCTION("INDIRECT(""'收支紀錄'!N""&amp;TO_TEXT(ROW()-$C$72))"),"")</f>
        <v/>
      </c>
      <c r="O1639" s="61" t="str">
        <f>IFERROR(__xludf.DUMMYFUNCTION("INDIRECT(""'收支紀錄'!O""&amp;TO_TEXT(ROW()-$C$72))"),"")</f>
        <v/>
      </c>
      <c r="P1639" s="61" t="str">
        <f>IFERROR(__xludf.DUMMYFUNCTION("INDIRECT(""'收支紀錄'!P""&amp;TO_TEXT(ROW()-$C$72))"),"")</f>
        <v/>
      </c>
      <c r="Q1639" s="61" t="str">
        <f>IFERROR(__xludf.DUMMYFUNCTION("INDIRECT(""'收支紀錄'!Q""&amp;TO_TEXT(ROW()-$C$72))"),"")</f>
        <v/>
      </c>
      <c r="R1639" s="61" t="str">
        <f>IFERROR(__xludf.DUMMYFUNCTION("INDIRECT(""'收支紀錄'!R""&amp;TO_TEXT(ROW()-$C$72))"),"")</f>
        <v/>
      </c>
      <c r="S1639" s="61" t="str">
        <f>IFERROR(__xludf.DUMMYFUNCTION("INDIRECT(""'收支紀錄'!S""&amp;TO_TEXT(ROW()-$C$72))"),"")</f>
        <v/>
      </c>
      <c r="T1639" s="61" t="str">
        <f>IFERROR(__xludf.DUMMYFUNCTION("INDIRECT(""'收支紀錄'!T""&amp;TO_TEXT(ROW()-$C$72))"),"")</f>
        <v/>
      </c>
      <c r="U1639" s="62" t="str">
        <f>IFERROR(__xludf.DUMMYFUNCTION("IF(T1639=""是"",TEXTJOIN("""", TRUE, ""$"", TO_TEXT(C1639), S1639),"""")"),"")</f>
        <v/>
      </c>
    </row>
    <row r="1640">
      <c r="A1640" s="58">
        <f>IFERROR(__xludf.DUMMYFUNCTION("INDIRECT(""'收支紀錄'!A""&amp;TO_TEXT(ROW()-$C$72))"),46149.89106238426)</f>
        <v>46149.89106</v>
      </c>
      <c r="B1640" s="59">
        <f>IFERROR(__xludf.DUMMYFUNCTION("IF(ISBLANK(D1640), """", IF(ISDATE(D1640), D1640, IF(D1640=""今天"", A1640, IF(D1640=""昨天 (-1 day)"", A1640-1, IF(D1640=""前天 (-2 days)"", A1640-2, IF(D1640=""明天 (+1 day)"", A1640+1, DATE(LEFT(D1640,4), MID(D1640,5,2), RIGHT(D1640,2))))))))"),46149.89106238426)</f>
        <v>46149.89106</v>
      </c>
      <c r="C1640" s="60">
        <f>IFERROR(__xludf.DUMMYFUNCTION("INDIRECT(""'收支紀錄'!C""&amp;TO_TEXT(ROW()-$C$72))"),376.0)</f>
        <v>376</v>
      </c>
      <c r="D1640" s="63" t="str">
        <f>IFERROR(__xludf.DUMMYFUNCTION("INDIRECT(""'收支紀錄'!D""&amp;TO_TEXT(ROW()-$C$72))"),"今天")</f>
        <v>今天</v>
      </c>
      <c r="E1640" s="61" t="str">
        <f>IFERROR(__xludf.DUMMYFUNCTION("INDIRECT(""'收支紀錄'!E""&amp;TO_TEXT(ROW()-$C$72))"),"")</f>
        <v/>
      </c>
      <c r="F1640" s="61" t="str">
        <f>IFERROR(__xludf.DUMMYFUNCTION("INDIRECT(""'收支紀錄'!F""&amp;TO_TEXT(ROW()-$C$72))"),"")</f>
        <v/>
      </c>
      <c r="G1640" s="61" t="str">
        <f>IFERROR(__xludf.DUMMYFUNCTION("INDIRECT(""'收支紀錄'!G""&amp;TO_TEXT(ROW()-$C$72))"),"")</f>
        <v/>
      </c>
      <c r="H1640" s="61" t="str">
        <f>IFERROR(__xludf.DUMMYFUNCTION("INDIRECT(""'收支紀錄'!H""&amp;TO_TEXT(ROW()-$C$72))"),"日常生活")</f>
        <v>日常生活</v>
      </c>
      <c r="I1640" s="61" t="str">
        <f>IFERROR(__xludf.DUMMYFUNCTION("INDIRECT(""'收支紀錄'!I""&amp;TO_TEXT(ROW()-$C$72))"),"")</f>
        <v/>
      </c>
      <c r="J1640" s="61" t="str">
        <f>IFERROR(__xludf.DUMMYFUNCTION("INDIRECT(""'收支紀錄'!J""&amp;TO_TEXT(ROW()-$C$72))"),"日常用品")</f>
        <v>日常用品</v>
      </c>
      <c r="K1640" s="61" t="str">
        <f>IFERROR(__xludf.DUMMYFUNCTION("INDIRECT(""'收支紀錄'!K""&amp;TO_TEXT(ROW()-$C$72))"),"")</f>
        <v/>
      </c>
      <c r="L1640" s="61" t="str">
        <f>IFERROR(__xludf.DUMMYFUNCTION("INDIRECT(""'收支紀錄'!L""&amp;TO_TEXT(ROW()-$C$72))"),"")</f>
        <v/>
      </c>
      <c r="M1640" s="61" t="str">
        <f>IFERROR(__xludf.DUMMYFUNCTION("INDIRECT(""'收支紀錄'!M""&amp;TO_TEXT(ROW()-$C$72))"),"")</f>
        <v/>
      </c>
      <c r="N1640" s="61" t="str">
        <f>IFERROR(__xludf.DUMMYFUNCTION("INDIRECT(""'收支紀錄'!N""&amp;TO_TEXT(ROW()-$C$72))"),"")</f>
        <v/>
      </c>
      <c r="O1640" s="61" t="str">
        <f>IFERROR(__xludf.DUMMYFUNCTION("INDIRECT(""'收支紀錄'!O""&amp;TO_TEXT(ROW()-$C$72))"),"")</f>
        <v/>
      </c>
      <c r="P1640" s="61" t="str">
        <f>IFERROR(__xludf.DUMMYFUNCTION("INDIRECT(""'收支紀錄'!P""&amp;TO_TEXT(ROW()-$C$72))"),"")</f>
        <v/>
      </c>
      <c r="Q1640" s="61" t="str">
        <f>IFERROR(__xludf.DUMMYFUNCTION("INDIRECT(""'收支紀錄'!Q""&amp;TO_TEXT(ROW()-$C$72))"),"")</f>
        <v/>
      </c>
      <c r="R1640" s="61" t="str">
        <f>IFERROR(__xludf.DUMMYFUNCTION("INDIRECT(""'收支紀錄'!R""&amp;TO_TEXT(ROW()-$C$72))"),"")</f>
        <v/>
      </c>
      <c r="S1640" s="61" t="str">
        <f>IFERROR(__xludf.DUMMYFUNCTION("INDIRECT(""'收支紀錄'!S""&amp;TO_TEXT(ROW()-$C$72))"),"")</f>
        <v/>
      </c>
      <c r="T1640" s="61" t="str">
        <f>IFERROR(__xludf.DUMMYFUNCTION("INDIRECT(""'收支紀錄'!T""&amp;TO_TEXT(ROW()-$C$72))"),"")</f>
        <v/>
      </c>
      <c r="U1640" s="62" t="str">
        <f>IFERROR(__xludf.DUMMYFUNCTION("IF(T1640=""是"",TEXTJOIN("""", TRUE, ""$"", TO_TEXT(C1640), S1640),"""")"),"")</f>
        <v/>
      </c>
    </row>
    <row r="1641">
      <c r="A1641" s="58">
        <f>IFERROR(__xludf.DUMMYFUNCTION("INDIRECT(""'收支紀錄'!A""&amp;TO_TEXT(ROW()-$C$72))"),46149.89247024305)</f>
        <v>46149.89247</v>
      </c>
      <c r="B1641" s="59">
        <f>IFERROR(__xludf.DUMMYFUNCTION("IF(ISBLANK(D1641), """", IF(ISDATE(D1641), D1641, IF(D1641=""今天"", A1641, IF(D1641=""昨天 (-1 day)"", A1641-1, IF(D1641=""前天 (-2 days)"", A1641-2, IF(D1641=""明天 (+1 day)"", A1641+1, DATE(LEFT(D1641,4), MID(D1641,5,2), RIGHT(D1641,2))))))))"),46150.89247024305)</f>
        <v>46150.89247</v>
      </c>
      <c r="C1641" s="60">
        <f>IFERROR(__xludf.DUMMYFUNCTION("INDIRECT(""'收支紀錄'!C""&amp;TO_TEXT(ROW()-$C$72))"),660.0)</f>
        <v>660</v>
      </c>
      <c r="D1641" s="63" t="str">
        <f>IFERROR(__xludf.DUMMYFUNCTION("INDIRECT(""'收支紀錄'!D""&amp;TO_TEXT(ROW()-$C$72))"),"明天 (+1 day)")</f>
        <v>明天 (+1 day)</v>
      </c>
      <c r="E1641" s="61" t="str">
        <f>IFERROR(__xludf.DUMMYFUNCTION("INDIRECT(""'收支紀錄'!E""&amp;TO_TEXT(ROW()-$C$72))"),"")</f>
        <v/>
      </c>
      <c r="F1641" s="61" t="str">
        <f>IFERROR(__xludf.DUMMYFUNCTION("INDIRECT(""'收支紀錄'!F""&amp;TO_TEXT(ROW()-$C$72))"),"")</f>
        <v/>
      </c>
      <c r="G1641" s="61" t="str">
        <f>IFERROR(__xludf.DUMMYFUNCTION("INDIRECT(""'收支紀錄'!G""&amp;TO_TEXT(ROW()-$C$72))"),"")</f>
        <v/>
      </c>
      <c r="H1641" s="61" t="str">
        <f>IFERROR(__xludf.DUMMYFUNCTION("INDIRECT(""'收支紀錄'!H""&amp;TO_TEXT(ROW()-$C$72))"),"行車交通")</f>
        <v>行車交通</v>
      </c>
      <c r="I1641" s="61" t="str">
        <f>IFERROR(__xludf.DUMMYFUNCTION("INDIRECT(""'收支紀錄'!I""&amp;TO_TEXT(ROW()-$C$72))"),"")</f>
        <v/>
      </c>
      <c r="J1641" s="61" t="str">
        <f>IFERROR(__xludf.DUMMYFUNCTION("INDIRECT(""'收支紀錄'!J""&amp;TO_TEXT(ROW()-$C$72))"),"")</f>
        <v/>
      </c>
      <c r="K1641" s="61" t="str">
        <f>IFERROR(__xludf.DUMMYFUNCTION("INDIRECT(""'收支紀錄'!K""&amp;TO_TEXT(ROW()-$C$72))"),"")</f>
        <v/>
      </c>
      <c r="L1641" s="61" t="str">
        <f>IFERROR(__xludf.DUMMYFUNCTION("INDIRECT(""'收支紀錄'!L""&amp;TO_TEXT(ROW()-$C$72))"),"高鐵")</f>
        <v>高鐵</v>
      </c>
      <c r="M1641" s="61" t="str">
        <f>IFERROR(__xludf.DUMMYFUNCTION("INDIRECT(""'收支紀錄'!M""&amp;TO_TEXT(ROW()-$C$72))"),"")</f>
        <v/>
      </c>
      <c r="N1641" s="61" t="str">
        <f>IFERROR(__xludf.DUMMYFUNCTION("INDIRECT(""'收支紀錄'!N""&amp;TO_TEXT(ROW()-$C$72))"),"")</f>
        <v/>
      </c>
      <c r="O1641" s="61" t="str">
        <f>IFERROR(__xludf.DUMMYFUNCTION("INDIRECT(""'收支紀錄'!O""&amp;TO_TEXT(ROW()-$C$72))"),"")</f>
        <v/>
      </c>
      <c r="P1641" s="61" t="str">
        <f>IFERROR(__xludf.DUMMYFUNCTION("INDIRECT(""'收支紀錄'!P""&amp;TO_TEXT(ROW()-$C$72))"),"")</f>
        <v/>
      </c>
      <c r="Q1641" s="61" t="str">
        <f>IFERROR(__xludf.DUMMYFUNCTION("INDIRECT(""'收支紀錄'!Q""&amp;TO_TEXT(ROW()-$C$72))"),"")</f>
        <v/>
      </c>
      <c r="R1641" s="61" t="str">
        <f>IFERROR(__xludf.DUMMYFUNCTION("INDIRECT(""'收支紀錄'!R""&amp;TO_TEXT(ROW()-$C$72))"),"")</f>
        <v/>
      </c>
      <c r="S1641" s="61" t="str">
        <f>IFERROR(__xludf.DUMMYFUNCTION("INDIRECT(""'收支紀錄'!S""&amp;TO_TEXT(ROW()-$C$72))"),"")</f>
        <v/>
      </c>
      <c r="T1641" s="61" t="str">
        <f>IFERROR(__xludf.DUMMYFUNCTION("INDIRECT(""'收支紀錄'!T""&amp;TO_TEXT(ROW()-$C$72))"),"")</f>
        <v/>
      </c>
      <c r="U1641" s="62" t="str">
        <f>IFERROR(__xludf.DUMMYFUNCTION("IF(T1641=""是"",TEXTJOIN("""", TRUE, ""$"", TO_TEXT(C1641), S1641),"""")"),"")</f>
        <v/>
      </c>
    </row>
    <row r="1642">
      <c r="A1642" s="58">
        <f>IFERROR(__xludf.DUMMYFUNCTION("INDIRECT(""'收支紀錄'!A""&amp;TO_TEXT(ROW()-$C$72))"),46151.56842256944)</f>
        <v>46151.56842</v>
      </c>
      <c r="B1642" s="59">
        <f>IFERROR(__xludf.DUMMYFUNCTION("IF(ISBLANK(D1642), """", IF(ISDATE(D1642), D1642, IF(D1642=""今天"", A1642, IF(D1642=""昨天 (-1 day)"", A1642-1, IF(D1642=""前天 (-2 days)"", A1642-2, IF(D1642=""明天 (+1 day)"", A1642+1, DATE(LEFT(D1642,4), MID(D1642,5,2), RIGHT(D1642,2))))))))"),46151.56842256944)</f>
        <v>46151.56842</v>
      </c>
      <c r="C1642" s="60">
        <f>IFERROR(__xludf.DUMMYFUNCTION("INDIRECT(""'收支紀錄'!C""&amp;TO_TEXT(ROW()-$C$72))"),1000.0)</f>
        <v>1000</v>
      </c>
      <c r="D1642" s="63" t="str">
        <f>IFERROR(__xludf.DUMMYFUNCTION("INDIRECT(""'收支紀錄'!D""&amp;TO_TEXT(ROW()-$C$72))"),"今天")</f>
        <v>今天</v>
      </c>
      <c r="E1642" s="61" t="str">
        <f>IFERROR(__xludf.DUMMYFUNCTION("INDIRECT(""'收支紀錄'!E""&amp;TO_TEXT(ROW()-$C$72))"),"")</f>
        <v/>
      </c>
      <c r="F1642" s="61" t="str">
        <f>IFERROR(__xludf.DUMMYFUNCTION("INDIRECT(""'收支紀錄'!F""&amp;TO_TEXT(ROW()-$C$72))"),"")</f>
        <v/>
      </c>
      <c r="G1642" s="61" t="str">
        <f>IFERROR(__xludf.DUMMYFUNCTION("INDIRECT(""'收支紀錄'!G""&amp;TO_TEXT(ROW()-$C$72))"),"")</f>
        <v/>
      </c>
      <c r="H1642" s="61" t="str">
        <f>IFERROR(__xludf.DUMMYFUNCTION("INDIRECT(""'收支紀錄'!H""&amp;TO_TEXT(ROW()-$C$72))"),"人情往來")</f>
        <v>人情往來</v>
      </c>
      <c r="I1642" s="61" t="str">
        <f>IFERROR(__xludf.DUMMYFUNCTION("INDIRECT(""'收支紀錄'!I""&amp;TO_TEXT(ROW()-$C$72))"),"")</f>
        <v/>
      </c>
      <c r="J1642" s="61" t="str">
        <f>IFERROR(__xludf.DUMMYFUNCTION("INDIRECT(""'收支紀錄'!J""&amp;TO_TEXT(ROW()-$C$72))"),"")</f>
        <v/>
      </c>
      <c r="K1642" s="61" t="str">
        <f>IFERROR(__xludf.DUMMYFUNCTION("INDIRECT(""'收支紀錄'!K""&amp;TO_TEXT(ROW()-$C$72))"),"")</f>
        <v/>
      </c>
      <c r="L1642" s="61" t="str">
        <f>IFERROR(__xludf.DUMMYFUNCTION("INDIRECT(""'收支紀錄'!L""&amp;TO_TEXT(ROW()-$C$72))"),"")</f>
        <v/>
      </c>
      <c r="M1642" s="61" t="str">
        <f>IFERROR(__xludf.DUMMYFUNCTION("INDIRECT(""'收支紀錄'!M""&amp;TO_TEXT(ROW()-$C$72))"),"")</f>
        <v/>
      </c>
      <c r="N1642" s="61" t="str">
        <f>IFERROR(__xludf.DUMMYFUNCTION("INDIRECT(""'收支紀錄'!N""&amp;TO_TEXT(ROW()-$C$72))"),"")</f>
        <v/>
      </c>
      <c r="O1642" s="61" t="str">
        <f>IFERROR(__xludf.DUMMYFUNCTION("INDIRECT(""'收支紀錄'!O""&amp;TO_TEXT(ROW()-$C$72))"),"")</f>
        <v/>
      </c>
      <c r="P1642" s="61" t="str">
        <f>IFERROR(__xludf.DUMMYFUNCTION("INDIRECT(""'收支紀錄'!P""&amp;TO_TEXT(ROW()-$C$72))"),"")</f>
        <v/>
      </c>
      <c r="Q1642" s="61" t="str">
        <f>IFERROR(__xludf.DUMMYFUNCTION("INDIRECT(""'收支紀錄'!Q""&amp;TO_TEXT(ROW()-$C$72))"),"尊親費用")</f>
        <v>尊親費用</v>
      </c>
      <c r="R1642" s="61" t="str">
        <f>IFERROR(__xludf.DUMMYFUNCTION("INDIRECT(""'收支紀錄'!R""&amp;TO_TEXT(ROW()-$C$72))"),"")</f>
        <v/>
      </c>
      <c r="S1642" s="61" t="str">
        <f>IFERROR(__xludf.DUMMYFUNCTION("INDIRECT(""'收支紀錄'!S""&amp;TO_TEXT(ROW()-$C$72))"),"母親節鞋")</f>
        <v>母親節鞋</v>
      </c>
      <c r="T1642" s="61" t="str">
        <f>IFERROR(__xludf.DUMMYFUNCTION("INDIRECT(""'收支紀錄'!T""&amp;TO_TEXT(ROW()-$C$72))"),"")</f>
        <v/>
      </c>
      <c r="U1642" s="62" t="str">
        <f>IFERROR(__xludf.DUMMYFUNCTION("IF(T1642=""是"",TEXTJOIN("""", TRUE, ""$"", TO_TEXT(C1642), S1642),"""")"),"")</f>
        <v/>
      </c>
    </row>
    <row r="1643">
      <c r="A1643" s="58">
        <f>IFERROR(__xludf.DUMMYFUNCTION("INDIRECT(""'收支紀錄'!A""&amp;TO_TEXT(ROW()-$C$72))"),46152.73494314815)</f>
        <v>46152.73494</v>
      </c>
      <c r="B1643" s="59">
        <f>IFERROR(__xludf.DUMMYFUNCTION("IF(ISBLANK(D1643), """", IF(ISDATE(D1643), D1643, IF(D1643=""今天"", A1643, IF(D1643=""昨天 (-1 day)"", A1643-1, IF(D1643=""前天 (-2 days)"", A1643-2, IF(D1643=""明天 (+1 day)"", A1643+1, DATE(LEFT(D1643,4), MID(D1643,5,2), RIGHT(D1643,2))))))))"),46152.73494314815)</f>
        <v>46152.73494</v>
      </c>
      <c r="C1643" s="60">
        <f>IFERROR(__xludf.DUMMYFUNCTION("INDIRECT(""'收支紀錄'!C""&amp;TO_TEXT(ROW()-$C$72))"),765.0)</f>
        <v>765</v>
      </c>
      <c r="D1643" s="63" t="str">
        <f>IFERROR(__xludf.DUMMYFUNCTION("INDIRECT(""'收支紀錄'!D""&amp;TO_TEXT(ROW()-$C$72))"),"今天")</f>
        <v>今天</v>
      </c>
      <c r="E1643" s="61" t="str">
        <f>IFERROR(__xludf.DUMMYFUNCTION("INDIRECT(""'收支紀錄'!E""&amp;TO_TEXT(ROW()-$C$72))"),"")</f>
        <v/>
      </c>
      <c r="F1643" s="61" t="str">
        <f>IFERROR(__xludf.DUMMYFUNCTION("INDIRECT(""'收支紀錄'!F""&amp;TO_TEXT(ROW()-$C$72))"),"")</f>
        <v/>
      </c>
      <c r="G1643" s="61" t="str">
        <f>IFERROR(__xludf.DUMMYFUNCTION("INDIRECT(""'收支紀錄'!G""&amp;TO_TEXT(ROW()-$C$72))"),"")</f>
        <v/>
      </c>
      <c r="H1643" s="61" t="str">
        <f>IFERROR(__xludf.DUMMYFUNCTION("INDIRECT(""'收支紀錄'!H""&amp;TO_TEXT(ROW()-$C$72))"),"行車交通")</f>
        <v>行車交通</v>
      </c>
      <c r="I1643" s="61" t="str">
        <f>IFERROR(__xludf.DUMMYFUNCTION("INDIRECT(""'收支紀錄'!I""&amp;TO_TEXT(ROW()-$C$72))"),"")</f>
        <v/>
      </c>
      <c r="J1643" s="61" t="str">
        <f>IFERROR(__xludf.DUMMYFUNCTION("INDIRECT(""'收支紀錄'!J""&amp;TO_TEXT(ROW()-$C$72))"),"")</f>
        <v/>
      </c>
      <c r="K1643" s="61" t="str">
        <f>IFERROR(__xludf.DUMMYFUNCTION("INDIRECT(""'收支紀錄'!K""&amp;TO_TEXT(ROW()-$C$72))"),"")</f>
        <v/>
      </c>
      <c r="L1643" s="61" t="str">
        <f>IFERROR(__xludf.DUMMYFUNCTION("INDIRECT(""'收支紀錄'!L""&amp;TO_TEXT(ROW()-$C$72))"),"高鐵")</f>
        <v>高鐵</v>
      </c>
      <c r="M1643" s="61" t="str">
        <f>IFERROR(__xludf.DUMMYFUNCTION("INDIRECT(""'收支紀錄'!M""&amp;TO_TEXT(ROW()-$C$72))"),"")</f>
        <v/>
      </c>
      <c r="N1643" s="61" t="str">
        <f>IFERROR(__xludf.DUMMYFUNCTION("INDIRECT(""'收支紀錄'!N""&amp;TO_TEXT(ROW()-$C$72))"),"")</f>
        <v/>
      </c>
      <c r="O1643" s="61" t="str">
        <f>IFERROR(__xludf.DUMMYFUNCTION("INDIRECT(""'收支紀錄'!O""&amp;TO_TEXT(ROW()-$C$72))"),"")</f>
        <v/>
      </c>
      <c r="P1643" s="61" t="str">
        <f>IFERROR(__xludf.DUMMYFUNCTION("INDIRECT(""'收支紀錄'!P""&amp;TO_TEXT(ROW()-$C$72))"),"")</f>
        <v/>
      </c>
      <c r="Q1643" s="61" t="str">
        <f>IFERROR(__xludf.DUMMYFUNCTION("INDIRECT(""'收支紀錄'!Q""&amp;TO_TEXT(ROW()-$C$72))"),"")</f>
        <v/>
      </c>
      <c r="R1643" s="61" t="str">
        <f>IFERROR(__xludf.DUMMYFUNCTION("INDIRECT(""'收支紀錄'!R""&amp;TO_TEXT(ROW()-$C$72))"),"")</f>
        <v/>
      </c>
      <c r="S1643" s="61" t="str">
        <f>IFERROR(__xludf.DUMMYFUNCTION("INDIRECT(""'收支紀錄'!S""&amp;TO_TEXT(ROW()-$C$72))"),"")</f>
        <v/>
      </c>
      <c r="T1643" s="61" t="str">
        <f>IFERROR(__xludf.DUMMYFUNCTION("INDIRECT(""'收支紀錄'!T""&amp;TO_TEXT(ROW()-$C$72))"),"")</f>
        <v/>
      </c>
      <c r="U1643" s="62" t="str">
        <f>IFERROR(__xludf.DUMMYFUNCTION("IF(T1643=""是"",TEXTJOIN("""", TRUE, ""$"", TO_TEXT(C1643), S1643),"""")"),"")</f>
        <v/>
      </c>
    </row>
    <row r="1644">
      <c r="A1644" s="58">
        <f>IFERROR(__xludf.DUMMYFUNCTION("INDIRECT(""'收支紀錄'!A""&amp;TO_TEXT(ROW()-$C$72))"),46152.73523597222)</f>
        <v>46152.73524</v>
      </c>
      <c r="B1644" s="59">
        <f>IFERROR(__xludf.DUMMYFUNCTION("IF(ISBLANK(D1644), """", IF(ISDATE(D1644), D1644, IF(D1644=""今天"", A1644, IF(D1644=""昨天 (-1 day)"", A1644-1, IF(D1644=""前天 (-2 days)"", A1644-2, IF(D1644=""明天 (+1 day)"", A1644+1, DATE(LEFT(D1644,4), MID(D1644,5,2), RIGHT(D1644,2))))))))"),46152.73523597222)</f>
        <v>46152.73524</v>
      </c>
      <c r="C1644" s="60">
        <f>IFERROR(__xludf.DUMMYFUNCTION("INDIRECT(""'收支紀錄'!C""&amp;TO_TEXT(ROW()-$C$72))"),159.0)</f>
        <v>159</v>
      </c>
      <c r="D1644" s="63" t="str">
        <f>IFERROR(__xludf.DUMMYFUNCTION("INDIRECT(""'收支紀錄'!D""&amp;TO_TEXT(ROW()-$C$72))"),"今天")</f>
        <v>今天</v>
      </c>
      <c r="E1644" s="61" t="str">
        <f>IFERROR(__xludf.DUMMYFUNCTION("INDIRECT(""'收支紀錄'!E""&amp;TO_TEXT(ROW()-$C$72))"),"")</f>
        <v/>
      </c>
      <c r="F1644" s="61" t="str">
        <f>IFERROR(__xludf.DUMMYFUNCTION("INDIRECT(""'收支紀錄'!F""&amp;TO_TEXT(ROW()-$C$72))"),"")</f>
        <v/>
      </c>
      <c r="G1644" s="61" t="str">
        <f>IFERROR(__xludf.DUMMYFUNCTION("INDIRECT(""'收支紀錄'!G""&amp;TO_TEXT(ROW()-$C$72))"),"")</f>
        <v/>
      </c>
      <c r="H1644" s="61" t="str">
        <f>IFERROR(__xludf.DUMMYFUNCTION("INDIRECT(""'收支紀錄'!H""&amp;TO_TEXT(ROW()-$C$72))"),"食品酒水")</f>
        <v>食品酒水</v>
      </c>
      <c r="I1644" s="61" t="str">
        <f>IFERROR(__xludf.DUMMYFUNCTION("INDIRECT(""'收支紀錄'!I""&amp;TO_TEXT(ROW()-$C$72))"),"午餐")</f>
        <v>午餐</v>
      </c>
      <c r="J1644" s="61" t="str">
        <f>IFERROR(__xludf.DUMMYFUNCTION("INDIRECT(""'收支紀錄'!J""&amp;TO_TEXT(ROW()-$C$72))"),"")</f>
        <v/>
      </c>
      <c r="K1644" s="61" t="str">
        <f>IFERROR(__xludf.DUMMYFUNCTION("INDIRECT(""'收支紀錄'!K""&amp;TO_TEXT(ROW()-$C$72))"),"")</f>
        <v/>
      </c>
      <c r="L1644" s="61" t="str">
        <f>IFERROR(__xludf.DUMMYFUNCTION("INDIRECT(""'收支紀錄'!L""&amp;TO_TEXT(ROW()-$C$72))"),"")</f>
        <v/>
      </c>
      <c r="M1644" s="61" t="str">
        <f>IFERROR(__xludf.DUMMYFUNCTION("INDIRECT(""'收支紀錄'!M""&amp;TO_TEXT(ROW()-$C$72))"),"")</f>
        <v/>
      </c>
      <c r="N1644" s="61" t="str">
        <f>IFERROR(__xludf.DUMMYFUNCTION("INDIRECT(""'收支紀錄'!N""&amp;TO_TEXT(ROW()-$C$72))"),"")</f>
        <v/>
      </c>
      <c r="O1644" s="61" t="str">
        <f>IFERROR(__xludf.DUMMYFUNCTION("INDIRECT(""'收支紀錄'!O""&amp;TO_TEXT(ROW()-$C$72))"),"")</f>
        <v/>
      </c>
      <c r="P1644" s="61" t="str">
        <f>IFERROR(__xludf.DUMMYFUNCTION("INDIRECT(""'收支紀錄'!P""&amp;TO_TEXT(ROW()-$C$72))"),"")</f>
        <v/>
      </c>
      <c r="Q1644" s="61" t="str">
        <f>IFERROR(__xludf.DUMMYFUNCTION("INDIRECT(""'收支紀錄'!Q""&amp;TO_TEXT(ROW()-$C$72))"),"")</f>
        <v/>
      </c>
      <c r="R1644" s="61" t="str">
        <f>IFERROR(__xludf.DUMMYFUNCTION("INDIRECT(""'收支紀錄'!R""&amp;TO_TEXT(ROW()-$C$72))"),"")</f>
        <v/>
      </c>
      <c r="S1644" s="61" t="str">
        <f>IFERROR(__xludf.DUMMYFUNCTION("INDIRECT(""'收支紀錄'!S""&amp;TO_TEXT(ROW()-$C$72))"),"")</f>
        <v/>
      </c>
      <c r="T1644" s="61" t="str">
        <f>IFERROR(__xludf.DUMMYFUNCTION("INDIRECT(""'收支紀錄'!T""&amp;TO_TEXT(ROW()-$C$72))"),"")</f>
        <v/>
      </c>
      <c r="U1644" s="62" t="str">
        <f>IFERROR(__xludf.DUMMYFUNCTION("IF(T1644=""是"",TEXTJOIN("""", TRUE, ""$"", TO_TEXT(C1644), S1644),"""")"),"")</f>
        <v/>
      </c>
    </row>
    <row r="1645">
      <c r="A1645" s="58">
        <f>IFERROR(__xludf.DUMMYFUNCTION("INDIRECT(""'收支紀錄'!A""&amp;TO_TEXT(ROW()-$C$72))"),46154.77775259259)</f>
        <v>46154.77775</v>
      </c>
      <c r="B1645" s="59">
        <f>IFERROR(__xludf.DUMMYFUNCTION("IF(ISBLANK(D1645), """", IF(ISDATE(D1645), D1645, IF(D1645=""今天"", A1645, IF(D1645=""昨天 (-1 day)"", A1645-1, IF(D1645=""前天 (-2 days)"", A1645-2, IF(D1645=""明天 (+1 day)"", A1645+1, DATE(LEFT(D1645,4), MID(D1645,5,2), RIGHT(D1645,2))))))))"),46153.77775259259)</f>
        <v>46153.77775</v>
      </c>
      <c r="C1645" s="60">
        <f>IFERROR(__xludf.DUMMYFUNCTION("INDIRECT(""'收支紀錄'!C""&amp;TO_TEXT(ROW()-$C$72))"),690.0)</f>
        <v>690</v>
      </c>
      <c r="D1645" s="63" t="str">
        <f>IFERROR(__xludf.DUMMYFUNCTION("INDIRECT(""'收支紀錄'!D""&amp;TO_TEXT(ROW()-$C$72))"),"昨天 (-1 day)")</f>
        <v>昨天 (-1 day)</v>
      </c>
      <c r="E1645" s="61" t="str">
        <f>IFERROR(__xludf.DUMMYFUNCTION("INDIRECT(""'收支紀錄'!E""&amp;TO_TEXT(ROW()-$C$72))"),"")</f>
        <v/>
      </c>
      <c r="F1645" s="61" t="str">
        <f>IFERROR(__xludf.DUMMYFUNCTION("INDIRECT(""'收支紀錄'!F""&amp;TO_TEXT(ROW()-$C$72))"),"")</f>
        <v/>
      </c>
      <c r="G1645" s="61" t="str">
        <f>IFERROR(__xludf.DUMMYFUNCTION("INDIRECT(""'收支紀錄'!G""&amp;TO_TEXT(ROW()-$C$72))"),"")</f>
        <v/>
      </c>
      <c r="H1645" s="61" t="str">
        <f>IFERROR(__xludf.DUMMYFUNCTION("INDIRECT(""'收支紀錄'!H""&amp;TO_TEXT(ROW()-$C$72))"),"進修學習")</f>
        <v>進修學習</v>
      </c>
      <c r="I1645" s="61" t="str">
        <f>IFERROR(__xludf.DUMMYFUNCTION("INDIRECT(""'收支紀錄'!I""&amp;TO_TEXT(ROW()-$C$72))"),"")</f>
        <v/>
      </c>
      <c r="J1645" s="61" t="str">
        <f>IFERROR(__xludf.DUMMYFUNCTION("INDIRECT(""'收支紀錄'!J""&amp;TO_TEXT(ROW()-$C$72))"),"")</f>
        <v/>
      </c>
      <c r="K1645" s="61" t="str">
        <f>IFERROR(__xludf.DUMMYFUNCTION("INDIRECT(""'收支紀錄'!K""&amp;TO_TEXT(ROW()-$C$72))"),"")</f>
        <v/>
      </c>
      <c r="L1645" s="61" t="str">
        <f>IFERROR(__xludf.DUMMYFUNCTION("INDIRECT(""'收支紀錄'!L""&amp;TO_TEXT(ROW()-$C$72))"),"")</f>
        <v/>
      </c>
      <c r="M1645" s="61" t="str">
        <f>IFERROR(__xludf.DUMMYFUNCTION("INDIRECT(""'收支紀錄'!M""&amp;TO_TEXT(ROW()-$C$72))"),"")</f>
        <v/>
      </c>
      <c r="N1645" s="61" t="str">
        <f>IFERROR(__xludf.DUMMYFUNCTION("INDIRECT(""'收支紀錄'!N""&amp;TO_TEXT(ROW()-$C$72))"),"")</f>
        <v/>
      </c>
      <c r="O1645" s="61" t="str">
        <f>IFERROR(__xludf.DUMMYFUNCTION("INDIRECT(""'收支紀錄'!O""&amp;TO_TEXT(ROW()-$C$72))"),"")</f>
        <v/>
      </c>
      <c r="P1645" s="61" t="str">
        <f>IFERROR(__xludf.DUMMYFUNCTION("INDIRECT(""'收支紀錄'!P""&amp;TO_TEXT(ROW()-$C$72))"),"書報雜誌")</f>
        <v>書報雜誌</v>
      </c>
      <c r="Q1645" s="61" t="str">
        <f>IFERROR(__xludf.DUMMYFUNCTION("INDIRECT(""'收支紀錄'!Q""&amp;TO_TEXT(ROW()-$C$72))"),"")</f>
        <v/>
      </c>
      <c r="R1645" s="61" t="str">
        <f>IFERROR(__xludf.DUMMYFUNCTION("INDIRECT(""'收支紀錄'!R""&amp;TO_TEXT(ROW()-$C$72))"),"")</f>
        <v/>
      </c>
      <c r="S1645" s="61" t="str">
        <f>IFERROR(__xludf.DUMMYFUNCTION("INDIRECT(""'收支紀錄'!S""&amp;TO_TEXT(ROW()-$C$72))"),"OpenAI")</f>
        <v>OpenAI</v>
      </c>
      <c r="T1645" s="61" t="str">
        <f>IFERROR(__xludf.DUMMYFUNCTION("INDIRECT(""'收支紀錄'!T""&amp;TO_TEXT(ROW()-$C$72))"),"否")</f>
        <v>否</v>
      </c>
      <c r="U1645" s="62" t="str">
        <f>IFERROR(__xludf.DUMMYFUNCTION("IF(T1645=""是"",TEXTJOIN("""", TRUE, ""$"", TO_TEXT(C1645), S1645),"""")"),"")</f>
        <v/>
      </c>
    </row>
    <row r="1646">
      <c r="A1646" s="58">
        <f>IFERROR(__xludf.DUMMYFUNCTION("INDIRECT(""'收支紀錄'!A""&amp;TO_TEXT(ROW()-$C$72))"),46154.78119217593)</f>
        <v>46154.78119</v>
      </c>
      <c r="B1646" s="59">
        <f>IFERROR(__xludf.DUMMYFUNCTION("IF(ISBLANK(D1646), """", IF(ISDATE(D1646), D1646, IF(D1646=""今天"", A1646, IF(D1646=""昨天 (-1 day)"", A1646-1, IF(D1646=""前天 (-2 days)"", A1646-2, IF(D1646=""明天 (+1 day)"", A1646+1, DATE(LEFT(D1646,4), MID(D1646,5,2), RIGHT(D1646,2))))))))"),46154.78119217593)</f>
        <v>46154.78119</v>
      </c>
      <c r="C1646" s="60">
        <f>IFERROR(__xludf.DUMMYFUNCTION("INDIRECT(""'收支紀錄'!C""&amp;TO_TEXT(ROW()-$C$72))"),159.0)</f>
        <v>159</v>
      </c>
      <c r="D1646" s="63" t="str">
        <f>IFERROR(__xludf.DUMMYFUNCTION("INDIRECT(""'收支紀錄'!D""&amp;TO_TEXT(ROW()-$C$72))"),"今天")</f>
        <v>今天</v>
      </c>
      <c r="E1646" s="61" t="str">
        <f>IFERROR(__xludf.DUMMYFUNCTION("INDIRECT(""'收支紀錄'!E""&amp;TO_TEXT(ROW()-$C$72))"),"")</f>
        <v/>
      </c>
      <c r="F1646" s="61" t="str">
        <f>IFERROR(__xludf.DUMMYFUNCTION("INDIRECT(""'收支紀錄'!F""&amp;TO_TEXT(ROW()-$C$72))"),"")</f>
        <v/>
      </c>
      <c r="G1646" s="61" t="str">
        <f>IFERROR(__xludf.DUMMYFUNCTION("INDIRECT(""'收支紀錄'!G""&amp;TO_TEXT(ROW()-$C$72))"),"")</f>
        <v/>
      </c>
      <c r="H1646" s="61" t="str">
        <f>IFERROR(__xludf.DUMMYFUNCTION("INDIRECT(""'收支紀錄'!H""&amp;TO_TEXT(ROW()-$C$72))"),"食品酒水")</f>
        <v>食品酒水</v>
      </c>
      <c r="I1646" s="61" t="str">
        <f>IFERROR(__xludf.DUMMYFUNCTION("INDIRECT(""'收支紀錄'!I""&amp;TO_TEXT(ROW()-$C$72))"),"晚餐")</f>
        <v>晚餐</v>
      </c>
      <c r="J1646" s="61" t="str">
        <f>IFERROR(__xludf.DUMMYFUNCTION("INDIRECT(""'收支紀錄'!J""&amp;TO_TEXT(ROW()-$C$72))"),"")</f>
        <v/>
      </c>
      <c r="K1646" s="61" t="str">
        <f>IFERROR(__xludf.DUMMYFUNCTION("INDIRECT(""'收支紀錄'!K""&amp;TO_TEXT(ROW()-$C$72))"),"")</f>
        <v/>
      </c>
      <c r="L1646" s="61" t="str">
        <f>IFERROR(__xludf.DUMMYFUNCTION("INDIRECT(""'收支紀錄'!L""&amp;TO_TEXT(ROW()-$C$72))"),"")</f>
        <v/>
      </c>
      <c r="M1646" s="61" t="str">
        <f>IFERROR(__xludf.DUMMYFUNCTION("INDIRECT(""'收支紀錄'!M""&amp;TO_TEXT(ROW()-$C$72))"),"")</f>
        <v/>
      </c>
      <c r="N1646" s="61" t="str">
        <f>IFERROR(__xludf.DUMMYFUNCTION("INDIRECT(""'收支紀錄'!N""&amp;TO_TEXT(ROW()-$C$72))"),"")</f>
        <v/>
      </c>
      <c r="O1646" s="61" t="str">
        <f>IFERROR(__xludf.DUMMYFUNCTION("INDIRECT(""'收支紀錄'!O""&amp;TO_TEXT(ROW()-$C$72))"),"")</f>
        <v/>
      </c>
      <c r="P1646" s="61" t="str">
        <f>IFERROR(__xludf.DUMMYFUNCTION("INDIRECT(""'收支紀錄'!P""&amp;TO_TEXT(ROW()-$C$72))"),"")</f>
        <v/>
      </c>
      <c r="Q1646" s="61" t="str">
        <f>IFERROR(__xludf.DUMMYFUNCTION("INDIRECT(""'收支紀錄'!Q""&amp;TO_TEXT(ROW()-$C$72))"),"")</f>
        <v/>
      </c>
      <c r="R1646" s="61" t="str">
        <f>IFERROR(__xludf.DUMMYFUNCTION("INDIRECT(""'收支紀錄'!R""&amp;TO_TEXT(ROW()-$C$72))"),"")</f>
        <v/>
      </c>
      <c r="S1646" s="61" t="str">
        <f>IFERROR(__xludf.DUMMYFUNCTION("INDIRECT(""'收支紀錄'!S""&amp;TO_TEXT(ROW()-$C$72))"),"")</f>
        <v/>
      </c>
      <c r="T1646" s="61" t="str">
        <f>IFERROR(__xludf.DUMMYFUNCTION("INDIRECT(""'收支紀錄'!T""&amp;TO_TEXT(ROW()-$C$72))"),"")</f>
        <v/>
      </c>
      <c r="U1646" s="62" t="str">
        <f>IFERROR(__xludf.DUMMYFUNCTION("IF(T1646=""是"",TEXTJOIN("""", TRUE, ""$"", TO_TEXT(C1646), S1646),"""")"),"")</f>
        <v/>
      </c>
    </row>
    <row r="1647">
      <c r="A1647" s="58">
        <f>IFERROR(__xludf.DUMMYFUNCTION("INDIRECT(""'收支紀錄'!A""&amp;TO_TEXT(ROW()-$C$72))"),46157.80944060185)</f>
        <v>46157.80944</v>
      </c>
      <c r="B1647" s="59">
        <f>IFERROR(__xludf.DUMMYFUNCTION("IF(ISBLANK(D1647), """", IF(ISDATE(D1647), D1647, IF(D1647=""今天"", A1647, IF(D1647=""昨天 (-1 day)"", A1647-1, IF(D1647=""前天 (-2 days)"", A1647-2, IF(D1647=""明天 (+1 day)"", A1647+1, DATE(LEFT(D1647,4), MID(D1647,5,2), RIGHT(D1647,2))))))))"),46157.80944060185)</f>
        <v>46157.80944</v>
      </c>
      <c r="C1647" s="60">
        <f>IFERROR(__xludf.DUMMYFUNCTION("INDIRECT(""'收支紀錄'!C""&amp;TO_TEXT(ROW()-$C$72))"),105.0)</f>
        <v>105</v>
      </c>
      <c r="D1647" s="63" t="str">
        <f>IFERROR(__xludf.DUMMYFUNCTION("INDIRECT(""'收支紀錄'!D""&amp;TO_TEXT(ROW()-$C$72))"),"今天")</f>
        <v>今天</v>
      </c>
      <c r="E1647" s="61" t="str">
        <f>IFERROR(__xludf.DUMMYFUNCTION("INDIRECT(""'收支紀錄'!E""&amp;TO_TEXT(ROW()-$C$72))"),"")</f>
        <v/>
      </c>
      <c r="F1647" s="61" t="str">
        <f>IFERROR(__xludf.DUMMYFUNCTION("INDIRECT(""'收支紀錄'!F""&amp;TO_TEXT(ROW()-$C$72))"),"")</f>
        <v/>
      </c>
      <c r="G1647" s="61" t="str">
        <f>IFERROR(__xludf.DUMMYFUNCTION("INDIRECT(""'收支紀錄'!G""&amp;TO_TEXT(ROW()-$C$72))"),"")</f>
        <v/>
      </c>
      <c r="H1647" s="61" t="str">
        <f>IFERROR(__xludf.DUMMYFUNCTION("INDIRECT(""'收支紀錄'!H""&amp;TO_TEXT(ROW()-$C$72))"),"食品酒水")</f>
        <v>食品酒水</v>
      </c>
      <c r="I1647" s="61" t="str">
        <f>IFERROR(__xludf.DUMMYFUNCTION("INDIRECT(""'收支紀錄'!I""&amp;TO_TEXT(ROW()-$C$72))"),"晚餐")</f>
        <v>晚餐</v>
      </c>
      <c r="J1647" s="61" t="str">
        <f>IFERROR(__xludf.DUMMYFUNCTION("INDIRECT(""'收支紀錄'!J""&amp;TO_TEXT(ROW()-$C$72))"),"")</f>
        <v/>
      </c>
      <c r="K1647" s="61" t="str">
        <f>IFERROR(__xludf.DUMMYFUNCTION("INDIRECT(""'收支紀錄'!K""&amp;TO_TEXT(ROW()-$C$72))"),"")</f>
        <v/>
      </c>
      <c r="L1647" s="61" t="str">
        <f>IFERROR(__xludf.DUMMYFUNCTION("INDIRECT(""'收支紀錄'!L""&amp;TO_TEXT(ROW()-$C$72))"),"")</f>
        <v/>
      </c>
      <c r="M1647" s="61" t="str">
        <f>IFERROR(__xludf.DUMMYFUNCTION("INDIRECT(""'收支紀錄'!M""&amp;TO_TEXT(ROW()-$C$72))"),"")</f>
        <v/>
      </c>
      <c r="N1647" s="61" t="str">
        <f>IFERROR(__xludf.DUMMYFUNCTION("INDIRECT(""'收支紀錄'!N""&amp;TO_TEXT(ROW()-$C$72))"),"")</f>
        <v/>
      </c>
      <c r="O1647" s="61" t="str">
        <f>IFERROR(__xludf.DUMMYFUNCTION("INDIRECT(""'收支紀錄'!O""&amp;TO_TEXT(ROW()-$C$72))"),"")</f>
        <v/>
      </c>
      <c r="P1647" s="61" t="str">
        <f>IFERROR(__xludf.DUMMYFUNCTION("INDIRECT(""'收支紀錄'!P""&amp;TO_TEXT(ROW()-$C$72))"),"")</f>
        <v/>
      </c>
      <c r="Q1647" s="61" t="str">
        <f>IFERROR(__xludf.DUMMYFUNCTION("INDIRECT(""'收支紀錄'!Q""&amp;TO_TEXT(ROW()-$C$72))"),"")</f>
        <v/>
      </c>
      <c r="R1647" s="61" t="str">
        <f>IFERROR(__xludf.DUMMYFUNCTION("INDIRECT(""'收支紀錄'!R""&amp;TO_TEXT(ROW()-$C$72))"),"")</f>
        <v/>
      </c>
      <c r="S1647" s="61" t="str">
        <f>IFERROR(__xludf.DUMMYFUNCTION("INDIRECT(""'收支紀錄'!S""&amp;TO_TEXT(ROW()-$C$72))"),"")</f>
        <v/>
      </c>
      <c r="T1647" s="61" t="str">
        <f>IFERROR(__xludf.DUMMYFUNCTION("INDIRECT(""'收支紀錄'!T""&amp;TO_TEXT(ROW()-$C$72))"),"")</f>
        <v/>
      </c>
      <c r="U1647" s="62" t="str">
        <f>IFERROR(__xludf.DUMMYFUNCTION("IF(T1647=""是"",TEXTJOIN("""", TRUE, ""$"", TO_TEXT(C1647), S1647),"""")"),"")</f>
        <v/>
      </c>
    </row>
    <row r="1648">
      <c r="A1648" s="58">
        <f>IFERROR(__xludf.DUMMYFUNCTION("INDIRECT(""'收支紀錄'!A""&amp;TO_TEXT(ROW()-$C$72))"),46158.6190880787)</f>
        <v>46158.61909</v>
      </c>
      <c r="B1648" s="59">
        <f>IFERROR(__xludf.DUMMYFUNCTION("IF(ISBLANK(D1648), """", IF(ISDATE(D1648), D1648, IF(D1648=""今天"", A1648, IF(D1648=""昨天 (-1 day)"", A1648-1, IF(D1648=""前天 (-2 days)"", A1648-2, IF(D1648=""明天 (+1 day)"", A1648+1, DATE(LEFT(D1648,4), MID(D1648,5,2), RIGHT(D1648,2))))))))"),46158.6190880787)</f>
        <v>46158.61909</v>
      </c>
      <c r="C1648" s="60">
        <f>IFERROR(__xludf.DUMMYFUNCTION("INDIRECT(""'收支紀錄'!C""&amp;TO_TEXT(ROW()-$C$72))"),140.0)</f>
        <v>140</v>
      </c>
      <c r="D1648" s="63" t="str">
        <f>IFERROR(__xludf.DUMMYFUNCTION("INDIRECT(""'收支紀錄'!D""&amp;TO_TEXT(ROW()-$C$72))"),"今天")</f>
        <v>今天</v>
      </c>
      <c r="E1648" s="61" t="str">
        <f>IFERROR(__xludf.DUMMYFUNCTION("INDIRECT(""'收支紀錄'!E""&amp;TO_TEXT(ROW()-$C$72))"),"")</f>
        <v/>
      </c>
      <c r="F1648" s="61" t="str">
        <f>IFERROR(__xludf.DUMMYFUNCTION("INDIRECT(""'收支紀錄'!F""&amp;TO_TEXT(ROW()-$C$72))"),"")</f>
        <v/>
      </c>
      <c r="G1648" s="61" t="str">
        <f>IFERROR(__xludf.DUMMYFUNCTION("INDIRECT(""'收支紀錄'!G""&amp;TO_TEXT(ROW()-$C$72))"),"")</f>
        <v/>
      </c>
      <c r="H1648" s="61" t="str">
        <f>IFERROR(__xludf.DUMMYFUNCTION("INDIRECT(""'收支紀錄'!H""&amp;TO_TEXT(ROW()-$C$72))"),"食品酒水")</f>
        <v>食品酒水</v>
      </c>
      <c r="I1648" s="61" t="str">
        <f>IFERROR(__xludf.DUMMYFUNCTION("INDIRECT(""'收支紀錄'!I""&amp;TO_TEXT(ROW()-$C$72))"),"午餐")</f>
        <v>午餐</v>
      </c>
      <c r="J1648" s="61" t="str">
        <f>IFERROR(__xludf.DUMMYFUNCTION("INDIRECT(""'收支紀錄'!J""&amp;TO_TEXT(ROW()-$C$72))"),"")</f>
        <v/>
      </c>
      <c r="K1648" s="61" t="str">
        <f>IFERROR(__xludf.DUMMYFUNCTION("INDIRECT(""'收支紀錄'!K""&amp;TO_TEXT(ROW()-$C$72))"),"")</f>
        <v/>
      </c>
      <c r="L1648" s="61" t="str">
        <f>IFERROR(__xludf.DUMMYFUNCTION("INDIRECT(""'收支紀錄'!L""&amp;TO_TEXT(ROW()-$C$72))"),"")</f>
        <v/>
      </c>
      <c r="M1648" s="61" t="str">
        <f>IFERROR(__xludf.DUMMYFUNCTION("INDIRECT(""'收支紀錄'!M""&amp;TO_TEXT(ROW()-$C$72))"),"")</f>
        <v/>
      </c>
      <c r="N1648" s="61" t="str">
        <f>IFERROR(__xludf.DUMMYFUNCTION("INDIRECT(""'收支紀錄'!N""&amp;TO_TEXT(ROW()-$C$72))"),"")</f>
        <v/>
      </c>
      <c r="O1648" s="61" t="str">
        <f>IFERROR(__xludf.DUMMYFUNCTION("INDIRECT(""'收支紀錄'!O""&amp;TO_TEXT(ROW()-$C$72))"),"")</f>
        <v/>
      </c>
      <c r="P1648" s="61" t="str">
        <f>IFERROR(__xludf.DUMMYFUNCTION("INDIRECT(""'收支紀錄'!P""&amp;TO_TEXT(ROW()-$C$72))"),"")</f>
        <v/>
      </c>
      <c r="Q1648" s="61" t="str">
        <f>IFERROR(__xludf.DUMMYFUNCTION("INDIRECT(""'收支紀錄'!Q""&amp;TO_TEXT(ROW()-$C$72))"),"")</f>
        <v/>
      </c>
      <c r="R1648" s="61" t="str">
        <f>IFERROR(__xludf.DUMMYFUNCTION("INDIRECT(""'收支紀錄'!R""&amp;TO_TEXT(ROW()-$C$72))"),"")</f>
        <v/>
      </c>
      <c r="S1648" s="61" t="str">
        <f>IFERROR(__xludf.DUMMYFUNCTION("INDIRECT(""'收支紀錄'!S""&amp;TO_TEXT(ROW()-$C$72))"),"")</f>
        <v/>
      </c>
      <c r="T1648" s="61" t="str">
        <f>IFERROR(__xludf.DUMMYFUNCTION("INDIRECT(""'收支紀錄'!T""&amp;TO_TEXT(ROW()-$C$72))"),"")</f>
        <v/>
      </c>
      <c r="U1648" s="62" t="str">
        <f>IFERROR(__xludf.DUMMYFUNCTION("IF(T1648=""是"",TEXTJOIN("""", TRUE, ""$"", TO_TEXT(C1648), S1648),"""")"),"")</f>
        <v/>
      </c>
    </row>
    <row r="1649">
      <c r="A1649" s="58">
        <f>IFERROR(__xludf.DUMMYFUNCTION("INDIRECT(""'收支紀錄'!A""&amp;TO_TEXT(ROW()-$C$72))"),46158.619227048606)</f>
        <v>46158.61923</v>
      </c>
      <c r="B1649" s="59">
        <f>IFERROR(__xludf.DUMMYFUNCTION("IF(ISBLANK(D1649), """", IF(ISDATE(D1649), D1649, IF(D1649=""今天"", A1649, IF(D1649=""昨天 (-1 day)"", A1649-1, IF(D1649=""前天 (-2 days)"", A1649-2, IF(D1649=""明天 (+1 day)"", A1649+1, DATE(LEFT(D1649,4), MID(D1649,5,2), RIGHT(D1649,2))))))))"),46158.619227048606)</f>
        <v>46158.61923</v>
      </c>
      <c r="C1649" s="60">
        <f>IFERROR(__xludf.DUMMYFUNCTION("INDIRECT(""'收支紀錄'!C""&amp;TO_TEXT(ROW()-$C$72))"),66.0)</f>
        <v>66</v>
      </c>
      <c r="D1649" s="63" t="str">
        <f>IFERROR(__xludf.DUMMYFUNCTION("INDIRECT(""'收支紀錄'!D""&amp;TO_TEXT(ROW()-$C$72))"),"今天")</f>
        <v>今天</v>
      </c>
      <c r="E1649" s="61" t="str">
        <f>IFERROR(__xludf.DUMMYFUNCTION("INDIRECT(""'收支紀錄'!E""&amp;TO_TEXT(ROW()-$C$72))"),"")</f>
        <v/>
      </c>
      <c r="F1649" s="61" t="str">
        <f>IFERROR(__xludf.DUMMYFUNCTION("INDIRECT(""'收支紀錄'!F""&amp;TO_TEXT(ROW()-$C$72))"),"")</f>
        <v/>
      </c>
      <c r="G1649" s="61" t="str">
        <f>IFERROR(__xludf.DUMMYFUNCTION("INDIRECT(""'收支紀錄'!G""&amp;TO_TEXT(ROW()-$C$72))"),"")</f>
        <v/>
      </c>
      <c r="H1649" s="61" t="str">
        <f>IFERROR(__xludf.DUMMYFUNCTION("INDIRECT(""'收支紀錄'!H""&amp;TO_TEXT(ROW()-$C$72))"),"食品酒水")</f>
        <v>食品酒水</v>
      </c>
      <c r="I1649" s="61" t="str">
        <f>IFERROR(__xludf.DUMMYFUNCTION("INDIRECT(""'收支紀錄'!I""&amp;TO_TEXT(ROW()-$C$72))"),"早餐")</f>
        <v>早餐</v>
      </c>
      <c r="J1649" s="61" t="str">
        <f>IFERROR(__xludf.DUMMYFUNCTION("INDIRECT(""'收支紀錄'!J""&amp;TO_TEXT(ROW()-$C$72))"),"")</f>
        <v/>
      </c>
      <c r="K1649" s="61" t="str">
        <f>IFERROR(__xludf.DUMMYFUNCTION("INDIRECT(""'收支紀錄'!K""&amp;TO_TEXT(ROW()-$C$72))"),"")</f>
        <v/>
      </c>
      <c r="L1649" s="61" t="str">
        <f>IFERROR(__xludf.DUMMYFUNCTION("INDIRECT(""'收支紀錄'!L""&amp;TO_TEXT(ROW()-$C$72))"),"")</f>
        <v/>
      </c>
      <c r="M1649" s="61" t="str">
        <f>IFERROR(__xludf.DUMMYFUNCTION("INDIRECT(""'收支紀錄'!M""&amp;TO_TEXT(ROW()-$C$72))"),"")</f>
        <v/>
      </c>
      <c r="N1649" s="61" t="str">
        <f>IFERROR(__xludf.DUMMYFUNCTION("INDIRECT(""'收支紀錄'!N""&amp;TO_TEXT(ROW()-$C$72))"),"")</f>
        <v/>
      </c>
      <c r="O1649" s="61" t="str">
        <f>IFERROR(__xludf.DUMMYFUNCTION("INDIRECT(""'收支紀錄'!O""&amp;TO_TEXT(ROW()-$C$72))"),"")</f>
        <v/>
      </c>
      <c r="P1649" s="61" t="str">
        <f>IFERROR(__xludf.DUMMYFUNCTION("INDIRECT(""'收支紀錄'!P""&amp;TO_TEXT(ROW()-$C$72))"),"")</f>
        <v/>
      </c>
      <c r="Q1649" s="61" t="str">
        <f>IFERROR(__xludf.DUMMYFUNCTION("INDIRECT(""'收支紀錄'!Q""&amp;TO_TEXT(ROW()-$C$72))"),"")</f>
        <v/>
      </c>
      <c r="R1649" s="61" t="str">
        <f>IFERROR(__xludf.DUMMYFUNCTION("INDIRECT(""'收支紀錄'!R""&amp;TO_TEXT(ROW()-$C$72))"),"")</f>
        <v/>
      </c>
      <c r="S1649" s="61" t="str">
        <f>IFERROR(__xludf.DUMMYFUNCTION("INDIRECT(""'收支紀錄'!S""&amp;TO_TEXT(ROW()-$C$72))"),"")</f>
        <v/>
      </c>
      <c r="T1649" s="61" t="str">
        <f>IFERROR(__xludf.DUMMYFUNCTION("INDIRECT(""'收支紀錄'!T""&amp;TO_TEXT(ROW()-$C$72))"),"")</f>
        <v/>
      </c>
      <c r="U1649" s="62" t="str">
        <f>IFERROR(__xludf.DUMMYFUNCTION("IF(T1649=""是"",TEXTJOIN("""", TRUE, ""$"", TO_TEXT(C1649), S1649),"""")"),"")</f>
        <v/>
      </c>
    </row>
    <row r="1650">
      <c r="A1650" s="58">
        <f>IFERROR(__xludf.DUMMYFUNCTION("INDIRECT(""'收支紀錄'!A""&amp;TO_TEXT(ROW()-$C$72))"),46158.62048578703)</f>
        <v>46158.62049</v>
      </c>
      <c r="B1650" s="59">
        <f>IFERROR(__xludf.DUMMYFUNCTION("IF(ISBLANK(D1650), """", IF(ISDATE(D1650), D1650, IF(D1650=""今天"", A1650, IF(D1650=""昨天 (-1 day)"", A1650-1, IF(D1650=""前天 (-2 days)"", A1650-2, IF(D1650=""明天 (+1 day)"", A1650+1, DATE(LEFT(D1650,4), MID(D1650,5,2), RIGHT(D1650,2))))))))"),46158.62048578703)</f>
        <v>46158.62049</v>
      </c>
      <c r="C1650" s="60">
        <f>IFERROR(__xludf.DUMMYFUNCTION("INDIRECT(""'收支紀錄'!C""&amp;TO_TEXT(ROW()-$C$72))"),10670.0)</f>
        <v>10670</v>
      </c>
      <c r="D1650" s="63" t="str">
        <f>IFERROR(__xludf.DUMMYFUNCTION("INDIRECT(""'收支紀錄'!D""&amp;TO_TEXT(ROW()-$C$72))"),"今天")</f>
        <v>今天</v>
      </c>
      <c r="E1650" s="61" t="str">
        <f>IFERROR(__xludf.DUMMYFUNCTION("INDIRECT(""'收支紀錄'!E""&amp;TO_TEXT(ROW()-$C$72))"),"")</f>
        <v/>
      </c>
      <c r="F1650" s="61" t="str">
        <f>IFERROR(__xludf.DUMMYFUNCTION("INDIRECT(""'收支紀錄'!F""&amp;TO_TEXT(ROW()-$C$72))"),"")</f>
        <v/>
      </c>
      <c r="G1650" s="61" t="str">
        <f>IFERROR(__xludf.DUMMYFUNCTION("INDIRECT(""'收支紀錄'!G""&amp;TO_TEXT(ROW()-$C$72))"),"")</f>
        <v/>
      </c>
      <c r="H1650" s="61" t="str">
        <f>IFERROR(__xludf.DUMMYFUNCTION("INDIRECT(""'收支紀錄'!H""&amp;TO_TEXT(ROW()-$C$72))"),"行車交通")</f>
        <v>行車交通</v>
      </c>
      <c r="I1650" s="61" t="str">
        <f>IFERROR(__xludf.DUMMYFUNCTION("INDIRECT(""'收支紀錄'!I""&amp;TO_TEXT(ROW()-$C$72))"),"")</f>
        <v/>
      </c>
      <c r="J1650" s="61" t="str">
        <f>IFERROR(__xludf.DUMMYFUNCTION("INDIRECT(""'收支紀錄'!J""&amp;TO_TEXT(ROW()-$C$72))"),"")</f>
        <v/>
      </c>
      <c r="K1650" s="61" t="str">
        <f>IFERROR(__xludf.DUMMYFUNCTION("INDIRECT(""'收支紀錄'!K""&amp;TO_TEXT(ROW()-$C$72))"),"")</f>
        <v/>
      </c>
      <c r="L1650" s="61" t="str">
        <f>IFERROR(__xludf.DUMMYFUNCTION("INDIRECT(""'收支紀錄'!L""&amp;TO_TEXT(ROW()-$C$72))"),"保養")</f>
        <v>保養</v>
      </c>
      <c r="M1650" s="61" t="str">
        <f>IFERROR(__xludf.DUMMYFUNCTION("INDIRECT(""'收支紀錄'!M""&amp;TO_TEXT(ROW()-$C$72))"),"")</f>
        <v/>
      </c>
      <c r="N1650" s="61" t="str">
        <f>IFERROR(__xludf.DUMMYFUNCTION("INDIRECT(""'收支紀錄'!N""&amp;TO_TEXT(ROW()-$C$72))"),"")</f>
        <v/>
      </c>
      <c r="O1650" s="61" t="str">
        <f>IFERROR(__xludf.DUMMYFUNCTION("INDIRECT(""'收支紀錄'!O""&amp;TO_TEXT(ROW()-$C$72))"),"")</f>
        <v/>
      </c>
      <c r="P1650" s="61" t="str">
        <f>IFERROR(__xludf.DUMMYFUNCTION("INDIRECT(""'收支紀錄'!P""&amp;TO_TEXT(ROW()-$C$72))"),"")</f>
        <v/>
      </c>
      <c r="Q1650" s="61" t="str">
        <f>IFERROR(__xludf.DUMMYFUNCTION("INDIRECT(""'收支紀錄'!Q""&amp;TO_TEXT(ROW()-$C$72))"),"")</f>
        <v/>
      </c>
      <c r="R1650" s="61" t="str">
        <f>IFERROR(__xludf.DUMMYFUNCTION("INDIRECT(""'收支紀錄'!R""&amp;TO_TEXT(ROW()-$C$72))"),"")</f>
        <v/>
      </c>
      <c r="S1650" s="61" t="str">
        <f>IFERROR(__xludf.DUMMYFUNCTION("INDIRECT(""'收支紀錄'!S""&amp;TO_TEXT(ROW()-$C$72))"),"")</f>
        <v/>
      </c>
      <c r="T1650" s="61" t="str">
        <f>IFERROR(__xludf.DUMMYFUNCTION("INDIRECT(""'收支紀錄'!T""&amp;TO_TEXT(ROW()-$C$72))"),"")</f>
        <v/>
      </c>
      <c r="U1650" s="62" t="str">
        <f>IFERROR(__xludf.DUMMYFUNCTION("IF(T1650=""是"",TEXTJOIN("""", TRUE, ""$"", TO_TEXT(C1650), S1650),"""")"),"")</f>
        <v/>
      </c>
    </row>
    <row r="1651">
      <c r="A1651" s="58">
        <f>IFERROR(__xludf.DUMMYFUNCTION("INDIRECT(""'收支紀錄'!A""&amp;TO_TEXT(ROW()-$C$72))"),46159.011513634265)</f>
        <v>46159.01151</v>
      </c>
      <c r="B1651" s="59">
        <f>IFERROR(__xludf.DUMMYFUNCTION("IF(ISBLANK(D1651), """", IF(ISDATE(D1651), D1651, IF(D1651=""今天"", A1651, IF(D1651=""昨天 (-1 day)"", A1651-1, IF(D1651=""前天 (-2 days)"", A1651-2, IF(D1651=""明天 (+1 day)"", A1651+1, DATE(LEFT(D1651,4), MID(D1651,5,2), RIGHT(D1651,2))))))))"),46158.011513634265)</f>
        <v>46158.01151</v>
      </c>
      <c r="C1651" s="60">
        <f>IFERROR(__xludf.DUMMYFUNCTION("INDIRECT(""'收支紀錄'!C""&amp;TO_TEXT(ROW()-$C$72))"),500.0)</f>
        <v>500</v>
      </c>
      <c r="D1651" s="63" t="str">
        <f>IFERROR(__xludf.DUMMYFUNCTION("INDIRECT(""'收支紀錄'!D""&amp;TO_TEXT(ROW()-$C$72))"),"昨天 (-1 day)")</f>
        <v>昨天 (-1 day)</v>
      </c>
      <c r="E1651" s="61" t="str">
        <f>IFERROR(__xludf.DUMMYFUNCTION("INDIRECT(""'收支紀錄'!E""&amp;TO_TEXT(ROW()-$C$72))"),"")</f>
        <v/>
      </c>
      <c r="F1651" s="61" t="str">
        <f>IFERROR(__xludf.DUMMYFUNCTION("INDIRECT(""'收支紀錄'!F""&amp;TO_TEXT(ROW()-$C$72))"),"")</f>
        <v/>
      </c>
      <c r="G1651" s="61" t="str">
        <f>IFERROR(__xludf.DUMMYFUNCTION("INDIRECT(""'收支紀錄'!G""&amp;TO_TEXT(ROW()-$C$72))"),"")</f>
        <v/>
      </c>
      <c r="H1651" s="61" t="str">
        <f>IFERROR(__xludf.DUMMYFUNCTION("INDIRECT(""'收支紀錄'!H""&amp;TO_TEXT(ROW()-$C$72))"),"行車交通")</f>
        <v>行車交通</v>
      </c>
      <c r="I1651" s="61" t="str">
        <f>IFERROR(__xludf.DUMMYFUNCTION("INDIRECT(""'收支紀錄'!I""&amp;TO_TEXT(ROW()-$C$72))"),"")</f>
        <v/>
      </c>
      <c r="J1651" s="61" t="str">
        <f>IFERROR(__xludf.DUMMYFUNCTION("INDIRECT(""'收支紀錄'!J""&amp;TO_TEXT(ROW()-$C$72))"),"")</f>
        <v/>
      </c>
      <c r="K1651" s="61" t="str">
        <f>IFERROR(__xludf.DUMMYFUNCTION("INDIRECT(""'收支紀錄'!K""&amp;TO_TEXT(ROW()-$C$72))"),"")</f>
        <v/>
      </c>
      <c r="L1651" s="61" t="str">
        <f>IFERROR(__xludf.DUMMYFUNCTION("INDIRECT(""'收支紀錄'!L""&amp;TO_TEXT(ROW()-$C$72))"),"加油")</f>
        <v>加油</v>
      </c>
      <c r="M1651" s="61" t="str">
        <f>IFERROR(__xludf.DUMMYFUNCTION("INDIRECT(""'收支紀錄'!M""&amp;TO_TEXT(ROW()-$C$72))"),"")</f>
        <v/>
      </c>
      <c r="N1651" s="61" t="str">
        <f>IFERROR(__xludf.DUMMYFUNCTION("INDIRECT(""'收支紀錄'!N""&amp;TO_TEXT(ROW()-$C$72))"),"")</f>
        <v/>
      </c>
      <c r="O1651" s="61" t="str">
        <f>IFERROR(__xludf.DUMMYFUNCTION("INDIRECT(""'收支紀錄'!O""&amp;TO_TEXT(ROW()-$C$72))"),"")</f>
        <v/>
      </c>
      <c r="P1651" s="61" t="str">
        <f>IFERROR(__xludf.DUMMYFUNCTION("INDIRECT(""'收支紀錄'!P""&amp;TO_TEXT(ROW()-$C$72))"),"")</f>
        <v/>
      </c>
      <c r="Q1651" s="61" t="str">
        <f>IFERROR(__xludf.DUMMYFUNCTION("INDIRECT(""'收支紀錄'!Q""&amp;TO_TEXT(ROW()-$C$72))"),"")</f>
        <v/>
      </c>
      <c r="R1651" s="61" t="str">
        <f>IFERROR(__xludf.DUMMYFUNCTION("INDIRECT(""'收支紀錄'!R""&amp;TO_TEXT(ROW()-$C$72))"),"")</f>
        <v/>
      </c>
      <c r="S1651" s="61" t="str">
        <f>IFERROR(__xludf.DUMMYFUNCTION("INDIRECT(""'收支紀錄'!S""&amp;TO_TEXT(ROW()-$C$72))"),"")</f>
        <v/>
      </c>
      <c r="T1651" s="61" t="str">
        <f>IFERROR(__xludf.DUMMYFUNCTION("INDIRECT(""'收支紀錄'!T""&amp;TO_TEXT(ROW()-$C$72))"),"")</f>
        <v/>
      </c>
      <c r="U1651" s="62" t="str">
        <f>IFERROR(__xludf.DUMMYFUNCTION("IF(T1651=""是"",TEXTJOIN("""", TRUE, ""$"", TO_TEXT(C1651), S1651),"""")"),"")</f>
        <v/>
      </c>
    </row>
    <row r="1652">
      <c r="A1652" s="58">
        <f>IFERROR(__xludf.DUMMYFUNCTION("INDIRECT(""'收支紀錄'!A""&amp;TO_TEXT(ROW()-$C$72))"),46159.41415265047)</f>
        <v>46159.41415</v>
      </c>
      <c r="B1652" s="59">
        <f>IFERROR(__xludf.DUMMYFUNCTION("IF(ISBLANK(D1652), """", IF(ISDATE(D1652), D1652, IF(D1652=""今天"", A1652, IF(D1652=""昨天 (-1 day)"", A1652-1, IF(D1652=""前天 (-2 days)"", A1652-2, IF(D1652=""明天 (+1 day)"", A1652+1, DATE(LEFT(D1652,4), MID(D1652,5,2), RIGHT(D1652,2))))))))"),46159.41415265047)</f>
        <v>46159.41415</v>
      </c>
      <c r="C1652" s="60">
        <f>IFERROR(__xludf.DUMMYFUNCTION("INDIRECT(""'收支紀錄'!C""&amp;TO_TEXT(ROW()-$C$72))"),768.0)</f>
        <v>768</v>
      </c>
      <c r="D1652" s="63" t="str">
        <f>IFERROR(__xludf.DUMMYFUNCTION("INDIRECT(""'收支紀錄'!D""&amp;TO_TEXT(ROW()-$C$72))"),"今天")</f>
        <v>今天</v>
      </c>
      <c r="E1652" s="61" t="str">
        <f>IFERROR(__xludf.DUMMYFUNCTION("INDIRECT(""'收支紀錄'!E""&amp;TO_TEXT(ROW()-$C$72))"),"")</f>
        <v/>
      </c>
      <c r="F1652" s="61" t="str">
        <f>IFERROR(__xludf.DUMMYFUNCTION("INDIRECT(""'收支紀錄'!F""&amp;TO_TEXT(ROW()-$C$72))"),"")</f>
        <v/>
      </c>
      <c r="G1652" s="61" t="str">
        <f>IFERROR(__xludf.DUMMYFUNCTION("INDIRECT(""'收支紀錄'!G""&amp;TO_TEXT(ROW()-$C$72))"),"")</f>
        <v/>
      </c>
      <c r="H1652" s="61" t="str">
        <f>IFERROR(__xludf.DUMMYFUNCTION("INDIRECT(""'收支紀錄'!H""&amp;TO_TEXT(ROW()-$C$72))"),"日常生活")</f>
        <v>日常生活</v>
      </c>
      <c r="I1652" s="61" t="str">
        <f>IFERROR(__xludf.DUMMYFUNCTION("INDIRECT(""'收支紀錄'!I""&amp;TO_TEXT(ROW()-$C$72))"),"")</f>
        <v/>
      </c>
      <c r="J1652" s="61" t="str">
        <f>IFERROR(__xludf.DUMMYFUNCTION("INDIRECT(""'收支紀錄'!J""&amp;TO_TEXT(ROW()-$C$72))"),"電話費")</f>
        <v>電話費</v>
      </c>
      <c r="K1652" s="61" t="str">
        <f>IFERROR(__xludf.DUMMYFUNCTION("INDIRECT(""'收支紀錄'!K""&amp;TO_TEXT(ROW()-$C$72))"),"")</f>
        <v/>
      </c>
      <c r="L1652" s="61" t="str">
        <f>IFERROR(__xludf.DUMMYFUNCTION("INDIRECT(""'收支紀錄'!L""&amp;TO_TEXT(ROW()-$C$72))"),"")</f>
        <v/>
      </c>
      <c r="M1652" s="61" t="str">
        <f>IFERROR(__xludf.DUMMYFUNCTION("INDIRECT(""'收支紀錄'!M""&amp;TO_TEXT(ROW()-$C$72))"),"")</f>
        <v/>
      </c>
      <c r="N1652" s="61" t="str">
        <f>IFERROR(__xludf.DUMMYFUNCTION("INDIRECT(""'收支紀錄'!N""&amp;TO_TEXT(ROW()-$C$72))"),"")</f>
        <v/>
      </c>
      <c r="O1652" s="61" t="str">
        <f>IFERROR(__xludf.DUMMYFUNCTION("INDIRECT(""'收支紀錄'!O""&amp;TO_TEXT(ROW()-$C$72))"),"")</f>
        <v/>
      </c>
      <c r="P1652" s="61" t="str">
        <f>IFERROR(__xludf.DUMMYFUNCTION("INDIRECT(""'收支紀錄'!P""&amp;TO_TEXT(ROW()-$C$72))"),"")</f>
        <v/>
      </c>
      <c r="Q1652" s="61" t="str">
        <f>IFERROR(__xludf.DUMMYFUNCTION("INDIRECT(""'收支紀錄'!Q""&amp;TO_TEXT(ROW()-$C$72))"),"")</f>
        <v/>
      </c>
      <c r="R1652" s="61" t="str">
        <f>IFERROR(__xludf.DUMMYFUNCTION("INDIRECT(""'收支紀錄'!R""&amp;TO_TEXT(ROW()-$C$72))"),"")</f>
        <v/>
      </c>
      <c r="S1652" s="61" t="str">
        <f>IFERROR(__xludf.DUMMYFUNCTION("INDIRECT(""'收支紀錄'!S""&amp;TO_TEXT(ROW()-$C$72))"),"")</f>
        <v/>
      </c>
      <c r="T1652" s="61" t="str">
        <f>IFERROR(__xludf.DUMMYFUNCTION("INDIRECT(""'收支紀錄'!T""&amp;TO_TEXT(ROW()-$C$72))"),"")</f>
        <v/>
      </c>
      <c r="U1652" s="62" t="str">
        <f>IFERROR(__xludf.DUMMYFUNCTION("IF(T1652=""是"",TEXTJOIN("""", TRUE, ""$"", TO_TEXT(C1652), S1652),"""")"),"")</f>
        <v/>
      </c>
    </row>
    <row r="1653">
      <c r="A1653" s="58">
        <f>IFERROR(__xludf.DUMMYFUNCTION("INDIRECT(""'收支紀錄'!A""&amp;TO_TEXT(ROW()-$C$72))"),46159.41498686343)</f>
        <v>46159.41499</v>
      </c>
      <c r="B1653" s="59">
        <f>IFERROR(__xludf.DUMMYFUNCTION("IF(ISBLANK(D1653), """", IF(ISDATE(D1653), D1653, IF(D1653=""今天"", A1653, IF(D1653=""昨天 (-1 day)"", A1653-1, IF(D1653=""前天 (-2 days)"", A1653-2, IF(D1653=""明天 (+1 day)"", A1653+1, DATE(LEFT(D1653,4), MID(D1653,5,2), RIGHT(D1653,2))))))))"),46158.41498686343)</f>
        <v>46158.41499</v>
      </c>
      <c r="C1653" s="60">
        <f>IFERROR(__xludf.DUMMYFUNCTION("INDIRECT(""'收支紀錄'!C""&amp;TO_TEXT(ROW()-$C$72))"),249.0)</f>
        <v>249</v>
      </c>
      <c r="D1653" s="63" t="str">
        <f>IFERROR(__xludf.DUMMYFUNCTION("INDIRECT(""'收支紀錄'!D""&amp;TO_TEXT(ROW()-$C$72))"),"昨天 (-1 day)")</f>
        <v>昨天 (-1 day)</v>
      </c>
      <c r="E1653" s="61" t="str">
        <f>IFERROR(__xludf.DUMMYFUNCTION("INDIRECT(""'收支紀錄'!E""&amp;TO_TEXT(ROW()-$C$72))"),"")</f>
        <v/>
      </c>
      <c r="F1653" s="61" t="str">
        <f>IFERROR(__xludf.DUMMYFUNCTION("INDIRECT(""'收支紀錄'!F""&amp;TO_TEXT(ROW()-$C$72))"),"")</f>
        <v/>
      </c>
      <c r="G1653" s="61" t="str">
        <f>IFERROR(__xludf.DUMMYFUNCTION("INDIRECT(""'收支紀錄'!G""&amp;TO_TEXT(ROW()-$C$72))"),"")</f>
        <v/>
      </c>
      <c r="H1653" s="61" t="str">
        <f>IFERROR(__xludf.DUMMYFUNCTION("INDIRECT(""'收支紀錄'!H""&amp;TO_TEXT(ROW()-$C$72))"),"食品酒水")</f>
        <v>食品酒水</v>
      </c>
      <c r="I1653" s="61" t="str">
        <f>IFERROR(__xludf.DUMMYFUNCTION("INDIRECT(""'收支紀錄'!I""&amp;TO_TEXT(ROW()-$C$72))"),"宵夜")</f>
        <v>宵夜</v>
      </c>
      <c r="J1653" s="61" t="str">
        <f>IFERROR(__xludf.DUMMYFUNCTION("INDIRECT(""'收支紀錄'!J""&amp;TO_TEXT(ROW()-$C$72))"),"")</f>
        <v/>
      </c>
      <c r="K1653" s="61" t="str">
        <f>IFERROR(__xludf.DUMMYFUNCTION("INDIRECT(""'收支紀錄'!K""&amp;TO_TEXT(ROW()-$C$72))"),"")</f>
        <v/>
      </c>
      <c r="L1653" s="61" t="str">
        <f>IFERROR(__xludf.DUMMYFUNCTION("INDIRECT(""'收支紀錄'!L""&amp;TO_TEXT(ROW()-$C$72))"),"")</f>
        <v/>
      </c>
      <c r="M1653" s="61" t="str">
        <f>IFERROR(__xludf.DUMMYFUNCTION("INDIRECT(""'收支紀錄'!M""&amp;TO_TEXT(ROW()-$C$72))"),"")</f>
        <v/>
      </c>
      <c r="N1653" s="61" t="str">
        <f>IFERROR(__xludf.DUMMYFUNCTION("INDIRECT(""'收支紀錄'!N""&amp;TO_TEXT(ROW()-$C$72))"),"")</f>
        <v/>
      </c>
      <c r="O1653" s="61" t="str">
        <f>IFERROR(__xludf.DUMMYFUNCTION("INDIRECT(""'收支紀錄'!O""&amp;TO_TEXT(ROW()-$C$72))"),"")</f>
        <v/>
      </c>
      <c r="P1653" s="61" t="str">
        <f>IFERROR(__xludf.DUMMYFUNCTION("INDIRECT(""'收支紀錄'!P""&amp;TO_TEXT(ROW()-$C$72))"),"")</f>
        <v/>
      </c>
      <c r="Q1653" s="61" t="str">
        <f>IFERROR(__xludf.DUMMYFUNCTION("INDIRECT(""'收支紀錄'!Q""&amp;TO_TEXT(ROW()-$C$72))"),"")</f>
        <v/>
      </c>
      <c r="R1653" s="61" t="str">
        <f>IFERROR(__xludf.DUMMYFUNCTION("INDIRECT(""'收支紀錄'!R""&amp;TO_TEXT(ROW()-$C$72))"),"")</f>
        <v/>
      </c>
      <c r="S1653" s="61" t="str">
        <f>IFERROR(__xludf.DUMMYFUNCTION("INDIRECT(""'收支紀錄'!S""&amp;TO_TEXT(ROW()-$C$72))"),"")</f>
        <v/>
      </c>
      <c r="T1653" s="61" t="str">
        <f>IFERROR(__xludf.DUMMYFUNCTION("INDIRECT(""'收支紀錄'!T""&amp;TO_TEXT(ROW()-$C$72))"),"")</f>
        <v/>
      </c>
      <c r="U1653" s="62" t="str">
        <f>IFERROR(__xludf.DUMMYFUNCTION("IF(T1653=""是"",TEXTJOIN("""", TRUE, ""$"", TO_TEXT(C1653), S1653),"""")"),"")</f>
        <v/>
      </c>
    </row>
    <row r="1654">
      <c r="A1654" s="58">
        <f>IFERROR(__xludf.DUMMYFUNCTION("INDIRECT(""'收支紀錄'!A""&amp;TO_TEXT(ROW()-$C$72))"),46159.41517209491)</f>
        <v>46159.41517</v>
      </c>
      <c r="B1654" s="59">
        <f>IFERROR(__xludf.DUMMYFUNCTION("IF(ISBLANK(D1654), """", IF(ISDATE(D1654), D1654, IF(D1654=""今天"", A1654, IF(D1654=""昨天 (-1 day)"", A1654-1, IF(D1654=""前天 (-2 days)"", A1654-2, IF(D1654=""明天 (+1 day)"", A1654+1, DATE(LEFT(D1654,4), MID(D1654,5,2), RIGHT(D1654,2))))))))"),46158.41517209491)</f>
        <v>46158.41517</v>
      </c>
      <c r="C1654" s="60">
        <f>IFERROR(__xludf.DUMMYFUNCTION("INDIRECT(""'收支紀錄'!C""&amp;TO_TEXT(ROW()-$C$72))"),85.0)</f>
        <v>85</v>
      </c>
      <c r="D1654" s="63" t="str">
        <f>IFERROR(__xludf.DUMMYFUNCTION("INDIRECT(""'收支紀錄'!D""&amp;TO_TEXT(ROW()-$C$72))"),"昨天 (-1 day)")</f>
        <v>昨天 (-1 day)</v>
      </c>
      <c r="E1654" s="61" t="str">
        <f>IFERROR(__xludf.DUMMYFUNCTION("INDIRECT(""'收支紀錄'!E""&amp;TO_TEXT(ROW()-$C$72))"),"")</f>
        <v/>
      </c>
      <c r="F1654" s="61" t="str">
        <f>IFERROR(__xludf.DUMMYFUNCTION("INDIRECT(""'收支紀錄'!F""&amp;TO_TEXT(ROW()-$C$72))"),"")</f>
        <v/>
      </c>
      <c r="G1654" s="61" t="str">
        <f>IFERROR(__xludf.DUMMYFUNCTION("INDIRECT(""'收支紀錄'!G""&amp;TO_TEXT(ROW()-$C$72))"),"")</f>
        <v/>
      </c>
      <c r="H1654" s="61" t="str">
        <f>IFERROR(__xludf.DUMMYFUNCTION("INDIRECT(""'收支紀錄'!H""&amp;TO_TEXT(ROW()-$C$72))"),"食品酒水")</f>
        <v>食品酒水</v>
      </c>
      <c r="I1654" s="61" t="str">
        <f>IFERROR(__xludf.DUMMYFUNCTION("INDIRECT(""'收支紀錄'!I""&amp;TO_TEXT(ROW()-$C$72))"),"晚餐")</f>
        <v>晚餐</v>
      </c>
      <c r="J1654" s="61" t="str">
        <f>IFERROR(__xludf.DUMMYFUNCTION("INDIRECT(""'收支紀錄'!J""&amp;TO_TEXT(ROW()-$C$72))"),"")</f>
        <v/>
      </c>
      <c r="K1654" s="61" t="str">
        <f>IFERROR(__xludf.DUMMYFUNCTION("INDIRECT(""'收支紀錄'!K""&amp;TO_TEXT(ROW()-$C$72))"),"")</f>
        <v/>
      </c>
      <c r="L1654" s="61" t="str">
        <f>IFERROR(__xludf.DUMMYFUNCTION("INDIRECT(""'收支紀錄'!L""&amp;TO_TEXT(ROW()-$C$72))"),"")</f>
        <v/>
      </c>
      <c r="M1654" s="61" t="str">
        <f>IFERROR(__xludf.DUMMYFUNCTION("INDIRECT(""'收支紀錄'!M""&amp;TO_TEXT(ROW()-$C$72))"),"")</f>
        <v/>
      </c>
      <c r="N1654" s="61" t="str">
        <f>IFERROR(__xludf.DUMMYFUNCTION("INDIRECT(""'收支紀錄'!N""&amp;TO_TEXT(ROW()-$C$72))"),"")</f>
        <v/>
      </c>
      <c r="O1654" s="61" t="str">
        <f>IFERROR(__xludf.DUMMYFUNCTION("INDIRECT(""'收支紀錄'!O""&amp;TO_TEXT(ROW()-$C$72))"),"")</f>
        <v/>
      </c>
      <c r="P1654" s="61" t="str">
        <f>IFERROR(__xludf.DUMMYFUNCTION("INDIRECT(""'收支紀錄'!P""&amp;TO_TEXT(ROW()-$C$72))"),"")</f>
        <v/>
      </c>
      <c r="Q1654" s="61" t="str">
        <f>IFERROR(__xludf.DUMMYFUNCTION("INDIRECT(""'收支紀錄'!Q""&amp;TO_TEXT(ROW()-$C$72))"),"")</f>
        <v/>
      </c>
      <c r="R1654" s="61" t="str">
        <f>IFERROR(__xludf.DUMMYFUNCTION("INDIRECT(""'收支紀錄'!R""&amp;TO_TEXT(ROW()-$C$72))"),"")</f>
        <v/>
      </c>
      <c r="S1654" s="61" t="str">
        <f>IFERROR(__xludf.DUMMYFUNCTION("INDIRECT(""'收支紀錄'!S""&amp;TO_TEXT(ROW()-$C$72))"),"")</f>
        <v/>
      </c>
      <c r="T1654" s="61" t="str">
        <f>IFERROR(__xludf.DUMMYFUNCTION("INDIRECT(""'收支紀錄'!T""&amp;TO_TEXT(ROW()-$C$72))"),"")</f>
        <v/>
      </c>
      <c r="U1654" s="62" t="str">
        <f>IFERROR(__xludf.DUMMYFUNCTION("IF(T1654=""是"",TEXTJOIN("""", TRUE, ""$"", TO_TEXT(C1654), S1654),"""")"),"")</f>
        <v/>
      </c>
    </row>
    <row r="1655">
      <c r="A1655" s="58">
        <f>IFERROR(__xludf.DUMMYFUNCTION("INDIRECT(""'收支紀錄'!A""&amp;TO_TEXT(ROW()-$C$72))"),46159.762933715276)</f>
        <v>46159.76293</v>
      </c>
      <c r="B1655" s="59">
        <f>IFERROR(__xludf.DUMMYFUNCTION("IF(ISBLANK(D1655), """", IF(ISDATE(D1655), D1655, IF(D1655=""今天"", A1655, IF(D1655=""昨天 (-1 day)"", A1655-1, IF(D1655=""前天 (-2 days)"", A1655-2, IF(D1655=""明天 (+1 day)"", A1655+1, DATE(LEFT(D1655,4), MID(D1655,5,2), RIGHT(D1655,2))))))))"),46159.762933715276)</f>
        <v>46159.76293</v>
      </c>
      <c r="C1655" s="60">
        <f>IFERROR(__xludf.DUMMYFUNCTION("INDIRECT(""'收支紀錄'!C""&amp;TO_TEXT(ROW()-$C$72))"),159.0)</f>
        <v>159</v>
      </c>
      <c r="D1655" s="63" t="str">
        <f>IFERROR(__xludf.DUMMYFUNCTION("INDIRECT(""'收支紀錄'!D""&amp;TO_TEXT(ROW()-$C$72))"),"今天")</f>
        <v>今天</v>
      </c>
      <c r="E1655" s="61" t="str">
        <f>IFERROR(__xludf.DUMMYFUNCTION("INDIRECT(""'收支紀錄'!E""&amp;TO_TEXT(ROW()-$C$72))"),"")</f>
        <v/>
      </c>
      <c r="F1655" s="61" t="str">
        <f>IFERROR(__xludf.DUMMYFUNCTION("INDIRECT(""'收支紀錄'!F""&amp;TO_TEXT(ROW()-$C$72))"),"")</f>
        <v/>
      </c>
      <c r="G1655" s="61" t="str">
        <f>IFERROR(__xludf.DUMMYFUNCTION("INDIRECT(""'收支紀錄'!G""&amp;TO_TEXT(ROW()-$C$72))"),"")</f>
        <v/>
      </c>
      <c r="H1655" s="61" t="str">
        <f>IFERROR(__xludf.DUMMYFUNCTION("INDIRECT(""'收支紀錄'!H""&amp;TO_TEXT(ROW()-$C$72))"),"食品酒水")</f>
        <v>食品酒水</v>
      </c>
      <c r="I1655" s="61" t="str">
        <f>IFERROR(__xludf.DUMMYFUNCTION("INDIRECT(""'收支紀錄'!I""&amp;TO_TEXT(ROW()-$C$72))"),"晚餐")</f>
        <v>晚餐</v>
      </c>
      <c r="J1655" s="61" t="str">
        <f>IFERROR(__xludf.DUMMYFUNCTION("INDIRECT(""'收支紀錄'!J""&amp;TO_TEXT(ROW()-$C$72))"),"")</f>
        <v/>
      </c>
      <c r="K1655" s="61" t="str">
        <f>IFERROR(__xludf.DUMMYFUNCTION("INDIRECT(""'收支紀錄'!K""&amp;TO_TEXT(ROW()-$C$72))"),"")</f>
        <v/>
      </c>
      <c r="L1655" s="61" t="str">
        <f>IFERROR(__xludf.DUMMYFUNCTION("INDIRECT(""'收支紀錄'!L""&amp;TO_TEXT(ROW()-$C$72))"),"")</f>
        <v/>
      </c>
      <c r="M1655" s="61" t="str">
        <f>IFERROR(__xludf.DUMMYFUNCTION("INDIRECT(""'收支紀錄'!M""&amp;TO_TEXT(ROW()-$C$72))"),"")</f>
        <v/>
      </c>
      <c r="N1655" s="61" t="str">
        <f>IFERROR(__xludf.DUMMYFUNCTION("INDIRECT(""'收支紀錄'!N""&amp;TO_TEXT(ROW()-$C$72))"),"")</f>
        <v/>
      </c>
      <c r="O1655" s="61" t="str">
        <f>IFERROR(__xludf.DUMMYFUNCTION("INDIRECT(""'收支紀錄'!O""&amp;TO_TEXT(ROW()-$C$72))"),"")</f>
        <v/>
      </c>
      <c r="P1655" s="61" t="str">
        <f>IFERROR(__xludf.DUMMYFUNCTION("INDIRECT(""'收支紀錄'!P""&amp;TO_TEXT(ROW()-$C$72))"),"")</f>
        <v/>
      </c>
      <c r="Q1655" s="61" t="str">
        <f>IFERROR(__xludf.DUMMYFUNCTION("INDIRECT(""'收支紀錄'!Q""&amp;TO_TEXT(ROW()-$C$72))"),"")</f>
        <v/>
      </c>
      <c r="R1655" s="61" t="str">
        <f>IFERROR(__xludf.DUMMYFUNCTION("INDIRECT(""'收支紀錄'!R""&amp;TO_TEXT(ROW()-$C$72))"),"")</f>
        <v/>
      </c>
      <c r="S1655" s="61" t="str">
        <f>IFERROR(__xludf.DUMMYFUNCTION("INDIRECT(""'收支紀錄'!S""&amp;TO_TEXT(ROW()-$C$72))"),"")</f>
        <v/>
      </c>
      <c r="T1655" s="61" t="str">
        <f>IFERROR(__xludf.DUMMYFUNCTION("INDIRECT(""'收支紀錄'!T""&amp;TO_TEXT(ROW()-$C$72))"),"")</f>
        <v/>
      </c>
      <c r="U1655" s="62" t="str">
        <f>IFERROR(__xludf.DUMMYFUNCTION("IF(T1655=""是"",TEXTJOIN("""", TRUE, ""$"", TO_TEXT(C1655), S1655),"""")"),"")</f>
        <v/>
      </c>
    </row>
    <row r="1656">
      <c r="A1656" s="58">
        <f>IFERROR(__xludf.DUMMYFUNCTION("INDIRECT(""'收支紀錄'!A""&amp;TO_TEXT(ROW()-$C$72))"),46159.763658449076)</f>
        <v>46159.76366</v>
      </c>
      <c r="B1656" s="59">
        <f>IFERROR(__xludf.DUMMYFUNCTION("IF(ISBLANK(D1656), """", IF(ISDATE(D1656), D1656, IF(D1656=""今天"", A1656, IF(D1656=""昨天 (-1 day)"", A1656-1, IF(D1656=""前天 (-2 days)"", A1656-2, IF(D1656=""明天 (+1 day)"", A1656+1, DATE(LEFT(D1656,4), MID(D1656,5,2), RIGHT(D1656,2))))))))"),46159.763658449076)</f>
        <v>46159.76366</v>
      </c>
      <c r="C1656" s="60">
        <f>IFERROR(__xludf.DUMMYFUNCTION("INDIRECT(""'收支紀錄'!C""&amp;TO_TEXT(ROW()-$C$72))"),45.0)</f>
        <v>45</v>
      </c>
      <c r="D1656" s="63" t="str">
        <f>IFERROR(__xludf.DUMMYFUNCTION("INDIRECT(""'收支紀錄'!D""&amp;TO_TEXT(ROW()-$C$72))"),"今天")</f>
        <v>今天</v>
      </c>
      <c r="E1656" s="61" t="str">
        <f>IFERROR(__xludf.DUMMYFUNCTION("INDIRECT(""'收支紀錄'!E""&amp;TO_TEXT(ROW()-$C$72))"),"")</f>
        <v/>
      </c>
      <c r="F1656" s="61" t="str">
        <f>IFERROR(__xludf.DUMMYFUNCTION("INDIRECT(""'收支紀錄'!F""&amp;TO_TEXT(ROW()-$C$72))"),"")</f>
        <v/>
      </c>
      <c r="G1656" s="61" t="str">
        <f>IFERROR(__xludf.DUMMYFUNCTION("INDIRECT(""'收支紀錄'!G""&amp;TO_TEXT(ROW()-$C$72))"),"")</f>
        <v/>
      </c>
      <c r="H1656" s="61" t="str">
        <f>IFERROR(__xludf.DUMMYFUNCTION("INDIRECT(""'收支紀錄'!H""&amp;TO_TEXT(ROW()-$C$72))"),"食品酒水")</f>
        <v>食品酒水</v>
      </c>
      <c r="I1656" s="61" t="str">
        <f>IFERROR(__xludf.DUMMYFUNCTION("INDIRECT(""'收支紀錄'!I""&amp;TO_TEXT(ROW()-$C$72))"),"早餐")</f>
        <v>早餐</v>
      </c>
      <c r="J1656" s="61" t="str">
        <f>IFERROR(__xludf.DUMMYFUNCTION("INDIRECT(""'收支紀錄'!J""&amp;TO_TEXT(ROW()-$C$72))"),"")</f>
        <v/>
      </c>
      <c r="K1656" s="61" t="str">
        <f>IFERROR(__xludf.DUMMYFUNCTION("INDIRECT(""'收支紀錄'!K""&amp;TO_TEXT(ROW()-$C$72))"),"")</f>
        <v/>
      </c>
      <c r="L1656" s="61" t="str">
        <f>IFERROR(__xludf.DUMMYFUNCTION("INDIRECT(""'收支紀錄'!L""&amp;TO_TEXT(ROW()-$C$72))"),"")</f>
        <v/>
      </c>
      <c r="M1656" s="61" t="str">
        <f>IFERROR(__xludf.DUMMYFUNCTION("INDIRECT(""'收支紀錄'!M""&amp;TO_TEXT(ROW()-$C$72))"),"")</f>
        <v/>
      </c>
      <c r="N1656" s="61" t="str">
        <f>IFERROR(__xludf.DUMMYFUNCTION("INDIRECT(""'收支紀錄'!N""&amp;TO_TEXT(ROW()-$C$72))"),"")</f>
        <v/>
      </c>
      <c r="O1656" s="61" t="str">
        <f>IFERROR(__xludf.DUMMYFUNCTION("INDIRECT(""'收支紀錄'!O""&amp;TO_TEXT(ROW()-$C$72))"),"")</f>
        <v/>
      </c>
      <c r="P1656" s="61" t="str">
        <f>IFERROR(__xludf.DUMMYFUNCTION("INDIRECT(""'收支紀錄'!P""&amp;TO_TEXT(ROW()-$C$72))"),"")</f>
        <v/>
      </c>
      <c r="Q1656" s="61" t="str">
        <f>IFERROR(__xludf.DUMMYFUNCTION("INDIRECT(""'收支紀錄'!Q""&amp;TO_TEXT(ROW()-$C$72))"),"")</f>
        <v/>
      </c>
      <c r="R1656" s="61" t="str">
        <f>IFERROR(__xludf.DUMMYFUNCTION("INDIRECT(""'收支紀錄'!R""&amp;TO_TEXT(ROW()-$C$72))"),"")</f>
        <v/>
      </c>
      <c r="S1656" s="61" t="str">
        <f>IFERROR(__xludf.DUMMYFUNCTION("INDIRECT(""'收支紀錄'!S""&amp;TO_TEXT(ROW()-$C$72))"),"")</f>
        <v/>
      </c>
      <c r="T1656" s="61" t="str">
        <f>IFERROR(__xludf.DUMMYFUNCTION("INDIRECT(""'收支紀錄'!T""&amp;TO_TEXT(ROW()-$C$72))"),"")</f>
        <v/>
      </c>
      <c r="U1656" s="62" t="str">
        <f>IFERROR(__xludf.DUMMYFUNCTION("IF(T1656=""是"",TEXTJOIN("""", TRUE, ""$"", TO_TEXT(C1656), S1656),"""")"),"")</f>
        <v/>
      </c>
    </row>
    <row r="1657">
      <c r="A1657" s="58">
        <f>IFERROR(__xludf.DUMMYFUNCTION("INDIRECT(""'收支紀錄'!A""&amp;TO_TEXT(ROW()-$C$72))"),46159.76391350695)</f>
        <v>46159.76391</v>
      </c>
      <c r="B1657" s="59">
        <f>IFERROR(__xludf.DUMMYFUNCTION("IF(ISBLANK(D1657), """", IF(ISDATE(D1657), D1657, IF(D1657=""今天"", A1657, IF(D1657=""昨天 (-1 day)"", A1657-1, IF(D1657=""前天 (-2 days)"", A1657-2, IF(D1657=""明天 (+1 day)"", A1657+1, DATE(LEFT(D1657,4), MID(D1657,5,2), RIGHT(D1657,2))))))))"),46159.76391350695)</f>
        <v>46159.76391</v>
      </c>
      <c r="C1657" s="60">
        <f>IFERROR(__xludf.DUMMYFUNCTION("INDIRECT(""'收支紀錄'!C""&amp;TO_TEXT(ROW()-$C$72))"),60.0)</f>
        <v>60</v>
      </c>
      <c r="D1657" s="63" t="str">
        <f>IFERROR(__xludf.DUMMYFUNCTION("INDIRECT(""'收支紀錄'!D""&amp;TO_TEXT(ROW()-$C$72))"),"今天")</f>
        <v>今天</v>
      </c>
      <c r="E1657" s="61" t="str">
        <f>IFERROR(__xludf.DUMMYFUNCTION("INDIRECT(""'收支紀錄'!E""&amp;TO_TEXT(ROW()-$C$72))"),"")</f>
        <v/>
      </c>
      <c r="F1657" s="61" t="str">
        <f>IFERROR(__xludf.DUMMYFUNCTION("INDIRECT(""'收支紀錄'!F""&amp;TO_TEXT(ROW()-$C$72))"),"")</f>
        <v/>
      </c>
      <c r="G1657" s="61" t="str">
        <f>IFERROR(__xludf.DUMMYFUNCTION("INDIRECT(""'收支紀錄'!G""&amp;TO_TEXT(ROW()-$C$72))"),"")</f>
        <v/>
      </c>
      <c r="H1657" s="61" t="str">
        <f>IFERROR(__xludf.DUMMYFUNCTION("INDIRECT(""'收支紀錄'!H""&amp;TO_TEXT(ROW()-$C$72))"),"行車交通")</f>
        <v>行車交通</v>
      </c>
      <c r="I1657" s="61" t="str">
        <f>IFERROR(__xludf.DUMMYFUNCTION("INDIRECT(""'收支紀錄'!I""&amp;TO_TEXT(ROW()-$C$72))"),"")</f>
        <v/>
      </c>
      <c r="J1657" s="61" t="str">
        <f>IFERROR(__xludf.DUMMYFUNCTION("INDIRECT(""'收支紀錄'!J""&amp;TO_TEXT(ROW()-$C$72))"),"")</f>
        <v/>
      </c>
      <c r="K1657" s="61" t="str">
        <f>IFERROR(__xludf.DUMMYFUNCTION("INDIRECT(""'收支紀錄'!K""&amp;TO_TEXT(ROW()-$C$72))"),"")</f>
        <v/>
      </c>
      <c r="L1657" s="61" t="str">
        <f>IFERROR(__xludf.DUMMYFUNCTION("INDIRECT(""'收支紀錄'!L""&amp;TO_TEXT(ROW()-$C$72))"),"停車")</f>
        <v>停車</v>
      </c>
      <c r="M1657" s="61" t="str">
        <f>IFERROR(__xludf.DUMMYFUNCTION("INDIRECT(""'收支紀錄'!M""&amp;TO_TEXT(ROW()-$C$72))"),"")</f>
        <v/>
      </c>
      <c r="N1657" s="61" t="str">
        <f>IFERROR(__xludf.DUMMYFUNCTION("INDIRECT(""'收支紀錄'!N""&amp;TO_TEXT(ROW()-$C$72))"),"")</f>
        <v/>
      </c>
      <c r="O1657" s="61" t="str">
        <f>IFERROR(__xludf.DUMMYFUNCTION("INDIRECT(""'收支紀錄'!O""&amp;TO_TEXT(ROW()-$C$72))"),"")</f>
        <v/>
      </c>
      <c r="P1657" s="61" t="str">
        <f>IFERROR(__xludf.DUMMYFUNCTION("INDIRECT(""'收支紀錄'!P""&amp;TO_TEXT(ROW()-$C$72))"),"")</f>
        <v/>
      </c>
      <c r="Q1657" s="61" t="str">
        <f>IFERROR(__xludf.DUMMYFUNCTION("INDIRECT(""'收支紀錄'!Q""&amp;TO_TEXT(ROW()-$C$72))"),"")</f>
        <v/>
      </c>
      <c r="R1657" s="61" t="str">
        <f>IFERROR(__xludf.DUMMYFUNCTION("INDIRECT(""'收支紀錄'!R""&amp;TO_TEXT(ROW()-$C$72))"),"")</f>
        <v/>
      </c>
      <c r="S1657" s="61" t="str">
        <f>IFERROR(__xludf.DUMMYFUNCTION("INDIRECT(""'收支紀錄'!S""&amp;TO_TEXT(ROW()-$C$72))"),"")</f>
        <v/>
      </c>
      <c r="T1657" s="61" t="str">
        <f>IFERROR(__xludf.DUMMYFUNCTION("INDIRECT(""'收支紀錄'!T""&amp;TO_TEXT(ROW()-$C$72))"),"")</f>
        <v/>
      </c>
      <c r="U1657" s="62" t="str">
        <f>IFERROR(__xludf.DUMMYFUNCTION("IF(T1657=""是"",TEXTJOIN("""", TRUE, ""$"", TO_TEXT(C1657), S1657),"""")"),"")</f>
        <v/>
      </c>
    </row>
    <row r="1658">
      <c r="A1658" s="58">
        <f>IFERROR(__xludf.DUMMYFUNCTION("INDIRECT(""'收支紀錄'!A""&amp;TO_TEXT(ROW()-$C$72))"),46159.76425173611)</f>
        <v>46159.76425</v>
      </c>
      <c r="B1658" s="59">
        <f>IFERROR(__xludf.DUMMYFUNCTION("IF(ISBLANK(D1658), """", IF(ISDATE(D1658), D1658, IF(D1658=""今天"", A1658, IF(D1658=""昨天 (-1 day)"", A1658-1, IF(D1658=""前天 (-2 days)"", A1658-2, IF(D1658=""明天 (+1 day)"", A1658+1, DATE(LEFT(D1658,4), MID(D1658,5,2), RIGHT(D1658,2))))))))"),46159.76425173611)</f>
        <v>46159.76425</v>
      </c>
      <c r="C1658" s="60">
        <f>IFERROR(__xludf.DUMMYFUNCTION("INDIRECT(""'收支紀錄'!C""&amp;TO_TEXT(ROW()-$C$72))"),129.0)</f>
        <v>129</v>
      </c>
      <c r="D1658" s="63" t="str">
        <f>IFERROR(__xludf.DUMMYFUNCTION("INDIRECT(""'收支紀錄'!D""&amp;TO_TEXT(ROW()-$C$72))"),"今天")</f>
        <v>今天</v>
      </c>
      <c r="E1658" s="61" t="str">
        <f>IFERROR(__xludf.DUMMYFUNCTION("INDIRECT(""'收支紀錄'!E""&amp;TO_TEXT(ROW()-$C$72))"),"")</f>
        <v/>
      </c>
      <c r="F1658" s="61" t="str">
        <f>IFERROR(__xludf.DUMMYFUNCTION("INDIRECT(""'收支紀錄'!F""&amp;TO_TEXT(ROW()-$C$72))"),"")</f>
        <v/>
      </c>
      <c r="G1658" s="61" t="str">
        <f>IFERROR(__xludf.DUMMYFUNCTION("INDIRECT(""'收支紀錄'!G""&amp;TO_TEXT(ROW()-$C$72))"),"")</f>
        <v/>
      </c>
      <c r="H1658" s="61" t="str">
        <f>IFERROR(__xludf.DUMMYFUNCTION("INDIRECT(""'收支紀錄'!H""&amp;TO_TEXT(ROW()-$C$72))"),"食品酒水")</f>
        <v>食品酒水</v>
      </c>
      <c r="I1658" s="61" t="str">
        <f>IFERROR(__xludf.DUMMYFUNCTION("INDIRECT(""'收支紀錄'!I""&amp;TO_TEXT(ROW()-$C$72))"),"下午茶")</f>
        <v>下午茶</v>
      </c>
      <c r="J1658" s="61" t="str">
        <f>IFERROR(__xludf.DUMMYFUNCTION("INDIRECT(""'收支紀錄'!J""&amp;TO_TEXT(ROW()-$C$72))"),"")</f>
        <v/>
      </c>
      <c r="K1658" s="61" t="str">
        <f>IFERROR(__xludf.DUMMYFUNCTION("INDIRECT(""'收支紀錄'!K""&amp;TO_TEXT(ROW()-$C$72))"),"")</f>
        <v/>
      </c>
      <c r="L1658" s="61" t="str">
        <f>IFERROR(__xludf.DUMMYFUNCTION("INDIRECT(""'收支紀錄'!L""&amp;TO_TEXT(ROW()-$C$72))"),"")</f>
        <v/>
      </c>
      <c r="M1658" s="61" t="str">
        <f>IFERROR(__xludf.DUMMYFUNCTION("INDIRECT(""'收支紀錄'!M""&amp;TO_TEXT(ROW()-$C$72))"),"")</f>
        <v/>
      </c>
      <c r="N1658" s="61" t="str">
        <f>IFERROR(__xludf.DUMMYFUNCTION("INDIRECT(""'收支紀錄'!N""&amp;TO_TEXT(ROW()-$C$72))"),"")</f>
        <v/>
      </c>
      <c r="O1658" s="61" t="str">
        <f>IFERROR(__xludf.DUMMYFUNCTION("INDIRECT(""'收支紀錄'!O""&amp;TO_TEXT(ROW()-$C$72))"),"")</f>
        <v/>
      </c>
      <c r="P1658" s="61" t="str">
        <f>IFERROR(__xludf.DUMMYFUNCTION("INDIRECT(""'收支紀錄'!P""&amp;TO_TEXT(ROW()-$C$72))"),"")</f>
        <v/>
      </c>
      <c r="Q1658" s="61" t="str">
        <f>IFERROR(__xludf.DUMMYFUNCTION("INDIRECT(""'收支紀錄'!Q""&amp;TO_TEXT(ROW()-$C$72))"),"")</f>
        <v/>
      </c>
      <c r="R1658" s="61" t="str">
        <f>IFERROR(__xludf.DUMMYFUNCTION("INDIRECT(""'收支紀錄'!R""&amp;TO_TEXT(ROW()-$C$72))"),"")</f>
        <v/>
      </c>
      <c r="S1658" s="61" t="str">
        <f>IFERROR(__xludf.DUMMYFUNCTION("INDIRECT(""'收支紀錄'!S""&amp;TO_TEXT(ROW()-$C$72))"),"")</f>
        <v/>
      </c>
      <c r="T1658" s="61" t="str">
        <f>IFERROR(__xludf.DUMMYFUNCTION("INDIRECT(""'收支紀錄'!T""&amp;TO_TEXT(ROW()-$C$72))"),"")</f>
        <v/>
      </c>
      <c r="U1658" s="62" t="str">
        <f>IFERROR(__xludf.DUMMYFUNCTION("IF(T1658=""是"",TEXTJOIN("""", TRUE, ""$"", TO_TEXT(C1658), S1658),"""")"),"")</f>
        <v/>
      </c>
    </row>
    <row r="1659">
      <c r="A1659" s="58">
        <f>IFERROR(__xludf.DUMMYFUNCTION("INDIRECT(""'收支紀錄'!A""&amp;TO_TEXT(ROW()-$C$72))"),46160.316813206024)</f>
        <v>46160.31681</v>
      </c>
      <c r="B1659" s="59">
        <f>IFERROR(__xludf.DUMMYFUNCTION("IF(ISBLANK(D1659), """", IF(ISDATE(D1659), D1659, IF(D1659=""今天"", A1659, IF(D1659=""昨天 (-1 day)"", A1659-1, IF(D1659=""前天 (-2 days)"", A1659-2, IF(D1659=""明天 (+1 day)"", A1659+1, DATE(LEFT(D1659,4), MID(D1659,5,2), RIGHT(D1659,2))))))))"),46159.316813206024)</f>
        <v>46159.31681</v>
      </c>
      <c r="C1659" s="60">
        <f>IFERROR(__xludf.DUMMYFUNCTION("INDIRECT(""'收支紀錄'!C""&amp;TO_TEXT(ROW()-$C$72))"),1026.0)</f>
        <v>1026</v>
      </c>
      <c r="D1659" s="63" t="str">
        <f>IFERROR(__xludf.DUMMYFUNCTION("INDIRECT(""'收支紀錄'!D""&amp;TO_TEXT(ROW()-$C$72))"),"昨天 (-1 day)")</f>
        <v>昨天 (-1 day)</v>
      </c>
      <c r="E1659" s="61" t="str">
        <f>IFERROR(__xludf.DUMMYFUNCTION("INDIRECT(""'收支紀錄'!E""&amp;TO_TEXT(ROW()-$C$72))"),"")</f>
        <v/>
      </c>
      <c r="F1659" s="61" t="str">
        <f>IFERROR(__xludf.DUMMYFUNCTION("INDIRECT(""'收支紀錄'!F""&amp;TO_TEXT(ROW()-$C$72))"),"")</f>
        <v/>
      </c>
      <c r="G1659" s="61" t="str">
        <f>IFERROR(__xludf.DUMMYFUNCTION("INDIRECT(""'收支紀錄'!G""&amp;TO_TEXT(ROW()-$C$72))"),"")</f>
        <v/>
      </c>
      <c r="H1659" s="61" t="str">
        <f>IFERROR(__xludf.DUMMYFUNCTION("INDIRECT(""'收支紀錄'!H""&amp;TO_TEXT(ROW()-$C$72))"),"行車交通")</f>
        <v>行車交通</v>
      </c>
      <c r="I1659" s="61" t="str">
        <f>IFERROR(__xludf.DUMMYFUNCTION("INDIRECT(""'收支紀錄'!I""&amp;TO_TEXT(ROW()-$C$72))"),"")</f>
        <v/>
      </c>
      <c r="J1659" s="61" t="str">
        <f>IFERROR(__xludf.DUMMYFUNCTION("INDIRECT(""'收支紀錄'!J""&amp;TO_TEXT(ROW()-$C$72))"),"")</f>
        <v/>
      </c>
      <c r="K1659" s="61" t="str">
        <f>IFERROR(__xludf.DUMMYFUNCTION("INDIRECT(""'收支紀錄'!K""&amp;TO_TEXT(ROW()-$C$72))"),"")</f>
        <v/>
      </c>
      <c r="L1659" s="61" t="str">
        <f>IFERROR(__xludf.DUMMYFUNCTION("INDIRECT(""'收支紀錄'!L""&amp;TO_TEXT(ROW()-$C$72))"),"加油")</f>
        <v>加油</v>
      </c>
      <c r="M1659" s="61" t="str">
        <f>IFERROR(__xludf.DUMMYFUNCTION("INDIRECT(""'收支紀錄'!M""&amp;TO_TEXT(ROW()-$C$72))"),"")</f>
        <v/>
      </c>
      <c r="N1659" s="61" t="str">
        <f>IFERROR(__xludf.DUMMYFUNCTION("INDIRECT(""'收支紀錄'!N""&amp;TO_TEXT(ROW()-$C$72))"),"")</f>
        <v/>
      </c>
      <c r="O1659" s="61" t="str">
        <f>IFERROR(__xludf.DUMMYFUNCTION("INDIRECT(""'收支紀錄'!O""&amp;TO_TEXT(ROW()-$C$72))"),"")</f>
        <v/>
      </c>
      <c r="P1659" s="61" t="str">
        <f>IFERROR(__xludf.DUMMYFUNCTION("INDIRECT(""'收支紀錄'!P""&amp;TO_TEXT(ROW()-$C$72))"),"")</f>
        <v/>
      </c>
      <c r="Q1659" s="61" t="str">
        <f>IFERROR(__xludf.DUMMYFUNCTION("INDIRECT(""'收支紀錄'!Q""&amp;TO_TEXT(ROW()-$C$72))"),"")</f>
        <v/>
      </c>
      <c r="R1659" s="61" t="str">
        <f>IFERROR(__xludf.DUMMYFUNCTION("INDIRECT(""'收支紀錄'!R""&amp;TO_TEXT(ROW()-$C$72))"),"")</f>
        <v/>
      </c>
      <c r="S1659" s="61" t="str">
        <f>IFERROR(__xludf.DUMMYFUNCTION("INDIRECT(""'收支紀錄'!S""&amp;TO_TEXT(ROW()-$C$72))"),"")</f>
        <v/>
      </c>
      <c r="T1659" s="61" t="str">
        <f>IFERROR(__xludf.DUMMYFUNCTION("INDIRECT(""'收支紀錄'!T""&amp;TO_TEXT(ROW()-$C$72))"),"")</f>
        <v/>
      </c>
      <c r="U1659" s="62" t="str">
        <f>IFERROR(__xludf.DUMMYFUNCTION("IF(T1659=""是"",TEXTJOIN("""", TRUE, ""$"", TO_TEXT(C1659), S1659),"""")"),"")</f>
        <v/>
      </c>
    </row>
    <row r="1660">
      <c r="A1660" s="58">
        <f>IFERROR(__xludf.DUMMYFUNCTION("INDIRECT(""'收支紀錄'!A""&amp;TO_TEXT(ROW()-$C$72))"),46160.31699010417)</f>
        <v>46160.31699</v>
      </c>
      <c r="B1660" s="59">
        <f>IFERROR(__xludf.DUMMYFUNCTION("IF(ISBLANK(D1660), """", IF(ISDATE(D1660), D1660, IF(D1660=""今天"", A1660, IF(D1660=""昨天 (-1 day)"", A1660-1, IF(D1660=""前天 (-2 days)"", A1660-2, IF(D1660=""明天 (+1 day)"", A1660+1, DATE(LEFT(D1660,4), MID(D1660,5,2), RIGHT(D1660,2))))))))"),46159.31699010417)</f>
        <v>46159.31699</v>
      </c>
      <c r="C1660" s="60">
        <f>IFERROR(__xludf.DUMMYFUNCTION("INDIRECT(""'收支紀錄'!C""&amp;TO_TEXT(ROW()-$C$72))"),2749.0)</f>
        <v>2749</v>
      </c>
      <c r="D1660" s="63" t="str">
        <f>IFERROR(__xludf.DUMMYFUNCTION("INDIRECT(""'收支紀錄'!D""&amp;TO_TEXT(ROW()-$C$72))"),"昨天 (-1 day)")</f>
        <v>昨天 (-1 day)</v>
      </c>
      <c r="E1660" s="61" t="str">
        <f>IFERROR(__xludf.DUMMYFUNCTION("INDIRECT(""'收支紀錄'!E""&amp;TO_TEXT(ROW()-$C$72))"),"")</f>
        <v/>
      </c>
      <c r="F1660" s="61" t="str">
        <f>IFERROR(__xludf.DUMMYFUNCTION("INDIRECT(""'收支紀錄'!F""&amp;TO_TEXT(ROW()-$C$72))"),"")</f>
        <v/>
      </c>
      <c r="G1660" s="61" t="str">
        <f>IFERROR(__xludf.DUMMYFUNCTION("INDIRECT(""'收支紀錄'!G""&amp;TO_TEXT(ROW()-$C$72))"),"")</f>
        <v/>
      </c>
      <c r="H1660" s="61" t="str">
        <f>IFERROR(__xludf.DUMMYFUNCTION("INDIRECT(""'收支紀錄'!H""&amp;TO_TEXT(ROW()-$C$72))"),"食品酒水")</f>
        <v>食品酒水</v>
      </c>
      <c r="I1660" s="61" t="str">
        <f>IFERROR(__xludf.DUMMYFUNCTION("INDIRECT(""'收支紀錄'!I""&amp;TO_TEXT(ROW()-$C$72))"),"食材")</f>
        <v>食材</v>
      </c>
      <c r="J1660" s="61" t="str">
        <f>IFERROR(__xludf.DUMMYFUNCTION("INDIRECT(""'收支紀錄'!J""&amp;TO_TEXT(ROW()-$C$72))"),"")</f>
        <v/>
      </c>
      <c r="K1660" s="61" t="str">
        <f>IFERROR(__xludf.DUMMYFUNCTION("INDIRECT(""'收支紀錄'!K""&amp;TO_TEXT(ROW()-$C$72))"),"")</f>
        <v/>
      </c>
      <c r="L1660" s="61" t="str">
        <f>IFERROR(__xludf.DUMMYFUNCTION("INDIRECT(""'收支紀錄'!L""&amp;TO_TEXT(ROW()-$C$72))"),"")</f>
        <v/>
      </c>
      <c r="M1660" s="61" t="str">
        <f>IFERROR(__xludf.DUMMYFUNCTION("INDIRECT(""'收支紀錄'!M""&amp;TO_TEXT(ROW()-$C$72))"),"")</f>
        <v/>
      </c>
      <c r="N1660" s="61" t="str">
        <f>IFERROR(__xludf.DUMMYFUNCTION("INDIRECT(""'收支紀錄'!N""&amp;TO_TEXT(ROW()-$C$72))"),"")</f>
        <v/>
      </c>
      <c r="O1660" s="61" t="str">
        <f>IFERROR(__xludf.DUMMYFUNCTION("INDIRECT(""'收支紀錄'!O""&amp;TO_TEXT(ROW()-$C$72))"),"")</f>
        <v/>
      </c>
      <c r="P1660" s="61" t="str">
        <f>IFERROR(__xludf.DUMMYFUNCTION("INDIRECT(""'收支紀錄'!P""&amp;TO_TEXT(ROW()-$C$72))"),"")</f>
        <v/>
      </c>
      <c r="Q1660" s="61" t="str">
        <f>IFERROR(__xludf.DUMMYFUNCTION("INDIRECT(""'收支紀錄'!Q""&amp;TO_TEXT(ROW()-$C$72))"),"")</f>
        <v/>
      </c>
      <c r="R1660" s="61" t="str">
        <f>IFERROR(__xludf.DUMMYFUNCTION("INDIRECT(""'收支紀錄'!R""&amp;TO_TEXT(ROW()-$C$72))"),"")</f>
        <v/>
      </c>
      <c r="S1660" s="61" t="str">
        <f>IFERROR(__xludf.DUMMYFUNCTION("INDIRECT(""'收支紀錄'!S""&amp;TO_TEXT(ROW()-$C$72))"),"")</f>
        <v/>
      </c>
      <c r="T1660" s="61" t="str">
        <f>IFERROR(__xludf.DUMMYFUNCTION("INDIRECT(""'收支紀錄'!T""&amp;TO_TEXT(ROW()-$C$72))"),"")</f>
        <v/>
      </c>
      <c r="U1660" s="62" t="str">
        <f>IFERROR(__xludf.DUMMYFUNCTION("IF(T1660=""是"",TEXTJOIN("""", TRUE, ""$"", TO_TEXT(C1660), S1660),"""")"),"")</f>
        <v/>
      </c>
    </row>
    <row r="1661">
      <c r="A1661" s="58">
        <f>IFERROR(__xludf.DUMMYFUNCTION("INDIRECT(""'收支紀錄'!A""&amp;TO_TEXT(ROW()-$C$72))"),46160.92009832176)</f>
        <v>46160.9201</v>
      </c>
      <c r="B1661" s="59">
        <f>IFERROR(__xludf.DUMMYFUNCTION("IF(ISBLANK(D1661), """", IF(ISDATE(D1661), D1661, IF(D1661=""今天"", A1661, IF(D1661=""昨天 (-1 day)"", A1661-1, IF(D1661=""前天 (-2 days)"", A1661-2, IF(D1661=""明天 (+1 day)"", A1661+1, DATE(LEFT(D1661,4), MID(D1661,5,2), RIGHT(D1661,2))))))))"),46160.92009832176)</f>
        <v>46160.9201</v>
      </c>
      <c r="C1661" s="60">
        <f>IFERROR(__xludf.DUMMYFUNCTION("INDIRECT(""'收支紀錄'!C""&amp;TO_TEXT(ROW()-$C$72))"),135.0)</f>
        <v>135</v>
      </c>
      <c r="D1661" s="63" t="str">
        <f>IFERROR(__xludf.DUMMYFUNCTION("INDIRECT(""'收支紀錄'!D""&amp;TO_TEXT(ROW()-$C$72))"),"今天")</f>
        <v>今天</v>
      </c>
      <c r="E1661" s="61" t="str">
        <f>IFERROR(__xludf.DUMMYFUNCTION("INDIRECT(""'收支紀錄'!E""&amp;TO_TEXT(ROW()-$C$72))"),"")</f>
        <v/>
      </c>
      <c r="F1661" s="61" t="str">
        <f>IFERROR(__xludf.DUMMYFUNCTION("INDIRECT(""'收支紀錄'!F""&amp;TO_TEXT(ROW()-$C$72))"),"")</f>
        <v/>
      </c>
      <c r="G1661" s="61" t="str">
        <f>IFERROR(__xludf.DUMMYFUNCTION("INDIRECT(""'收支紀錄'!G""&amp;TO_TEXT(ROW()-$C$72))"),"")</f>
        <v/>
      </c>
      <c r="H1661" s="61" t="str">
        <f>IFERROR(__xludf.DUMMYFUNCTION("INDIRECT(""'收支紀錄'!H""&amp;TO_TEXT(ROW()-$C$72))"),"行車交通")</f>
        <v>行車交通</v>
      </c>
      <c r="I1661" s="61" t="str">
        <f>IFERROR(__xludf.DUMMYFUNCTION("INDIRECT(""'收支紀錄'!I""&amp;TO_TEXT(ROW()-$C$72))"),"")</f>
        <v/>
      </c>
      <c r="J1661" s="61" t="str">
        <f>IFERROR(__xludf.DUMMYFUNCTION("INDIRECT(""'收支紀錄'!J""&amp;TO_TEXT(ROW()-$C$72))"),"")</f>
        <v/>
      </c>
      <c r="K1661" s="61" t="str">
        <f>IFERROR(__xludf.DUMMYFUNCTION("INDIRECT(""'收支紀錄'!K""&amp;TO_TEXT(ROW()-$C$72))"),"")</f>
        <v/>
      </c>
      <c r="L1661" s="61" t="str">
        <f>IFERROR(__xludf.DUMMYFUNCTION("INDIRECT(""'收支紀錄'!L""&amp;TO_TEXT(ROW()-$C$72))"),"加油")</f>
        <v>加油</v>
      </c>
      <c r="M1661" s="61" t="str">
        <f>IFERROR(__xludf.DUMMYFUNCTION("INDIRECT(""'收支紀錄'!M""&amp;TO_TEXT(ROW()-$C$72))"),"")</f>
        <v/>
      </c>
      <c r="N1661" s="61" t="str">
        <f>IFERROR(__xludf.DUMMYFUNCTION("INDIRECT(""'收支紀錄'!N""&amp;TO_TEXT(ROW()-$C$72))"),"")</f>
        <v/>
      </c>
      <c r="O1661" s="61" t="str">
        <f>IFERROR(__xludf.DUMMYFUNCTION("INDIRECT(""'收支紀錄'!O""&amp;TO_TEXT(ROW()-$C$72))"),"")</f>
        <v/>
      </c>
      <c r="P1661" s="61" t="str">
        <f>IFERROR(__xludf.DUMMYFUNCTION("INDIRECT(""'收支紀錄'!P""&amp;TO_TEXT(ROW()-$C$72))"),"")</f>
        <v/>
      </c>
      <c r="Q1661" s="61" t="str">
        <f>IFERROR(__xludf.DUMMYFUNCTION("INDIRECT(""'收支紀錄'!Q""&amp;TO_TEXT(ROW()-$C$72))"),"")</f>
        <v/>
      </c>
      <c r="R1661" s="61" t="str">
        <f>IFERROR(__xludf.DUMMYFUNCTION("INDIRECT(""'收支紀錄'!R""&amp;TO_TEXT(ROW()-$C$72))"),"")</f>
        <v/>
      </c>
      <c r="S1661" s="61" t="str">
        <f>IFERROR(__xludf.DUMMYFUNCTION("INDIRECT(""'收支紀錄'!S""&amp;TO_TEXT(ROW()-$C$72))"),"")</f>
        <v/>
      </c>
      <c r="T1661" s="61" t="str">
        <f>IFERROR(__xludf.DUMMYFUNCTION("INDIRECT(""'收支紀錄'!T""&amp;TO_TEXT(ROW()-$C$72))"),"")</f>
        <v/>
      </c>
      <c r="U1661" s="62" t="str">
        <f>IFERROR(__xludf.DUMMYFUNCTION("IF(T1661=""是"",TEXTJOIN("""", TRUE, ""$"", TO_TEXT(C1661), S1661),"""")"),"")</f>
        <v/>
      </c>
    </row>
    <row r="1662">
      <c r="A1662" s="58">
        <f>IFERROR(__xludf.DUMMYFUNCTION("INDIRECT(""'收支紀錄'!A""&amp;TO_TEXT(ROW()-$C$72))"),46160.920627037034)</f>
        <v>46160.92063</v>
      </c>
      <c r="B1662" s="59">
        <f>IFERROR(__xludf.DUMMYFUNCTION("IF(ISBLANK(D1662), """", IF(ISDATE(D1662), D1662, IF(D1662=""今天"", A1662, IF(D1662=""昨天 (-1 day)"", A1662-1, IF(D1662=""前天 (-2 days)"", A1662-2, IF(D1662=""明天 (+1 day)"", A1662+1, DATE(LEFT(D1662,4), MID(D1662,5,2), RIGHT(D1662,2))))))))"),46158.920627037034)</f>
        <v>46158.92063</v>
      </c>
      <c r="C1662" s="60">
        <f>IFERROR(__xludf.DUMMYFUNCTION("INDIRECT(""'收支紀錄'!C""&amp;TO_TEXT(ROW()-$C$72))"),2331.0)</f>
        <v>2331</v>
      </c>
      <c r="D1662" s="63" t="str">
        <f>IFERROR(__xludf.DUMMYFUNCTION("INDIRECT(""'收支紀錄'!D""&amp;TO_TEXT(ROW()-$C$72))"),"前天 (-2 days)")</f>
        <v>前天 (-2 days)</v>
      </c>
      <c r="E1662" s="61" t="str">
        <f>IFERROR(__xludf.DUMMYFUNCTION("INDIRECT(""'收支紀錄'!E""&amp;TO_TEXT(ROW()-$C$72))"),"")</f>
        <v/>
      </c>
      <c r="F1662" s="61" t="str">
        <f>IFERROR(__xludf.DUMMYFUNCTION("INDIRECT(""'收支紀錄'!F""&amp;TO_TEXT(ROW()-$C$72))"),"")</f>
        <v/>
      </c>
      <c r="G1662" s="61" t="str">
        <f>IFERROR(__xludf.DUMMYFUNCTION("INDIRECT(""'收支紀錄'!G""&amp;TO_TEXT(ROW()-$C$72))"),"")</f>
        <v/>
      </c>
      <c r="H1662" s="61" t="str">
        <f>IFERROR(__xludf.DUMMYFUNCTION("INDIRECT(""'收支紀錄'!H""&amp;TO_TEXT(ROW()-$C$72))"),"休閒娛樂")</f>
        <v>休閒娛樂</v>
      </c>
      <c r="I1662" s="61" t="str">
        <f>IFERROR(__xludf.DUMMYFUNCTION("INDIRECT(""'收支紀錄'!I""&amp;TO_TEXT(ROW()-$C$72))"),"")</f>
        <v/>
      </c>
      <c r="J1662" s="61" t="str">
        <f>IFERROR(__xludf.DUMMYFUNCTION("INDIRECT(""'收支紀錄'!J""&amp;TO_TEXT(ROW()-$C$72))"),"")</f>
        <v/>
      </c>
      <c r="K1662" s="61" t="str">
        <f>IFERROR(__xludf.DUMMYFUNCTION("INDIRECT(""'收支紀錄'!K""&amp;TO_TEXT(ROW()-$C$72))"),"")</f>
        <v/>
      </c>
      <c r="L1662" s="61" t="str">
        <f>IFERROR(__xludf.DUMMYFUNCTION("INDIRECT(""'收支紀錄'!L""&amp;TO_TEXT(ROW()-$C$72))"),"")</f>
        <v/>
      </c>
      <c r="M1662" s="61" t="str">
        <f>IFERROR(__xludf.DUMMYFUNCTION("INDIRECT(""'收支紀錄'!M""&amp;TO_TEXT(ROW()-$C$72))"),"旅遊度假")</f>
        <v>旅遊度假</v>
      </c>
      <c r="N1662" s="61" t="str">
        <f>IFERROR(__xludf.DUMMYFUNCTION("INDIRECT(""'收支紀錄'!N""&amp;TO_TEXT(ROW()-$C$72))"),"")</f>
        <v/>
      </c>
      <c r="O1662" s="61" t="str">
        <f>IFERROR(__xludf.DUMMYFUNCTION("INDIRECT(""'收支紀錄'!O""&amp;TO_TEXT(ROW()-$C$72))"),"")</f>
        <v/>
      </c>
      <c r="P1662" s="61" t="str">
        <f>IFERROR(__xludf.DUMMYFUNCTION("INDIRECT(""'收支紀錄'!P""&amp;TO_TEXT(ROW()-$C$72))"),"")</f>
        <v/>
      </c>
      <c r="Q1662" s="61" t="str">
        <f>IFERROR(__xludf.DUMMYFUNCTION("INDIRECT(""'收支紀錄'!Q""&amp;TO_TEXT(ROW()-$C$72))"),"")</f>
        <v/>
      </c>
      <c r="R1662" s="61" t="str">
        <f>IFERROR(__xludf.DUMMYFUNCTION("INDIRECT(""'收支紀錄'!R""&amp;TO_TEXT(ROW()-$C$72))"),"")</f>
        <v/>
      </c>
      <c r="S1662" s="61" t="str">
        <f>IFERROR(__xludf.DUMMYFUNCTION("INDIRECT(""'收支紀錄'!S""&amp;TO_TEXT(ROW()-$C$72))"),"台南民宿")</f>
        <v>台南民宿</v>
      </c>
      <c r="T1662" s="61" t="str">
        <f>IFERROR(__xludf.DUMMYFUNCTION("INDIRECT(""'收支紀錄'!T""&amp;TO_TEXT(ROW()-$C$72))"),"")</f>
        <v/>
      </c>
      <c r="U1662" s="62" t="str">
        <f>IFERROR(__xludf.DUMMYFUNCTION("IF(T1662=""是"",TEXTJOIN("""", TRUE, ""$"", TO_TEXT(C1662), S1662),"""")"),"")</f>
        <v/>
      </c>
    </row>
    <row r="1663">
      <c r="A1663" s="58">
        <f>IFERROR(__xludf.DUMMYFUNCTION("INDIRECT(""'收支紀錄'!A""&amp;TO_TEXT(ROW()-$C$72))"),46163.84770261574)</f>
        <v>46163.8477</v>
      </c>
      <c r="B1663" s="59">
        <f>IFERROR(__xludf.DUMMYFUNCTION("IF(ISBLANK(D1663), """", IF(ISDATE(D1663), D1663, IF(D1663=""今天"", A1663, IF(D1663=""昨天 (-1 day)"", A1663-1, IF(D1663=""前天 (-2 days)"", A1663-2, IF(D1663=""明天 (+1 day)"", A1663+1, DATE(LEFT(D1663,4), MID(D1663,5,2), RIGHT(D1663,2))))))))"),46162.84770261574)</f>
        <v>46162.8477</v>
      </c>
      <c r="C1663" s="60">
        <f>IFERROR(__xludf.DUMMYFUNCTION("INDIRECT(""'收支紀錄'!C""&amp;TO_TEXT(ROW()-$C$72))"),150.0)</f>
        <v>150</v>
      </c>
      <c r="D1663" s="63" t="str">
        <f>IFERROR(__xludf.DUMMYFUNCTION("INDIRECT(""'收支紀錄'!D""&amp;TO_TEXT(ROW()-$C$72))"),"昨天 (-1 day)")</f>
        <v>昨天 (-1 day)</v>
      </c>
      <c r="E1663" s="61" t="str">
        <f>IFERROR(__xludf.DUMMYFUNCTION("INDIRECT(""'收支紀錄'!E""&amp;TO_TEXT(ROW()-$C$72))"),"")</f>
        <v/>
      </c>
      <c r="F1663" s="61" t="str">
        <f>IFERROR(__xludf.DUMMYFUNCTION("INDIRECT(""'收支紀錄'!F""&amp;TO_TEXT(ROW()-$C$72))"),"")</f>
        <v/>
      </c>
      <c r="G1663" s="61" t="str">
        <f>IFERROR(__xludf.DUMMYFUNCTION("INDIRECT(""'收支紀錄'!G""&amp;TO_TEXT(ROW()-$C$72))"),"")</f>
        <v/>
      </c>
      <c r="H1663" s="61" t="str">
        <f>IFERROR(__xludf.DUMMYFUNCTION("INDIRECT(""'收支紀錄'!H""&amp;TO_TEXT(ROW()-$C$72))"),"休閒娛樂")</f>
        <v>休閒娛樂</v>
      </c>
      <c r="I1663" s="61" t="str">
        <f>IFERROR(__xludf.DUMMYFUNCTION("INDIRECT(""'收支紀錄'!I""&amp;TO_TEXT(ROW()-$C$72))"),"")</f>
        <v/>
      </c>
      <c r="J1663" s="61" t="str">
        <f>IFERROR(__xludf.DUMMYFUNCTION("INDIRECT(""'收支紀錄'!J""&amp;TO_TEXT(ROW()-$C$72))"),"")</f>
        <v/>
      </c>
      <c r="K1663" s="61" t="str">
        <f>IFERROR(__xludf.DUMMYFUNCTION("INDIRECT(""'收支紀錄'!K""&amp;TO_TEXT(ROW()-$C$72))"),"")</f>
        <v/>
      </c>
      <c r="L1663" s="61" t="str">
        <f>IFERROR(__xludf.DUMMYFUNCTION("INDIRECT(""'收支紀錄'!L""&amp;TO_TEXT(ROW()-$C$72))"),"")</f>
        <v/>
      </c>
      <c r="M1663" s="61" t="str">
        <f>IFERROR(__xludf.DUMMYFUNCTION("INDIRECT(""'收支紀錄'!M""&amp;TO_TEXT(ROW()-$C$72))"),"運動健身")</f>
        <v>運動健身</v>
      </c>
      <c r="N1663" s="61" t="str">
        <f>IFERROR(__xludf.DUMMYFUNCTION("INDIRECT(""'收支紀錄'!N""&amp;TO_TEXT(ROW()-$C$72))"),"")</f>
        <v/>
      </c>
      <c r="O1663" s="61" t="str">
        <f>IFERROR(__xludf.DUMMYFUNCTION("INDIRECT(""'收支紀錄'!O""&amp;TO_TEXT(ROW()-$C$72))"),"")</f>
        <v/>
      </c>
      <c r="P1663" s="61" t="str">
        <f>IFERROR(__xludf.DUMMYFUNCTION("INDIRECT(""'收支紀錄'!P""&amp;TO_TEXT(ROW()-$C$72))"),"")</f>
        <v/>
      </c>
      <c r="Q1663" s="61" t="str">
        <f>IFERROR(__xludf.DUMMYFUNCTION("INDIRECT(""'收支紀錄'!Q""&amp;TO_TEXT(ROW()-$C$72))"),"")</f>
        <v/>
      </c>
      <c r="R1663" s="61" t="str">
        <f>IFERROR(__xludf.DUMMYFUNCTION("INDIRECT(""'收支紀錄'!R""&amp;TO_TEXT(ROW()-$C$72))"),"")</f>
        <v/>
      </c>
      <c r="S1663" s="61" t="str">
        <f>IFERROR(__xludf.DUMMYFUNCTION("INDIRECT(""'收支紀錄'!S""&amp;TO_TEXT(ROW()-$C$72))"),"")</f>
        <v/>
      </c>
      <c r="T1663" s="61" t="str">
        <f>IFERROR(__xludf.DUMMYFUNCTION("INDIRECT(""'收支紀錄'!T""&amp;TO_TEXT(ROW()-$C$72))"),"")</f>
        <v/>
      </c>
      <c r="U1663" s="62" t="str">
        <f>IFERROR(__xludf.DUMMYFUNCTION("IF(T1663=""是"",TEXTJOIN("""", TRUE, ""$"", TO_TEXT(C1663), S1663),"""")"),"")</f>
        <v/>
      </c>
    </row>
    <row r="1664">
      <c r="A1664" s="58">
        <f>IFERROR(__xludf.DUMMYFUNCTION("INDIRECT(""'收支紀錄'!A""&amp;TO_TEXT(ROW()-$C$72))"),46163.84784637731)</f>
        <v>46163.84785</v>
      </c>
      <c r="B1664" s="59">
        <f>IFERROR(__xludf.DUMMYFUNCTION("IF(ISBLANK(D1664), """", IF(ISDATE(D1664), D1664, IF(D1664=""今天"", A1664, IF(D1664=""昨天 (-1 day)"", A1664-1, IF(D1664=""前天 (-2 days)"", A1664-2, IF(D1664=""明天 (+1 day)"", A1664+1, DATE(LEFT(D1664,4), MID(D1664,5,2), RIGHT(D1664,2))))))))"),46163.84784637731)</f>
        <v>46163.84785</v>
      </c>
      <c r="C1664" s="60">
        <f>IFERROR(__xludf.DUMMYFUNCTION("INDIRECT(""'收支紀錄'!C""&amp;TO_TEXT(ROW()-$C$72))"),250.0)</f>
        <v>250</v>
      </c>
      <c r="D1664" s="63" t="str">
        <f>IFERROR(__xludf.DUMMYFUNCTION("INDIRECT(""'收支紀錄'!D""&amp;TO_TEXT(ROW()-$C$72))"),"今天")</f>
        <v>今天</v>
      </c>
      <c r="E1664" s="61" t="str">
        <f>IFERROR(__xludf.DUMMYFUNCTION("INDIRECT(""'收支紀錄'!E""&amp;TO_TEXT(ROW()-$C$72))"),"")</f>
        <v/>
      </c>
      <c r="F1664" s="61" t="str">
        <f>IFERROR(__xludf.DUMMYFUNCTION("INDIRECT(""'收支紀錄'!F""&amp;TO_TEXT(ROW()-$C$72))"),"")</f>
        <v/>
      </c>
      <c r="G1664" s="61" t="str">
        <f>IFERROR(__xludf.DUMMYFUNCTION("INDIRECT(""'收支紀錄'!G""&amp;TO_TEXT(ROW()-$C$72))"),"")</f>
        <v/>
      </c>
      <c r="H1664" s="61" t="str">
        <f>IFERROR(__xludf.DUMMYFUNCTION("INDIRECT(""'收支紀錄'!H""&amp;TO_TEXT(ROW()-$C$72))"),"醫療費用")</f>
        <v>醫療費用</v>
      </c>
      <c r="I1664" s="61" t="str">
        <f>IFERROR(__xludf.DUMMYFUNCTION("INDIRECT(""'收支紀錄'!I""&amp;TO_TEXT(ROW()-$C$72))"),"")</f>
        <v/>
      </c>
      <c r="J1664" s="61" t="str">
        <f>IFERROR(__xludf.DUMMYFUNCTION("INDIRECT(""'收支紀錄'!J""&amp;TO_TEXT(ROW()-$C$72))"),"")</f>
        <v/>
      </c>
      <c r="K1664" s="61" t="str">
        <f>IFERROR(__xludf.DUMMYFUNCTION("INDIRECT(""'收支紀錄'!K""&amp;TO_TEXT(ROW()-$C$72))"),"")</f>
        <v/>
      </c>
      <c r="L1664" s="61" t="str">
        <f>IFERROR(__xludf.DUMMYFUNCTION("INDIRECT(""'收支紀錄'!L""&amp;TO_TEXT(ROW()-$C$72))"),"")</f>
        <v/>
      </c>
      <c r="M1664" s="61" t="str">
        <f>IFERROR(__xludf.DUMMYFUNCTION("INDIRECT(""'收支紀錄'!M""&amp;TO_TEXT(ROW()-$C$72))"),"")</f>
        <v/>
      </c>
      <c r="N1664" s="61" t="str">
        <f>IFERROR(__xludf.DUMMYFUNCTION("INDIRECT(""'收支紀錄'!N""&amp;TO_TEXT(ROW()-$C$72))"),"")</f>
        <v/>
      </c>
      <c r="O1664" s="61" t="str">
        <f>IFERROR(__xludf.DUMMYFUNCTION("INDIRECT(""'收支紀錄'!O""&amp;TO_TEXT(ROW()-$C$72))"),"生病醫療")</f>
        <v>生病醫療</v>
      </c>
      <c r="P1664" s="61" t="str">
        <f>IFERROR(__xludf.DUMMYFUNCTION("INDIRECT(""'收支紀錄'!P""&amp;TO_TEXT(ROW()-$C$72))"),"")</f>
        <v/>
      </c>
      <c r="Q1664" s="61" t="str">
        <f>IFERROR(__xludf.DUMMYFUNCTION("INDIRECT(""'收支紀錄'!Q""&amp;TO_TEXT(ROW()-$C$72))"),"")</f>
        <v/>
      </c>
      <c r="R1664" s="61" t="str">
        <f>IFERROR(__xludf.DUMMYFUNCTION("INDIRECT(""'收支紀錄'!R""&amp;TO_TEXT(ROW()-$C$72))"),"")</f>
        <v/>
      </c>
      <c r="S1664" s="61" t="str">
        <f>IFERROR(__xludf.DUMMYFUNCTION("INDIRECT(""'收支紀錄'!S""&amp;TO_TEXT(ROW()-$C$72))"),"")</f>
        <v/>
      </c>
      <c r="T1664" s="61" t="str">
        <f>IFERROR(__xludf.DUMMYFUNCTION("INDIRECT(""'收支紀錄'!T""&amp;TO_TEXT(ROW()-$C$72))"),"")</f>
        <v/>
      </c>
      <c r="U1664" s="62" t="str">
        <f>IFERROR(__xludf.DUMMYFUNCTION("IF(T1664=""是"",TEXTJOIN("""", TRUE, ""$"", TO_TEXT(C1664), S1664),"""")"),"")</f>
        <v/>
      </c>
    </row>
    <row r="1665">
      <c r="A1665" s="58">
        <f>IFERROR(__xludf.DUMMYFUNCTION("INDIRECT(""'收支紀錄'!A""&amp;TO_TEXT(ROW()-$C$72))"),46165.012280173614)</f>
        <v>46165.01228</v>
      </c>
      <c r="B1665" s="59">
        <f>IFERROR(__xludf.DUMMYFUNCTION("IF(ISBLANK(D1665), """", IF(ISDATE(D1665), D1665, IF(D1665=""今天"", A1665, IF(D1665=""昨天 (-1 day)"", A1665-1, IF(D1665=""前天 (-2 days)"", A1665-2, IF(D1665=""明天 (+1 day)"", A1665+1, DATE(LEFT(D1665,4), MID(D1665,5,2), RIGHT(D1665,2))))))))"),46164.012280173614)</f>
        <v>46164.01228</v>
      </c>
      <c r="C1665" s="60">
        <f>IFERROR(__xludf.DUMMYFUNCTION("INDIRECT(""'收支紀錄'!C""&amp;TO_TEXT(ROW()-$C$72))"),180.0)</f>
        <v>180</v>
      </c>
      <c r="D1665" s="63" t="str">
        <f>IFERROR(__xludf.DUMMYFUNCTION("INDIRECT(""'收支紀錄'!D""&amp;TO_TEXT(ROW()-$C$72))"),"昨天 (-1 day)")</f>
        <v>昨天 (-1 day)</v>
      </c>
      <c r="E1665" s="61" t="str">
        <f>IFERROR(__xludf.DUMMYFUNCTION("INDIRECT(""'收支紀錄'!E""&amp;TO_TEXT(ROW()-$C$72))"),"")</f>
        <v/>
      </c>
      <c r="F1665" s="61" t="str">
        <f>IFERROR(__xludf.DUMMYFUNCTION("INDIRECT(""'收支紀錄'!F""&amp;TO_TEXT(ROW()-$C$72))"),"")</f>
        <v/>
      </c>
      <c r="G1665" s="61" t="str">
        <f>IFERROR(__xludf.DUMMYFUNCTION("INDIRECT(""'收支紀錄'!G""&amp;TO_TEXT(ROW()-$C$72))"),"")</f>
        <v/>
      </c>
      <c r="H1665" s="61" t="str">
        <f>IFERROR(__xludf.DUMMYFUNCTION("INDIRECT(""'收支紀錄'!H""&amp;TO_TEXT(ROW()-$C$72))"),"休閒娛樂")</f>
        <v>休閒娛樂</v>
      </c>
      <c r="I1665" s="61" t="str">
        <f>IFERROR(__xludf.DUMMYFUNCTION("INDIRECT(""'收支紀錄'!I""&amp;TO_TEXT(ROW()-$C$72))"),"")</f>
        <v/>
      </c>
      <c r="J1665" s="61" t="str">
        <f>IFERROR(__xludf.DUMMYFUNCTION("INDIRECT(""'收支紀錄'!J""&amp;TO_TEXT(ROW()-$C$72))"),"")</f>
        <v/>
      </c>
      <c r="K1665" s="61" t="str">
        <f>IFERROR(__xludf.DUMMYFUNCTION("INDIRECT(""'收支紀錄'!K""&amp;TO_TEXT(ROW()-$C$72))"),"")</f>
        <v/>
      </c>
      <c r="L1665" s="61" t="str">
        <f>IFERROR(__xludf.DUMMYFUNCTION("INDIRECT(""'收支紀錄'!L""&amp;TO_TEXT(ROW()-$C$72))"),"")</f>
        <v/>
      </c>
      <c r="M1665" s="61" t="str">
        <f>IFERROR(__xludf.DUMMYFUNCTION("INDIRECT(""'收支紀錄'!M""&amp;TO_TEXT(ROW()-$C$72))"),"運動健身")</f>
        <v>運動健身</v>
      </c>
      <c r="N1665" s="61" t="str">
        <f>IFERROR(__xludf.DUMMYFUNCTION("INDIRECT(""'收支紀錄'!N""&amp;TO_TEXT(ROW()-$C$72))"),"")</f>
        <v/>
      </c>
      <c r="O1665" s="61" t="str">
        <f>IFERROR(__xludf.DUMMYFUNCTION("INDIRECT(""'收支紀錄'!O""&amp;TO_TEXT(ROW()-$C$72))"),"")</f>
        <v/>
      </c>
      <c r="P1665" s="61" t="str">
        <f>IFERROR(__xludf.DUMMYFUNCTION("INDIRECT(""'收支紀錄'!P""&amp;TO_TEXT(ROW()-$C$72))"),"")</f>
        <v/>
      </c>
      <c r="Q1665" s="61" t="str">
        <f>IFERROR(__xludf.DUMMYFUNCTION("INDIRECT(""'收支紀錄'!Q""&amp;TO_TEXT(ROW()-$C$72))"),"")</f>
        <v/>
      </c>
      <c r="R1665" s="61" t="str">
        <f>IFERROR(__xludf.DUMMYFUNCTION("INDIRECT(""'收支紀錄'!R""&amp;TO_TEXT(ROW()-$C$72))"),"")</f>
        <v/>
      </c>
      <c r="S1665" s="61" t="str">
        <f>IFERROR(__xludf.DUMMYFUNCTION("INDIRECT(""'收支紀錄'!S""&amp;TO_TEXT(ROW()-$C$72))"),"")</f>
        <v/>
      </c>
      <c r="T1665" s="61" t="str">
        <f>IFERROR(__xludf.DUMMYFUNCTION("INDIRECT(""'收支紀錄'!T""&amp;TO_TEXT(ROW()-$C$72))"),"")</f>
        <v/>
      </c>
      <c r="U1665" s="62" t="str">
        <f>IFERROR(__xludf.DUMMYFUNCTION("IF(T1665=""是"",TEXTJOIN("""", TRUE, ""$"", TO_TEXT(C1665), S1665),"""")"),"")</f>
        <v/>
      </c>
    </row>
    <row r="1666">
      <c r="A1666" s="58">
        <f>IFERROR(__xludf.DUMMYFUNCTION("INDIRECT(""'收支紀錄'!A""&amp;TO_TEXT(ROW()-$C$72))"),46166.06972107639)</f>
        <v>46166.06972</v>
      </c>
      <c r="B1666" s="59">
        <f>IFERROR(__xludf.DUMMYFUNCTION("IF(ISBLANK(D1666), """", IF(ISDATE(D1666), D1666, IF(D1666=""今天"", A1666, IF(D1666=""昨天 (-1 day)"", A1666-1, IF(D1666=""前天 (-2 days)"", A1666-2, IF(D1666=""明天 (+1 day)"", A1666+1, DATE(LEFT(D1666,4), MID(D1666,5,2), RIGHT(D1666,2))))))))"),46165.06972107639)</f>
        <v>46165.06972</v>
      </c>
      <c r="C1666" s="60">
        <f>IFERROR(__xludf.DUMMYFUNCTION("INDIRECT(""'收支紀錄'!C""&amp;TO_TEXT(ROW()-$C$72))"),1885.0)</f>
        <v>1885</v>
      </c>
      <c r="D1666" s="63" t="str">
        <f>IFERROR(__xludf.DUMMYFUNCTION("INDIRECT(""'收支紀錄'!D""&amp;TO_TEXT(ROW()-$C$72))"),"昨天 (-1 day)")</f>
        <v>昨天 (-1 day)</v>
      </c>
      <c r="E1666" s="61" t="str">
        <f>IFERROR(__xludf.DUMMYFUNCTION("INDIRECT(""'收支紀錄'!E""&amp;TO_TEXT(ROW()-$C$72))"),"")</f>
        <v/>
      </c>
      <c r="F1666" s="61" t="str">
        <f>IFERROR(__xludf.DUMMYFUNCTION("INDIRECT(""'收支紀錄'!F""&amp;TO_TEXT(ROW()-$C$72))"),"")</f>
        <v/>
      </c>
      <c r="G1666" s="61" t="str">
        <f>IFERROR(__xludf.DUMMYFUNCTION("INDIRECT(""'收支紀錄'!G""&amp;TO_TEXT(ROW()-$C$72))"),"")</f>
        <v/>
      </c>
      <c r="H1666" s="61" t="str">
        <f>IFERROR(__xludf.DUMMYFUNCTION("INDIRECT(""'收支紀錄'!H""&amp;TO_TEXT(ROW()-$C$72))"),"食品酒水")</f>
        <v>食品酒水</v>
      </c>
      <c r="I1666" s="61" t="str">
        <f>IFERROR(__xludf.DUMMYFUNCTION("INDIRECT(""'收支紀錄'!I""&amp;TO_TEXT(ROW()-$C$72))"),"午餐")</f>
        <v>午餐</v>
      </c>
      <c r="J1666" s="61" t="str">
        <f>IFERROR(__xludf.DUMMYFUNCTION("INDIRECT(""'收支紀錄'!J""&amp;TO_TEXT(ROW()-$C$72))"),"")</f>
        <v/>
      </c>
      <c r="K1666" s="61" t="str">
        <f>IFERROR(__xludf.DUMMYFUNCTION("INDIRECT(""'收支紀錄'!K""&amp;TO_TEXT(ROW()-$C$72))"),"")</f>
        <v/>
      </c>
      <c r="L1666" s="61" t="str">
        <f>IFERROR(__xludf.DUMMYFUNCTION("INDIRECT(""'收支紀錄'!L""&amp;TO_TEXT(ROW()-$C$72))"),"")</f>
        <v/>
      </c>
      <c r="M1666" s="61" t="str">
        <f>IFERROR(__xludf.DUMMYFUNCTION("INDIRECT(""'收支紀錄'!M""&amp;TO_TEXT(ROW()-$C$72))"),"")</f>
        <v/>
      </c>
      <c r="N1666" s="61" t="str">
        <f>IFERROR(__xludf.DUMMYFUNCTION("INDIRECT(""'收支紀錄'!N""&amp;TO_TEXT(ROW()-$C$72))"),"")</f>
        <v/>
      </c>
      <c r="O1666" s="61" t="str">
        <f>IFERROR(__xludf.DUMMYFUNCTION("INDIRECT(""'收支紀錄'!O""&amp;TO_TEXT(ROW()-$C$72))"),"")</f>
        <v/>
      </c>
      <c r="P1666" s="61" t="str">
        <f>IFERROR(__xludf.DUMMYFUNCTION("INDIRECT(""'收支紀錄'!P""&amp;TO_TEXT(ROW()-$C$72))"),"")</f>
        <v/>
      </c>
      <c r="Q1666" s="61" t="str">
        <f>IFERROR(__xludf.DUMMYFUNCTION("INDIRECT(""'收支紀錄'!Q""&amp;TO_TEXT(ROW()-$C$72))"),"")</f>
        <v/>
      </c>
      <c r="R1666" s="61" t="str">
        <f>IFERROR(__xludf.DUMMYFUNCTION("INDIRECT(""'收支紀錄'!R""&amp;TO_TEXT(ROW()-$C$72))"),"")</f>
        <v/>
      </c>
      <c r="S1666" s="61" t="str">
        <f>IFERROR(__xludf.DUMMYFUNCTION("INDIRECT(""'收支紀錄'!S""&amp;TO_TEXT(ROW()-$C$72))"),"海底撈")</f>
        <v>海底撈</v>
      </c>
      <c r="T1666" s="61" t="str">
        <f>IFERROR(__xludf.DUMMYFUNCTION("INDIRECT(""'收支紀錄'!T""&amp;TO_TEXT(ROW()-$C$72))"),"否")</f>
        <v>否</v>
      </c>
      <c r="U1666" s="62" t="str">
        <f>IFERROR(__xludf.DUMMYFUNCTION("IF(T1666=""是"",TEXTJOIN("""", TRUE, ""$"", TO_TEXT(C1666), S1666),"""")"),"")</f>
        <v/>
      </c>
    </row>
    <row r="1667">
      <c r="A1667" s="58">
        <f>IFERROR(__xludf.DUMMYFUNCTION("INDIRECT(""'收支紀錄'!A""&amp;TO_TEXT(ROW()-$C$72))"),46166.07056824074)</f>
        <v>46166.07057</v>
      </c>
      <c r="B1667" s="59">
        <f>IFERROR(__xludf.DUMMYFUNCTION("IF(ISBLANK(D1667), """", IF(ISDATE(D1667), D1667, IF(D1667=""今天"", A1667, IF(D1667=""昨天 (-1 day)"", A1667-1, IF(D1667=""前天 (-2 days)"", A1667-2, IF(D1667=""明天 (+1 day)"", A1667+1, DATE(LEFT(D1667,4), MID(D1667,5,2), RIGHT(D1667,2))))))))"),46165.07056824074)</f>
        <v>46165.07057</v>
      </c>
      <c r="C1667" s="60">
        <f>IFERROR(__xludf.DUMMYFUNCTION("INDIRECT(""'收支紀錄'!C""&amp;TO_TEXT(ROW()-$C$72))"),1014.0)</f>
        <v>1014</v>
      </c>
      <c r="D1667" s="63" t="str">
        <f>IFERROR(__xludf.DUMMYFUNCTION("INDIRECT(""'收支紀錄'!D""&amp;TO_TEXT(ROW()-$C$72))"),"昨天 (-1 day)")</f>
        <v>昨天 (-1 day)</v>
      </c>
      <c r="E1667" s="61" t="str">
        <f>IFERROR(__xludf.DUMMYFUNCTION("INDIRECT(""'收支紀錄'!E""&amp;TO_TEXT(ROW()-$C$72))"),"")</f>
        <v/>
      </c>
      <c r="F1667" s="61" t="str">
        <f>IFERROR(__xludf.DUMMYFUNCTION("INDIRECT(""'收支紀錄'!F""&amp;TO_TEXT(ROW()-$C$72))"),"")</f>
        <v/>
      </c>
      <c r="G1667" s="61" t="str">
        <f>IFERROR(__xludf.DUMMYFUNCTION("INDIRECT(""'收支紀錄'!G""&amp;TO_TEXT(ROW()-$C$72))"),"")</f>
        <v/>
      </c>
      <c r="H1667" s="61" t="str">
        <f>IFERROR(__xludf.DUMMYFUNCTION("INDIRECT(""'收支紀錄'!H""&amp;TO_TEXT(ROW()-$C$72))"),"日常生活")</f>
        <v>日常生活</v>
      </c>
      <c r="I1667" s="61" t="str">
        <f>IFERROR(__xludf.DUMMYFUNCTION("INDIRECT(""'收支紀錄'!I""&amp;TO_TEXT(ROW()-$C$72))"),"")</f>
        <v/>
      </c>
      <c r="J1667" s="61" t="str">
        <f>IFERROR(__xludf.DUMMYFUNCTION("INDIRECT(""'收支紀錄'!J""&amp;TO_TEXT(ROW()-$C$72))"),"日常用品")</f>
        <v>日常用品</v>
      </c>
      <c r="K1667" s="61" t="str">
        <f>IFERROR(__xludf.DUMMYFUNCTION("INDIRECT(""'收支紀錄'!K""&amp;TO_TEXT(ROW()-$C$72))"),"")</f>
        <v/>
      </c>
      <c r="L1667" s="61" t="str">
        <f>IFERROR(__xludf.DUMMYFUNCTION("INDIRECT(""'收支紀錄'!L""&amp;TO_TEXT(ROW()-$C$72))"),"")</f>
        <v/>
      </c>
      <c r="M1667" s="61" t="str">
        <f>IFERROR(__xludf.DUMMYFUNCTION("INDIRECT(""'收支紀錄'!M""&amp;TO_TEXT(ROW()-$C$72))"),"")</f>
        <v/>
      </c>
      <c r="N1667" s="61" t="str">
        <f>IFERROR(__xludf.DUMMYFUNCTION("INDIRECT(""'收支紀錄'!N""&amp;TO_TEXT(ROW()-$C$72))"),"")</f>
        <v/>
      </c>
      <c r="O1667" s="61" t="str">
        <f>IFERROR(__xludf.DUMMYFUNCTION("INDIRECT(""'收支紀錄'!O""&amp;TO_TEXT(ROW()-$C$72))"),"")</f>
        <v/>
      </c>
      <c r="P1667" s="61" t="str">
        <f>IFERROR(__xludf.DUMMYFUNCTION("INDIRECT(""'收支紀錄'!P""&amp;TO_TEXT(ROW()-$C$72))"),"")</f>
        <v/>
      </c>
      <c r="Q1667" s="61" t="str">
        <f>IFERROR(__xludf.DUMMYFUNCTION("INDIRECT(""'收支紀錄'!Q""&amp;TO_TEXT(ROW()-$C$72))"),"")</f>
        <v/>
      </c>
      <c r="R1667" s="61" t="str">
        <f>IFERROR(__xludf.DUMMYFUNCTION("INDIRECT(""'收支紀錄'!R""&amp;TO_TEXT(ROW()-$C$72))"),"")</f>
        <v/>
      </c>
      <c r="S1667" s="61" t="str">
        <f>IFERROR(__xludf.DUMMYFUNCTION("INDIRECT(""'收支紀錄'!S""&amp;TO_TEXT(ROW()-$C$72))"),"")</f>
        <v/>
      </c>
      <c r="T1667" s="61" t="str">
        <f>IFERROR(__xludf.DUMMYFUNCTION("INDIRECT(""'收支紀錄'!T""&amp;TO_TEXT(ROW()-$C$72))"),"")</f>
        <v/>
      </c>
      <c r="U1667" s="62" t="str">
        <f>IFERROR(__xludf.DUMMYFUNCTION("IF(T1667=""是"",TEXTJOIN("""", TRUE, ""$"", TO_TEXT(C1667), S1667),"""")"),"")</f>
        <v/>
      </c>
    </row>
    <row r="1668">
      <c r="A1668" s="58">
        <f>IFERROR(__xludf.DUMMYFUNCTION("INDIRECT(""'收支紀錄'!A""&amp;TO_TEXT(ROW()-$C$72))"),46166.07081635417)</f>
        <v>46166.07082</v>
      </c>
      <c r="B1668" s="59">
        <f>IFERROR(__xludf.DUMMYFUNCTION("IF(ISBLANK(D1668), """", IF(ISDATE(D1668), D1668, IF(D1668=""今天"", A1668, IF(D1668=""昨天 (-1 day)"", A1668-1, IF(D1668=""前天 (-2 days)"", A1668-2, IF(D1668=""明天 (+1 day)"", A1668+1, DATE(LEFT(D1668,4), MID(D1668,5,2), RIGHT(D1668,2))))))))"),46165.07081635417)</f>
        <v>46165.07082</v>
      </c>
      <c r="C1668" s="60">
        <f>IFERROR(__xludf.DUMMYFUNCTION("INDIRECT(""'收支紀錄'!C""&amp;TO_TEXT(ROW()-$C$72))"),2427.0)</f>
        <v>2427</v>
      </c>
      <c r="D1668" s="63" t="str">
        <f>IFERROR(__xludf.DUMMYFUNCTION("INDIRECT(""'收支紀錄'!D""&amp;TO_TEXT(ROW()-$C$72))"),"昨天 (-1 day)")</f>
        <v>昨天 (-1 day)</v>
      </c>
      <c r="E1668" s="61" t="str">
        <f>IFERROR(__xludf.DUMMYFUNCTION("INDIRECT(""'收支紀錄'!E""&amp;TO_TEXT(ROW()-$C$72))"),"")</f>
        <v/>
      </c>
      <c r="F1668" s="61" t="str">
        <f>IFERROR(__xludf.DUMMYFUNCTION("INDIRECT(""'收支紀錄'!F""&amp;TO_TEXT(ROW()-$C$72))"),"")</f>
        <v/>
      </c>
      <c r="G1668" s="61" t="str">
        <f>IFERROR(__xludf.DUMMYFUNCTION("INDIRECT(""'收支紀錄'!G""&amp;TO_TEXT(ROW()-$C$72))"),"")</f>
        <v/>
      </c>
      <c r="H1668" s="61" t="str">
        <f>IFERROR(__xludf.DUMMYFUNCTION("INDIRECT(""'收支紀錄'!H""&amp;TO_TEXT(ROW()-$C$72))"),"食品酒水")</f>
        <v>食品酒水</v>
      </c>
      <c r="I1668" s="61" t="str">
        <f>IFERROR(__xludf.DUMMYFUNCTION("INDIRECT(""'收支紀錄'!I""&amp;TO_TEXT(ROW()-$C$72))"),"食材")</f>
        <v>食材</v>
      </c>
      <c r="J1668" s="61" t="str">
        <f>IFERROR(__xludf.DUMMYFUNCTION("INDIRECT(""'收支紀錄'!J""&amp;TO_TEXT(ROW()-$C$72))"),"")</f>
        <v/>
      </c>
      <c r="K1668" s="61" t="str">
        <f>IFERROR(__xludf.DUMMYFUNCTION("INDIRECT(""'收支紀錄'!K""&amp;TO_TEXT(ROW()-$C$72))"),"")</f>
        <v/>
      </c>
      <c r="L1668" s="61" t="str">
        <f>IFERROR(__xludf.DUMMYFUNCTION("INDIRECT(""'收支紀錄'!L""&amp;TO_TEXT(ROW()-$C$72))"),"")</f>
        <v/>
      </c>
      <c r="M1668" s="61" t="str">
        <f>IFERROR(__xludf.DUMMYFUNCTION("INDIRECT(""'收支紀錄'!M""&amp;TO_TEXT(ROW()-$C$72))"),"")</f>
        <v/>
      </c>
      <c r="N1668" s="61" t="str">
        <f>IFERROR(__xludf.DUMMYFUNCTION("INDIRECT(""'收支紀錄'!N""&amp;TO_TEXT(ROW()-$C$72))"),"")</f>
        <v/>
      </c>
      <c r="O1668" s="61" t="str">
        <f>IFERROR(__xludf.DUMMYFUNCTION("INDIRECT(""'收支紀錄'!O""&amp;TO_TEXT(ROW()-$C$72))"),"")</f>
        <v/>
      </c>
      <c r="P1668" s="61" t="str">
        <f>IFERROR(__xludf.DUMMYFUNCTION("INDIRECT(""'收支紀錄'!P""&amp;TO_TEXT(ROW()-$C$72))"),"")</f>
        <v/>
      </c>
      <c r="Q1668" s="61" t="str">
        <f>IFERROR(__xludf.DUMMYFUNCTION("INDIRECT(""'收支紀錄'!Q""&amp;TO_TEXT(ROW()-$C$72))"),"")</f>
        <v/>
      </c>
      <c r="R1668" s="61" t="str">
        <f>IFERROR(__xludf.DUMMYFUNCTION("INDIRECT(""'收支紀錄'!R""&amp;TO_TEXT(ROW()-$C$72))"),"")</f>
        <v/>
      </c>
      <c r="S1668" s="61" t="str">
        <f>IFERROR(__xludf.DUMMYFUNCTION("INDIRECT(""'收支紀錄'!S""&amp;TO_TEXT(ROW()-$C$72))"),"")</f>
        <v/>
      </c>
      <c r="T1668" s="61" t="str">
        <f>IFERROR(__xludf.DUMMYFUNCTION("INDIRECT(""'收支紀錄'!T""&amp;TO_TEXT(ROW()-$C$72))"),"")</f>
        <v/>
      </c>
      <c r="U1668" s="62" t="str">
        <f>IFERROR(__xludf.DUMMYFUNCTION("IF(T1668=""是"",TEXTJOIN("""", TRUE, ""$"", TO_TEXT(C1668), S1668),"""")"),"")</f>
        <v/>
      </c>
    </row>
    <row r="1669">
      <c r="A1669" s="58">
        <f>IFERROR(__xludf.DUMMYFUNCTION("INDIRECT(""'收支紀錄'!A""&amp;TO_TEXT(ROW()-$C$72))"),46166.07097165509)</f>
        <v>46166.07097</v>
      </c>
      <c r="B1669" s="59">
        <f>IFERROR(__xludf.DUMMYFUNCTION("IF(ISBLANK(D1669), """", IF(ISDATE(D1669), D1669, IF(D1669=""今天"", A1669, IF(D1669=""昨天 (-1 day)"", A1669-1, IF(D1669=""前天 (-2 days)"", A1669-2, IF(D1669=""明天 (+1 day)"", A1669+1, DATE(LEFT(D1669,4), MID(D1669,5,2), RIGHT(D1669,2))))))))"),46165.07097165509)</f>
        <v>46165.07097</v>
      </c>
      <c r="C1669" s="60">
        <f>IFERROR(__xludf.DUMMYFUNCTION("INDIRECT(""'收支紀錄'!C""&amp;TO_TEXT(ROW()-$C$72))"),168.0)</f>
        <v>168</v>
      </c>
      <c r="D1669" s="63" t="str">
        <f>IFERROR(__xludf.DUMMYFUNCTION("INDIRECT(""'收支紀錄'!D""&amp;TO_TEXT(ROW()-$C$72))"),"昨天 (-1 day)")</f>
        <v>昨天 (-1 day)</v>
      </c>
      <c r="E1669" s="61" t="str">
        <f>IFERROR(__xludf.DUMMYFUNCTION("INDIRECT(""'收支紀錄'!E""&amp;TO_TEXT(ROW()-$C$72))"),"")</f>
        <v/>
      </c>
      <c r="F1669" s="61" t="str">
        <f>IFERROR(__xludf.DUMMYFUNCTION("INDIRECT(""'收支紀錄'!F""&amp;TO_TEXT(ROW()-$C$72))"),"")</f>
        <v/>
      </c>
      <c r="G1669" s="61" t="str">
        <f>IFERROR(__xludf.DUMMYFUNCTION("INDIRECT(""'收支紀錄'!G""&amp;TO_TEXT(ROW()-$C$72))"),"")</f>
        <v/>
      </c>
      <c r="H1669" s="61" t="str">
        <f>IFERROR(__xludf.DUMMYFUNCTION("INDIRECT(""'收支紀錄'!H""&amp;TO_TEXT(ROW()-$C$72))"),"食品酒水")</f>
        <v>食品酒水</v>
      </c>
      <c r="I1669" s="61" t="str">
        <f>IFERROR(__xludf.DUMMYFUNCTION("INDIRECT(""'收支紀錄'!I""&amp;TO_TEXT(ROW()-$C$72))"),"食材")</f>
        <v>食材</v>
      </c>
      <c r="J1669" s="61" t="str">
        <f>IFERROR(__xludf.DUMMYFUNCTION("INDIRECT(""'收支紀錄'!J""&amp;TO_TEXT(ROW()-$C$72))"),"")</f>
        <v/>
      </c>
      <c r="K1669" s="61" t="str">
        <f>IFERROR(__xludf.DUMMYFUNCTION("INDIRECT(""'收支紀錄'!K""&amp;TO_TEXT(ROW()-$C$72))"),"")</f>
        <v/>
      </c>
      <c r="L1669" s="61" t="str">
        <f>IFERROR(__xludf.DUMMYFUNCTION("INDIRECT(""'收支紀錄'!L""&amp;TO_TEXT(ROW()-$C$72))"),"")</f>
        <v/>
      </c>
      <c r="M1669" s="61" t="str">
        <f>IFERROR(__xludf.DUMMYFUNCTION("INDIRECT(""'收支紀錄'!M""&amp;TO_TEXT(ROW()-$C$72))"),"")</f>
        <v/>
      </c>
      <c r="N1669" s="61" t="str">
        <f>IFERROR(__xludf.DUMMYFUNCTION("INDIRECT(""'收支紀錄'!N""&amp;TO_TEXT(ROW()-$C$72))"),"")</f>
        <v/>
      </c>
      <c r="O1669" s="61" t="str">
        <f>IFERROR(__xludf.DUMMYFUNCTION("INDIRECT(""'收支紀錄'!O""&amp;TO_TEXT(ROW()-$C$72))"),"")</f>
        <v/>
      </c>
      <c r="P1669" s="61" t="str">
        <f>IFERROR(__xludf.DUMMYFUNCTION("INDIRECT(""'收支紀錄'!P""&amp;TO_TEXT(ROW()-$C$72))"),"")</f>
        <v/>
      </c>
      <c r="Q1669" s="61" t="str">
        <f>IFERROR(__xludf.DUMMYFUNCTION("INDIRECT(""'收支紀錄'!Q""&amp;TO_TEXT(ROW()-$C$72))"),"")</f>
        <v/>
      </c>
      <c r="R1669" s="61" t="str">
        <f>IFERROR(__xludf.DUMMYFUNCTION("INDIRECT(""'收支紀錄'!R""&amp;TO_TEXT(ROW()-$C$72))"),"")</f>
        <v/>
      </c>
      <c r="S1669" s="61" t="str">
        <f>IFERROR(__xludf.DUMMYFUNCTION("INDIRECT(""'收支紀錄'!S""&amp;TO_TEXT(ROW()-$C$72))"),"")</f>
        <v/>
      </c>
      <c r="T1669" s="61" t="str">
        <f>IFERROR(__xludf.DUMMYFUNCTION("INDIRECT(""'收支紀錄'!T""&amp;TO_TEXT(ROW()-$C$72))"),"")</f>
        <v/>
      </c>
      <c r="U1669" s="62" t="str">
        <f>IFERROR(__xludf.DUMMYFUNCTION("IF(T1669=""是"",TEXTJOIN("""", TRUE, ""$"", TO_TEXT(C1669), S1669),"""")"),"")</f>
        <v/>
      </c>
    </row>
    <row r="1670">
      <c r="A1670" s="58">
        <f>IFERROR(__xludf.DUMMYFUNCTION("INDIRECT(""'收支紀錄'!A""&amp;TO_TEXT(ROW()-$C$72))"),46166.07119137731)</f>
        <v>46166.07119</v>
      </c>
      <c r="B1670" s="59">
        <f>IFERROR(__xludf.DUMMYFUNCTION("IF(ISBLANK(D1670), """", IF(ISDATE(D1670), D1670, IF(D1670=""今天"", A1670, IF(D1670=""昨天 (-1 day)"", A1670-1, IF(D1670=""前天 (-2 days)"", A1670-2, IF(D1670=""明天 (+1 day)"", A1670+1, DATE(LEFT(D1670,4), MID(D1670,5,2), RIGHT(D1670,2))))))))"),46165.07119137731)</f>
        <v>46165.07119</v>
      </c>
      <c r="C1670" s="60">
        <f>IFERROR(__xludf.DUMMYFUNCTION("INDIRECT(""'收支紀錄'!C""&amp;TO_TEXT(ROW()-$C$72))"),20.0)</f>
        <v>20</v>
      </c>
      <c r="D1670" s="63" t="str">
        <f>IFERROR(__xludf.DUMMYFUNCTION("INDIRECT(""'收支紀錄'!D""&amp;TO_TEXT(ROW()-$C$72))"),"昨天 (-1 day)")</f>
        <v>昨天 (-1 day)</v>
      </c>
      <c r="E1670" s="61" t="str">
        <f>IFERROR(__xludf.DUMMYFUNCTION("INDIRECT(""'收支紀錄'!E""&amp;TO_TEXT(ROW()-$C$72))"),"")</f>
        <v/>
      </c>
      <c r="F1670" s="61" t="str">
        <f>IFERROR(__xludf.DUMMYFUNCTION("INDIRECT(""'收支紀錄'!F""&amp;TO_TEXT(ROW()-$C$72))"),"")</f>
        <v/>
      </c>
      <c r="G1670" s="61" t="str">
        <f>IFERROR(__xludf.DUMMYFUNCTION("INDIRECT(""'收支紀錄'!G""&amp;TO_TEXT(ROW()-$C$72))"),"")</f>
        <v/>
      </c>
      <c r="H1670" s="61" t="str">
        <f>IFERROR(__xludf.DUMMYFUNCTION("INDIRECT(""'收支紀錄'!H""&amp;TO_TEXT(ROW()-$C$72))"),"行車交通")</f>
        <v>行車交通</v>
      </c>
      <c r="I1670" s="61" t="str">
        <f>IFERROR(__xludf.DUMMYFUNCTION("INDIRECT(""'收支紀錄'!I""&amp;TO_TEXT(ROW()-$C$72))"),"")</f>
        <v/>
      </c>
      <c r="J1670" s="61" t="str">
        <f>IFERROR(__xludf.DUMMYFUNCTION("INDIRECT(""'收支紀錄'!J""&amp;TO_TEXT(ROW()-$C$72))"),"")</f>
        <v/>
      </c>
      <c r="K1670" s="61" t="str">
        <f>IFERROR(__xludf.DUMMYFUNCTION("INDIRECT(""'收支紀錄'!K""&amp;TO_TEXT(ROW()-$C$72))"),"")</f>
        <v/>
      </c>
      <c r="L1670" s="61" t="str">
        <f>IFERROR(__xludf.DUMMYFUNCTION("INDIRECT(""'收支紀錄'!L""&amp;TO_TEXT(ROW()-$C$72))"),"其他(洗車,罰單,配件)")</f>
        <v>其他(洗車,罰單,配件)</v>
      </c>
      <c r="M1670" s="61" t="str">
        <f>IFERROR(__xludf.DUMMYFUNCTION("INDIRECT(""'收支紀錄'!M""&amp;TO_TEXT(ROW()-$C$72))"),"")</f>
        <v/>
      </c>
      <c r="N1670" s="61" t="str">
        <f>IFERROR(__xludf.DUMMYFUNCTION("INDIRECT(""'收支紀錄'!N""&amp;TO_TEXT(ROW()-$C$72))"),"")</f>
        <v/>
      </c>
      <c r="O1670" s="61" t="str">
        <f>IFERROR(__xludf.DUMMYFUNCTION("INDIRECT(""'收支紀錄'!O""&amp;TO_TEXT(ROW()-$C$72))"),"")</f>
        <v/>
      </c>
      <c r="P1670" s="61" t="str">
        <f>IFERROR(__xludf.DUMMYFUNCTION("INDIRECT(""'收支紀錄'!P""&amp;TO_TEXT(ROW()-$C$72))"),"")</f>
        <v/>
      </c>
      <c r="Q1670" s="61" t="str">
        <f>IFERROR(__xludf.DUMMYFUNCTION("INDIRECT(""'收支紀錄'!Q""&amp;TO_TEXT(ROW()-$C$72))"),"")</f>
        <v/>
      </c>
      <c r="R1670" s="61" t="str">
        <f>IFERROR(__xludf.DUMMYFUNCTION("INDIRECT(""'收支紀錄'!R""&amp;TO_TEXT(ROW()-$C$72))"),"")</f>
        <v/>
      </c>
      <c r="S1670" s="61" t="str">
        <f>IFERROR(__xludf.DUMMYFUNCTION("INDIRECT(""'收支紀錄'!S""&amp;TO_TEXT(ROW()-$C$72))"),"")</f>
        <v/>
      </c>
      <c r="T1670" s="61" t="str">
        <f>IFERROR(__xludf.DUMMYFUNCTION("INDIRECT(""'收支紀錄'!T""&amp;TO_TEXT(ROW()-$C$72))"),"")</f>
        <v/>
      </c>
      <c r="U1670" s="62" t="str">
        <f>IFERROR(__xludf.DUMMYFUNCTION("IF(T1670=""是"",TEXTJOIN("""", TRUE, ""$"", TO_TEXT(C1670), S1670),"""")"),"")</f>
        <v/>
      </c>
    </row>
    <row r="1671">
      <c r="A1671" s="58">
        <f>IFERROR(__xludf.DUMMYFUNCTION("INDIRECT(""'收支紀錄'!A""&amp;TO_TEXT(ROW()-$C$72))"),46166.88398697917)</f>
        <v>46166.88399</v>
      </c>
      <c r="B1671" s="59">
        <f>IFERROR(__xludf.DUMMYFUNCTION("IF(ISBLANK(D1671), """", IF(ISDATE(D1671), D1671, IF(D1671=""今天"", A1671, IF(D1671=""昨天 (-1 day)"", A1671-1, IF(D1671=""前天 (-2 days)"", A1671-2, IF(D1671=""明天 (+1 day)"", A1671+1, DATE(LEFT(D1671,4), MID(D1671,5,2), RIGHT(D1671,2))))))))"),46166.88398697917)</f>
        <v>46166.88399</v>
      </c>
      <c r="C1671" s="60">
        <f>IFERROR(__xludf.DUMMYFUNCTION("INDIRECT(""'收支紀錄'!C""&amp;TO_TEXT(ROW()-$C$72))"),252.0)</f>
        <v>252</v>
      </c>
      <c r="D1671" s="63" t="str">
        <f>IFERROR(__xludf.DUMMYFUNCTION("INDIRECT(""'收支紀錄'!D""&amp;TO_TEXT(ROW()-$C$72))"),"今天")</f>
        <v>今天</v>
      </c>
      <c r="E1671" s="61" t="str">
        <f>IFERROR(__xludf.DUMMYFUNCTION("INDIRECT(""'收支紀錄'!E""&amp;TO_TEXT(ROW()-$C$72))"),"")</f>
        <v/>
      </c>
      <c r="F1671" s="61" t="str">
        <f>IFERROR(__xludf.DUMMYFUNCTION("INDIRECT(""'收支紀錄'!F""&amp;TO_TEXT(ROW()-$C$72))"),"")</f>
        <v/>
      </c>
      <c r="G1671" s="61" t="str">
        <f>IFERROR(__xludf.DUMMYFUNCTION("INDIRECT(""'收支紀錄'!G""&amp;TO_TEXT(ROW()-$C$72))"),"")</f>
        <v/>
      </c>
      <c r="H1671" s="61" t="str">
        <f>IFERROR(__xludf.DUMMYFUNCTION("INDIRECT(""'收支紀錄'!H""&amp;TO_TEXT(ROW()-$C$72))"),"食品酒水")</f>
        <v>食品酒水</v>
      </c>
      <c r="I1671" s="61" t="str">
        <f>IFERROR(__xludf.DUMMYFUNCTION("INDIRECT(""'收支紀錄'!I""&amp;TO_TEXT(ROW()-$C$72))"),"食材")</f>
        <v>食材</v>
      </c>
      <c r="J1671" s="61" t="str">
        <f>IFERROR(__xludf.DUMMYFUNCTION("INDIRECT(""'收支紀錄'!J""&amp;TO_TEXT(ROW()-$C$72))"),"")</f>
        <v/>
      </c>
      <c r="K1671" s="61" t="str">
        <f>IFERROR(__xludf.DUMMYFUNCTION("INDIRECT(""'收支紀錄'!K""&amp;TO_TEXT(ROW()-$C$72))"),"")</f>
        <v/>
      </c>
      <c r="L1671" s="61" t="str">
        <f>IFERROR(__xludf.DUMMYFUNCTION("INDIRECT(""'收支紀錄'!L""&amp;TO_TEXT(ROW()-$C$72))"),"")</f>
        <v/>
      </c>
      <c r="M1671" s="61" t="str">
        <f>IFERROR(__xludf.DUMMYFUNCTION("INDIRECT(""'收支紀錄'!M""&amp;TO_TEXT(ROW()-$C$72))"),"")</f>
        <v/>
      </c>
      <c r="N1671" s="61" t="str">
        <f>IFERROR(__xludf.DUMMYFUNCTION("INDIRECT(""'收支紀錄'!N""&amp;TO_TEXT(ROW()-$C$72))"),"")</f>
        <v/>
      </c>
      <c r="O1671" s="61" t="str">
        <f>IFERROR(__xludf.DUMMYFUNCTION("INDIRECT(""'收支紀錄'!O""&amp;TO_TEXT(ROW()-$C$72))"),"")</f>
        <v/>
      </c>
      <c r="P1671" s="61" t="str">
        <f>IFERROR(__xludf.DUMMYFUNCTION("INDIRECT(""'收支紀錄'!P""&amp;TO_TEXT(ROW()-$C$72))"),"")</f>
        <v/>
      </c>
      <c r="Q1671" s="61" t="str">
        <f>IFERROR(__xludf.DUMMYFUNCTION("INDIRECT(""'收支紀錄'!Q""&amp;TO_TEXT(ROW()-$C$72))"),"")</f>
        <v/>
      </c>
      <c r="R1671" s="61" t="str">
        <f>IFERROR(__xludf.DUMMYFUNCTION("INDIRECT(""'收支紀錄'!R""&amp;TO_TEXT(ROW()-$C$72))"),"")</f>
        <v/>
      </c>
      <c r="S1671" s="61" t="str">
        <f>IFERROR(__xludf.DUMMYFUNCTION("INDIRECT(""'收支紀錄'!S""&amp;TO_TEXT(ROW()-$C$72))"),"")</f>
        <v/>
      </c>
      <c r="T1671" s="61" t="str">
        <f>IFERROR(__xludf.DUMMYFUNCTION("INDIRECT(""'收支紀錄'!T""&amp;TO_TEXT(ROW()-$C$72))"),"")</f>
        <v/>
      </c>
      <c r="U1671" s="62" t="str">
        <f>IFERROR(__xludf.DUMMYFUNCTION("IF(T1671=""是"",TEXTJOIN("""", TRUE, ""$"", TO_TEXT(C1671), S1671),"""")"),"")</f>
        <v/>
      </c>
    </row>
    <row r="1672">
      <c r="A1672" s="58">
        <f>IFERROR(__xludf.DUMMYFUNCTION("INDIRECT(""'收支紀錄'!A""&amp;TO_TEXT(ROW()-$C$72))"),46170.62451443287)</f>
        <v>46170.62451</v>
      </c>
      <c r="B1672" s="59">
        <f>IFERROR(__xludf.DUMMYFUNCTION("IF(ISBLANK(D1672), """", IF(ISDATE(D1672), D1672, IF(D1672=""今天"", A1672, IF(D1672=""昨天 (-1 day)"", A1672-1, IF(D1672=""前天 (-2 days)"", A1672-2, IF(D1672=""明天 (+1 day)"", A1672+1, DATE(LEFT(D1672,4), MID(D1672,5,2), RIGHT(D1672,2))))))))"),46170.62451443287)</f>
        <v>46170.62451</v>
      </c>
      <c r="C1672" s="60">
        <f>IFERROR(__xludf.DUMMYFUNCTION("INDIRECT(""'收支紀錄'!C""&amp;TO_TEXT(ROW()-$C$72))"),738.0)</f>
        <v>738</v>
      </c>
      <c r="D1672" s="63" t="str">
        <f>IFERROR(__xludf.DUMMYFUNCTION("INDIRECT(""'收支紀錄'!D""&amp;TO_TEXT(ROW()-$C$72))"),"今天")</f>
        <v>今天</v>
      </c>
      <c r="E1672" s="61" t="str">
        <f>IFERROR(__xludf.DUMMYFUNCTION("INDIRECT(""'收支紀錄'!E""&amp;TO_TEXT(ROW()-$C$72))"),"")</f>
        <v/>
      </c>
      <c r="F1672" s="61" t="str">
        <f>IFERROR(__xludf.DUMMYFUNCTION("INDIRECT(""'收支紀錄'!F""&amp;TO_TEXT(ROW()-$C$72))"),"")</f>
        <v/>
      </c>
      <c r="G1672" s="61" t="str">
        <f>IFERROR(__xludf.DUMMYFUNCTION("INDIRECT(""'收支紀錄'!G""&amp;TO_TEXT(ROW()-$C$72))"),"")</f>
        <v/>
      </c>
      <c r="H1672" s="61" t="str">
        <f>IFERROR(__xludf.DUMMYFUNCTION("INDIRECT(""'收支紀錄'!H""&amp;TO_TEXT(ROW()-$C$72))"),"日常生活")</f>
        <v>日常生活</v>
      </c>
      <c r="I1672" s="61" t="str">
        <f>IFERROR(__xludf.DUMMYFUNCTION("INDIRECT(""'收支紀錄'!I""&amp;TO_TEXT(ROW()-$C$72))"),"")</f>
        <v/>
      </c>
      <c r="J1672" s="61" t="str">
        <f>IFERROR(__xludf.DUMMYFUNCTION("INDIRECT(""'收支紀錄'!J""&amp;TO_TEXT(ROW()-$C$72))"),"電話費")</f>
        <v>電話費</v>
      </c>
      <c r="K1672" s="61" t="str">
        <f>IFERROR(__xludf.DUMMYFUNCTION("INDIRECT(""'收支紀錄'!K""&amp;TO_TEXT(ROW()-$C$72))"),"")</f>
        <v/>
      </c>
      <c r="L1672" s="61" t="str">
        <f>IFERROR(__xludf.DUMMYFUNCTION("INDIRECT(""'收支紀錄'!L""&amp;TO_TEXT(ROW()-$C$72))"),"")</f>
        <v/>
      </c>
      <c r="M1672" s="61" t="str">
        <f>IFERROR(__xludf.DUMMYFUNCTION("INDIRECT(""'收支紀錄'!M""&amp;TO_TEXT(ROW()-$C$72))"),"")</f>
        <v/>
      </c>
      <c r="N1672" s="61" t="str">
        <f>IFERROR(__xludf.DUMMYFUNCTION("INDIRECT(""'收支紀錄'!N""&amp;TO_TEXT(ROW()-$C$72))"),"")</f>
        <v/>
      </c>
      <c r="O1672" s="61" t="str">
        <f>IFERROR(__xludf.DUMMYFUNCTION("INDIRECT(""'收支紀錄'!O""&amp;TO_TEXT(ROW()-$C$72))"),"")</f>
        <v/>
      </c>
      <c r="P1672" s="61" t="str">
        <f>IFERROR(__xludf.DUMMYFUNCTION("INDIRECT(""'收支紀錄'!P""&amp;TO_TEXT(ROW()-$C$72))"),"")</f>
        <v/>
      </c>
      <c r="Q1672" s="61" t="str">
        <f>IFERROR(__xludf.DUMMYFUNCTION("INDIRECT(""'收支紀錄'!Q""&amp;TO_TEXT(ROW()-$C$72))"),"")</f>
        <v/>
      </c>
      <c r="R1672" s="61" t="str">
        <f>IFERROR(__xludf.DUMMYFUNCTION("INDIRECT(""'收支紀錄'!R""&amp;TO_TEXT(ROW()-$C$72))"),"")</f>
        <v/>
      </c>
      <c r="S1672" s="61" t="str">
        <f>IFERROR(__xludf.DUMMYFUNCTION("INDIRECT(""'收支紀錄'!S""&amp;TO_TEXT(ROW()-$C$72))"),"")</f>
        <v/>
      </c>
      <c r="T1672" s="61" t="str">
        <f>IFERROR(__xludf.DUMMYFUNCTION("INDIRECT(""'收支紀錄'!T""&amp;TO_TEXT(ROW()-$C$72))"),"")</f>
        <v/>
      </c>
      <c r="U1672" s="62" t="str">
        <f>IFERROR(__xludf.DUMMYFUNCTION("IF(T1672=""是"",TEXTJOIN("""", TRUE, ""$"", TO_TEXT(C1672), S1672),"""")"),"")</f>
        <v/>
      </c>
    </row>
    <row r="1673">
      <c r="A1673" s="58">
        <f>IFERROR(__xludf.DUMMYFUNCTION("INDIRECT(""'收支紀錄'!A""&amp;TO_TEXT(ROW()-$C$72))"),46170.62481212963)</f>
        <v>46170.62481</v>
      </c>
      <c r="B1673" s="59">
        <f>IFERROR(__xludf.DUMMYFUNCTION("IF(ISBLANK(D1673), """", IF(ISDATE(D1673), D1673, IF(D1673=""今天"", A1673, IF(D1673=""昨天 (-1 day)"", A1673-1, IF(D1673=""前天 (-2 days)"", A1673-2, IF(D1673=""明天 (+1 day)"", A1673+1, DATE(LEFT(D1673,4), MID(D1673,5,2), RIGHT(D1673,2))))))))"),46169.62481212963)</f>
        <v>46169.62481</v>
      </c>
      <c r="C1673" s="60">
        <f>IFERROR(__xludf.DUMMYFUNCTION("INDIRECT(""'收支紀錄'!C""&amp;TO_TEXT(ROW()-$C$72))"),272.0)</f>
        <v>272</v>
      </c>
      <c r="D1673" s="63" t="str">
        <f>IFERROR(__xludf.DUMMYFUNCTION("INDIRECT(""'收支紀錄'!D""&amp;TO_TEXT(ROW()-$C$72))"),"昨天 (-1 day)")</f>
        <v>昨天 (-1 day)</v>
      </c>
      <c r="E1673" s="61" t="str">
        <f>IFERROR(__xludf.DUMMYFUNCTION("INDIRECT(""'收支紀錄'!E""&amp;TO_TEXT(ROW()-$C$72))"),"")</f>
        <v/>
      </c>
      <c r="F1673" s="61" t="str">
        <f>IFERROR(__xludf.DUMMYFUNCTION("INDIRECT(""'收支紀錄'!F""&amp;TO_TEXT(ROW()-$C$72))"),"")</f>
        <v/>
      </c>
      <c r="G1673" s="61" t="str">
        <f>IFERROR(__xludf.DUMMYFUNCTION("INDIRECT(""'收支紀錄'!G""&amp;TO_TEXT(ROW()-$C$72))"),"")</f>
        <v/>
      </c>
      <c r="H1673" s="61" t="str">
        <f>IFERROR(__xludf.DUMMYFUNCTION("INDIRECT(""'收支紀錄'!H""&amp;TO_TEXT(ROW()-$C$72))"),"食品酒水")</f>
        <v>食品酒水</v>
      </c>
      <c r="I1673" s="61" t="str">
        <f>IFERROR(__xludf.DUMMYFUNCTION("INDIRECT(""'收支紀錄'!I""&amp;TO_TEXT(ROW()-$C$72))"),"晚餐")</f>
        <v>晚餐</v>
      </c>
      <c r="J1673" s="61" t="str">
        <f>IFERROR(__xludf.DUMMYFUNCTION("INDIRECT(""'收支紀錄'!J""&amp;TO_TEXT(ROW()-$C$72))"),"")</f>
        <v/>
      </c>
      <c r="K1673" s="61" t="str">
        <f>IFERROR(__xludf.DUMMYFUNCTION("INDIRECT(""'收支紀錄'!K""&amp;TO_TEXT(ROW()-$C$72))"),"")</f>
        <v/>
      </c>
      <c r="L1673" s="61" t="str">
        <f>IFERROR(__xludf.DUMMYFUNCTION("INDIRECT(""'收支紀錄'!L""&amp;TO_TEXT(ROW()-$C$72))"),"")</f>
        <v/>
      </c>
      <c r="M1673" s="61" t="str">
        <f>IFERROR(__xludf.DUMMYFUNCTION("INDIRECT(""'收支紀錄'!M""&amp;TO_TEXT(ROW()-$C$72))"),"")</f>
        <v/>
      </c>
      <c r="N1673" s="61" t="str">
        <f>IFERROR(__xludf.DUMMYFUNCTION("INDIRECT(""'收支紀錄'!N""&amp;TO_TEXT(ROW()-$C$72))"),"")</f>
        <v/>
      </c>
      <c r="O1673" s="61" t="str">
        <f>IFERROR(__xludf.DUMMYFUNCTION("INDIRECT(""'收支紀錄'!O""&amp;TO_TEXT(ROW()-$C$72))"),"")</f>
        <v/>
      </c>
      <c r="P1673" s="61" t="str">
        <f>IFERROR(__xludf.DUMMYFUNCTION("INDIRECT(""'收支紀錄'!P""&amp;TO_TEXT(ROW()-$C$72))"),"")</f>
        <v/>
      </c>
      <c r="Q1673" s="61" t="str">
        <f>IFERROR(__xludf.DUMMYFUNCTION("INDIRECT(""'收支紀錄'!Q""&amp;TO_TEXT(ROW()-$C$72))"),"")</f>
        <v/>
      </c>
      <c r="R1673" s="61" t="str">
        <f>IFERROR(__xludf.DUMMYFUNCTION("INDIRECT(""'收支紀錄'!R""&amp;TO_TEXT(ROW()-$C$72))"),"")</f>
        <v/>
      </c>
      <c r="S1673" s="61" t="str">
        <f>IFERROR(__xludf.DUMMYFUNCTION("INDIRECT(""'收支紀錄'!S""&amp;TO_TEXT(ROW()-$C$72))"),"")</f>
        <v/>
      </c>
      <c r="T1673" s="61" t="str">
        <f>IFERROR(__xludf.DUMMYFUNCTION("INDIRECT(""'收支紀錄'!T""&amp;TO_TEXT(ROW()-$C$72))"),"")</f>
        <v/>
      </c>
      <c r="U1673" s="62" t="str">
        <f>IFERROR(__xludf.DUMMYFUNCTION("IF(T1673=""是"",TEXTJOIN("""", TRUE, ""$"", TO_TEXT(C1673), S1673),"""")"),"")</f>
        <v/>
      </c>
    </row>
    <row r="1674">
      <c r="A1674" s="58">
        <f>IFERROR(__xludf.DUMMYFUNCTION("INDIRECT(""'收支紀錄'!A""&amp;TO_TEXT(ROW()-$C$72))"),46171.440358912034)</f>
        <v>46171.44036</v>
      </c>
      <c r="B1674" s="59">
        <f>IFERROR(__xludf.DUMMYFUNCTION("IF(ISBLANK(D1674), """", IF(ISDATE(D1674), D1674, IF(D1674=""今天"", A1674, IF(D1674=""昨天 (-1 day)"", A1674-1, IF(D1674=""前天 (-2 days)"", A1674-2, IF(D1674=""明天 (+1 day)"", A1674+1, DATE(LEFT(D1674,4), MID(D1674,5,2), RIGHT(D1674,2))))))))"),46171.440358912034)</f>
        <v>46171.44036</v>
      </c>
      <c r="C1674" s="60">
        <f>IFERROR(__xludf.DUMMYFUNCTION("INDIRECT(""'收支紀錄'!C""&amp;TO_TEXT(ROW()-$C$72))"),566.0)</f>
        <v>566</v>
      </c>
      <c r="D1674" s="63" t="str">
        <f>IFERROR(__xludf.DUMMYFUNCTION("INDIRECT(""'收支紀錄'!D""&amp;TO_TEXT(ROW()-$C$72))"),"今天")</f>
        <v>今天</v>
      </c>
      <c r="E1674" s="61" t="str">
        <f>IFERROR(__xludf.DUMMYFUNCTION("INDIRECT(""'收支紀錄'!E""&amp;TO_TEXT(ROW()-$C$72))"),"")</f>
        <v/>
      </c>
      <c r="F1674" s="61" t="str">
        <f>IFERROR(__xludf.DUMMYFUNCTION("INDIRECT(""'收支紀錄'!F""&amp;TO_TEXT(ROW()-$C$72))"),"")</f>
        <v/>
      </c>
      <c r="G1674" s="61" t="str">
        <f>IFERROR(__xludf.DUMMYFUNCTION("INDIRECT(""'收支紀錄'!G""&amp;TO_TEXT(ROW()-$C$72))"),"")</f>
        <v/>
      </c>
      <c r="H1674" s="61" t="str">
        <f>IFERROR(__xludf.DUMMYFUNCTION("INDIRECT(""'收支紀錄'!H""&amp;TO_TEXT(ROW()-$C$72))"),"行車交通")</f>
        <v>行車交通</v>
      </c>
      <c r="I1674" s="61" t="str">
        <f>IFERROR(__xludf.DUMMYFUNCTION("INDIRECT(""'收支紀錄'!I""&amp;TO_TEXT(ROW()-$C$72))"),"")</f>
        <v/>
      </c>
      <c r="J1674" s="61" t="str">
        <f>IFERROR(__xludf.DUMMYFUNCTION("INDIRECT(""'收支紀錄'!J""&amp;TO_TEXT(ROW()-$C$72))"),"")</f>
        <v/>
      </c>
      <c r="K1674" s="61" t="str">
        <f>IFERROR(__xludf.DUMMYFUNCTION("INDIRECT(""'收支紀錄'!K""&amp;TO_TEXT(ROW()-$C$72))"),"")</f>
        <v/>
      </c>
      <c r="L1674" s="61" t="str">
        <f>IFERROR(__xludf.DUMMYFUNCTION("INDIRECT(""'收支紀錄'!L""&amp;TO_TEXT(ROW()-$C$72))"),"計程車/Uber")</f>
        <v>計程車/Uber</v>
      </c>
      <c r="M1674" s="61" t="str">
        <f>IFERROR(__xludf.DUMMYFUNCTION("INDIRECT(""'收支紀錄'!M""&amp;TO_TEXT(ROW()-$C$72))"),"")</f>
        <v/>
      </c>
      <c r="N1674" s="61" t="str">
        <f>IFERROR(__xludf.DUMMYFUNCTION("INDIRECT(""'收支紀錄'!N""&amp;TO_TEXT(ROW()-$C$72))"),"")</f>
        <v/>
      </c>
      <c r="O1674" s="61" t="str">
        <f>IFERROR(__xludf.DUMMYFUNCTION("INDIRECT(""'收支紀錄'!O""&amp;TO_TEXT(ROW()-$C$72))"),"")</f>
        <v/>
      </c>
      <c r="P1674" s="61" t="str">
        <f>IFERROR(__xludf.DUMMYFUNCTION("INDIRECT(""'收支紀錄'!P""&amp;TO_TEXT(ROW()-$C$72))"),"")</f>
        <v/>
      </c>
      <c r="Q1674" s="61" t="str">
        <f>IFERROR(__xludf.DUMMYFUNCTION("INDIRECT(""'收支紀錄'!Q""&amp;TO_TEXT(ROW()-$C$72))"),"")</f>
        <v/>
      </c>
      <c r="R1674" s="61" t="str">
        <f>IFERROR(__xludf.DUMMYFUNCTION("INDIRECT(""'收支紀錄'!R""&amp;TO_TEXT(ROW()-$C$72))"),"")</f>
        <v/>
      </c>
      <c r="S1674" s="61" t="str">
        <f>IFERROR(__xludf.DUMMYFUNCTION("INDIRECT(""'收支紀錄'!S""&amp;TO_TEXT(ROW()-$C$72))"),"")</f>
        <v/>
      </c>
      <c r="T1674" s="61" t="str">
        <f>IFERROR(__xludf.DUMMYFUNCTION("INDIRECT(""'收支紀錄'!T""&amp;TO_TEXT(ROW()-$C$72))"),"")</f>
        <v/>
      </c>
      <c r="U1674" s="62" t="str">
        <f>IFERROR(__xludf.DUMMYFUNCTION("IF(T1674=""是"",TEXTJOIN("""", TRUE, ""$"", TO_TEXT(C1674), S1674),"""")"),"")</f>
        <v/>
      </c>
    </row>
    <row r="1675">
      <c r="A1675" s="58">
        <f>IFERROR(__xludf.DUMMYFUNCTION("INDIRECT(""'收支紀錄'!A""&amp;TO_TEXT(ROW()-$C$72))"),46171.44063146991)</f>
        <v>46171.44063</v>
      </c>
      <c r="B1675" s="59">
        <f>IFERROR(__xludf.DUMMYFUNCTION("IF(ISBLANK(D1675), """", IF(ISDATE(D1675), D1675, IF(D1675=""今天"", A1675, IF(D1675=""昨天 (-1 day)"", A1675-1, IF(D1675=""前天 (-2 days)"", A1675-2, IF(D1675=""明天 (+1 day)"", A1675+1, DATE(LEFT(D1675,4), MID(D1675,5,2), RIGHT(D1675,2))))))))"),46171.44063146991)</f>
        <v>46171.44063</v>
      </c>
      <c r="C1675" s="60">
        <f>IFERROR(__xludf.DUMMYFUNCTION("INDIRECT(""'收支紀錄'!C""&amp;TO_TEXT(ROW()-$C$72))"),1100.0)</f>
        <v>1100</v>
      </c>
      <c r="D1675" s="63" t="str">
        <f>IFERROR(__xludf.DUMMYFUNCTION("INDIRECT(""'收支紀錄'!D""&amp;TO_TEXT(ROW()-$C$72))"),"今天")</f>
        <v>今天</v>
      </c>
      <c r="E1675" s="61" t="str">
        <f>IFERROR(__xludf.DUMMYFUNCTION("INDIRECT(""'收支紀錄'!E""&amp;TO_TEXT(ROW()-$C$72))"),"")</f>
        <v/>
      </c>
      <c r="F1675" s="61" t="str">
        <f>IFERROR(__xludf.DUMMYFUNCTION("INDIRECT(""'收支紀錄'!F""&amp;TO_TEXT(ROW()-$C$72))"),"")</f>
        <v/>
      </c>
      <c r="G1675" s="61" t="str">
        <f>IFERROR(__xludf.DUMMYFUNCTION("INDIRECT(""'收支紀錄'!G""&amp;TO_TEXT(ROW()-$C$72))"),"")</f>
        <v/>
      </c>
      <c r="H1675" s="61" t="str">
        <f>IFERROR(__xludf.DUMMYFUNCTION("INDIRECT(""'收支紀錄'!H""&amp;TO_TEXT(ROW()-$C$72))"),"食品酒水")</f>
        <v>食品酒水</v>
      </c>
      <c r="I1675" s="61" t="str">
        <f>IFERROR(__xludf.DUMMYFUNCTION("INDIRECT(""'收支紀錄'!I""&amp;TO_TEXT(ROW()-$C$72))"),"食材")</f>
        <v>食材</v>
      </c>
      <c r="J1675" s="61" t="str">
        <f>IFERROR(__xludf.DUMMYFUNCTION("INDIRECT(""'收支紀錄'!J""&amp;TO_TEXT(ROW()-$C$72))"),"")</f>
        <v/>
      </c>
      <c r="K1675" s="61" t="str">
        <f>IFERROR(__xludf.DUMMYFUNCTION("INDIRECT(""'收支紀錄'!K""&amp;TO_TEXT(ROW()-$C$72))"),"")</f>
        <v/>
      </c>
      <c r="L1675" s="61" t="str">
        <f>IFERROR(__xludf.DUMMYFUNCTION("INDIRECT(""'收支紀錄'!L""&amp;TO_TEXT(ROW()-$C$72))"),"")</f>
        <v/>
      </c>
      <c r="M1675" s="61" t="str">
        <f>IFERROR(__xludf.DUMMYFUNCTION("INDIRECT(""'收支紀錄'!M""&amp;TO_TEXT(ROW()-$C$72))"),"")</f>
        <v/>
      </c>
      <c r="N1675" s="61" t="str">
        <f>IFERROR(__xludf.DUMMYFUNCTION("INDIRECT(""'收支紀錄'!N""&amp;TO_TEXT(ROW()-$C$72))"),"")</f>
        <v/>
      </c>
      <c r="O1675" s="61" t="str">
        <f>IFERROR(__xludf.DUMMYFUNCTION("INDIRECT(""'收支紀錄'!O""&amp;TO_TEXT(ROW()-$C$72))"),"")</f>
        <v/>
      </c>
      <c r="P1675" s="61" t="str">
        <f>IFERROR(__xludf.DUMMYFUNCTION("INDIRECT(""'收支紀錄'!P""&amp;TO_TEXT(ROW()-$C$72))"),"")</f>
        <v/>
      </c>
      <c r="Q1675" s="61" t="str">
        <f>IFERROR(__xludf.DUMMYFUNCTION("INDIRECT(""'收支紀錄'!Q""&amp;TO_TEXT(ROW()-$C$72))"),"")</f>
        <v/>
      </c>
      <c r="R1675" s="61" t="str">
        <f>IFERROR(__xludf.DUMMYFUNCTION("INDIRECT(""'收支紀錄'!R""&amp;TO_TEXT(ROW()-$C$72))"),"")</f>
        <v/>
      </c>
      <c r="S1675" s="61" t="str">
        <f>IFERROR(__xludf.DUMMYFUNCTION("INDIRECT(""'收支紀錄'!S""&amp;TO_TEXT(ROW()-$C$72))"),"免稅店酒")</f>
        <v>免稅店酒</v>
      </c>
      <c r="T1675" s="61" t="str">
        <f>IFERROR(__xludf.DUMMYFUNCTION("INDIRECT(""'收支紀錄'!T""&amp;TO_TEXT(ROW()-$C$72))"),"否")</f>
        <v>否</v>
      </c>
      <c r="U1675" s="62" t="str">
        <f>IFERROR(__xludf.DUMMYFUNCTION("IF(T1675=""是"",TEXTJOIN("""", TRUE, ""$"", TO_TEXT(C1675), S1675),"""")"),"")</f>
        <v/>
      </c>
    </row>
    <row r="1676">
      <c r="A1676" s="58">
        <f>IFERROR(__xludf.DUMMYFUNCTION("INDIRECT(""'收支紀錄'!A""&amp;TO_TEXT(ROW()-$C$72))"),46175.805553784725)</f>
        <v>46175.80555</v>
      </c>
      <c r="B1676" s="59">
        <f>IFERROR(__xludf.DUMMYFUNCTION("IF(ISBLANK(D1676), """", IF(ISDATE(D1676), D1676, IF(D1676=""今天"", A1676, IF(D1676=""昨天 (-1 day)"", A1676-1, IF(D1676=""前天 (-2 days)"", A1676-2, IF(D1676=""明天 (+1 day)"", A1676+1, DATE(LEFT(D1676,4), MID(D1676,5,2), RIGHT(D1676,2))))))))"),46175.805553784725)</f>
        <v>46175.80555</v>
      </c>
      <c r="C1676" s="60">
        <f>IFERROR(__xludf.DUMMYFUNCTION("INDIRECT(""'收支紀錄'!C""&amp;TO_TEXT(ROW()-$C$72))"),145.0)</f>
        <v>145</v>
      </c>
      <c r="D1676" s="63" t="str">
        <f>IFERROR(__xludf.DUMMYFUNCTION("INDIRECT(""'收支紀錄'!D""&amp;TO_TEXT(ROW()-$C$72))"),"今天")</f>
        <v>今天</v>
      </c>
      <c r="E1676" s="61" t="str">
        <f>IFERROR(__xludf.DUMMYFUNCTION("INDIRECT(""'收支紀錄'!E""&amp;TO_TEXT(ROW()-$C$72))"),"")</f>
        <v/>
      </c>
      <c r="F1676" s="61" t="str">
        <f>IFERROR(__xludf.DUMMYFUNCTION("INDIRECT(""'收支紀錄'!F""&amp;TO_TEXT(ROW()-$C$72))"),"")</f>
        <v/>
      </c>
      <c r="G1676" s="61" t="str">
        <f>IFERROR(__xludf.DUMMYFUNCTION("INDIRECT(""'收支紀錄'!G""&amp;TO_TEXT(ROW()-$C$72))"),"")</f>
        <v/>
      </c>
      <c r="H1676" s="61" t="str">
        <f>IFERROR(__xludf.DUMMYFUNCTION("INDIRECT(""'收支紀錄'!H""&amp;TO_TEXT(ROW()-$C$72))"),"食品酒水")</f>
        <v>食品酒水</v>
      </c>
      <c r="I1676" s="61" t="str">
        <f>IFERROR(__xludf.DUMMYFUNCTION("INDIRECT(""'收支紀錄'!I""&amp;TO_TEXT(ROW()-$C$72))"),"晚餐")</f>
        <v>晚餐</v>
      </c>
      <c r="J1676" s="61" t="str">
        <f>IFERROR(__xludf.DUMMYFUNCTION("INDIRECT(""'收支紀錄'!J""&amp;TO_TEXT(ROW()-$C$72))"),"")</f>
        <v/>
      </c>
      <c r="K1676" s="61" t="str">
        <f>IFERROR(__xludf.DUMMYFUNCTION("INDIRECT(""'收支紀錄'!K""&amp;TO_TEXT(ROW()-$C$72))"),"")</f>
        <v/>
      </c>
      <c r="L1676" s="61" t="str">
        <f>IFERROR(__xludf.DUMMYFUNCTION("INDIRECT(""'收支紀錄'!L""&amp;TO_TEXT(ROW()-$C$72))"),"")</f>
        <v/>
      </c>
      <c r="M1676" s="61" t="str">
        <f>IFERROR(__xludf.DUMMYFUNCTION("INDIRECT(""'收支紀錄'!M""&amp;TO_TEXT(ROW()-$C$72))"),"")</f>
        <v/>
      </c>
      <c r="N1676" s="61" t="str">
        <f>IFERROR(__xludf.DUMMYFUNCTION("INDIRECT(""'收支紀錄'!N""&amp;TO_TEXT(ROW()-$C$72))"),"")</f>
        <v/>
      </c>
      <c r="O1676" s="61" t="str">
        <f>IFERROR(__xludf.DUMMYFUNCTION("INDIRECT(""'收支紀錄'!O""&amp;TO_TEXT(ROW()-$C$72))"),"")</f>
        <v/>
      </c>
      <c r="P1676" s="61" t="str">
        <f>IFERROR(__xludf.DUMMYFUNCTION("INDIRECT(""'收支紀錄'!P""&amp;TO_TEXT(ROW()-$C$72))"),"")</f>
        <v/>
      </c>
      <c r="Q1676" s="61" t="str">
        <f>IFERROR(__xludf.DUMMYFUNCTION("INDIRECT(""'收支紀錄'!Q""&amp;TO_TEXT(ROW()-$C$72))"),"")</f>
        <v/>
      </c>
      <c r="R1676" s="61" t="str">
        <f>IFERROR(__xludf.DUMMYFUNCTION("INDIRECT(""'收支紀錄'!R""&amp;TO_TEXT(ROW()-$C$72))"),"")</f>
        <v/>
      </c>
      <c r="S1676" s="61" t="str">
        <f>IFERROR(__xludf.DUMMYFUNCTION("INDIRECT(""'收支紀錄'!S""&amp;TO_TEXT(ROW()-$C$72))"),"")</f>
        <v/>
      </c>
      <c r="T1676" s="61" t="str">
        <f>IFERROR(__xludf.DUMMYFUNCTION("INDIRECT(""'收支紀錄'!T""&amp;TO_TEXT(ROW()-$C$72))"),"")</f>
        <v/>
      </c>
      <c r="U1676" s="62" t="str">
        <f>IFERROR(__xludf.DUMMYFUNCTION("IF(T1676=""是"",TEXTJOIN("""", TRUE, ""$"", TO_TEXT(C1676), S1676),"""")"),"")</f>
        <v/>
      </c>
    </row>
    <row r="1677">
      <c r="A1677" s="58">
        <f>IFERROR(__xludf.DUMMYFUNCTION("INDIRECT(""'收支紀錄'!A""&amp;TO_TEXT(ROW()-$C$72))"),46175.80567452546)</f>
        <v>46175.80567</v>
      </c>
      <c r="B1677" s="59">
        <f>IFERROR(__xludf.DUMMYFUNCTION("IF(ISBLANK(D1677), """", IF(ISDATE(D1677), D1677, IF(D1677=""今天"", A1677, IF(D1677=""昨天 (-1 day)"", A1677-1, IF(D1677=""前天 (-2 days)"", A1677-2, IF(D1677=""明天 (+1 day)"", A1677+1, DATE(LEFT(D1677,4), MID(D1677,5,2), RIGHT(D1677,2))))))))"),46175.80567452546)</f>
        <v>46175.80567</v>
      </c>
      <c r="C1677" s="60">
        <f>IFERROR(__xludf.DUMMYFUNCTION("INDIRECT(""'收支紀錄'!C""&amp;TO_TEXT(ROW()-$C$72))"),99.0)</f>
        <v>99</v>
      </c>
      <c r="D1677" s="63" t="str">
        <f>IFERROR(__xludf.DUMMYFUNCTION("INDIRECT(""'收支紀錄'!D""&amp;TO_TEXT(ROW()-$C$72))"),"今天")</f>
        <v>今天</v>
      </c>
      <c r="E1677" s="61" t="str">
        <f>IFERROR(__xludf.DUMMYFUNCTION("INDIRECT(""'收支紀錄'!E""&amp;TO_TEXT(ROW()-$C$72))"),"")</f>
        <v/>
      </c>
      <c r="F1677" s="61" t="str">
        <f>IFERROR(__xludf.DUMMYFUNCTION("INDIRECT(""'收支紀錄'!F""&amp;TO_TEXT(ROW()-$C$72))"),"")</f>
        <v/>
      </c>
      <c r="G1677" s="61" t="str">
        <f>IFERROR(__xludf.DUMMYFUNCTION("INDIRECT(""'收支紀錄'!G""&amp;TO_TEXT(ROW()-$C$72))"),"")</f>
        <v/>
      </c>
      <c r="H1677" s="61" t="str">
        <f>IFERROR(__xludf.DUMMYFUNCTION("INDIRECT(""'收支紀錄'!H""&amp;TO_TEXT(ROW()-$C$72))"),"食品酒水")</f>
        <v>食品酒水</v>
      </c>
      <c r="I1677" s="61" t="str">
        <f>IFERROR(__xludf.DUMMYFUNCTION("INDIRECT(""'收支紀錄'!I""&amp;TO_TEXT(ROW()-$C$72))"),"晚餐")</f>
        <v>晚餐</v>
      </c>
      <c r="J1677" s="61" t="str">
        <f>IFERROR(__xludf.DUMMYFUNCTION("INDIRECT(""'收支紀錄'!J""&amp;TO_TEXT(ROW()-$C$72))"),"")</f>
        <v/>
      </c>
      <c r="K1677" s="61" t="str">
        <f>IFERROR(__xludf.DUMMYFUNCTION("INDIRECT(""'收支紀錄'!K""&amp;TO_TEXT(ROW()-$C$72))"),"")</f>
        <v/>
      </c>
      <c r="L1677" s="61" t="str">
        <f>IFERROR(__xludf.DUMMYFUNCTION("INDIRECT(""'收支紀錄'!L""&amp;TO_TEXT(ROW()-$C$72))"),"")</f>
        <v/>
      </c>
      <c r="M1677" s="61" t="str">
        <f>IFERROR(__xludf.DUMMYFUNCTION("INDIRECT(""'收支紀錄'!M""&amp;TO_TEXT(ROW()-$C$72))"),"")</f>
        <v/>
      </c>
      <c r="N1677" s="61" t="str">
        <f>IFERROR(__xludf.DUMMYFUNCTION("INDIRECT(""'收支紀錄'!N""&amp;TO_TEXT(ROW()-$C$72))"),"")</f>
        <v/>
      </c>
      <c r="O1677" s="61" t="str">
        <f>IFERROR(__xludf.DUMMYFUNCTION("INDIRECT(""'收支紀錄'!O""&amp;TO_TEXT(ROW()-$C$72))"),"")</f>
        <v/>
      </c>
      <c r="P1677" s="61" t="str">
        <f>IFERROR(__xludf.DUMMYFUNCTION("INDIRECT(""'收支紀錄'!P""&amp;TO_TEXT(ROW()-$C$72))"),"")</f>
        <v/>
      </c>
      <c r="Q1677" s="61" t="str">
        <f>IFERROR(__xludf.DUMMYFUNCTION("INDIRECT(""'收支紀錄'!Q""&amp;TO_TEXT(ROW()-$C$72))"),"")</f>
        <v/>
      </c>
      <c r="R1677" s="61" t="str">
        <f>IFERROR(__xludf.DUMMYFUNCTION("INDIRECT(""'收支紀錄'!R""&amp;TO_TEXT(ROW()-$C$72))"),"")</f>
        <v/>
      </c>
      <c r="S1677" s="61" t="str">
        <f>IFERROR(__xludf.DUMMYFUNCTION("INDIRECT(""'收支紀錄'!S""&amp;TO_TEXT(ROW()-$C$72))"),"")</f>
        <v/>
      </c>
      <c r="T1677" s="61" t="str">
        <f>IFERROR(__xludf.DUMMYFUNCTION("INDIRECT(""'收支紀錄'!T""&amp;TO_TEXT(ROW()-$C$72))"),"")</f>
        <v/>
      </c>
      <c r="U1677" s="62" t="str">
        <f>IFERROR(__xludf.DUMMYFUNCTION("IF(T1677=""是"",TEXTJOIN("""", TRUE, ""$"", TO_TEXT(C1677), S1677),"""")"),"")</f>
        <v/>
      </c>
    </row>
    <row r="1678">
      <c r="A1678" s="58">
        <f>IFERROR(__xludf.DUMMYFUNCTION("INDIRECT(""'收支紀錄'!A""&amp;TO_TEXT(ROW()-$C$72))"),46178.83898892361)</f>
        <v>46178.83899</v>
      </c>
      <c r="B1678" s="59">
        <f>IFERROR(__xludf.DUMMYFUNCTION("IF(ISBLANK(D1678), """", IF(ISDATE(D1678), D1678, IF(D1678=""今天"", A1678, IF(D1678=""昨天 (-1 day)"", A1678-1, IF(D1678=""前天 (-2 days)"", A1678-2, IF(D1678=""明天 (+1 day)"", A1678+1, DATE(LEFT(D1678,4), MID(D1678,5,2), RIGHT(D1678,2))))))))"),46177.83898892361)</f>
        <v>46177.83899</v>
      </c>
      <c r="C1678" s="60">
        <f>IFERROR(__xludf.DUMMYFUNCTION("INDIRECT(""'收支紀錄'!C""&amp;TO_TEXT(ROW()-$C$72))"),159.0)</f>
        <v>159</v>
      </c>
      <c r="D1678" s="63" t="str">
        <f>IFERROR(__xludf.DUMMYFUNCTION("INDIRECT(""'收支紀錄'!D""&amp;TO_TEXT(ROW()-$C$72))"),"昨天 (-1 day)")</f>
        <v>昨天 (-1 day)</v>
      </c>
      <c r="E1678" s="61" t="str">
        <f>IFERROR(__xludf.DUMMYFUNCTION("INDIRECT(""'收支紀錄'!E""&amp;TO_TEXT(ROW()-$C$72))"),"")</f>
        <v/>
      </c>
      <c r="F1678" s="61" t="str">
        <f>IFERROR(__xludf.DUMMYFUNCTION("INDIRECT(""'收支紀錄'!F""&amp;TO_TEXT(ROW()-$C$72))"),"")</f>
        <v/>
      </c>
      <c r="G1678" s="61" t="str">
        <f>IFERROR(__xludf.DUMMYFUNCTION("INDIRECT(""'收支紀錄'!G""&amp;TO_TEXT(ROW()-$C$72))"),"")</f>
        <v/>
      </c>
      <c r="H1678" s="61" t="str">
        <f>IFERROR(__xludf.DUMMYFUNCTION("INDIRECT(""'收支紀錄'!H""&amp;TO_TEXT(ROW()-$C$72))"),"食品酒水")</f>
        <v>食品酒水</v>
      </c>
      <c r="I1678" s="61" t="str">
        <f>IFERROR(__xludf.DUMMYFUNCTION("INDIRECT(""'收支紀錄'!I""&amp;TO_TEXT(ROW()-$C$72))"),"晚餐")</f>
        <v>晚餐</v>
      </c>
      <c r="J1678" s="61" t="str">
        <f>IFERROR(__xludf.DUMMYFUNCTION("INDIRECT(""'收支紀錄'!J""&amp;TO_TEXT(ROW()-$C$72))"),"")</f>
        <v/>
      </c>
      <c r="K1678" s="61" t="str">
        <f>IFERROR(__xludf.DUMMYFUNCTION("INDIRECT(""'收支紀錄'!K""&amp;TO_TEXT(ROW()-$C$72))"),"")</f>
        <v/>
      </c>
      <c r="L1678" s="61" t="str">
        <f>IFERROR(__xludf.DUMMYFUNCTION("INDIRECT(""'收支紀錄'!L""&amp;TO_TEXT(ROW()-$C$72))"),"")</f>
        <v/>
      </c>
      <c r="M1678" s="61" t="str">
        <f>IFERROR(__xludf.DUMMYFUNCTION("INDIRECT(""'收支紀錄'!M""&amp;TO_TEXT(ROW()-$C$72))"),"")</f>
        <v/>
      </c>
      <c r="N1678" s="61" t="str">
        <f>IFERROR(__xludf.DUMMYFUNCTION("INDIRECT(""'收支紀錄'!N""&amp;TO_TEXT(ROW()-$C$72))"),"")</f>
        <v/>
      </c>
      <c r="O1678" s="61" t="str">
        <f>IFERROR(__xludf.DUMMYFUNCTION("INDIRECT(""'收支紀錄'!O""&amp;TO_TEXT(ROW()-$C$72))"),"")</f>
        <v/>
      </c>
      <c r="P1678" s="61" t="str">
        <f>IFERROR(__xludf.DUMMYFUNCTION("INDIRECT(""'收支紀錄'!P""&amp;TO_TEXT(ROW()-$C$72))"),"")</f>
        <v/>
      </c>
      <c r="Q1678" s="61" t="str">
        <f>IFERROR(__xludf.DUMMYFUNCTION("INDIRECT(""'收支紀錄'!Q""&amp;TO_TEXT(ROW()-$C$72))"),"")</f>
        <v/>
      </c>
      <c r="R1678" s="61" t="str">
        <f>IFERROR(__xludf.DUMMYFUNCTION("INDIRECT(""'收支紀錄'!R""&amp;TO_TEXT(ROW()-$C$72))"),"")</f>
        <v/>
      </c>
      <c r="S1678" s="61" t="str">
        <f>IFERROR(__xludf.DUMMYFUNCTION("INDIRECT(""'收支紀錄'!S""&amp;TO_TEXT(ROW()-$C$72))"),"")</f>
        <v/>
      </c>
      <c r="T1678" s="61" t="str">
        <f>IFERROR(__xludf.DUMMYFUNCTION("INDIRECT(""'收支紀錄'!T""&amp;TO_TEXT(ROW()-$C$72))"),"")</f>
        <v/>
      </c>
      <c r="U1678" s="62" t="str">
        <f>IFERROR(__xludf.DUMMYFUNCTION("IF(T1678=""是"",TEXTJOIN("""", TRUE, ""$"", TO_TEXT(C1678), S1678),"""")"),"")</f>
        <v/>
      </c>
    </row>
    <row r="1679">
      <c r="A1679" s="58">
        <f>IFERROR(__xludf.DUMMYFUNCTION("INDIRECT(""'收支紀錄'!A""&amp;TO_TEXT(ROW()-$C$72))"),46178.841441261575)</f>
        <v>46178.84144</v>
      </c>
      <c r="B1679" s="59">
        <f>IFERROR(__xludf.DUMMYFUNCTION("IF(ISBLANK(D1679), """", IF(ISDATE(D1679), D1679, IF(D1679=""今天"", A1679, IF(D1679=""昨天 (-1 day)"", A1679-1, IF(D1679=""前天 (-2 days)"", A1679-2, IF(D1679=""明天 (+1 day)"", A1679+1, DATE(LEFT(D1679,4), MID(D1679,5,2), RIGHT(D1679,2))))))))"),46175.0)</f>
        <v>46175</v>
      </c>
      <c r="C1679" s="60">
        <f>IFERROR(__xludf.DUMMYFUNCTION("INDIRECT(""'收支紀錄'!C""&amp;TO_TEXT(ROW()-$C$72))"),68521.0)</f>
        <v>68521</v>
      </c>
      <c r="D1679" s="63">
        <f>IFERROR(__xludf.DUMMYFUNCTION("INDIRECT(""'收支紀錄'!D""&amp;TO_TEXT(ROW()-$C$72))"),2.0260602E7)</f>
        <v>20260602</v>
      </c>
      <c r="E1679" s="61" t="str">
        <f>IFERROR(__xludf.DUMMYFUNCTION("INDIRECT(""'收支紀錄'!E""&amp;TO_TEXT(ROW()-$C$72))"),"")</f>
        <v/>
      </c>
      <c r="F1679" s="61" t="str">
        <f>IFERROR(__xludf.DUMMYFUNCTION("INDIRECT(""'收支紀錄'!F""&amp;TO_TEXT(ROW()-$C$72))"),"")</f>
        <v/>
      </c>
      <c r="G1679" s="61" t="str">
        <f>IFERROR(__xludf.DUMMYFUNCTION("INDIRECT(""'收支紀錄'!G""&amp;TO_TEXT(ROW()-$C$72))"),"")</f>
        <v/>
      </c>
      <c r="H1679" s="61" t="str">
        <f>IFERROR(__xludf.DUMMYFUNCTION("INDIRECT(""'收支紀錄'!H""&amp;TO_TEXT(ROW()-$C$72))"),"休閒娛樂")</f>
        <v>休閒娛樂</v>
      </c>
      <c r="I1679" s="61" t="str">
        <f>IFERROR(__xludf.DUMMYFUNCTION("INDIRECT(""'收支紀錄'!I""&amp;TO_TEXT(ROW()-$C$72))"),"")</f>
        <v/>
      </c>
      <c r="J1679" s="61" t="str">
        <f>IFERROR(__xludf.DUMMYFUNCTION("INDIRECT(""'收支紀錄'!J""&amp;TO_TEXT(ROW()-$C$72))"),"")</f>
        <v/>
      </c>
      <c r="K1679" s="61" t="str">
        <f>IFERROR(__xludf.DUMMYFUNCTION("INDIRECT(""'收支紀錄'!K""&amp;TO_TEXT(ROW()-$C$72))"),"")</f>
        <v/>
      </c>
      <c r="L1679" s="61" t="str">
        <f>IFERROR(__xludf.DUMMYFUNCTION("INDIRECT(""'收支紀錄'!L""&amp;TO_TEXT(ROW()-$C$72))"),"")</f>
        <v/>
      </c>
      <c r="M1679" s="61" t="str">
        <f>IFERROR(__xludf.DUMMYFUNCTION("INDIRECT(""'收支紀錄'!M""&amp;TO_TEXT(ROW()-$C$72))"),"休閒玩樂")</f>
        <v>休閒玩樂</v>
      </c>
      <c r="N1679" s="61" t="str">
        <f>IFERROR(__xludf.DUMMYFUNCTION("INDIRECT(""'收支紀錄'!N""&amp;TO_TEXT(ROW()-$C$72))"),"")</f>
        <v/>
      </c>
      <c r="O1679" s="61" t="str">
        <f>IFERROR(__xludf.DUMMYFUNCTION("INDIRECT(""'收支紀錄'!O""&amp;TO_TEXT(ROW()-$C$72))"),"")</f>
        <v/>
      </c>
      <c r="P1679" s="61" t="str">
        <f>IFERROR(__xludf.DUMMYFUNCTION("INDIRECT(""'收支紀錄'!P""&amp;TO_TEXT(ROW()-$C$72))"),"")</f>
        <v/>
      </c>
      <c r="Q1679" s="61" t="str">
        <f>IFERROR(__xludf.DUMMYFUNCTION("INDIRECT(""'收支紀錄'!Q""&amp;TO_TEXT(ROW()-$C$72))"),"")</f>
        <v/>
      </c>
      <c r="R1679" s="61" t="str">
        <f>IFERROR(__xludf.DUMMYFUNCTION("INDIRECT(""'收支紀錄'!R""&amp;TO_TEXT(ROW()-$C$72))"),"")</f>
        <v/>
      </c>
      <c r="S1679" s="61" t="str">
        <f>IFERROR(__xludf.DUMMYFUNCTION("INDIRECT(""'收支紀錄'!S""&amp;TO_TEXT(ROW()-$C$72))"),"韓國旅遊")</f>
        <v>韓國旅遊</v>
      </c>
      <c r="T1679" s="61" t="str">
        <f>IFERROR(__xludf.DUMMYFUNCTION("INDIRECT(""'收支紀錄'!T""&amp;TO_TEXT(ROW()-$C$72))"),"是")</f>
        <v>是</v>
      </c>
      <c r="U1679" s="62" t="str">
        <f>IFERROR(__xludf.DUMMYFUNCTION("IF(T1679=""是"",TEXTJOIN("""", TRUE, ""$"", TO_TEXT(C1679), S1679),"""")"),"$68521韓國旅遊")</f>
        <v>$68521韓國旅遊</v>
      </c>
    </row>
    <row r="1680">
      <c r="A1680" s="58">
        <f>IFERROR(__xludf.DUMMYFUNCTION("INDIRECT(""'收支紀錄'!A""&amp;TO_TEXT(ROW()-$C$72))"),46178.84170333333)</f>
        <v>46178.8417</v>
      </c>
      <c r="B1680" s="59">
        <f>IFERROR(__xludf.DUMMYFUNCTION("IF(ISBLANK(D1680), """", IF(ISDATE(D1680), D1680, IF(D1680=""今天"", A1680, IF(D1680=""昨天 (-1 day)"", A1680-1, IF(D1680=""前天 (-2 days)"", A1680-2, IF(D1680=""明天 (+1 day)"", A1680+1, DATE(LEFT(D1680,4), MID(D1680,5,2), RIGHT(D1680,2))))))))"),46178.84170333333)</f>
        <v>46178.8417</v>
      </c>
      <c r="C1680" s="60">
        <f>IFERROR(__xludf.DUMMYFUNCTION("INDIRECT(""'收支紀錄'!C""&amp;TO_TEXT(ROW()-$C$72))"),20000.0)</f>
        <v>20000</v>
      </c>
      <c r="D1680" s="63" t="str">
        <f>IFERROR(__xludf.DUMMYFUNCTION("INDIRECT(""'收支紀錄'!D""&amp;TO_TEXT(ROW()-$C$72))"),"今天")</f>
        <v>今天</v>
      </c>
      <c r="E1680" s="61" t="str">
        <f>IFERROR(__xludf.DUMMYFUNCTION("INDIRECT(""'收支紀錄'!E""&amp;TO_TEXT(ROW()-$C$72))"),"")</f>
        <v/>
      </c>
      <c r="F1680" s="61" t="str">
        <f>IFERROR(__xludf.DUMMYFUNCTION("INDIRECT(""'收支紀錄'!F""&amp;TO_TEXT(ROW()-$C$72))"),"")</f>
        <v/>
      </c>
      <c r="G1680" s="61" t="str">
        <f>IFERROR(__xludf.DUMMYFUNCTION("INDIRECT(""'收支紀錄'!G""&amp;TO_TEXT(ROW()-$C$72))"),"")</f>
        <v/>
      </c>
      <c r="H1680" s="61" t="str">
        <f>IFERROR(__xludf.DUMMYFUNCTION("INDIRECT(""'收支紀錄'!H""&amp;TO_TEXT(ROW()-$C$72))"),"房屋支出")</f>
        <v>房屋支出</v>
      </c>
      <c r="I1680" s="61" t="str">
        <f>IFERROR(__xludf.DUMMYFUNCTION("INDIRECT(""'收支紀錄'!I""&amp;TO_TEXT(ROW()-$C$72))"),"")</f>
        <v/>
      </c>
      <c r="J1680" s="61" t="str">
        <f>IFERROR(__xludf.DUMMYFUNCTION("INDIRECT(""'收支紀錄'!J""&amp;TO_TEXT(ROW()-$C$72))"),"")</f>
        <v/>
      </c>
      <c r="K1680" s="61" t="str">
        <f>IFERROR(__xludf.DUMMYFUNCTION("INDIRECT(""'收支紀錄'!K""&amp;TO_TEXT(ROW()-$C$72))"),"文心1房貸代繳")</f>
        <v>文心1房貸代繳</v>
      </c>
      <c r="L1680" s="61" t="str">
        <f>IFERROR(__xludf.DUMMYFUNCTION("INDIRECT(""'收支紀錄'!L""&amp;TO_TEXT(ROW()-$C$72))"),"")</f>
        <v/>
      </c>
      <c r="M1680" s="61" t="str">
        <f>IFERROR(__xludf.DUMMYFUNCTION("INDIRECT(""'收支紀錄'!M""&amp;TO_TEXT(ROW()-$C$72))"),"")</f>
        <v/>
      </c>
      <c r="N1680" s="61" t="str">
        <f>IFERROR(__xludf.DUMMYFUNCTION("INDIRECT(""'收支紀錄'!N""&amp;TO_TEXT(ROW()-$C$72))"),"")</f>
        <v/>
      </c>
      <c r="O1680" s="61" t="str">
        <f>IFERROR(__xludf.DUMMYFUNCTION("INDIRECT(""'收支紀錄'!O""&amp;TO_TEXT(ROW()-$C$72))"),"")</f>
        <v/>
      </c>
      <c r="P1680" s="61" t="str">
        <f>IFERROR(__xludf.DUMMYFUNCTION("INDIRECT(""'收支紀錄'!P""&amp;TO_TEXT(ROW()-$C$72))"),"")</f>
        <v/>
      </c>
      <c r="Q1680" s="61" t="str">
        <f>IFERROR(__xludf.DUMMYFUNCTION("INDIRECT(""'收支紀錄'!Q""&amp;TO_TEXT(ROW()-$C$72))"),"")</f>
        <v/>
      </c>
      <c r="R1680" s="61" t="str">
        <f>IFERROR(__xludf.DUMMYFUNCTION("INDIRECT(""'收支紀錄'!R""&amp;TO_TEXT(ROW()-$C$72))"),"")</f>
        <v/>
      </c>
      <c r="S1680" s="61" t="str">
        <f>IFERROR(__xludf.DUMMYFUNCTION("INDIRECT(""'收支紀錄'!S""&amp;TO_TEXT(ROW()-$C$72))"),"")</f>
        <v/>
      </c>
      <c r="T1680" s="61" t="str">
        <f>IFERROR(__xludf.DUMMYFUNCTION("INDIRECT(""'收支紀錄'!T""&amp;TO_TEXT(ROW()-$C$72))"),"")</f>
        <v/>
      </c>
      <c r="U1680" s="62" t="str">
        <f>IFERROR(__xludf.DUMMYFUNCTION("IF(T1680=""是"",TEXTJOIN("""", TRUE, ""$"", TO_TEXT(C1680), S1680),"""")"),"")</f>
        <v/>
      </c>
    </row>
    <row r="1681">
      <c r="A1681" s="58">
        <f>IFERROR(__xludf.DUMMYFUNCTION("INDIRECT(""'收支紀錄'!A""&amp;TO_TEXT(ROW()-$C$72))"),46178.84185383102)</f>
        <v>46178.84185</v>
      </c>
      <c r="B1681" s="59">
        <f>IFERROR(__xludf.DUMMYFUNCTION("IF(ISBLANK(D1681), """", IF(ISDATE(D1681), D1681, IF(D1681=""今天"", A1681, IF(D1681=""昨天 (-1 day)"", A1681-1, IF(D1681=""前天 (-2 days)"", A1681-2, IF(D1681=""明天 (+1 day)"", A1681+1, DATE(LEFT(D1681,4), MID(D1681,5,2), RIGHT(D1681,2))))))))"),46178.84185383102)</f>
        <v>46178.84185</v>
      </c>
      <c r="C1681" s="60">
        <f>IFERROR(__xludf.DUMMYFUNCTION("INDIRECT(""'收支紀錄'!C""&amp;TO_TEXT(ROW()-$C$72))"),6000.0)</f>
        <v>6000</v>
      </c>
      <c r="D1681" s="63" t="str">
        <f>IFERROR(__xludf.DUMMYFUNCTION("INDIRECT(""'收支紀錄'!D""&amp;TO_TEXT(ROW()-$C$72))"),"今天")</f>
        <v>今天</v>
      </c>
      <c r="E1681" s="61" t="str">
        <f>IFERROR(__xludf.DUMMYFUNCTION("INDIRECT(""'收支紀錄'!E""&amp;TO_TEXT(ROW()-$C$72))"),"")</f>
        <v/>
      </c>
      <c r="F1681" s="61" t="str">
        <f>IFERROR(__xludf.DUMMYFUNCTION("INDIRECT(""'收支紀錄'!F""&amp;TO_TEXT(ROW()-$C$72))"),"")</f>
        <v/>
      </c>
      <c r="G1681" s="61" t="str">
        <f>IFERROR(__xludf.DUMMYFUNCTION("INDIRECT(""'收支紀錄'!G""&amp;TO_TEXT(ROW()-$C$72))"),"")</f>
        <v/>
      </c>
      <c r="H1681" s="61" t="str">
        <f>IFERROR(__xludf.DUMMYFUNCTION("INDIRECT(""'收支紀錄'!H""&amp;TO_TEXT(ROW()-$C$72))"),"房屋支出")</f>
        <v>房屋支出</v>
      </c>
      <c r="I1681" s="61" t="str">
        <f>IFERROR(__xludf.DUMMYFUNCTION("INDIRECT(""'收支紀錄'!I""&amp;TO_TEXT(ROW()-$C$72))"),"")</f>
        <v/>
      </c>
      <c r="J1681" s="61" t="str">
        <f>IFERROR(__xludf.DUMMYFUNCTION("INDIRECT(""'收支紀錄'!J""&amp;TO_TEXT(ROW()-$C$72))"),"")</f>
        <v/>
      </c>
      <c r="K1681" s="61" t="str">
        <f>IFERROR(__xludf.DUMMYFUNCTION("INDIRECT(""'收支紀錄'!K""&amp;TO_TEXT(ROW()-$C$72))"),"租屋")</f>
        <v>租屋</v>
      </c>
      <c r="L1681" s="61" t="str">
        <f>IFERROR(__xludf.DUMMYFUNCTION("INDIRECT(""'收支紀錄'!L""&amp;TO_TEXT(ROW()-$C$72))"),"")</f>
        <v/>
      </c>
      <c r="M1681" s="61" t="str">
        <f>IFERROR(__xludf.DUMMYFUNCTION("INDIRECT(""'收支紀錄'!M""&amp;TO_TEXT(ROW()-$C$72))"),"")</f>
        <v/>
      </c>
      <c r="N1681" s="61" t="str">
        <f>IFERROR(__xludf.DUMMYFUNCTION("INDIRECT(""'收支紀錄'!N""&amp;TO_TEXT(ROW()-$C$72))"),"")</f>
        <v/>
      </c>
      <c r="O1681" s="61" t="str">
        <f>IFERROR(__xludf.DUMMYFUNCTION("INDIRECT(""'收支紀錄'!O""&amp;TO_TEXT(ROW()-$C$72))"),"")</f>
        <v/>
      </c>
      <c r="P1681" s="61" t="str">
        <f>IFERROR(__xludf.DUMMYFUNCTION("INDIRECT(""'收支紀錄'!P""&amp;TO_TEXT(ROW()-$C$72))"),"")</f>
        <v/>
      </c>
      <c r="Q1681" s="61" t="str">
        <f>IFERROR(__xludf.DUMMYFUNCTION("INDIRECT(""'收支紀錄'!Q""&amp;TO_TEXT(ROW()-$C$72))"),"")</f>
        <v/>
      </c>
      <c r="R1681" s="61" t="str">
        <f>IFERROR(__xludf.DUMMYFUNCTION("INDIRECT(""'收支紀錄'!R""&amp;TO_TEXT(ROW()-$C$72))"),"")</f>
        <v/>
      </c>
      <c r="S1681" s="61" t="str">
        <f>IFERROR(__xludf.DUMMYFUNCTION("INDIRECT(""'收支紀錄'!S""&amp;TO_TEXT(ROW()-$C$72))"),"")</f>
        <v/>
      </c>
      <c r="T1681" s="61" t="str">
        <f>IFERROR(__xludf.DUMMYFUNCTION("INDIRECT(""'收支紀錄'!T""&amp;TO_TEXT(ROW()-$C$72))"),"")</f>
        <v/>
      </c>
      <c r="U1681" s="62" t="str">
        <f>IFERROR(__xludf.DUMMYFUNCTION("IF(T1681=""是"",TEXTJOIN("""", TRUE, ""$"", TO_TEXT(C1681), S1681),"""")"),"")</f>
        <v/>
      </c>
    </row>
    <row r="1682">
      <c r="A1682" s="58">
        <f>IFERROR(__xludf.DUMMYFUNCTION("INDIRECT(""'收支紀錄'!A""&amp;TO_TEXT(ROW()-$C$72))"),46178.84200495371)</f>
        <v>46178.842</v>
      </c>
      <c r="B1682" s="59">
        <f>IFERROR(__xludf.DUMMYFUNCTION("IF(ISBLANK(D1682), """", IF(ISDATE(D1682), D1682, IF(D1682=""今天"", A1682, IF(D1682=""昨天 (-1 day)"", A1682-1, IF(D1682=""前天 (-2 days)"", A1682-2, IF(D1682=""明天 (+1 day)"", A1682+1, DATE(LEFT(D1682,4), MID(D1682,5,2), RIGHT(D1682,2))))))))"),46178.84200495371)</f>
        <v>46178.842</v>
      </c>
      <c r="C1682" s="60">
        <f>IFERROR(__xludf.DUMMYFUNCTION("INDIRECT(""'收支紀錄'!C""&amp;TO_TEXT(ROW()-$C$72))"),6000.0)</f>
        <v>6000</v>
      </c>
      <c r="D1682" s="63" t="str">
        <f>IFERROR(__xludf.DUMMYFUNCTION("INDIRECT(""'收支紀錄'!D""&amp;TO_TEXT(ROW()-$C$72))"),"今天")</f>
        <v>今天</v>
      </c>
      <c r="E1682" s="61" t="str">
        <f>IFERROR(__xludf.DUMMYFUNCTION("INDIRECT(""'收支紀錄'!E""&amp;TO_TEXT(ROW()-$C$72))"),"其他業外")</f>
        <v>其他業外</v>
      </c>
      <c r="F1682" s="61" t="str">
        <f>IFERROR(__xludf.DUMMYFUNCTION("INDIRECT(""'收支紀錄'!F""&amp;TO_TEXT(ROW()-$C$72))"),"")</f>
        <v/>
      </c>
      <c r="G1682" s="61" t="str">
        <f>IFERROR(__xludf.DUMMYFUNCTION("INDIRECT(""'收支紀錄'!G""&amp;TO_TEXT(ROW()-$C$72))"),"房屋補貼")</f>
        <v>房屋補貼</v>
      </c>
      <c r="H1682" s="61" t="str">
        <f>IFERROR(__xludf.DUMMYFUNCTION("INDIRECT(""'收支紀錄'!H""&amp;TO_TEXT(ROW()-$C$72))"),"")</f>
        <v/>
      </c>
      <c r="I1682" s="61" t="str">
        <f>IFERROR(__xludf.DUMMYFUNCTION("INDIRECT(""'收支紀錄'!I""&amp;TO_TEXT(ROW()-$C$72))"),"")</f>
        <v/>
      </c>
      <c r="J1682" s="61" t="str">
        <f>IFERROR(__xludf.DUMMYFUNCTION("INDIRECT(""'收支紀錄'!J""&amp;TO_TEXT(ROW()-$C$72))"),"")</f>
        <v/>
      </c>
      <c r="K1682" s="61" t="str">
        <f>IFERROR(__xludf.DUMMYFUNCTION("INDIRECT(""'收支紀錄'!K""&amp;TO_TEXT(ROW()-$C$72))"),"")</f>
        <v/>
      </c>
      <c r="L1682" s="61" t="str">
        <f>IFERROR(__xludf.DUMMYFUNCTION("INDIRECT(""'收支紀錄'!L""&amp;TO_TEXT(ROW()-$C$72))"),"")</f>
        <v/>
      </c>
      <c r="M1682" s="61" t="str">
        <f>IFERROR(__xludf.DUMMYFUNCTION("INDIRECT(""'收支紀錄'!M""&amp;TO_TEXT(ROW()-$C$72))"),"")</f>
        <v/>
      </c>
      <c r="N1682" s="61" t="str">
        <f>IFERROR(__xludf.DUMMYFUNCTION("INDIRECT(""'收支紀錄'!N""&amp;TO_TEXT(ROW()-$C$72))"),"")</f>
        <v/>
      </c>
      <c r="O1682" s="61" t="str">
        <f>IFERROR(__xludf.DUMMYFUNCTION("INDIRECT(""'收支紀錄'!O""&amp;TO_TEXT(ROW()-$C$72))"),"")</f>
        <v/>
      </c>
      <c r="P1682" s="61" t="str">
        <f>IFERROR(__xludf.DUMMYFUNCTION("INDIRECT(""'收支紀錄'!P""&amp;TO_TEXT(ROW()-$C$72))"),"")</f>
        <v/>
      </c>
      <c r="Q1682" s="61" t="str">
        <f>IFERROR(__xludf.DUMMYFUNCTION("INDIRECT(""'收支紀錄'!Q""&amp;TO_TEXT(ROW()-$C$72))"),"")</f>
        <v/>
      </c>
      <c r="R1682" s="61" t="str">
        <f>IFERROR(__xludf.DUMMYFUNCTION("INDIRECT(""'收支紀錄'!R""&amp;TO_TEXT(ROW()-$C$72))"),"")</f>
        <v/>
      </c>
      <c r="S1682" s="61" t="str">
        <f>IFERROR(__xludf.DUMMYFUNCTION("INDIRECT(""'收支紀錄'!S""&amp;TO_TEXT(ROW()-$C$72))"),"")</f>
        <v/>
      </c>
      <c r="T1682" s="61" t="str">
        <f>IFERROR(__xludf.DUMMYFUNCTION("INDIRECT(""'收支紀錄'!T""&amp;TO_TEXT(ROW()-$C$72))"),"")</f>
        <v/>
      </c>
      <c r="U1682" s="62" t="str">
        <f>IFERROR(__xludf.DUMMYFUNCTION("IF(T1682=""是"",TEXTJOIN("""", TRUE, ""$"", TO_TEXT(C1682), S1682),"""")"),"")</f>
        <v/>
      </c>
    </row>
    <row r="1683">
      <c r="A1683" s="58">
        <f>IFERROR(__xludf.DUMMYFUNCTION("INDIRECT(""'收支紀錄'!A""&amp;TO_TEXT(ROW()-$C$72))"),46180.10260489583)</f>
        <v>46180.1026</v>
      </c>
      <c r="B1683" s="59">
        <f>IFERROR(__xludf.DUMMYFUNCTION("IF(ISBLANK(D1683), """", IF(ISDATE(D1683), D1683, IF(D1683=""今天"", A1683, IF(D1683=""昨天 (-1 day)"", A1683-1, IF(D1683=""前天 (-2 days)"", A1683-2, IF(D1683=""明天 (+1 day)"", A1683+1, DATE(LEFT(D1683,4), MID(D1683,5,2), RIGHT(D1683,2))))))))"),46179.10260489583)</f>
        <v>46179.1026</v>
      </c>
      <c r="C1683" s="60">
        <f>IFERROR(__xludf.DUMMYFUNCTION("INDIRECT(""'收支紀錄'!C""&amp;TO_TEXT(ROW()-$C$72))"),359.0)</f>
        <v>359</v>
      </c>
      <c r="D1683" s="63" t="str">
        <f>IFERROR(__xludf.DUMMYFUNCTION("INDIRECT(""'收支紀錄'!D""&amp;TO_TEXT(ROW()-$C$72))"),"昨天 (-1 day)")</f>
        <v>昨天 (-1 day)</v>
      </c>
      <c r="E1683" s="61" t="str">
        <f>IFERROR(__xludf.DUMMYFUNCTION("INDIRECT(""'收支紀錄'!E""&amp;TO_TEXT(ROW()-$C$72))"),"")</f>
        <v/>
      </c>
      <c r="F1683" s="61" t="str">
        <f>IFERROR(__xludf.DUMMYFUNCTION("INDIRECT(""'收支紀錄'!F""&amp;TO_TEXT(ROW()-$C$72))"),"")</f>
        <v/>
      </c>
      <c r="G1683" s="61" t="str">
        <f>IFERROR(__xludf.DUMMYFUNCTION("INDIRECT(""'收支紀錄'!G""&amp;TO_TEXT(ROW()-$C$72))"),"")</f>
        <v/>
      </c>
      <c r="H1683" s="61" t="str">
        <f>IFERROR(__xludf.DUMMYFUNCTION("INDIRECT(""'收支紀錄'!H""&amp;TO_TEXT(ROW()-$C$72))"),"食品酒水")</f>
        <v>食品酒水</v>
      </c>
      <c r="I1683" s="61" t="str">
        <f>IFERROR(__xludf.DUMMYFUNCTION("INDIRECT(""'收支紀錄'!I""&amp;TO_TEXT(ROW()-$C$72))"),"食材")</f>
        <v>食材</v>
      </c>
      <c r="J1683" s="61" t="str">
        <f>IFERROR(__xludf.DUMMYFUNCTION("INDIRECT(""'收支紀錄'!J""&amp;TO_TEXT(ROW()-$C$72))"),"")</f>
        <v/>
      </c>
      <c r="K1683" s="61" t="str">
        <f>IFERROR(__xludf.DUMMYFUNCTION("INDIRECT(""'收支紀錄'!K""&amp;TO_TEXT(ROW()-$C$72))"),"")</f>
        <v/>
      </c>
      <c r="L1683" s="61" t="str">
        <f>IFERROR(__xludf.DUMMYFUNCTION("INDIRECT(""'收支紀錄'!L""&amp;TO_TEXT(ROW()-$C$72))"),"")</f>
        <v/>
      </c>
      <c r="M1683" s="61" t="str">
        <f>IFERROR(__xludf.DUMMYFUNCTION("INDIRECT(""'收支紀錄'!M""&amp;TO_TEXT(ROW()-$C$72))"),"")</f>
        <v/>
      </c>
      <c r="N1683" s="61" t="str">
        <f>IFERROR(__xludf.DUMMYFUNCTION("INDIRECT(""'收支紀錄'!N""&amp;TO_TEXT(ROW()-$C$72))"),"")</f>
        <v/>
      </c>
      <c r="O1683" s="61" t="str">
        <f>IFERROR(__xludf.DUMMYFUNCTION("INDIRECT(""'收支紀錄'!O""&amp;TO_TEXT(ROW()-$C$72))"),"")</f>
        <v/>
      </c>
      <c r="P1683" s="61" t="str">
        <f>IFERROR(__xludf.DUMMYFUNCTION("INDIRECT(""'收支紀錄'!P""&amp;TO_TEXT(ROW()-$C$72))"),"")</f>
        <v/>
      </c>
      <c r="Q1683" s="61" t="str">
        <f>IFERROR(__xludf.DUMMYFUNCTION("INDIRECT(""'收支紀錄'!Q""&amp;TO_TEXT(ROW()-$C$72))"),"")</f>
        <v/>
      </c>
      <c r="R1683" s="61" t="str">
        <f>IFERROR(__xludf.DUMMYFUNCTION("INDIRECT(""'收支紀錄'!R""&amp;TO_TEXT(ROW()-$C$72))"),"")</f>
        <v/>
      </c>
      <c r="S1683" s="61" t="str">
        <f>IFERROR(__xludf.DUMMYFUNCTION("INDIRECT(""'收支紀錄'!S""&amp;TO_TEXT(ROW()-$C$72))"),"")</f>
        <v/>
      </c>
      <c r="T1683" s="61" t="str">
        <f>IFERROR(__xludf.DUMMYFUNCTION("INDIRECT(""'收支紀錄'!T""&amp;TO_TEXT(ROW()-$C$72))"),"")</f>
        <v/>
      </c>
      <c r="U1683" s="62" t="str">
        <f>IFERROR(__xludf.DUMMYFUNCTION("IF(T1683=""是"",TEXTJOIN("""", TRUE, ""$"", TO_TEXT(C1683), S1683),"""")"),"")</f>
        <v/>
      </c>
    </row>
    <row r="1684">
      <c r="A1684" s="58">
        <f>IFERROR(__xludf.DUMMYFUNCTION("INDIRECT(""'收支紀錄'!A""&amp;TO_TEXT(ROW()-$C$72))"),46180.10287785879)</f>
        <v>46180.10288</v>
      </c>
      <c r="B1684" s="59">
        <f>IFERROR(__xludf.DUMMYFUNCTION("IF(ISBLANK(D1684), """", IF(ISDATE(D1684), D1684, IF(D1684=""今天"", A1684, IF(D1684=""昨天 (-1 day)"", A1684-1, IF(D1684=""前天 (-2 days)"", A1684-2, IF(D1684=""明天 (+1 day)"", A1684+1, DATE(LEFT(D1684,4), MID(D1684,5,2), RIGHT(D1684,2))))))))"),46179.10287785879)</f>
        <v>46179.10288</v>
      </c>
      <c r="C1684" s="60">
        <f>IFERROR(__xludf.DUMMYFUNCTION("INDIRECT(""'收支紀錄'!C""&amp;TO_TEXT(ROW()-$C$72))"),630.0)</f>
        <v>630</v>
      </c>
      <c r="D1684" s="63" t="str">
        <f>IFERROR(__xludf.DUMMYFUNCTION("INDIRECT(""'收支紀錄'!D""&amp;TO_TEXT(ROW()-$C$72))"),"昨天 (-1 day)")</f>
        <v>昨天 (-1 day)</v>
      </c>
      <c r="E1684" s="61" t="str">
        <f>IFERROR(__xludf.DUMMYFUNCTION("INDIRECT(""'收支紀錄'!E""&amp;TO_TEXT(ROW()-$C$72))"),"")</f>
        <v/>
      </c>
      <c r="F1684" s="61" t="str">
        <f>IFERROR(__xludf.DUMMYFUNCTION("INDIRECT(""'收支紀錄'!F""&amp;TO_TEXT(ROW()-$C$72))"),"")</f>
        <v/>
      </c>
      <c r="G1684" s="61" t="str">
        <f>IFERROR(__xludf.DUMMYFUNCTION("INDIRECT(""'收支紀錄'!G""&amp;TO_TEXT(ROW()-$C$72))"),"")</f>
        <v/>
      </c>
      <c r="H1684" s="61" t="str">
        <f>IFERROR(__xludf.DUMMYFUNCTION("INDIRECT(""'收支紀錄'!H""&amp;TO_TEXT(ROW()-$C$72))"),"食品酒水")</f>
        <v>食品酒水</v>
      </c>
      <c r="I1684" s="61" t="str">
        <f>IFERROR(__xludf.DUMMYFUNCTION("INDIRECT(""'收支紀錄'!I""&amp;TO_TEXT(ROW()-$C$72))"),"午餐")</f>
        <v>午餐</v>
      </c>
      <c r="J1684" s="61" t="str">
        <f>IFERROR(__xludf.DUMMYFUNCTION("INDIRECT(""'收支紀錄'!J""&amp;TO_TEXT(ROW()-$C$72))"),"")</f>
        <v/>
      </c>
      <c r="K1684" s="61" t="str">
        <f>IFERROR(__xludf.DUMMYFUNCTION("INDIRECT(""'收支紀錄'!K""&amp;TO_TEXT(ROW()-$C$72))"),"")</f>
        <v/>
      </c>
      <c r="L1684" s="61" t="str">
        <f>IFERROR(__xludf.DUMMYFUNCTION("INDIRECT(""'收支紀錄'!L""&amp;TO_TEXT(ROW()-$C$72))"),"")</f>
        <v/>
      </c>
      <c r="M1684" s="61" t="str">
        <f>IFERROR(__xludf.DUMMYFUNCTION("INDIRECT(""'收支紀錄'!M""&amp;TO_TEXT(ROW()-$C$72))"),"")</f>
        <v/>
      </c>
      <c r="N1684" s="61" t="str">
        <f>IFERROR(__xludf.DUMMYFUNCTION("INDIRECT(""'收支紀錄'!N""&amp;TO_TEXT(ROW()-$C$72))"),"")</f>
        <v/>
      </c>
      <c r="O1684" s="61" t="str">
        <f>IFERROR(__xludf.DUMMYFUNCTION("INDIRECT(""'收支紀錄'!O""&amp;TO_TEXT(ROW()-$C$72))"),"")</f>
        <v/>
      </c>
      <c r="P1684" s="61" t="str">
        <f>IFERROR(__xludf.DUMMYFUNCTION("INDIRECT(""'收支紀錄'!P""&amp;TO_TEXT(ROW()-$C$72))"),"")</f>
        <v/>
      </c>
      <c r="Q1684" s="61" t="str">
        <f>IFERROR(__xludf.DUMMYFUNCTION("INDIRECT(""'收支紀錄'!Q""&amp;TO_TEXT(ROW()-$C$72))"),"")</f>
        <v/>
      </c>
      <c r="R1684" s="61" t="str">
        <f>IFERROR(__xludf.DUMMYFUNCTION("INDIRECT(""'收支紀錄'!R""&amp;TO_TEXT(ROW()-$C$72))"),"")</f>
        <v/>
      </c>
      <c r="S1684" s="61" t="str">
        <f>IFERROR(__xludf.DUMMYFUNCTION("INDIRECT(""'收支紀錄'!S""&amp;TO_TEXT(ROW()-$C$72))"),"")</f>
        <v/>
      </c>
      <c r="T1684" s="61" t="str">
        <f>IFERROR(__xludf.DUMMYFUNCTION("INDIRECT(""'收支紀錄'!T""&amp;TO_TEXT(ROW()-$C$72))"),"")</f>
        <v/>
      </c>
      <c r="U1684" s="62" t="str">
        <f>IFERROR(__xludf.DUMMYFUNCTION("IF(T1684=""是"",TEXTJOIN("""", TRUE, ""$"", TO_TEXT(C1684), S1684),"""")"),"")</f>
        <v/>
      </c>
    </row>
    <row r="1685">
      <c r="A1685" s="58">
        <f>IFERROR(__xludf.DUMMYFUNCTION("INDIRECT(""'收支紀錄'!A""&amp;TO_TEXT(ROW()-$C$72))"),46180.38429398148)</f>
        <v>46180.38429</v>
      </c>
      <c r="B1685" s="59">
        <f>IFERROR(__xludf.DUMMYFUNCTION("IF(ISBLANK(D1685), """", IF(ISDATE(D1685), D1685, IF(D1685=""今天"", A1685, IF(D1685=""昨天 (-1 day)"", A1685-1, IF(D1685=""前天 (-2 days)"", A1685-2, IF(D1685=""明天 (+1 day)"", A1685+1, DATE(LEFT(D1685,4), MID(D1685,5,2), RIGHT(D1685,2))))))))"),46180.38429398148)</f>
        <v>46180.38429</v>
      </c>
      <c r="C1685" s="60">
        <f>IFERROR(__xludf.DUMMYFUNCTION("INDIRECT(""'收支紀錄'!C""&amp;TO_TEXT(ROW()-$C$72))"),110300.0)</f>
        <v>110300</v>
      </c>
      <c r="D1685" s="63" t="str">
        <f>IFERROR(__xludf.DUMMYFUNCTION("INDIRECT(""'收支紀錄'!D""&amp;TO_TEXT(ROW()-$C$72))"),"今天")</f>
        <v>今天</v>
      </c>
      <c r="E1685" s="61" t="str">
        <f>IFERROR(__xludf.DUMMYFUNCTION("INDIRECT(""'收支紀錄'!E""&amp;TO_TEXT(ROW()-$C$72))"),"工作")</f>
        <v>工作</v>
      </c>
      <c r="F1685" s="61" t="str">
        <f>IFERROR(__xludf.DUMMYFUNCTION("INDIRECT(""'收支紀錄'!F""&amp;TO_TEXT(ROW()-$C$72))"),"底薪")</f>
        <v>底薪</v>
      </c>
      <c r="G1685" s="61" t="str">
        <f>IFERROR(__xludf.DUMMYFUNCTION("INDIRECT(""'收支紀錄'!G""&amp;TO_TEXT(ROW()-$C$72))"),"")</f>
        <v/>
      </c>
      <c r="H1685" s="61" t="str">
        <f>IFERROR(__xludf.DUMMYFUNCTION("INDIRECT(""'收支紀錄'!H""&amp;TO_TEXT(ROW()-$C$72))"),"")</f>
        <v/>
      </c>
      <c r="I1685" s="61" t="str">
        <f>IFERROR(__xludf.DUMMYFUNCTION("INDIRECT(""'收支紀錄'!I""&amp;TO_TEXT(ROW()-$C$72))"),"")</f>
        <v/>
      </c>
      <c r="J1685" s="61" t="str">
        <f>IFERROR(__xludf.DUMMYFUNCTION("INDIRECT(""'收支紀錄'!J""&amp;TO_TEXT(ROW()-$C$72))"),"")</f>
        <v/>
      </c>
      <c r="K1685" s="61" t="str">
        <f>IFERROR(__xludf.DUMMYFUNCTION("INDIRECT(""'收支紀錄'!K""&amp;TO_TEXT(ROW()-$C$72))"),"")</f>
        <v/>
      </c>
      <c r="L1685" s="61" t="str">
        <f>IFERROR(__xludf.DUMMYFUNCTION("INDIRECT(""'收支紀錄'!L""&amp;TO_TEXT(ROW()-$C$72))"),"")</f>
        <v/>
      </c>
      <c r="M1685" s="61" t="str">
        <f>IFERROR(__xludf.DUMMYFUNCTION("INDIRECT(""'收支紀錄'!M""&amp;TO_TEXT(ROW()-$C$72))"),"")</f>
        <v/>
      </c>
      <c r="N1685" s="61" t="str">
        <f>IFERROR(__xludf.DUMMYFUNCTION("INDIRECT(""'收支紀錄'!N""&amp;TO_TEXT(ROW()-$C$72))"),"")</f>
        <v/>
      </c>
      <c r="O1685" s="61" t="str">
        <f>IFERROR(__xludf.DUMMYFUNCTION("INDIRECT(""'收支紀錄'!O""&amp;TO_TEXT(ROW()-$C$72))"),"")</f>
        <v/>
      </c>
      <c r="P1685" s="61" t="str">
        <f>IFERROR(__xludf.DUMMYFUNCTION("INDIRECT(""'收支紀錄'!P""&amp;TO_TEXT(ROW()-$C$72))"),"")</f>
        <v/>
      </c>
      <c r="Q1685" s="61" t="str">
        <f>IFERROR(__xludf.DUMMYFUNCTION("INDIRECT(""'收支紀錄'!Q""&amp;TO_TEXT(ROW()-$C$72))"),"")</f>
        <v/>
      </c>
      <c r="R1685" s="61" t="str">
        <f>IFERROR(__xludf.DUMMYFUNCTION("INDIRECT(""'收支紀錄'!R""&amp;TO_TEXT(ROW()-$C$72))"),"")</f>
        <v/>
      </c>
      <c r="S1685" s="61" t="str">
        <f>IFERROR(__xludf.DUMMYFUNCTION("INDIRECT(""'收支紀錄'!S""&amp;TO_TEXT(ROW()-$C$72))"),"")</f>
        <v/>
      </c>
      <c r="T1685" s="61" t="str">
        <f>IFERROR(__xludf.DUMMYFUNCTION("INDIRECT(""'收支紀錄'!T""&amp;TO_TEXT(ROW()-$C$72))"),"")</f>
        <v/>
      </c>
      <c r="U1685" s="62" t="str">
        <f>IFERROR(__xludf.DUMMYFUNCTION("IF(T1685=""是"",TEXTJOIN("""", TRUE, ""$"", TO_TEXT(C1685), S1685),"""")"),"")</f>
        <v/>
      </c>
    </row>
    <row r="1686">
      <c r="A1686" s="58">
        <f>IFERROR(__xludf.DUMMYFUNCTION("INDIRECT(""'收支紀錄'!A""&amp;TO_TEXT(ROW()-$C$72))"),46180.38429398148)</f>
        <v>46180.38429</v>
      </c>
      <c r="B1686" s="59">
        <f>IFERROR(__xludf.DUMMYFUNCTION("IF(ISBLANK(D1686), """", IF(ISDATE(D1686), D1686, IF(D1686=""今天"", A1686, IF(D1686=""昨天 (-1 day)"", A1686-1, IF(D1686=""前天 (-2 days)"", A1686-2, IF(D1686=""明天 (+1 day)"", A1686+1, DATE(LEFT(D1686,4), MID(D1686,5,2), RIGHT(D1686,2))))))))"),46180.38429398148)</f>
        <v>46180.38429</v>
      </c>
      <c r="C1686" s="60">
        <f>IFERROR(__xludf.DUMMYFUNCTION("INDIRECT(""'收支紀錄'!C""&amp;TO_TEXT(ROW()-$C$72))"),1553.0)</f>
        <v>1553</v>
      </c>
      <c r="D1686" s="63" t="str">
        <f>IFERROR(__xludf.DUMMYFUNCTION("INDIRECT(""'收支紀錄'!D""&amp;TO_TEXT(ROW()-$C$72))"),"今天")</f>
        <v>今天</v>
      </c>
      <c r="E1686" s="61" t="str">
        <f>IFERROR(__xludf.DUMMYFUNCTION("INDIRECT(""'收支紀錄'!E""&amp;TO_TEXT(ROW()-$C$72))"),"")</f>
        <v/>
      </c>
      <c r="F1686" s="61" t="str">
        <f>IFERROR(__xludf.DUMMYFUNCTION("INDIRECT(""'收支紀錄'!F""&amp;TO_TEXT(ROW()-$C$72))"),"")</f>
        <v/>
      </c>
      <c r="G1686" s="61" t="str">
        <f>IFERROR(__xludf.DUMMYFUNCTION("INDIRECT(""'收支紀錄'!G""&amp;TO_TEXT(ROW()-$C$72))"),"")</f>
        <v/>
      </c>
      <c r="H1686" s="61" t="str">
        <f>IFERROR(__xludf.DUMMYFUNCTION("INDIRECT(""'收支紀錄'!H""&amp;TO_TEXT(ROW()-$C$72))"),"食品酒水")</f>
        <v>食品酒水</v>
      </c>
      <c r="I1686" s="61" t="str">
        <f>IFERROR(__xludf.DUMMYFUNCTION("INDIRECT(""'收支紀錄'!I""&amp;TO_TEXT(ROW()-$C$72))"),"前月公司餐費扣款")</f>
        <v>前月公司餐費扣款</v>
      </c>
      <c r="J1686" s="61" t="str">
        <f>IFERROR(__xludf.DUMMYFUNCTION("INDIRECT(""'收支紀錄'!J""&amp;TO_TEXT(ROW()-$C$72))"),"")</f>
        <v/>
      </c>
      <c r="K1686" s="61" t="str">
        <f>IFERROR(__xludf.DUMMYFUNCTION("INDIRECT(""'收支紀錄'!K""&amp;TO_TEXT(ROW()-$C$72))"),"")</f>
        <v/>
      </c>
      <c r="L1686" s="61" t="str">
        <f>IFERROR(__xludf.DUMMYFUNCTION("INDIRECT(""'收支紀錄'!L""&amp;TO_TEXT(ROW()-$C$72))"),"")</f>
        <v/>
      </c>
      <c r="M1686" s="61" t="str">
        <f>IFERROR(__xludf.DUMMYFUNCTION("INDIRECT(""'收支紀錄'!M""&amp;TO_TEXT(ROW()-$C$72))"),"")</f>
        <v/>
      </c>
      <c r="N1686" s="61" t="str">
        <f>IFERROR(__xludf.DUMMYFUNCTION("INDIRECT(""'收支紀錄'!N""&amp;TO_TEXT(ROW()-$C$72))"),"")</f>
        <v/>
      </c>
      <c r="O1686" s="61" t="str">
        <f>IFERROR(__xludf.DUMMYFUNCTION("INDIRECT(""'收支紀錄'!O""&amp;TO_TEXT(ROW()-$C$72))"),"")</f>
        <v/>
      </c>
      <c r="P1686" s="61" t="str">
        <f>IFERROR(__xludf.DUMMYFUNCTION("INDIRECT(""'收支紀錄'!P""&amp;TO_TEXT(ROW()-$C$72))"),"")</f>
        <v/>
      </c>
      <c r="Q1686" s="61" t="str">
        <f>IFERROR(__xludf.DUMMYFUNCTION("INDIRECT(""'收支紀錄'!Q""&amp;TO_TEXT(ROW()-$C$72))"),"")</f>
        <v/>
      </c>
      <c r="R1686" s="61" t="str">
        <f>IFERROR(__xludf.DUMMYFUNCTION("INDIRECT(""'收支紀錄'!R""&amp;TO_TEXT(ROW()-$C$72))"),"")</f>
        <v/>
      </c>
      <c r="S1686" s="61" t="str">
        <f>IFERROR(__xludf.DUMMYFUNCTION("INDIRECT(""'收支紀錄'!S""&amp;TO_TEXT(ROW()-$C$72))"),"")</f>
        <v/>
      </c>
      <c r="T1686" s="61" t="str">
        <f>IFERROR(__xludf.DUMMYFUNCTION("INDIRECT(""'收支紀錄'!T""&amp;TO_TEXT(ROW()-$C$72))"),"")</f>
        <v/>
      </c>
      <c r="U1686" s="62" t="str">
        <f>IFERROR(__xludf.DUMMYFUNCTION("IF(T1686=""是"",TEXTJOIN("""", TRUE, ""$"", TO_TEXT(C1686), S1686),"""")"),"")</f>
        <v/>
      </c>
    </row>
    <row r="1687">
      <c r="A1687" s="58">
        <f>IFERROR(__xludf.DUMMYFUNCTION("INDIRECT(""'收支紀錄'!A""&amp;TO_TEXT(ROW()-$C$72))"),46180.38429398148)</f>
        <v>46180.38429</v>
      </c>
      <c r="B1687" s="59">
        <f>IFERROR(__xludf.DUMMYFUNCTION("IF(ISBLANK(D1687), """", IF(ISDATE(D1687), D1687, IF(D1687=""今天"", A1687, IF(D1687=""昨天 (-1 day)"", A1687-1, IF(D1687=""前天 (-2 days)"", A1687-2, IF(D1687=""明天 (+1 day)"", A1687+1, DATE(LEFT(D1687,4), MID(D1687,5,2), RIGHT(D1687,2))))))))"),46180.38429398148)</f>
        <v>46180.38429</v>
      </c>
      <c r="C1687" s="60">
        <f>IFERROR(__xludf.DUMMYFUNCTION("INDIRECT(""'收支紀錄'!C""&amp;TO_TEXT(ROW()-$C$72))"),4412.0)</f>
        <v>4412</v>
      </c>
      <c r="D1687" s="63" t="str">
        <f>IFERROR(__xludf.DUMMYFUNCTION("INDIRECT(""'收支紀錄'!D""&amp;TO_TEXT(ROW()-$C$72))"),"今天")</f>
        <v>今天</v>
      </c>
      <c r="E1687" s="61" t="str">
        <f>IFERROR(__xludf.DUMMYFUNCTION("INDIRECT(""'收支紀錄'!E""&amp;TO_TEXT(ROW()-$C$72))"),"")</f>
        <v/>
      </c>
      <c r="F1687" s="61" t="str">
        <f>IFERROR(__xludf.DUMMYFUNCTION("INDIRECT(""'收支紀錄'!F""&amp;TO_TEXT(ROW()-$C$72))"),"")</f>
        <v/>
      </c>
      <c r="G1687" s="61" t="str">
        <f>IFERROR(__xludf.DUMMYFUNCTION("INDIRECT(""'收支紀錄'!G""&amp;TO_TEXT(ROW()-$C$72))"),"")</f>
        <v/>
      </c>
      <c r="H1687" s="61" t="str">
        <f>IFERROR(__xludf.DUMMYFUNCTION("INDIRECT(""'收支紀錄'!H""&amp;TO_TEXT(ROW()-$C$72))"),"投資及其他")</f>
        <v>投資及其他</v>
      </c>
      <c r="I1687" s="61" t="str">
        <f>IFERROR(__xludf.DUMMYFUNCTION("INDIRECT(""'收支紀錄'!I""&amp;TO_TEXT(ROW()-$C$72))"),"")</f>
        <v/>
      </c>
      <c r="J1687" s="61" t="str">
        <f>IFERROR(__xludf.DUMMYFUNCTION("INDIRECT(""'收支紀錄'!J""&amp;TO_TEXT(ROW()-$C$72))"),"")</f>
        <v/>
      </c>
      <c r="K1687" s="61" t="str">
        <f>IFERROR(__xludf.DUMMYFUNCTION("INDIRECT(""'收支紀錄'!K""&amp;TO_TEXT(ROW()-$C$72))"),"")</f>
        <v/>
      </c>
      <c r="L1687" s="61" t="str">
        <f>IFERROR(__xludf.DUMMYFUNCTION("INDIRECT(""'收支紀錄'!L""&amp;TO_TEXT(ROW()-$C$72))"),"")</f>
        <v/>
      </c>
      <c r="M1687" s="61" t="str">
        <f>IFERROR(__xludf.DUMMYFUNCTION("INDIRECT(""'收支紀錄'!M""&amp;TO_TEXT(ROW()-$C$72))"),"")</f>
        <v/>
      </c>
      <c r="N1687" s="61" t="str">
        <f>IFERROR(__xludf.DUMMYFUNCTION("INDIRECT(""'收支紀錄'!N""&amp;TO_TEXT(ROW()-$C$72))"),"")</f>
        <v/>
      </c>
      <c r="O1687" s="61" t="str">
        <f>IFERROR(__xludf.DUMMYFUNCTION("INDIRECT(""'收支紀錄'!O""&amp;TO_TEXT(ROW()-$C$72))"),"")</f>
        <v/>
      </c>
      <c r="P1687" s="61" t="str">
        <f>IFERROR(__xludf.DUMMYFUNCTION("INDIRECT(""'收支紀錄'!P""&amp;TO_TEXT(ROW()-$C$72))"),"")</f>
        <v/>
      </c>
      <c r="Q1687" s="61" t="str">
        <f>IFERROR(__xludf.DUMMYFUNCTION("INDIRECT(""'收支紀錄'!Q""&amp;TO_TEXT(ROW()-$C$72))"),"")</f>
        <v/>
      </c>
      <c r="R1687" s="61" t="str">
        <f>IFERROR(__xludf.DUMMYFUNCTION("INDIRECT(""'收支紀錄'!R""&amp;TO_TEXT(ROW()-$C$72))"),"公司認股")</f>
        <v>公司認股</v>
      </c>
      <c r="S1687" s="61" t="str">
        <f>IFERROR(__xludf.DUMMYFUNCTION("INDIRECT(""'收支紀錄'!S""&amp;TO_TEXT(ROW()-$C$72))"),"")</f>
        <v/>
      </c>
      <c r="T1687" s="61" t="str">
        <f>IFERROR(__xludf.DUMMYFUNCTION("INDIRECT(""'收支紀錄'!T""&amp;TO_TEXT(ROW()-$C$72))"),"")</f>
        <v/>
      </c>
      <c r="U1687" s="62" t="str">
        <f>IFERROR(__xludf.DUMMYFUNCTION("IF(T1687=""是"",TEXTJOIN("""", TRUE, ""$"", TO_TEXT(C1687), S1687),"""")"),"")</f>
        <v/>
      </c>
    </row>
    <row r="1688">
      <c r="A1688" s="58">
        <f>IFERROR(__xludf.DUMMYFUNCTION("INDIRECT(""'收支紀錄'!A""&amp;TO_TEXT(ROW()-$C$72))"),46180.38429398148)</f>
        <v>46180.38429</v>
      </c>
      <c r="B1688" s="59">
        <f>IFERROR(__xludf.DUMMYFUNCTION("IF(ISBLANK(D1688), """", IF(ISDATE(D1688), D1688, IF(D1688=""今天"", A1688, IF(D1688=""昨天 (-1 day)"", A1688-1, IF(D1688=""前天 (-2 days)"", A1688-2, IF(D1688=""明天 (+1 day)"", A1688+1, DATE(LEFT(D1688,4), MID(D1688,5,2), RIGHT(D1688,2))))))))"),46180.38429398148)</f>
        <v>46180.38429</v>
      </c>
      <c r="C1688" s="60">
        <f>IFERROR(__xludf.DUMMYFUNCTION("INDIRECT(""'收支紀錄'!C""&amp;TO_TEXT(ROW()-$C$72))"),6203.0)</f>
        <v>6203</v>
      </c>
      <c r="D1688" s="63" t="str">
        <f>IFERROR(__xludf.DUMMYFUNCTION("INDIRECT(""'收支紀錄'!D""&amp;TO_TEXT(ROW()-$C$72))"),"今天")</f>
        <v>今天</v>
      </c>
      <c r="E1688" s="61" t="str">
        <f>IFERROR(__xludf.DUMMYFUNCTION("INDIRECT(""'收支紀錄'!E""&amp;TO_TEXT(ROW()-$C$72))"),"")</f>
        <v/>
      </c>
      <c r="F1688" s="61" t="str">
        <f>IFERROR(__xludf.DUMMYFUNCTION("INDIRECT(""'收支紀錄'!F""&amp;TO_TEXT(ROW()-$C$72))"),"")</f>
        <v/>
      </c>
      <c r="G1688" s="61" t="str">
        <f>IFERROR(__xludf.DUMMYFUNCTION("INDIRECT(""'收支紀錄'!G""&amp;TO_TEXT(ROW()-$C$72))"),"")</f>
        <v/>
      </c>
      <c r="H1688" s="61" t="str">
        <f>IFERROR(__xludf.DUMMYFUNCTION("INDIRECT(""'收支紀錄'!H""&amp;TO_TEXT(ROW()-$C$72))"),"稅金保險")</f>
        <v>稅金保險</v>
      </c>
      <c r="I1688" s="61" t="str">
        <f>IFERROR(__xludf.DUMMYFUNCTION("INDIRECT(""'收支紀錄'!I""&amp;TO_TEXT(ROW()-$C$72))"),"")</f>
        <v/>
      </c>
      <c r="J1688" s="61" t="str">
        <f>IFERROR(__xludf.DUMMYFUNCTION("INDIRECT(""'收支紀錄'!J""&amp;TO_TEXT(ROW()-$C$72))"),"")</f>
        <v/>
      </c>
      <c r="K1688" s="61" t="str">
        <f>IFERROR(__xludf.DUMMYFUNCTION("INDIRECT(""'收支紀錄'!K""&amp;TO_TEXT(ROW()-$C$72))"),"")</f>
        <v/>
      </c>
      <c r="L1688" s="61" t="str">
        <f>IFERROR(__xludf.DUMMYFUNCTION("INDIRECT(""'收支紀錄'!L""&amp;TO_TEXT(ROW()-$C$72))"),"")</f>
        <v/>
      </c>
      <c r="M1688" s="61" t="str">
        <f>IFERROR(__xludf.DUMMYFUNCTION("INDIRECT(""'收支紀錄'!M""&amp;TO_TEXT(ROW()-$C$72))"),"")</f>
        <v/>
      </c>
      <c r="N1688" s="61" t="str">
        <f>IFERROR(__xludf.DUMMYFUNCTION("INDIRECT(""'收支紀錄'!N""&amp;TO_TEXT(ROW()-$C$72))"),"勞健保")</f>
        <v>勞健保</v>
      </c>
      <c r="O1688" s="61" t="str">
        <f>IFERROR(__xludf.DUMMYFUNCTION("INDIRECT(""'收支紀錄'!O""&amp;TO_TEXT(ROW()-$C$72))"),"")</f>
        <v/>
      </c>
      <c r="P1688" s="61" t="str">
        <f>IFERROR(__xludf.DUMMYFUNCTION("INDIRECT(""'收支紀錄'!P""&amp;TO_TEXT(ROW()-$C$72))"),"")</f>
        <v/>
      </c>
      <c r="Q1688" s="61" t="str">
        <f>IFERROR(__xludf.DUMMYFUNCTION("INDIRECT(""'收支紀錄'!Q""&amp;TO_TEXT(ROW()-$C$72))"),"")</f>
        <v/>
      </c>
      <c r="R1688" s="61" t="str">
        <f>IFERROR(__xludf.DUMMYFUNCTION("INDIRECT(""'收支紀錄'!R""&amp;TO_TEXT(ROW()-$C$72))"),"")</f>
        <v/>
      </c>
      <c r="S1688" s="61" t="str">
        <f>IFERROR(__xludf.DUMMYFUNCTION("INDIRECT(""'收支紀錄'!S""&amp;TO_TEXT(ROW()-$C$72))"),"")</f>
        <v/>
      </c>
      <c r="T1688" s="61" t="str">
        <f>IFERROR(__xludf.DUMMYFUNCTION("INDIRECT(""'收支紀錄'!T""&amp;TO_TEXT(ROW()-$C$72))"),"")</f>
        <v/>
      </c>
      <c r="U1688" s="62" t="str">
        <f>IFERROR(__xludf.DUMMYFUNCTION("IF(T1688=""是"",TEXTJOIN("""", TRUE, ""$"", TO_TEXT(C1688), S1688),"""")"),"")</f>
        <v/>
      </c>
    </row>
    <row r="1689">
      <c r="A1689" s="58">
        <f>IFERROR(__xludf.DUMMYFUNCTION("INDIRECT(""'收支紀錄'!A""&amp;TO_TEXT(ROW()-$C$72))"),46180.38429398148)</f>
        <v>46180.38429</v>
      </c>
      <c r="B1689" s="59">
        <f>IFERROR(__xludf.DUMMYFUNCTION("IF(ISBLANK(D1689), """", IF(ISDATE(D1689), D1689, IF(D1689=""今天"", A1689, IF(D1689=""昨天 (-1 day)"", A1689-1, IF(D1689=""前天 (-2 days)"", A1689-2, IF(D1689=""明天 (+1 day)"", A1689+1, DATE(LEFT(D1689,4), MID(D1689,5,2), RIGHT(D1689,2))))))))"),46180.38429398148)</f>
        <v>46180.38429</v>
      </c>
      <c r="C1689" s="60">
        <f>IFERROR(__xludf.DUMMYFUNCTION("INDIRECT(""'收支紀錄'!C""&amp;TO_TEXT(ROW()-$C$72))"),552.0)</f>
        <v>552</v>
      </c>
      <c r="D1689" s="63" t="str">
        <f>IFERROR(__xludf.DUMMYFUNCTION("INDIRECT(""'收支紀錄'!D""&amp;TO_TEXT(ROW()-$C$72))"),"今天")</f>
        <v>今天</v>
      </c>
      <c r="E1689" s="61" t="str">
        <f>IFERROR(__xludf.DUMMYFUNCTION("INDIRECT(""'收支紀錄'!E""&amp;TO_TEXT(ROW()-$C$72))"),"")</f>
        <v/>
      </c>
      <c r="F1689" s="61" t="str">
        <f>IFERROR(__xludf.DUMMYFUNCTION("INDIRECT(""'收支紀錄'!F""&amp;TO_TEXT(ROW()-$C$72))"),"")</f>
        <v/>
      </c>
      <c r="G1689" s="61" t="str">
        <f>IFERROR(__xludf.DUMMYFUNCTION("INDIRECT(""'收支紀錄'!G""&amp;TO_TEXT(ROW()-$C$72))"),"")</f>
        <v/>
      </c>
      <c r="H1689" s="61" t="str">
        <f>IFERROR(__xludf.DUMMYFUNCTION("INDIRECT(""'收支紀錄'!H""&amp;TO_TEXT(ROW()-$C$72))"),"休閒娛樂")</f>
        <v>休閒娛樂</v>
      </c>
      <c r="I1689" s="61" t="str">
        <f>IFERROR(__xludf.DUMMYFUNCTION("INDIRECT(""'收支紀錄'!I""&amp;TO_TEXT(ROW()-$C$72))"),"")</f>
        <v/>
      </c>
      <c r="J1689" s="61" t="str">
        <f>IFERROR(__xludf.DUMMYFUNCTION("INDIRECT(""'收支紀錄'!J""&amp;TO_TEXT(ROW()-$C$72))"),"")</f>
        <v/>
      </c>
      <c r="K1689" s="61" t="str">
        <f>IFERROR(__xludf.DUMMYFUNCTION("INDIRECT(""'收支紀錄'!K""&amp;TO_TEXT(ROW()-$C$72))"),"")</f>
        <v/>
      </c>
      <c r="L1689" s="61" t="str">
        <f>IFERROR(__xludf.DUMMYFUNCTION("INDIRECT(""'收支紀錄'!L""&amp;TO_TEXT(ROW()-$C$72))"),"")</f>
        <v/>
      </c>
      <c r="M1689" s="61" t="str">
        <f>IFERROR(__xludf.DUMMYFUNCTION("INDIRECT(""'收支紀錄'!M""&amp;TO_TEXT(ROW()-$C$72))"),"公司福利金")</f>
        <v>公司福利金</v>
      </c>
      <c r="N1689" s="61" t="str">
        <f>IFERROR(__xludf.DUMMYFUNCTION("INDIRECT(""'收支紀錄'!N""&amp;TO_TEXT(ROW()-$C$72))"),"")</f>
        <v/>
      </c>
      <c r="O1689" s="61" t="str">
        <f>IFERROR(__xludf.DUMMYFUNCTION("INDIRECT(""'收支紀錄'!O""&amp;TO_TEXT(ROW()-$C$72))"),"")</f>
        <v/>
      </c>
      <c r="P1689" s="61" t="str">
        <f>IFERROR(__xludf.DUMMYFUNCTION("INDIRECT(""'收支紀錄'!P""&amp;TO_TEXT(ROW()-$C$72))"),"")</f>
        <v/>
      </c>
      <c r="Q1689" s="61" t="str">
        <f>IFERROR(__xludf.DUMMYFUNCTION("INDIRECT(""'收支紀錄'!Q""&amp;TO_TEXT(ROW()-$C$72))"),"")</f>
        <v/>
      </c>
      <c r="R1689" s="61" t="str">
        <f>IFERROR(__xludf.DUMMYFUNCTION("INDIRECT(""'收支紀錄'!R""&amp;TO_TEXT(ROW()-$C$72))"),"")</f>
        <v/>
      </c>
      <c r="S1689" s="61" t="str">
        <f>IFERROR(__xludf.DUMMYFUNCTION("INDIRECT(""'收支紀錄'!S""&amp;TO_TEXT(ROW()-$C$72))"),"")</f>
        <v/>
      </c>
      <c r="T1689" s="61" t="str">
        <f>IFERROR(__xludf.DUMMYFUNCTION("INDIRECT(""'收支紀錄'!T""&amp;TO_TEXT(ROW()-$C$72))"),"")</f>
        <v/>
      </c>
      <c r="U1689" s="62" t="str">
        <f>IFERROR(__xludf.DUMMYFUNCTION("IF(T1689=""是"",TEXTJOIN("""", TRUE, ""$"", TO_TEXT(C1689), S1689),"""")"),"")</f>
        <v/>
      </c>
    </row>
    <row r="1690">
      <c r="A1690" s="58">
        <f>IFERROR(__xludf.DUMMYFUNCTION("INDIRECT(""'收支紀錄'!A""&amp;TO_TEXT(ROW()-$C$72))"),46180.38429398148)</f>
        <v>46180.38429</v>
      </c>
      <c r="B1690" s="59">
        <f>IFERROR(__xludf.DUMMYFUNCTION("IF(ISBLANK(D1690), """", IF(ISDATE(D1690), D1690, IF(D1690=""今天"", A1690, IF(D1690=""昨天 (-1 day)"", A1690-1, IF(D1690=""前天 (-2 days)"", A1690-2, IF(D1690=""明天 (+1 day)"", A1690+1, DATE(LEFT(D1690,4), MID(D1690,5,2), RIGHT(D1690,2))))))))"),46180.38429398148)</f>
        <v>46180.38429</v>
      </c>
      <c r="C1690" s="60">
        <f>IFERROR(__xludf.DUMMYFUNCTION("INDIRECT(""'收支紀錄'!C""&amp;TO_TEXT(ROW()-$C$72))"),3810.0)</f>
        <v>3810</v>
      </c>
      <c r="D1690" s="63" t="str">
        <f>IFERROR(__xludf.DUMMYFUNCTION("INDIRECT(""'收支紀錄'!D""&amp;TO_TEXT(ROW()-$C$72))"),"今天")</f>
        <v>今天</v>
      </c>
      <c r="E1690" s="61" t="str">
        <f>IFERROR(__xludf.DUMMYFUNCTION("INDIRECT(""'收支紀錄'!E""&amp;TO_TEXT(ROW()-$C$72))"),"")</f>
        <v/>
      </c>
      <c r="F1690" s="61" t="str">
        <f>IFERROR(__xludf.DUMMYFUNCTION("INDIRECT(""'收支紀錄'!F""&amp;TO_TEXT(ROW()-$C$72))"),"")</f>
        <v/>
      </c>
      <c r="G1690" s="61" t="str">
        <f>IFERROR(__xludf.DUMMYFUNCTION("INDIRECT(""'收支紀錄'!G""&amp;TO_TEXT(ROW()-$C$72))"),"")</f>
        <v/>
      </c>
      <c r="H1690" s="61" t="str">
        <f>IFERROR(__xludf.DUMMYFUNCTION("INDIRECT(""'收支紀錄'!H""&amp;TO_TEXT(ROW()-$C$72))"),"稅金保險")</f>
        <v>稅金保險</v>
      </c>
      <c r="I1690" s="61" t="str">
        <f>IFERROR(__xludf.DUMMYFUNCTION("INDIRECT(""'收支紀錄'!I""&amp;TO_TEXT(ROW()-$C$72))"),"")</f>
        <v/>
      </c>
      <c r="J1690" s="61" t="str">
        <f>IFERROR(__xludf.DUMMYFUNCTION("INDIRECT(""'收支紀錄'!J""&amp;TO_TEXT(ROW()-$C$72))"),"")</f>
        <v/>
      </c>
      <c r="K1690" s="61" t="str">
        <f>IFERROR(__xludf.DUMMYFUNCTION("INDIRECT(""'收支紀錄'!K""&amp;TO_TEXT(ROW()-$C$72))"),"")</f>
        <v/>
      </c>
      <c r="L1690" s="61" t="str">
        <f>IFERROR(__xludf.DUMMYFUNCTION("INDIRECT(""'收支紀錄'!L""&amp;TO_TEXT(ROW()-$C$72))"),"")</f>
        <v/>
      </c>
      <c r="M1690" s="61" t="str">
        <f>IFERROR(__xludf.DUMMYFUNCTION("INDIRECT(""'收支紀錄'!M""&amp;TO_TEXT(ROW()-$C$72))"),"")</f>
        <v/>
      </c>
      <c r="N1690" s="61" t="str">
        <f>IFERROR(__xludf.DUMMYFUNCTION("INDIRECT(""'收支紀錄'!N""&amp;TO_TEXT(ROW()-$C$72))"),"稅金")</f>
        <v>稅金</v>
      </c>
      <c r="O1690" s="61" t="str">
        <f>IFERROR(__xludf.DUMMYFUNCTION("INDIRECT(""'收支紀錄'!O""&amp;TO_TEXT(ROW()-$C$72))"),"")</f>
        <v/>
      </c>
      <c r="P1690" s="61" t="str">
        <f>IFERROR(__xludf.DUMMYFUNCTION("INDIRECT(""'收支紀錄'!P""&amp;TO_TEXT(ROW()-$C$72))"),"")</f>
        <v/>
      </c>
      <c r="Q1690" s="61" t="str">
        <f>IFERROR(__xludf.DUMMYFUNCTION("INDIRECT(""'收支紀錄'!Q""&amp;TO_TEXT(ROW()-$C$72))"),"")</f>
        <v/>
      </c>
      <c r="R1690" s="61" t="str">
        <f>IFERROR(__xludf.DUMMYFUNCTION("INDIRECT(""'收支紀錄'!R""&amp;TO_TEXT(ROW()-$C$72))"),"")</f>
        <v/>
      </c>
      <c r="S1690" s="61" t="str">
        <f>IFERROR(__xludf.DUMMYFUNCTION("INDIRECT(""'收支紀錄'!S""&amp;TO_TEXT(ROW()-$C$72))"),"")</f>
        <v/>
      </c>
      <c r="T1690" s="61" t="str">
        <f>IFERROR(__xludf.DUMMYFUNCTION("INDIRECT(""'收支紀錄'!T""&amp;TO_TEXT(ROW()-$C$72))"),"")</f>
        <v/>
      </c>
      <c r="U1690" s="62" t="str">
        <f>IFERROR(__xludf.DUMMYFUNCTION("IF(T1690=""是"",TEXTJOIN("""", TRUE, ""$"", TO_TEXT(C1690), S1690),"""")"),"")</f>
        <v/>
      </c>
    </row>
    <row r="1691">
      <c r="A1691" s="58">
        <f>IFERROR(__xludf.DUMMYFUNCTION("INDIRECT(""'收支紀錄'!A""&amp;TO_TEXT(ROW()-$C$72))"),46180.38700207176)</f>
        <v>46180.387</v>
      </c>
      <c r="B1691" s="59">
        <f>IFERROR(__xludf.DUMMYFUNCTION("IF(ISBLANK(D1691), """", IF(ISDATE(D1691), D1691, IF(D1691=""今天"", A1691, IF(D1691=""昨天 (-1 day)"", A1691-1, IF(D1691=""前天 (-2 days)"", A1691-2, IF(D1691=""明天 (+1 day)"", A1691+1, DATE(LEFT(D1691,4), MID(D1691,5,2), RIGHT(D1691,2))))))))"),46172.0)</f>
        <v>46172</v>
      </c>
      <c r="C1691" s="60">
        <f>IFERROR(__xludf.DUMMYFUNCTION("INDIRECT(""'收支紀錄'!C""&amp;TO_TEXT(ROW()-$C$72))"),20.0)</f>
        <v>20</v>
      </c>
      <c r="D1691" s="63">
        <f>IFERROR(__xludf.DUMMYFUNCTION("INDIRECT(""'收支紀錄'!D""&amp;TO_TEXT(ROW()-$C$72))"),2.026053E7)</f>
        <v>20260530</v>
      </c>
      <c r="E1691" s="61" t="str">
        <f>IFERROR(__xludf.DUMMYFUNCTION("INDIRECT(""'收支紀錄'!E""&amp;TO_TEXT(ROW()-$C$72))"),"")</f>
        <v/>
      </c>
      <c r="F1691" s="61" t="str">
        <f>IFERROR(__xludf.DUMMYFUNCTION("INDIRECT(""'收支紀錄'!F""&amp;TO_TEXT(ROW()-$C$72))"),"")</f>
        <v/>
      </c>
      <c r="G1691" s="61" t="str">
        <f>IFERROR(__xludf.DUMMYFUNCTION("INDIRECT(""'收支紀錄'!G""&amp;TO_TEXT(ROW()-$C$72))"),"")</f>
        <v/>
      </c>
      <c r="H1691" s="61" t="str">
        <f>IFERROR(__xludf.DUMMYFUNCTION("INDIRECT(""'收支紀錄'!H""&amp;TO_TEXT(ROW()-$C$72))"),"行車交通")</f>
        <v>行車交通</v>
      </c>
      <c r="I1691" s="61" t="str">
        <f>IFERROR(__xludf.DUMMYFUNCTION("INDIRECT(""'收支紀錄'!I""&amp;TO_TEXT(ROW()-$C$72))"),"")</f>
        <v/>
      </c>
      <c r="J1691" s="61" t="str">
        <f>IFERROR(__xludf.DUMMYFUNCTION("INDIRECT(""'收支紀錄'!J""&amp;TO_TEXT(ROW()-$C$72))"),"")</f>
        <v/>
      </c>
      <c r="K1691" s="61" t="str">
        <f>IFERROR(__xludf.DUMMYFUNCTION("INDIRECT(""'收支紀錄'!K""&amp;TO_TEXT(ROW()-$C$72))"),"")</f>
        <v/>
      </c>
      <c r="L1691" s="61" t="str">
        <f>IFERROR(__xludf.DUMMYFUNCTION("INDIRECT(""'收支紀錄'!L""&amp;TO_TEXT(ROW()-$C$72))"),"停車")</f>
        <v>停車</v>
      </c>
      <c r="M1691" s="61" t="str">
        <f>IFERROR(__xludf.DUMMYFUNCTION("INDIRECT(""'收支紀錄'!M""&amp;TO_TEXT(ROW()-$C$72))"),"")</f>
        <v/>
      </c>
      <c r="N1691" s="61" t="str">
        <f>IFERROR(__xludf.DUMMYFUNCTION("INDIRECT(""'收支紀錄'!N""&amp;TO_TEXT(ROW()-$C$72))"),"")</f>
        <v/>
      </c>
      <c r="O1691" s="61" t="str">
        <f>IFERROR(__xludf.DUMMYFUNCTION("INDIRECT(""'收支紀錄'!O""&amp;TO_TEXT(ROW()-$C$72))"),"")</f>
        <v/>
      </c>
      <c r="P1691" s="61" t="str">
        <f>IFERROR(__xludf.DUMMYFUNCTION("INDIRECT(""'收支紀錄'!P""&amp;TO_TEXT(ROW()-$C$72))"),"")</f>
        <v/>
      </c>
      <c r="Q1691" s="61" t="str">
        <f>IFERROR(__xludf.DUMMYFUNCTION("INDIRECT(""'收支紀錄'!Q""&amp;TO_TEXT(ROW()-$C$72))"),"")</f>
        <v/>
      </c>
      <c r="R1691" s="61" t="str">
        <f>IFERROR(__xludf.DUMMYFUNCTION("INDIRECT(""'收支紀錄'!R""&amp;TO_TEXT(ROW()-$C$72))"),"")</f>
        <v/>
      </c>
      <c r="S1691" s="61" t="str">
        <f>IFERROR(__xludf.DUMMYFUNCTION("INDIRECT(""'收支紀錄'!S""&amp;TO_TEXT(ROW()-$C$72))"),"")</f>
        <v/>
      </c>
      <c r="T1691" s="61" t="str">
        <f>IFERROR(__xludf.DUMMYFUNCTION("INDIRECT(""'收支紀錄'!T""&amp;TO_TEXT(ROW()-$C$72))"),"")</f>
        <v/>
      </c>
      <c r="U1691" s="62" t="str">
        <f>IFERROR(__xludf.DUMMYFUNCTION("IF(T1691=""是"",TEXTJOIN("""", TRUE, ""$"", TO_TEXT(C1691), S1691),"""")"),"")</f>
        <v/>
      </c>
    </row>
    <row r="1692">
      <c r="A1692" s="58">
        <f>IFERROR(__xludf.DUMMYFUNCTION("INDIRECT(""'收支紀錄'!A""&amp;TO_TEXT(ROW()-$C$72))"),46180.38737778935)</f>
        <v>46180.38738</v>
      </c>
      <c r="B1692" s="59">
        <f>IFERROR(__xludf.DUMMYFUNCTION("IF(ISBLANK(D1692), """", IF(ISDATE(D1692), D1692, IF(D1692=""今天"", A1692, IF(D1692=""昨天 (-1 day)"", A1692-1, IF(D1692=""前天 (-2 days)"", A1692-2, IF(D1692=""明天 (+1 day)"", A1692+1, DATE(LEFT(D1692,4), MID(D1692,5,2), RIGHT(D1692,2))))))))"),46172.0)</f>
        <v>46172</v>
      </c>
      <c r="C1692" s="60">
        <f>IFERROR(__xludf.DUMMYFUNCTION("INDIRECT(""'收支紀錄'!C""&amp;TO_TEXT(ROW()-$C$72))"),400.0)</f>
        <v>400</v>
      </c>
      <c r="D1692" s="63">
        <f>IFERROR(__xludf.DUMMYFUNCTION("INDIRECT(""'收支紀錄'!D""&amp;TO_TEXT(ROW()-$C$72))"),2.026053E7)</f>
        <v>20260530</v>
      </c>
      <c r="E1692" s="61" t="str">
        <f>IFERROR(__xludf.DUMMYFUNCTION("INDIRECT(""'收支紀錄'!E""&amp;TO_TEXT(ROW()-$C$72))"),"")</f>
        <v/>
      </c>
      <c r="F1692" s="61" t="str">
        <f>IFERROR(__xludf.DUMMYFUNCTION("INDIRECT(""'收支紀錄'!F""&amp;TO_TEXT(ROW()-$C$72))"),"")</f>
        <v/>
      </c>
      <c r="G1692" s="61" t="str">
        <f>IFERROR(__xludf.DUMMYFUNCTION("INDIRECT(""'收支紀錄'!G""&amp;TO_TEXT(ROW()-$C$72))"),"")</f>
        <v/>
      </c>
      <c r="H1692" s="61" t="str">
        <f>IFERROR(__xludf.DUMMYFUNCTION("INDIRECT(""'收支紀錄'!H""&amp;TO_TEXT(ROW()-$C$72))"),"行車交通")</f>
        <v>行車交通</v>
      </c>
      <c r="I1692" s="61" t="str">
        <f>IFERROR(__xludf.DUMMYFUNCTION("INDIRECT(""'收支紀錄'!I""&amp;TO_TEXT(ROW()-$C$72))"),"")</f>
        <v/>
      </c>
      <c r="J1692" s="61" t="str">
        <f>IFERROR(__xludf.DUMMYFUNCTION("INDIRECT(""'收支紀錄'!J""&amp;TO_TEXT(ROW()-$C$72))"),"")</f>
        <v/>
      </c>
      <c r="K1692" s="61" t="str">
        <f>IFERROR(__xludf.DUMMYFUNCTION("INDIRECT(""'收支紀錄'!K""&amp;TO_TEXT(ROW()-$C$72))"),"")</f>
        <v/>
      </c>
      <c r="L1692" s="61" t="str">
        <f>IFERROR(__xludf.DUMMYFUNCTION("INDIRECT(""'收支紀錄'!L""&amp;TO_TEXT(ROW()-$C$72))"),"Etag")</f>
        <v>Etag</v>
      </c>
      <c r="M1692" s="61" t="str">
        <f>IFERROR(__xludf.DUMMYFUNCTION("INDIRECT(""'收支紀錄'!M""&amp;TO_TEXT(ROW()-$C$72))"),"")</f>
        <v/>
      </c>
      <c r="N1692" s="61" t="str">
        <f>IFERROR(__xludf.DUMMYFUNCTION("INDIRECT(""'收支紀錄'!N""&amp;TO_TEXT(ROW()-$C$72))"),"")</f>
        <v/>
      </c>
      <c r="O1692" s="61" t="str">
        <f>IFERROR(__xludf.DUMMYFUNCTION("INDIRECT(""'收支紀錄'!O""&amp;TO_TEXT(ROW()-$C$72))"),"")</f>
        <v/>
      </c>
      <c r="P1692" s="61" t="str">
        <f>IFERROR(__xludf.DUMMYFUNCTION("INDIRECT(""'收支紀錄'!P""&amp;TO_TEXT(ROW()-$C$72))"),"")</f>
        <v/>
      </c>
      <c r="Q1692" s="61" t="str">
        <f>IFERROR(__xludf.DUMMYFUNCTION("INDIRECT(""'收支紀錄'!Q""&amp;TO_TEXT(ROW()-$C$72))"),"")</f>
        <v/>
      </c>
      <c r="R1692" s="61" t="str">
        <f>IFERROR(__xludf.DUMMYFUNCTION("INDIRECT(""'收支紀錄'!R""&amp;TO_TEXT(ROW()-$C$72))"),"")</f>
        <v/>
      </c>
      <c r="S1692" s="61" t="str">
        <f>IFERROR(__xludf.DUMMYFUNCTION("INDIRECT(""'收支紀錄'!S""&amp;TO_TEXT(ROW()-$C$72))"),"")</f>
        <v/>
      </c>
      <c r="T1692" s="61" t="str">
        <f>IFERROR(__xludf.DUMMYFUNCTION("INDIRECT(""'收支紀錄'!T""&amp;TO_TEXT(ROW()-$C$72))"),"")</f>
        <v/>
      </c>
      <c r="U1692" s="62" t="str">
        <f>IFERROR(__xludf.DUMMYFUNCTION("IF(T1692=""是"",TEXTJOIN("""", TRUE, ""$"", TO_TEXT(C1692), S1692),"""")"),"")</f>
        <v/>
      </c>
    </row>
    <row r="1693">
      <c r="A1693" s="58">
        <f>IFERROR(__xludf.DUMMYFUNCTION("INDIRECT(""'收支紀錄'!A""&amp;TO_TEXT(ROW()-$C$72))"),46180.388417476854)</f>
        <v>46180.38842</v>
      </c>
      <c r="B1693" s="59">
        <f>IFERROR(__xludf.DUMMYFUNCTION("IF(ISBLANK(D1693), """", IF(ISDATE(D1693), D1693, IF(D1693=""今天"", A1693, IF(D1693=""昨天 (-1 day)"", A1693-1, IF(D1693=""前天 (-2 days)"", A1693-2, IF(D1693=""明天 (+1 day)"", A1693+1, DATE(LEFT(D1693,4), MID(D1693,5,2), RIGHT(D1693,2))))))))"),46172.0)</f>
        <v>46172</v>
      </c>
      <c r="C1693" s="60">
        <f>IFERROR(__xludf.DUMMYFUNCTION("INDIRECT(""'收支紀錄'!C""&amp;TO_TEXT(ROW()-$C$72))"),95804.0)</f>
        <v>95804</v>
      </c>
      <c r="D1693" s="63">
        <f>IFERROR(__xludf.DUMMYFUNCTION("INDIRECT(""'收支紀錄'!D""&amp;TO_TEXT(ROW()-$C$72))"),2.026053E7)</f>
        <v>20260530</v>
      </c>
      <c r="E1693" s="61" t="str">
        <f>IFERROR(__xludf.DUMMYFUNCTION("INDIRECT(""'收支紀錄'!E""&amp;TO_TEXT(ROW()-$C$72))"),"")</f>
        <v/>
      </c>
      <c r="F1693" s="61" t="str">
        <f>IFERROR(__xludf.DUMMYFUNCTION("INDIRECT(""'收支紀錄'!F""&amp;TO_TEXT(ROW()-$C$72))"),"")</f>
        <v/>
      </c>
      <c r="G1693" s="61" t="str">
        <f>IFERROR(__xludf.DUMMYFUNCTION("INDIRECT(""'收支紀錄'!G""&amp;TO_TEXT(ROW()-$C$72))"),"")</f>
        <v/>
      </c>
      <c r="H1693" s="61" t="str">
        <f>IFERROR(__xludf.DUMMYFUNCTION("INDIRECT(""'收支紀錄'!H""&amp;TO_TEXT(ROW()-$C$72))"),"稅金保險")</f>
        <v>稅金保險</v>
      </c>
      <c r="I1693" s="61" t="str">
        <f>IFERROR(__xludf.DUMMYFUNCTION("INDIRECT(""'收支紀錄'!I""&amp;TO_TEXT(ROW()-$C$72))"),"")</f>
        <v/>
      </c>
      <c r="J1693" s="61" t="str">
        <f>IFERROR(__xludf.DUMMYFUNCTION("INDIRECT(""'收支紀錄'!J""&amp;TO_TEXT(ROW()-$C$72))"),"")</f>
        <v/>
      </c>
      <c r="K1693" s="61" t="str">
        <f>IFERROR(__xludf.DUMMYFUNCTION("INDIRECT(""'收支紀錄'!K""&amp;TO_TEXT(ROW()-$C$72))"),"")</f>
        <v/>
      </c>
      <c r="L1693" s="61" t="str">
        <f>IFERROR(__xludf.DUMMYFUNCTION("INDIRECT(""'收支紀錄'!L""&amp;TO_TEXT(ROW()-$C$72))"),"")</f>
        <v/>
      </c>
      <c r="M1693" s="61" t="str">
        <f>IFERROR(__xludf.DUMMYFUNCTION("INDIRECT(""'收支紀錄'!M""&amp;TO_TEXT(ROW()-$C$72))"),"")</f>
        <v/>
      </c>
      <c r="N1693" s="61" t="str">
        <f>IFERROR(__xludf.DUMMYFUNCTION("INDIRECT(""'收支紀錄'!N""&amp;TO_TEXT(ROW()-$C$72))"),"稅金")</f>
        <v>稅金</v>
      </c>
      <c r="O1693" s="61" t="str">
        <f>IFERROR(__xludf.DUMMYFUNCTION("INDIRECT(""'收支紀錄'!O""&amp;TO_TEXT(ROW()-$C$72))"),"")</f>
        <v/>
      </c>
      <c r="P1693" s="61" t="str">
        <f>IFERROR(__xludf.DUMMYFUNCTION("INDIRECT(""'收支紀錄'!P""&amp;TO_TEXT(ROW()-$C$72))"),"")</f>
        <v/>
      </c>
      <c r="Q1693" s="61" t="str">
        <f>IFERROR(__xludf.DUMMYFUNCTION("INDIRECT(""'收支紀錄'!Q""&amp;TO_TEXT(ROW()-$C$72))"),"")</f>
        <v/>
      </c>
      <c r="R1693" s="61" t="str">
        <f>IFERROR(__xludf.DUMMYFUNCTION("INDIRECT(""'收支紀錄'!R""&amp;TO_TEXT(ROW()-$C$72))"),"")</f>
        <v/>
      </c>
      <c r="S1693" s="61" t="str">
        <f>IFERROR(__xludf.DUMMYFUNCTION("INDIRECT(""'收支紀錄'!S""&amp;TO_TEXT(ROW()-$C$72))"),"所得稅")</f>
        <v>所得稅</v>
      </c>
      <c r="T1693" s="61" t="str">
        <f>IFERROR(__xludf.DUMMYFUNCTION("INDIRECT(""'收支紀錄'!T""&amp;TO_TEXT(ROW()-$C$72))"),"是")</f>
        <v>是</v>
      </c>
      <c r="U1693" s="62" t="str">
        <f>IFERROR(__xludf.DUMMYFUNCTION("IF(T1693=""是"",TEXTJOIN("""", TRUE, ""$"", TO_TEXT(C1693), S1693),"""")"),"$95804所得稅")</f>
        <v>$95804所得稅</v>
      </c>
    </row>
    <row r="1694">
      <c r="A1694" s="58">
        <f>IFERROR(__xludf.DUMMYFUNCTION("INDIRECT(""'收支紀錄'!A""&amp;TO_TEXT(ROW()-$C$72))"),46180.408768043984)</f>
        <v>46180.40877</v>
      </c>
      <c r="B1694" s="59">
        <f>IFERROR(__xludf.DUMMYFUNCTION("IF(ISBLANK(D1694), """", IF(ISDATE(D1694), D1694, IF(D1694=""今天"", A1694, IF(D1694=""昨天 (-1 day)"", A1694-1, IF(D1694=""前天 (-2 days)"", A1694-2, IF(D1694=""明天 (+1 day)"", A1694+1, DATE(LEFT(D1694,4), MID(D1694,5,2), RIGHT(D1694,2))))))))"),46172.0)</f>
        <v>46172</v>
      </c>
      <c r="C1694" s="60">
        <f>IFERROR(__xludf.DUMMYFUNCTION("INDIRECT(""'收支紀錄'!C""&amp;TO_TEXT(ROW()-$C$72))"),558.0)</f>
        <v>558</v>
      </c>
      <c r="D1694" s="63">
        <f>IFERROR(__xludf.DUMMYFUNCTION("INDIRECT(""'收支紀錄'!D""&amp;TO_TEXT(ROW()-$C$72))"),2.026053E7)</f>
        <v>20260530</v>
      </c>
      <c r="E1694" s="61" t="str">
        <f>IFERROR(__xludf.DUMMYFUNCTION("INDIRECT(""'收支紀錄'!E""&amp;TO_TEXT(ROW()-$C$72))"),"")</f>
        <v/>
      </c>
      <c r="F1694" s="61" t="str">
        <f>IFERROR(__xludf.DUMMYFUNCTION("INDIRECT(""'收支紀錄'!F""&amp;TO_TEXT(ROW()-$C$72))"),"")</f>
        <v/>
      </c>
      <c r="G1694" s="61" t="str">
        <f>IFERROR(__xludf.DUMMYFUNCTION("INDIRECT(""'收支紀錄'!G""&amp;TO_TEXT(ROW()-$C$72))"),"")</f>
        <v/>
      </c>
      <c r="H1694" s="61" t="str">
        <f>IFERROR(__xludf.DUMMYFUNCTION("INDIRECT(""'收支紀錄'!H""&amp;TO_TEXT(ROW()-$C$72))"),"房屋支出")</f>
        <v>房屋支出</v>
      </c>
      <c r="I1694" s="61" t="str">
        <f>IFERROR(__xludf.DUMMYFUNCTION("INDIRECT(""'收支紀錄'!I""&amp;TO_TEXT(ROW()-$C$72))"),"")</f>
        <v/>
      </c>
      <c r="J1694" s="61" t="str">
        <f>IFERROR(__xludf.DUMMYFUNCTION("INDIRECT(""'收支紀錄'!J""&amp;TO_TEXT(ROW()-$C$72))"),"")</f>
        <v/>
      </c>
      <c r="K1694" s="61" t="str">
        <f>IFERROR(__xludf.DUMMYFUNCTION("INDIRECT(""'收支紀錄'!K""&amp;TO_TEXT(ROW()-$C$72))"),"瓦斯費")</f>
        <v>瓦斯費</v>
      </c>
      <c r="L1694" s="61" t="str">
        <f>IFERROR(__xludf.DUMMYFUNCTION("INDIRECT(""'收支紀錄'!L""&amp;TO_TEXT(ROW()-$C$72))"),"")</f>
        <v/>
      </c>
      <c r="M1694" s="61" t="str">
        <f>IFERROR(__xludf.DUMMYFUNCTION("INDIRECT(""'收支紀錄'!M""&amp;TO_TEXT(ROW()-$C$72))"),"")</f>
        <v/>
      </c>
      <c r="N1694" s="61" t="str">
        <f>IFERROR(__xludf.DUMMYFUNCTION("INDIRECT(""'收支紀錄'!N""&amp;TO_TEXT(ROW()-$C$72))"),"")</f>
        <v/>
      </c>
      <c r="O1694" s="61" t="str">
        <f>IFERROR(__xludf.DUMMYFUNCTION("INDIRECT(""'收支紀錄'!O""&amp;TO_TEXT(ROW()-$C$72))"),"")</f>
        <v/>
      </c>
      <c r="P1694" s="61" t="str">
        <f>IFERROR(__xludf.DUMMYFUNCTION("INDIRECT(""'收支紀錄'!P""&amp;TO_TEXT(ROW()-$C$72))"),"")</f>
        <v/>
      </c>
      <c r="Q1694" s="61" t="str">
        <f>IFERROR(__xludf.DUMMYFUNCTION("INDIRECT(""'收支紀錄'!Q""&amp;TO_TEXT(ROW()-$C$72))"),"")</f>
        <v/>
      </c>
      <c r="R1694" s="61" t="str">
        <f>IFERROR(__xludf.DUMMYFUNCTION("INDIRECT(""'收支紀錄'!R""&amp;TO_TEXT(ROW()-$C$72))"),"")</f>
        <v/>
      </c>
      <c r="S1694" s="61" t="str">
        <f>IFERROR(__xludf.DUMMYFUNCTION("INDIRECT(""'收支紀錄'!S""&amp;TO_TEXT(ROW()-$C$72))"),"")</f>
        <v/>
      </c>
      <c r="T1694" s="61" t="str">
        <f>IFERROR(__xludf.DUMMYFUNCTION("INDIRECT(""'收支紀錄'!T""&amp;TO_TEXT(ROW()-$C$72))"),"")</f>
        <v/>
      </c>
      <c r="U1694" s="62" t="str">
        <f>IFERROR(__xludf.DUMMYFUNCTION("IF(T1694=""是"",TEXTJOIN("""", TRUE, ""$"", TO_TEXT(C1694), S1694),"""")"),"")</f>
        <v/>
      </c>
    </row>
    <row r="1695">
      <c r="A1695" s="58">
        <f>IFERROR(__xludf.DUMMYFUNCTION("INDIRECT(""'收支紀錄'!A""&amp;TO_TEXT(ROW()-$C$72))"),46180.58609402778)</f>
        <v>46180.58609</v>
      </c>
      <c r="B1695" s="59">
        <f>IFERROR(__xludf.DUMMYFUNCTION("IF(ISBLANK(D1695), """", IF(ISDATE(D1695), D1695, IF(D1695=""今天"", A1695, IF(D1695=""昨天 (-1 day)"", A1695-1, IF(D1695=""前天 (-2 days)"", A1695-2, IF(D1695=""明天 (+1 day)"", A1695+1, DATE(LEFT(D1695,4), MID(D1695,5,2), RIGHT(D1695,2))))))))"),46180.58609402778)</f>
        <v>46180.58609</v>
      </c>
      <c r="C1695" s="60">
        <f>IFERROR(__xludf.DUMMYFUNCTION("INDIRECT(""'收支紀錄'!C""&amp;TO_TEXT(ROW()-$C$72))"),279.0)</f>
        <v>279</v>
      </c>
      <c r="D1695" s="63" t="str">
        <f>IFERROR(__xludf.DUMMYFUNCTION("INDIRECT(""'收支紀錄'!D""&amp;TO_TEXT(ROW()-$C$72))"),"今天")</f>
        <v>今天</v>
      </c>
      <c r="E1695" s="61" t="str">
        <f>IFERROR(__xludf.DUMMYFUNCTION("INDIRECT(""'收支紀錄'!E""&amp;TO_TEXT(ROW()-$C$72))"),"")</f>
        <v/>
      </c>
      <c r="F1695" s="61" t="str">
        <f>IFERROR(__xludf.DUMMYFUNCTION("INDIRECT(""'收支紀錄'!F""&amp;TO_TEXT(ROW()-$C$72))"),"")</f>
        <v/>
      </c>
      <c r="G1695" s="61" t="str">
        <f>IFERROR(__xludf.DUMMYFUNCTION("INDIRECT(""'收支紀錄'!G""&amp;TO_TEXT(ROW()-$C$72))"),"")</f>
        <v/>
      </c>
      <c r="H1695" s="61" t="str">
        <f>IFERROR(__xludf.DUMMYFUNCTION("INDIRECT(""'收支紀錄'!H""&amp;TO_TEXT(ROW()-$C$72))"),"日常生活")</f>
        <v>日常生活</v>
      </c>
      <c r="I1695" s="61" t="str">
        <f>IFERROR(__xludf.DUMMYFUNCTION("INDIRECT(""'收支紀錄'!I""&amp;TO_TEXT(ROW()-$C$72))"),"")</f>
        <v/>
      </c>
      <c r="J1695" s="61" t="str">
        <f>IFERROR(__xludf.DUMMYFUNCTION("INDIRECT(""'收支紀錄'!J""&amp;TO_TEXT(ROW()-$C$72))"),"日常用品")</f>
        <v>日常用品</v>
      </c>
      <c r="K1695" s="61" t="str">
        <f>IFERROR(__xludf.DUMMYFUNCTION("INDIRECT(""'收支紀錄'!K""&amp;TO_TEXT(ROW()-$C$72))"),"")</f>
        <v/>
      </c>
      <c r="L1695" s="61" t="str">
        <f>IFERROR(__xludf.DUMMYFUNCTION("INDIRECT(""'收支紀錄'!L""&amp;TO_TEXT(ROW()-$C$72))"),"")</f>
        <v/>
      </c>
      <c r="M1695" s="61" t="str">
        <f>IFERROR(__xludf.DUMMYFUNCTION("INDIRECT(""'收支紀錄'!M""&amp;TO_TEXT(ROW()-$C$72))"),"")</f>
        <v/>
      </c>
      <c r="N1695" s="61" t="str">
        <f>IFERROR(__xludf.DUMMYFUNCTION("INDIRECT(""'收支紀錄'!N""&amp;TO_TEXT(ROW()-$C$72))"),"")</f>
        <v/>
      </c>
      <c r="O1695" s="61" t="str">
        <f>IFERROR(__xludf.DUMMYFUNCTION("INDIRECT(""'收支紀錄'!O""&amp;TO_TEXT(ROW()-$C$72))"),"")</f>
        <v/>
      </c>
      <c r="P1695" s="61" t="str">
        <f>IFERROR(__xludf.DUMMYFUNCTION("INDIRECT(""'收支紀錄'!P""&amp;TO_TEXT(ROW()-$C$72))"),"")</f>
        <v/>
      </c>
      <c r="Q1695" s="61" t="str">
        <f>IFERROR(__xludf.DUMMYFUNCTION("INDIRECT(""'收支紀錄'!Q""&amp;TO_TEXT(ROW()-$C$72))"),"")</f>
        <v/>
      </c>
      <c r="R1695" s="61" t="str">
        <f>IFERROR(__xludf.DUMMYFUNCTION("INDIRECT(""'收支紀錄'!R""&amp;TO_TEXT(ROW()-$C$72))"),"")</f>
        <v/>
      </c>
      <c r="S1695" s="61" t="str">
        <f>IFERROR(__xludf.DUMMYFUNCTION("INDIRECT(""'收支紀錄'!S""&amp;TO_TEXT(ROW()-$C$72))"),"")</f>
        <v/>
      </c>
      <c r="T1695" s="61" t="str">
        <f>IFERROR(__xludf.DUMMYFUNCTION("INDIRECT(""'收支紀錄'!T""&amp;TO_TEXT(ROW()-$C$72))"),"")</f>
        <v/>
      </c>
      <c r="U1695" s="62" t="str">
        <f>IFERROR(__xludf.DUMMYFUNCTION("IF(T1695=""是"",TEXTJOIN("""", TRUE, ""$"", TO_TEXT(C1695), S1695),"""")"),"")</f>
        <v/>
      </c>
    </row>
    <row r="1696">
      <c r="A1696" s="58">
        <f>IFERROR(__xludf.DUMMYFUNCTION("INDIRECT(""'收支紀錄'!A""&amp;TO_TEXT(ROW()-$C$72))"),46180.947727719904)</f>
        <v>46180.94773</v>
      </c>
      <c r="B1696" s="59">
        <f>IFERROR(__xludf.DUMMYFUNCTION("IF(ISBLANK(D1696), """", IF(ISDATE(D1696), D1696, IF(D1696=""今天"", A1696, IF(D1696=""昨天 (-1 day)"", A1696-1, IF(D1696=""前天 (-2 days)"", A1696-2, IF(D1696=""明天 (+1 day)"", A1696+1, DATE(LEFT(D1696,4), MID(D1696,5,2), RIGHT(D1696,2))))))))"),46180.947727719904)</f>
        <v>46180.94773</v>
      </c>
      <c r="C1696" s="60">
        <f>IFERROR(__xludf.DUMMYFUNCTION("INDIRECT(""'收支紀錄'!C""&amp;TO_TEXT(ROW()-$C$72))"),877.0)</f>
        <v>877</v>
      </c>
      <c r="D1696" s="63" t="str">
        <f>IFERROR(__xludf.DUMMYFUNCTION("INDIRECT(""'收支紀錄'!D""&amp;TO_TEXT(ROW()-$C$72))"),"今天")</f>
        <v>今天</v>
      </c>
      <c r="E1696" s="61" t="str">
        <f>IFERROR(__xludf.DUMMYFUNCTION("INDIRECT(""'收支紀錄'!E""&amp;TO_TEXT(ROW()-$C$72))"),"")</f>
        <v/>
      </c>
      <c r="F1696" s="61" t="str">
        <f>IFERROR(__xludf.DUMMYFUNCTION("INDIRECT(""'收支紀錄'!F""&amp;TO_TEXT(ROW()-$C$72))"),"")</f>
        <v/>
      </c>
      <c r="G1696" s="61" t="str">
        <f>IFERROR(__xludf.DUMMYFUNCTION("INDIRECT(""'收支紀錄'!G""&amp;TO_TEXT(ROW()-$C$72))"),"")</f>
        <v/>
      </c>
      <c r="H1696" s="61" t="str">
        <f>IFERROR(__xludf.DUMMYFUNCTION("INDIRECT(""'收支紀錄'!H""&amp;TO_TEXT(ROW()-$C$72))"),"行車交通")</f>
        <v>行車交通</v>
      </c>
      <c r="I1696" s="61" t="str">
        <f>IFERROR(__xludf.DUMMYFUNCTION("INDIRECT(""'收支紀錄'!I""&amp;TO_TEXT(ROW()-$C$72))"),"")</f>
        <v/>
      </c>
      <c r="J1696" s="61" t="str">
        <f>IFERROR(__xludf.DUMMYFUNCTION("INDIRECT(""'收支紀錄'!J""&amp;TO_TEXT(ROW()-$C$72))"),"")</f>
        <v/>
      </c>
      <c r="K1696" s="61" t="str">
        <f>IFERROR(__xludf.DUMMYFUNCTION("INDIRECT(""'收支紀錄'!K""&amp;TO_TEXT(ROW()-$C$72))"),"")</f>
        <v/>
      </c>
      <c r="L1696" s="61" t="str">
        <f>IFERROR(__xludf.DUMMYFUNCTION("INDIRECT(""'收支紀錄'!L""&amp;TO_TEXT(ROW()-$C$72))"),"加油")</f>
        <v>加油</v>
      </c>
      <c r="M1696" s="61" t="str">
        <f>IFERROR(__xludf.DUMMYFUNCTION("INDIRECT(""'收支紀錄'!M""&amp;TO_TEXT(ROW()-$C$72))"),"")</f>
        <v/>
      </c>
      <c r="N1696" s="61" t="str">
        <f>IFERROR(__xludf.DUMMYFUNCTION("INDIRECT(""'收支紀錄'!N""&amp;TO_TEXT(ROW()-$C$72))"),"")</f>
        <v/>
      </c>
      <c r="O1696" s="61" t="str">
        <f>IFERROR(__xludf.DUMMYFUNCTION("INDIRECT(""'收支紀錄'!O""&amp;TO_TEXT(ROW()-$C$72))"),"")</f>
        <v/>
      </c>
      <c r="P1696" s="61" t="str">
        <f>IFERROR(__xludf.DUMMYFUNCTION("INDIRECT(""'收支紀錄'!P""&amp;TO_TEXT(ROW()-$C$72))"),"")</f>
        <v/>
      </c>
      <c r="Q1696" s="61" t="str">
        <f>IFERROR(__xludf.DUMMYFUNCTION("INDIRECT(""'收支紀錄'!Q""&amp;TO_TEXT(ROW()-$C$72))"),"")</f>
        <v/>
      </c>
      <c r="R1696" s="61" t="str">
        <f>IFERROR(__xludf.DUMMYFUNCTION("INDIRECT(""'收支紀錄'!R""&amp;TO_TEXT(ROW()-$C$72))"),"")</f>
        <v/>
      </c>
      <c r="S1696" s="61" t="str">
        <f>IFERROR(__xludf.DUMMYFUNCTION("INDIRECT(""'收支紀錄'!S""&amp;TO_TEXT(ROW()-$C$72))"),"")</f>
        <v/>
      </c>
      <c r="T1696" s="61" t="str">
        <f>IFERROR(__xludf.DUMMYFUNCTION("INDIRECT(""'收支紀錄'!T""&amp;TO_TEXT(ROW()-$C$72))"),"")</f>
        <v/>
      </c>
      <c r="U1696" s="62" t="str">
        <f>IFERROR(__xludf.DUMMYFUNCTION("IF(T1696=""是"",TEXTJOIN("""", TRUE, ""$"", TO_TEXT(C1696), S1696),"""")"),"")</f>
        <v/>
      </c>
    </row>
    <row r="1697">
      <c r="A1697" s="58">
        <f>IFERROR(__xludf.DUMMYFUNCTION("INDIRECT(""'收支紀錄'!A""&amp;TO_TEXT(ROW()-$C$72))"),46188.04381206019)</f>
        <v>46188.04381</v>
      </c>
      <c r="B1697" s="59">
        <f>IFERROR(__xludf.DUMMYFUNCTION("IF(ISBLANK(D1697), """", IF(ISDATE(D1697), D1697, IF(D1697=""今天"", A1697, IF(D1697=""昨天 (-1 day)"", A1697-1, IF(D1697=""前天 (-2 days)"", A1697-2, IF(D1697=""明天 (+1 day)"", A1697+1, DATE(LEFT(D1697,4), MID(D1697,5,2), RIGHT(D1697,2))))))))"),46188.04381206019)</f>
        <v>46188.04381</v>
      </c>
      <c r="C1697" s="60">
        <f>IFERROR(__xludf.DUMMYFUNCTION("INDIRECT(""'收支紀錄'!C""&amp;TO_TEXT(ROW()-$C$72))"),690.0)</f>
        <v>690</v>
      </c>
      <c r="D1697" s="63" t="str">
        <f>IFERROR(__xludf.DUMMYFUNCTION("INDIRECT(""'收支紀錄'!D""&amp;TO_TEXT(ROW()-$C$72))"),"今天")</f>
        <v>今天</v>
      </c>
      <c r="E1697" s="61" t="str">
        <f>IFERROR(__xludf.DUMMYFUNCTION("INDIRECT(""'收支紀錄'!E""&amp;TO_TEXT(ROW()-$C$72))"),"")</f>
        <v/>
      </c>
      <c r="F1697" s="61" t="str">
        <f>IFERROR(__xludf.DUMMYFUNCTION("INDIRECT(""'收支紀錄'!F""&amp;TO_TEXT(ROW()-$C$72))"),"")</f>
        <v/>
      </c>
      <c r="G1697" s="61" t="str">
        <f>IFERROR(__xludf.DUMMYFUNCTION("INDIRECT(""'收支紀錄'!G""&amp;TO_TEXT(ROW()-$C$72))"),"")</f>
        <v/>
      </c>
      <c r="H1697" s="61" t="str">
        <f>IFERROR(__xludf.DUMMYFUNCTION("INDIRECT(""'收支紀錄'!H""&amp;TO_TEXT(ROW()-$C$72))"),"進修學習")</f>
        <v>進修學習</v>
      </c>
      <c r="I1697" s="61" t="str">
        <f>IFERROR(__xludf.DUMMYFUNCTION("INDIRECT(""'收支紀錄'!I""&amp;TO_TEXT(ROW()-$C$72))"),"")</f>
        <v/>
      </c>
      <c r="J1697" s="61" t="str">
        <f>IFERROR(__xludf.DUMMYFUNCTION("INDIRECT(""'收支紀錄'!J""&amp;TO_TEXT(ROW()-$C$72))"),"")</f>
        <v/>
      </c>
      <c r="K1697" s="61" t="str">
        <f>IFERROR(__xludf.DUMMYFUNCTION("INDIRECT(""'收支紀錄'!K""&amp;TO_TEXT(ROW()-$C$72))"),"")</f>
        <v/>
      </c>
      <c r="L1697" s="61" t="str">
        <f>IFERROR(__xludf.DUMMYFUNCTION("INDIRECT(""'收支紀錄'!L""&amp;TO_TEXT(ROW()-$C$72))"),"")</f>
        <v/>
      </c>
      <c r="M1697" s="61" t="str">
        <f>IFERROR(__xludf.DUMMYFUNCTION("INDIRECT(""'收支紀錄'!M""&amp;TO_TEXT(ROW()-$C$72))"),"")</f>
        <v/>
      </c>
      <c r="N1697" s="61" t="str">
        <f>IFERROR(__xludf.DUMMYFUNCTION("INDIRECT(""'收支紀錄'!N""&amp;TO_TEXT(ROW()-$C$72))"),"")</f>
        <v/>
      </c>
      <c r="O1697" s="61" t="str">
        <f>IFERROR(__xludf.DUMMYFUNCTION("INDIRECT(""'收支紀錄'!O""&amp;TO_TEXT(ROW()-$C$72))"),"")</f>
        <v/>
      </c>
      <c r="P1697" s="61" t="str">
        <f>IFERROR(__xludf.DUMMYFUNCTION("INDIRECT(""'收支紀錄'!P""&amp;TO_TEXT(ROW()-$C$72))"),"書報雜誌")</f>
        <v>書報雜誌</v>
      </c>
      <c r="Q1697" s="61" t="str">
        <f>IFERROR(__xludf.DUMMYFUNCTION("INDIRECT(""'收支紀錄'!Q""&amp;TO_TEXT(ROW()-$C$72))"),"")</f>
        <v/>
      </c>
      <c r="R1697" s="61" t="str">
        <f>IFERROR(__xludf.DUMMYFUNCTION("INDIRECT(""'收支紀錄'!R""&amp;TO_TEXT(ROW()-$C$72))"),"")</f>
        <v/>
      </c>
      <c r="S1697" s="61" t="str">
        <f>IFERROR(__xludf.DUMMYFUNCTION("INDIRECT(""'收支紀錄'!S""&amp;TO_TEXT(ROW()-$C$72))"),"")</f>
        <v/>
      </c>
      <c r="T1697" s="61" t="str">
        <f>IFERROR(__xludf.DUMMYFUNCTION("INDIRECT(""'收支紀錄'!T""&amp;TO_TEXT(ROW()-$C$72))"),"")</f>
        <v/>
      </c>
      <c r="U1697" s="62" t="str">
        <f>IFERROR(__xludf.DUMMYFUNCTION("IF(T1697=""是"",TEXTJOIN("""", TRUE, ""$"", TO_TEXT(C1697), S1697),"""")"),"")</f>
        <v/>
      </c>
    </row>
    <row r="1698">
      <c r="A1698" s="58">
        <f>IFERROR(__xludf.DUMMYFUNCTION("INDIRECT(""'收支紀錄'!A""&amp;TO_TEXT(ROW()-$C$72))"),46188.047423842596)</f>
        <v>46188.04742</v>
      </c>
      <c r="B1698" s="59">
        <f>IFERROR(__xludf.DUMMYFUNCTION("IF(ISBLANK(D1698), """", IF(ISDATE(D1698), D1698, IF(D1698=""今天"", A1698, IF(D1698=""昨天 (-1 day)"", A1698-1, IF(D1698=""前天 (-2 days)"", A1698-2, IF(D1698=""明天 (+1 day)"", A1698+1, DATE(LEFT(D1698,4), MID(D1698,5,2), RIGHT(D1698,2))))))))"),46187.047423842596)</f>
        <v>46187.04742</v>
      </c>
      <c r="C1698" s="60">
        <f>IFERROR(__xludf.DUMMYFUNCTION("INDIRECT(""'收支紀錄'!C""&amp;TO_TEXT(ROW()-$C$72))"),1077.0)</f>
        <v>1077</v>
      </c>
      <c r="D1698" s="63" t="str">
        <f>IFERROR(__xludf.DUMMYFUNCTION("INDIRECT(""'收支紀錄'!D""&amp;TO_TEXT(ROW()-$C$72))"),"昨天 (-1 day)")</f>
        <v>昨天 (-1 day)</v>
      </c>
      <c r="E1698" s="61" t="str">
        <f>IFERROR(__xludf.DUMMYFUNCTION("INDIRECT(""'收支紀錄'!E""&amp;TO_TEXT(ROW()-$C$72))"),"")</f>
        <v/>
      </c>
      <c r="F1698" s="61" t="str">
        <f>IFERROR(__xludf.DUMMYFUNCTION("INDIRECT(""'收支紀錄'!F""&amp;TO_TEXT(ROW()-$C$72))"),"")</f>
        <v/>
      </c>
      <c r="G1698" s="61" t="str">
        <f>IFERROR(__xludf.DUMMYFUNCTION("INDIRECT(""'收支紀錄'!G""&amp;TO_TEXT(ROW()-$C$72))"),"")</f>
        <v/>
      </c>
      <c r="H1698" s="61" t="str">
        <f>IFERROR(__xludf.DUMMYFUNCTION("INDIRECT(""'收支紀錄'!H""&amp;TO_TEXT(ROW()-$C$72))"),"行車交通")</f>
        <v>行車交通</v>
      </c>
      <c r="I1698" s="61" t="str">
        <f>IFERROR(__xludf.DUMMYFUNCTION("INDIRECT(""'收支紀錄'!I""&amp;TO_TEXT(ROW()-$C$72))"),"")</f>
        <v/>
      </c>
      <c r="J1698" s="61" t="str">
        <f>IFERROR(__xludf.DUMMYFUNCTION("INDIRECT(""'收支紀錄'!J""&amp;TO_TEXT(ROW()-$C$72))"),"")</f>
        <v/>
      </c>
      <c r="K1698" s="61" t="str">
        <f>IFERROR(__xludf.DUMMYFUNCTION("INDIRECT(""'收支紀錄'!K""&amp;TO_TEXT(ROW()-$C$72))"),"")</f>
        <v/>
      </c>
      <c r="L1698" s="61" t="str">
        <f>IFERROR(__xludf.DUMMYFUNCTION("INDIRECT(""'收支紀錄'!L""&amp;TO_TEXT(ROW()-$C$72))"),"加油")</f>
        <v>加油</v>
      </c>
      <c r="M1698" s="61" t="str">
        <f>IFERROR(__xludf.DUMMYFUNCTION("INDIRECT(""'收支紀錄'!M""&amp;TO_TEXT(ROW()-$C$72))"),"")</f>
        <v/>
      </c>
      <c r="N1698" s="61" t="str">
        <f>IFERROR(__xludf.DUMMYFUNCTION("INDIRECT(""'收支紀錄'!N""&amp;TO_TEXT(ROW()-$C$72))"),"")</f>
        <v/>
      </c>
      <c r="O1698" s="61" t="str">
        <f>IFERROR(__xludf.DUMMYFUNCTION("INDIRECT(""'收支紀錄'!O""&amp;TO_TEXT(ROW()-$C$72))"),"")</f>
        <v/>
      </c>
      <c r="P1698" s="61" t="str">
        <f>IFERROR(__xludf.DUMMYFUNCTION("INDIRECT(""'收支紀錄'!P""&amp;TO_TEXT(ROW()-$C$72))"),"")</f>
        <v/>
      </c>
      <c r="Q1698" s="61" t="str">
        <f>IFERROR(__xludf.DUMMYFUNCTION("INDIRECT(""'收支紀錄'!Q""&amp;TO_TEXT(ROW()-$C$72))"),"")</f>
        <v/>
      </c>
      <c r="R1698" s="61" t="str">
        <f>IFERROR(__xludf.DUMMYFUNCTION("INDIRECT(""'收支紀錄'!R""&amp;TO_TEXT(ROW()-$C$72))"),"")</f>
        <v/>
      </c>
      <c r="S1698" s="61" t="str">
        <f>IFERROR(__xludf.DUMMYFUNCTION("INDIRECT(""'收支紀錄'!S""&amp;TO_TEXT(ROW()-$C$72))"),"")</f>
        <v/>
      </c>
      <c r="T1698" s="61" t="str">
        <f>IFERROR(__xludf.DUMMYFUNCTION("INDIRECT(""'收支紀錄'!T""&amp;TO_TEXT(ROW()-$C$72))"),"")</f>
        <v/>
      </c>
      <c r="U1698" s="62" t="str">
        <f>IFERROR(__xludf.DUMMYFUNCTION("IF(T1698=""是"",TEXTJOIN("""", TRUE, ""$"", TO_TEXT(C1698), S1698),"""")"),"")</f>
        <v/>
      </c>
    </row>
    <row r="1699">
      <c r="A1699" s="58">
        <f>IFERROR(__xludf.DUMMYFUNCTION("INDIRECT(""'收支紀錄'!A""&amp;TO_TEXT(ROW()-$C$72))"),46188.04760738426)</f>
        <v>46188.04761</v>
      </c>
      <c r="B1699" s="59">
        <f>IFERROR(__xludf.DUMMYFUNCTION("IF(ISBLANK(D1699), """", IF(ISDATE(D1699), D1699, IF(D1699=""今天"", A1699, IF(D1699=""昨天 (-1 day)"", A1699-1, IF(D1699=""前天 (-2 days)"", A1699-2, IF(D1699=""明天 (+1 day)"", A1699+1, DATE(LEFT(D1699,4), MID(D1699,5,2), RIGHT(D1699,2))))))))"),46187.04760738426)</f>
        <v>46187.04761</v>
      </c>
      <c r="C1699" s="60">
        <f>IFERROR(__xludf.DUMMYFUNCTION("INDIRECT(""'收支紀錄'!C""&amp;TO_TEXT(ROW()-$C$72))"),843.0)</f>
        <v>843</v>
      </c>
      <c r="D1699" s="63" t="str">
        <f>IFERROR(__xludf.DUMMYFUNCTION("INDIRECT(""'收支紀錄'!D""&amp;TO_TEXT(ROW()-$C$72))"),"昨天 (-1 day)")</f>
        <v>昨天 (-1 day)</v>
      </c>
      <c r="E1699" s="61" t="str">
        <f>IFERROR(__xludf.DUMMYFUNCTION("INDIRECT(""'收支紀錄'!E""&amp;TO_TEXT(ROW()-$C$72))"),"")</f>
        <v/>
      </c>
      <c r="F1699" s="61" t="str">
        <f>IFERROR(__xludf.DUMMYFUNCTION("INDIRECT(""'收支紀錄'!F""&amp;TO_TEXT(ROW()-$C$72))"),"")</f>
        <v/>
      </c>
      <c r="G1699" s="61" t="str">
        <f>IFERROR(__xludf.DUMMYFUNCTION("INDIRECT(""'收支紀錄'!G""&amp;TO_TEXT(ROW()-$C$72))"),"")</f>
        <v/>
      </c>
      <c r="H1699" s="61" t="str">
        <f>IFERROR(__xludf.DUMMYFUNCTION("INDIRECT(""'收支紀錄'!H""&amp;TO_TEXT(ROW()-$C$72))"),"食品酒水")</f>
        <v>食品酒水</v>
      </c>
      <c r="I1699" s="61" t="str">
        <f>IFERROR(__xludf.DUMMYFUNCTION("INDIRECT(""'收支紀錄'!I""&amp;TO_TEXT(ROW()-$C$72))"),"食材")</f>
        <v>食材</v>
      </c>
      <c r="J1699" s="61" t="str">
        <f>IFERROR(__xludf.DUMMYFUNCTION("INDIRECT(""'收支紀錄'!J""&amp;TO_TEXT(ROW()-$C$72))"),"")</f>
        <v/>
      </c>
      <c r="K1699" s="61" t="str">
        <f>IFERROR(__xludf.DUMMYFUNCTION("INDIRECT(""'收支紀錄'!K""&amp;TO_TEXT(ROW()-$C$72))"),"")</f>
        <v/>
      </c>
      <c r="L1699" s="61" t="str">
        <f>IFERROR(__xludf.DUMMYFUNCTION("INDIRECT(""'收支紀錄'!L""&amp;TO_TEXT(ROW()-$C$72))"),"")</f>
        <v/>
      </c>
      <c r="M1699" s="61" t="str">
        <f>IFERROR(__xludf.DUMMYFUNCTION("INDIRECT(""'收支紀錄'!M""&amp;TO_TEXT(ROW()-$C$72))"),"")</f>
        <v/>
      </c>
      <c r="N1699" s="61" t="str">
        <f>IFERROR(__xludf.DUMMYFUNCTION("INDIRECT(""'收支紀錄'!N""&amp;TO_TEXT(ROW()-$C$72))"),"")</f>
        <v/>
      </c>
      <c r="O1699" s="61" t="str">
        <f>IFERROR(__xludf.DUMMYFUNCTION("INDIRECT(""'收支紀錄'!O""&amp;TO_TEXT(ROW()-$C$72))"),"")</f>
        <v/>
      </c>
      <c r="P1699" s="61" t="str">
        <f>IFERROR(__xludf.DUMMYFUNCTION("INDIRECT(""'收支紀錄'!P""&amp;TO_TEXT(ROW()-$C$72))"),"")</f>
        <v/>
      </c>
      <c r="Q1699" s="61" t="str">
        <f>IFERROR(__xludf.DUMMYFUNCTION("INDIRECT(""'收支紀錄'!Q""&amp;TO_TEXT(ROW()-$C$72))"),"")</f>
        <v/>
      </c>
      <c r="R1699" s="61" t="str">
        <f>IFERROR(__xludf.DUMMYFUNCTION("INDIRECT(""'收支紀錄'!R""&amp;TO_TEXT(ROW()-$C$72))"),"")</f>
        <v/>
      </c>
      <c r="S1699" s="61" t="str">
        <f>IFERROR(__xludf.DUMMYFUNCTION("INDIRECT(""'收支紀錄'!S""&amp;TO_TEXT(ROW()-$C$72))"),"")</f>
        <v/>
      </c>
      <c r="T1699" s="61" t="str">
        <f>IFERROR(__xludf.DUMMYFUNCTION("INDIRECT(""'收支紀錄'!T""&amp;TO_TEXT(ROW()-$C$72))"),"")</f>
        <v/>
      </c>
      <c r="U1699" s="62" t="str">
        <f>IFERROR(__xludf.DUMMYFUNCTION("IF(T1699=""是"",TEXTJOIN("""", TRUE, ""$"", TO_TEXT(C1699), S1699),"""")"),"")</f>
        <v/>
      </c>
    </row>
    <row r="1700">
      <c r="A1700" s="58">
        <f>IFERROR(__xludf.DUMMYFUNCTION("INDIRECT(""'收支紀錄'!A""&amp;TO_TEXT(ROW()-$C$72))"),46188.0479302662)</f>
        <v>46188.04793</v>
      </c>
      <c r="B1700" s="59">
        <f>IFERROR(__xludf.DUMMYFUNCTION("IF(ISBLANK(D1700), """", IF(ISDATE(D1700), D1700, IF(D1700=""今天"", A1700, IF(D1700=""昨天 (-1 day)"", A1700-1, IF(D1700=""前天 (-2 days)"", A1700-2, IF(D1700=""明天 (+1 day)"", A1700+1, DATE(LEFT(D1700,4), MID(D1700,5,2), RIGHT(D1700,2))))))))"),46187.0479302662)</f>
        <v>46187.04793</v>
      </c>
      <c r="C1700" s="60">
        <f>IFERROR(__xludf.DUMMYFUNCTION("INDIRECT(""'收支紀錄'!C""&amp;TO_TEXT(ROW()-$C$72))"),1798.0)</f>
        <v>1798</v>
      </c>
      <c r="D1700" s="63" t="str">
        <f>IFERROR(__xludf.DUMMYFUNCTION("INDIRECT(""'收支紀錄'!D""&amp;TO_TEXT(ROW()-$C$72))"),"昨天 (-1 day)")</f>
        <v>昨天 (-1 day)</v>
      </c>
      <c r="E1700" s="61" t="str">
        <f>IFERROR(__xludf.DUMMYFUNCTION("INDIRECT(""'收支紀錄'!E""&amp;TO_TEXT(ROW()-$C$72))"),"")</f>
        <v/>
      </c>
      <c r="F1700" s="61" t="str">
        <f>IFERROR(__xludf.DUMMYFUNCTION("INDIRECT(""'收支紀錄'!F""&amp;TO_TEXT(ROW()-$C$72))"),"")</f>
        <v/>
      </c>
      <c r="G1700" s="61" t="str">
        <f>IFERROR(__xludf.DUMMYFUNCTION("INDIRECT(""'收支紀錄'!G""&amp;TO_TEXT(ROW()-$C$72))"),"")</f>
        <v/>
      </c>
      <c r="H1700" s="61" t="str">
        <f>IFERROR(__xludf.DUMMYFUNCTION("INDIRECT(""'收支紀錄'!H""&amp;TO_TEXT(ROW()-$C$72))"),"食品酒水")</f>
        <v>食品酒水</v>
      </c>
      <c r="I1700" s="61" t="str">
        <f>IFERROR(__xludf.DUMMYFUNCTION("INDIRECT(""'收支紀錄'!I""&amp;TO_TEXT(ROW()-$C$72))"),"食材")</f>
        <v>食材</v>
      </c>
      <c r="J1700" s="61" t="str">
        <f>IFERROR(__xludf.DUMMYFUNCTION("INDIRECT(""'收支紀錄'!J""&amp;TO_TEXT(ROW()-$C$72))"),"")</f>
        <v/>
      </c>
      <c r="K1700" s="61" t="str">
        <f>IFERROR(__xludf.DUMMYFUNCTION("INDIRECT(""'收支紀錄'!K""&amp;TO_TEXT(ROW()-$C$72))"),"")</f>
        <v/>
      </c>
      <c r="L1700" s="61" t="str">
        <f>IFERROR(__xludf.DUMMYFUNCTION("INDIRECT(""'收支紀錄'!L""&amp;TO_TEXT(ROW()-$C$72))"),"")</f>
        <v/>
      </c>
      <c r="M1700" s="61" t="str">
        <f>IFERROR(__xludf.DUMMYFUNCTION("INDIRECT(""'收支紀錄'!M""&amp;TO_TEXT(ROW()-$C$72))"),"")</f>
        <v/>
      </c>
      <c r="N1700" s="61" t="str">
        <f>IFERROR(__xludf.DUMMYFUNCTION("INDIRECT(""'收支紀錄'!N""&amp;TO_TEXT(ROW()-$C$72))"),"")</f>
        <v/>
      </c>
      <c r="O1700" s="61" t="str">
        <f>IFERROR(__xludf.DUMMYFUNCTION("INDIRECT(""'收支紀錄'!O""&amp;TO_TEXT(ROW()-$C$72))"),"")</f>
        <v/>
      </c>
      <c r="P1700" s="61" t="str">
        <f>IFERROR(__xludf.DUMMYFUNCTION("INDIRECT(""'收支紀錄'!P""&amp;TO_TEXT(ROW()-$C$72))"),"")</f>
        <v/>
      </c>
      <c r="Q1700" s="61" t="str">
        <f>IFERROR(__xludf.DUMMYFUNCTION("INDIRECT(""'收支紀錄'!Q""&amp;TO_TEXT(ROW()-$C$72))"),"")</f>
        <v/>
      </c>
      <c r="R1700" s="61" t="str">
        <f>IFERROR(__xludf.DUMMYFUNCTION("INDIRECT(""'收支紀錄'!R""&amp;TO_TEXT(ROW()-$C$72))"),"")</f>
        <v/>
      </c>
      <c r="S1700" s="61" t="str">
        <f>IFERROR(__xludf.DUMMYFUNCTION("INDIRECT(""'收支紀錄'!S""&amp;TO_TEXT(ROW()-$C$72))"),"")</f>
        <v/>
      </c>
      <c r="T1700" s="61" t="str">
        <f>IFERROR(__xludf.DUMMYFUNCTION("INDIRECT(""'收支紀錄'!T""&amp;TO_TEXT(ROW()-$C$72))"),"")</f>
        <v/>
      </c>
      <c r="U1700" s="62" t="str">
        <f>IFERROR(__xludf.DUMMYFUNCTION("IF(T1700=""是"",TEXTJOIN("""", TRUE, ""$"", TO_TEXT(C1700), S1700),"""")"),"")</f>
        <v/>
      </c>
    </row>
    <row r="1701">
      <c r="A1701" s="58">
        <f>IFERROR(__xludf.DUMMYFUNCTION("INDIRECT(""'收支紀錄'!A""&amp;TO_TEXT(ROW()-$C$72))"),46189.34452377315)</f>
        <v>46189.34452</v>
      </c>
      <c r="B1701" s="59">
        <f>IFERROR(__xludf.DUMMYFUNCTION("IF(ISBLANK(D1701), """", IF(ISDATE(D1701), D1701, IF(D1701=""今天"", A1701, IF(D1701=""昨天 (-1 day)"", A1701-1, IF(D1701=""前天 (-2 days)"", A1701-2, IF(D1701=""明天 (+1 day)"", A1701+1, DATE(LEFT(D1701,4), MID(D1701,5,2), RIGHT(D1701,2))))))))"),46188.34452377315)</f>
        <v>46188.34452</v>
      </c>
      <c r="C1701" s="60">
        <f>IFERROR(__xludf.DUMMYFUNCTION("INDIRECT(""'收支紀錄'!C""&amp;TO_TEXT(ROW()-$C$72))"),60.0)</f>
        <v>60</v>
      </c>
      <c r="D1701" s="63" t="str">
        <f>IFERROR(__xludf.DUMMYFUNCTION("INDIRECT(""'收支紀錄'!D""&amp;TO_TEXT(ROW()-$C$72))"),"昨天 (-1 day)")</f>
        <v>昨天 (-1 day)</v>
      </c>
      <c r="E1701" s="61" t="str">
        <f>IFERROR(__xludf.DUMMYFUNCTION("INDIRECT(""'收支紀錄'!E""&amp;TO_TEXT(ROW()-$C$72))"),"")</f>
        <v/>
      </c>
      <c r="F1701" s="61" t="str">
        <f>IFERROR(__xludf.DUMMYFUNCTION("INDIRECT(""'收支紀錄'!F""&amp;TO_TEXT(ROW()-$C$72))"),"")</f>
        <v/>
      </c>
      <c r="G1701" s="61" t="str">
        <f>IFERROR(__xludf.DUMMYFUNCTION("INDIRECT(""'收支紀錄'!G""&amp;TO_TEXT(ROW()-$C$72))"),"")</f>
        <v/>
      </c>
      <c r="H1701" s="61" t="str">
        <f>IFERROR(__xludf.DUMMYFUNCTION("INDIRECT(""'收支紀錄'!H""&amp;TO_TEXT(ROW()-$C$72))"),"日常生活")</f>
        <v>日常生活</v>
      </c>
      <c r="I1701" s="61" t="str">
        <f>IFERROR(__xludf.DUMMYFUNCTION("INDIRECT(""'收支紀錄'!I""&amp;TO_TEXT(ROW()-$C$72))"),"")</f>
        <v/>
      </c>
      <c r="J1701" s="61" t="str">
        <f>IFERROR(__xludf.DUMMYFUNCTION("INDIRECT(""'收支紀錄'!J""&amp;TO_TEXT(ROW()-$C$72))"),"日常用品")</f>
        <v>日常用品</v>
      </c>
      <c r="K1701" s="61" t="str">
        <f>IFERROR(__xludf.DUMMYFUNCTION("INDIRECT(""'收支紀錄'!K""&amp;TO_TEXT(ROW()-$C$72))"),"")</f>
        <v/>
      </c>
      <c r="L1701" s="61" t="str">
        <f>IFERROR(__xludf.DUMMYFUNCTION("INDIRECT(""'收支紀錄'!L""&amp;TO_TEXT(ROW()-$C$72))"),"")</f>
        <v/>
      </c>
      <c r="M1701" s="61" t="str">
        <f>IFERROR(__xludf.DUMMYFUNCTION("INDIRECT(""'收支紀錄'!M""&amp;TO_TEXT(ROW()-$C$72))"),"")</f>
        <v/>
      </c>
      <c r="N1701" s="61" t="str">
        <f>IFERROR(__xludf.DUMMYFUNCTION("INDIRECT(""'收支紀錄'!N""&amp;TO_TEXT(ROW()-$C$72))"),"")</f>
        <v/>
      </c>
      <c r="O1701" s="61" t="str">
        <f>IFERROR(__xludf.DUMMYFUNCTION("INDIRECT(""'收支紀錄'!O""&amp;TO_TEXT(ROW()-$C$72))"),"")</f>
        <v/>
      </c>
      <c r="P1701" s="61" t="str">
        <f>IFERROR(__xludf.DUMMYFUNCTION("INDIRECT(""'收支紀錄'!P""&amp;TO_TEXT(ROW()-$C$72))"),"")</f>
        <v/>
      </c>
      <c r="Q1701" s="61" t="str">
        <f>IFERROR(__xludf.DUMMYFUNCTION("INDIRECT(""'收支紀錄'!Q""&amp;TO_TEXT(ROW()-$C$72))"),"")</f>
        <v/>
      </c>
      <c r="R1701" s="61" t="str">
        <f>IFERROR(__xludf.DUMMYFUNCTION("INDIRECT(""'收支紀錄'!R""&amp;TO_TEXT(ROW()-$C$72))"),"")</f>
        <v/>
      </c>
      <c r="S1701" s="61" t="str">
        <f>IFERROR(__xludf.DUMMYFUNCTION("INDIRECT(""'收支紀錄'!S""&amp;TO_TEXT(ROW()-$C$72))"),"")</f>
        <v/>
      </c>
      <c r="T1701" s="61" t="str">
        <f>IFERROR(__xludf.DUMMYFUNCTION("INDIRECT(""'收支紀錄'!T""&amp;TO_TEXT(ROW()-$C$72))"),"")</f>
        <v/>
      </c>
      <c r="U1701" s="62" t="str">
        <f>IFERROR(__xludf.DUMMYFUNCTION("IF(T1701=""是"",TEXTJOIN("""", TRUE, ""$"", TO_TEXT(C1701), S1701),"""")"),"")</f>
        <v/>
      </c>
    </row>
    <row r="1702">
      <c r="A1702" s="58">
        <f>IFERROR(__xludf.DUMMYFUNCTION("INDIRECT(""'收支紀錄'!A""&amp;TO_TEXT(ROW()-$C$72))"),46192.846481458335)</f>
        <v>46192.84648</v>
      </c>
      <c r="B1702" s="59">
        <f>IFERROR(__xludf.DUMMYFUNCTION("IF(ISBLANK(D1702), """", IF(ISDATE(D1702), D1702, IF(D1702=""今天"", A1702, IF(D1702=""昨天 (-1 day)"", A1702-1, IF(D1702=""前天 (-2 days)"", A1702-2, IF(D1702=""明天 (+1 day)"", A1702+1, DATE(LEFT(D1702,4), MID(D1702,5,2), RIGHT(D1702,2))))))))"),46192.846481458335)</f>
        <v>46192.84648</v>
      </c>
      <c r="C1702" s="60">
        <f>IFERROR(__xludf.DUMMYFUNCTION("INDIRECT(""'收支紀錄'!C""&amp;TO_TEXT(ROW()-$C$72))"),182.0)</f>
        <v>182</v>
      </c>
      <c r="D1702" s="63" t="str">
        <f>IFERROR(__xludf.DUMMYFUNCTION("INDIRECT(""'收支紀錄'!D""&amp;TO_TEXT(ROW()-$C$72))"),"今天")</f>
        <v>今天</v>
      </c>
      <c r="E1702" s="61" t="str">
        <f>IFERROR(__xludf.DUMMYFUNCTION("INDIRECT(""'收支紀錄'!E""&amp;TO_TEXT(ROW()-$C$72))"),"")</f>
        <v/>
      </c>
      <c r="F1702" s="61" t="str">
        <f>IFERROR(__xludf.DUMMYFUNCTION("INDIRECT(""'收支紀錄'!F""&amp;TO_TEXT(ROW()-$C$72))"),"")</f>
        <v/>
      </c>
      <c r="G1702" s="61" t="str">
        <f>IFERROR(__xludf.DUMMYFUNCTION("INDIRECT(""'收支紀錄'!G""&amp;TO_TEXT(ROW()-$C$72))"),"")</f>
        <v/>
      </c>
      <c r="H1702" s="61" t="str">
        <f>IFERROR(__xludf.DUMMYFUNCTION("INDIRECT(""'收支紀錄'!H""&amp;TO_TEXT(ROW()-$C$72))"),"行車交通")</f>
        <v>行車交通</v>
      </c>
      <c r="I1702" s="61" t="str">
        <f>IFERROR(__xludf.DUMMYFUNCTION("INDIRECT(""'收支紀錄'!I""&amp;TO_TEXT(ROW()-$C$72))"),"")</f>
        <v/>
      </c>
      <c r="J1702" s="61" t="str">
        <f>IFERROR(__xludf.DUMMYFUNCTION("INDIRECT(""'收支紀錄'!J""&amp;TO_TEXT(ROW()-$C$72))"),"")</f>
        <v/>
      </c>
      <c r="K1702" s="61" t="str">
        <f>IFERROR(__xludf.DUMMYFUNCTION("INDIRECT(""'收支紀錄'!K""&amp;TO_TEXT(ROW()-$C$72))"),"")</f>
        <v/>
      </c>
      <c r="L1702" s="61" t="str">
        <f>IFERROR(__xludf.DUMMYFUNCTION("INDIRECT(""'收支紀錄'!L""&amp;TO_TEXT(ROW()-$C$72))"),"加油")</f>
        <v>加油</v>
      </c>
      <c r="M1702" s="61" t="str">
        <f>IFERROR(__xludf.DUMMYFUNCTION("INDIRECT(""'收支紀錄'!M""&amp;TO_TEXT(ROW()-$C$72))"),"")</f>
        <v/>
      </c>
      <c r="N1702" s="61" t="str">
        <f>IFERROR(__xludf.DUMMYFUNCTION("INDIRECT(""'收支紀錄'!N""&amp;TO_TEXT(ROW()-$C$72))"),"")</f>
        <v/>
      </c>
      <c r="O1702" s="61" t="str">
        <f>IFERROR(__xludf.DUMMYFUNCTION("INDIRECT(""'收支紀錄'!O""&amp;TO_TEXT(ROW()-$C$72))"),"")</f>
        <v/>
      </c>
      <c r="P1702" s="61" t="str">
        <f>IFERROR(__xludf.DUMMYFUNCTION("INDIRECT(""'收支紀錄'!P""&amp;TO_TEXT(ROW()-$C$72))"),"")</f>
        <v/>
      </c>
      <c r="Q1702" s="61" t="str">
        <f>IFERROR(__xludf.DUMMYFUNCTION("INDIRECT(""'收支紀錄'!Q""&amp;TO_TEXT(ROW()-$C$72))"),"")</f>
        <v/>
      </c>
      <c r="R1702" s="61" t="str">
        <f>IFERROR(__xludf.DUMMYFUNCTION("INDIRECT(""'收支紀錄'!R""&amp;TO_TEXT(ROW()-$C$72))"),"")</f>
        <v/>
      </c>
      <c r="S1702" s="61" t="str">
        <f>IFERROR(__xludf.DUMMYFUNCTION("INDIRECT(""'收支紀錄'!S""&amp;TO_TEXT(ROW()-$C$72))"),"")</f>
        <v/>
      </c>
      <c r="T1702" s="61" t="str">
        <f>IFERROR(__xludf.DUMMYFUNCTION("INDIRECT(""'收支紀錄'!T""&amp;TO_TEXT(ROW()-$C$72))"),"")</f>
        <v/>
      </c>
      <c r="U1702" s="62" t="str">
        <f>IFERROR(__xludf.DUMMYFUNCTION("IF(T1702=""是"",TEXTJOIN("""", TRUE, ""$"", TO_TEXT(C1702), S1702),"""")"),"")</f>
        <v/>
      </c>
    </row>
    <row r="1703">
      <c r="A1703" s="58">
        <f>IFERROR(__xludf.DUMMYFUNCTION("INDIRECT(""'收支紀錄'!A""&amp;TO_TEXT(ROW()-$C$72))"),46192.84661771991)</f>
        <v>46192.84662</v>
      </c>
      <c r="B1703" s="59">
        <f>IFERROR(__xludf.DUMMYFUNCTION("IF(ISBLANK(D1703), """", IF(ISDATE(D1703), D1703, IF(D1703=""今天"", A1703, IF(D1703=""昨天 (-1 day)"", A1703-1, IF(D1703=""前天 (-2 days)"", A1703-2, IF(D1703=""明天 (+1 day)"", A1703+1, DATE(LEFT(D1703,4), MID(D1703,5,2), RIGHT(D1703,2))))))))"),46191.84661771991)</f>
        <v>46191.84662</v>
      </c>
      <c r="C1703" s="60">
        <f>IFERROR(__xludf.DUMMYFUNCTION("INDIRECT(""'收支紀錄'!C""&amp;TO_TEXT(ROW()-$C$72))"),115.0)</f>
        <v>115</v>
      </c>
      <c r="D1703" s="63" t="str">
        <f>IFERROR(__xludf.DUMMYFUNCTION("INDIRECT(""'收支紀錄'!D""&amp;TO_TEXT(ROW()-$C$72))"),"昨天 (-1 day)")</f>
        <v>昨天 (-1 day)</v>
      </c>
      <c r="E1703" s="61" t="str">
        <f>IFERROR(__xludf.DUMMYFUNCTION("INDIRECT(""'收支紀錄'!E""&amp;TO_TEXT(ROW()-$C$72))"),"")</f>
        <v/>
      </c>
      <c r="F1703" s="61" t="str">
        <f>IFERROR(__xludf.DUMMYFUNCTION("INDIRECT(""'收支紀錄'!F""&amp;TO_TEXT(ROW()-$C$72))"),"")</f>
        <v/>
      </c>
      <c r="G1703" s="61" t="str">
        <f>IFERROR(__xludf.DUMMYFUNCTION("INDIRECT(""'收支紀錄'!G""&amp;TO_TEXT(ROW()-$C$72))"),"")</f>
        <v/>
      </c>
      <c r="H1703" s="61" t="str">
        <f>IFERROR(__xludf.DUMMYFUNCTION("INDIRECT(""'收支紀錄'!H""&amp;TO_TEXT(ROW()-$C$72))"),"食品酒水")</f>
        <v>食品酒水</v>
      </c>
      <c r="I1703" s="61" t="str">
        <f>IFERROR(__xludf.DUMMYFUNCTION("INDIRECT(""'收支紀錄'!I""&amp;TO_TEXT(ROW()-$C$72))"),"晚餐")</f>
        <v>晚餐</v>
      </c>
      <c r="J1703" s="61" t="str">
        <f>IFERROR(__xludf.DUMMYFUNCTION("INDIRECT(""'收支紀錄'!J""&amp;TO_TEXT(ROW()-$C$72))"),"")</f>
        <v/>
      </c>
      <c r="K1703" s="61" t="str">
        <f>IFERROR(__xludf.DUMMYFUNCTION("INDIRECT(""'收支紀錄'!K""&amp;TO_TEXT(ROW()-$C$72))"),"")</f>
        <v/>
      </c>
      <c r="L1703" s="61" t="str">
        <f>IFERROR(__xludf.DUMMYFUNCTION("INDIRECT(""'收支紀錄'!L""&amp;TO_TEXT(ROW()-$C$72))"),"")</f>
        <v/>
      </c>
      <c r="M1703" s="61" t="str">
        <f>IFERROR(__xludf.DUMMYFUNCTION("INDIRECT(""'收支紀錄'!M""&amp;TO_TEXT(ROW()-$C$72))"),"")</f>
        <v/>
      </c>
      <c r="N1703" s="61" t="str">
        <f>IFERROR(__xludf.DUMMYFUNCTION("INDIRECT(""'收支紀錄'!N""&amp;TO_TEXT(ROW()-$C$72))"),"")</f>
        <v/>
      </c>
      <c r="O1703" s="61" t="str">
        <f>IFERROR(__xludf.DUMMYFUNCTION("INDIRECT(""'收支紀錄'!O""&amp;TO_TEXT(ROW()-$C$72))"),"")</f>
        <v/>
      </c>
      <c r="P1703" s="61" t="str">
        <f>IFERROR(__xludf.DUMMYFUNCTION("INDIRECT(""'收支紀錄'!P""&amp;TO_TEXT(ROW()-$C$72))"),"")</f>
        <v/>
      </c>
      <c r="Q1703" s="61" t="str">
        <f>IFERROR(__xludf.DUMMYFUNCTION("INDIRECT(""'收支紀錄'!Q""&amp;TO_TEXT(ROW()-$C$72))"),"")</f>
        <v/>
      </c>
      <c r="R1703" s="61" t="str">
        <f>IFERROR(__xludf.DUMMYFUNCTION("INDIRECT(""'收支紀錄'!R""&amp;TO_TEXT(ROW()-$C$72))"),"")</f>
        <v/>
      </c>
      <c r="S1703" s="61" t="str">
        <f>IFERROR(__xludf.DUMMYFUNCTION("INDIRECT(""'收支紀錄'!S""&amp;TO_TEXT(ROW()-$C$72))"),"")</f>
        <v/>
      </c>
      <c r="T1703" s="61" t="str">
        <f>IFERROR(__xludf.DUMMYFUNCTION("INDIRECT(""'收支紀錄'!T""&amp;TO_TEXT(ROW()-$C$72))"),"")</f>
        <v/>
      </c>
      <c r="U1703" s="62" t="str">
        <f>IFERROR(__xludf.DUMMYFUNCTION("IF(T1703=""是"",TEXTJOIN("""", TRUE, ""$"", TO_TEXT(C1703), S1703),"""")"),"")</f>
        <v/>
      </c>
    </row>
    <row r="1704">
      <c r="A1704" s="58">
        <f>IFERROR(__xludf.DUMMYFUNCTION("INDIRECT(""'收支紀錄'!A""&amp;TO_TEXT(ROW()-$C$72))"),46194.15050582176)</f>
        <v>46194.15051</v>
      </c>
      <c r="B1704" s="59">
        <f>IFERROR(__xludf.DUMMYFUNCTION("IF(ISBLANK(D1704), """", IF(ISDATE(D1704), D1704, IF(D1704=""今天"", A1704, IF(D1704=""昨天 (-1 day)"", A1704-1, IF(D1704=""前天 (-2 days)"", A1704-2, IF(D1704=""明天 (+1 day)"", A1704+1, DATE(LEFT(D1704,4), MID(D1704,5,2), RIGHT(D1704,2))))))))"),46194.15050582176)</f>
        <v>46194.15051</v>
      </c>
      <c r="C1704" s="60">
        <f>IFERROR(__xludf.DUMMYFUNCTION("INDIRECT(""'收支紀錄'!C""&amp;TO_TEXT(ROW()-$C$72))"),650.0)</f>
        <v>650</v>
      </c>
      <c r="D1704" s="63" t="str">
        <f>IFERROR(__xludf.DUMMYFUNCTION("INDIRECT(""'收支紀錄'!D""&amp;TO_TEXT(ROW()-$C$72))"),"今天")</f>
        <v>今天</v>
      </c>
      <c r="E1704" s="61" t="str">
        <f>IFERROR(__xludf.DUMMYFUNCTION("INDIRECT(""'收支紀錄'!E""&amp;TO_TEXT(ROW()-$C$72))"),"")</f>
        <v/>
      </c>
      <c r="F1704" s="61" t="str">
        <f>IFERROR(__xludf.DUMMYFUNCTION("INDIRECT(""'收支紀錄'!F""&amp;TO_TEXT(ROW()-$C$72))"),"")</f>
        <v/>
      </c>
      <c r="G1704" s="61" t="str">
        <f>IFERROR(__xludf.DUMMYFUNCTION("INDIRECT(""'收支紀錄'!G""&amp;TO_TEXT(ROW()-$C$72))"),"")</f>
        <v/>
      </c>
      <c r="H1704" s="61" t="str">
        <f>IFERROR(__xludf.DUMMYFUNCTION("INDIRECT(""'收支紀錄'!H""&amp;TO_TEXT(ROW()-$C$72))"),"食品酒水")</f>
        <v>食品酒水</v>
      </c>
      <c r="I1704" s="61" t="str">
        <f>IFERROR(__xludf.DUMMYFUNCTION("INDIRECT(""'收支紀錄'!I""&amp;TO_TEXT(ROW()-$C$72))"),"飲料酒水")</f>
        <v>飲料酒水</v>
      </c>
      <c r="J1704" s="61" t="str">
        <f>IFERROR(__xludf.DUMMYFUNCTION("INDIRECT(""'收支紀錄'!J""&amp;TO_TEXT(ROW()-$C$72))"),"")</f>
        <v/>
      </c>
      <c r="K1704" s="61" t="str">
        <f>IFERROR(__xludf.DUMMYFUNCTION("INDIRECT(""'收支紀錄'!K""&amp;TO_TEXT(ROW()-$C$72))"),"")</f>
        <v/>
      </c>
      <c r="L1704" s="61" t="str">
        <f>IFERROR(__xludf.DUMMYFUNCTION("INDIRECT(""'收支紀錄'!L""&amp;TO_TEXT(ROW()-$C$72))"),"")</f>
        <v/>
      </c>
      <c r="M1704" s="61" t="str">
        <f>IFERROR(__xludf.DUMMYFUNCTION("INDIRECT(""'收支紀錄'!M""&amp;TO_TEXT(ROW()-$C$72))"),"")</f>
        <v/>
      </c>
      <c r="N1704" s="61" t="str">
        <f>IFERROR(__xludf.DUMMYFUNCTION("INDIRECT(""'收支紀錄'!N""&amp;TO_TEXT(ROW()-$C$72))"),"")</f>
        <v/>
      </c>
      <c r="O1704" s="61" t="str">
        <f>IFERROR(__xludf.DUMMYFUNCTION("INDIRECT(""'收支紀錄'!O""&amp;TO_TEXT(ROW()-$C$72))"),"")</f>
        <v/>
      </c>
      <c r="P1704" s="61" t="str">
        <f>IFERROR(__xludf.DUMMYFUNCTION("INDIRECT(""'收支紀錄'!P""&amp;TO_TEXT(ROW()-$C$72))"),"")</f>
        <v/>
      </c>
      <c r="Q1704" s="61" t="str">
        <f>IFERROR(__xludf.DUMMYFUNCTION("INDIRECT(""'收支紀錄'!Q""&amp;TO_TEXT(ROW()-$C$72))"),"")</f>
        <v/>
      </c>
      <c r="R1704" s="61" t="str">
        <f>IFERROR(__xludf.DUMMYFUNCTION("INDIRECT(""'收支紀錄'!R""&amp;TO_TEXT(ROW()-$C$72))"),"")</f>
        <v/>
      </c>
      <c r="S1704" s="61" t="str">
        <f>IFERROR(__xludf.DUMMYFUNCTION("INDIRECT(""'收支紀錄'!S""&amp;TO_TEXT(ROW()-$C$72))"),"")</f>
        <v/>
      </c>
      <c r="T1704" s="61" t="str">
        <f>IFERROR(__xludf.DUMMYFUNCTION("INDIRECT(""'收支紀錄'!T""&amp;TO_TEXT(ROW()-$C$72))"),"")</f>
        <v/>
      </c>
      <c r="U1704" s="62" t="str">
        <f>IFERROR(__xludf.DUMMYFUNCTION("IF(T1704=""是"",TEXTJOIN("""", TRUE, ""$"", TO_TEXT(C1704), S1704),"""")"),"")</f>
        <v/>
      </c>
    </row>
    <row r="1705">
      <c r="A1705" s="58">
        <f>IFERROR(__xludf.DUMMYFUNCTION("INDIRECT(""'收支紀錄'!A""&amp;TO_TEXT(ROW()-$C$72))"),46194.91983644676)</f>
        <v>46194.91984</v>
      </c>
      <c r="B1705" s="59">
        <f>IFERROR(__xludf.DUMMYFUNCTION("IF(ISBLANK(D1705), """", IF(ISDATE(D1705), D1705, IF(D1705=""今天"", A1705, IF(D1705=""昨天 (-1 day)"", A1705-1, IF(D1705=""前天 (-2 days)"", A1705-2, IF(D1705=""明天 (+1 day)"", A1705+1, DATE(LEFT(D1705,4), MID(D1705,5,2), RIGHT(D1705,2))))))))"),46194.91983644676)</f>
        <v>46194.91984</v>
      </c>
      <c r="C1705" s="60">
        <f>IFERROR(__xludf.DUMMYFUNCTION("INDIRECT(""'收支紀錄'!C""&amp;TO_TEXT(ROW()-$C$72))"),150.0)</f>
        <v>150</v>
      </c>
      <c r="D1705" s="63" t="str">
        <f>IFERROR(__xludf.DUMMYFUNCTION("INDIRECT(""'收支紀錄'!D""&amp;TO_TEXT(ROW()-$C$72))"),"今天")</f>
        <v>今天</v>
      </c>
      <c r="E1705" s="61" t="str">
        <f>IFERROR(__xludf.DUMMYFUNCTION("INDIRECT(""'收支紀錄'!E""&amp;TO_TEXT(ROW()-$C$72))"),"")</f>
        <v/>
      </c>
      <c r="F1705" s="61" t="str">
        <f>IFERROR(__xludf.DUMMYFUNCTION("INDIRECT(""'收支紀錄'!F""&amp;TO_TEXT(ROW()-$C$72))"),"")</f>
        <v/>
      </c>
      <c r="G1705" s="61" t="str">
        <f>IFERROR(__xludf.DUMMYFUNCTION("INDIRECT(""'收支紀錄'!G""&amp;TO_TEXT(ROW()-$C$72))"),"")</f>
        <v/>
      </c>
      <c r="H1705" s="61" t="str">
        <f>IFERROR(__xludf.DUMMYFUNCTION("INDIRECT(""'收支紀錄'!H""&amp;TO_TEXT(ROW()-$C$72))"),"食品酒水")</f>
        <v>食品酒水</v>
      </c>
      <c r="I1705" s="61" t="str">
        <f>IFERROR(__xludf.DUMMYFUNCTION("INDIRECT(""'收支紀錄'!I""&amp;TO_TEXT(ROW()-$C$72))"),"宵夜")</f>
        <v>宵夜</v>
      </c>
      <c r="J1705" s="61" t="str">
        <f>IFERROR(__xludf.DUMMYFUNCTION("INDIRECT(""'收支紀錄'!J""&amp;TO_TEXT(ROW()-$C$72))"),"")</f>
        <v/>
      </c>
      <c r="K1705" s="61" t="str">
        <f>IFERROR(__xludf.DUMMYFUNCTION("INDIRECT(""'收支紀錄'!K""&amp;TO_TEXT(ROW()-$C$72))"),"")</f>
        <v/>
      </c>
      <c r="L1705" s="61" t="str">
        <f>IFERROR(__xludf.DUMMYFUNCTION("INDIRECT(""'收支紀錄'!L""&amp;TO_TEXT(ROW()-$C$72))"),"")</f>
        <v/>
      </c>
      <c r="M1705" s="61" t="str">
        <f>IFERROR(__xludf.DUMMYFUNCTION("INDIRECT(""'收支紀錄'!M""&amp;TO_TEXT(ROW()-$C$72))"),"")</f>
        <v/>
      </c>
      <c r="N1705" s="61" t="str">
        <f>IFERROR(__xludf.DUMMYFUNCTION("INDIRECT(""'收支紀錄'!N""&amp;TO_TEXT(ROW()-$C$72))"),"")</f>
        <v/>
      </c>
      <c r="O1705" s="61" t="str">
        <f>IFERROR(__xludf.DUMMYFUNCTION("INDIRECT(""'收支紀錄'!O""&amp;TO_TEXT(ROW()-$C$72))"),"")</f>
        <v/>
      </c>
      <c r="P1705" s="61" t="str">
        <f>IFERROR(__xludf.DUMMYFUNCTION("INDIRECT(""'收支紀錄'!P""&amp;TO_TEXT(ROW()-$C$72))"),"")</f>
        <v/>
      </c>
      <c r="Q1705" s="61" t="str">
        <f>IFERROR(__xludf.DUMMYFUNCTION("INDIRECT(""'收支紀錄'!Q""&amp;TO_TEXT(ROW()-$C$72))"),"")</f>
        <v/>
      </c>
      <c r="R1705" s="61" t="str">
        <f>IFERROR(__xludf.DUMMYFUNCTION("INDIRECT(""'收支紀錄'!R""&amp;TO_TEXT(ROW()-$C$72))"),"")</f>
        <v/>
      </c>
      <c r="S1705" s="61" t="str">
        <f>IFERROR(__xludf.DUMMYFUNCTION("INDIRECT(""'收支紀錄'!S""&amp;TO_TEXT(ROW()-$C$72))"),"")</f>
        <v/>
      </c>
      <c r="T1705" s="61" t="str">
        <f>IFERROR(__xludf.DUMMYFUNCTION("INDIRECT(""'收支紀錄'!T""&amp;TO_TEXT(ROW()-$C$72))"),"")</f>
        <v/>
      </c>
      <c r="U1705" s="62" t="str">
        <f>IFERROR(__xludf.DUMMYFUNCTION("IF(T1705=""是"",TEXTJOIN("""", TRUE, ""$"", TO_TEXT(C1705), S1705),"""")"),"")</f>
        <v/>
      </c>
    </row>
    <row r="1706">
      <c r="A1706" s="58">
        <f>IFERROR(__xludf.DUMMYFUNCTION("INDIRECT(""'收支紀錄'!A""&amp;TO_TEXT(ROW()-$C$72))"),46195.98088754629)</f>
        <v>46195.98089</v>
      </c>
      <c r="B1706" s="59">
        <f>IFERROR(__xludf.DUMMYFUNCTION("IF(ISBLANK(D1706), """", IF(ISDATE(D1706), D1706, IF(D1706=""今天"", A1706, IF(D1706=""昨天 (-1 day)"", A1706-1, IF(D1706=""前天 (-2 days)"", A1706-2, IF(D1706=""明天 (+1 day)"", A1706+1, DATE(LEFT(D1706,4), MID(D1706,5,2), RIGHT(D1706,2))))))))"),46195.98088754629)</f>
        <v>46195.98089</v>
      </c>
      <c r="C1706" s="60">
        <f>IFERROR(__xludf.DUMMYFUNCTION("INDIRECT(""'收支紀錄'!C""&amp;TO_TEXT(ROW()-$C$72))"),3106.0)</f>
        <v>3106</v>
      </c>
      <c r="D1706" s="63" t="str">
        <f>IFERROR(__xludf.DUMMYFUNCTION("INDIRECT(""'收支紀錄'!D""&amp;TO_TEXT(ROW()-$C$72))"),"今天")</f>
        <v>今天</v>
      </c>
      <c r="E1706" s="61" t="str">
        <f>IFERROR(__xludf.DUMMYFUNCTION("INDIRECT(""'收支紀錄'!E""&amp;TO_TEXT(ROW()-$C$72))"),"")</f>
        <v/>
      </c>
      <c r="F1706" s="61" t="str">
        <f>IFERROR(__xludf.DUMMYFUNCTION("INDIRECT(""'收支紀錄'!F""&amp;TO_TEXT(ROW()-$C$72))"),"")</f>
        <v/>
      </c>
      <c r="G1706" s="61" t="str">
        <f>IFERROR(__xludf.DUMMYFUNCTION("INDIRECT(""'收支紀錄'!G""&amp;TO_TEXT(ROW()-$C$72))"),"")</f>
        <v/>
      </c>
      <c r="H1706" s="61" t="str">
        <f>IFERROR(__xludf.DUMMYFUNCTION("INDIRECT(""'收支紀錄'!H""&amp;TO_TEXT(ROW()-$C$72))"),"食品酒水")</f>
        <v>食品酒水</v>
      </c>
      <c r="I1706" s="61" t="str">
        <f>IFERROR(__xludf.DUMMYFUNCTION("INDIRECT(""'收支紀錄'!I""&amp;TO_TEXT(ROW()-$C$72))"),"晚餐")</f>
        <v>晚餐</v>
      </c>
      <c r="J1706" s="61" t="str">
        <f>IFERROR(__xludf.DUMMYFUNCTION("INDIRECT(""'收支紀錄'!J""&amp;TO_TEXT(ROW()-$C$72))"),"")</f>
        <v/>
      </c>
      <c r="K1706" s="61" t="str">
        <f>IFERROR(__xludf.DUMMYFUNCTION("INDIRECT(""'收支紀錄'!K""&amp;TO_TEXT(ROW()-$C$72))"),"")</f>
        <v/>
      </c>
      <c r="L1706" s="61" t="str">
        <f>IFERROR(__xludf.DUMMYFUNCTION("INDIRECT(""'收支紀錄'!L""&amp;TO_TEXT(ROW()-$C$72))"),"")</f>
        <v/>
      </c>
      <c r="M1706" s="61" t="str">
        <f>IFERROR(__xludf.DUMMYFUNCTION("INDIRECT(""'收支紀錄'!M""&amp;TO_TEXT(ROW()-$C$72))"),"")</f>
        <v/>
      </c>
      <c r="N1706" s="61" t="str">
        <f>IFERROR(__xludf.DUMMYFUNCTION("INDIRECT(""'收支紀錄'!N""&amp;TO_TEXT(ROW()-$C$72))"),"")</f>
        <v/>
      </c>
      <c r="O1706" s="61" t="str">
        <f>IFERROR(__xludf.DUMMYFUNCTION("INDIRECT(""'收支紀錄'!O""&amp;TO_TEXT(ROW()-$C$72))"),"")</f>
        <v/>
      </c>
      <c r="P1706" s="61" t="str">
        <f>IFERROR(__xludf.DUMMYFUNCTION("INDIRECT(""'收支紀錄'!P""&amp;TO_TEXT(ROW()-$C$72))"),"")</f>
        <v/>
      </c>
      <c r="Q1706" s="61" t="str">
        <f>IFERROR(__xludf.DUMMYFUNCTION("INDIRECT(""'收支紀錄'!Q""&amp;TO_TEXT(ROW()-$C$72))"),"")</f>
        <v/>
      </c>
      <c r="R1706" s="61" t="str">
        <f>IFERROR(__xludf.DUMMYFUNCTION("INDIRECT(""'收支紀錄'!R""&amp;TO_TEXT(ROW()-$C$72))"),"")</f>
        <v/>
      </c>
      <c r="S1706" s="61" t="str">
        <f>IFERROR(__xludf.DUMMYFUNCTION("INDIRECT(""'收支紀錄'!S""&amp;TO_TEXT(ROW()-$C$72))"),"")</f>
        <v/>
      </c>
      <c r="T1706" s="61" t="str">
        <f>IFERROR(__xludf.DUMMYFUNCTION("INDIRECT(""'收支紀錄'!T""&amp;TO_TEXT(ROW()-$C$72))"),"")</f>
        <v/>
      </c>
      <c r="U1706" s="62" t="str">
        <f>IFERROR(__xludf.DUMMYFUNCTION("IF(T1706=""是"",TEXTJOIN("""", TRUE, ""$"", TO_TEXT(C1706), S1706),"""")"),"")</f>
        <v/>
      </c>
    </row>
    <row r="1707">
      <c r="A1707" s="58">
        <f>IFERROR(__xludf.DUMMYFUNCTION("INDIRECT(""'收支紀錄'!A""&amp;TO_TEXT(ROW()-$C$72))"),46195.98128912037)</f>
        <v>46195.98129</v>
      </c>
      <c r="B1707" s="59">
        <f>IFERROR(__xludf.DUMMYFUNCTION("IF(ISBLANK(D1707), """", IF(ISDATE(D1707), D1707, IF(D1707=""今天"", A1707, IF(D1707=""昨天 (-1 day)"", A1707-1, IF(D1707=""前天 (-2 days)"", A1707-2, IF(D1707=""明天 (+1 day)"", A1707+1, DATE(LEFT(D1707,4), MID(D1707,5,2), RIGHT(D1707,2))))))))"),46195.98128912037)</f>
        <v>46195.98129</v>
      </c>
      <c r="C1707" s="60">
        <f>IFERROR(__xludf.DUMMYFUNCTION("INDIRECT(""'收支紀錄'!C""&amp;TO_TEXT(ROW()-$C$72))"),1299.0)</f>
        <v>1299</v>
      </c>
      <c r="D1707" s="63" t="str">
        <f>IFERROR(__xludf.DUMMYFUNCTION("INDIRECT(""'收支紀錄'!D""&amp;TO_TEXT(ROW()-$C$72))"),"今天")</f>
        <v>今天</v>
      </c>
      <c r="E1707" s="61" t="str">
        <f>IFERROR(__xludf.DUMMYFUNCTION("INDIRECT(""'收支紀錄'!E""&amp;TO_TEXT(ROW()-$C$72))"),"")</f>
        <v/>
      </c>
      <c r="F1707" s="61" t="str">
        <f>IFERROR(__xludf.DUMMYFUNCTION("INDIRECT(""'收支紀錄'!F""&amp;TO_TEXT(ROW()-$C$72))"),"")</f>
        <v/>
      </c>
      <c r="G1707" s="61" t="str">
        <f>IFERROR(__xludf.DUMMYFUNCTION("INDIRECT(""'收支紀錄'!G""&amp;TO_TEXT(ROW()-$C$72))"),"")</f>
        <v/>
      </c>
      <c r="H1707" s="61" t="str">
        <f>IFERROR(__xludf.DUMMYFUNCTION("INDIRECT(""'收支紀錄'!H""&amp;TO_TEXT(ROW()-$C$72))"),"人情往來")</f>
        <v>人情往來</v>
      </c>
      <c r="I1707" s="61" t="str">
        <f>IFERROR(__xludf.DUMMYFUNCTION("INDIRECT(""'收支紀錄'!I""&amp;TO_TEXT(ROW()-$C$72))"),"")</f>
        <v/>
      </c>
      <c r="J1707" s="61" t="str">
        <f>IFERROR(__xludf.DUMMYFUNCTION("INDIRECT(""'收支紀錄'!J""&amp;TO_TEXT(ROW()-$C$72))"),"")</f>
        <v/>
      </c>
      <c r="K1707" s="61" t="str">
        <f>IFERROR(__xludf.DUMMYFUNCTION("INDIRECT(""'收支紀錄'!K""&amp;TO_TEXT(ROW()-$C$72))"),"")</f>
        <v/>
      </c>
      <c r="L1707" s="61" t="str">
        <f>IFERROR(__xludf.DUMMYFUNCTION("INDIRECT(""'收支紀錄'!L""&amp;TO_TEXT(ROW()-$C$72))"),"")</f>
        <v/>
      </c>
      <c r="M1707" s="61" t="str">
        <f>IFERROR(__xludf.DUMMYFUNCTION("INDIRECT(""'收支紀錄'!M""&amp;TO_TEXT(ROW()-$C$72))"),"")</f>
        <v/>
      </c>
      <c r="N1707" s="61" t="str">
        <f>IFERROR(__xludf.DUMMYFUNCTION("INDIRECT(""'收支紀錄'!N""&amp;TO_TEXT(ROW()-$C$72))"),"")</f>
        <v/>
      </c>
      <c r="O1707" s="61" t="str">
        <f>IFERROR(__xludf.DUMMYFUNCTION("INDIRECT(""'收支紀錄'!O""&amp;TO_TEXT(ROW()-$C$72))"),"")</f>
        <v/>
      </c>
      <c r="P1707" s="61" t="str">
        <f>IFERROR(__xludf.DUMMYFUNCTION("INDIRECT(""'收支紀錄'!P""&amp;TO_TEXT(ROW()-$C$72))"),"")</f>
        <v/>
      </c>
      <c r="Q1707" s="61" t="str">
        <f>IFERROR(__xludf.DUMMYFUNCTION("INDIRECT(""'收支紀錄'!Q""&amp;TO_TEXT(ROW()-$C$72))"),"送禮請客")</f>
        <v>送禮請客</v>
      </c>
      <c r="R1707" s="61" t="str">
        <f>IFERROR(__xludf.DUMMYFUNCTION("INDIRECT(""'收支紀錄'!R""&amp;TO_TEXT(ROW()-$C$72))"),"")</f>
        <v/>
      </c>
      <c r="S1707" s="61" t="str">
        <f>IFERROR(__xludf.DUMMYFUNCTION("INDIRECT(""'收支紀錄'!S""&amp;TO_TEXT(ROW()-$C$72))"),"尿布")</f>
        <v>尿布</v>
      </c>
      <c r="T1707" s="61" t="str">
        <f>IFERROR(__xludf.DUMMYFUNCTION("INDIRECT(""'收支紀錄'!T""&amp;TO_TEXT(ROW()-$C$72))"),"")</f>
        <v/>
      </c>
      <c r="U1707" s="62" t="str">
        <f>IFERROR(__xludf.DUMMYFUNCTION("IF(T1707=""是"",TEXTJOIN("""", TRUE, ""$"", TO_TEXT(C1707), S1707),"""")"),"")</f>
        <v/>
      </c>
    </row>
    <row r="1708">
      <c r="A1708" s="58">
        <f>IFERROR(__xludf.DUMMYFUNCTION("INDIRECT(""'收支紀錄'!A""&amp;TO_TEXT(ROW()-$C$72))"),46196.85733604166)</f>
        <v>46196.85734</v>
      </c>
      <c r="B1708" s="59">
        <f>IFERROR(__xludf.DUMMYFUNCTION("IF(ISBLANK(D1708), """", IF(ISDATE(D1708), D1708, IF(D1708=""今天"", A1708, IF(D1708=""昨天 (-1 day)"", A1708-1, IF(D1708=""前天 (-2 days)"", A1708-2, IF(D1708=""明天 (+1 day)"", A1708+1, DATE(LEFT(D1708,4), MID(D1708,5,2), RIGHT(D1708,2))))))))"),46193.0)</f>
        <v>46193</v>
      </c>
      <c r="C1708" s="60">
        <f>IFERROR(__xludf.DUMMYFUNCTION("INDIRECT(""'收支紀錄'!C""&amp;TO_TEXT(ROW()-$C$72))"),150.0)</f>
        <v>150</v>
      </c>
      <c r="D1708" s="63">
        <f>IFERROR(__xludf.DUMMYFUNCTION("INDIRECT(""'收支紀錄'!D""&amp;TO_TEXT(ROW()-$C$72))"),2.026062E7)</f>
        <v>20260620</v>
      </c>
      <c r="E1708" s="61" t="str">
        <f>IFERROR(__xludf.DUMMYFUNCTION("INDIRECT(""'收支紀錄'!E""&amp;TO_TEXT(ROW()-$C$72))"),"")</f>
        <v/>
      </c>
      <c r="F1708" s="61" t="str">
        <f>IFERROR(__xludf.DUMMYFUNCTION("INDIRECT(""'收支紀錄'!F""&amp;TO_TEXT(ROW()-$C$72))"),"")</f>
        <v/>
      </c>
      <c r="G1708" s="61" t="str">
        <f>IFERROR(__xludf.DUMMYFUNCTION("INDIRECT(""'收支紀錄'!G""&amp;TO_TEXT(ROW()-$C$72))"),"")</f>
        <v/>
      </c>
      <c r="H1708" s="61" t="str">
        <f>IFERROR(__xludf.DUMMYFUNCTION("INDIRECT(""'收支紀錄'!H""&amp;TO_TEXT(ROW()-$C$72))"),"行車交通")</f>
        <v>行車交通</v>
      </c>
      <c r="I1708" s="61" t="str">
        <f>IFERROR(__xludf.DUMMYFUNCTION("INDIRECT(""'收支紀錄'!I""&amp;TO_TEXT(ROW()-$C$72))"),"")</f>
        <v/>
      </c>
      <c r="J1708" s="61" t="str">
        <f>IFERROR(__xludf.DUMMYFUNCTION("INDIRECT(""'收支紀錄'!J""&amp;TO_TEXT(ROW()-$C$72))"),"")</f>
        <v/>
      </c>
      <c r="K1708" s="61" t="str">
        <f>IFERROR(__xludf.DUMMYFUNCTION("INDIRECT(""'收支紀錄'!K""&amp;TO_TEXT(ROW()-$C$72))"),"")</f>
        <v/>
      </c>
      <c r="L1708" s="61" t="str">
        <f>IFERROR(__xludf.DUMMYFUNCTION("INDIRECT(""'收支紀錄'!L""&amp;TO_TEXT(ROW()-$C$72))"),"計程車/Uber")</f>
        <v>計程車/Uber</v>
      </c>
      <c r="M1708" s="61" t="str">
        <f>IFERROR(__xludf.DUMMYFUNCTION("INDIRECT(""'收支紀錄'!M""&amp;TO_TEXT(ROW()-$C$72))"),"")</f>
        <v/>
      </c>
      <c r="N1708" s="61" t="str">
        <f>IFERROR(__xludf.DUMMYFUNCTION("INDIRECT(""'收支紀錄'!N""&amp;TO_TEXT(ROW()-$C$72))"),"")</f>
        <v/>
      </c>
      <c r="O1708" s="61" t="str">
        <f>IFERROR(__xludf.DUMMYFUNCTION("INDIRECT(""'收支紀錄'!O""&amp;TO_TEXT(ROW()-$C$72))"),"")</f>
        <v/>
      </c>
      <c r="P1708" s="61" t="str">
        <f>IFERROR(__xludf.DUMMYFUNCTION("INDIRECT(""'收支紀錄'!P""&amp;TO_TEXT(ROW()-$C$72))"),"")</f>
        <v/>
      </c>
      <c r="Q1708" s="61" t="str">
        <f>IFERROR(__xludf.DUMMYFUNCTION("INDIRECT(""'收支紀錄'!Q""&amp;TO_TEXT(ROW()-$C$72))"),"")</f>
        <v/>
      </c>
      <c r="R1708" s="61" t="str">
        <f>IFERROR(__xludf.DUMMYFUNCTION("INDIRECT(""'收支紀錄'!R""&amp;TO_TEXT(ROW()-$C$72))"),"")</f>
        <v/>
      </c>
      <c r="S1708" s="61" t="str">
        <f>IFERROR(__xludf.DUMMYFUNCTION("INDIRECT(""'收支紀錄'!S""&amp;TO_TEXT(ROW()-$C$72))"),"")</f>
        <v/>
      </c>
      <c r="T1708" s="61" t="str">
        <f>IFERROR(__xludf.DUMMYFUNCTION("INDIRECT(""'收支紀錄'!T""&amp;TO_TEXT(ROW()-$C$72))"),"")</f>
        <v/>
      </c>
      <c r="U1708" s="62" t="str">
        <f>IFERROR(__xludf.DUMMYFUNCTION("IF(T1708=""是"",TEXTJOIN("""", TRUE, ""$"", TO_TEXT(C1708), S1708),"""")"),"")</f>
        <v/>
      </c>
    </row>
    <row r="1709">
      <c r="A1709" s="58">
        <f>IFERROR(__xludf.DUMMYFUNCTION("INDIRECT(""'收支紀錄'!A""&amp;TO_TEXT(ROW()-$C$72))"),46197.01810623842)</f>
        <v>46197.01811</v>
      </c>
      <c r="B1709" s="59">
        <f>IFERROR(__xludf.DUMMYFUNCTION("IF(ISBLANK(D1709), """", IF(ISDATE(D1709), D1709, IF(D1709=""今天"", A1709, IF(D1709=""昨天 (-1 day)"", A1709-1, IF(D1709=""前天 (-2 days)"", A1709-2, IF(D1709=""明天 (+1 day)"", A1709+1, DATE(LEFT(D1709,4), MID(D1709,5,2), RIGHT(D1709,2))))))))"),46196.01810623842)</f>
        <v>46196.01811</v>
      </c>
      <c r="C1709" s="60">
        <f>IFERROR(__xludf.DUMMYFUNCTION("INDIRECT(""'收支紀錄'!C""&amp;TO_TEXT(ROW()-$C$72))"),300.0)</f>
        <v>300</v>
      </c>
      <c r="D1709" s="63" t="str">
        <f>IFERROR(__xludf.DUMMYFUNCTION("INDIRECT(""'收支紀錄'!D""&amp;TO_TEXT(ROW()-$C$72))"),"昨天 (-1 day)")</f>
        <v>昨天 (-1 day)</v>
      </c>
      <c r="E1709" s="61" t="str">
        <f>IFERROR(__xludf.DUMMYFUNCTION("INDIRECT(""'收支紀錄'!E""&amp;TO_TEXT(ROW()-$C$72))"),"")</f>
        <v/>
      </c>
      <c r="F1709" s="61" t="str">
        <f>IFERROR(__xludf.DUMMYFUNCTION("INDIRECT(""'收支紀錄'!F""&amp;TO_TEXT(ROW()-$C$72))"),"")</f>
        <v/>
      </c>
      <c r="G1709" s="61" t="str">
        <f>IFERROR(__xludf.DUMMYFUNCTION("INDIRECT(""'收支紀錄'!G""&amp;TO_TEXT(ROW()-$C$72))"),"")</f>
        <v/>
      </c>
      <c r="H1709" s="61" t="str">
        <f>IFERROR(__xludf.DUMMYFUNCTION("INDIRECT(""'收支紀錄'!H""&amp;TO_TEXT(ROW()-$C$72))"),"食品酒水")</f>
        <v>食品酒水</v>
      </c>
      <c r="I1709" s="61" t="str">
        <f>IFERROR(__xludf.DUMMYFUNCTION("INDIRECT(""'收支紀錄'!I""&amp;TO_TEXT(ROW()-$C$72))"),"午餐")</f>
        <v>午餐</v>
      </c>
      <c r="J1709" s="61" t="str">
        <f>IFERROR(__xludf.DUMMYFUNCTION("INDIRECT(""'收支紀錄'!J""&amp;TO_TEXT(ROW()-$C$72))"),"")</f>
        <v/>
      </c>
      <c r="K1709" s="61" t="str">
        <f>IFERROR(__xludf.DUMMYFUNCTION("INDIRECT(""'收支紀錄'!K""&amp;TO_TEXT(ROW()-$C$72))"),"")</f>
        <v/>
      </c>
      <c r="L1709" s="61" t="str">
        <f>IFERROR(__xludf.DUMMYFUNCTION("INDIRECT(""'收支紀錄'!L""&amp;TO_TEXT(ROW()-$C$72))"),"")</f>
        <v/>
      </c>
      <c r="M1709" s="61" t="str">
        <f>IFERROR(__xludf.DUMMYFUNCTION("INDIRECT(""'收支紀錄'!M""&amp;TO_TEXT(ROW()-$C$72))"),"")</f>
        <v/>
      </c>
      <c r="N1709" s="61" t="str">
        <f>IFERROR(__xludf.DUMMYFUNCTION("INDIRECT(""'收支紀錄'!N""&amp;TO_TEXT(ROW()-$C$72))"),"")</f>
        <v/>
      </c>
      <c r="O1709" s="61" t="str">
        <f>IFERROR(__xludf.DUMMYFUNCTION("INDIRECT(""'收支紀錄'!O""&amp;TO_TEXT(ROW()-$C$72))"),"")</f>
        <v/>
      </c>
      <c r="P1709" s="61" t="str">
        <f>IFERROR(__xludf.DUMMYFUNCTION("INDIRECT(""'收支紀錄'!P""&amp;TO_TEXT(ROW()-$C$72))"),"")</f>
        <v/>
      </c>
      <c r="Q1709" s="61" t="str">
        <f>IFERROR(__xludf.DUMMYFUNCTION("INDIRECT(""'收支紀錄'!Q""&amp;TO_TEXT(ROW()-$C$72))"),"")</f>
        <v/>
      </c>
      <c r="R1709" s="61" t="str">
        <f>IFERROR(__xludf.DUMMYFUNCTION("INDIRECT(""'收支紀錄'!R""&amp;TO_TEXT(ROW()-$C$72))"),"")</f>
        <v/>
      </c>
      <c r="S1709" s="61" t="str">
        <f>IFERROR(__xludf.DUMMYFUNCTION("INDIRECT(""'收支紀錄'!S""&amp;TO_TEXT(ROW()-$C$72))"),"")</f>
        <v/>
      </c>
      <c r="T1709" s="61" t="str">
        <f>IFERROR(__xludf.DUMMYFUNCTION("INDIRECT(""'收支紀錄'!T""&amp;TO_TEXT(ROW()-$C$72))"),"")</f>
        <v/>
      </c>
      <c r="U1709" s="62" t="str">
        <f>IFERROR(__xludf.DUMMYFUNCTION("IF(T1709=""是"",TEXTJOIN("""", TRUE, ""$"", TO_TEXT(C1709), S1709),"""")"),"")</f>
        <v/>
      </c>
    </row>
    <row r="1710">
      <c r="A1710" s="58">
        <f>IFERROR(__xludf.DUMMYFUNCTION("INDIRECT(""'收支紀錄'!A""&amp;TO_TEXT(ROW()-$C$72))"),46200.27156340278)</f>
        <v>46200.27156</v>
      </c>
      <c r="B1710" s="59">
        <f>IFERROR(__xludf.DUMMYFUNCTION("IF(ISBLANK(D1710), """", IF(ISDATE(D1710), D1710, IF(D1710=""今天"", A1710, IF(D1710=""昨天 (-1 day)"", A1710-1, IF(D1710=""前天 (-2 days)"", A1710-2, IF(D1710=""明天 (+1 day)"", A1710+1, DATE(LEFT(D1710,4), MID(D1710,5,2), RIGHT(D1710,2))))))))"),46199.27156340278)</f>
        <v>46199.27156</v>
      </c>
      <c r="C1710" s="60">
        <f>IFERROR(__xludf.DUMMYFUNCTION("INDIRECT(""'收支紀錄'!C""&amp;TO_TEXT(ROW()-$C$72))"),180.0)</f>
        <v>180</v>
      </c>
      <c r="D1710" s="63" t="str">
        <f>IFERROR(__xludf.DUMMYFUNCTION("INDIRECT(""'收支紀錄'!D""&amp;TO_TEXT(ROW()-$C$72))"),"昨天 (-1 day)")</f>
        <v>昨天 (-1 day)</v>
      </c>
      <c r="E1710" s="61" t="str">
        <f>IFERROR(__xludf.DUMMYFUNCTION("INDIRECT(""'收支紀錄'!E""&amp;TO_TEXT(ROW()-$C$72))"),"")</f>
        <v/>
      </c>
      <c r="F1710" s="61" t="str">
        <f>IFERROR(__xludf.DUMMYFUNCTION("INDIRECT(""'收支紀錄'!F""&amp;TO_TEXT(ROW()-$C$72))"),"")</f>
        <v/>
      </c>
      <c r="G1710" s="61" t="str">
        <f>IFERROR(__xludf.DUMMYFUNCTION("INDIRECT(""'收支紀錄'!G""&amp;TO_TEXT(ROW()-$C$72))"),"")</f>
        <v/>
      </c>
      <c r="H1710" s="61" t="str">
        <f>IFERROR(__xludf.DUMMYFUNCTION("INDIRECT(""'收支紀錄'!H""&amp;TO_TEXT(ROW()-$C$72))"),"休閒娛樂")</f>
        <v>休閒娛樂</v>
      </c>
      <c r="I1710" s="61" t="str">
        <f>IFERROR(__xludf.DUMMYFUNCTION("INDIRECT(""'收支紀錄'!I""&amp;TO_TEXT(ROW()-$C$72))"),"")</f>
        <v/>
      </c>
      <c r="J1710" s="61" t="str">
        <f>IFERROR(__xludf.DUMMYFUNCTION("INDIRECT(""'收支紀錄'!J""&amp;TO_TEXT(ROW()-$C$72))"),"")</f>
        <v/>
      </c>
      <c r="K1710" s="61" t="str">
        <f>IFERROR(__xludf.DUMMYFUNCTION("INDIRECT(""'收支紀錄'!K""&amp;TO_TEXT(ROW()-$C$72))"),"")</f>
        <v/>
      </c>
      <c r="L1710" s="61" t="str">
        <f>IFERROR(__xludf.DUMMYFUNCTION("INDIRECT(""'收支紀錄'!L""&amp;TO_TEXT(ROW()-$C$72))"),"")</f>
        <v/>
      </c>
      <c r="M1710" s="61" t="str">
        <f>IFERROR(__xludf.DUMMYFUNCTION("INDIRECT(""'收支紀錄'!M""&amp;TO_TEXT(ROW()-$C$72))"),"運動健身")</f>
        <v>運動健身</v>
      </c>
      <c r="N1710" s="61" t="str">
        <f>IFERROR(__xludf.DUMMYFUNCTION("INDIRECT(""'收支紀錄'!N""&amp;TO_TEXT(ROW()-$C$72))"),"")</f>
        <v/>
      </c>
      <c r="O1710" s="61" t="str">
        <f>IFERROR(__xludf.DUMMYFUNCTION("INDIRECT(""'收支紀錄'!O""&amp;TO_TEXT(ROW()-$C$72))"),"")</f>
        <v/>
      </c>
      <c r="P1710" s="61" t="str">
        <f>IFERROR(__xludf.DUMMYFUNCTION("INDIRECT(""'收支紀錄'!P""&amp;TO_TEXT(ROW()-$C$72))"),"")</f>
        <v/>
      </c>
      <c r="Q1710" s="61" t="str">
        <f>IFERROR(__xludf.DUMMYFUNCTION("INDIRECT(""'收支紀錄'!Q""&amp;TO_TEXT(ROW()-$C$72))"),"")</f>
        <v/>
      </c>
      <c r="R1710" s="61" t="str">
        <f>IFERROR(__xludf.DUMMYFUNCTION("INDIRECT(""'收支紀錄'!R""&amp;TO_TEXT(ROW()-$C$72))"),"")</f>
        <v/>
      </c>
      <c r="S1710" s="61" t="str">
        <f>IFERROR(__xludf.DUMMYFUNCTION("INDIRECT(""'收支紀錄'!S""&amp;TO_TEXT(ROW()-$C$72))"),"")</f>
        <v/>
      </c>
      <c r="T1710" s="61" t="str">
        <f>IFERROR(__xludf.DUMMYFUNCTION("INDIRECT(""'收支紀錄'!T""&amp;TO_TEXT(ROW()-$C$72))"),"")</f>
        <v/>
      </c>
      <c r="U1710" s="62" t="str">
        <f>IFERROR(__xludf.DUMMYFUNCTION("IF(T1710=""是"",TEXTJOIN("""", TRUE, ""$"", TO_TEXT(C1710), S1710),"""")"),"")</f>
        <v/>
      </c>
    </row>
    <row r="1711">
      <c r="A1711" s="58">
        <f>IFERROR(__xludf.DUMMYFUNCTION("INDIRECT(""'收支紀錄'!A""&amp;TO_TEXT(ROW()-$C$72))"),46200.27175716435)</f>
        <v>46200.27176</v>
      </c>
      <c r="B1711" s="59">
        <f>IFERROR(__xludf.DUMMYFUNCTION("IF(ISBLANK(D1711), """", IF(ISDATE(D1711), D1711, IF(D1711=""今天"", A1711, IF(D1711=""昨天 (-1 day)"", A1711-1, IF(D1711=""前天 (-2 days)"", A1711-2, IF(D1711=""明天 (+1 day)"", A1711+1, DATE(LEFT(D1711,4), MID(D1711,5,2), RIGHT(D1711,2))))))))"),46199.27175716435)</f>
        <v>46199.27176</v>
      </c>
      <c r="C1711" s="60">
        <f>IFERROR(__xludf.DUMMYFUNCTION("INDIRECT(""'收支紀錄'!C""&amp;TO_TEXT(ROW()-$C$72))"),153.0)</f>
        <v>153</v>
      </c>
      <c r="D1711" s="63" t="str">
        <f>IFERROR(__xludf.DUMMYFUNCTION("INDIRECT(""'收支紀錄'!D""&amp;TO_TEXT(ROW()-$C$72))"),"昨天 (-1 day)")</f>
        <v>昨天 (-1 day)</v>
      </c>
      <c r="E1711" s="61" t="str">
        <f>IFERROR(__xludf.DUMMYFUNCTION("INDIRECT(""'收支紀錄'!E""&amp;TO_TEXT(ROW()-$C$72))"),"")</f>
        <v/>
      </c>
      <c r="F1711" s="61" t="str">
        <f>IFERROR(__xludf.DUMMYFUNCTION("INDIRECT(""'收支紀錄'!F""&amp;TO_TEXT(ROW()-$C$72))"),"")</f>
        <v/>
      </c>
      <c r="G1711" s="61" t="str">
        <f>IFERROR(__xludf.DUMMYFUNCTION("INDIRECT(""'收支紀錄'!G""&amp;TO_TEXT(ROW()-$C$72))"),"")</f>
        <v/>
      </c>
      <c r="H1711" s="61" t="str">
        <f>IFERROR(__xludf.DUMMYFUNCTION("INDIRECT(""'收支紀錄'!H""&amp;TO_TEXT(ROW()-$C$72))"),"行車交通")</f>
        <v>行車交通</v>
      </c>
      <c r="I1711" s="61" t="str">
        <f>IFERROR(__xludf.DUMMYFUNCTION("INDIRECT(""'收支紀錄'!I""&amp;TO_TEXT(ROW()-$C$72))"),"")</f>
        <v/>
      </c>
      <c r="J1711" s="61" t="str">
        <f>IFERROR(__xludf.DUMMYFUNCTION("INDIRECT(""'收支紀錄'!J""&amp;TO_TEXT(ROW()-$C$72))"),"")</f>
        <v/>
      </c>
      <c r="K1711" s="61" t="str">
        <f>IFERROR(__xludf.DUMMYFUNCTION("INDIRECT(""'收支紀錄'!K""&amp;TO_TEXT(ROW()-$C$72))"),"")</f>
        <v/>
      </c>
      <c r="L1711" s="61" t="str">
        <f>IFERROR(__xludf.DUMMYFUNCTION("INDIRECT(""'收支紀錄'!L""&amp;TO_TEXT(ROW()-$C$72))"),"火車費")</f>
        <v>火車費</v>
      </c>
      <c r="M1711" s="61" t="str">
        <f>IFERROR(__xludf.DUMMYFUNCTION("INDIRECT(""'收支紀錄'!M""&amp;TO_TEXT(ROW()-$C$72))"),"")</f>
        <v/>
      </c>
      <c r="N1711" s="61" t="str">
        <f>IFERROR(__xludf.DUMMYFUNCTION("INDIRECT(""'收支紀錄'!N""&amp;TO_TEXT(ROW()-$C$72))"),"")</f>
        <v/>
      </c>
      <c r="O1711" s="61" t="str">
        <f>IFERROR(__xludf.DUMMYFUNCTION("INDIRECT(""'收支紀錄'!O""&amp;TO_TEXT(ROW()-$C$72))"),"")</f>
        <v/>
      </c>
      <c r="P1711" s="61" t="str">
        <f>IFERROR(__xludf.DUMMYFUNCTION("INDIRECT(""'收支紀錄'!P""&amp;TO_TEXT(ROW()-$C$72))"),"")</f>
        <v/>
      </c>
      <c r="Q1711" s="61" t="str">
        <f>IFERROR(__xludf.DUMMYFUNCTION("INDIRECT(""'收支紀錄'!Q""&amp;TO_TEXT(ROW()-$C$72))"),"")</f>
        <v/>
      </c>
      <c r="R1711" s="61" t="str">
        <f>IFERROR(__xludf.DUMMYFUNCTION("INDIRECT(""'收支紀錄'!R""&amp;TO_TEXT(ROW()-$C$72))"),"")</f>
        <v/>
      </c>
      <c r="S1711" s="61" t="str">
        <f>IFERROR(__xludf.DUMMYFUNCTION("INDIRECT(""'收支紀錄'!S""&amp;TO_TEXT(ROW()-$C$72))"),"")</f>
        <v/>
      </c>
      <c r="T1711" s="61" t="str">
        <f>IFERROR(__xludf.DUMMYFUNCTION("INDIRECT(""'收支紀錄'!T""&amp;TO_TEXT(ROW()-$C$72))"),"")</f>
        <v/>
      </c>
      <c r="U1711" s="62" t="str">
        <f>IFERROR(__xludf.DUMMYFUNCTION("IF(T1711=""是"",TEXTJOIN("""", TRUE, ""$"", TO_TEXT(C1711), S1711),"""")"),"")</f>
        <v/>
      </c>
    </row>
    <row r="1712">
      <c r="A1712" s="58">
        <f>IFERROR(__xludf.DUMMYFUNCTION("INDIRECT(""'收支紀錄'!A""&amp;TO_TEXT(ROW()-$C$72))"),46201.37828862268)</f>
        <v>46201.37829</v>
      </c>
      <c r="B1712" s="59">
        <f>IFERROR(__xludf.DUMMYFUNCTION("IF(ISBLANK(D1712), """", IF(ISDATE(D1712), D1712, IF(D1712=""今天"", A1712, IF(D1712=""昨天 (-1 day)"", A1712-1, IF(D1712=""前天 (-2 days)"", A1712-2, IF(D1712=""明天 (+1 day)"", A1712+1, DATE(LEFT(D1712,4), MID(D1712,5,2), RIGHT(D1712,2))))))))"),46200.37828862268)</f>
        <v>46200.37829</v>
      </c>
      <c r="C1712" s="60">
        <f>IFERROR(__xludf.DUMMYFUNCTION("INDIRECT(""'收支紀錄'!C""&amp;TO_TEXT(ROW()-$C$72))"),944.0)</f>
        <v>944</v>
      </c>
      <c r="D1712" s="63" t="str">
        <f>IFERROR(__xludf.DUMMYFUNCTION("INDIRECT(""'收支紀錄'!D""&amp;TO_TEXT(ROW()-$C$72))"),"昨天 (-1 day)")</f>
        <v>昨天 (-1 day)</v>
      </c>
      <c r="E1712" s="61" t="str">
        <f>IFERROR(__xludf.DUMMYFUNCTION("INDIRECT(""'收支紀錄'!E""&amp;TO_TEXT(ROW()-$C$72))"),"")</f>
        <v/>
      </c>
      <c r="F1712" s="61" t="str">
        <f>IFERROR(__xludf.DUMMYFUNCTION("INDIRECT(""'收支紀錄'!F""&amp;TO_TEXT(ROW()-$C$72))"),"")</f>
        <v/>
      </c>
      <c r="G1712" s="61" t="str">
        <f>IFERROR(__xludf.DUMMYFUNCTION("INDIRECT(""'收支紀錄'!G""&amp;TO_TEXT(ROW()-$C$72))"),"")</f>
        <v/>
      </c>
      <c r="H1712" s="61" t="str">
        <f>IFERROR(__xludf.DUMMYFUNCTION("INDIRECT(""'收支紀錄'!H""&amp;TO_TEXT(ROW()-$C$72))"),"行車交通")</f>
        <v>行車交通</v>
      </c>
      <c r="I1712" s="61" t="str">
        <f>IFERROR(__xludf.DUMMYFUNCTION("INDIRECT(""'收支紀錄'!I""&amp;TO_TEXT(ROW()-$C$72))"),"")</f>
        <v/>
      </c>
      <c r="J1712" s="61" t="str">
        <f>IFERROR(__xludf.DUMMYFUNCTION("INDIRECT(""'收支紀錄'!J""&amp;TO_TEXT(ROW()-$C$72))"),"")</f>
        <v/>
      </c>
      <c r="K1712" s="61" t="str">
        <f>IFERROR(__xludf.DUMMYFUNCTION("INDIRECT(""'收支紀錄'!K""&amp;TO_TEXT(ROW()-$C$72))"),"")</f>
        <v/>
      </c>
      <c r="L1712" s="61" t="str">
        <f>IFERROR(__xludf.DUMMYFUNCTION("INDIRECT(""'收支紀錄'!L""&amp;TO_TEXT(ROW()-$C$72))"),"加油")</f>
        <v>加油</v>
      </c>
      <c r="M1712" s="61" t="str">
        <f>IFERROR(__xludf.DUMMYFUNCTION("INDIRECT(""'收支紀錄'!M""&amp;TO_TEXT(ROW()-$C$72))"),"")</f>
        <v/>
      </c>
      <c r="N1712" s="61" t="str">
        <f>IFERROR(__xludf.DUMMYFUNCTION("INDIRECT(""'收支紀錄'!N""&amp;TO_TEXT(ROW()-$C$72))"),"")</f>
        <v/>
      </c>
      <c r="O1712" s="61" t="str">
        <f>IFERROR(__xludf.DUMMYFUNCTION("INDIRECT(""'收支紀錄'!O""&amp;TO_TEXT(ROW()-$C$72))"),"")</f>
        <v/>
      </c>
      <c r="P1712" s="61" t="str">
        <f>IFERROR(__xludf.DUMMYFUNCTION("INDIRECT(""'收支紀錄'!P""&amp;TO_TEXT(ROW()-$C$72))"),"")</f>
        <v/>
      </c>
      <c r="Q1712" s="61" t="str">
        <f>IFERROR(__xludf.DUMMYFUNCTION("INDIRECT(""'收支紀錄'!Q""&amp;TO_TEXT(ROW()-$C$72))"),"")</f>
        <v/>
      </c>
      <c r="R1712" s="61" t="str">
        <f>IFERROR(__xludf.DUMMYFUNCTION("INDIRECT(""'收支紀錄'!R""&amp;TO_TEXT(ROW()-$C$72))"),"")</f>
        <v/>
      </c>
      <c r="S1712" s="61" t="str">
        <f>IFERROR(__xludf.DUMMYFUNCTION("INDIRECT(""'收支紀錄'!S""&amp;TO_TEXT(ROW()-$C$72))"),"")</f>
        <v/>
      </c>
      <c r="T1712" s="61" t="str">
        <f>IFERROR(__xludf.DUMMYFUNCTION("INDIRECT(""'收支紀錄'!T""&amp;TO_TEXT(ROW()-$C$72))"),"")</f>
        <v/>
      </c>
      <c r="U1712" s="62" t="str">
        <f>IFERROR(__xludf.DUMMYFUNCTION("IF(T1712=""是"",TEXTJOIN("""", TRUE, ""$"", TO_TEXT(C1712), S1712),"""")"),"")</f>
        <v/>
      </c>
    </row>
    <row r="1713">
      <c r="A1713" s="58">
        <f>IFERROR(__xludf.DUMMYFUNCTION("INDIRECT(""'收支紀錄'!A""&amp;TO_TEXT(ROW()-$C$72))"),46201.378446400464)</f>
        <v>46201.37845</v>
      </c>
      <c r="B1713" s="59">
        <f>IFERROR(__xludf.DUMMYFUNCTION("IF(ISBLANK(D1713), """", IF(ISDATE(D1713), D1713, IF(D1713=""今天"", A1713, IF(D1713=""昨天 (-1 day)"", A1713-1, IF(D1713=""前天 (-2 days)"", A1713-2, IF(D1713=""明天 (+1 day)"", A1713+1, DATE(LEFT(D1713,4), MID(D1713,5,2), RIGHT(D1713,2))))))))"),46200.378446400464)</f>
        <v>46200.37845</v>
      </c>
      <c r="C1713" s="60">
        <f>IFERROR(__xludf.DUMMYFUNCTION("INDIRECT(""'收支紀錄'!C""&amp;TO_TEXT(ROW()-$C$72))"),3171.0)</f>
        <v>3171</v>
      </c>
      <c r="D1713" s="63" t="str">
        <f>IFERROR(__xludf.DUMMYFUNCTION("INDIRECT(""'收支紀錄'!D""&amp;TO_TEXT(ROW()-$C$72))"),"昨天 (-1 day)")</f>
        <v>昨天 (-1 day)</v>
      </c>
      <c r="E1713" s="61" t="str">
        <f>IFERROR(__xludf.DUMMYFUNCTION("INDIRECT(""'收支紀錄'!E""&amp;TO_TEXT(ROW()-$C$72))"),"")</f>
        <v/>
      </c>
      <c r="F1713" s="61" t="str">
        <f>IFERROR(__xludf.DUMMYFUNCTION("INDIRECT(""'收支紀錄'!F""&amp;TO_TEXT(ROW()-$C$72))"),"")</f>
        <v/>
      </c>
      <c r="G1713" s="61" t="str">
        <f>IFERROR(__xludf.DUMMYFUNCTION("INDIRECT(""'收支紀錄'!G""&amp;TO_TEXT(ROW()-$C$72))"),"")</f>
        <v/>
      </c>
      <c r="H1713" s="61" t="str">
        <f>IFERROR(__xludf.DUMMYFUNCTION("INDIRECT(""'收支紀錄'!H""&amp;TO_TEXT(ROW()-$C$72))"),"食品酒水")</f>
        <v>食品酒水</v>
      </c>
      <c r="I1713" s="61" t="str">
        <f>IFERROR(__xludf.DUMMYFUNCTION("INDIRECT(""'收支紀錄'!I""&amp;TO_TEXT(ROW()-$C$72))"),"食材")</f>
        <v>食材</v>
      </c>
      <c r="J1713" s="61" t="str">
        <f>IFERROR(__xludf.DUMMYFUNCTION("INDIRECT(""'收支紀錄'!J""&amp;TO_TEXT(ROW()-$C$72))"),"")</f>
        <v/>
      </c>
      <c r="K1713" s="61" t="str">
        <f>IFERROR(__xludf.DUMMYFUNCTION("INDIRECT(""'收支紀錄'!K""&amp;TO_TEXT(ROW()-$C$72))"),"")</f>
        <v/>
      </c>
      <c r="L1713" s="61" t="str">
        <f>IFERROR(__xludf.DUMMYFUNCTION("INDIRECT(""'收支紀錄'!L""&amp;TO_TEXT(ROW()-$C$72))"),"")</f>
        <v/>
      </c>
      <c r="M1713" s="61" t="str">
        <f>IFERROR(__xludf.DUMMYFUNCTION("INDIRECT(""'收支紀錄'!M""&amp;TO_TEXT(ROW()-$C$72))"),"")</f>
        <v/>
      </c>
      <c r="N1713" s="61" t="str">
        <f>IFERROR(__xludf.DUMMYFUNCTION("INDIRECT(""'收支紀錄'!N""&amp;TO_TEXT(ROW()-$C$72))"),"")</f>
        <v/>
      </c>
      <c r="O1713" s="61" t="str">
        <f>IFERROR(__xludf.DUMMYFUNCTION("INDIRECT(""'收支紀錄'!O""&amp;TO_TEXT(ROW()-$C$72))"),"")</f>
        <v/>
      </c>
      <c r="P1713" s="61" t="str">
        <f>IFERROR(__xludf.DUMMYFUNCTION("INDIRECT(""'收支紀錄'!P""&amp;TO_TEXT(ROW()-$C$72))"),"")</f>
        <v/>
      </c>
      <c r="Q1713" s="61" t="str">
        <f>IFERROR(__xludf.DUMMYFUNCTION("INDIRECT(""'收支紀錄'!Q""&amp;TO_TEXT(ROW()-$C$72))"),"")</f>
        <v/>
      </c>
      <c r="R1713" s="61" t="str">
        <f>IFERROR(__xludf.DUMMYFUNCTION("INDIRECT(""'收支紀錄'!R""&amp;TO_TEXT(ROW()-$C$72))"),"")</f>
        <v/>
      </c>
      <c r="S1713" s="61" t="str">
        <f>IFERROR(__xludf.DUMMYFUNCTION("INDIRECT(""'收支紀錄'!S""&amp;TO_TEXT(ROW()-$C$72))"),"")</f>
        <v/>
      </c>
      <c r="T1713" s="61" t="str">
        <f>IFERROR(__xludf.DUMMYFUNCTION("INDIRECT(""'收支紀錄'!T""&amp;TO_TEXT(ROW()-$C$72))"),"")</f>
        <v/>
      </c>
      <c r="U1713" s="62" t="str">
        <f>IFERROR(__xludf.DUMMYFUNCTION("IF(T1713=""是"",TEXTJOIN("""", TRUE, ""$"", TO_TEXT(C1713), S1713),"""")"),"")</f>
        <v/>
      </c>
    </row>
    <row r="1714">
      <c r="A1714" s="58">
        <f>IFERROR(__xludf.DUMMYFUNCTION("INDIRECT(""'收支紀錄'!A""&amp;TO_TEXT(ROW()-$C$72))"),46205.29167520833)</f>
        <v>46205.29168</v>
      </c>
      <c r="B1714" s="59">
        <f>IFERROR(__xludf.DUMMYFUNCTION("IF(ISBLANK(D1714), """", IF(ISDATE(D1714), D1714, IF(D1714=""今天"", A1714, IF(D1714=""昨天 (-1 day)"", A1714-1, IF(D1714=""前天 (-2 days)"", A1714-2, IF(D1714=""明天 (+1 day)"", A1714+1, DATE(LEFT(D1714,4), MID(D1714,5,2), RIGHT(D1714,2))))))))"),46205.29167520833)</f>
        <v>46205.29168</v>
      </c>
      <c r="C1714" s="60">
        <f>IFERROR(__xludf.DUMMYFUNCTION("INDIRECT(""'收支紀錄'!C""&amp;TO_TEXT(ROW()-$C$72))"),699.0)</f>
        <v>699</v>
      </c>
      <c r="D1714" s="63" t="str">
        <f>IFERROR(__xludf.DUMMYFUNCTION("INDIRECT(""'收支紀錄'!D""&amp;TO_TEXT(ROW()-$C$72))"),"今天")</f>
        <v>今天</v>
      </c>
      <c r="E1714" s="61" t="str">
        <f>IFERROR(__xludf.DUMMYFUNCTION("INDIRECT(""'收支紀錄'!E""&amp;TO_TEXT(ROW()-$C$72))"),"")</f>
        <v/>
      </c>
      <c r="F1714" s="61" t="str">
        <f>IFERROR(__xludf.DUMMYFUNCTION("INDIRECT(""'收支紀錄'!F""&amp;TO_TEXT(ROW()-$C$72))"),"")</f>
        <v/>
      </c>
      <c r="G1714" s="61" t="str">
        <f>IFERROR(__xludf.DUMMYFUNCTION("INDIRECT(""'收支紀錄'!G""&amp;TO_TEXT(ROW()-$C$72))"),"")</f>
        <v/>
      </c>
      <c r="H1714" s="61" t="str">
        <f>IFERROR(__xludf.DUMMYFUNCTION("INDIRECT(""'收支紀錄'!H""&amp;TO_TEXT(ROW()-$C$72))"),"行車交通")</f>
        <v>行車交通</v>
      </c>
      <c r="I1714" s="61" t="str">
        <f>IFERROR(__xludf.DUMMYFUNCTION("INDIRECT(""'收支紀錄'!I""&amp;TO_TEXT(ROW()-$C$72))"),"")</f>
        <v/>
      </c>
      <c r="J1714" s="61" t="str">
        <f>IFERROR(__xludf.DUMMYFUNCTION("INDIRECT(""'收支紀錄'!J""&amp;TO_TEXT(ROW()-$C$72))"),"")</f>
        <v/>
      </c>
      <c r="K1714" s="61" t="str">
        <f>IFERROR(__xludf.DUMMYFUNCTION("INDIRECT(""'收支紀錄'!K""&amp;TO_TEXT(ROW()-$C$72))"),"")</f>
        <v/>
      </c>
      <c r="L1714" s="61" t="str">
        <f>IFERROR(__xludf.DUMMYFUNCTION("INDIRECT(""'收支紀錄'!L""&amp;TO_TEXT(ROW()-$C$72))"),"捷運費")</f>
        <v>捷運費</v>
      </c>
      <c r="M1714" s="61" t="str">
        <f>IFERROR(__xludf.DUMMYFUNCTION("INDIRECT(""'收支紀錄'!M""&amp;TO_TEXT(ROW()-$C$72))"),"")</f>
        <v/>
      </c>
      <c r="N1714" s="61" t="str">
        <f>IFERROR(__xludf.DUMMYFUNCTION("INDIRECT(""'收支紀錄'!N""&amp;TO_TEXT(ROW()-$C$72))"),"")</f>
        <v/>
      </c>
      <c r="O1714" s="61" t="str">
        <f>IFERROR(__xludf.DUMMYFUNCTION("INDIRECT(""'收支紀錄'!O""&amp;TO_TEXT(ROW()-$C$72))"),"")</f>
        <v/>
      </c>
      <c r="P1714" s="61" t="str">
        <f>IFERROR(__xludf.DUMMYFUNCTION("INDIRECT(""'收支紀錄'!P""&amp;TO_TEXT(ROW()-$C$72))"),"")</f>
        <v/>
      </c>
      <c r="Q1714" s="61" t="str">
        <f>IFERROR(__xludf.DUMMYFUNCTION("INDIRECT(""'收支紀錄'!Q""&amp;TO_TEXT(ROW()-$C$72))"),"")</f>
        <v/>
      </c>
      <c r="R1714" s="61" t="str">
        <f>IFERROR(__xludf.DUMMYFUNCTION("INDIRECT(""'收支紀錄'!R""&amp;TO_TEXT(ROW()-$C$72))"),"")</f>
        <v/>
      </c>
      <c r="S1714" s="61" t="str">
        <f>IFERROR(__xludf.DUMMYFUNCTION("INDIRECT(""'收支紀錄'!S""&amp;TO_TEXT(ROW()-$C$72))"),"")</f>
        <v/>
      </c>
      <c r="T1714" s="61" t="str">
        <f>IFERROR(__xludf.DUMMYFUNCTION("INDIRECT(""'收支紀錄'!T""&amp;TO_TEXT(ROW()-$C$72))"),"")</f>
        <v/>
      </c>
      <c r="U1714" s="62" t="str">
        <f>IFERROR(__xludf.DUMMYFUNCTION("IF(T1714=""是"",TEXTJOIN("""", TRUE, ""$"", TO_TEXT(C1714), S1714),"""")"),"")</f>
        <v/>
      </c>
    </row>
    <row r="1715">
      <c r="A1715" s="58">
        <f>IFERROR(__xludf.DUMMYFUNCTION("INDIRECT(""'收支紀錄'!A""&amp;TO_TEXT(ROW()-$C$72))"),46205.80296770833)</f>
        <v>46205.80297</v>
      </c>
      <c r="B1715" s="59">
        <f>IFERROR(__xludf.DUMMYFUNCTION("IF(ISBLANK(D1715), """", IF(ISDATE(D1715), D1715, IF(D1715=""今天"", A1715, IF(D1715=""昨天 (-1 day)"", A1715-1, IF(D1715=""前天 (-2 days)"", A1715-2, IF(D1715=""明天 (+1 day)"", A1715+1, DATE(LEFT(D1715,4), MID(D1715,5,2), RIGHT(D1715,2))))))))"),46205.80296770833)</f>
        <v>46205.80297</v>
      </c>
      <c r="C1715" s="60">
        <f>IFERROR(__xludf.DUMMYFUNCTION("INDIRECT(""'收支紀錄'!C""&amp;TO_TEXT(ROW()-$C$72))"),132.0)</f>
        <v>132</v>
      </c>
      <c r="D1715" s="63" t="str">
        <f>IFERROR(__xludf.DUMMYFUNCTION("INDIRECT(""'收支紀錄'!D""&amp;TO_TEXT(ROW()-$C$72))"),"今天")</f>
        <v>今天</v>
      </c>
      <c r="E1715" s="61" t="str">
        <f>IFERROR(__xludf.DUMMYFUNCTION("INDIRECT(""'收支紀錄'!E""&amp;TO_TEXT(ROW()-$C$72))"),"")</f>
        <v/>
      </c>
      <c r="F1715" s="61" t="str">
        <f>IFERROR(__xludf.DUMMYFUNCTION("INDIRECT(""'收支紀錄'!F""&amp;TO_TEXT(ROW()-$C$72))"),"")</f>
        <v/>
      </c>
      <c r="G1715" s="61" t="str">
        <f>IFERROR(__xludf.DUMMYFUNCTION("INDIRECT(""'收支紀錄'!G""&amp;TO_TEXT(ROW()-$C$72))"),"")</f>
        <v/>
      </c>
      <c r="H1715" s="61" t="str">
        <f>IFERROR(__xludf.DUMMYFUNCTION("INDIRECT(""'收支紀錄'!H""&amp;TO_TEXT(ROW()-$C$72))"),"行車交通")</f>
        <v>行車交通</v>
      </c>
      <c r="I1715" s="61" t="str">
        <f>IFERROR(__xludf.DUMMYFUNCTION("INDIRECT(""'收支紀錄'!I""&amp;TO_TEXT(ROW()-$C$72))"),"")</f>
        <v/>
      </c>
      <c r="J1715" s="61" t="str">
        <f>IFERROR(__xludf.DUMMYFUNCTION("INDIRECT(""'收支紀錄'!J""&amp;TO_TEXT(ROW()-$C$72))"),"")</f>
        <v/>
      </c>
      <c r="K1715" s="61" t="str">
        <f>IFERROR(__xludf.DUMMYFUNCTION("INDIRECT(""'收支紀錄'!K""&amp;TO_TEXT(ROW()-$C$72))"),"")</f>
        <v/>
      </c>
      <c r="L1715" s="61" t="str">
        <f>IFERROR(__xludf.DUMMYFUNCTION("INDIRECT(""'收支紀錄'!L""&amp;TO_TEXT(ROW()-$C$72))"),"加油")</f>
        <v>加油</v>
      </c>
      <c r="M1715" s="61" t="str">
        <f>IFERROR(__xludf.DUMMYFUNCTION("INDIRECT(""'收支紀錄'!M""&amp;TO_TEXT(ROW()-$C$72))"),"")</f>
        <v/>
      </c>
      <c r="N1715" s="61" t="str">
        <f>IFERROR(__xludf.DUMMYFUNCTION("INDIRECT(""'收支紀錄'!N""&amp;TO_TEXT(ROW()-$C$72))"),"")</f>
        <v/>
      </c>
      <c r="O1715" s="61" t="str">
        <f>IFERROR(__xludf.DUMMYFUNCTION("INDIRECT(""'收支紀錄'!O""&amp;TO_TEXT(ROW()-$C$72))"),"")</f>
        <v/>
      </c>
      <c r="P1715" s="61" t="str">
        <f>IFERROR(__xludf.DUMMYFUNCTION("INDIRECT(""'收支紀錄'!P""&amp;TO_TEXT(ROW()-$C$72))"),"")</f>
        <v/>
      </c>
      <c r="Q1715" s="61" t="str">
        <f>IFERROR(__xludf.DUMMYFUNCTION("INDIRECT(""'收支紀錄'!Q""&amp;TO_TEXT(ROW()-$C$72))"),"")</f>
        <v/>
      </c>
      <c r="R1715" s="61" t="str">
        <f>IFERROR(__xludf.DUMMYFUNCTION("INDIRECT(""'收支紀錄'!R""&amp;TO_TEXT(ROW()-$C$72))"),"")</f>
        <v/>
      </c>
      <c r="S1715" s="61" t="str">
        <f>IFERROR(__xludf.DUMMYFUNCTION("INDIRECT(""'收支紀錄'!S""&amp;TO_TEXT(ROW()-$C$72))"),"")</f>
        <v/>
      </c>
      <c r="T1715" s="61" t="str">
        <f>IFERROR(__xludf.DUMMYFUNCTION("INDIRECT(""'收支紀錄'!T""&amp;TO_TEXT(ROW()-$C$72))"),"")</f>
        <v/>
      </c>
      <c r="U1715" s="62" t="str">
        <f>IFERROR(__xludf.DUMMYFUNCTION("IF(T1715=""是"",TEXTJOIN("""", TRUE, ""$"", TO_TEXT(C1715), S1715),"""")"),"")</f>
        <v/>
      </c>
    </row>
    <row r="1716">
      <c r="A1716" s="58">
        <f>IFERROR(__xludf.DUMMYFUNCTION("INDIRECT(""'收支紀錄'!A""&amp;TO_TEXT(ROW()-$C$72))"),46205.803113229165)</f>
        <v>46205.80311</v>
      </c>
      <c r="B1716" s="59">
        <f>IFERROR(__xludf.DUMMYFUNCTION("IF(ISBLANK(D1716), """", IF(ISDATE(D1716), D1716, IF(D1716=""今天"", A1716, IF(D1716=""昨天 (-1 day)"", A1716-1, IF(D1716=""前天 (-2 days)"", A1716-2, IF(D1716=""明天 (+1 day)"", A1716+1, DATE(LEFT(D1716,4), MID(D1716,5,2), RIGHT(D1716,2))))))))"),46205.803113229165)</f>
        <v>46205.80311</v>
      </c>
      <c r="C1716" s="60">
        <f>IFERROR(__xludf.DUMMYFUNCTION("INDIRECT(""'收支紀錄'!C""&amp;TO_TEXT(ROW()-$C$72))"),145.0)</f>
        <v>145</v>
      </c>
      <c r="D1716" s="63" t="str">
        <f>IFERROR(__xludf.DUMMYFUNCTION("INDIRECT(""'收支紀錄'!D""&amp;TO_TEXT(ROW()-$C$72))"),"今天")</f>
        <v>今天</v>
      </c>
      <c r="E1716" s="61" t="str">
        <f>IFERROR(__xludf.DUMMYFUNCTION("INDIRECT(""'收支紀錄'!E""&amp;TO_TEXT(ROW()-$C$72))"),"")</f>
        <v/>
      </c>
      <c r="F1716" s="61" t="str">
        <f>IFERROR(__xludf.DUMMYFUNCTION("INDIRECT(""'收支紀錄'!F""&amp;TO_TEXT(ROW()-$C$72))"),"")</f>
        <v/>
      </c>
      <c r="G1716" s="61" t="str">
        <f>IFERROR(__xludf.DUMMYFUNCTION("INDIRECT(""'收支紀錄'!G""&amp;TO_TEXT(ROW()-$C$72))"),"")</f>
        <v/>
      </c>
      <c r="H1716" s="61" t="str">
        <f>IFERROR(__xludf.DUMMYFUNCTION("INDIRECT(""'收支紀錄'!H""&amp;TO_TEXT(ROW()-$C$72))"),"食品酒水")</f>
        <v>食品酒水</v>
      </c>
      <c r="I1716" s="61" t="str">
        <f>IFERROR(__xludf.DUMMYFUNCTION("INDIRECT(""'收支紀錄'!I""&amp;TO_TEXT(ROW()-$C$72))"),"晚餐")</f>
        <v>晚餐</v>
      </c>
      <c r="J1716" s="61" t="str">
        <f>IFERROR(__xludf.DUMMYFUNCTION("INDIRECT(""'收支紀錄'!J""&amp;TO_TEXT(ROW()-$C$72))"),"")</f>
        <v/>
      </c>
      <c r="K1716" s="61" t="str">
        <f>IFERROR(__xludf.DUMMYFUNCTION("INDIRECT(""'收支紀錄'!K""&amp;TO_TEXT(ROW()-$C$72))"),"")</f>
        <v/>
      </c>
      <c r="L1716" s="61" t="str">
        <f>IFERROR(__xludf.DUMMYFUNCTION("INDIRECT(""'收支紀錄'!L""&amp;TO_TEXT(ROW()-$C$72))"),"")</f>
        <v/>
      </c>
      <c r="M1716" s="61" t="str">
        <f>IFERROR(__xludf.DUMMYFUNCTION("INDIRECT(""'收支紀錄'!M""&amp;TO_TEXT(ROW()-$C$72))"),"")</f>
        <v/>
      </c>
      <c r="N1716" s="61" t="str">
        <f>IFERROR(__xludf.DUMMYFUNCTION("INDIRECT(""'收支紀錄'!N""&amp;TO_TEXT(ROW()-$C$72))"),"")</f>
        <v/>
      </c>
      <c r="O1716" s="61" t="str">
        <f>IFERROR(__xludf.DUMMYFUNCTION("INDIRECT(""'收支紀錄'!O""&amp;TO_TEXT(ROW()-$C$72))"),"")</f>
        <v/>
      </c>
      <c r="P1716" s="61" t="str">
        <f>IFERROR(__xludf.DUMMYFUNCTION("INDIRECT(""'收支紀錄'!P""&amp;TO_TEXT(ROW()-$C$72))"),"")</f>
        <v/>
      </c>
      <c r="Q1716" s="61" t="str">
        <f>IFERROR(__xludf.DUMMYFUNCTION("INDIRECT(""'收支紀錄'!Q""&amp;TO_TEXT(ROW()-$C$72))"),"")</f>
        <v/>
      </c>
      <c r="R1716" s="61" t="str">
        <f>IFERROR(__xludf.DUMMYFUNCTION("INDIRECT(""'收支紀錄'!R""&amp;TO_TEXT(ROW()-$C$72))"),"")</f>
        <v/>
      </c>
      <c r="S1716" s="61" t="str">
        <f>IFERROR(__xludf.DUMMYFUNCTION("INDIRECT(""'收支紀錄'!S""&amp;TO_TEXT(ROW()-$C$72))"),"")</f>
        <v/>
      </c>
      <c r="T1716" s="61" t="str">
        <f>IFERROR(__xludf.DUMMYFUNCTION("INDIRECT(""'收支紀錄'!T""&amp;TO_TEXT(ROW()-$C$72))"),"")</f>
        <v/>
      </c>
      <c r="U1716" s="62" t="str">
        <f>IFERROR(__xludf.DUMMYFUNCTION("IF(T1716=""是"",TEXTJOIN("""", TRUE, ""$"", TO_TEXT(C1716), S1716),"""")"),"")</f>
        <v/>
      </c>
    </row>
    <row r="1717">
      <c r="A1717" s="58">
        <f>IFERROR(__xludf.DUMMYFUNCTION("INDIRECT(""'收支紀錄'!A""&amp;TO_TEXT(ROW()-$C$72))"),46207.27088570602)</f>
        <v>46207.27089</v>
      </c>
      <c r="B1717" s="59">
        <f>IFERROR(__xludf.DUMMYFUNCTION("IF(ISBLANK(D1717), """", IF(ISDATE(D1717), D1717, IF(D1717=""今天"", A1717, IF(D1717=""昨天 (-1 day)"", A1717-1, IF(D1717=""前天 (-2 days)"", A1717-2, IF(D1717=""明天 (+1 day)"", A1717+1, DATE(LEFT(D1717,4), MID(D1717,5,2), RIGHT(D1717,2))))))))"),46206.27088570602)</f>
        <v>46206.27089</v>
      </c>
      <c r="C1717" s="60">
        <f>IFERROR(__xludf.DUMMYFUNCTION("INDIRECT(""'收支紀錄'!C""&amp;TO_TEXT(ROW()-$C$72))"),1025.0)</f>
        <v>1025</v>
      </c>
      <c r="D1717" s="63" t="str">
        <f>IFERROR(__xludf.DUMMYFUNCTION("INDIRECT(""'收支紀錄'!D""&amp;TO_TEXT(ROW()-$C$72))"),"昨天 (-1 day)")</f>
        <v>昨天 (-1 day)</v>
      </c>
      <c r="E1717" s="61" t="str">
        <f>IFERROR(__xludf.DUMMYFUNCTION("INDIRECT(""'收支紀錄'!E""&amp;TO_TEXT(ROW()-$C$72))"),"")</f>
        <v/>
      </c>
      <c r="F1717" s="61" t="str">
        <f>IFERROR(__xludf.DUMMYFUNCTION("INDIRECT(""'收支紀錄'!F""&amp;TO_TEXT(ROW()-$C$72))"),"")</f>
        <v/>
      </c>
      <c r="G1717" s="61" t="str">
        <f>IFERROR(__xludf.DUMMYFUNCTION("INDIRECT(""'收支紀錄'!G""&amp;TO_TEXT(ROW()-$C$72))"),"")</f>
        <v/>
      </c>
      <c r="H1717" s="61" t="str">
        <f>IFERROR(__xludf.DUMMYFUNCTION("INDIRECT(""'收支紀錄'!H""&amp;TO_TEXT(ROW()-$C$72))"),"行車交通")</f>
        <v>行車交通</v>
      </c>
      <c r="I1717" s="61" t="str">
        <f>IFERROR(__xludf.DUMMYFUNCTION("INDIRECT(""'收支紀錄'!I""&amp;TO_TEXT(ROW()-$C$72))"),"")</f>
        <v/>
      </c>
      <c r="J1717" s="61" t="str">
        <f>IFERROR(__xludf.DUMMYFUNCTION("INDIRECT(""'收支紀錄'!J""&amp;TO_TEXT(ROW()-$C$72))"),"")</f>
        <v/>
      </c>
      <c r="K1717" s="61" t="str">
        <f>IFERROR(__xludf.DUMMYFUNCTION("INDIRECT(""'收支紀錄'!K""&amp;TO_TEXT(ROW()-$C$72))"),"")</f>
        <v/>
      </c>
      <c r="L1717" s="61" t="str">
        <f>IFERROR(__xludf.DUMMYFUNCTION("INDIRECT(""'收支紀錄'!L""&amp;TO_TEXT(ROW()-$C$72))"),"高鐵")</f>
        <v>高鐵</v>
      </c>
      <c r="M1717" s="61" t="str">
        <f>IFERROR(__xludf.DUMMYFUNCTION("INDIRECT(""'收支紀錄'!M""&amp;TO_TEXT(ROW()-$C$72))"),"")</f>
        <v/>
      </c>
      <c r="N1717" s="61" t="str">
        <f>IFERROR(__xludf.DUMMYFUNCTION("INDIRECT(""'收支紀錄'!N""&amp;TO_TEXT(ROW()-$C$72))"),"")</f>
        <v/>
      </c>
      <c r="O1717" s="61" t="str">
        <f>IFERROR(__xludf.DUMMYFUNCTION("INDIRECT(""'收支紀錄'!O""&amp;TO_TEXT(ROW()-$C$72))"),"")</f>
        <v/>
      </c>
      <c r="P1717" s="61" t="str">
        <f>IFERROR(__xludf.DUMMYFUNCTION("INDIRECT(""'收支紀錄'!P""&amp;TO_TEXT(ROW()-$C$72))"),"")</f>
        <v/>
      </c>
      <c r="Q1717" s="61" t="str">
        <f>IFERROR(__xludf.DUMMYFUNCTION("INDIRECT(""'收支紀錄'!Q""&amp;TO_TEXT(ROW()-$C$72))"),"")</f>
        <v/>
      </c>
      <c r="R1717" s="61" t="str">
        <f>IFERROR(__xludf.DUMMYFUNCTION("INDIRECT(""'收支紀錄'!R""&amp;TO_TEXT(ROW()-$C$72))"),"")</f>
        <v/>
      </c>
      <c r="S1717" s="61" t="str">
        <f>IFERROR(__xludf.DUMMYFUNCTION("INDIRECT(""'收支紀錄'!S""&amp;TO_TEXT(ROW()-$C$72))"),"")</f>
        <v/>
      </c>
      <c r="T1717" s="61" t="str">
        <f>IFERROR(__xludf.DUMMYFUNCTION("INDIRECT(""'收支紀錄'!T""&amp;TO_TEXT(ROW()-$C$72))"),"")</f>
        <v/>
      </c>
      <c r="U1717" s="62" t="str">
        <f>IFERROR(__xludf.DUMMYFUNCTION("IF(T1717=""是"",TEXTJOIN("""", TRUE, ""$"", TO_TEXT(C1717), S1717),"""")"),"")</f>
        <v/>
      </c>
    </row>
    <row r="1718">
      <c r="A1718" s="58">
        <f>IFERROR(__xludf.DUMMYFUNCTION("INDIRECT(""'收支紀錄'!A""&amp;TO_TEXT(ROW()-$C$72))"),46208.59301498842)</f>
        <v>46208.59301</v>
      </c>
      <c r="B1718" s="59">
        <f>IFERROR(__xludf.DUMMYFUNCTION("IF(ISBLANK(D1718), """", IF(ISDATE(D1718), D1718, IF(D1718=""今天"", A1718, IF(D1718=""昨天 (-1 day)"", A1718-1, IF(D1718=""前天 (-2 days)"", A1718-2, IF(D1718=""明天 (+1 day)"", A1718+1, DATE(LEFT(D1718,4), MID(D1718,5,2), RIGHT(D1718,2))))))))"),46208.59301498842)</f>
        <v>46208.59301</v>
      </c>
      <c r="C1718" s="60">
        <f>IFERROR(__xludf.DUMMYFUNCTION("INDIRECT(""'收支紀錄'!C""&amp;TO_TEXT(ROW()-$C$72))"),35.0)</f>
        <v>35</v>
      </c>
      <c r="D1718" s="63" t="str">
        <f>IFERROR(__xludf.DUMMYFUNCTION("INDIRECT(""'收支紀錄'!D""&amp;TO_TEXT(ROW()-$C$72))"),"今天")</f>
        <v>今天</v>
      </c>
      <c r="E1718" s="61" t="str">
        <f>IFERROR(__xludf.DUMMYFUNCTION("INDIRECT(""'收支紀錄'!E""&amp;TO_TEXT(ROW()-$C$72))"),"")</f>
        <v/>
      </c>
      <c r="F1718" s="61" t="str">
        <f>IFERROR(__xludf.DUMMYFUNCTION("INDIRECT(""'收支紀錄'!F""&amp;TO_TEXT(ROW()-$C$72))"),"")</f>
        <v/>
      </c>
      <c r="G1718" s="61" t="str">
        <f>IFERROR(__xludf.DUMMYFUNCTION("INDIRECT(""'收支紀錄'!G""&amp;TO_TEXT(ROW()-$C$72))"),"")</f>
        <v/>
      </c>
      <c r="H1718" s="61" t="str">
        <f>IFERROR(__xludf.DUMMYFUNCTION("INDIRECT(""'收支紀錄'!H""&amp;TO_TEXT(ROW()-$C$72))"),"行車交通")</f>
        <v>行車交通</v>
      </c>
      <c r="I1718" s="61" t="str">
        <f>IFERROR(__xludf.DUMMYFUNCTION("INDIRECT(""'收支紀錄'!I""&amp;TO_TEXT(ROW()-$C$72))"),"")</f>
        <v/>
      </c>
      <c r="J1718" s="61" t="str">
        <f>IFERROR(__xludf.DUMMYFUNCTION("INDIRECT(""'收支紀錄'!J""&amp;TO_TEXT(ROW()-$C$72))"),"")</f>
        <v/>
      </c>
      <c r="K1718" s="61" t="str">
        <f>IFERROR(__xludf.DUMMYFUNCTION("INDIRECT(""'收支紀錄'!K""&amp;TO_TEXT(ROW()-$C$72))"),"")</f>
        <v/>
      </c>
      <c r="L1718" s="61" t="str">
        <f>IFERROR(__xludf.DUMMYFUNCTION("INDIRECT(""'收支紀錄'!L""&amp;TO_TEXT(ROW()-$C$72))"),"捷運費")</f>
        <v>捷運費</v>
      </c>
      <c r="M1718" s="61" t="str">
        <f>IFERROR(__xludf.DUMMYFUNCTION("INDIRECT(""'收支紀錄'!M""&amp;TO_TEXT(ROW()-$C$72))"),"")</f>
        <v/>
      </c>
      <c r="N1718" s="61" t="str">
        <f>IFERROR(__xludf.DUMMYFUNCTION("INDIRECT(""'收支紀錄'!N""&amp;TO_TEXT(ROW()-$C$72))"),"")</f>
        <v/>
      </c>
      <c r="O1718" s="61" t="str">
        <f>IFERROR(__xludf.DUMMYFUNCTION("INDIRECT(""'收支紀錄'!O""&amp;TO_TEXT(ROW()-$C$72))"),"")</f>
        <v/>
      </c>
      <c r="P1718" s="61" t="str">
        <f>IFERROR(__xludf.DUMMYFUNCTION("INDIRECT(""'收支紀錄'!P""&amp;TO_TEXT(ROW()-$C$72))"),"")</f>
        <v/>
      </c>
      <c r="Q1718" s="61" t="str">
        <f>IFERROR(__xludf.DUMMYFUNCTION("INDIRECT(""'收支紀錄'!Q""&amp;TO_TEXT(ROW()-$C$72))"),"")</f>
        <v/>
      </c>
      <c r="R1718" s="61" t="str">
        <f>IFERROR(__xludf.DUMMYFUNCTION("INDIRECT(""'收支紀錄'!R""&amp;TO_TEXT(ROW()-$C$72))"),"")</f>
        <v/>
      </c>
      <c r="S1718" s="61" t="str">
        <f>IFERROR(__xludf.DUMMYFUNCTION("INDIRECT(""'收支紀錄'!S""&amp;TO_TEXT(ROW()-$C$72))"),"")</f>
        <v/>
      </c>
      <c r="T1718" s="61" t="str">
        <f>IFERROR(__xludf.DUMMYFUNCTION("INDIRECT(""'收支紀錄'!T""&amp;TO_TEXT(ROW()-$C$72))"),"")</f>
        <v/>
      </c>
      <c r="U1718" s="62" t="str">
        <f>IFERROR(__xludf.DUMMYFUNCTION("IF(T1718=""是"",TEXTJOIN("""", TRUE, ""$"", TO_TEXT(C1718), S1718),"""")"),"")</f>
        <v/>
      </c>
    </row>
    <row r="1719">
      <c r="A1719" s="58">
        <f>IFERROR(__xludf.DUMMYFUNCTION("INDIRECT(""'收支紀錄'!A""&amp;TO_TEXT(ROW()-$C$72))"),46208.593180497686)</f>
        <v>46208.59318</v>
      </c>
      <c r="B1719" s="59">
        <f>IFERROR(__xludf.DUMMYFUNCTION("IF(ISBLANK(D1719), """", IF(ISDATE(D1719), D1719, IF(D1719=""今天"", A1719, IF(D1719=""昨天 (-1 day)"", A1719-1, IF(D1719=""前天 (-2 days)"", A1719-2, IF(D1719=""明天 (+1 day)"", A1719+1, DATE(LEFT(D1719,4), MID(D1719,5,2), RIGHT(D1719,2))))))))"),46208.593180497686)</f>
        <v>46208.59318</v>
      </c>
      <c r="C1719" s="60">
        <f>IFERROR(__xludf.DUMMYFUNCTION("INDIRECT(""'收支紀錄'!C""&amp;TO_TEXT(ROW()-$C$72))"),765.0)</f>
        <v>765</v>
      </c>
      <c r="D1719" s="63" t="str">
        <f>IFERROR(__xludf.DUMMYFUNCTION("INDIRECT(""'收支紀錄'!D""&amp;TO_TEXT(ROW()-$C$72))"),"今天")</f>
        <v>今天</v>
      </c>
      <c r="E1719" s="61" t="str">
        <f>IFERROR(__xludf.DUMMYFUNCTION("INDIRECT(""'收支紀錄'!E""&amp;TO_TEXT(ROW()-$C$72))"),"")</f>
        <v/>
      </c>
      <c r="F1719" s="61" t="str">
        <f>IFERROR(__xludf.DUMMYFUNCTION("INDIRECT(""'收支紀錄'!F""&amp;TO_TEXT(ROW()-$C$72))"),"")</f>
        <v/>
      </c>
      <c r="G1719" s="61" t="str">
        <f>IFERROR(__xludf.DUMMYFUNCTION("INDIRECT(""'收支紀錄'!G""&amp;TO_TEXT(ROW()-$C$72))"),"")</f>
        <v/>
      </c>
      <c r="H1719" s="61" t="str">
        <f>IFERROR(__xludf.DUMMYFUNCTION("INDIRECT(""'收支紀錄'!H""&amp;TO_TEXT(ROW()-$C$72))"),"行車交通")</f>
        <v>行車交通</v>
      </c>
      <c r="I1719" s="61" t="str">
        <f>IFERROR(__xludf.DUMMYFUNCTION("INDIRECT(""'收支紀錄'!I""&amp;TO_TEXT(ROW()-$C$72))"),"")</f>
        <v/>
      </c>
      <c r="J1719" s="61" t="str">
        <f>IFERROR(__xludf.DUMMYFUNCTION("INDIRECT(""'收支紀錄'!J""&amp;TO_TEXT(ROW()-$C$72))"),"")</f>
        <v/>
      </c>
      <c r="K1719" s="61" t="str">
        <f>IFERROR(__xludf.DUMMYFUNCTION("INDIRECT(""'收支紀錄'!K""&amp;TO_TEXT(ROW()-$C$72))"),"")</f>
        <v/>
      </c>
      <c r="L1719" s="61" t="str">
        <f>IFERROR(__xludf.DUMMYFUNCTION("INDIRECT(""'收支紀錄'!L""&amp;TO_TEXT(ROW()-$C$72))"),"高鐵")</f>
        <v>高鐵</v>
      </c>
      <c r="M1719" s="61" t="str">
        <f>IFERROR(__xludf.DUMMYFUNCTION("INDIRECT(""'收支紀錄'!M""&amp;TO_TEXT(ROW()-$C$72))"),"")</f>
        <v/>
      </c>
      <c r="N1719" s="61" t="str">
        <f>IFERROR(__xludf.DUMMYFUNCTION("INDIRECT(""'收支紀錄'!N""&amp;TO_TEXT(ROW()-$C$72))"),"")</f>
        <v/>
      </c>
      <c r="O1719" s="61" t="str">
        <f>IFERROR(__xludf.DUMMYFUNCTION("INDIRECT(""'收支紀錄'!O""&amp;TO_TEXT(ROW()-$C$72))"),"")</f>
        <v/>
      </c>
      <c r="P1719" s="61" t="str">
        <f>IFERROR(__xludf.DUMMYFUNCTION("INDIRECT(""'收支紀錄'!P""&amp;TO_TEXT(ROW()-$C$72))"),"")</f>
        <v/>
      </c>
      <c r="Q1719" s="61" t="str">
        <f>IFERROR(__xludf.DUMMYFUNCTION("INDIRECT(""'收支紀錄'!Q""&amp;TO_TEXT(ROW()-$C$72))"),"")</f>
        <v/>
      </c>
      <c r="R1719" s="61" t="str">
        <f>IFERROR(__xludf.DUMMYFUNCTION("INDIRECT(""'收支紀錄'!R""&amp;TO_TEXT(ROW()-$C$72))"),"")</f>
        <v/>
      </c>
      <c r="S1719" s="61" t="str">
        <f>IFERROR(__xludf.DUMMYFUNCTION("INDIRECT(""'收支紀錄'!S""&amp;TO_TEXT(ROW()-$C$72))"),"")</f>
        <v/>
      </c>
      <c r="T1719" s="61" t="str">
        <f>IFERROR(__xludf.DUMMYFUNCTION("INDIRECT(""'收支紀錄'!T""&amp;TO_TEXT(ROW()-$C$72))"),"")</f>
        <v/>
      </c>
      <c r="U1719" s="62" t="str">
        <f>IFERROR(__xludf.DUMMYFUNCTION("IF(T1719=""是"",TEXTJOIN("""", TRUE, ""$"", TO_TEXT(C1719), S1719),"""")"),"")</f>
        <v/>
      </c>
    </row>
    <row r="1720">
      <c r="A1720" s="58">
        <f>IFERROR(__xludf.DUMMYFUNCTION("INDIRECT(""'收支紀錄'!A""&amp;TO_TEXT(ROW()-$C$72))"),46208.80151100694)</f>
        <v>46208.80151</v>
      </c>
      <c r="B1720" s="59">
        <f>IFERROR(__xludf.DUMMYFUNCTION("IF(ISBLANK(D1720), """", IF(ISDATE(D1720), D1720, IF(D1720=""今天"", A1720, IF(D1720=""昨天 (-1 day)"", A1720-1, IF(D1720=""前天 (-2 days)"", A1720-2, IF(D1720=""明天 (+1 day)"", A1720+1, DATE(LEFT(D1720,4), MID(D1720,5,2), RIGHT(D1720,2))))))))"),46208.80151100694)</f>
        <v>46208.80151</v>
      </c>
      <c r="C1720" s="60">
        <f>IFERROR(__xludf.DUMMYFUNCTION("INDIRECT(""'收支紀錄'!C""&amp;TO_TEXT(ROW()-$C$72))"),7802.0)</f>
        <v>7802</v>
      </c>
      <c r="D1720" s="63" t="str">
        <f>IFERROR(__xludf.DUMMYFUNCTION("INDIRECT(""'收支紀錄'!D""&amp;TO_TEXT(ROW()-$C$72))"),"今天")</f>
        <v>今天</v>
      </c>
      <c r="E1720" s="61" t="str">
        <f>IFERROR(__xludf.DUMMYFUNCTION("INDIRECT(""'收支紀錄'!E""&amp;TO_TEXT(ROW()-$C$72))"),"")</f>
        <v/>
      </c>
      <c r="F1720" s="61" t="str">
        <f>IFERROR(__xludf.DUMMYFUNCTION("INDIRECT(""'收支紀錄'!F""&amp;TO_TEXT(ROW()-$C$72))"),"")</f>
        <v/>
      </c>
      <c r="G1720" s="61" t="str">
        <f>IFERROR(__xludf.DUMMYFUNCTION("INDIRECT(""'收支紀錄'!G""&amp;TO_TEXT(ROW()-$C$72))"),"")</f>
        <v/>
      </c>
      <c r="H1720" s="61" t="str">
        <f>IFERROR(__xludf.DUMMYFUNCTION("INDIRECT(""'收支紀錄'!H""&amp;TO_TEXT(ROW()-$C$72))"),"房屋支出")</f>
        <v>房屋支出</v>
      </c>
      <c r="I1720" s="61" t="str">
        <f>IFERROR(__xludf.DUMMYFUNCTION("INDIRECT(""'收支紀錄'!I""&amp;TO_TEXT(ROW()-$C$72))"),"")</f>
        <v/>
      </c>
      <c r="J1720" s="61" t="str">
        <f>IFERROR(__xludf.DUMMYFUNCTION("INDIRECT(""'收支紀錄'!J""&amp;TO_TEXT(ROW()-$C$72))"),"")</f>
        <v/>
      </c>
      <c r="K1720" s="61" t="str">
        <f>IFERROR(__xludf.DUMMYFUNCTION("INDIRECT(""'收支紀錄'!K""&amp;TO_TEXT(ROW()-$C$72))"),"管理費")</f>
        <v>管理費</v>
      </c>
      <c r="L1720" s="61" t="str">
        <f>IFERROR(__xludf.DUMMYFUNCTION("INDIRECT(""'收支紀錄'!L""&amp;TO_TEXT(ROW()-$C$72))"),"")</f>
        <v/>
      </c>
      <c r="M1720" s="61" t="str">
        <f>IFERROR(__xludf.DUMMYFUNCTION("INDIRECT(""'收支紀錄'!M""&amp;TO_TEXT(ROW()-$C$72))"),"")</f>
        <v/>
      </c>
      <c r="N1720" s="61" t="str">
        <f>IFERROR(__xludf.DUMMYFUNCTION("INDIRECT(""'收支紀錄'!N""&amp;TO_TEXT(ROW()-$C$72))"),"")</f>
        <v/>
      </c>
      <c r="O1720" s="61" t="str">
        <f>IFERROR(__xludf.DUMMYFUNCTION("INDIRECT(""'收支紀錄'!O""&amp;TO_TEXT(ROW()-$C$72))"),"")</f>
        <v/>
      </c>
      <c r="P1720" s="61" t="str">
        <f>IFERROR(__xludf.DUMMYFUNCTION("INDIRECT(""'收支紀錄'!P""&amp;TO_TEXT(ROW()-$C$72))"),"")</f>
        <v/>
      </c>
      <c r="Q1720" s="61" t="str">
        <f>IFERROR(__xludf.DUMMYFUNCTION("INDIRECT(""'收支紀錄'!Q""&amp;TO_TEXT(ROW()-$C$72))"),"")</f>
        <v/>
      </c>
      <c r="R1720" s="61" t="str">
        <f>IFERROR(__xludf.DUMMYFUNCTION("INDIRECT(""'收支紀錄'!R""&amp;TO_TEXT(ROW()-$C$72))"),"")</f>
        <v/>
      </c>
      <c r="S1720" s="61" t="str">
        <f>IFERROR(__xludf.DUMMYFUNCTION("INDIRECT(""'收支紀錄'!S""&amp;TO_TEXT(ROW()-$C$72))"),"")</f>
        <v/>
      </c>
      <c r="T1720" s="61" t="str">
        <f>IFERROR(__xludf.DUMMYFUNCTION("INDIRECT(""'收支紀錄'!T""&amp;TO_TEXT(ROW()-$C$72))"),"")</f>
        <v/>
      </c>
      <c r="U1720" s="62" t="str">
        <f>IFERROR(__xludf.DUMMYFUNCTION("IF(T1720=""是"",TEXTJOIN("""", TRUE, ""$"", TO_TEXT(C1720), S1720),"""")"),"")</f>
        <v/>
      </c>
    </row>
    <row r="1721">
      <c r="A1721" s="58">
        <f>IFERROR(__xludf.DUMMYFUNCTION("INDIRECT(""'收支紀錄'!A""&amp;TO_TEXT(ROW()-$C$72))"),46208.80180223379)</f>
        <v>46208.8018</v>
      </c>
      <c r="B1721" s="59">
        <f>IFERROR(__xludf.DUMMYFUNCTION("IF(ISBLANK(D1721), """", IF(ISDATE(D1721), D1721, IF(D1721=""今天"", A1721, IF(D1721=""昨天 (-1 day)"", A1721-1, IF(D1721=""前天 (-2 days)"", A1721-2, IF(D1721=""明天 (+1 day)"", A1721+1, DATE(LEFT(D1721,4), MID(D1721,5,2), RIGHT(D1721,2))))))))"),46208.80180223379)</f>
        <v>46208.8018</v>
      </c>
      <c r="C1721" s="60">
        <f>IFERROR(__xludf.DUMMYFUNCTION("INDIRECT(""'收支紀錄'!C""&amp;TO_TEXT(ROW()-$C$72))"),1051.0)</f>
        <v>1051</v>
      </c>
      <c r="D1721" s="63" t="str">
        <f>IFERROR(__xludf.DUMMYFUNCTION("INDIRECT(""'收支紀錄'!D""&amp;TO_TEXT(ROW()-$C$72))"),"今天")</f>
        <v>今天</v>
      </c>
      <c r="E1721" s="61" t="str">
        <f>IFERROR(__xludf.DUMMYFUNCTION("INDIRECT(""'收支紀錄'!E""&amp;TO_TEXT(ROW()-$C$72))"),"")</f>
        <v/>
      </c>
      <c r="F1721" s="61" t="str">
        <f>IFERROR(__xludf.DUMMYFUNCTION("INDIRECT(""'收支紀錄'!F""&amp;TO_TEXT(ROW()-$C$72))"),"")</f>
        <v/>
      </c>
      <c r="G1721" s="61" t="str">
        <f>IFERROR(__xludf.DUMMYFUNCTION("INDIRECT(""'收支紀錄'!G""&amp;TO_TEXT(ROW()-$C$72))"),"")</f>
        <v/>
      </c>
      <c r="H1721" s="61" t="str">
        <f>IFERROR(__xludf.DUMMYFUNCTION("INDIRECT(""'收支紀錄'!H""&amp;TO_TEXT(ROW()-$C$72))"),"食品酒水")</f>
        <v>食品酒水</v>
      </c>
      <c r="I1721" s="61" t="str">
        <f>IFERROR(__xludf.DUMMYFUNCTION("INDIRECT(""'收支紀錄'!I""&amp;TO_TEXT(ROW()-$C$72))"),"食材")</f>
        <v>食材</v>
      </c>
      <c r="J1721" s="61" t="str">
        <f>IFERROR(__xludf.DUMMYFUNCTION("INDIRECT(""'收支紀錄'!J""&amp;TO_TEXT(ROW()-$C$72))"),"")</f>
        <v/>
      </c>
      <c r="K1721" s="61" t="str">
        <f>IFERROR(__xludf.DUMMYFUNCTION("INDIRECT(""'收支紀錄'!K""&amp;TO_TEXT(ROW()-$C$72))"),"")</f>
        <v/>
      </c>
      <c r="L1721" s="61" t="str">
        <f>IFERROR(__xludf.DUMMYFUNCTION("INDIRECT(""'收支紀錄'!L""&amp;TO_TEXT(ROW()-$C$72))"),"")</f>
        <v/>
      </c>
      <c r="M1721" s="61" t="str">
        <f>IFERROR(__xludf.DUMMYFUNCTION("INDIRECT(""'收支紀錄'!M""&amp;TO_TEXT(ROW()-$C$72))"),"")</f>
        <v/>
      </c>
      <c r="N1721" s="61" t="str">
        <f>IFERROR(__xludf.DUMMYFUNCTION("INDIRECT(""'收支紀錄'!N""&amp;TO_TEXT(ROW()-$C$72))"),"")</f>
        <v/>
      </c>
      <c r="O1721" s="61" t="str">
        <f>IFERROR(__xludf.DUMMYFUNCTION("INDIRECT(""'收支紀錄'!O""&amp;TO_TEXT(ROW()-$C$72))"),"")</f>
        <v/>
      </c>
      <c r="P1721" s="61" t="str">
        <f>IFERROR(__xludf.DUMMYFUNCTION("INDIRECT(""'收支紀錄'!P""&amp;TO_TEXT(ROW()-$C$72))"),"")</f>
        <v/>
      </c>
      <c r="Q1721" s="61" t="str">
        <f>IFERROR(__xludf.DUMMYFUNCTION("INDIRECT(""'收支紀錄'!Q""&amp;TO_TEXT(ROW()-$C$72))"),"")</f>
        <v/>
      </c>
      <c r="R1721" s="61" t="str">
        <f>IFERROR(__xludf.DUMMYFUNCTION("INDIRECT(""'收支紀錄'!R""&amp;TO_TEXT(ROW()-$C$72))"),"")</f>
        <v/>
      </c>
      <c r="S1721" s="61" t="str">
        <f>IFERROR(__xludf.DUMMYFUNCTION("INDIRECT(""'收支紀錄'!S""&amp;TO_TEXT(ROW()-$C$72))"),"")</f>
        <v/>
      </c>
      <c r="T1721" s="61" t="str">
        <f>IFERROR(__xludf.DUMMYFUNCTION("INDIRECT(""'收支紀錄'!T""&amp;TO_TEXT(ROW()-$C$72))"),"")</f>
        <v/>
      </c>
      <c r="U1721" s="62" t="str">
        <f>IFERROR(__xludf.DUMMYFUNCTION("IF(T1721=""是"",TEXTJOIN("""", TRUE, ""$"", TO_TEXT(C1721), S1721),"""")"),"")</f>
        <v/>
      </c>
    </row>
    <row r="1722">
      <c r="A1722" s="58">
        <f>IFERROR(__xludf.DUMMYFUNCTION("INDIRECT(""'收支紀錄'!A""&amp;TO_TEXT(ROW()-$C$72))"),46208.80194704861)</f>
        <v>46208.80195</v>
      </c>
      <c r="B1722" s="59">
        <f>IFERROR(__xludf.DUMMYFUNCTION("IF(ISBLANK(D1722), """", IF(ISDATE(D1722), D1722, IF(D1722=""今天"", A1722, IF(D1722=""昨天 (-1 day)"", A1722-1, IF(D1722=""前天 (-2 days)"", A1722-2, IF(D1722=""明天 (+1 day)"", A1722+1, DATE(LEFT(D1722,4), MID(D1722,5,2), RIGHT(D1722,2))))))))"),46208.80194704861)</f>
        <v>46208.80195</v>
      </c>
      <c r="C1722" s="60">
        <f>IFERROR(__xludf.DUMMYFUNCTION("INDIRECT(""'收支紀錄'!C""&amp;TO_TEXT(ROW()-$C$72))"),198.0)</f>
        <v>198</v>
      </c>
      <c r="D1722" s="63" t="str">
        <f>IFERROR(__xludf.DUMMYFUNCTION("INDIRECT(""'收支紀錄'!D""&amp;TO_TEXT(ROW()-$C$72))"),"今天")</f>
        <v>今天</v>
      </c>
      <c r="E1722" s="61" t="str">
        <f>IFERROR(__xludf.DUMMYFUNCTION("INDIRECT(""'收支紀錄'!E""&amp;TO_TEXT(ROW()-$C$72))"),"")</f>
        <v/>
      </c>
      <c r="F1722" s="61" t="str">
        <f>IFERROR(__xludf.DUMMYFUNCTION("INDIRECT(""'收支紀錄'!F""&amp;TO_TEXT(ROW()-$C$72))"),"")</f>
        <v/>
      </c>
      <c r="G1722" s="61" t="str">
        <f>IFERROR(__xludf.DUMMYFUNCTION("INDIRECT(""'收支紀錄'!G""&amp;TO_TEXT(ROW()-$C$72))"),"")</f>
        <v/>
      </c>
      <c r="H1722" s="61" t="str">
        <f>IFERROR(__xludf.DUMMYFUNCTION("INDIRECT(""'收支紀錄'!H""&amp;TO_TEXT(ROW()-$C$72))"),"食品酒水")</f>
        <v>食品酒水</v>
      </c>
      <c r="I1722" s="61" t="str">
        <f>IFERROR(__xludf.DUMMYFUNCTION("INDIRECT(""'收支紀錄'!I""&amp;TO_TEXT(ROW()-$C$72))"),"晚餐")</f>
        <v>晚餐</v>
      </c>
      <c r="J1722" s="61" t="str">
        <f>IFERROR(__xludf.DUMMYFUNCTION("INDIRECT(""'收支紀錄'!J""&amp;TO_TEXT(ROW()-$C$72))"),"")</f>
        <v/>
      </c>
      <c r="K1722" s="61" t="str">
        <f>IFERROR(__xludf.DUMMYFUNCTION("INDIRECT(""'收支紀錄'!K""&amp;TO_TEXT(ROW()-$C$72))"),"")</f>
        <v/>
      </c>
      <c r="L1722" s="61" t="str">
        <f>IFERROR(__xludf.DUMMYFUNCTION("INDIRECT(""'收支紀錄'!L""&amp;TO_TEXT(ROW()-$C$72))"),"")</f>
        <v/>
      </c>
      <c r="M1722" s="61" t="str">
        <f>IFERROR(__xludf.DUMMYFUNCTION("INDIRECT(""'收支紀錄'!M""&amp;TO_TEXT(ROW()-$C$72))"),"")</f>
        <v/>
      </c>
      <c r="N1722" s="61" t="str">
        <f>IFERROR(__xludf.DUMMYFUNCTION("INDIRECT(""'收支紀錄'!N""&amp;TO_TEXT(ROW()-$C$72))"),"")</f>
        <v/>
      </c>
      <c r="O1722" s="61" t="str">
        <f>IFERROR(__xludf.DUMMYFUNCTION("INDIRECT(""'收支紀錄'!O""&amp;TO_TEXT(ROW()-$C$72))"),"")</f>
        <v/>
      </c>
      <c r="P1722" s="61" t="str">
        <f>IFERROR(__xludf.DUMMYFUNCTION("INDIRECT(""'收支紀錄'!P""&amp;TO_TEXT(ROW()-$C$72))"),"")</f>
        <v/>
      </c>
      <c r="Q1722" s="61" t="str">
        <f>IFERROR(__xludf.DUMMYFUNCTION("INDIRECT(""'收支紀錄'!Q""&amp;TO_TEXT(ROW()-$C$72))"),"")</f>
        <v/>
      </c>
      <c r="R1722" s="61" t="str">
        <f>IFERROR(__xludf.DUMMYFUNCTION("INDIRECT(""'收支紀錄'!R""&amp;TO_TEXT(ROW()-$C$72))"),"")</f>
        <v/>
      </c>
      <c r="S1722" s="61" t="str">
        <f>IFERROR(__xludf.DUMMYFUNCTION("INDIRECT(""'收支紀錄'!S""&amp;TO_TEXT(ROW()-$C$72))"),"")</f>
        <v/>
      </c>
      <c r="T1722" s="61" t="str">
        <f>IFERROR(__xludf.DUMMYFUNCTION("INDIRECT(""'收支紀錄'!T""&amp;TO_TEXT(ROW()-$C$72))"),"")</f>
        <v/>
      </c>
      <c r="U1722" s="62" t="str">
        <f>IFERROR(__xludf.DUMMYFUNCTION("IF(T1722=""是"",TEXTJOIN("""", TRUE, ""$"", TO_TEXT(C1722), S1722),"""")"),"")</f>
        <v/>
      </c>
    </row>
    <row r="1723">
      <c r="A1723" s="58">
        <f>IFERROR(__xludf.DUMMYFUNCTION("INDIRECT(""'收支紀錄'!A""&amp;TO_TEXT(ROW()-$C$72))"),46211.43974944444)</f>
        <v>46211.43975</v>
      </c>
      <c r="B1723" s="59">
        <f>IFERROR(__xludf.DUMMYFUNCTION("IF(ISBLANK(D1723), """", IF(ISDATE(D1723), D1723, IF(D1723=""今天"", A1723, IF(D1723=""昨天 (-1 day)"", A1723-1, IF(D1723=""前天 (-2 days)"", A1723-2, IF(D1723=""明天 (+1 day)"", A1723+1, DATE(LEFT(D1723,4), MID(D1723,5,2), RIGHT(D1723,2))))))))"),46175.0)</f>
        <v>46175</v>
      </c>
      <c r="C1723" s="60">
        <f>IFERROR(__xludf.DUMMYFUNCTION("INDIRECT(""'收支紀錄'!C""&amp;TO_TEXT(ROW()-$C$72))"),528.0)</f>
        <v>528</v>
      </c>
      <c r="D1723" s="63">
        <f>IFERROR(__xludf.DUMMYFUNCTION("INDIRECT(""'收支紀錄'!D""&amp;TO_TEXT(ROW()-$C$72))"),2.0260602E7)</f>
        <v>20260602</v>
      </c>
      <c r="E1723" s="61" t="str">
        <f>IFERROR(__xludf.DUMMYFUNCTION("INDIRECT(""'收支紀錄'!E""&amp;TO_TEXT(ROW()-$C$72))"),"")</f>
        <v/>
      </c>
      <c r="F1723" s="61" t="str">
        <f>IFERROR(__xludf.DUMMYFUNCTION("INDIRECT(""'收支紀錄'!F""&amp;TO_TEXT(ROW()-$C$72))"),"")</f>
        <v/>
      </c>
      <c r="G1723" s="61" t="str">
        <f>IFERROR(__xludf.DUMMYFUNCTION("INDIRECT(""'收支紀錄'!G""&amp;TO_TEXT(ROW()-$C$72))"),"")</f>
        <v/>
      </c>
      <c r="H1723" s="61" t="str">
        <f>IFERROR(__xludf.DUMMYFUNCTION("INDIRECT(""'收支紀錄'!H""&amp;TO_TEXT(ROW()-$C$72))"),"房屋支出")</f>
        <v>房屋支出</v>
      </c>
      <c r="I1723" s="61" t="str">
        <f>IFERROR(__xludf.DUMMYFUNCTION("INDIRECT(""'收支紀錄'!I""&amp;TO_TEXT(ROW()-$C$72))"),"")</f>
        <v/>
      </c>
      <c r="J1723" s="61" t="str">
        <f>IFERROR(__xludf.DUMMYFUNCTION("INDIRECT(""'收支紀錄'!J""&amp;TO_TEXT(ROW()-$C$72))"),"")</f>
        <v/>
      </c>
      <c r="K1723" s="61" t="str">
        <f>IFERROR(__xludf.DUMMYFUNCTION("INDIRECT(""'收支紀錄'!K""&amp;TO_TEXT(ROW()-$C$72))"),"租屋電費")</f>
        <v>租屋電費</v>
      </c>
      <c r="L1723" s="61" t="str">
        <f>IFERROR(__xludf.DUMMYFUNCTION("INDIRECT(""'收支紀錄'!L""&amp;TO_TEXT(ROW()-$C$72))"),"")</f>
        <v/>
      </c>
      <c r="M1723" s="61" t="str">
        <f>IFERROR(__xludf.DUMMYFUNCTION("INDIRECT(""'收支紀錄'!M""&amp;TO_TEXT(ROW()-$C$72))"),"")</f>
        <v/>
      </c>
      <c r="N1723" s="61" t="str">
        <f>IFERROR(__xludf.DUMMYFUNCTION("INDIRECT(""'收支紀錄'!N""&amp;TO_TEXT(ROW()-$C$72))"),"")</f>
        <v/>
      </c>
      <c r="O1723" s="61" t="str">
        <f>IFERROR(__xludf.DUMMYFUNCTION("INDIRECT(""'收支紀錄'!O""&amp;TO_TEXT(ROW()-$C$72))"),"")</f>
        <v/>
      </c>
      <c r="P1723" s="61" t="str">
        <f>IFERROR(__xludf.DUMMYFUNCTION("INDIRECT(""'收支紀錄'!P""&amp;TO_TEXT(ROW()-$C$72))"),"")</f>
        <v/>
      </c>
      <c r="Q1723" s="61" t="str">
        <f>IFERROR(__xludf.DUMMYFUNCTION("INDIRECT(""'收支紀錄'!Q""&amp;TO_TEXT(ROW()-$C$72))"),"")</f>
        <v/>
      </c>
      <c r="R1723" s="61" t="str">
        <f>IFERROR(__xludf.DUMMYFUNCTION("INDIRECT(""'收支紀錄'!R""&amp;TO_TEXT(ROW()-$C$72))"),"")</f>
        <v/>
      </c>
      <c r="S1723" s="61" t="str">
        <f>IFERROR(__xludf.DUMMYFUNCTION("INDIRECT(""'收支紀錄'!S""&amp;TO_TEXT(ROW()-$C$72))"),"")</f>
        <v/>
      </c>
      <c r="T1723" s="61" t="str">
        <f>IFERROR(__xludf.DUMMYFUNCTION("INDIRECT(""'收支紀錄'!T""&amp;TO_TEXT(ROW()-$C$72))"),"")</f>
        <v/>
      </c>
      <c r="U1723" s="62" t="str">
        <f>IFERROR(__xludf.DUMMYFUNCTION("IF(T1723=""是"",TEXTJOIN("""", TRUE, ""$"", TO_TEXT(C1723), S1723),"""")"),"")</f>
        <v/>
      </c>
    </row>
    <row r="1724">
      <c r="A1724" s="58">
        <f>IFERROR(__xludf.DUMMYFUNCTION("INDIRECT(""'收支紀錄'!A""&amp;TO_TEXT(ROW()-$C$72))"),46212.80902172453)</f>
        <v>46212.80902</v>
      </c>
      <c r="B1724" s="59">
        <f>IFERROR(__xludf.DUMMYFUNCTION("IF(ISBLANK(D1724), """", IF(ISDATE(D1724), D1724, IF(D1724=""今天"", A1724, IF(D1724=""昨天 (-1 day)"", A1724-1, IF(D1724=""前天 (-2 days)"", A1724-2, IF(D1724=""明天 (+1 day)"", A1724+1, DATE(LEFT(D1724,4), MID(D1724,5,2), RIGHT(D1724,2))))))))"),46212.80902172453)</f>
        <v>46212.80902</v>
      </c>
      <c r="C1724" s="60">
        <f>IFERROR(__xludf.DUMMYFUNCTION("INDIRECT(""'收支紀錄'!C""&amp;TO_TEXT(ROW()-$C$72))"),159.0)</f>
        <v>159</v>
      </c>
      <c r="D1724" s="63" t="str">
        <f>IFERROR(__xludf.DUMMYFUNCTION("INDIRECT(""'收支紀錄'!D""&amp;TO_TEXT(ROW()-$C$72))"),"今天")</f>
        <v>今天</v>
      </c>
      <c r="E1724" s="61" t="str">
        <f>IFERROR(__xludf.DUMMYFUNCTION("INDIRECT(""'收支紀錄'!E""&amp;TO_TEXT(ROW()-$C$72))"),"")</f>
        <v/>
      </c>
      <c r="F1724" s="61" t="str">
        <f>IFERROR(__xludf.DUMMYFUNCTION("INDIRECT(""'收支紀錄'!F""&amp;TO_TEXT(ROW()-$C$72))"),"")</f>
        <v/>
      </c>
      <c r="G1724" s="61" t="str">
        <f>IFERROR(__xludf.DUMMYFUNCTION("INDIRECT(""'收支紀錄'!G""&amp;TO_TEXT(ROW()-$C$72))"),"")</f>
        <v/>
      </c>
      <c r="H1724" s="61" t="str">
        <f>IFERROR(__xludf.DUMMYFUNCTION("INDIRECT(""'收支紀錄'!H""&amp;TO_TEXT(ROW()-$C$72))"),"食品酒水")</f>
        <v>食品酒水</v>
      </c>
      <c r="I1724" s="61" t="str">
        <f>IFERROR(__xludf.DUMMYFUNCTION("INDIRECT(""'收支紀錄'!I""&amp;TO_TEXT(ROW()-$C$72))"),"晚餐")</f>
        <v>晚餐</v>
      </c>
      <c r="J1724" s="61" t="str">
        <f>IFERROR(__xludf.DUMMYFUNCTION("INDIRECT(""'收支紀錄'!J""&amp;TO_TEXT(ROW()-$C$72))"),"")</f>
        <v/>
      </c>
      <c r="K1724" s="61" t="str">
        <f>IFERROR(__xludf.DUMMYFUNCTION("INDIRECT(""'收支紀錄'!K""&amp;TO_TEXT(ROW()-$C$72))"),"")</f>
        <v/>
      </c>
      <c r="L1724" s="61" t="str">
        <f>IFERROR(__xludf.DUMMYFUNCTION("INDIRECT(""'收支紀錄'!L""&amp;TO_TEXT(ROW()-$C$72))"),"")</f>
        <v/>
      </c>
      <c r="M1724" s="61" t="str">
        <f>IFERROR(__xludf.DUMMYFUNCTION("INDIRECT(""'收支紀錄'!M""&amp;TO_TEXT(ROW()-$C$72))"),"")</f>
        <v/>
      </c>
      <c r="N1724" s="61" t="str">
        <f>IFERROR(__xludf.DUMMYFUNCTION("INDIRECT(""'收支紀錄'!N""&amp;TO_TEXT(ROW()-$C$72))"),"")</f>
        <v/>
      </c>
      <c r="O1724" s="61" t="str">
        <f>IFERROR(__xludf.DUMMYFUNCTION("INDIRECT(""'收支紀錄'!O""&amp;TO_TEXT(ROW()-$C$72))"),"")</f>
        <v/>
      </c>
      <c r="P1724" s="61" t="str">
        <f>IFERROR(__xludf.DUMMYFUNCTION("INDIRECT(""'收支紀錄'!P""&amp;TO_TEXT(ROW()-$C$72))"),"")</f>
        <v/>
      </c>
      <c r="Q1724" s="61" t="str">
        <f>IFERROR(__xludf.DUMMYFUNCTION("INDIRECT(""'收支紀錄'!Q""&amp;TO_TEXT(ROW()-$C$72))"),"")</f>
        <v/>
      </c>
      <c r="R1724" s="61" t="str">
        <f>IFERROR(__xludf.DUMMYFUNCTION("INDIRECT(""'收支紀錄'!R""&amp;TO_TEXT(ROW()-$C$72))"),"")</f>
        <v/>
      </c>
      <c r="S1724" s="61" t="str">
        <f>IFERROR(__xludf.DUMMYFUNCTION("INDIRECT(""'收支紀錄'!S""&amp;TO_TEXT(ROW()-$C$72))"),"")</f>
        <v/>
      </c>
      <c r="T1724" s="61" t="str">
        <f>IFERROR(__xludf.DUMMYFUNCTION("INDIRECT(""'收支紀錄'!T""&amp;TO_TEXT(ROW()-$C$72))"),"")</f>
        <v/>
      </c>
      <c r="U1724" s="62" t="str">
        <f>IFERROR(__xludf.DUMMYFUNCTION("IF(T1724=""是"",TEXTJOIN("""", TRUE, ""$"", TO_TEXT(C1724), S1724),"""")"),"")</f>
        <v/>
      </c>
    </row>
    <row r="1725">
      <c r="A1725" s="58">
        <f>IFERROR(__xludf.DUMMYFUNCTION("INDIRECT(""'收支紀錄'!A""&amp;TO_TEXT(ROW()-$C$72))"),46213.40402136574)</f>
        <v>46213.40402</v>
      </c>
      <c r="B1725" s="59">
        <f>IFERROR(__xludf.DUMMYFUNCTION("IF(ISBLANK(D1725), """", IF(ISDATE(D1725), D1725, IF(D1725=""今天"", A1725, IF(D1725=""昨天 (-1 day)"", A1725-1, IF(D1725=""前天 (-2 days)"", A1725-2, IF(D1725=""明天 (+1 day)"", A1725+1, DATE(LEFT(D1725,4), MID(D1725,5,2), RIGHT(D1725,2))))))))"),46213.40402136574)</f>
        <v>46213.40402</v>
      </c>
      <c r="C1725" s="60">
        <f>IFERROR(__xludf.DUMMYFUNCTION("INDIRECT(""'收支紀錄'!C""&amp;TO_TEXT(ROW()-$C$72))"),474.0)</f>
        <v>474</v>
      </c>
      <c r="D1725" s="63" t="str">
        <f>IFERROR(__xludf.DUMMYFUNCTION("INDIRECT(""'收支紀錄'!D""&amp;TO_TEXT(ROW()-$C$72))"),"今天")</f>
        <v>今天</v>
      </c>
      <c r="E1725" s="61" t="str">
        <f>IFERROR(__xludf.DUMMYFUNCTION("INDIRECT(""'收支紀錄'!E""&amp;TO_TEXT(ROW()-$C$72))"),"")</f>
        <v/>
      </c>
      <c r="F1725" s="61" t="str">
        <f>IFERROR(__xludf.DUMMYFUNCTION("INDIRECT(""'收支紀錄'!F""&amp;TO_TEXT(ROW()-$C$72))"),"")</f>
        <v/>
      </c>
      <c r="G1725" s="61" t="str">
        <f>IFERROR(__xludf.DUMMYFUNCTION("INDIRECT(""'收支紀錄'!G""&amp;TO_TEXT(ROW()-$C$72))"),"")</f>
        <v/>
      </c>
      <c r="H1725" s="61" t="str">
        <f>IFERROR(__xludf.DUMMYFUNCTION("INDIRECT(""'收支紀錄'!H""&amp;TO_TEXT(ROW()-$C$72))"),"食品酒水")</f>
        <v>食品酒水</v>
      </c>
      <c r="I1725" s="61" t="str">
        <f>IFERROR(__xludf.DUMMYFUNCTION("INDIRECT(""'收支紀錄'!I""&amp;TO_TEXT(ROW()-$C$72))"),"食材")</f>
        <v>食材</v>
      </c>
      <c r="J1725" s="61" t="str">
        <f>IFERROR(__xludf.DUMMYFUNCTION("INDIRECT(""'收支紀錄'!J""&amp;TO_TEXT(ROW()-$C$72))"),"")</f>
        <v/>
      </c>
      <c r="K1725" s="61" t="str">
        <f>IFERROR(__xludf.DUMMYFUNCTION("INDIRECT(""'收支紀錄'!K""&amp;TO_TEXT(ROW()-$C$72))"),"")</f>
        <v/>
      </c>
      <c r="L1725" s="61" t="str">
        <f>IFERROR(__xludf.DUMMYFUNCTION("INDIRECT(""'收支紀錄'!L""&amp;TO_TEXT(ROW()-$C$72))"),"")</f>
        <v/>
      </c>
      <c r="M1725" s="61" t="str">
        <f>IFERROR(__xludf.DUMMYFUNCTION("INDIRECT(""'收支紀錄'!M""&amp;TO_TEXT(ROW()-$C$72))"),"")</f>
        <v/>
      </c>
      <c r="N1725" s="61" t="str">
        <f>IFERROR(__xludf.DUMMYFUNCTION("INDIRECT(""'收支紀錄'!N""&amp;TO_TEXT(ROW()-$C$72))"),"")</f>
        <v/>
      </c>
      <c r="O1725" s="61" t="str">
        <f>IFERROR(__xludf.DUMMYFUNCTION("INDIRECT(""'收支紀錄'!O""&amp;TO_TEXT(ROW()-$C$72))"),"")</f>
        <v/>
      </c>
      <c r="P1725" s="61" t="str">
        <f>IFERROR(__xludf.DUMMYFUNCTION("INDIRECT(""'收支紀錄'!P""&amp;TO_TEXT(ROW()-$C$72))"),"")</f>
        <v/>
      </c>
      <c r="Q1725" s="61" t="str">
        <f>IFERROR(__xludf.DUMMYFUNCTION("INDIRECT(""'收支紀錄'!Q""&amp;TO_TEXT(ROW()-$C$72))"),"")</f>
        <v/>
      </c>
      <c r="R1725" s="61" t="str">
        <f>IFERROR(__xludf.DUMMYFUNCTION("INDIRECT(""'收支紀錄'!R""&amp;TO_TEXT(ROW()-$C$72))"),"")</f>
        <v/>
      </c>
      <c r="S1725" s="61" t="str">
        <f>IFERROR(__xludf.DUMMYFUNCTION("INDIRECT(""'收支紀錄'!S""&amp;TO_TEXT(ROW()-$C$72))"),"")</f>
        <v/>
      </c>
      <c r="T1725" s="61" t="str">
        <f>IFERROR(__xludf.DUMMYFUNCTION("INDIRECT(""'收支紀錄'!T""&amp;TO_TEXT(ROW()-$C$72))"),"")</f>
        <v/>
      </c>
      <c r="U1725" s="62" t="str">
        <f>IFERROR(__xludf.DUMMYFUNCTION("IF(T1725=""是"",TEXTJOIN("""", TRUE, ""$"", TO_TEXT(C1725), S1725),"""")"),"")</f>
        <v/>
      </c>
    </row>
    <row r="1726">
      <c r="A1726" s="58">
        <f>IFERROR(__xludf.DUMMYFUNCTION("INDIRECT(""'收支紀錄'!A""&amp;TO_TEXT(ROW()-$C$72))"),46213.69216040509)</f>
        <v>46213.69216</v>
      </c>
      <c r="B1726" s="59">
        <f>IFERROR(__xludf.DUMMYFUNCTION("IF(ISBLANK(D1726), """", IF(ISDATE(D1726), D1726, IF(D1726=""今天"", A1726, IF(D1726=""昨天 (-1 day)"", A1726-1, IF(D1726=""前天 (-2 days)"", A1726-2, IF(D1726=""明天 (+1 day)"", A1726+1, DATE(LEFT(D1726,4), MID(D1726,5,2), RIGHT(D1726,2))))))))"),46213.69216040509)</f>
        <v>46213.69216</v>
      </c>
      <c r="C1726" s="60">
        <f>IFERROR(__xludf.DUMMYFUNCTION("INDIRECT(""'收支紀錄'!C""&amp;TO_TEXT(ROW()-$C$72))"),789.0)</f>
        <v>789</v>
      </c>
      <c r="D1726" s="63" t="str">
        <f>IFERROR(__xludf.DUMMYFUNCTION("INDIRECT(""'收支紀錄'!D""&amp;TO_TEXT(ROW()-$C$72))"),"今天")</f>
        <v>今天</v>
      </c>
      <c r="E1726" s="61" t="str">
        <f>IFERROR(__xludf.DUMMYFUNCTION("INDIRECT(""'收支紀錄'!E""&amp;TO_TEXT(ROW()-$C$72))"),"")</f>
        <v/>
      </c>
      <c r="F1726" s="61" t="str">
        <f>IFERROR(__xludf.DUMMYFUNCTION("INDIRECT(""'收支紀錄'!F""&amp;TO_TEXT(ROW()-$C$72))"),"")</f>
        <v/>
      </c>
      <c r="G1726" s="61" t="str">
        <f>IFERROR(__xludf.DUMMYFUNCTION("INDIRECT(""'收支紀錄'!G""&amp;TO_TEXT(ROW()-$C$72))"),"")</f>
        <v/>
      </c>
      <c r="H1726" s="61" t="str">
        <f>IFERROR(__xludf.DUMMYFUNCTION("INDIRECT(""'收支紀錄'!H""&amp;TO_TEXT(ROW()-$C$72))"),"行車交通")</f>
        <v>行車交通</v>
      </c>
      <c r="I1726" s="61" t="str">
        <f>IFERROR(__xludf.DUMMYFUNCTION("INDIRECT(""'收支紀錄'!I""&amp;TO_TEXT(ROW()-$C$72))"),"")</f>
        <v/>
      </c>
      <c r="J1726" s="61" t="str">
        <f>IFERROR(__xludf.DUMMYFUNCTION("INDIRECT(""'收支紀錄'!J""&amp;TO_TEXT(ROW()-$C$72))"),"")</f>
        <v/>
      </c>
      <c r="K1726" s="61" t="str">
        <f>IFERROR(__xludf.DUMMYFUNCTION("INDIRECT(""'收支紀錄'!K""&amp;TO_TEXT(ROW()-$C$72))"),"")</f>
        <v/>
      </c>
      <c r="L1726" s="61" t="str">
        <f>IFERROR(__xludf.DUMMYFUNCTION("INDIRECT(""'收支紀錄'!L""&amp;TO_TEXT(ROW()-$C$72))"),"加油")</f>
        <v>加油</v>
      </c>
      <c r="M1726" s="61" t="str">
        <f>IFERROR(__xludf.DUMMYFUNCTION("INDIRECT(""'收支紀錄'!M""&amp;TO_TEXT(ROW()-$C$72))"),"")</f>
        <v/>
      </c>
      <c r="N1726" s="61" t="str">
        <f>IFERROR(__xludf.DUMMYFUNCTION("INDIRECT(""'收支紀錄'!N""&amp;TO_TEXT(ROW()-$C$72))"),"")</f>
        <v/>
      </c>
      <c r="O1726" s="61" t="str">
        <f>IFERROR(__xludf.DUMMYFUNCTION("INDIRECT(""'收支紀錄'!O""&amp;TO_TEXT(ROW()-$C$72))"),"")</f>
        <v/>
      </c>
      <c r="P1726" s="61" t="str">
        <f>IFERROR(__xludf.DUMMYFUNCTION("INDIRECT(""'收支紀錄'!P""&amp;TO_TEXT(ROW()-$C$72))"),"")</f>
        <v/>
      </c>
      <c r="Q1726" s="61" t="str">
        <f>IFERROR(__xludf.DUMMYFUNCTION("INDIRECT(""'收支紀錄'!Q""&amp;TO_TEXT(ROW()-$C$72))"),"")</f>
        <v/>
      </c>
      <c r="R1726" s="61" t="str">
        <f>IFERROR(__xludf.DUMMYFUNCTION("INDIRECT(""'收支紀錄'!R""&amp;TO_TEXT(ROW()-$C$72))"),"")</f>
        <v/>
      </c>
      <c r="S1726" s="61" t="str">
        <f>IFERROR(__xludf.DUMMYFUNCTION("INDIRECT(""'收支紀錄'!S""&amp;TO_TEXT(ROW()-$C$72))"),"")</f>
        <v/>
      </c>
      <c r="T1726" s="61" t="str">
        <f>IFERROR(__xludf.DUMMYFUNCTION("INDIRECT(""'收支紀錄'!T""&amp;TO_TEXT(ROW()-$C$72))"),"")</f>
        <v/>
      </c>
      <c r="U1726" s="62" t="str">
        <f>IFERROR(__xludf.DUMMYFUNCTION("IF(T1726=""是"",TEXTJOIN("""", TRUE, ""$"", TO_TEXT(C1726), S1726),"""")"),"")</f>
        <v/>
      </c>
    </row>
    <row r="1727">
      <c r="A1727" s="58">
        <f>IFERROR(__xludf.DUMMYFUNCTION("INDIRECT(""'收支紀錄'!A""&amp;TO_TEXT(ROW()-$C$72))"),46213.98450550926)</f>
        <v>46213.98451</v>
      </c>
      <c r="B1727" s="59">
        <f>IFERROR(__xludf.DUMMYFUNCTION("IF(ISBLANK(D1727), """", IF(ISDATE(D1727), D1727, IF(D1727=""今天"", A1727, IF(D1727=""昨天 (-1 day)"", A1727-1, IF(D1727=""前天 (-2 days)"", A1727-2, IF(D1727=""明天 (+1 day)"", A1727+1, DATE(LEFT(D1727,4), MID(D1727,5,2), RIGHT(D1727,2))))))))"),46213.98450550926)</f>
        <v>46213.98451</v>
      </c>
      <c r="C1727" s="60">
        <f>IFERROR(__xludf.DUMMYFUNCTION("INDIRECT(""'收支紀錄'!C""&amp;TO_TEXT(ROW()-$C$72))"),110300.0)</f>
        <v>110300</v>
      </c>
      <c r="D1727" s="63" t="str">
        <f>IFERROR(__xludf.DUMMYFUNCTION("INDIRECT(""'收支紀錄'!D""&amp;TO_TEXT(ROW()-$C$72))"),"今天")</f>
        <v>今天</v>
      </c>
      <c r="E1727" s="61" t="str">
        <f>IFERROR(__xludf.DUMMYFUNCTION("INDIRECT(""'收支紀錄'!E""&amp;TO_TEXT(ROW()-$C$72))"),"工作")</f>
        <v>工作</v>
      </c>
      <c r="F1727" s="61" t="str">
        <f>IFERROR(__xludf.DUMMYFUNCTION("INDIRECT(""'收支紀錄'!F""&amp;TO_TEXT(ROW()-$C$72))"),"底薪")</f>
        <v>底薪</v>
      </c>
      <c r="G1727" s="61" t="str">
        <f>IFERROR(__xludf.DUMMYFUNCTION("INDIRECT(""'收支紀錄'!G""&amp;TO_TEXT(ROW()-$C$72))"),"")</f>
        <v/>
      </c>
      <c r="H1727" s="61" t="str">
        <f>IFERROR(__xludf.DUMMYFUNCTION("INDIRECT(""'收支紀錄'!H""&amp;TO_TEXT(ROW()-$C$72))"),"")</f>
        <v/>
      </c>
      <c r="I1727" s="61" t="str">
        <f>IFERROR(__xludf.DUMMYFUNCTION("INDIRECT(""'收支紀錄'!I""&amp;TO_TEXT(ROW()-$C$72))"),"")</f>
        <v/>
      </c>
      <c r="J1727" s="61" t="str">
        <f>IFERROR(__xludf.DUMMYFUNCTION("INDIRECT(""'收支紀錄'!J""&amp;TO_TEXT(ROW()-$C$72))"),"")</f>
        <v/>
      </c>
      <c r="K1727" s="61" t="str">
        <f>IFERROR(__xludf.DUMMYFUNCTION("INDIRECT(""'收支紀錄'!K""&amp;TO_TEXT(ROW()-$C$72))"),"")</f>
        <v/>
      </c>
      <c r="L1727" s="61" t="str">
        <f>IFERROR(__xludf.DUMMYFUNCTION("INDIRECT(""'收支紀錄'!L""&amp;TO_TEXT(ROW()-$C$72))"),"")</f>
        <v/>
      </c>
      <c r="M1727" s="61" t="str">
        <f>IFERROR(__xludf.DUMMYFUNCTION("INDIRECT(""'收支紀錄'!M""&amp;TO_TEXT(ROW()-$C$72))"),"")</f>
        <v/>
      </c>
      <c r="N1727" s="61" t="str">
        <f>IFERROR(__xludf.DUMMYFUNCTION("INDIRECT(""'收支紀錄'!N""&amp;TO_TEXT(ROW()-$C$72))"),"")</f>
        <v/>
      </c>
      <c r="O1727" s="61" t="str">
        <f>IFERROR(__xludf.DUMMYFUNCTION("INDIRECT(""'收支紀錄'!O""&amp;TO_TEXT(ROW()-$C$72))"),"")</f>
        <v/>
      </c>
      <c r="P1727" s="61" t="str">
        <f>IFERROR(__xludf.DUMMYFUNCTION("INDIRECT(""'收支紀錄'!P""&amp;TO_TEXT(ROW()-$C$72))"),"")</f>
        <v/>
      </c>
      <c r="Q1727" s="61" t="str">
        <f>IFERROR(__xludf.DUMMYFUNCTION("INDIRECT(""'收支紀錄'!Q""&amp;TO_TEXT(ROW()-$C$72))"),"")</f>
        <v/>
      </c>
      <c r="R1727" s="61" t="str">
        <f>IFERROR(__xludf.DUMMYFUNCTION("INDIRECT(""'收支紀錄'!R""&amp;TO_TEXT(ROW()-$C$72))"),"")</f>
        <v/>
      </c>
      <c r="S1727" s="61" t="str">
        <f>IFERROR(__xludf.DUMMYFUNCTION("INDIRECT(""'收支紀錄'!S""&amp;TO_TEXT(ROW()-$C$72))"),"薪資單: 薪資_20260705.png; OCR來源: 基本底薪")</f>
        <v>薪資單: 薪資_20260705.png; OCR來源: 基本底薪</v>
      </c>
      <c r="T1727" s="61" t="str">
        <f>IFERROR(__xludf.DUMMYFUNCTION("INDIRECT(""'收支紀錄'!T""&amp;TO_TEXT(ROW()-$C$72))"),"否")</f>
        <v>否</v>
      </c>
      <c r="U1727" s="62" t="str">
        <f>IFERROR(__xludf.DUMMYFUNCTION("IF(T1727=""是"",TEXTJOIN("""", TRUE, ""$"", TO_TEXT(C1727), S1727),"""")"),"")</f>
        <v/>
      </c>
    </row>
    <row r="1728">
      <c r="A1728" s="58">
        <f>IFERROR(__xludf.DUMMYFUNCTION("INDIRECT(""'收支紀錄'!A""&amp;TO_TEXT(ROW()-$C$72))"),46213.98451365741)</f>
        <v>46213.98451</v>
      </c>
      <c r="B1728" s="59">
        <f>IFERROR(__xludf.DUMMYFUNCTION("IF(ISBLANK(D1728), """", IF(ISDATE(D1728), D1728, IF(D1728=""今天"", A1728, IF(D1728=""昨天 (-1 day)"", A1728-1, IF(D1728=""前天 (-2 days)"", A1728-2, IF(D1728=""明天 (+1 day)"", A1728+1, DATE(LEFT(D1728,4), MID(D1728,5,2), RIGHT(D1728,2))))))))"),46213.98451365741)</f>
        <v>46213.98451</v>
      </c>
      <c r="C1728" s="60">
        <f>IFERROR(__xludf.DUMMYFUNCTION("INDIRECT(""'收支紀錄'!C""&amp;TO_TEXT(ROW()-$C$72))"),1379.0)</f>
        <v>1379</v>
      </c>
      <c r="D1728" s="63" t="str">
        <f>IFERROR(__xludf.DUMMYFUNCTION("INDIRECT(""'收支紀錄'!D""&amp;TO_TEXT(ROW()-$C$72))"),"今天")</f>
        <v>今天</v>
      </c>
      <c r="E1728" s="61" t="str">
        <f>IFERROR(__xludf.DUMMYFUNCTION("INDIRECT(""'收支紀錄'!E""&amp;TO_TEXT(ROW()-$C$72))"),"")</f>
        <v/>
      </c>
      <c r="F1728" s="61" t="str">
        <f>IFERROR(__xludf.DUMMYFUNCTION("INDIRECT(""'收支紀錄'!F""&amp;TO_TEXT(ROW()-$C$72))"),"")</f>
        <v/>
      </c>
      <c r="G1728" s="61" t="str">
        <f>IFERROR(__xludf.DUMMYFUNCTION("INDIRECT(""'收支紀錄'!G""&amp;TO_TEXT(ROW()-$C$72))"),"")</f>
        <v/>
      </c>
      <c r="H1728" s="61" t="str">
        <f>IFERROR(__xludf.DUMMYFUNCTION("INDIRECT(""'收支紀錄'!H""&amp;TO_TEXT(ROW()-$C$72))"),"食品酒水")</f>
        <v>食品酒水</v>
      </c>
      <c r="I1728" s="61" t="str">
        <f>IFERROR(__xludf.DUMMYFUNCTION("INDIRECT(""'收支紀錄'!I""&amp;TO_TEXT(ROW()-$C$72))"),"前月公司餐費扣款")</f>
        <v>前月公司餐費扣款</v>
      </c>
      <c r="J1728" s="61" t="str">
        <f>IFERROR(__xludf.DUMMYFUNCTION("INDIRECT(""'收支紀錄'!J""&amp;TO_TEXT(ROW()-$C$72))"),"")</f>
        <v/>
      </c>
      <c r="K1728" s="61" t="str">
        <f>IFERROR(__xludf.DUMMYFUNCTION("INDIRECT(""'收支紀錄'!K""&amp;TO_TEXT(ROW()-$C$72))"),"")</f>
        <v/>
      </c>
      <c r="L1728" s="61" t="str">
        <f>IFERROR(__xludf.DUMMYFUNCTION("INDIRECT(""'收支紀錄'!L""&amp;TO_TEXT(ROW()-$C$72))"),"")</f>
        <v/>
      </c>
      <c r="M1728" s="61" t="str">
        <f>IFERROR(__xludf.DUMMYFUNCTION("INDIRECT(""'收支紀錄'!M""&amp;TO_TEXT(ROW()-$C$72))"),"")</f>
        <v/>
      </c>
      <c r="N1728" s="61" t="str">
        <f>IFERROR(__xludf.DUMMYFUNCTION("INDIRECT(""'收支紀錄'!N""&amp;TO_TEXT(ROW()-$C$72))"),"")</f>
        <v/>
      </c>
      <c r="O1728" s="61" t="str">
        <f>IFERROR(__xludf.DUMMYFUNCTION("INDIRECT(""'收支紀錄'!O""&amp;TO_TEXT(ROW()-$C$72))"),"")</f>
        <v/>
      </c>
      <c r="P1728" s="61" t="str">
        <f>IFERROR(__xludf.DUMMYFUNCTION("INDIRECT(""'收支紀錄'!P""&amp;TO_TEXT(ROW()-$C$72))"),"")</f>
        <v/>
      </c>
      <c r="Q1728" s="61" t="str">
        <f>IFERROR(__xludf.DUMMYFUNCTION("INDIRECT(""'收支紀錄'!Q""&amp;TO_TEXT(ROW()-$C$72))"),"")</f>
        <v/>
      </c>
      <c r="R1728" s="61" t="str">
        <f>IFERROR(__xludf.DUMMYFUNCTION("INDIRECT(""'收支紀錄'!R""&amp;TO_TEXT(ROW()-$C$72))"),"")</f>
        <v/>
      </c>
      <c r="S1728" s="61" t="str">
        <f>IFERROR(__xludf.DUMMYFUNCTION("INDIRECT(""'收支紀錄'!S""&amp;TO_TEXT(ROW()-$C$72))"),"薪資單: 薪資_20260705.png; OCR來源: 代扣用餐費")</f>
        <v>薪資單: 薪資_20260705.png; OCR來源: 代扣用餐費</v>
      </c>
      <c r="T1728" s="61" t="str">
        <f>IFERROR(__xludf.DUMMYFUNCTION("INDIRECT(""'收支紀錄'!T""&amp;TO_TEXT(ROW()-$C$72))"),"否")</f>
        <v>否</v>
      </c>
      <c r="U1728" s="62" t="str">
        <f>IFERROR(__xludf.DUMMYFUNCTION("IF(T1728=""是"",TEXTJOIN("""", TRUE, ""$"", TO_TEXT(C1728), S1728),"""")"),"")</f>
        <v/>
      </c>
    </row>
    <row r="1729">
      <c r="A1729" s="58">
        <f>IFERROR(__xludf.DUMMYFUNCTION("INDIRECT(""'收支紀錄'!A""&amp;TO_TEXT(ROW()-$C$72))"),46213.984522569444)</f>
        <v>46213.98452</v>
      </c>
      <c r="B1729" s="59">
        <f>IFERROR(__xludf.DUMMYFUNCTION("IF(ISBLANK(D1729), """", IF(ISDATE(D1729), D1729, IF(D1729=""今天"", A1729, IF(D1729=""昨天 (-1 day)"", A1729-1, IF(D1729=""前天 (-2 days)"", A1729-2, IF(D1729=""明天 (+1 day)"", A1729+1, DATE(LEFT(D1729,4), MID(D1729,5,2), RIGHT(D1729,2))))))))"),46213.984522569444)</f>
        <v>46213.98452</v>
      </c>
      <c r="C1729" s="60">
        <f>IFERROR(__xludf.DUMMYFUNCTION("INDIRECT(""'收支紀錄'!C""&amp;TO_TEXT(ROW()-$C$72))"),6203.0)</f>
        <v>6203</v>
      </c>
      <c r="D1729" s="63" t="str">
        <f>IFERROR(__xludf.DUMMYFUNCTION("INDIRECT(""'收支紀錄'!D""&amp;TO_TEXT(ROW()-$C$72))"),"今天")</f>
        <v>今天</v>
      </c>
      <c r="E1729" s="61" t="str">
        <f>IFERROR(__xludf.DUMMYFUNCTION("INDIRECT(""'收支紀錄'!E""&amp;TO_TEXT(ROW()-$C$72))"),"")</f>
        <v/>
      </c>
      <c r="F1729" s="61" t="str">
        <f>IFERROR(__xludf.DUMMYFUNCTION("INDIRECT(""'收支紀錄'!F""&amp;TO_TEXT(ROW()-$C$72))"),"")</f>
        <v/>
      </c>
      <c r="G1729" s="61" t="str">
        <f>IFERROR(__xludf.DUMMYFUNCTION("INDIRECT(""'收支紀錄'!G""&amp;TO_TEXT(ROW()-$C$72))"),"")</f>
        <v/>
      </c>
      <c r="H1729" s="61" t="str">
        <f>IFERROR(__xludf.DUMMYFUNCTION("INDIRECT(""'收支紀錄'!H""&amp;TO_TEXT(ROW()-$C$72))"),"稅金保險")</f>
        <v>稅金保險</v>
      </c>
      <c r="I1729" s="61" t="str">
        <f>IFERROR(__xludf.DUMMYFUNCTION("INDIRECT(""'收支紀錄'!I""&amp;TO_TEXT(ROW()-$C$72))"),"")</f>
        <v/>
      </c>
      <c r="J1729" s="61" t="str">
        <f>IFERROR(__xludf.DUMMYFUNCTION("INDIRECT(""'收支紀錄'!J""&amp;TO_TEXT(ROW()-$C$72))"),"")</f>
        <v/>
      </c>
      <c r="K1729" s="61" t="str">
        <f>IFERROR(__xludf.DUMMYFUNCTION("INDIRECT(""'收支紀錄'!K""&amp;TO_TEXT(ROW()-$C$72))"),"")</f>
        <v/>
      </c>
      <c r="L1729" s="61" t="str">
        <f>IFERROR(__xludf.DUMMYFUNCTION("INDIRECT(""'收支紀錄'!L""&amp;TO_TEXT(ROW()-$C$72))"),"")</f>
        <v/>
      </c>
      <c r="M1729" s="61" t="str">
        <f>IFERROR(__xludf.DUMMYFUNCTION("INDIRECT(""'收支紀錄'!M""&amp;TO_TEXT(ROW()-$C$72))"),"")</f>
        <v/>
      </c>
      <c r="N1729" s="61" t="str">
        <f>IFERROR(__xludf.DUMMYFUNCTION("INDIRECT(""'收支紀錄'!N""&amp;TO_TEXT(ROW()-$C$72))"),"勞健保")</f>
        <v>勞健保</v>
      </c>
      <c r="O1729" s="61" t="str">
        <f>IFERROR(__xludf.DUMMYFUNCTION("INDIRECT(""'收支紀錄'!O""&amp;TO_TEXT(ROW()-$C$72))"),"")</f>
        <v/>
      </c>
      <c r="P1729" s="61" t="str">
        <f>IFERROR(__xludf.DUMMYFUNCTION("INDIRECT(""'收支紀錄'!P""&amp;TO_TEXT(ROW()-$C$72))"),"")</f>
        <v/>
      </c>
      <c r="Q1729" s="61" t="str">
        <f>IFERROR(__xludf.DUMMYFUNCTION("INDIRECT(""'收支紀錄'!Q""&amp;TO_TEXT(ROW()-$C$72))"),"")</f>
        <v/>
      </c>
      <c r="R1729" s="61" t="str">
        <f>IFERROR(__xludf.DUMMYFUNCTION("INDIRECT(""'收支紀錄'!R""&amp;TO_TEXT(ROW()-$C$72))"),"")</f>
        <v/>
      </c>
      <c r="S1729" s="61" t="str">
        <f>IFERROR(__xludf.DUMMYFUNCTION("INDIRECT(""'收支紀錄'!S""&amp;TO_TEXT(ROW()-$C$72))"),"薪資單: 薪資_20260705.png; OCR來源: 代扣勞保費、代扣健保費、代扣補充保費、代扣勞退自提")</f>
        <v>薪資單: 薪資_20260705.png; OCR來源: 代扣勞保費、代扣健保費、代扣補充保費、代扣勞退自提</v>
      </c>
      <c r="T1729" s="61" t="str">
        <f>IFERROR(__xludf.DUMMYFUNCTION("INDIRECT(""'收支紀錄'!T""&amp;TO_TEXT(ROW()-$C$72))"),"否")</f>
        <v>否</v>
      </c>
      <c r="U1729" s="62" t="str">
        <f>IFERROR(__xludf.DUMMYFUNCTION("IF(T1729=""是"",TEXTJOIN("""", TRUE, ""$"", TO_TEXT(C1729), S1729),"""")"),"")</f>
        <v/>
      </c>
    </row>
    <row r="1730">
      <c r="A1730" s="58">
        <f>IFERROR(__xludf.DUMMYFUNCTION("INDIRECT(""'收支紀錄'!A""&amp;TO_TEXT(ROW()-$C$72))"),46213.98452951389)</f>
        <v>46213.98453</v>
      </c>
      <c r="B1730" s="59">
        <f>IFERROR(__xludf.DUMMYFUNCTION("IF(ISBLANK(D1730), """", IF(ISDATE(D1730), D1730, IF(D1730=""今天"", A1730, IF(D1730=""昨天 (-1 day)"", A1730-1, IF(D1730=""前天 (-2 days)"", A1730-2, IF(D1730=""明天 (+1 day)"", A1730+1, DATE(LEFT(D1730,4), MID(D1730,5,2), RIGHT(D1730,2))))))))"),46213.98452951389)</f>
        <v>46213.98453</v>
      </c>
      <c r="C1730" s="60">
        <f>IFERROR(__xludf.DUMMYFUNCTION("INDIRECT(""'收支紀錄'!C""&amp;TO_TEXT(ROW()-$C$72))"),552.0)</f>
        <v>552</v>
      </c>
      <c r="D1730" s="63" t="str">
        <f>IFERROR(__xludf.DUMMYFUNCTION("INDIRECT(""'收支紀錄'!D""&amp;TO_TEXT(ROW()-$C$72))"),"今天")</f>
        <v>今天</v>
      </c>
      <c r="E1730" s="61" t="str">
        <f>IFERROR(__xludf.DUMMYFUNCTION("INDIRECT(""'收支紀錄'!E""&amp;TO_TEXT(ROW()-$C$72))"),"")</f>
        <v/>
      </c>
      <c r="F1730" s="61" t="str">
        <f>IFERROR(__xludf.DUMMYFUNCTION("INDIRECT(""'收支紀錄'!F""&amp;TO_TEXT(ROW()-$C$72))"),"")</f>
        <v/>
      </c>
      <c r="G1730" s="61" t="str">
        <f>IFERROR(__xludf.DUMMYFUNCTION("INDIRECT(""'收支紀錄'!G""&amp;TO_TEXT(ROW()-$C$72))"),"")</f>
        <v/>
      </c>
      <c r="H1730" s="61" t="str">
        <f>IFERROR(__xludf.DUMMYFUNCTION("INDIRECT(""'收支紀錄'!H""&amp;TO_TEXT(ROW()-$C$72))"),"休閒娛樂")</f>
        <v>休閒娛樂</v>
      </c>
      <c r="I1730" s="61" t="str">
        <f>IFERROR(__xludf.DUMMYFUNCTION("INDIRECT(""'收支紀錄'!I""&amp;TO_TEXT(ROW()-$C$72))"),"")</f>
        <v/>
      </c>
      <c r="J1730" s="61" t="str">
        <f>IFERROR(__xludf.DUMMYFUNCTION("INDIRECT(""'收支紀錄'!J""&amp;TO_TEXT(ROW()-$C$72))"),"")</f>
        <v/>
      </c>
      <c r="K1730" s="61" t="str">
        <f>IFERROR(__xludf.DUMMYFUNCTION("INDIRECT(""'收支紀錄'!K""&amp;TO_TEXT(ROW()-$C$72))"),"")</f>
        <v/>
      </c>
      <c r="L1730" s="61" t="str">
        <f>IFERROR(__xludf.DUMMYFUNCTION("INDIRECT(""'收支紀錄'!L""&amp;TO_TEXT(ROW()-$C$72))"),"")</f>
        <v/>
      </c>
      <c r="M1730" s="61" t="str">
        <f>IFERROR(__xludf.DUMMYFUNCTION("INDIRECT(""'收支紀錄'!M""&amp;TO_TEXT(ROW()-$C$72))"),"公司福利金")</f>
        <v>公司福利金</v>
      </c>
      <c r="N1730" s="61" t="str">
        <f>IFERROR(__xludf.DUMMYFUNCTION("INDIRECT(""'收支紀錄'!N""&amp;TO_TEXT(ROW()-$C$72))"),"")</f>
        <v/>
      </c>
      <c r="O1730" s="61" t="str">
        <f>IFERROR(__xludf.DUMMYFUNCTION("INDIRECT(""'收支紀錄'!O""&amp;TO_TEXT(ROW()-$C$72))"),"")</f>
        <v/>
      </c>
      <c r="P1730" s="61" t="str">
        <f>IFERROR(__xludf.DUMMYFUNCTION("INDIRECT(""'收支紀錄'!P""&amp;TO_TEXT(ROW()-$C$72))"),"")</f>
        <v/>
      </c>
      <c r="Q1730" s="61" t="str">
        <f>IFERROR(__xludf.DUMMYFUNCTION("INDIRECT(""'收支紀錄'!Q""&amp;TO_TEXT(ROW()-$C$72))"),"")</f>
        <v/>
      </c>
      <c r="R1730" s="61" t="str">
        <f>IFERROR(__xludf.DUMMYFUNCTION("INDIRECT(""'收支紀錄'!R""&amp;TO_TEXT(ROW()-$C$72))"),"")</f>
        <v/>
      </c>
      <c r="S1730" s="61" t="str">
        <f>IFERROR(__xludf.DUMMYFUNCTION("INDIRECT(""'收支紀錄'!S""&amp;TO_TEXT(ROW()-$C$72))"),"薪資單: 薪資_20260705.png; OCR來源: 代扣福利金")</f>
        <v>薪資單: 薪資_20260705.png; OCR來源: 代扣福利金</v>
      </c>
      <c r="T1730" s="61" t="str">
        <f>IFERROR(__xludf.DUMMYFUNCTION("INDIRECT(""'收支紀錄'!T""&amp;TO_TEXT(ROW()-$C$72))"),"否")</f>
        <v>否</v>
      </c>
      <c r="U1730" s="62" t="str">
        <f>IFERROR(__xludf.DUMMYFUNCTION("IF(T1730=""是"",TEXTJOIN("""", TRUE, ""$"", TO_TEXT(C1730), S1730),"""")"),"")</f>
        <v/>
      </c>
    </row>
    <row r="1731">
      <c r="A1731" s="58">
        <f>IFERROR(__xludf.DUMMYFUNCTION("INDIRECT(""'收支紀錄'!A""&amp;TO_TEXT(ROW()-$C$72))"),46213.98453677083)</f>
        <v>46213.98454</v>
      </c>
      <c r="B1731" s="59">
        <f>IFERROR(__xludf.DUMMYFUNCTION("IF(ISBLANK(D1731), """", IF(ISDATE(D1731), D1731, IF(D1731=""今天"", A1731, IF(D1731=""昨天 (-1 day)"", A1731-1, IF(D1731=""前天 (-2 days)"", A1731-2, IF(D1731=""明天 (+1 day)"", A1731+1, DATE(LEFT(D1731,4), MID(D1731,5,2), RIGHT(D1731,2))))))))"),46213.98453677083)</f>
        <v>46213.98454</v>
      </c>
      <c r="C1731" s="60">
        <f>IFERROR(__xludf.DUMMYFUNCTION("INDIRECT(""'收支紀錄'!C""&amp;TO_TEXT(ROW()-$C$72))"),3810.0)</f>
        <v>3810</v>
      </c>
      <c r="D1731" s="63" t="str">
        <f>IFERROR(__xludf.DUMMYFUNCTION("INDIRECT(""'收支紀錄'!D""&amp;TO_TEXT(ROW()-$C$72))"),"今天")</f>
        <v>今天</v>
      </c>
      <c r="E1731" s="61" t="str">
        <f>IFERROR(__xludf.DUMMYFUNCTION("INDIRECT(""'收支紀錄'!E""&amp;TO_TEXT(ROW()-$C$72))"),"")</f>
        <v/>
      </c>
      <c r="F1731" s="61" t="str">
        <f>IFERROR(__xludf.DUMMYFUNCTION("INDIRECT(""'收支紀錄'!F""&amp;TO_TEXT(ROW()-$C$72))"),"")</f>
        <v/>
      </c>
      <c r="G1731" s="61" t="str">
        <f>IFERROR(__xludf.DUMMYFUNCTION("INDIRECT(""'收支紀錄'!G""&amp;TO_TEXT(ROW()-$C$72))"),"")</f>
        <v/>
      </c>
      <c r="H1731" s="61" t="str">
        <f>IFERROR(__xludf.DUMMYFUNCTION("INDIRECT(""'收支紀錄'!H""&amp;TO_TEXT(ROW()-$C$72))"),"稅金保險")</f>
        <v>稅金保險</v>
      </c>
      <c r="I1731" s="61" t="str">
        <f>IFERROR(__xludf.DUMMYFUNCTION("INDIRECT(""'收支紀錄'!I""&amp;TO_TEXT(ROW()-$C$72))"),"")</f>
        <v/>
      </c>
      <c r="J1731" s="61" t="str">
        <f>IFERROR(__xludf.DUMMYFUNCTION("INDIRECT(""'收支紀錄'!J""&amp;TO_TEXT(ROW()-$C$72))"),"")</f>
        <v/>
      </c>
      <c r="K1731" s="61" t="str">
        <f>IFERROR(__xludf.DUMMYFUNCTION("INDIRECT(""'收支紀錄'!K""&amp;TO_TEXT(ROW()-$C$72))"),"")</f>
        <v/>
      </c>
      <c r="L1731" s="61" t="str">
        <f>IFERROR(__xludf.DUMMYFUNCTION("INDIRECT(""'收支紀錄'!L""&amp;TO_TEXT(ROW()-$C$72))"),"")</f>
        <v/>
      </c>
      <c r="M1731" s="61" t="str">
        <f>IFERROR(__xludf.DUMMYFUNCTION("INDIRECT(""'收支紀錄'!M""&amp;TO_TEXT(ROW()-$C$72))"),"")</f>
        <v/>
      </c>
      <c r="N1731" s="61" t="str">
        <f>IFERROR(__xludf.DUMMYFUNCTION("INDIRECT(""'收支紀錄'!N""&amp;TO_TEXT(ROW()-$C$72))"),"稅金")</f>
        <v>稅金</v>
      </c>
      <c r="O1731" s="61" t="str">
        <f>IFERROR(__xludf.DUMMYFUNCTION("INDIRECT(""'收支紀錄'!O""&amp;TO_TEXT(ROW()-$C$72))"),"")</f>
        <v/>
      </c>
      <c r="P1731" s="61" t="str">
        <f>IFERROR(__xludf.DUMMYFUNCTION("INDIRECT(""'收支紀錄'!P""&amp;TO_TEXT(ROW()-$C$72))"),"")</f>
        <v/>
      </c>
      <c r="Q1731" s="61" t="str">
        <f>IFERROR(__xludf.DUMMYFUNCTION("INDIRECT(""'收支紀錄'!Q""&amp;TO_TEXT(ROW()-$C$72))"),"")</f>
        <v/>
      </c>
      <c r="R1731" s="61" t="str">
        <f>IFERROR(__xludf.DUMMYFUNCTION("INDIRECT(""'收支紀錄'!R""&amp;TO_TEXT(ROW()-$C$72))"),"")</f>
        <v/>
      </c>
      <c r="S1731" s="61" t="str">
        <f>IFERROR(__xludf.DUMMYFUNCTION("INDIRECT(""'收支紀錄'!S""&amp;TO_TEXT(ROW()-$C$72))"),"薪資單: 薪資_20260705.png; OCR來源: 代扣所得稅")</f>
        <v>薪資單: 薪資_20260705.png; OCR來源: 代扣所得稅</v>
      </c>
      <c r="T1731" s="61" t="str">
        <f>IFERROR(__xludf.DUMMYFUNCTION("INDIRECT(""'收支紀錄'!T""&amp;TO_TEXT(ROW()-$C$72))"),"否")</f>
        <v>否</v>
      </c>
      <c r="U1731" s="62" t="str">
        <f>IFERROR(__xludf.DUMMYFUNCTION("IF(T1731=""是"",TEXTJOIN("""", TRUE, ""$"", TO_TEXT(C1731), S1731),"""")"),"")</f>
        <v/>
      </c>
    </row>
    <row r="1732">
      <c r="A1732" s="58">
        <f>IFERROR(__xludf.DUMMYFUNCTION("INDIRECT(""'收支紀錄'!A""&amp;TO_TEXT(ROW()-$C$72))"),46214.01004422454)</f>
        <v>46214.01004</v>
      </c>
      <c r="B1732" s="59">
        <f>IFERROR(__xludf.DUMMYFUNCTION("IF(ISBLANK(D1732), """", IF(ISDATE(D1732), D1732, IF(D1732=""今天"", A1732, IF(D1732=""昨天 (-1 day)"", A1732-1, IF(D1732=""前天 (-2 days)"", A1732-2, IF(D1732=""明天 (+1 day)"", A1732+1, DATE(LEFT(D1732,4), MID(D1732,5,2), RIGHT(D1732,2))))))))"),46214.01004422454)</f>
        <v>46214.01004</v>
      </c>
      <c r="C1732" s="60">
        <f>IFERROR(__xludf.DUMMYFUNCTION("INDIRECT(""'收支紀錄'!C""&amp;TO_TEXT(ROW()-$C$72))"),6000.0)</f>
        <v>6000</v>
      </c>
      <c r="D1732" s="63" t="str">
        <f>IFERROR(__xludf.DUMMYFUNCTION("INDIRECT(""'收支紀錄'!D""&amp;TO_TEXT(ROW()-$C$72))"),"今天")</f>
        <v>今天</v>
      </c>
      <c r="E1732" s="61" t="str">
        <f>IFERROR(__xludf.DUMMYFUNCTION("INDIRECT(""'收支紀錄'!E""&amp;TO_TEXT(ROW()-$C$72))"),"其他業外")</f>
        <v>其他業外</v>
      </c>
      <c r="F1732" s="61" t="str">
        <f>IFERROR(__xludf.DUMMYFUNCTION("INDIRECT(""'收支紀錄'!F""&amp;TO_TEXT(ROW()-$C$72))"),"")</f>
        <v/>
      </c>
      <c r="G1732" s="61" t="str">
        <f>IFERROR(__xludf.DUMMYFUNCTION("INDIRECT(""'收支紀錄'!G""&amp;TO_TEXT(ROW()-$C$72))"),"房屋補貼")</f>
        <v>房屋補貼</v>
      </c>
      <c r="H1732" s="61" t="str">
        <f>IFERROR(__xludf.DUMMYFUNCTION("INDIRECT(""'收支紀錄'!H""&amp;TO_TEXT(ROW()-$C$72))"),"")</f>
        <v/>
      </c>
      <c r="I1732" s="61" t="str">
        <f>IFERROR(__xludf.DUMMYFUNCTION("INDIRECT(""'收支紀錄'!I""&amp;TO_TEXT(ROW()-$C$72))"),"")</f>
        <v/>
      </c>
      <c r="J1732" s="61" t="str">
        <f>IFERROR(__xludf.DUMMYFUNCTION("INDIRECT(""'收支紀錄'!J""&amp;TO_TEXT(ROW()-$C$72))"),"")</f>
        <v/>
      </c>
      <c r="K1732" s="61" t="str">
        <f>IFERROR(__xludf.DUMMYFUNCTION("INDIRECT(""'收支紀錄'!K""&amp;TO_TEXT(ROW()-$C$72))"),"")</f>
        <v/>
      </c>
      <c r="L1732" s="61" t="str">
        <f>IFERROR(__xludf.DUMMYFUNCTION("INDIRECT(""'收支紀錄'!L""&amp;TO_TEXT(ROW()-$C$72))"),"")</f>
        <v/>
      </c>
      <c r="M1732" s="61" t="str">
        <f>IFERROR(__xludf.DUMMYFUNCTION("INDIRECT(""'收支紀錄'!M""&amp;TO_TEXT(ROW()-$C$72))"),"")</f>
        <v/>
      </c>
      <c r="N1732" s="61" t="str">
        <f>IFERROR(__xludf.DUMMYFUNCTION("INDIRECT(""'收支紀錄'!N""&amp;TO_TEXT(ROW()-$C$72))"),"")</f>
        <v/>
      </c>
      <c r="O1732" s="61" t="str">
        <f>IFERROR(__xludf.DUMMYFUNCTION("INDIRECT(""'收支紀錄'!O""&amp;TO_TEXT(ROW()-$C$72))"),"")</f>
        <v/>
      </c>
      <c r="P1732" s="61" t="str">
        <f>IFERROR(__xludf.DUMMYFUNCTION("INDIRECT(""'收支紀錄'!P""&amp;TO_TEXT(ROW()-$C$72))"),"")</f>
        <v/>
      </c>
      <c r="Q1732" s="61" t="str">
        <f>IFERROR(__xludf.DUMMYFUNCTION("INDIRECT(""'收支紀錄'!Q""&amp;TO_TEXT(ROW()-$C$72))"),"")</f>
        <v/>
      </c>
      <c r="R1732" s="61" t="str">
        <f>IFERROR(__xludf.DUMMYFUNCTION("INDIRECT(""'收支紀錄'!R""&amp;TO_TEXT(ROW()-$C$72))"),"")</f>
        <v/>
      </c>
      <c r="S1732" s="61" t="str">
        <f>IFERROR(__xludf.DUMMYFUNCTION("INDIRECT(""'收支紀錄'!S""&amp;TO_TEXT(ROW()-$C$72))"),"")</f>
        <v/>
      </c>
      <c r="T1732" s="61" t="str">
        <f>IFERROR(__xludf.DUMMYFUNCTION("INDIRECT(""'收支紀錄'!T""&amp;TO_TEXT(ROW()-$C$72))"),"")</f>
        <v/>
      </c>
      <c r="U1732" s="62" t="str">
        <f>IFERROR(__xludf.DUMMYFUNCTION("IF(T1732=""是"",TEXTJOIN("""", TRUE, ""$"", TO_TEXT(C1732), S1732),"""")"),"")</f>
        <v/>
      </c>
    </row>
    <row r="1733">
      <c r="A1733" s="58">
        <f>IFERROR(__xludf.DUMMYFUNCTION("INDIRECT(""'收支紀錄'!A""&amp;TO_TEXT(ROW()-$C$72))"),46214.011466076394)</f>
        <v>46214.01147</v>
      </c>
      <c r="B1733" s="59">
        <f>IFERROR(__xludf.DUMMYFUNCTION("IF(ISBLANK(D1733), """", IF(ISDATE(D1733), D1733, IF(D1733=""今天"", A1733, IF(D1733=""昨天 (-1 day)"", A1733-1, IF(D1733=""前天 (-2 days)"", A1733-2, IF(D1733=""明天 (+1 day)"", A1733+1, DATE(LEFT(D1733,4), MID(D1733,5,2), RIGHT(D1733,2))))))))"),46199.0)</f>
        <v>46199</v>
      </c>
      <c r="C1733" s="60">
        <f>IFERROR(__xludf.DUMMYFUNCTION("INDIRECT(""'收支紀錄'!C""&amp;TO_TEXT(ROW()-$C$72))"),2800.0)</f>
        <v>2800</v>
      </c>
      <c r="D1733" s="63">
        <f>IFERROR(__xludf.DUMMYFUNCTION("INDIRECT(""'收支紀錄'!D""&amp;TO_TEXT(ROW()-$C$72))"),2.0260626E7)</f>
        <v>20260626</v>
      </c>
      <c r="E1733" s="61" t="str">
        <f>IFERROR(__xludf.DUMMYFUNCTION("INDIRECT(""'收支紀錄'!E""&amp;TO_TEXT(ROW()-$C$72))"),"其他業外")</f>
        <v>其他業外</v>
      </c>
      <c r="F1733" s="61" t="str">
        <f>IFERROR(__xludf.DUMMYFUNCTION("INDIRECT(""'收支紀錄'!F""&amp;TO_TEXT(ROW()-$C$72))"),"")</f>
        <v/>
      </c>
      <c r="G1733" s="61" t="str">
        <f>IFERROR(__xludf.DUMMYFUNCTION("INDIRECT(""'收支紀錄'!G""&amp;TO_TEXT(ROW()-$C$72))"),"股票配息")</f>
        <v>股票配息</v>
      </c>
      <c r="H1733" s="61" t="str">
        <f>IFERROR(__xludf.DUMMYFUNCTION("INDIRECT(""'收支紀錄'!H""&amp;TO_TEXT(ROW()-$C$72))"),"")</f>
        <v/>
      </c>
      <c r="I1733" s="61" t="str">
        <f>IFERROR(__xludf.DUMMYFUNCTION("INDIRECT(""'收支紀錄'!I""&amp;TO_TEXT(ROW()-$C$72))"),"")</f>
        <v/>
      </c>
      <c r="J1733" s="61" t="str">
        <f>IFERROR(__xludf.DUMMYFUNCTION("INDIRECT(""'收支紀錄'!J""&amp;TO_TEXT(ROW()-$C$72))"),"")</f>
        <v/>
      </c>
      <c r="K1733" s="61" t="str">
        <f>IFERROR(__xludf.DUMMYFUNCTION("INDIRECT(""'收支紀錄'!K""&amp;TO_TEXT(ROW()-$C$72))"),"")</f>
        <v/>
      </c>
      <c r="L1733" s="61" t="str">
        <f>IFERROR(__xludf.DUMMYFUNCTION("INDIRECT(""'收支紀錄'!L""&amp;TO_TEXT(ROW()-$C$72))"),"")</f>
        <v/>
      </c>
      <c r="M1733" s="61" t="str">
        <f>IFERROR(__xludf.DUMMYFUNCTION("INDIRECT(""'收支紀錄'!M""&amp;TO_TEXT(ROW()-$C$72))"),"")</f>
        <v/>
      </c>
      <c r="N1733" s="61" t="str">
        <f>IFERROR(__xludf.DUMMYFUNCTION("INDIRECT(""'收支紀錄'!N""&amp;TO_TEXT(ROW()-$C$72))"),"")</f>
        <v/>
      </c>
      <c r="O1733" s="61" t="str">
        <f>IFERROR(__xludf.DUMMYFUNCTION("INDIRECT(""'收支紀錄'!O""&amp;TO_TEXT(ROW()-$C$72))"),"")</f>
        <v/>
      </c>
      <c r="P1733" s="61" t="str">
        <f>IFERROR(__xludf.DUMMYFUNCTION("INDIRECT(""'收支紀錄'!P""&amp;TO_TEXT(ROW()-$C$72))"),"")</f>
        <v/>
      </c>
      <c r="Q1733" s="61" t="str">
        <f>IFERROR(__xludf.DUMMYFUNCTION("INDIRECT(""'收支紀錄'!Q""&amp;TO_TEXT(ROW()-$C$72))"),"")</f>
        <v/>
      </c>
      <c r="R1733" s="61" t="str">
        <f>IFERROR(__xludf.DUMMYFUNCTION("INDIRECT(""'收支紀錄'!R""&amp;TO_TEXT(ROW()-$C$72))"),"")</f>
        <v/>
      </c>
      <c r="S1733" s="61" t="str">
        <f>IFERROR(__xludf.DUMMYFUNCTION("INDIRECT(""'收支紀錄'!S""&amp;TO_TEXT(ROW()-$C$72))"),"華通")</f>
        <v>華通</v>
      </c>
      <c r="T1733" s="61" t="str">
        <f>IFERROR(__xludf.DUMMYFUNCTION("INDIRECT(""'收支紀錄'!T""&amp;TO_TEXT(ROW()-$C$72))"),"是")</f>
        <v>是</v>
      </c>
      <c r="U1733" s="62" t="str">
        <f>IFERROR(__xludf.DUMMYFUNCTION("IF(T1733=""是"",TEXTJOIN("""", TRUE, ""$"", TO_TEXT(C1733), S1733),"""")"),"$2800華通")</f>
        <v>$2800華通</v>
      </c>
    </row>
    <row r="1734">
      <c r="A1734" s="58">
        <f>IFERROR(__xludf.DUMMYFUNCTION("INDIRECT(""'收支紀錄'!A""&amp;TO_TEXT(ROW()-$C$72))"),46214.01311240741)</f>
        <v>46214.01311</v>
      </c>
      <c r="B1734" s="59">
        <f>IFERROR(__xludf.DUMMYFUNCTION("IF(ISBLANK(D1734), """", IF(ISDATE(D1734), D1734, IF(D1734=""今天"", A1734, IF(D1734=""昨天 (-1 day)"", A1734-1, IF(D1734=""前天 (-2 days)"", A1734-2, IF(D1734=""明天 (+1 day)"", A1734+1, DATE(LEFT(D1734,4), MID(D1734,5,2), RIGHT(D1734,2))))))))"),46214.01311240741)</f>
        <v>46214.01311</v>
      </c>
      <c r="C1734" s="60">
        <f>IFERROR(__xludf.DUMMYFUNCTION("INDIRECT(""'收支紀錄'!C""&amp;TO_TEXT(ROW()-$C$72))"),4412.0)</f>
        <v>4412</v>
      </c>
      <c r="D1734" s="63" t="str">
        <f>IFERROR(__xludf.DUMMYFUNCTION("INDIRECT(""'收支紀錄'!D""&amp;TO_TEXT(ROW()-$C$72))"),"今天")</f>
        <v>今天</v>
      </c>
      <c r="E1734" s="61" t="str">
        <f>IFERROR(__xludf.DUMMYFUNCTION("INDIRECT(""'收支紀錄'!E""&amp;TO_TEXT(ROW()-$C$72))"),"")</f>
        <v/>
      </c>
      <c r="F1734" s="61" t="str">
        <f>IFERROR(__xludf.DUMMYFUNCTION("INDIRECT(""'收支紀錄'!F""&amp;TO_TEXT(ROW()-$C$72))"),"")</f>
        <v/>
      </c>
      <c r="G1734" s="61" t="str">
        <f>IFERROR(__xludf.DUMMYFUNCTION("INDIRECT(""'收支紀錄'!G""&amp;TO_TEXT(ROW()-$C$72))"),"")</f>
        <v/>
      </c>
      <c r="H1734" s="61" t="str">
        <f>IFERROR(__xludf.DUMMYFUNCTION("INDIRECT(""'收支紀錄'!H""&amp;TO_TEXT(ROW()-$C$72))"),"投資及其他")</f>
        <v>投資及其他</v>
      </c>
      <c r="I1734" s="61" t="str">
        <f>IFERROR(__xludf.DUMMYFUNCTION("INDIRECT(""'收支紀錄'!I""&amp;TO_TEXT(ROW()-$C$72))"),"")</f>
        <v/>
      </c>
      <c r="J1734" s="61" t="str">
        <f>IFERROR(__xludf.DUMMYFUNCTION("INDIRECT(""'收支紀錄'!J""&amp;TO_TEXT(ROW()-$C$72))"),"")</f>
        <v/>
      </c>
      <c r="K1734" s="61" t="str">
        <f>IFERROR(__xludf.DUMMYFUNCTION("INDIRECT(""'收支紀錄'!K""&amp;TO_TEXT(ROW()-$C$72))"),"")</f>
        <v/>
      </c>
      <c r="L1734" s="61" t="str">
        <f>IFERROR(__xludf.DUMMYFUNCTION("INDIRECT(""'收支紀錄'!L""&amp;TO_TEXT(ROW()-$C$72))"),"")</f>
        <v/>
      </c>
      <c r="M1734" s="61" t="str">
        <f>IFERROR(__xludf.DUMMYFUNCTION("INDIRECT(""'收支紀錄'!M""&amp;TO_TEXT(ROW()-$C$72))"),"")</f>
        <v/>
      </c>
      <c r="N1734" s="61" t="str">
        <f>IFERROR(__xludf.DUMMYFUNCTION("INDIRECT(""'收支紀錄'!N""&amp;TO_TEXT(ROW()-$C$72))"),"")</f>
        <v/>
      </c>
      <c r="O1734" s="61" t="str">
        <f>IFERROR(__xludf.DUMMYFUNCTION("INDIRECT(""'收支紀錄'!O""&amp;TO_TEXT(ROW()-$C$72))"),"")</f>
        <v/>
      </c>
      <c r="P1734" s="61" t="str">
        <f>IFERROR(__xludf.DUMMYFUNCTION("INDIRECT(""'收支紀錄'!P""&amp;TO_TEXT(ROW()-$C$72))"),"")</f>
        <v/>
      </c>
      <c r="Q1734" s="61" t="str">
        <f>IFERROR(__xludf.DUMMYFUNCTION("INDIRECT(""'收支紀錄'!Q""&amp;TO_TEXT(ROW()-$C$72))"),"")</f>
        <v/>
      </c>
      <c r="R1734" s="61" t="str">
        <f>IFERROR(__xludf.DUMMYFUNCTION("INDIRECT(""'收支紀錄'!R""&amp;TO_TEXT(ROW()-$C$72))"),"公司認股")</f>
        <v>公司認股</v>
      </c>
      <c r="S1734" s="61" t="str">
        <f>IFERROR(__xludf.DUMMYFUNCTION("INDIRECT(""'收支紀錄'!S""&amp;TO_TEXT(ROW()-$C$72))"),"")</f>
        <v/>
      </c>
      <c r="T1734" s="61" t="str">
        <f>IFERROR(__xludf.DUMMYFUNCTION("INDIRECT(""'收支紀錄'!T""&amp;TO_TEXT(ROW()-$C$72))"),"")</f>
        <v/>
      </c>
      <c r="U1734" s="62" t="str">
        <f>IFERROR(__xludf.DUMMYFUNCTION("IF(T1734=""是"",TEXTJOIN("""", TRUE, ""$"", TO_TEXT(C1734), S1734),"""")"),"")</f>
        <v/>
      </c>
    </row>
    <row r="1735">
      <c r="A1735" s="58">
        <f>IFERROR(__xludf.DUMMYFUNCTION("INDIRECT(""'收支紀錄'!A""&amp;TO_TEXT(ROW()-$C$72))"),46214.01482153936)</f>
        <v>46214.01482</v>
      </c>
      <c r="B1735" s="59">
        <f>IFERROR(__xludf.DUMMYFUNCTION("IF(ISBLANK(D1735), """", IF(ISDATE(D1735), D1735, IF(D1735=""今天"", A1735, IF(D1735=""昨天 (-1 day)"", A1735-1, IF(D1735=""前天 (-2 days)"", A1735-2, IF(D1735=""明天 (+1 day)"", A1735+1, DATE(LEFT(D1735,4), MID(D1735,5,2), RIGHT(D1735,2))))))))"),46203.0)</f>
        <v>46203</v>
      </c>
      <c r="C1735" s="60">
        <f>IFERROR(__xludf.DUMMYFUNCTION("INDIRECT(""'收支紀錄'!C""&amp;TO_TEXT(ROW()-$C$72))"),356.0)</f>
        <v>356</v>
      </c>
      <c r="D1735" s="63">
        <f>IFERROR(__xludf.DUMMYFUNCTION("INDIRECT(""'收支紀錄'!D""&amp;TO_TEXT(ROW()-$C$72))"),2.026063E7)</f>
        <v>20260630</v>
      </c>
      <c r="E1735" s="61" t="str">
        <f>IFERROR(__xludf.DUMMYFUNCTION("INDIRECT(""'收支紀錄'!E""&amp;TO_TEXT(ROW()-$C$72))"),"")</f>
        <v/>
      </c>
      <c r="F1735" s="61" t="str">
        <f>IFERROR(__xludf.DUMMYFUNCTION("INDIRECT(""'收支紀錄'!F""&amp;TO_TEXT(ROW()-$C$72))"),"")</f>
        <v/>
      </c>
      <c r="G1735" s="61" t="str">
        <f>IFERROR(__xludf.DUMMYFUNCTION("INDIRECT(""'收支紀錄'!G""&amp;TO_TEXT(ROW()-$C$72))"),"")</f>
        <v/>
      </c>
      <c r="H1735" s="61" t="str">
        <f>IFERROR(__xludf.DUMMYFUNCTION("INDIRECT(""'收支紀錄'!H""&amp;TO_TEXT(ROW()-$C$72))"),"行車交通")</f>
        <v>行車交通</v>
      </c>
      <c r="I1735" s="61" t="str">
        <f>IFERROR(__xludf.DUMMYFUNCTION("INDIRECT(""'收支紀錄'!I""&amp;TO_TEXT(ROW()-$C$72))"),"")</f>
        <v/>
      </c>
      <c r="J1735" s="61" t="str">
        <f>IFERROR(__xludf.DUMMYFUNCTION("INDIRECT(""'收支紀錄'!J""&amp;TO_TEXT(ROW()-$C$72))"),"")</f>
        <v/>
      </c>
      <c r="K1735" s="61" t="str">
        <f>IFERROR(__xludf.DUMMYFUNCTION("INDIRECT(""'收支紀錄'!K""&amp;TO_TEXT(ROW()-$C$72))"),"")</f>
        <v/>
      </c>
      <c r="L1735" s="61" t="str">
        <f>IFERROR(__xludf.DUMMYFUNCTION("INDIRECT(""'收支紀錄'!L""&amp;TO_TEXT(ROW()-$C$72))"),"停車")</f>
        <v>停車</v>
      </c>
      <c r="M1735" s="61" t="str">
        <f>IFERROR(__xludf.DUMMYFUNCTION("INDIRECT(""'收支紀錄'!M""&amp;TO_TEXT(ROW()-$C$72))"),"")</f>
        <v/>
      </c>
      <c r="N1735" s="61" t="str">
        <f>IFERROR(__xludf.DUMMYFUNCTION("INDIRECT(""'收支紀錄'!N""&amp;TO_TEXT(ROW()-$C$72))"),"")</f>
        <v/>
      </c>
      <c r="O1735" s="61" t="str">
        <f>IFERROR(__xludf.DUMMYFUNCTION("INDIRECT(""'收支紀錄'!O""&amp;TO_TEXT(ROW()-$C$72))"),"")</f>
        <v/>
      </c>
      <c r="P1735" s="61" t="str">
        <f>IFERROR(__xludf.DUMMYFUNCTION("INDIRECT(""'收支紀錄'!P""&amp;TO_TEXT(ROW()-$C$72))"),"")</f>
        <v/>
      </c>
      <c r="Q1735" s="61" t="str">
        <f>IFERROR(__xludf.DUMMYFUNCTION("INDIRECT(""'收支紀錄'!Q""&amp;TO_TEXT(ROW()-$C$72))"),"")</f>
        <v/>
      </c>
      <c r="R1735" s="61" t="str">
        <f>IFERROR(__xludf.DUMMYFUNCTION("INDIRECT(""'收支紀錄'!R""&amp;TO_TEXT(ROW()-$C$72))"),"")</f>
        <v/>
      </c>
      <c r="S1735" s="61" t="str">
        <f>IFERROR(__xludf.DUMMYFUNCTION("INDIRECT(""'收支紀錄'!S""&amp;TO_TEXT(ROW()-$C$72))"),"")</f>
        <v/>
      </c>
      <c r="T1735" s="61" t="str">
        <f>IFERROR(__xludf.DUMMYFUNCTION("INDIRECT(""'收支紀錄'!T""&amp;TO_TEXT(ROW()-$C$72))"),"")</f>
        <v/>
      </c>
      <c r="U1735" s="62" t="str">
        <f>IFERROR(__xludf.DUMMYFUNCTION("IF(T1735=""是"",TEXTJOIN("""", TRUE, ""$"", TO_TEXT(C1735), S1735),"""")"),"")</f>
        <v/>
      </c>
    </row>
    <row r="1736">
      <c r="A1736" s="58">
        <f>IFERROR(__xludf.DUMMYFUNCTION("INDIRECT(""'收支紀錄'!A""&amp;TO_TEXT(ROW()-$C$72))"),46214.01523398148)</f>
        <v>46214.01523</v>
      </c>
      <c r="B1736" s="59">
        <f>IFERROR(__xludf.DUMMYFUNCTION("IF(ISBLANK(D1736), """", IF(ISDATE(D1736), D1736, IF(D1736=""今天"", A1736, IF(D1736=""昨天 (-1 day)"", A1736-1, IF(D1736=""前天 (-2 days)"", A1736-2, IF(D1736=""明天 (+1 day)"", A1736+1, DATE(LEFT(D1736,4), MID(D1736,5,2), RIGHT(D1736,2))))))))"),46203.0)</f>
        <v>46203</v>
      </c>
      <c r="C1736" s="60">
        <f>IFERROR(__xludf.DUMMYFUNCTION("INDIRECT(""'收支紀錄'!C""&amp;TO_TEXT(ROW()-$C$72))"),800.0)</f>
        <v>800</v>
      </c>
      <c r="D1736" s="63">
        <f>IFERROR(__xludf.DUMMYFUNCTION("INDIRECT(""'收支紀錄'!D""&amp;TO_TEXT(ROW()-$C$72))"),2.026063E7)</f>
        <v>20260630</v>
      </c>
      <c r="E1736" s="61" t="str">
        <f>IFERROR(__xludf.DUMMYFUNCTION("INDIRECT(""'收支紀錄'!E""&amp;TO_TEXT(ROW()-$C$72))"),"")</f>
        <v/>
      </c>
      <c r="F1736" s="61" t="str">
        <f>IFERROR(__xludf.DUMMYFUNCTION("INDIRECT(""'收支紀錄'!F""&amp;TO_TEXT(ROW()-$C$72))"),"")</f>
        <v/>
      </c>
      <c r="G1736" s="61" t="str">
        <f>IFERROR(__xludf.DUMMYFUNCTION("INDIRECT(""'收支紀錄'!G""&amp;TO_TEXT(ROW()-$C$72))"),"")</f>
        <v/>
      </c>
      <c r="H1736" s="61" t="str">
        <f>IFERROR(__xludf.DUMMYFUNCTION("INDIRECT(""'收支紀錄'!H""&amp;TO_TEXT(ROW()-$C$72))"),"行車交通")</f>
        <v>行車交通</v>
      </c>
      <c r="I1736" s="61" t="str">
        <f>IFERROR(__xludf.DUMMYFUNCTION("INDIRECT(""'收支紀錄'!I""&amp;TO_TEXT(ROW()-$C$72))"),"")</f>
        <v/>
      </c>
      <c r="J1736" s="61" t="str">
        <f>IFERROR(__xludf.DUMMYFUNCTION("INDIRECT(""'收支紀錄'!J""&amp;TO_TEXT(ROW()-$C$72))"),"")</f>
        <v/>
      </c>
      <c r="K1736" s="61" t="str">
        <f>IFERROR(__xludf.DUMMYFUNCTION("INDIRECT(""'收支紀錄'!K""&amp;TO_TEXT(ROW()-$C$72))"),"")</f>
        <v/>
      </c>
      <c r="L1736" s="61" t="str">
        <f>IFERROR(__xludf.DUMMYFUNCTION("INDIRECT(""'收支紀錄'!L""&amp;TO_TEXT(ROW()-$C$72))"),"Etag")</f>
        <v>Etag</v>
      </c>
      <c r="M1736" s="61" t="str">
        <f>IFERROR(__xludf.DUMMYFUNCTION("INDIRECT(""'收支紀錄'!M""&amp;TO_TEXT(ROW()-$C$72))"),"")</f>
        <v/>
      </c>
      <c r="N1736" s="61" t="str">
        <f>IFERROR(__xludf.DUMMYFUNCTION("INDIRECT(""'收支紀錄'!N""&amp;TO_TEXT(ROW()-$C$72))"),"")</f>
        <v/>
      </c>
      <c r="O1736" s="61" t="str">
        <f>IFERROR(__xludf.DUMMYFUNCTION("INDIRECT(""'收支紀錄'!O""&amp;TO_TEXT(ROW()-$C$72))"),"")</f>
        <v/>
      </c>
      <c r="P1736" s="61" t="str">
        <f>IFERROR(__xludf.DUMMYFUNCTION("INDIRECT(""'收支紀錄'!P""&amp;TO_TEXT(ROW()-$C$72))"),"")</f>
        <v/>
      </c>
      <c r="Q1736" s="61" t="str">
        <f>IFERROR(__xludf.DUMMYFUNCTION("INDIRECT(""'收支紀錄'!Q""&amp;TO_TEXT(ROW()-$C$72))"),"")</f>
        <v/>
      </c>
      <c r="R1736" s="61" t="str">
        <f>IFERROR(__xludf.DUMMYFUNCTION("INDIRECT(""'收支紀錄'!R""&amp;TO_TEXT(ROW()-$C$72))"),"")</f>
        <v/>
      </c>
      <c r="S1736" s="61" t="str">
        <f>IFERROR(__xludf.DUMMYFUNCTION("INDIRECT(""'收支紀錄'!S""&amp;TO_TEXT(ROW()-$C$72))"),"")</f>
        <v/>
      </c>
      <c r="T1736" s="61" t="str">
        <f>IFERROR(__xludf.DUMMYFUNCTION("INDIRECT(""'收支紀錄'!T""&amp;TO_TEXT(ROW()-$C$72))"),"")</f>
        <v/>
      </c>
      <c r="U1736" s="62" t="str">
        <f>IFERROR(__xludf.DUMMYFUNCTION("IF(T1736=""是"",TEXTJOIN("""", TRUE, ""$"", TO_TEXT(C1736), S1736),"""")"),"")</f>
        <v/>
      </c>
    </row>
    <row r="1737">
      <c r="A1737" s="58">
        <f>IFERROR(__xludf.DUMMYFUNCTION("INDIRECT(""'收支紀錄'!A""&amp;TO_TEXT(ROW()-$C$72))"),46214.01645114583)</f>
        <v>46214.01645</v>
      </c>
      <c r="B1737" s="59">
        <f>IFERROR(__xludf.DUMMYFUNCTION("IF(ISBLANK(D1737), """", IF(ISDATE(D1737), D1737, IF(D1737=""今天"", A1737, IF(D1737=""昨天 (-1 day)"", A1737-1, IF(D1737=""前天 (-2 days)"", A1737-2, IF(D1737=""明天 (+1 day)"", A1737+1, DATE(LEFT(D1737,4), MID(D1737,5,2), RIGHT(D1737,2))))))))"),46203.0)</f>
        <v>46203</v>
      </c>
      <c r="C1737" s="60">
        <f>IFERROR(__xludf.DUMMYFUNCTION("INDIRECT(""'收支紀錄'!C""&amp;TO_TEXT(ROW()-$C$72))"),1268.0)</f>
        <v>1268</v>
      </c>
      <c r="D1737" s="63">
        <f>IFERROR(__xludf.DUMMYFUNCTION("INDIRECT(""'收支紀錄'!D""&amp;TO_TEXT(ROW()-$C$72))"),2.026063E7)</f>
        <v>20260630</v>
      </c>
      <c r="E1737" s="61" t="str">
        <f>IFERROR(__xludf.DUMMYFUNCTION("INDIRECT(""'收支紀錄'!E""&amp;TO_TEXT(ROW()-$C$72))"),"")</f>
        <v/>
      </c>
      <c r="F1737" s="61" t="str">
        <f>IFERROR(__xludf.DUMMYFUNCTION("INDIRECT(""'收支紀錄'!F""&amp;TO_TEXT(ROW()-$C$72))"),"")</f>
        <v/>
      </c>
      <c r="G1737" s="61" t="str">
        <f>IFERROR(__xludf.DUMMYFUNCTION("INDIRECT(""'收支紀錄'!G""&amp;TO_TEXT(ROW()-$C$72))"),"")</f>
        <v/>
      </c>
      <c r="H1737" s="61" t="str">
        <f>IFERROR(__xludf.DUMMYFUNCTION("INDIRECT(""'收支紀錄'!H""&amp;TO_TEXT(ROW()-$C$72))"),"房屋支出")</f>
        <v>房屋支出</v>
      </c>
      <c r="I1737" s="61" t="str">
        <f>IFERROR(__xludf.DUMMYFUNCTION("INDIRECT(""'收支紀錄'!I""&amp;TO_TEXT(ROW()-$C$72))"),"")</f>
        <v/>
      </c>
      <c r="J1737" s="61" t="str">
        <f>IFERROR(__xludf.DUMMYFUNCTION("INDIRECT(""'收支紀錄'!J""&amp;TO_TEXT(ROW()-$C$72))"),"")</f>
        <v/>
      </c>
      <c r="K1737" s="61" t="str">
        <f>IFERROR(__xludf.DUMMYFUNCTION("INDIRECT(""'收支紀錄'!K""&amp;TO_TEXT(ROW()-$C$72))"),"電費")</f>
        <v>電費</v>
      </c>
      <c r="L1737" s="61" t="str">
        <f>IFERROR(__xludf.DUMMYFUNCTION("INDIRECT(""'收支紀錄'!L""&amp;TO_TEXT(ROW()-$C$72))"),"")</f>
        <v/>
      </c>
      <c r="M1737" s="61" t="str">
        <f>IFERROR(__xludf.DUMMYFUNCTION("INDIRECT(""'收支紀錄'!M""&amp;TO_TEXT(ROW()-$C$72))"),"")</f>
        <v/>
      </c>
      <c r="N1737" s="61" t="str">
        <f>IFERROR(__xludf.DUMMYFUNCTION("INDIRECT(""'收支紀錄'!N""&amp;TO_TEXT(ROW()-$C$72))"),"")</f>
        <v/>
      </c>
      <c r="O1737" s="61" t="str">
        <f>IFERROR(__xludf.DUMMYFUNCTION("INDIRECT(""'收支紀錄'!O""&amp;TO_TEXT(ROW()-$C$72))"),"")</f>
        <v/>
      </c>
      <c r="P1737" s="61" t="str">
        <f>IFERROR(__xludf.DUMMYFUNCTION("INDIRECT(""'收支紀錄'!P""&amp;TO_TEXT(ROW()-$C$72))"),"")</f>
        <v/>
      </c>
      <c r="Q1737" s="61" t="str">
        <f>IFERROR(__xludf.DUMMYFUNCTION("INDIRECT(""'收支紀錄'!Q""&amp;TO_TEXT(ROW()-$C$72))"),"")</f>
        <v/>
      </c>
      <c r="R1737" s="61" t="str">
        <f>IFERROR(__xludf.DUMMYFUNCTION("INDIRECT(""'收支紀錄'!R""&amp;TO_TEXT(ROW()-$C$72))"),"")</f>
        <v/>
      </c>
      <c r="S1737" s="61" t="str">
        <f>IFERROR(__xludf.DUMMYFUNCTION("INDIRECT(""'收支紀錄'!S""&amp;TO_TEXT(ROW()-$C$72))"),"")</f>
        <v/>
      </c>
      <c r="T1737" s="61" t="str">
        <f>IFERROR(__xludf.DUMMYFUNCTION("INDIRECT(""'收支紀錄'!T""&amp;TO_TEXT(ROW()-$C$72))"),"")</f>
        <v/>
      </c>
      <c r="U1737" s="62" t="str">
        <f>IFERROR(__xludf.DUMMYFUNCTION("IF(T1737=""是"",TEXTJOIN("""", TRUE, ""$"", TO_TEXT(C1737), S1737),"""")"),"")</f>
        <v/>
      </c>
    </row>
    <row r="1738">
      <c r="A1738" s="58">
        <f>IFERROR(__xludf.DUMMYFUNCTION("INDIRECT(""'收支紀錄'!A""&amp;TO_TEXT(ROW()-$C$72))"),46215.75523445602)</f>
        <v>46215.75523</v>
      </c>
      <c r="B1738" s="59">
        <f>IFERROR(__xludf.DUMMYFUNCTION("IF(ISBLANK(D1738), """", IF(ISDATE(D1738), D1738, IF(D1738=""今天"", A1738, IF(D1738=""昨天 (-1 day)"", A1738-1, IF(D1738=""前天 (-2 days)"", A1738-2, IF(D1738=""明天 (+1 day)"", A1738+1, DATE(LEFT(D1738,4), MID(D1738,5,2), RIGHT(D1738,2))))))))"),46215.75523445602)</f>
        <v>46215.75523</v>
      </c>
      <c r="C1738" s="60">
        <f>IFERROR(__xludf.DUMMYFUNCTION("INDIRECT(""'收支紀錄'!C""&amp;TO_TEXT(ROW()-$C$72))"),327.0)</f>
        <v>327</v>
      </c>
      <c r="D1738" s="63" t="str">
        <f>IFERROR(__xludf.DUMMYFUNCTION("INDIRECT(""'收支紀錄'!D""&amp;TO_TEXT(ROW()-$C$72))"),"今天")</f>
        <v>今天</v>
      </c>
      <c r="E1738" s="61" t="str">
        <f>IFERROR(__xludf.DUMMYFUNCTION("INDIRECT(""'收支紀錄'!E""&amp;TO_TEXT(ROW()-$C$72))"),"")</f>
        <v/>
      </c>
      <c r="F1738" s="61" t="str">
        <f>IFERROR(__xludf.DUMMYFUNCTION("INDIRECT(""'收支紀錄'!F""&amp;TO_TEXT(ROW()-$C$72))"),"")</f>
        <v/>
      </c>
      <c r="G1738" s="61" t="str">
        <f>IFERROR(__xludf.DUMMYFUNCTION("INDIRECT(""'收支紀錄'!G""&amp;TO_TEXT(ROW()-$C$72))"),"")</f>
        <v/>
      </c>
      <c r="H1738" s="61" t="str">
        <f>IFERROR(__xludf.DUMMYFUNCTION("INDIRECT(""'收支紀錄'!H""&amp;TO_TEXT(ROW()-$C$72))"),"食品酒水")</f>
        <v>食品酒水</v>
      </c>
      <c r="I1738" s="61" t="str">
        <f>IFERROR(__xludf.DUMMYFUNCTION("INDIRECT(""'收支紀錄'!I""&amp;TO_TEXT(ROW()-$C$72))"),"食材")</f>
        <v>食材</v>
      </c>
      <c r="J1738" s="61" t="str">
        <f>IFERROR(__xludf.DUMMYFUNCTION("INDIRECT(""'收支紀錄'!J""&amp;TO_TEXT(ROW()-$C$72))"),"")</f>
        <v/>
      </c>
      <c r="K1738" s="61" t="str">
        <f>IFERROR(__xludf.DUMMYFUNCTION("INDIRECT(""'收支紀錄'!K""&amp;TO_TEXT(ROW()-$C$72))"),"")</f>
        <v/>
      </c>
      <c r="L1738" s="61" t="str">
        <f>IFERROR(__xludf.DUMMYFUNCTION("INDIRECT(""'收支紀錄'!L""&amp;TO_TEXT(ROW()-$C$72))"),"")</f>
        <v/>
      </c>
      <c r="M1738" s="61" t="str">
        <f>IFERROR(__xludf.DUMMYFUNCTION("INDIRECT(""'收支紀錄'!M""&amp;TO_TEXT(ROW()-$C$72))"),"")</f>
        <v/>
      </c>
      <c r="N1738" s="61" t="str">
        <f>IFERROR(__xludf.DUMMYFUNCTION("INDIRECT(""'收支紀錄'!N""&amp;TO_TEXT(ROW()-$C$72))"),"")</f>
        <v/>
      </c>
      <c r="O1738" s="61" t="str">
        <f>IFERROR(__xludf.DUMMYFUNCTION("INDIRECT(""'收支紀錄'!O""&amp;TO_TEXT(ROW()-$C$72))"),"")</f>
        <v/>
      </c>
      <c r="P1738" s="61" t="str">
        <f>IFERROR(__xludf.DUMMYFUNCTION("INDIRECT(""'收支紀錄'!P""&amp;TO_TEXT(ROW()-$C$72))"),"")</f>
        <v/>
      </c>
      <c r="Q1738" s="61" t="str">
        <f>IFERROR(__xludf.DUMMYFUNCTION("INDIRECT(""'收支紀錄'!Q""&amp;TO_TEXT(ROW()-$C$72))"),"")</f>
        <v/>
      </c>
      <c r="R1738" s="61" t="str">
        <f>IFERROR(__xludf.DUMMYFUNCTION("INDIRECT(""'收支紀錄'!R""&amp;TO_TEXT(ROW()-$C$72))"),"")</f>
        <v/>
      </c>
      <c r="S1738" s="61" t="str">
        <f>IFERROR(__xludf.DUMMYFUNCTION("INDIRECT(""'收支紀錄'!S""&amp;TO_TEXT(ROW()-$C$72))"),"")</f>
        <v/>
      </c>
      <c r="T1738" s="61" t="str">
        <f>IFERROR(__xludf.DUMMYFUNCTION("INDIRECT(""'收支紀錄'!T""&amp;TO_TEXT(ROW()-$C$72))"),"")</f>
        <v/>
      </c>
      <c r="U1738" s="62" t="str">
        <f>IFERROR(__xludf.DUMMYFUNCTION("IF(T1738=""是"",TEXTJOIN("""", TRUE, ""$"", TO_TEXT(C1738), S1738),"""")"),"")</f>
        <v/>
      </c>
    </row>
    <row r="1739">
      <c r="A1739" s="58">
        <f>IFERROR(__xludf.DUMMYFUNCTION("INDIRECT(""'收支紀錄'!A""&amp;TO_TEXT(ROW()-$C$72))"),46215.755395555556)</f>
        <v>46215.7554</v>
      </c>
      <c r="B1739" s="59">
        <f>IFERROR(__xludf.DUMMYFUNCTION("IF(ISBLANK(D1739), """", IF(ISDATE(D1739), D1739, IF(D1739=""今天"", A1739, IF(D1739=""昨天 (-1 day)"", A1739-1, IF(D1739=""前天 (-2 days)"", A1739-2, IF(D1739=""明天 (+1 day)"", A1739+1, DATE(LEFT(D1739,4), MID(D1739,5,2), RIGHT(D1739,2))))))))"),46215.755395555556)</f>
        <v>46215.7554</v>
      </c>
      <c r="C1739" s="60">
        <f>IFERROR(__xludf.DUMMYFUNCTION("INDIRECT(""'收支紀錄'!C""&amp;TO_TEXT(ROW()-$C$72))"),598.0)</f>
        <v>598</v>
      </c>
      <c r="D1739" s="63" t="str">
        <f>IFERROR(__xludf.DUMMYFUNCTION("INDIRECT(""'收支紀錄'!D""&amp;TO_TEXT(ROW()-$C$72))"),"今天")</f>
        <v>今天</v>
      </c>
      <c r="E1739" s="61" t="str">
        <f>IFERROR(__xludf.DUMMYFUNCTION("INDIRECT(""'收支紀錄'!E""&amp;TO_TEXT(ROW()-$C$72))"),"")</f>
        <v/>
      </c>
      <c r="F1739" s="61" t="str">
        <f>IFERROR(__xludf.DUMMYFUNCTION("INDIRECT(""'收支紀錄'!F""&amp;TO_TEXT(ROW()-$C$72))"),"")</f>
        <v/>
      </c>
      <c r="G1739" s="61" t="str">
        <f>IFERROR(__xludf.DUMMYFUNCTION("INDIRECT(""'收支紀錄'!G""&amp;TO_TEXT(ROW()-$C$72))"),"")</f>
        <v/>
      </c>
      <c r="H1739" s="61" t="str">
        <f>IFERROR(__xludf.DUMMYFUNCTION("INDIRECT(""'收支紀錄'!H""&amp;TO_TEXT(ROW()-$C$72))"),"日常生活")</f>
        <v>日常生活</v>
      </c>
      <c r="I1739" s="61" t="str">
        <f>IFERROR(__xludf.DUMMYFUNCTION("INDIRECT(""'收支紀錄'!I""&amp;TO_TEXT(ROW()-$C$72))"),"")</f>
        <v/>
      </c>
      <c r="J1739" s="61" t="str">
        <f>IFERROR(__xludf.DUMMYFUNCTION("INDIRECT(""'收支紀錄'!J""&amp;TO_TEXT(ROW()-$C$72))"),"日常用品")</f>
        <v>日常用品</v>
      </c>
      <c r="K1739" s="61" t="str">
        <f>IFERROR(__xludf.DUMMYFUNCTION("INDIRECT(""'收支紀錄'!K""&amp;TO_TEXT(ROW()-$C$72))"),"")</f>
        <v/>
      </c>
      <c r="L1739" s="61" t="str">
        <f>IFERROR(__xludf.DUMMYFUNCTION("INDIRECT(""'收支紀錄'!L""&amp;TO_TEXT(ROW()-$C$72))"),"")</f>
        <v/>
      </c>
      <c r="M1739" s="61" t="str">
        <f>IFERROR(__xludf.DUMMYFUNCTION("INDIRECT(""'收支紀錄'!M""&amp;TO_TEXT(ROW()-$C$72))"),"")</f>
        <v/>
      </c>
      <c r="N1739" s="61" t="str">
        <f>IFERROR(__xludf.DUMMYFUNCTION("INDIRECT(""'收支紀錄'!N""&amp;TO_TEXT(ROW()-$C$72))"),"")</f>
        <v/>
      </c>
      <c r="O1739" s="61" t="str">
        <f>IFERROR(__xludf.DUMMYFUNCTION("INDIRECT(""'收支紀錄'!O""&amp;TO_TEXT(ROW()-$C$72))"),"")</f>
        <v/>
      </c>
      <c r="P1739" s="61" t="str">
        <f>IFERROR(__xludf.DUMMYFUNCTION("INDIRECT(""'收支紀錄'!P""&amp;TO_TEXT(ROW()-$C$72))"),"")</f>
        <v/>
      </c>
      <c r="Q1739" s="61" t="str">
        <f>IFERROR(__xludf.DUMMYFUNCTION("INDIRECT(""'收支紀錄'!Q""&amp;TO_TEXT(ROW()-$C$72))"),"")</f>
        <v/>
      </c>
      <c r="R1739" s="61" t="str">
        <f>IFERROR(__xludf.DUMMYFUNCTION("INDIRECT(""'收支紀錄'!R""&amp;TO_TEXT(ROW()-$C$72))"),"")</f>
        <v/>
      </c>
      <c r="S1739" s="61" t="str">
        <f>IFERROR(__xludf.DUMMYFUNCTION("INDIRECT(""'收支紀錄'!S""&amp;TO_TEXT(ROW()-$C$72))"),"")</f>
        <v/>
      </c>
      <c r="T1739" s="61" t="str">
        <f>IFERROR(__xludf.DUMMYFUNCTION("INDIRECT(""'收支紀錄'!T""&amp;TO_TEXT(ROW()-$C$72))"),"")</f>
        <v/>
      </c>
      <c r="U1739" s="62" t="str">
        <f>IFERROR(__xludf.DUMMYFUNCTION("IF(T1739=""是"",TEXTJOIN("""", TRUE, ""$"", TO_TEXT(C1739), S1739),"""")"),"")</f>
        <v/>
      </c>
    </row>
    <row r="1740">
      <c r="A1740" s="58">
        <f>IFERROR(__xludf.DUMMYFUNCTION("INDIRECT(""'收支紀錄'!A""&amp;TO_TEXT(ROW()-$C$72))"),46215.75571261574)</f>
        <v>46215.75571</v>
      </c>
      <c r="B1740" s="59">
        <f>IFERROR(__xludf.DUMMYFUNCTION("IF(ISBLANK(D1740), """", IF(ISDATE(D1740), D1740, IF(D1740=""今天"", A1740, IF(D1740=""昨天 (-1 day)"", A1740-1, IF(D1740=""前天 (-2 days)"", A1740-2, IF(D1740=""明天 (+1 day)"", A1740+1, DATE(LEFT(D1740,4), MID(D1740,5,2), RIGHT(D1740,2))))))))"),46213.75571261574)</f>
        <v>46213.75571</v>
      </c>
      <c r="C1740" s="60">
        <f>IFERROR(__xludf.DUMMYFUNCTION("INDIRECT(""'收支紀錄'!C""&amp;TO_TEXT(ROW()-$C$72))"),82.0)</f>
        <v>82</v>
      </c>
      <c r="D1740" s="63" t="str">
        <f>IFERROR(__xludf.DUMMYFUNCTION("INDIRECT(""'收支紀錄'!D""&amp;TO_TEXT(ROW()-$C$72))"),"前天 (-2 days)")</f>
        <v>前天 (-2 days)</v>
      </c>
      <c r="E1740" s="61" t="str">
        <f>IFERROR(__xludf.DUMMYFUNCTION("INDIRECT(""'收支紀錄'!E""&amp;TO_TEXT(ROW()-$C$72))"),"")</f>
        <v/>
      </c>
      <c r="F1740" s="61" t="str">
        <f>IFERROR(__xludf.DUMMYFUNCTION("INDIRECT(""'收支紀錄'!F""&amp;TO_TEXT(ROW()-$C$72))"),"")</f>
        <v/>
      </c>
      <c r="G1740" s="61" t="str">
        <f>IFERROR(__xludf.DUMMYFUNCTION("INDIRECT(""'收支紀錄'!G""&amp;TO_TEXT(ROW()-$C$72))"),"")</f>
        <v/>
      </c>
      <c r="H1740" s="61" t="str">
        <f>IFERROR(__xludf.DUMMYFUNCTION("INDIRECT(""'收支紀錄'!H""&amp;TO_TEXT(ROW()-$C$72))"),"日常生活")</f>
        <v>日常生活</v>
      </c>
      <c r="I1740" s="61" t="str">
        <f>IFERROR(__xludf.DUMMYFUNCTION("INDIRECT(""'收支紀錄'!I""&amp;TO_TEXT(ROW()-$C$72))"),"")</f>
        <v/>
      </c>
      <c r="J1740" s="61" t="str">
        <f>IFERROR(__xludf.DUMMYFUNCTION("INDIRECT(""'收支紀錄'!J""&amp;TO_TEXT(ROW()-$C$72))"),"日常用品")</f>
        <v>日常用品</v>
      </c>
      <c r="K1740" s="61" t="str">
        <f>IFERROR(__xludf.DUMMYFUNCTION("INDIRECT(""'收支紀錄'!K""&amp;TO_TEXT(ROW()-$C$72))"),"")</f>
        <v/>
      </c>
      <c r="L1740" s="61" t="str">
        <f>IFERROR(__xludf.DUMMYFUNCTION("INDIRECT(""'收支紀錄'!L""&amp;TO_TEXT(ROW()-$C$72))"),"")</f>
        <v/>
      </c>
      <c r="M1740" s="61" t="str">
        <f>IFERROR(__xludf.DUMMYFUNCTION("INDIRECT(""'收支紀錄'!M""&amp;TO_TEXT(ROW()-$C$72))"),"")</f>
        <v/>
      </c>
      <c r="N1740" s="61" t="str">
        <f>IFERROR(__xludf.DUMMYFUNCTION("INDIRECT(""'收支紀錄'!N""&amp;TO_TEXT(ROW()-$C$72))"),"")</f>
        <v/>
      </c>
      <c r="O1740" s="61" t="str">
        <f>IFERROR(__xludf.DUMMYFUNCTION("INDIRECT(""'收支紀錄'!O""&amp;TO_TEXT(ROW()-$C$72))"),"")</f>
        <v/>
      </c>
      <c r="P1740" s="61" t="str">
        <f>IFERROR(__xludf.DUMMYFUNCTION("INDIRECT(""'收支紀錄'!P""&amp;TO_TEXT(ROW()-$C$72))"),"")</f>
        <v/>
      </c>
      <c r="Q1740" s="61" t="str">
        <f>IFERROR(__xludf.DUMMYFUNCTION("INDIRECT(""'收支紀錄'!Q""&amp;TO_TEXT(ROW()-$C$72))"),"")</f>
        <v/>
      </c>
      <c r="R1740" s="61" t="str">
        <f>IFERROR(__xludf.DUMMYFUNCTION("INDIRECT(""'收支紀錄'!R""&amp;TO_TEXT(ROW()-$C$72))"),"")</f>
        <v/>
      </c>
      <c r="S1740" s="61" t="str">
        <f>IFERROR(__xludf.DUMMYFUNCTION("INDIRECT(""'收支紀錄'!S""&amp;TO_TEXT(ROW()-$C$72))"),"")</f>
        <v/>
      </c>
      <c r="T1740" s="61" t="str">
        <f>IFERROR(__xludf.DUMMYFUNCTION("INDIRECT(""'收支紀錄'!T""&amp;TO_TEXT(ROW()-$C$72))"),"")</f>
        <v/>
      </c>
      <c r="U1740" s="62" t="str">
        <f>IFERROR(__xludf.DUMMYFUNCTION("IF(T1740=""是"",TEXTJOIN("""", TRUE, ""$"", TO_TEXT(C1740), S1740),"""")"),"")</f>
        <v/>
      </c>
    </row>
    <row r="1741">
      <c r="A1741" s="58">
        <f>IFERROR(__xludf.DUMMYFUNCTION("INDIRECT(""'收支紀錄'!A""&amp;TO_TEXT(ROW()-$C$72))"),46215.7564109375)</f>
        <v>46215.75641</v>
      </c>
      <c r="B1741" s="59">
        <f>IFERROR(__xludf.DUMMYFUNCTION("IF(ISBLANK(D1741), """", IF(ISDATE(D1741), D1741, IF(D1741=""今天"", A1741, IF(D1741=""昨天 (-1 day)"", A1741-1, IF(D1741=""前天 (-2 days)"", A1741-2, IF(D1741=""明天 (+1 day)"", A1741+1, DATE(LEFT(D1741,4), MID(D1741,5,2), RIGHT(D1741,2))))))))"),46213.7564109375)</f>
        <v>46213.75641</v>
      </c>
      <c r="C1741" s="60">
        <f>IFERROR(__xludf.DUMMYFUNCTION("INDIRECT(""'收支紀錄'!C""&amp;TO_TEXT(ROW()-$C$72))"),1250.0)</f>
        <v>1250</v>
      </c>
      <c r="D1741" s="63" t="str">
        <f>IFERROR(__xludf.DUMMYFUNCTION("INDIRECT(""'收支紀錄'!D""&amp;TO_TEXT(ROW()-$C$72))"),"前天 (-2 days)")</f>
        <v>前天 (-2 days)</v>
      </c>
      <c r="E1741" s="61" t="str">
        <f>IFERROR(__xludf.DUMMYFUNCTION("INDIRECT(""'收支紀錄'!E""&amp;TO_TEXT(ROW()-$C$72))"),"")</f>
        <v/>
      </c>
      <c r="F1741" s="61" t="str">
        <f>IFERROR(__xludf.DUMMYFUNCTION("INDIRECT(""'收支紀錄'!F""&amp;TO_TEXT(ROW()-$C$72))"),"")</f>
        <v/>
      </c>
      <c r="G1741" s="61" t="str">
        <f>IFERROR(__xludf.DUMMYFUNCTION("INDIRECT(""'收支紀錄'!G""&amp;TO_TEXT(ROW()-$C$72))"),"")</f>
        <v/>
      </c>
      <c r="H1741" s="61" t="str">
        <f>IFERROR(__xludf.DUMMYFUNCTION("INDIRECT(""'收支紀錄'!H""&amp;TO_TEXT(ROW()-$C$72))"),"食品酒水")</f>
        <v>食品酒水</v>
      </c>
      <c r="I1741" s="61" t="str">
        <f>IFERROR(__xludf.DUMMYFUNCTION("INDIRECT(""'收支紀錄'!I""&amp;TO_TEXT(ROW()-$C$72))"),"午餐")</f>
        <v>午餐</v>
      </c>
      <c r="J1741" s="61" t="str">
        <f>IFERROR(__xludf.DUMMYFUNCTION("INDIRECT(""'收支紀錄'!J""&amp;TO_TEXT(ROW()-$C$72))"),"")</f>
        <v/>
      </c>
      <c r="K1741" s="61" t="str">
        <f>IFERROR(__xludf.DUMMYFUNCTION("INDIRECT(""'收支紀錄'!K""&amp;TO_TEXT(ROW()-$C$72))"),"")</f>
        <v/>
      </c>
      <c r="L1741" s="61" t="str">
        <f>IFERROR(__xludf.DUMMYFUNCTION("INDIRECT(""'收支紀錄'!L""&amp;TO_TEXT(ROW()-$C$72))"),"")</f>
        <v/>
      </c>
      <c r="M1741" s="61" t="str">
        <f>IFERROR(__xludf.DUMMYFUNCTION("INDIRECT(""'收支紀錄'!M""&amp;TO_TEXT(ROW()-$C$72))"),"")</f>
        <v/>
      </c>
      <c r="N1741" s="61" t="str">
        <f>IFERROR(__xludf.DUMMYFUNCTION("INDIRECT(""'收支紀錄'!N""&amp;TO_TEXT(ROW()-$C$72))"),"")</f>
        <v/>
      </c>
      <c r="O1741" s="61" t="str">
        <f>IFERROR(__xludf.DUMMYFUNCTION("INDIRECT(""'收支紀錄'!O""&amp;TO_TEXT(ROW()-$C$72))"),"")</f>
        <v/>
      </c>
      <c r="P1741" s="61" t="str">
        <f>IFERROR(__xludf.DUMMYFUNCTION("INDIRECT(""'收支紀錄'!P""&amp;TO_TEXT(ROW()-$C$72))"),"")</f>
        <v/>
      </c>
      <c r="Q1741" s="61" t="str">
        <f>IFERROR(__xludf.DUMMYFUNCTION("INDIRECT(""'收支紀錄'!Q""&amp;TO_TEXT(ROW()-$C$72))"),"")</f>
        <v/>
      </c>
      <c r="R1741" s="61" t="str">
        <f>IFERROR(__xludf.DUMMYFUNCTION("INDIRECT(""'收支紀錄'!R""&amp;TO_TEXT(ROW()-$C$72))"),"")</f>
        <v/>
      </c>
      <c r="S1741" s="61" t="str">
        <f>IFERROR(__xludf.DUMMYFUNCTION("INDIRECT(""'收支紀錄'!S""&amp;TO_TEXT(ROW()-$C$72))"),"")</f>
        <v/>
      </c>
      <c r="T1741" s="61" t="str">
        <f>IFERROR(__xludf.DUMMYFUNCTION("INDIRECT(""'收支紀錄'!T""&amp;TO_TEXT(ROW()-$C$72))"),"")</f>
        <v/>
      </c>
      <c r="U1741" s="62" t="str">
        <f>IFERROR(__xludf.DUMMYFUNCTION("IF(T1741=""是"",TEXTJOIN("""", TRUE, ""$"", TO_TEXT(C1741), S1741),"""")"),"")</f>
        <v/>
      </c>
    </row>
    <row r="1742">
      <c r="A1742" s="58" t="str">
        <f>IFERROR(__xludf.DUMMYFUNCTION("INDIRECT(""'收支紀錄'!A""&amp;TO_TEXT(ROW()-$C$72))"),"")</f>
        <v/>
      </c>
      <c r="B1742" s="59" t="str">
        <f>IFERROR(__xludf.DUMMYFUNCTION("IF(ISBLANK(D1742), """", IF(ISDATE(D1742), D1742, IF(D1742=""今天"", A1742, IF(D1742=""昨天 (-1 day)"", A1742-1, IF(D1742=""前天 (-2 days)"", A1742-2, IF(D1742=""明天 (+1 day)"", A1742+1, DATE(LEFT(D1742,4), MID(D1742,5,2), RIGHT(D1742,2))))))))"),"")</f>
        <v/>
      </c>
      <c r="C1742" s="60" t="str">
        <f>IFERROR(__xludf.DUMMYFUNCTION("INDIRECT(""'收支紀錄'!C""&amp;TO_TEXT(ROW()-$C$72))"),"")</f>
        <v/>
      </c>
      <c r="D1742" s="63" t="str">
        <f>IFERROR(__xludf.DUMMYFUNCTION("INDIRECT(""'收支紀錄'!D""&amp;TO_TEXT(ROW()-$C$72))"),"")</f>
        <v/>
      </c>
      <c r="E1742" s="61" t="str">
        <f>IFERROR(__xludf.DUMMYFUNCTION("INDIRECT(""'收支紀錄'!E""&amp;TO_TEXT(ROW()-$C$72))"),"")</f>
        <v/>
      </c>
      <c r="F1742" s="61" t="str">
        <f>IFERROR(__xludf.DUMMYFUNCTION("INDIRECT(""'收支紀錄'!F""&amp;TO_TEXT(ROW()-$C$72))"),"")</f>
        <v/>
      </c>
      <c r="G1742" s="61" t="str">
        <f>IFERROR(__xludf.DUMMYFUNCTION("INDIRECT(""'收支紀錄'!G""&amp;TO_TEXT(ROW()-$C$72))"),"")</f>
        <v/>
      </c>
      <c r="H1742" s="61" t="str">
        <f>IFERROR(__xludf.DUMMYFUNCTION("INDIRECT(""'收支紀錄'!H""&amp;TO_TEXT(ROW()-$C$72))"),"")</f>
        <v/>
      </c>
      <c r="I1742" s="61" t="str">
        <f>IFERROR(__xludf.DUMMYFUNCTION("INDIRECT(""'收支紀錄'!I""&amp;TO_TEXT(ROW()-$C$72))"),"")</f>
        <v/>
      </c>
      <c r="J1742" s="61" t="str">
        <f>IFERROR(__xludf.DUMMYFUNCTION("INDIRECT(""'收支紀錄'!J""&amp;TO_TEXT(ROW()-$C$72))"),"")</f>
        <v/>
      </c>
      <c r="K1742" s="61" t="str">
        <f>IFERROR(__xludf.DUMMYFUNCTION("INDIRECT(""'收支紀錄'!K""&amp;TO_TEXT(ROW()-$C$72))"),"")</f>
        <v/>
      </c>
      <c r="L1742" s="61" t="str">
        <f>IFERROR(__xludf.DUMMYFUNCTION("INDIRECT(""'收支紀錄'!L""&amp;TO_TEXT(ROW()-$C$72))"),"")</f>
        <v/>
      </c>
      <c r="M1742" s="61" t="str">
        <f>IFERROR(__xludf.DUMMYFUNCTION("INDIRECT(""'收支紀錄'!M""&amp;TO_TEXT(ROW()-$C$72))"),"")</f>
        <v/>
      </c>
      <c r="N1742" s="61" t="str">
        <f>IFERROR(__xludf.DUMMYFUNCTION("INDIRECT(""'收支紀錄'!N""&amp;TO_TEXT(ROW()-$C$72))"),"")</f>
        <v/>
      </c>
      <c r="O1742" s="61" t="str">
        <f>IFERROR(__xludf.DUMMYFUNCTION("INDIRECT(""'收支紀錄'!O""&amp;TO_TEXT(ROW()-$C$72))"),"")</f>
        <v/>
      </c>
      <c r="P1742" s="61" t="str">
        <f>IFERROR(__xludf.DUMMYFUNCTION("INDIRECT(""'收支紀錄'!P""&amp;TO_TEXT(ROW()-$C$72))"),"")</f>
        <v/>
      </c>
      <c r="Q1742" s="61" t="str">
        <f>IFERROR(__xludf.DUMMYFUNCTION("INDIRECT(""'收支紀錄'!Q""&amp;TO_TEXT(ROW()-$C$72))"),"")</f>
        <v/>
      </c>
      <c r="R1742" s="61" t="str">
        <f>IFERROR(__xludf.DUMMYFUNCTION("INDIRECT(""'收支紀錄'!R""&amp;TO_TEXT(ROW()-$C$72))"),"")</f>
        <v/>
      </c>
      <c r="S1742" s="61" t="str">
        <f>IFERROR(__xludf.DUMMYFUNCTION("INDIRECT(""'收支紀錄'!S""&amp;TO_TEXT(ROW()-$C$72))"),"")</f>
        <v/>
      </c>
      <c r="T1742" s="61" t="str">
        <f>IFERROR(__xludf.DUMMYFUNCTION("INDIRECT(""'收支紀錄'!T""&amp;TO_TEXT(ROW()-$C$72))"),"")</f>
        <v/>
      </c>
      <c r="U1742" s="62" t="str">
        <f>IFERROR(__xludf.DUMMYFUNCTION("IF(T1742=""是"",TEXTJOIN("""", TRUE, ""$"", TO_TEXT(C1742), S1742),"""")"),"")</f>
        <v/>
      </c>
    </row>
    <row r="1743">
      <c r="A1743" s="58" t="str">
        <f>IFERROR(__xludf.DUMMYFUNCTION("INDIRECT(""'收支紀錄'!A""&amp;TO_TEXT(ROW()-$C$72))"),"")</f>
        <v/>
      </c>
      <c r="B1743" s="59" t="str">
        <f>IFERROR(__xludf.DUMMYFUNCTION("IF(ISBLANK(D1743), """", IF(ISDATE(D1743), D1743, IF(D1743=""今天"", A1743, IF(D1743=""昨天 (-1 day)"", A1743-1, IF(D1743=""前天 (-2 days)"", A1743-2, IF(D1743=""明天 (+1 day)"", A1743+1, DATE(LEFT(D1743,4), MID(D1743,5,2), RIGHT(D1743,2))))))))"),"")</f>
        <v/>
      </c>
      <c r="C1743" s="60" t="str">
        <f>IFERROR(__xludf.DUMMYFUNCTION("INDIRECT(""'收支紀錄'!C""&amp;TO_TEXT(ROW()-$C$72))"),"")</f>
        <v/>
      </c>
      <c r="D1743" s="63" t="str">
        <f>IFERROR(__xludf.DUMMYFUNCTION("INDIRECT(""'收支紀錄'!D""&amp;TO_TEXT(ROW()-$C$72))"),"")</f>
        <v/>
      </c>
      <c r="E1743" s="61" t="str">
        <f>IFERROR(__xludf.DUMMYFUNCTION("INDIRECT(""'收支紀錄'!E""&amp;TO_TEXT(ROW()-$C$72))"),"")</f>
        <v/>
      </c>
      <c r="F1743" s="61" t="str">
        <f>IFERROR(__xludf.DUMMYFUNCTION("INDIRECT(""'收支紀錄'!F""&amp;TO_TEXT(ROW()-$C$72))"),"")</f>
        <v/>
      </c>
      <c r="G1743" s="61" t="str">
        <f>IFERROR(__xludf.DUMMYFUNCTION("INDIRECT(""'收支紀錄'!G""&amp;TO_TEXT(ROW()-$C$72))"),"")</f>
        <v/>
      </c>
      <c r="H1743" s="61" t="str">
        <f>IFERROR(__xludf.DUMMYFUNCTION("INDIRECT(""'收支紀錄'!H""&amp;TO_TEXT(ROW()-$C$72))"),"")</f>
        <v/>
      </c>
      <c r="I1743" s="61" t="str">
        <f>IFERROR(__xludf.DUMMYFUNCTION("INDIRECT(""'收支紀錄'!I""&amp;TO_TEXT(ROW()-$C$72))"),"")</f>
        <v/>
      </c>
      <c r="J1743" s="61" t="str">
        <f>IFERROR(__xludf.DUMMYFUNCTION("INDIRECT(""'收支紀錄'!J""&amp;TO_TEXT(ROW()-$C$72))"),"")</f>
        <v/>
      </c>
      <c r="K1743" s="61" t="str">
        <f>IFERROR(__xludf.DUMMYFUNCTION("INDIRECT(""'收支紀錄'!K""&amp;TO_TEXT(ROW()-$C$72))"),"")</f>
        <v/>
      </c>
      <c r="L1743" s="61" t="str">
        <f>IFERROR(__xludf.DUMMYFUNCTION("INDIRECT(""'收支紀錄'!L""&amp;TO_TEXT(ROW()-$C$72))"),"")</f>
        <v/>
      </c>
      <c r="M1743" s="61" t="str">
        <f>IFERROR(__xludf.DUMMYFUNCTION("INDIRECT(""'收支紀錄'!M""&amp;TO_TEXT(ROW()-$C$72))"),"")</f>
        <v/>
      </c>
      <c r="N1743" s="61" t="str">
        <f>IFERROR(__xludf.DUMMYFUNCTION("INDIRECT(""'收支紀錄'!N""&amp;TO_TEXT(ROW()-$C$72))"),"")</f>
        <v/>
      </c>
      <c r="O1743" s="61" t="str">
        <f>IFERROR(__xludf.DUMMYFUNCTION("INDIRECT(""'收支紀錄'!O""&amp;TO_TEXT(ROW()-$C$72))"),"")</f>
        <v/>
      </c>
      <c r="P1743" s="61" t="str">
        <f>IFERROR(__xludf.DUMMYFUNCTION("INDIRECT(""'收支紀錄'!P""&amp;TO_TEXT(ROW()-$C$72))"),"")</f>
        <v/>
      </c>
      <c r="Q1743" s="61" t="str">
        <f>IFERROR(__xludf.DUMMYFUNCTION("INDIRECT(""'收支紀錄'!Q""&amp;TO_TEXT(ROW()-$C$72))"),"")</f>
        <v/>
      </c>
      <c r="R1743" s="61" t="str">
        <f>IFERROR(__xludf.DUMMYFUNCTION("INDIRECT(""'收支紀錄'!R""&amp;TO_TEXT(ROW()-$C$72))"),"")</f>
        <v/>
      </c>
      <c r="S1743" s="61" t="str">
        <f>IFERROR(__xludf.DUMMYFUNCTION("INDIRECT(""'收支紀錄'!S""&amp;TO_TEXT(ROW()-$C$72))"),"")</f>
        <v/>
      </c>
      <c r="T1743" s="61" t="str">
        <f>IFERROR(__xludf.DUMMYFUNCTION("INDIRECT(""'收支紀錄'!T""&amp;TO_TEXT(ROW()-$C$72))"),"")</f>
        <v/>
      </c>
      <c r="U1743" s="62" t="str">
        <f>IFERROR(__xludf.DUMMYFUNCTION("IF(T1743=""是"",TEXTJOIN("""", TRUE, ""$"", TO_TEXT(C1743), S1743),"""")"),"")</f>
        <v/>
      </c>
    </row>
    <row r="1744">
      <c r="A1744" s="58" t="str">
        <f>IFERROR(__xludf.DUMMYFUNCTION("INDIRECT(""'收支紀錄'!A""&amp;TO_TEXT(ROW()-$C$72))"),"")</f>
        <v/>
      </c>
      <c r="B1744" s="59" t="str">
        <f>IFERROR(__xludf.DUMMYFUNCTION("IF(ISBLANK(D1744), """", IF(ISDATE(D1744), D1744, IF(D1744=""今天"", A1744, IF(D1744=""昨天 (-1 day)"", A1744-1, IF(D1744=""前天 (-2 days)"", A1744-2, IF(D1744=""明天 (+1 day)"", A1744+1, DATE(LEFT(D1744,4), MID(D1744,5,2), RIGHT(D1744,2))))))))"),"")</f>
        <v/>
      </c>
      <c r="C1744" s="60" t="str">
        <f>IFERROR(__xludf.DUMMYFUNCTION("INDIRECT(""'收支紀錄'!C""&amp;TO_TEXT(ROW()-$C$72))"),"")</f>
        <v/>
      </c>
      <c r="D1744" s="63" t="str">
        <f>IFERROR(__xludf.DUMMYFUNCTION("INDIRECT(""'收支紀錄'!D""&amp;TO_TEXT(ROW()-$C$72))"),"")</f>
        <v/>
      </c>
      <c r="E1744" s="61" t="str">
        <f>IFERROR(__xludf.DUMMYFUNCTION("INDIRECT(""'收支紀錄'!E""&amp;TO_TEXT(ROW()-$C$72))"),"")</f>
        <v/>
      </c>
      <c r="F1744" s="61" t="str">
        <f>IFERROR(__xludf.DUMMYFUNCTION("INDIRECT(""'收支紀錄'!F""&amp;TO_TEXT(ROW()-$C$72))"),"")</f>
        <v/>
      </c>
      <c r="G1744" s="61" t="str">
        <f>IFERROR(__xludf.DUMMYFUNCTION("INDIRECT(""'收支紀錄'!G""&amp;TO_TEXT(ROW()-$C$72))"),"")</f>
        <v/>
      </c>
      <c r="H1744" s="61" t="str">
        <f>IFERROR(__xludf.DUMMYFUNCTION("INDIRECT(""'收支紀錄'!H""&amp;TO_TEXT(ROW()-$C$72))"),"")</f>
        <v/>
      </c>
      <c r="I1744" s="61" t="str">
        <f>IFERROR(__xludf.DUMMYFUNCTION("INDIRECT(""'收支紀錄'!I""&amp;TO_TEXT(ROW()-$C$72))"),"")</f>
        <v/>
      </c>
      <c r="J1744" s="61" t="str">
        <f>IFERROR(__xludf.DUMMYFUNCTION("INDIRECT(""'收支紀錄'!J""&amp;TO_TEXT(ROW()-$C$72))"),"")</f>
        <v/>
      </c>
      <c r="K1744" s="61" t="str">
        <f>IFERROR(__xludf.DUMMYFUNCTION("INDIRECT(""'收支紀錄'!K""&amp;TO_TEXT(ROW()-$C$72))"),"")</f>
        <v/>
      </c>
      <c r="L1744" s="61" t="str">
        <f>IFERROR(__xludf.DUMMYFUNCTION("INDIRECT(""'收支紀錄'!L""&amp;TO_TEXT(ROW()-$C$72))"),"")</f>
        <v/>
      </c>
      <c r="M1744" s="61" t="str">
        <f>IFERROR(__xludf.DUMMYFUNCTION("INDIRECT(""'收支紀錄'!M""&amp;TO_TEXT(ROW()-$C$72))"),"")</f>
        <v/>
      </c>
      <c r="N1744" s="61" t="str">
        <f>IFERROR(__xludf.DUMMYFUNCTION("INDIRECT(""'收支紀錄'!N""&amp;TO_TEXT(ROW()-$C$72))"),"")</f>
        <v/>
      </c>
      <c r="O1744" s="61" t="str">
        <f>IFERROR(__xludf.DUMMYFUNCTION("INDIRECT(""'收支紀錄'!O""&amp;TO_TEXT(ROW()-$C$72))"),"")</f>
        <v/>
      </c>
      <c r="P1744" s="61" t="str">
        <f>IFERROR(__xludf.DUMMYFUNCTION("INDIRECT(""'收支紀錄'!P""&amp;TO_TEXT(ROW()-$C$72))"),"")</f>
        <v/>
      </c>
      <c r="Q1744" s="61" t="str">
        <f>IFERROR(__xludf.DUMMYFUNCTION("INDIRECT(""'收支紀錄'!Q""&amp;TO_TEXT(ROW()-$C$72))"),"")</f>
        <v/>
      </c>
      <c r="R1744" s="61" t="str">
        <f>IFERROR(__xludf.DUMMYFUNCTION("INDIRECT(""'收支紀錄'!R""&amp;TO_TEXT(ROW()-$C$72))"),"")</f>
        <v/>
      </c>
      <c r="S1744" s="61" t="str">
        <f>IFERROR(__xludf.DUMMYFUNCTION("INDIRECT(""'收支紀錄'!S""&amp;TO_TEXT(ROW()-$C$72))"),"")</f>
        <v/>
      </c>
      <c r="T1744" s="61" t="str">
        <f>IFERROR(__xludf.DUMMYFUNCTION("INDIRECT(""'收支紀錄'!T""&amp;TO_TEXT(ROW()-$C$72))"),"")</f>
        <v/>
      </c>
      <c r="U1744" s="62" t="str">
        <f>IFERROR(__xludf.DUMMYFUNCTION("IF(T1744=""是"",TEXTJOIN("""", TRUE, ""$"", TO_TEXT(C1744), S1744),"""")"),"")</f>
        <v/>
      </c>
    </row>
    <row r="1745">
      <c r="A1745" s="58" t="str">
        <f>IFERROR(__xludf.DUMMYFUNCTION("INDIRECT(""'收支紀錄'!A""&amp;TO_TEXT(ROW()-$C$72))"),"")</f>
        <v/>
      </c>
      <c r="B1745" s="59" t="str">
        <f>IFERROR(__xludf.DUMMYFUNCTION("IF(ISBLANK(D1745), """", IF(ISDATE(D1745), D1745, IF(D1745=""今天"", A1745, IF(D1745=""昨天 (-1 day)"", A1745-1, IF(D1745=""前天 (-2 days)"", A1745-2, IF(D1745=""明天 (+1 day)"", A1745+1, DATE(LEFT(D1745,4), MID(D1745,5,2), RIGHT(D1745,2))))))))"),"")</f>
        <v/>
      </c>
      <c r="C1745" s="60" t="str">
        <f>IFERROR(__xludf.DUMMYFUNCTION("INDIRECT(""'收支紀錄'!C""&amp;TO_TEXT(ROW()-$C$72))"),"")</f>
        <v/>
      </c>
      <c r="D1745" s="63" t="str">
        <f>IFERROR(__xludf.DUMMYFUNCTION("INDIRECT(""'收支紀錄'!D""&amp;TO_TEXT(ROW()-$C$72))"),"")</f>
        <v/>
      </c>
      <c r="E1745" s="61" t="str">
        <f>IFERROR(__xludf.DUMMYFUNCTION("INDIRECT(""'收支紀錄'!E""&amp;TO_TEXT(ROW()-$C$72))"),"")</f>
        <v/>
      </c>
      <c r="F1745" s="61" t="str">
        <f>IFERROR(__xludf.DUMMYFUNCTION("INDIRECT(""'收支紀錄'!F""&amp;TO_TEXT(ROW()-$C$72))"),"")</f>
        <v/>
      </c>
      <c r="G1745" s="61" t="str">
        <f>IFERROR(__xludf.DUMMYFUNCTION("INDIRECT(""'收支紀錄'!G""&amp;TO_TEXT(ROW()-$C$72))"),"")</f>
        <v/>
      </c>
      <c r="H1745" s="61" t="str">
        <f>IFERROR(__xludf.DUMMYFUNCTION("INDIRECT(""'收支紀錄'!H""&amp;TO_TEXT(ROW()-$C$72))"),"")</f>
        <v/>
      </c>
      <c r="I1745" s="61" t="str">
        <f>IFERROR(__xludf.DUMMYFUNCTION("INDIRECT(""'收支紀錄'!I""&amp;TO_TEXT(ROW()-$C$72))"),"")</f>
        <v/>
      </c>
      <c r="J1745" s="61" t="str">
        <f>IFERROR(__xludf.DUMMYFUNCTION("INDIRECT(""'收支紀錄'!J""&amp;TO_TEXT(ROW()-$C$72))"),"")</f>
        <v/>
      </c>
      <c r="K1745" s="61" t="str">
        <f>IFERROR(__xludf.DUMMYFUNCTION("INDIRECT(""'收支紀錄'!K""&amp;TO_TEXT(ROW()-$C$72))"),"")</f>
        <v/>
      </c>
      <c r="L1745" s="61" t="str">
        <f>IFERROR(__xludf.DUMMYFUNCTION("INDIRECT(""'收支紀錄'!L""&amp;TO_TEXT(ROW()-$C$72))"),"")</f>
        <v/>
      </c>
      <c r="M1745" s="61" t="str">
        <f>IFERROR(__xludf.DUMMYFUNCTION("INDIRECT(""'收支紀錄'!M""&amp;TO_TEXT(ROW()-$C$72))"),"")</f>
        <v/>
      </c>
      <c r="N1745" s="61" t="str">
        <f>IFERROR(__xludf.DUMMYFUNCTION("INDIRECT(""'收支紀錄'!N""&amp;TO_TEXT(ROW()-$C$72))"),"")</f>
        <v/>
      </c>
      <c r="O1745" s="61" t="str">
        <f>IFERROR(__xludf.DUMMYFUNCTION("INDIRECT(""'收支紀錄'!O""&amp;TO_TEXT(ROW()-$C$72))"),"")</f>
        <v/>
      </c>
      <c r="P1745" s="61" t="str">
        <f>IFERROR(__xludf.DUMMYFUNCTION("INDIRECT(""'收支紀錄'!P""&amp;TO_TEXT(ROW()-$C$72))"),"")</f>
        <v/>
      </c>
      <c r="Q1745" s="61" t="str">
        <f>IFERROR(__xludf.DUMMYFUNCTION("INDIRECT(""'收支紀錄'!Q""&amp;TO_TEXT(ROW()-$C$72))"),"")</f>
        <v/>
      </c>
      <c r="R1745" s="61" t="str">
        <f>IFERROR(__xludf.DUMMYFUNCTION("INDIRECT(""'收支紀錄'!R""&amp;TO_TEXT(ROW()-$C$72))"),"")</f>
        <v/>
      </c>
      <c r="S1745" s="61" t="str">
        <f>IFERROR(__xludf.DUMMYFUNCTION("INDIRECT(""'收支紀錄'!S""&amp;TO_TEXT(ROW()-$C$72))"),"")</f>
        <v/>
      </c>
      <c r="T1745" s="61" t="str">
        <f>IFERROR(__xludf.DUMMYFUNCTION("INDIRECT(""'收支紀錄'!T""&amp;TO_TEXT(ROW()-$C$72))"),"")</f>
        <v/>
      </c>
      <c r="U1745" s="62" t="str">
        <f>IFERROR(__xludf.DUMMYFUNCTION("IF(T1745=""是"",TEXTJOIN("""", TRUE, ""$"", TO_TEXT(C1745), S1745),"""")"),"")</f>
        <v/>
      </c>
    </row>
    <row r="1746">
      <c r="A1746" s="58" t="str">
        <f>IFERROR(__xludf.DUMMYFUNCTION("INDIRECT(""'收支紀錄'!A""&amp;TO_TEXT(ROW()-$C$72))"),"")</f>
        <v/>
      </c>
      <c r="B1746" s="59" t="str">
        <f>IFERROR(__xludf.DUMMYFUNCTION("IF(ISBLANK(D1746), """", IF(ISDATE(D1746), D1746, IF(D1746=""今天"", A1746, IF(D1746=""昨天 (-1 day)"", A1746-1, IF(D1746=""前天 (-2 days)"", A1746-2, IF(D1746=""明天 (+1 day)"", A1746+1, DATE(LEFT(D1746,4), MID(D1746,5,2), RIGHT(D1746,2))))))))"),"")</f>
        <v/>
      </c>
      <c r="C1746" s="60" t="str">
        <f>IFERROR(__xludf.DUMMYFUNCTION("INDIRECT(""'收支紀錄'!C""&amp;TO_TEXT(ROW()-$C$72))"),"")</f>
        <v/>
      </c>
      <c r="D1746" s="63" t="str">
        <f>IFERROR(__xludf.DUMMYFUNCTION("INDIRECT(""'收支紀錄'!D""&amp;TO_TEXT(ROW()-$C$72))"),"")</f>
        <v/>
      </c>
      <c r="E1746" s="61" t="str">
        <f>IFERROR(__xludf.DUMMYFUNCTION("INDIRECT(""'收支紀錄'!E""&amp;TO_TEXT(ROW()-$C$72))"),"")</f>
        <v/>
      </c>
      <c r="F1746" s="61" t="str">
        <f>IFERROR(__xludf.DUMMYFUNCTION("INDIRECT(""'收支紀錄'!F""&amp;TO_TEXT(ROW()-$C$72))"),"")</f>
        <v/>
      </c>
      <c r="G1746" s="61" t="str">
        <f>IFERROR(__xludf.DUMMYFUNCTION("INDIRECT(""'收支紀錄'!G""&amp;TO_TEXT(ROW()-$C$72))"),"")</f>
        <v/>
      </c>
      <c r="H1746" s="61" t="str">
        <f>IFERROR(__xludf.DUMMYFUNCTION("INDIRECT(""'收支紀錄'!H""&amp;TO_TEXT(ROW()-$C$72))"),"")</f>
        <v/>
      </c>
      <c r="I1746" s="61" t="str">
        <f>IFERROR(__xludf.DUMMYFUNCTION("INDIRECT(""'收支紀錄'!I""&amp;TO_TEXT(ROW()-$C$72))"),"")</f>
        <v/>
      </c>
      <c r="J1746" s="61" t="str">
        <f>IFERROR(__xludf.DUMMYFUNCTION("INDIRECT(""'收支紀錄'!J""&amp;TO_TEXT(ROW()-$C$72))"),"")</f>
        <v/>
      </c>
      <c r="K1746" s="61" t="str">
        <f>IFERROR(__xludf.DUMMYFUNCTION("INDIRECT(""'收支紀錄'!K""&amp;TO_TEXT(ROW()-$C$72))"),"")</f>
        <v/>
      </c>
      <c r="L1746" s="61" t="str">
        <f>IFERROR(__xludf.DUMMYFUNCTION("INDIRECT(""'收支紀錄'!L""&amp;TO_TEXT(ROW()-$C$72))"),"")</f>
        <v/>
      </c>
      <c r="M1746" s="61" t="str">
        <f>IFERROR(__xludf.DUMMYFUNCTION("INDIRECT(""'收支紀錄'!M""&amp;TO_TEXT(ROW()-$C$72))"),"")</f>
        <v/>
      </c>
      <c r="N1746" s="61" t="str">
        <f>IFERROR(__xludf.DUMMYFUNCTION("INDIRECT(""'收支紀錄'!N""&amp;TO_TEXT(ROW()-$C$72))"),"")</f>
        <v/>
      </c>
      <c r="O1746" s="61" t="str">
        <f>IFERROR(__xludf.DUMMYFUNCTION("INDIRECT(""'收支紀錄'!O""&amp;TO_TEXT(ROW()-$C$72))"),"")</f>
        <v/>
      </c>
      <c r="P1746" s="61" t="str">
        <f>IFERROR(__xludf.DUMMYFUNCTION("INDIRECT(""'收支紀錄'!P""&amp;TO_TEXT(ROW()-$C$72))"),"")</f>
        <v/>
      </c>
      <c r="Q1746" s="61" t="str">
        <f>IFERROR(__xludf.DUMMYFUNCTION("INDIRECT(""'收支紀錄'!Q""&amp;TO_TEXT(ROW()-$C$72))"),"")</f>
        <v/>
      </c>
      <c r="R1746" s="61" t="str">
        <f>IFERROR(__xludf.DUMMYFUNCTION("INDIRECT(""'收支紀錄'!R""&amp;TO_TEXT(ROW()-$C$72))"),"")</f>
        <v/>
      </c>
      <c r="S1746" s="61" t="str">
        <f>IFERROR(__xludf.DUMMYFUNCTION("INDIRECT(""'收支紀錄'!S""&amp;TO_TEXT(ROW()-$C$72))"),"")</f>
        <v/>
      </c>
      <c r="T1746" s="61" t="str">
        <f>IFERROR(__xludf.DUMMYFUNCTION("INDIRECT(""'收支紀錄'!T""&amp;TO_TEXT(ROW()-$C$72))"),"")</f>
        <v/>
      </c>
      <c r="U1746" s="62" t="str">
        <f>IFERROR(__xludf.DUMMYFUNCTION("IF(T1746=""是"",TEXTJOIN("""", TRUE, ""$"", TO_TEXT(C1746), S1746),"""")"),"")</f>
        <v/>
      </c>
    </row>
    <row r="1747">
      <c r="A1747" s="58" t="str">
        <f>IFERROR(__xludf.DUMMYFUNCTION("INDIRECT(""'收支紀錄'!A""&amp;TO_TEXT(ROW()-$C$72))"),"")</f>
        <v/>
      </c>
      <c r="B1747" s="59" t="str">
        <f>IFERROR(__xludf.DUMMYFUNCTION("IF(ISBLANK(D1747), """", IF(ISDATE(D1747), D1747, IF(D1747=""今天"", A1747, IF(D1747=""昨天 (-1 day)"", A1747-1, IF(D1747=""前天 (-2 days)"", A1747-2, IF(D1747=""明天 (+1 day)"", A1747+1, DATE(LEFT(D1747,4), MID(D1747,5,2), RIGHT(D1747,2))))))))"),"")</f>
        <v/>
      </c>
      <c r="C1747" s="60" t="str">
        <f>IFERROR(__xludf.DUMMYFUNCTION("INDIRECT(""'收支紀錄'!C""&amp;TO_TEXT(ROW()-$C$72))"),"")</f>
        <v/>
      </c>
      <c r="D1747" s="63" t="str">
        <f>IFERROR(__xludf.DUMMYFUNCTION("INDIRECT(""'收支紀錄'!D""&amp;TO_TEXT(ROW()-$C$72))"),"")</f>
        <v/>
      </c>
      <c r="E1747" s="61" t="str">
        <f>IFERROR(__xludf.DUMMYFUNCTION("INDIRECT(""'收支紀錄'!E""&amp;TO_TEXT(ROW()-$C$72))"),"")</f>
        <v/>
      </c>
      <c r="F1747" s="61" t="str">
        <f>IFERROR(__xludf.DUMMYFUNCTION("INDIRECT(""'收支紀錄'!F""&amp;TO_TEXT(ROW()-$C$72))"),"")</f>
        <v/>
      </c>
      <c r="G1747" s="61" t="str">
        <f>IFERROR(__xludf.DUMMYFUNCTION("INDIRECT(""'收支紀錄'!G""&amp;TO_TEXT(ROW()-$C$72))"),"")</f>
        <v/>
      </c>
      <c r="H1747" s="61" t="str">
        <f>IFERROR(__xludf.DUMMYFUNCTION("INDIRECT(""'收支紀錄'!H""&amp;TO_TEXT(ROW()-$C$72))"),"")</f>
        <v/>
      </c>
      <c r="I1747" s="61" t="str">
        <f>IFERROR(__xludf.DUMMYFUNCTION("INDIRECT(""'收支紀錄'!I""&amp;TO_TEXT(ROW()-$C$72))"),"")</f>
        <v/>
      </c>
      <c r="J1747" s="61" t="str">
        <f>IFERROR(__xludf.DUMMYFUNCTION("INDIRECT(""'收支紀錄'!J""&amp;TO_TEXT(ROW()-$C$72))"),"")</f>
        <v/>
      </c>
      <c r="K1747" s="61" t="str">
        <f>IFERROR(__xludf.DUMMYFUNCTION("INDIRECT(""'收支紀錄'!K""&amp;TO_TEXT(ROW()-$C$72))"),"")</f>
        <v/>
      </c>
      <c r="L1747" s="61" t="str">
        <f>IFERROR(__xludf.DUMMYFUNCTION("INDIRECT(""'收支紀錄'!L""&amp;TO_TEXT(ROW()-$C$72))"),"")</f>
        <v/>
      </c>
      <c r="M1747" s="61" t="str">
        <f>IFERROR(__xludf.DUMMYFUNCTION("INDIRECT(""'收支紀錄'!M""&amp;TO_TEXT(ROW()-$C$72))"),"")</f>
        <v/>
      </c>
      <c r="N1747" s="61" t="str">
        <f>IFERROR(__xludf.DUMMYFUNCTION("INDIRECT(""'收支紀錄'!N""&amp;TO_TEXT(ROW()-$C$72))"),"")</f>
        <v/>
      </c>
      <c r="O1747" s="61" t="str">
        <f>IFERROR(__xludf.DUMMYFUNCTION("INDIRECT(""'收支紀錄'!O""&amp;TO_TEXT(ROW()-$C$72))"),"")</f>
        <v/>
      </c>
      <c r="P1747" s="61" t="str">
        <f>IFERROR(__xludf.DUMMYFUNCTION("INDIRECT(""'收支紀錄'!P""&amp;TO_TEXT(ROW()-$C$72))"),"")</f>
        <v/>
      </c>
      <c r="Q1747" s="61" t="str">
        <f>IFERROR(__xludf.DUMMYFUNCTION("INDIRECT(""'收支紀錄'!Q""&amp;TO_TEXT(ROW()-$C$72))"),"")</f>
        <v/>
      </c>
      <c r="R1747" s="61" t="str">
        <f>IFERROR(__xludf.DUMMYFUNCTION("INDIRECT(""'收支紀錄'!R""&amp;TO_TEXT(ROW()-$C$72))"),"")</f>
        <v/>
      </c>
      <c r="S1747" s="61" t="str">
        <f>IFERROR(__xludf.DUMMYFUNCTION("INDIRECT(""'收支紀錄'!S""&amp;TO_TEXT(ROW()-$C$72))"),"")</f>
        <v/>
      </c>
      <c r="T1747" s="61" t="str">
        <f>IFERROR(__xludf.DUMMYFUNCTION("INDIRECT(""'收支紀錄'!T""&amp;TO_TEXT(ROW()-$C$72))"),"")</f>
        <v/>
      </c>
      <c r="U1747" s="62" t="str">
        <f>IFERROR(__xludf.DUMMYFUNCTION("IF(T1747=""是"",TEXTJOIN("""", TRUE, ""$"", TO_TEXT(C1747), S1747),"""")"),"")</f>
        <v/>
      </c>
    </row>
    <row r="1748">
      <c r="A1748" s="58" t="str">
        <f>IFERROR(__xludf.DUMMYFUNCTION("INDIRECT(""'收支紀錄'!A""&amp;TO_TEXT(ROW()-$C$72))"),"")</f>
        <v/>
      </c>
      <c r="B1748" s="59" t="str">
        <f>IFERROR(__xludf.DUMMYFUNCTION("IF(ISBLANK(D1748), """", IF(ISDATE(D1748), D1748, IF(D1748=""今天"", A1748, IF(D1748=""昨天 (-1 day)"", A1748-1, IF(D1748=""前天 (-2 days)"", A1748-2, IF(D1748=""明天 (+1 day)"", A1748+1, DATE(LEFT(D1748,4), MID(D1748,5,2), RIGHT(D1748,2))))))))"),"")</f>
        <v/>
      </c>
      <c r="C1748" s="60" t="str">
        <f>IFERROR(__xludf.DUMMYFUNCTION("INDIRECT(""'收支紀錄'!C""&amp;TO_TEXT(ROW()-$C$72))"),"")</f>
        <v/>
      </c>
      <c r="D1748" s="63" t="str">
        <f>IFERROR(__xludf.DUMMYFUNCTION("INDIRECT(""'收支紀錄'!D""&amp;TO_TEXT(ROW()-$C$72))"),"")</f>
        <v/>
      </c>
      <c r="E1748" s="61" t="str">
        <f>IFERROR(__xludf.DUMMYFUNCTION("INDIRECT(""'收支紀錄'!E""&amp;TO_TEXT(ROW()-$C$72))"),"")</f>
        <v/>
      </c>
      <c r="F1748" s="61" t="str">
        <f>IFERROR(__xludf.DUMMYFUNCTION("INDIRECT(""'收支紀錄'!F""&amp;TO_TEXT(ROW()-$C$72))"),"")</f>
        <v/>
      </c>
      <c r="G1748" s="61" t="str">
        <f>IFERROR(__xludf.DUMMYFUNCTION("INDIRECT(""'收支紀錄'!G""&amp;TO_TEXT(ROW()-$C$72))"),"")</f>
        <v/>
      </c>
      <c r="H1748" s="61" t="str">
        <f>IFERROR(__xludf.DUMMYFUNCTION("INDIRECT(""'收支紀錄'!H""&amp;TO_TEXT(ROW()-$C$72))"),"")</f>
        <v/>
      </c>
      <c r="I1748" s="61" t="str">
        <f>IFERROR(__xludf.DUMMYFUNCTION("INDIRECT(""'收支紀錄'!I""&amp;TO_TEXT(ROW()-$C$72))"),"")</f>
        <v/>
      </c>
      <c r="J1748" s="61" t="str">
        <f>IFERROR(__xludf.DUMMYFUNCTION("INDIRECT(""'收支紀錄'!J""&amp;TO_TEXT(ROW()-$C$72))"),"")</f>
        <v/>
      </c>
      <c r="K1748" s="61" t="str">
        <f>IFERROR(__xludf.DUMMYFUNCTION("INDIRECT(""'收支紀錄'!K""&amp;TO_TEXT(ROW()-$C$72))"),"")</f>
        <v/>
      </c>
      <c r="L1748" s="61" t="str">
        <f>IFERROR(__xludf.DUMMYFUNCTION("INDIRECT(""'收支紀錄'!L""&amp;TO_TEXT(ROW()-$C$72))"),"")</f>
        <v/>
      </c>
      <c r="M1748" s="61" t="str">
        <f>IFERROR(__xludf.DUMMYFUNCTION("INDIRECT(""'收支紀錄'!M""&amp;TO_TEXT(ROW()-$C$72))"),"")</f>
        <v/>
      </c>
      <c r="N1748" s="61" t="str">
        <f>IFERROR(__xludf.DUMMYFUNCTION("INDIRECT(""'收支紀錄'!N""&amp;TO_TEXT(ROW()-$C$72))"),"")</f>
        <v/>
      </c>
      <c r="O1748" s="61" t="str">
        <f>IFERROR(__xludf.DUMMYFUNCTION("INDIRECT(""'收支紀錄'!O""&amp;TO_TEXT(ROW()-$C$72))"),"")</f>
        <v/>
      </c>
      <c r="P1748" s="61" t="str">
        <f>IFERROR(__xludf.DUMMYFUNCTION("INDIRECT(""'收支紀錄'!P""&amp;TO_TEXT(ROW()-$C$72))"),"")</f>
        <v/>
      </c>
      <c r="Q1748" s="61" t="str">
        <f>IFERROR(__xludf.DUMMYFUNCTION("INDIRECT(""'收支紀錄'!Q""&amp;TO_TEXT(ROW()-$C$72))"),"")</f>
        <v/>
      </c>
      <c r="R1748" s="61" t="str">
        <f>IFERROR(__xludf.DUMMYFUNCTION("INDIRECT(""'收支紀錄'!R""&amp;TO_TEXT(ROW()-$C$72))"),"")</f>
        <v/>
      </c>
      <c r="S1748" s="61" t="str">
        <f>IFERROR(__xludf.DUMMYFUNCTION("INDIRECT(""'收支紀錄'!S""&amp;TO_TEXT(ROW()-$C$72))"),"")</f>
        <v/>
      </c>
      <c r="T1748" s="61" t="str">
        <f>IFERROR(__xludf.DUMMYFUNCTION("INDIRECT(""'收支紀錄'!T""&amp;TO_TEXT(ROW()-$C$72))"),"")</f>
        <v/>
      </c>
      <c r="U1748" s="62" t="str">
        <f>IFERROR(__xludf.DUMMYFUNCTION("IF(T1748=""是"",TEXTJOIN("""", TRUE, ""$"", TO_TEXT(C1748), S1748),"""")"),"")</f>
        <v/>
      </c>
    </row>
    <row r="1749">
      <c r="A1749" s="58" t="str">
        <f>IFERROR(__xludf.DUMMYFUNCTION("INDIRECT(""'收支紀錄'!A""&amp;TO_TEXT(ROW()-$C$72))"),"")</f>
        <v/>
      </c>
      <c r="B1749" s="59" t="str">
        <f>IFERROR(__xludf.DUMMYFUNCTION("IF(ISBLANK(D1749), """", IF(ISDATE(D1749), D1749, IF(D1749=""今天"", A1749, IF(D1749=""昨天 (-1 day)"", A1749-1, IF(D1749=""前天 (-2 days)"", A1749-2, IF(D1749=""明天 (+1 day)"", A1749+1, DATE(LEFT(D1749,4), MID(D1749,5,2), RIGHT(D1749,2))))))))"),"")</f>
        <v/>
      </c>
      <c r="C1749" s="60" t="str">
        <f>IFERROR(__xludf.DUMMYFUNCTION("INDIRECT(""'收支紀錄'!C""&amp;TO_TEXT(ROW()-$C$72))"),"")</f>
        <v/>
      </c>
      <c r="D1749" s="63" t="str">
        <f>IFERROR(__xludf.DUMMYFUNCTION("INDIRECT(""'收支紀錄'!D""&amp;TO_TEXT(ROW()-$C$72))"),"")</f>
        <v/>
      </c>
      <c r="E1749" s="61" t="str">
        <f>IFERROR(__xludf.DUMMYFUNCTION("INDIRECT(""'收支紀錄'!E""&amp;TO_TEXT(ROW()-$C$72))"),"")</f>
        <v/>
      </c>
      <c r="F1749" s="61" t="str">
        <f>IFERROR(__xludf.DUMMYFUNCTION("INDIRECT(""'收支紀錄'!F""&amp;TO_TEXT(ROW()-$C$72))"),"")</f>
        <v/>
      </c>
      <c r="G1749" s="61" t="str">
        <f>IFERROR(__xludf.DUMMYFUNCTION("INDIRECT(""'收支紀錄'!G""&amp;TO_TEXT(ROW()-$C$72))"),"")</f>
        <v/>
      </c>
      <c r="H1749" s="61" t="str">
        <f>IFERROR(__xludf.DUMMYFUNCTION("INDIRECT(""'收支紀錄'!H""&amp;TO_TEXT(ROW()-$C$72))"),"")</f>
        <v/>
      </c>
      <c r="I1749" s="61" t="str">
        <f>IFERROR(__xludf.DUMMYFUNCTION("INDIRECT(""'收支紀錄'!I""&amp;TO_TEXT(ROW()-$C$72))"),"")</f>
        <v/>
      </c>
      <c r="J1749" s="61" t="str">
        <f>IFERROR(__xludf.DUMMYFUNCTION("INDIRECT(""'收支紀錄'!J""&amp;TO_TEXT(ROW()-$C$72))"),"")</f>
        <v/>
      </c>
      <c r="K1749" s="61" t="str">
        <f>IFERROR(__xludf.DUMMYFUNCTION("INDIRECT(""'收支紀錄'!K""&amp;TO_TEXT(ROW()-$C$72))"),"")</f>
        <v/>
      </c>
      <c r="L1749" s="61" t="str">
        <f>IFERROR(__xludf.DUMMYFUNCTION("INDIRECT(""'收支紀錄'!L""&amp;TO_TEXT(ROW()-$C$72))"),"")</f>
        <v/>
      </c>
      <c r="M1749" s="61" t="str">
        <f>IFERROR(__xludf.DUMMYFUNCTION("INDIRECT(""'收支紀錄'!M""&amp;TO_TEXT(ROW()-$C$72))"),"")</f>
        <v/>
      </c>
      <c r="N1749" s="61" t="str">
        <f>IFERROR(__xludf.DUMMYFUNCTION("INDIRECT(""'收支紀錄'!N""&amp;TO_TEXT(ROW()-$C$72))"),"")</f>
        <v/>
      </c>
      <c r="O1749" s="61" t="str">
        <f>IFERROR(__xludf.DUMMYFUNCTION("INDIRECT(""'收支紀錄'!O""&amp;TO_TEXT(ROW()-$C$72))"),"")</f>
        <v/>
      </c>
      <c r="P1749" s="61" t="str">
        <f>IFERROR(__xludf.DUMMYFUNCTION("INDIRECT(""'收支紀錄'!P""&amp;TO_TEXT(ROW()-$C$72))"),"")</f>
        <v/>
      </c>
      <c r="Q1749" s="61" t="str">
        <f>IFERROR(__xludf.DUMMYFUNCTION("INDIRECT(""'收支紀錄'!Q""&amp;TO_TEXT(ROW()-$C$72))"),"")</f>
        <v/>
      </c>
      <c r="R1749" s="61" t="str">
        <f>IFERROR(__xludf.DUMMYFUNCTION("INDIRECT(""'收支紀錄'!R""&amp;TO_TEXT(ROW()-$C$72))"),"")</f>
        <v/>
      </c>
      <c r="S1749" s="61" t="str">
        <f>IFERROR(__xludf.DUMMYFUNCTION("INDIRECT(""'收支紀錄'!S""&amp;TO_TEXT(ROW()-$C$72))"),"")</f>
        <v/>
      </c>
      <c r="T1749" s="61" t="str">
        <f>IFERROR(__xludf.DUMMYFUNCTION("INDIRECT(""'收支紀錄'!T""&amp;TO_TEXT(ROW()-$C$72))"),"")</f>
        <v/>
      </c>
      <c r="U1749" s="62" t="str">
        <f>IFERROR(__xludf.DUMMYFUNCTION("IF(T1749=""是"",TEXTJOIN("""", TRUE, ""$"", TO_TEXT(C1749), S1749),"""")"),"")</f>
        <v/>
      </c>
    </row>
    <row r="1750">
      <c r="A1750" s="58" t="str">
        <f>IFERROR(__xludf.DUMMYFUNCTION("INDIRECT(""'收支紀錄'!A""&amp;TO_TEXT(ROW()-$C$72))"),"")</f>
        <v/>
      </c>
      <c r="B1750" s="59" t="str">
        <f>IFERROR(__xludf.DUMMYFUNCTION("IF(ISBLANK(D1750), """", IF(ISDATE(D1750), D1750, IF(D1750=""今天"", A1750, IF(D1750=""昨天 (-1 day)"", A1750-1, IF(D1750=""前天 (-2 days)"", A1750-2, IF(D1750=""明天 (+1 day)"", A1750+1, DATE(LEFT(D1750,4), MID(D1750,5,2), RIGHT(D1750,2))))))))"),"")</f>
        <v/>
      </c>
      <c r="C1750" s="60" t="str">
        <f>IFERROR(__xludf.DUMMYFUNCTION("INDIRECT(""'收支紀錄'!C""&amp;TO_TEXT(ROW()-$C$72))"),"")</f>
        <v/>
      </c>
      <c r="D1750" s="63" t="str">
        <f>IFERROR(__xludf.DUMMYFUNCTION("INDIRECT(""'收支紀錄'!D""&amp;TO_TEXT(ROW()-$C$72))"),"")</f>
        <v/>
      </c>
      <c r="E1750" s="61" t="str">
        <f>IFERROR(__xludf.DUMMYFUNCTION("INDIRECT(""'收支紀錄'!E""&amp;TO_TEXT(ROW()-$C$72))"),"")</f>
        <v/>
      </c>
      <c r="F1750" s="61" t="str">
        <f>IFERROR(__xludf.DUMMYFUNCTION("INDIRECT(""'收支紀錄'!F""&amp;TO_TEXT(ROW()-$C$72))"),"")</f>
        <v/>
      </c>
      <c r="G1750" s="61" t="str">
        <f>IFERROR(__xludf.DUMMYFUNCTION("INDIRECT(""'收支紀錄'!G""&amp;TO_TEXT(ROW()-$C$72))"),"")</f>
        <v/>
      </c>
      <c r="H1750" s="61" t="str">
        <f>IFERROR(__xludf.DUMMYFUNCTION("INDIRECT(""'收支紀錄'!H""&amp;TO_TEXT(ROW()-$C$72))"),"")</f>
        <v/>
      </c>
      <c r="I1750" s="61" t="str">
        <f>IFERROR(__xludf.DUMMYFUNCTION("INDIRECT(""'收支紀錄'!I""&amp;TO_TEXT(ROW()-$C$72))"),"")</f>
        <v/>
      </c>
      <c r="J1750" s="61" t="str">
        <f>IFERROR(__xludf.DUMMYFUNCTION("INDIRECT(""'收支紀錄'!J""&amp;TO_TEXT(ROW()-$C$72))"),"")</f>
        <v/>
      </c>
      <c r="K1750" s="61" t="str">
        <f>IFERROR(__xludf.DUMMYFUNCTION("INDIRECT(""'收支紀錄'!K""&amp;TO_TEXT(ROW()-$C$72))"),"")</f>
        <v/>
      </c>
      <c r="L1750" s="61" t="str">
        <f>IFERROR(__xludf.DUMMYFUNCTION("INDIRECT(""'收支紀錄'!L""&amp;TO_TEXT(ROW()-$C$72))"),"")</f>
        <v/>
      </c>
      <c r="M1750" s="61" t="str">
        <f>IFERROR(__xludf.DUMMYFUNCTION("INDIRECT(""'收支紀錄'!M""&amp;TO_TEXT(ROW()-$C$72))"),"")</f>
        <v/>
      </c>
      <c r="N1750" s="61" t="str">
        <f>IFERROR(__xludf.DUMMYFUNCTION("INDIRECT(""'收支紀錄'!N""&amp;TO_TEXT(ROW()-$C$72))"),"")</f>
        <v/>
      </c>
      <c r="O1750" s="61" t="str">
        <f>IFERROR(__xludf.DUMMYFUNCTION("INDIRECT(""'收支紀錄'!O""&amp;TO_TEXT(ROW()-$C$72))"),"")</f>
        <v/>
      </c>
      <c r="P1750" s="61" t="str">
        <f>IFERROR(__xludf.DUMMYFUNCTION("INDIRECT(""'收支紀錄'!P""&amp;TO_TEXT(ROW()-$C$72))"),"")</f>
        <v/>
      </c>
      <c r="Q1750" s="61" t="str">
        <f>IFERROR(__xludf.DUMMYFUNCTION("INDIRECT(""'收支紀錄'!Q""&amp;TO_TEXT(ROW()-$C$72))"),"")</f>
        <v/>
      </c>
      <c r="R1750" s="61" t="str">
        <f>IFERROR(__xludf.DUMMYFUNCTION("INDIRECT(""'收支紀錄'!R""&amp;TO_TEXT(ROW()-$C$72))"),"")</f>
        <v/>
      </c>
      <c r="S1750" s="61" t="str">
        <f>IFERROR(__xludf.DUMMYFUNCTION("INDIRECT(""'收支紀錄'!S""&amp;TO_TEXT(ROW()-$C$72))"),"")</f>
        <v/>
      </c>
      <c r="T1750" s="61" t="str">
        <f>IFERROR(__xludf.DUMMYFUNCTION("INDIRECT(""'收支紀錄'!T""&amp;TO_TEXT(ROW()-$C$72))"),"")</f>
        <v/>
      </c>
      <c r="U1750" s="62" t="str">
        <f>IFERROR(__xludf.DUMMYFUNCTION("IF(T1750=""是"",TEXTJOIN("""", TRUE, ""$"", TO_TEXT(C1750), S1750),"""")"),"")</f>
        <v/>
      </c>
    </row>
    <row r="1751">
      <c r="A1751" s="58" t="str">
        <f>IFERROR(__xludf.DUMMYFUNCTION("INDIRECT(""'收支紀錄'!A""&amp;TO_TEXT(ROW()-$C$72))"),"")</f>
        <v/>
      </c>
      <c r="B1751" s="59" t="str">
        <f>IFERROR(__xludf.DUMMYFUNCTION("IF(ISBLANK(D1751), """", IF(ISDATE(D1751), D1751, IF(D1751=""今天"", A1751, IF(D1751=""昨天 (-1 day)"", A1751-1, IF(D1751=""前天 (-2 days)"", A1751-2, IF(D1751=""明天 (+1 day)"", A1751+1, DATE(LEFT(D1751,4), MID(D1751,5,2), RIGHT(D1751,2))))))))"),"")</f>
        <v/>
      </c>
      <c r="C1751" s="60" t="str">
        <f>IFERROR(__xludf.DUMMYFUNCTION("INDIRECT(""'收支紀錄'!C""&amp;TO_TEXT(ROW()-$C$72))"),"")</f>
        <v/>
      </c>
      <c r="D1751" s="63" t="str">
        <f>IFERROR(__xludf.DUMMYFUNCTION("INDIRECT(""'收支紀錄'!D""&amp;TO_TEXT(ROW()-$C$72))"),"")</f>
        <v/>
      </c>
      <c r="E1751" s="61" t="str">
        <f>IFERROR(__xludf.DUMMYFUNCTION("INDIRECT(""'收支紀錄'!E""&amp;TO_TEXT(ROW()-$C$72))"),"")</f>
        <v/>
      </c>
      <c r="F1751" s="61" t="str">
        <f>IFERROR(__xludf.DUMMYFUNCTION("INDIRECT(""'收支紀錄'!F""&amp;TO_TEXT(ROW()-$C$72))"),"")</f>
        <v/>
      </c>
      <c r="G1751" s="61" t="str">
        <f>IFERROR(__xludf.DUMMYFUNCTION("INDIRECT(""'收支紀錄'!G""&amp;TO_TEXT(ROW()-$C$72))"),"")</f>
        <v/>
      </c>
      <c r="H1751" s="61" t="str">
        <f>IFERROR(__xludf.DUMMYFUNCTION("INDIRECT(""'收支紀錄'!H""&amp;TO_TEXT(ROW()-$C$72))"),"")</f>
        <v/>
      </c>
      <c r="I1751" s="61" t="str">
        <f>IFERROR(__xludf.DUMMYFUNCTION("INDIRECT(""'收支紀錄'!I""&amp;TO_TEXT(ROW()-$C$72))"),"")</f>
        <v/>
      </c>
      <c r="J1751" s="61" t="str">
        <f>IFERROR(__xludf.DUMMYFUNCTION("INDIRECT(""'收支紀錄'!J""&amp;TO_TEXT(ROW()-$C$72))"),"")</f>
        <v/>
      </c>
      <c r="K1751" s="61" t="str">
        <f>IFERROR(__xludf.DUMMYFUNCTION("INDIRECT(""'收支紀錄'!K""&amp;TO_TEXT(ROW()-$C$72))"),"")</f>
        <v/>
      </c>
      <c r="L1751" s="61" t="str">
        <f>IFERROR(__xludf.DUMMYFUNCTION("INDIRECT(""'收支紀錄'!L""&amp;TO_TEXT(ROW()-$C$72))"),"")</f>
        <v/>
      </c>
      <c r="M1751" s="61" t="str">
        <f>IFERROR(__xludf.DUMMYFUNCTION("INDIRECT(""'收支紀錄'!M""&amp;TO_TEXT(ROW()-$C$72))"),"")</f>
        <v/>
      </c>
      <c r="N1751" s="61" t="str">
        <f>IFERROR(__xludf.DUMMYFUNCTION("INDIRECT(""'收支紀錄'!N""&amp;TO_TEXT(ROW()-$C$72))"),"")</f>
        <v/>
      </c>
      <c r="O1751" s="61" t="str">
        <f>IFERROR(__xludf.DUMMYFUNCTION("INDIRECT(""'收支紀錄'!O""&amp;TO_TEXT(ROW()-$C$72))"),"")</f>
        <v/>
      </c>
      <c r="P1751" s="61" t="str">
        <f>IFERROR(__xludf.DUMMYFUNCTION("INDIRECT(""'收支紀錄'!P""&amp;TO_TEXT(ROW()-$C$72))"),"")</f>
        <v/>
      </c>
      <c r="Q1751" s="61" t="str">
        <f>IFERROR(__xludf.DUMMYFUNCTION("INDIRECT(""'收支紀錄'!Q""&amp;TO_TEXT(ROW()-$C$72))"),"")</f>
        <v/>
      </c>
      <c r="R1751" s="61" t="str">
        <f>IFERROR(__xludf.DUMMYFUNCTION("INDIRECT(""'收支紀錄'!R""&amp;TO_TEXT(ROW()-$C$72))"),"")</f>
        <v/>
      </c>
      <c r="S1751" s="61" t="str">
        <f>IFERROR(__xludf.DUMMYFUNCTION("INDIRECT(""'收支紀錄'!S""&amp;TO_TEXT(ROW()-$C$72))"),"")</f>
        <v/>
      </c>
      <c r="T1751" s="61" t="str">
        <f>IFERROR(__xludf.DUMMYFUNCTION("INDIRECT(""'收支紀錄'!T""&amp;TO_TEXT(ROW()-$C$72))"),"")</f>
        <v/>
      </c>
      <c r="U1751" s="62" t="str">
        <f>IFERROR(__xludf.DUMMYFUNCTION("IF(T1751=""是"",TEXTJOIN("""", TRUE, ""$"", TO_TEXT(C1751), S1751),"""")"),"")</f>
        <v/>
      </c>
    </row>
    <row r="1752">
      <c r="A1752" s="58" t="str">
        <f>IFERROR(__xludf.DUMMYFUNCTION("INDIRECT(""'收支紀錄'!A""&amp;TO_TEXT(ROW()-$C$72))"),"")</f>
        <v/>
      </c>
      <c r="B1752" s="59" t="str">
        <f>IFERROR(__xludf.DUMMYFUNCTION("IF(ISBLANK(D1752), """", IF(ISDATE(D1752), D1752, IF(D1752=""今天"", A1752, IF(D1752=""昨天 (-1 day)"", A1752-1, IF(D1752=""前天 (-2 days)"", A1752-2, IF(D1752=""明天 (+1 day)"", A1752+1, DATE(LEFT(D1752,4), MID(D1752,5,2), RIGHT(D1752,2))))))))"),"")</f>
        <v/>
      </c>
      <c r="C1752" s="60" t="str">
        <f>IFERROR(__xludf.DUMMYFUNCTION("INDIRECT(""'收支紀錄'!C""&amp;TO_TEXT(ROW()-$C$72))"),"")</f>
        <v/>
      </c>
      <c r="D1752" s="63" t="str">
        <f>IFERROR(__xludf.DUMMYFUNCTION("INDIRECT(""'收支紀錄'!D""&amp;TO_TEXT(ROW()-$C$72))"),"")</f>
        <v/>
      </c>
      <c r="E1752" s="61" t="str">
        <f>IFERROR(__xludf.DUMMYFUNCTION("INDIRECT(""'收支紀錄'!E""&amp;TO_TEXT(ROW()-$C$72))"),"")</f>
        <v/>
      </c>
      <c r="F1752" s="61" t="str">
        <f>IFERROR(__xludf.DUMMYFUNCTION("INDIRECT(""'收支紀錄'!F""&amp;TO_TEXT(ROW()-$C$72))"),"")</f>
        <v/>
      </c>
      <c r="G1752" s="61" t="str">
        <f>IFERROR(__xludf.DUMMYFUNCTION("INDIRECT(""'收支紀錄'!G""&amp;TO_TEXT(ROW()-$C$72))"),"")</f>
        <v/>
      </c>
      <c r="H1752" s="61" t="str">
        <f>IFERROR(__xludf.DUMMYFUNCTION("INDIRECT(""'收支紀錄'!H""&amp;TO_TEXT(ROW()-$C$72))"),"")</f>
        <v/>
      </c>
      <c r="I1752" s="61" t="str">
        <f>IFERROR(__xludf.DUMMYFUNCTION("INDIRECT(""'收支紀錄'!I""&amp;TO_TEXT(ROW()-$C$72))"),"")</f>
        <v/>
      </c>
      <c r="J1752" s="61" t="str">
        <f>IFERROR(__xludf.DUMMYFUNCTION("INDIRECT(""'收支紀錄'!J""&amp;TO_TEXT(ROW()-$C$72))"),"")</f>
        <v/>
      </c>
      <c r="K1752" s="61" t="str">
        <f>IFERROR(__xludf.DUMMYFUNCTION("INDIRECT(""'收支紀錄'!K""&amp;TO_TEXT(ROW()-$C$72))"),"")</f>
        <v/>
      </c>
      <c r="L1752" s="61" t="str">
        <f>IFERROR(__xludf.DUMMYFUNCTION("INDIRECT(""'收支紀錄'!L""&amp;TO_TEXT(ROW()-$C$72))"),"")</f>
        <v/>
      </c>
      <c r="M1752" s="61" t="str">
        <f>IFERROR(__xludf.DUMMYFUNCTION("INDIRECT(""'收支紀錄'!M""&amp;TO_TEXT(ROW()-$C$72))"),"")</f>
        <v/>
      </c>
      <c r="N1752" s="61" t="str">
        <f>IFERROR(__xludf.DUMMYFUNCTION("INDIRECT(""'收支紀錄'!N""&amp;TO_TEXT(ROW()-$C$72))"),"")</f>
        <v/>
      </c>
      <c r="O1752" s="61" t="str">
        <f>IFERROR(__xludf.DUMMYFUNCTION("INDIRECT(""'收支紀錄'!O""&amp;TO_TEXT(ROW()-$C$72))"),"")</f>
        <v/>
      </c>
      <c r="P1752" s="61" t="str">
        <f>IFERROR(__xludf.DUMMYFUNCTION("INDIRECT(""'收支紀錄'!P""&amp;TO_TEXT(ROW()-$C$72))"),"")</f>
        <v/>
      </c>
      <c r="Q1752" s="61" t="str">
        <f>IFERROR(__xludf.DUMMYFUNCTION("INDIRECT(""'收支紀錄'!Q""&amp;TO_TEXT(ROW()-$C$72))"),"")</f>
        <v/>
      </c>
      <c r="R1752" s="61" t="str">
        <f>IFERROR(__xludf.DUMMYFUNCTION("INDIRECT(""'收支紀錄'!R""&amp;TO_TEXT(ROW()-$C$72))"),"")</f>
        <v/>
      </c>
      <c r="S1752" s="61" t="str">
        <f>IFERROR(__xludf.DUMMYFUNCTION("INDIRECT(""'收支紀錄'!S""&amp;TO_TEXT(ROW()-$C$72))"),"")</f>
        <v/>
      </c>
      <c r="T1752" s="61" t="str">
        <f>IFERROR(__xludf.DUMMYFUNCTION("INDIRECT(""'收支紀錄'!T""&amp;TO_TEXT(ROW()-$C$72))"),"")</f>
        <v/>
      </c>
      <c r="U1752" s="62" t="str">
        <f>IFERROR(__xludf.DUMMYFUNCTION("IF(T1752=""是"",TEXTJOIN("""", TRUE, ""$"", TO_TEXT(C1752), S1752),"""")"),"")</f>
        <v/>
      </c>
    </row>
    <row r="1753">
      <c r="A1753" s="58" t="str">
        <f>IFERROR(__xludf.DUMMYFUNCTION("INDIRECT(""'收支紀錄'!A""&amp;TO_TEXT(ROW()-$C$72))"),"")</f>
        <v/>
      </c>
      <c r="B1753" s="59" t="str">
        <f>IFERROR(__xludf.DUMMYFUNCTION("IF(ISBLANK(D1753), """", IF(ISDATE(D1753), D1753, IF(D1753=""今天"", A1753, IF(D1753=""昨天 (-1 day)"", A1753-1, IF(D1753=""前天 (-2 days)"", A1753-2, IF(D1753=""明天 (+1 day)"", A1753+1, DATE(LEFT(D1753,4), MID(D1753,5,2), RIGHT(D1753,2))))))))"),"")</f>
        <v/>
      </c>
      <c r="C1753" s="60" t="str">
        <f>IFERROR(__xludf.DUMMYFUNCTION("INDIRECT(""'收支紀錄'!C""&amp;TO_TEXT(ROW()-$C$72))"),"")</f>
        <v/>
      </c>
      <c r="D1753" s="63" t="str">
        <f>IFERROR(__xludf.DUMMYFUNCTION("INDIRECT(""'收支紀錄'!D""&amp;TO_TEXT(ROW()-$C$72))"),"")</f>
        <v/>
      </c>
      <c r="E1753" s="61" t="str">
        <f>IFERROR(__xludf.DUMMYFUNCTION("INDIRECT(""'收支紀錄'!E""&amp;TO_TEXT(ROW()-$C$72))"),"")</f>
        <v/>
      </c>
      <c r="F1753" s="61" t="str">
        <f>IFERROR(__xludf.DUMMYFUNCTION("INDIRECT(""'收支紀錄'!F""&amp;TO_TEXT(ROW()-$C$72))"),"")</f>
        <v/>
      </c>
      <c r="G1753" s="61" t="str">
        <f>IFERROR(__xludf.DUMMYFUNCTION("INDIRECT(""'收支紀錄'!G""&amp;TO_TEXT(ROW()-$C$72))"),"")</f>
        <v/>
      </c>
      <c r="H1753" s="61" t="str">
        <f>IFERROR(__xludf.DUMMYFUNCTION("INDIRECT(""'收支紀錄'!H""&amp;TO_TEXT(ROW()-$C$72))"),"")</f>
        <v/>
      </c>
      <c r="I1753" s="61" t="str">
        <f>IFERROR(__xludf.DUMMYFUNCTION("INDIRECT(""'收支紀錄'!I""&amp;TO_TEXT(ROW()-$C$72))"),"")</f>
        <v/>
      </c>
      <c r="J1753" s="61" t="str">
        <f>IFERROR(__xludf.DUMMYFUNCTION("INDIRECT(""'收支紀錄'!J""&amp;TO_TEXT(ROW()-$C$72))"),"")</f>
        <v/>
      </c>
      <c r="K1753" s="61" t="str">
        <f>IFERROR(__xludf.DUMMYFUNCTION("INDIRECT(""'收支紀錄'!K""&amp;TO_TEXT(ROW()-$C$72))"),"")</f>
        <v/>
      </c>
      <c r="L1753" s="61" t="str">
        <f>IFERROR(__xludf.DUMMYFUNCTION("INDIRECT(""'收支紀錄'!L""&amp;TO_TEXT(ROW()-$C$72))"),"")</f>
        <v/>
      </c>
      <c r="M1753" s="61" t="str">
        <f>IFERROR(__xludf.DUMMYFUNCTION("INDIRECT(""'收支紀錄'!M""&amp;TO_TEXT(ROW()-$C$72))"),"")</f>
        <v/>
      </c>
      <c r="N1753" s="61" t="str">
        <f>IFERROR(__xludf.DUMMYFUNCTION("INDIRECT(""'收支紀錄'!N""&amp;TO_TEXT(ROW()-$C$72))"),"")</f>
        <v/>
      </c>
      <c r="O1753" s="61" t="str">
        <f>IFERROR(__xludf.DUMMYFUNCTION("INDIRECT(""'收支紀錄'!O""&amp;TO_TEXT(ROW()-$C$72))"),"")</f>
        <v/>
      </c>
      <c r="P1753" s="61" t="str">
        <f>IFERROR(__xludf.DUMMYFUNCTION("INDIRECT(""'收支紀錄'!P""&amp;TO_TEXT(ROW()-$C$72))"),"")</f>
        <v/>
      </c>
      <c r="Q1753" s="61" t="str">
        <f>IFERROR(__xludf.DUMMYFUNCTION("INDIRECT(""'收支紀錄'!Q""&amp;TO_TEXT(ROW()-$C$72))"),"")</f>
        <v/>
      </c>
      <c r="R1753" s="61" t="str">
        <f>IFERROR(__xludf.DUMMYFUNCTION("INDIRECT(""'收支紀錄'!R""&amp;TO_TEXT(ROW()-$C$72))"),"")</f>
        <v/>
      </c>
      <c r="S1753" s="61" t="str">
        <f>IFERROR(__xludf.DUMMYFUNCTION("INDIRECT(""'收支紀錄'!S""&amp;TO_TEXT(ROW()-$C$72))"),"")</f>
        <v/>
      </c>
      <c r="T1753" s="61" t="str">
        <f>IFERROR(__xludf.DUMMYFUNCTION("INDIRECT(""'收支紀錄'!T""&amp;TO_TEXT(ROW()-$C$72))"),"")</f>
        <v/>
      </c>
      <c r="U1753" s="62" t="str">
        <f>IFERROR(__xludf.DUMMYFUNCTION("IF(T1753=""是"",TEXTJOIN("""", TRUE, ""$"", TO_TEXT(C1753), S1753),"""")"),"")</f>
        <v/>
      </c>
    </row>
    <row r="1754">
      <c r="A1754" s="58" t="str">
        <f>IFERROR(__xludf.DUMMYFUNCTION("INDIRECT(""'收支紀錄'!A""&amp;TO_TEXT(ROW()-$C$72))"),"")</f>
        <v/>
      </c>
      <c r="B1754" s="59" t="str">
        <f>IFERROR(__xludf.DUMMYFUNCTION("IF(ISBLANK(D1754), """", IF(ISDATE(D1754), D1754, IF(D1754=""今天"", A1754, IF(D1754=""昨天 (-1 day)"", A1754-1, IF(D1754=""前天 (-2 days)"", A1754-2, IF(D1754=""明天 (+1 day)"", A1754+1, DATE(LEFT(D1754,4), MID(D1754,5,2), RIGHT(D1754,2))))))))"),"")</f>
        <v/>
      </c>
      <c r="C1754" s="60" t="str">
        <f>IFERROR(__xludf.DUMMYFUNCTION("INDIRECT(""'收支紀錄'!C""&amp;TO_TEXT(ROW()-$C$72))"),"")</f>
        <v/>
      </c>
      <c r="D1754" s="63" t="str">
        <f>IFERROR(__xludf.DUMMYFUNCTION("INDIRECT(""'收支紀錄'!D""&amp;TO_TEXT(ROW()-$C$72))"),"")</f>
        <v/>
      </c>
      <c r="E1754" s="61" t="str">
        <f>IFERROR(__xludf.DUMMYFUNCTION("INDIRECT(""'收支紀錄'!E""&amp;TO_TEXT(ROW()-$C$72))"),"")</f>
        <v/>
      </c>
      <c r="F1754" s="61" t="str">
        <f>IFERROR(__xludf.DUMMYFUNCTION("INDIRECT(""'收支紀錄'!F""&amp;TO_TEXT(ROW()-$C$72))"),"")</f>
        <v/>
      </c>
      <c r="G1754" s="61" t="str">
        <f>IFERROR(__xludf.DUMMYFUNCTION("INDIRECT(""'收支紀錄'!G""&amp;TO_TEXT(ROW()-$C$72))"),"")</f>
        <v/>
      </c>
      <c r="H1754" s="61" t="str">
        <f>IFERROR(__xludf.DUMMYFUNCTION("INDIRECT(""'收支紀錄'!H""&amp;TO_TEXT(ROW()-$C$72))"),"")</f>
        <v/>
      </c>
      <c r="I1754" s="61" t="str">
        <f>IFERROR(__xludf.DUMMYFUNCTION("INDIRECT(""'收支紀錄'!I""&amp;TO_TEXT(ROW()-$C$72))"),"")</f>
        <v/>
      </c>
      <c r="J1754" s="61" t="str">
        <f>IFERROR(__xludf.DUMMYFUNCTION("INDIRECT(""'收支紀錄'!J""&amp;TO_TEXT(ROW()-$C$72))"),"")</f>
        <v/>
      </c>
      <c r="K1754" s="61" t="str">
        <f>IFERROR(__xludf.DUMMYFUNCTION("INDIRECT(""'收支紀錄'!K""&amp;TO_TEXT(ROW()-$C$72))"),"")</f>
        <v/>
      </c>
      <c r="L1754" s="61" t="str">
        <f>IFERROR(__xludf.DUMMYFUNCTION("INDIRECT(""'收支紀錄'!L""&amp;TO_TEXT(ROW()-$C$72))"),"")</f>
        <v/>
      </c>
      <c r="M1754" s="61" t="str">
        <f>IFERROR(__xludf.DUMMYFUNCTION("INDIRECT(""'收支紀錄'!M""&amp;TO_TEXT(ROW()-$C$72))"),"")</f>
        <v/>
      </c>
      <c r="N1754" s="61" t="str">
        <f>IFERROR(__xludf.DUMMYFUNCTION("INDIRECT(""'收支紀錄'!N""&amp;TO_TEXT(ROW()-$C$72))"),"")</f>
        <v/>
      </c>
      <c r="O1754" s="61" t="str">
        <f>IFERROR(__xludf.DUMMYFUNCTION("INDIRECT(""'收支紀錄'!O""&amp;TO_TEXT(ROW()-$C$72))"),"")</f>
        <v/>
      </c>
      <c r="P1754" s="61" t="str">
        <f>IFERROR(__xludf.DUMMYFUNCTION("INDIRECT(""'收支紀錄'!P""&amp;TO_TEXT(ROW()-$C$72))"),"")</f>
        <v/>
      </c>
      <c r="Q1754" s="61" t="str">
        <f>IFERROR(__xludf.DUMMYFUNCTION("INDIRECT(""'收支紀錄'!Q""&amp;TO_TEXT(ROW()-$C$72))"),"")</f>
        <v/>
      </c>
      <c r="R1754" s="61" t="str">
        <f>IFERROR(__xludf.DUMMYFUNCTION("INDIRECT(""'收支紀錄'!R""&amp;TO_TEXT(ROW()-$C$72))"),"")</f>
        <v/>
      </c>
      <c r="S1754" s="61" t="str">
        <f>IFERROR(__xludf.DUMMYFUNCTION("INDIRECT(""'收支紀錄'!S""&amp;TO_TEXT(ROW()-$C$72))"),"")</f>
        <v/>
      </c>
      <c r="T1754" s="61" t="str">
        <f>IFERROR(__xludf.DUMMYFUNCTION("INDIRECT(""'收支紀錄'!T""&amp;TO_TEXT(ROW()-$C$72))"),"")</f>
        <v/>
      </c>
      <c r="U1754" s="62" t="str">
        <f>IFERROR(__xludf.DUMMYFUNCTION("IF(T1754=""是"",TEXTJOIN("""", TRUE, ""$"", TO_TEXT(C1754), S1754),"""")"),"")</f>
        <v/>
      </c>
    </row>
    <row r="1755">
      <c r="A1755" s="58" t="str">
        <f>IFERROR(__xludf.DUMMYFUNCTION("INDIRECT(""'收支紀錄'!A""&amp;TO_TEXT(ROW()-$C$72))"),"")</f>
        <v/>
      </c>
      <c r="B1755" s="59" t="str">
        <f>IFERROR(__xludf.DUMMYFUNCTION("IF(ISBLANK(D1755), """", IF(ISDATE(D1755), D1755, IF(D1755=""今天"", A1755, IF(D1755=""昨天 (-1 day)"", A1755-1, IF(D1755=""前天 (-2 days)"", A1755-2, IF(D1755=""明天 (+1 day)"", A1755+1, DATE(LEFT(D1755,4), MID(D1755,5,2), RIGHT(D1755,2))))))))"),"")</f>
        <v/>
      </c>
      <c r="C1755" s="60" t="str">
        <f>IFERROR(__xludf.DUMMYFUNCTION("INDIRECT(""'收支紀錄'!C""&amp;TO_TEXT(ROW()-$C$72))"),"")</f>
        <v/>
      </c>
      <c r="D1755" s="63" t="str">
        <f>IFERROR(__xludf.DUMMYFUNCTION("INDIRECT(""'收支紀錄'!D""&amp;TO_TEXT(ROW()-$C$72))"),"")</f>
        <v/>
      </c>
      <c r="E1755" s="61" t="str">
        <f>IFERROR(__xludf.DUMMYFUNCTION("INDIRECT(""'收支紀錄'!E""&amp;TO_TEXT(ROW()-$C$72))"),"")</f>
        <v/>
      </c>
      <c r="F1755" s="61" t="str">
        <f>IFERROR(__xludf.DUMMYFUNCTION("INDIRECT(""'收支紀錄'!F""&amp;TO_TEXT(ROW()-$C$72))"),"")</f>
        <v/>
      </c>
      <c r="G1755" s="61" t="str">
        <f>IFERROR(__xludf.DUMMYFUNCTION("INDIRECT(""'收支紀錄'!G""&amp;TO_TEXT(ROW()-$C$72))"),"")</f>
        <v/>
      </c>
      <c r="H1755" s="61" t="str">
        <f>IFERROR(__xludf.DUMMYFUNCTION("INDIRECT(""'收支紀錄'!H""&amp;TO_TEXT(ROW()-$C$72))"),"")</f>
        <v/>
      </c>
      <c r="I1755" s="61" t="str">
        <f>IFERROR(__xludf.DUMMYFUNCTION("INDIRECT(""'收支紀錄'!I""&amp;TO_TEXT(ROW()-$C$72))"),"")</f>
        <v/>
      </c>
      <c r="J1755" s="61" t="str">
        <f>IFERROR(__xludf.DUMMYFUNCTION("INDIRECT(""'收支紀錄'!J""&amp;TO_TEXT(ROW()-$C$72))"),"")</f>
        <v/>
      </c>
      <c r="K1755" s="61" t="str">
        <f>IFERROR(__xludf.DUMMYFUNCTION("INDIRECT(""'收支紀錄'!K""&amp;TO_TEXT(ROW()-$C$72))"),"")</f>
        <v/>
      </c>
      <c r="L1755" s="61" t="str">
        <f>IFERROR(__xludf.DUMMYFUNCTION("INDIRECT(""'收支紀錄'!L""&amp;TO_TEXT(ROW()-$C$72))"),"")</f>
        <v/>
      </c>
      <c r="M1755" s="61" t="str">
        <f>IFERROR(__xludf.DUMMYFUNCTION("INDIRECT(""'收支紀錄'!M""&amp;TO_TEXT(ROW()-$C$72))"),"")</f>
        <v/>
      </c>
      <c r="N1755" s="61" t="str">
        <f>IFERROR(__xludf.DUMMYFUNCTION("INDIRECT(""'收支紀錄'!N""&amp;TO_TEXT(ROW()-$C$72))"),"")</f>
        <v/>
      </c>
      <c r="O1755" s="61" t="str">
        <f>IFERROR(__xludf.DUMMYFUNCTION("INDIRECT(""'收支紀錄'!O""&amp;TO_TEXT(ROW()-$C$72))"),"")</f>
        <v/>
      </c>
      <c r="P1755" s="61" t="str">
        <f>IFERROR(__xludf.DUMMYFUNCTION("INDIRECT(""'收支紀錄'!P""&amp;TO_TEXT(ROW()-$C$72))"),"")</f>
        <v/>
      </c>
      <c r="Q1755" s="61" t="str">
        <f>IFERROR(__xludf.DUMMYFUNCTION("INDIRECT(""'收支紀錄'!Q""&amp;TO_TEXT(ROW()-$C$72))"),"")</f>
        <v/>
      </c>
      <c r="R1755" s="61" t="str">
        <f>IFERROR(__xludf.DUMMYFUNCTION("INDIRECT(""'收支紀錄'!R""&amp;TO_TEXT(ROW()-$C$72))"),"")</f>
        <v/>
      </c>
      <c r="S1755" s="61" t="str">
        <f>IFERROR(__xludf.DUMMYFUNCTION("INDIRECT(""'收支紀錄'!S""&amp;TO_TEXT(ROW()-$C$72))"),"")</f>
        <v/>
      </c>
      <c r="T1755" s="61" t="str">
        <f>IFERROR(__xludf.DUMMYFUNCTION("INDIRECT(""'收支紀錄'!T""&amp;TO_TEXT(ROW()-$C$72))"),"")</f>
        <v/>
      </c>
      <c r="U1755" s="62" t="str">
        <f>IFERROR(__xludf.DUMMYFUNCTION("IF(T1755=""是"",TEXTJOIN("""", TRUE, ""$"", TO_TEXT(C1755), S1755),"""")"),"")</f>
        <v/>
      </c>
    </row>
    <row r="1756">
      <c r="A1756" s="58" t="str">
        <f>IFERROR(__xludf.DUMMYFUNCTION("INDIRECT(""'收支紀錄'!A""&amp;TO_TEXT(ROW()-$C$72))"),"")</f>
        <v/>
      </c>
      <c r="B1756" s="59" t="str">
        <f>IFERROR(__xludf.DUMMYFUNCTION("IF(ISBLANK(D1756), """", IF(ISDATE(D1756), D1756, IF(D1756=""今天"", A1756, IF(D1756=""昨天 (-1 day)"", A1756-1, IF(D1756=""前天 (-2 days)"", A1756-2, IF(D1756=""明天 (+1 day)"", A1756+1, DATE(LEFT(D1756,4), MID(D1756,5,2), RIGHT(D1756,2))))))))"),"")</f>
        <v/>
      </c>
      <c r="C1756" s="60" t="str">
        <f>IFERROR(__xludf.DUMMYFUNCTION("INDIRECT(""'收支紀錄'!C""&amp;TO_TEXT(ROW()-$C$72))"),"")</f>
        <v/>
      </c>
      <c r="D1756" s="63" t="str">
        <f>IFERROR(__xludf.DUMMYFUNCTION("INDIRECT(""'收支紀錄'!D""&amp;TO_TEXT(ROW()-$C$72))"),"")</f>
        <v/>
      </c>
      <c r="E1756" s="61" t="str">
        <f>IFERROR(__xludf.DUMMYFUNCTION("INDIRECT(""'收支紀錄'!E""&amp;TO_TEXT(ROW()-$C$72))"),"")</f>
        <v/>
      </c>
      <c r="F1756" s="61" t="str">
        <f>IFERROR(__xludf.DUMMYFUNCTION("INDIRECT(""'收支紀錄'!F""&amp;TO_TEXT(ROW()-$C$72))"),"")</f>
        <v/>
      </c>
      <c r="G1756" s="61" t="str">
        <f>IFERROR(__xludf.DUMMYFUNCTION("INDIRECT(""'收支紀錄'!G""&amp;TO_TEXT(ROW()-$C$72))"),"")</f>
        <v/>
      </c>
      <c r="H1756" s="61" t="str">
        <f>IFERROR(__xludf.DUMMYFUNCTION("INDIRECT(""'收支紀錄'!H""&amp;TO_TEXT(ROW()-$C$72))"),"")</f>
        <v/>
      </c>
      <c r="I1756" s="61" t="str">
        <f>IFERROR(__xludf.DUMMYFUNCTION("INDIRECT(""'收支紀錄'!I""&amp;TO_TEXT(ROW()-$C$72))"),"")</f>
        <v/>
      </c>
      <c r="J1756" s="61" t="str">
        <f>IFERROR(__xludf.DUMMYFUNCTION("INDIRECT(""'收支紀錄'!J""&amp;TO_TEXT(ROW()-$C$72))"),"")</f>
        <v/>
      </c>
      <c r="K1756" s="61" t="str">
        <f>IFERROR(__xludf.DUMMYFUNCTION("INDIRECT(""'收支紀錄'!K""&amp;TO_TEXT(ROW()-$C$72))"),"")</f>
        <v/>
      </c>
      <c r="L1756" s="61" t="str">
        <f>IFERROR(__xludf.DUMMYFUNCTION("INDIRECT(""'收支紀錄'!L""&amp;TO_TEXT(ROW()-$C$72))"),"")</f>
        <v/>
      </c>
      <c r="M1756" s="61" t="str">
        <f>IFERROR(__xludf.DUMMYFUNCTION("INDIRECT(""'收支紀錄'!M""&amp;TO_TEXT(ROW()-$C$72))"),"")</f>
        <v/>
      </c>
      <c r="N1756" s="61" t="str">
        <f>IFERROR(__xludf.DUMMYFUNCTION("INDIRECT(""'收支紀錄'!N""&amp;TO_TEXT(ROW()-$C$72))"),"")</f>
        <v/>
      </c>
      <c r="O1756" s="61" t="str">
        <f>IFERROR(__xludf.DUMMYFUNCTION("INDIRECT(""'收支紀錄'!O""&amp;TO_TEXT(ROW()-$C$72))"),"")</f>
        <v/>
      </c>
      <c r="P1756" s="61" t="str">
        <f>IFERROR(__xludf.DUMMYFUNCTION("INDIRECT(""'收支紀錄'!P""&amp;TO_TEXT(ROW()-$C$72))"),"")</f>
        <v/>
      </c>
      <c r="Q1756" s="61" t="str">
        <f>IFERROR(__xludf.DUMMYFUNCTION("INDIRECT(""'收支紀錄'!Q""&amp;TO_TEXT(ROW()-$C$72))"),"")</f>
        <v/>
      </c>
      <c r="R1756" s="61" t="str">
        <f>IFERROR(__xludf.DUMMYFUNCTION("INDIRECT(""'收支紀錄'!R""&amp;TO_TEXT(ROW()-$C$72))"),"")</f>
        <v/>
      </c>
      <c r="S1756" s="61" t="str">
        <f>IFERROR(__xludf.DUMMYFUNCTION("INDIRECT(""'收支紀錄'!S""&amp;TO_TEXT(ROW()-$C$72))"),"")</f>
        <v/>
      </c>
      <c r="T1756" s="61" t="str">
        <f>IFERROR(__xludf.DUMMYFUNCTION("INDIRECT(""'收支紀錄'!T""&amp;TO_TEXT(ROW()-$C$72))"),"")</f>
        <v/>
      </c>
      <c r="U1756" s="62" t="str">
        <f>IFERROR(__xludf.DUMMYFUNCTION("IF(T1756=""是"",TEXTJOIN("""", TRUE, ""$"", TO_TEXT(C1756), S1756),"""")"),"")</f>
        <v/>
      </c>
    </row>
    <row r="1757">
      <c r="A1757" s="58" t="str">
        <f>IFERROR(__xludf.DUMMYFUNCTION("INDIRECT(""'收支紀錄'!A""&amp;TO_TEXT(ROW()-$C$72))"),"")</f>
        <v/>
      </c>
      <c r="B1757" s="59" t="str">
        <f>IFERROR(__xludf.DUMMYFUNCTION("IF(ISBLANK(D1757), """", IF(ISDATE(D1757), D1757, IF(D1757=""今天"", A1757, IF(D1757=""昨天 (-1 day)"", A1757-1, IF(D1757=""前天 (-2 days)"", A1757-2, IF(D1757=""明天 (+1 day)"", A1757+1, DATE(LEFT(D1757,4), MID(D1757,5,2), RIGHT(D1757,2))))))))"),"")</f>
        <v/>
      </c>
      <c r="C1757" s="60" t="str">
        <f>IFERROR(__xludf.DUMMYFUNCTION("INDIRECT(""'收支紀錄'!C""&amp;TO_TEXT(ROW()-$C$72))"),"")</f>
        <v/>
      </c>
      <c r="D1757" s="63" t="str">
        <f>IFERROR(__xludf.DUMMYFUNCTION("INDIRECT(""'收支紀錄'!D""&amp;TO_TEXT(ROW()-$C$72))"),"")</f>
        <v/>
      </c>
      <c r="E1757" s="61" t="str">
        <f>IFERROR(__xludf.DUMMYFUNCTION("INDIRECT(""'收支紀錄'!E""&amp;TO_TEXT(ROW()-$C$72))"),"")</f>
        <v/>
      </c>
      <c r="F1757" s="61" t="str">
        <f>IFERROR(__xludf.DUMMYFUNCTION("INDIRECT(""'收支紀錄'!F""&amp;TO_TEXT(ROW()-$C$72))"),"")</f>
        <v/>
      </c>
      <c r="G1757" s="61" t="str">
        <f>IFERROR(__xludf.DUMMYFUNCTION("INDIRECT(""'收支紀錄'!G""&amp;TO_TEXT(ROW()-$C$72))"),"")</f>
        <v/>
      </c>
      <c r="H1757" s="61" t="str">
        <f>IFERROR(__xludf.DUMMYFUNCTION("INDIRECT(""'收支紀錄'!H""&amp;TO_TEXT(ROW()-$C$72))"),"")</f>
        <v/>
      </c>
      <c r="I1757" s="61" t="str">
        <f>IFERROR(__xludf.DUMMYFUNCTION("INDIRECT(""'收支紀錄'!I""&amp;TO_TEXT(ROW()-$C$72))"),"")</f>
        <v/>
      </c>
      <c r="J1757" s="61" t="str">
        <f>IFERROR(__xludf.DUMMYFUNCTION("INDIRECT(""'收支紀錄'!J""&amp;TO_TEXT(ROW()-$C$72))"),"")</f>
        <v/>
      </c>
      <c r="K1757" s="61" t="str">
        <f>IFERROR(__xludf.DUMMYFUNCTION("INDIRECT(""'收支紀錄'!K""&amp;TO_TEXT(ROW()-$C$72))"),"")</f>
        <v/>
      </c>
      <c r="L1757" s="61" t="str">
        <f>IFERROR(__xludf.DUMMYFUNCTION("INDIRECT(""'收支紀錄'!L""&amp;TO_TEXT(ROW()-$C$72))"),"")</f>
        <v/>
      </c>
      <c r="M1757" s="61" t="str">
        <f>IFERROR(__xludf.DUMMYFUNCTION("INDIRECT(""'收支紀錄'!M""&amp;TO_TEXT(ROW()-$C$72))"),"")</f>
        <v/>
      </c>
      <c r="N1757" s="61" t="str">
        <f>IFERROR(__xludf.DUMMYFUNCTION("INDIRECT(""'收支紀錄'!N""&amp;TO_TEXT(ROW()-$C$72))"),"")</f>
        <v/>
      </c>
      <c r="O1757" s="61" t="str">
        <f>IFERROR(__xludf.DUMMYFUNCTION("INDIRECT(""'收支紀錄'!O""&amp;TO_TEXT(ROW()-$C$72))"),"")</f>
        <v/>
      </c>
      <c r="P1757" s="61" t="str">
        <f>IFERROR(__xludf.DUMMYFUNCTION("INDIRECT(""'收支紀錄'!P""&amp;TO_TEXT(ROW()-$C$72))"),"")</f>
        <v/>
      </c>
      <c r="Q1757" s="61" t="str">
        <f>IFERROR(__xludf.DUMMYFUNCTION("INDIRECT(""'收支紀錄'!Q""&amp;TO_TEXT(ROW()-$C$72))"),"")</f>
        <v/>
      </c>
      <c r="R1757" s="61" t="str">
        <f>IFERROR(__xludf.DUMMYFUNCTION("INDIRECT(""'收支紀錄'!R""&amp;TO_TEXT(ROW()-$C$72))"),"")</f>
        <v/>
      </c>
      <c r="S1757" s="61" t="str">
        <f>IFERROR(__xludf.DUMMYFUNCTION("INDIRECT(""'收支紀錄'!S""&amp;TO_TEXT(ROW()-$C$72))"),"")</f>
        <v/>
      </c>
      <c r="T1757" s="61" t="str">
        <f>IFERROR(__xludf.DUMMYFUNCTION("INDIRECT(""'收支紀錄'!T""&amp;TO_TEXT(ROW()-$C$72))"),"")</f>
        <v/>
      </c>
      <c r="U1757" s="62" t="str">
        <f>IFERROR(__xludf.DUMMYFUNCTION("IF(T1757=""是"",TEXTJOIN("""", TRUE, ""$"", TO_TEXT(C1757), S1757),"""")"),"")</f>
        <v/>
      </c>
    </row>
    <row r="1758">
      <c r="A1758" s="58" t="str">
        <f>IFERROR(__xludf.DUMMYFUNCTION("INDIRECT(""'收支紀錄'!A""&amp;TO_TEXT(ROW()-$C$72))"),"")</f>
        <v/>
      </c>
      <c r="B1758" s="59" t="str">
        <f>IFERROR(__xludf.DUMMYFUNCTION("IF(ISBLANK(D1758), """", IF(ISDATE(D1758), D1758, IF(D1758=""今天"", A1758, IF(D1758=""昨天 (-1 day)"", A1758-1, IF(D1758=""前天 (-2 days)"", A1758-2, IF(D1758=""明天 (+1 day)"", A1758+1, DATE(LEFT(D1758,4), MID(D1758,5,2), RIGHT(D1758,2))))))))"),"")</f>
        <v/>
      </c>
      <c r="C1758" s="60" t="str">
        <f>IFERROR(__xludf.DUMMYFUNCTION("INDIRECT(""'收支紀錄'!C""&amp;TO_TEXT(ROW()-$C$72))"),"")</f>
        <v/>
      </c>
      <c r="D1758" s="63" t="str">
        <f>IFERROR(__xludf.DUMMYFUNCTION("INDIRECT(""'收支紀錄'!D""&amp;TO_TEXT(ROW()-$C$72))"),"")</f>
        <v/>
      </c>
      <c r="E1758" s="61" t="str">
        <f>IFERROR(__xludf.DUMMYFUNCTION("INDIRECT(""'收支紀錄'!E""&amp;TO_TEXT(ROW()-$C$72))"),"")</f>
        <v/>
      </c>
      <c r="F1758" s="61" t="str">
        <f>IFERROR(__xludf.DUMMYFUNCTION("INDIRECT(""'收支紀錄'!F""&amp;TO_TEXT(ROW()-$C$72))"),"")</f>
        <v/>
      </c>
      <c r="G1758" s="61" t="str">
        <f>IFERROR(__xludf.DUMMYFUNCTION("INDIRECT(""'收支紀錄'!G""&amp;TO_TEXT(ROW()-$C$72))"),"")</f>
        <v/>
      </c>
      <c r="H1758" s="61" t="str">
        <f>IFERROR(__xludf.DUMMYFUNCTION("INDIRECT(""'收支紀錄'!H""&amp;TO_TEXT(ROW()-$C$72))"),"")</f>
        <v/>
      </c>
      <c r="I1758" s="61" t="str">
        <f>IFERROR(__xludf.DUMMYFUNCTION("INDIRECT(""'收支紀錄'!I""&amp;TO_TEXT(ROW()-$C$72))"),"")</f>
        <v/>
      </c>
      <c r="J1758" s="61" t="str">
        <f>IFERROR(__xludf.DUMMYFUNCTION("INDIRECT(""'收支紀錄'!J""&amp;TO_TEXT(ROW()-$C$72))"),"")</f>
        <v/>
      </c>
      <c r="K1758" s="61" t="str">
        <f>IFERROR(__xludf.DUMMYFUNCTION("INDIRECT(""'收支紀錄'!K""&amp;TO_TEXT(ROW()-$C$72))"),"")</f>
        <v/>
      </c>
      <c r="L1758" s="61" t="str">
        <f>IFERROR(__xludf.DUMMYFUNCTION("INDIRECT(""'收支紀錄'!L""&amp;TO_TEXT(ROW()-$C$72))"),"")</f>
        <v/>
      </c>
      <c r="M1758" s="61" t="str">
        <f>IFERROR(__xludf.DUMMYFUNCTION("INDIRECT(""'收支紀錄'!M""&amp;TO_TEXT(ROW()-$C$72))"),"")</f>
        <v/>
      </c>
      <c r="N1758" s="61" t="str">
        <f>IFERROR(__xludf.DUMMYFUNCTION("INDIRECT(""'收支紀錄'!N""&amp;TO_TEXT(ROW()-$C$72))"),"")</f>
        <v/>
      </c>
      <c r="O1758" s="61" t="str">
        <f>IFERROR(__xludf.DUMMYFUNCTION("INDIRECT(""'收支紀錄'!O""&amp;TO_TEXT(ROW()-$C$72))"),"")</f>
        <v/>
      </c>
      <c r="P1758" s="61" t="str">
        <f>IFERROR(__xludf.DUMMYFUNCTION("INDIRECT(""'收支紀錄'!P""&amp;TO_TEXT(ROW()-$C$72))"),"")</f>
        <v/>
      </c>
      <c r="Q1758" s="61" t="str">
        <f>IFERROR(__xludf.DUMMYFUNCTION("INDIRECT(""'收支紀錄'!Q""&amp;TO_TEXT(ROW()-$C$72))"),"")</f>
        <v/>
      </c>
      <c r="R1758" s="61" t="str">
        <f>IFERROR(__xludf.DUMMYFUNCTION("INDIRECT(""'收支紀錄'!R""&amp;TO_TEXT(ROW()-$C$72))"),"")</f>
        <v/>
      </c>
      <c r="S1758" s="61" t="str">
        <f>IFERROR(__xludf.DUMMYFUNCTION("INDIRECT(""'收支紀錄'!S""&amp;TO_TEXT(ROW()-$C$72))"),"")</f>
        <v/>
      </c>
      <c r="T1758" s="61" t="str">
        <f>IFERROR(__xludf.DUMMYFUNCTION("INDIRECT(""'收支紀錄'!T""&amp;TO_TEXT(ROW()-$C$72))"),"")</f>
        <v/>
      </c>
      <c r="U1758" s="62" t="str">
        <f>IFERROR(__xludf.DUMMYFUNCTION("IF(T1758=""是"",TEXTJOIN("""", TRUE, ""$"", TO_TEXT(C1758), S1758),"""")"),"")</f>
        <v/>
      </c>
    </row>
    <row r="1759">
      <c r="A1759" s="58" t="str">
        <f>IFERROR(__xludf.DUMMYFUNCTION("INDIRECT(""'收支紀錄'!A""&amp;TO_TEXT(ROW()-$C$72))"),"")</f>
        <v/>
      </c>
      <c r="B1759" s="59" t="str">
        <f>IFERROR(__xludf.DUMMYFUNCTION("IF(ISBLANK(D1759), """", IF(ISDATE(D1759), D1759, IF(D1759=""今天"", A1759, IF(D1759=""昨天 (-1 day)"", A1759-1, IF(D1759=""前天 (-2 days)"", A1759-2, IF(D1759=""明天 (+1 day)"", A1759+1, DATE(LEFT(D1759,4), MID(D1759,5,2), RIGHT(D1759,2))))))))"),"")</f>
        <v/>
      </c>
      <c r="C1759" s="60" t="str">
        <f>IFERROR(__xludf.DUMMYFUNCTION("INDIRECT(""'收支紀錄'!C""&amp;TO_TEXT(ROW()-$C$72))"),"")</f>
        <v/>
      </c>
      <c r="D1759" s="63" t="str">
        <f>IFERROR(__xludf.DUMMYFUNCTION("INDIRECT(""'收支紀錄'!D""&amp;TO_TEXT(ROW()-$C$72))"),"")</f>
        <v/>
      </c>
      <c r="E1759" s="61" t="str">
        <f>IFERROR(__xludf.DUMMYFUNCTION("INDIRECT(""'收支紀錄'!E""&amp;TO_TEXT(ROW()-$C$72))"),"")</f>
        <v/>
      </c>
      <c r="F1759" s="61" t="str">
        <f>IFERROR(__xludf.DUMMYFUNCTION("INDIRECT(""'收支紀錄'!F""&amp;TO_TEXT(ROW()-$C$72))"),"")</f>
        <v/>
      </c>
      <c r="G1759" s="61" t="str">
        <f>IFERROR(__xludf.DUMMYFUNCTION("INDIRECT(""'收支紀錄'!G""&amp;TO_TEXT(ROW()-$C$72))"),"")</f>
        <v/>
      </c>
      <c r="H1759" s="61" t="str">
        <f>IFERROR(__xludf.DUMMYFUNCTION("INDIRECT(""'收支紀錄'!H""&amp;TO_TEXT(ROW()-$C$72))"),"")</f>
        <v/>
      </c>
      <c r="I1759" s="61" t="str">
        <f>IFERROR(__xludf.DUMMYFUNCTION("INDIRECT(""'收支紀錄'!I""&amp;TO_TEXT(ROW()-$C$72))"),"")</f>
        <v/>
      </c>
      <c r="J1759" s="61" t="str">
        <f>IFERROR(__xludf.DUMMYFUNCTION("INDIRECT(""'收支紀錄'!J""&amp;TO_TEXT(ROW()-$C$72))"),"")</f>
        <v/>
      </c>
      <c r="K1759" s="61" t="str">
        <f>IFERROR(__xludf.DUMMYFUNCTION("INDIRECT(""'收支紀錄'!K""&amp;TO_TEXT(ROW()-$C$72))"),"")</f>
        <v/>
      </c>
      <c r="L1759" s="61" t="str">
        <f>IFERROR(__xludf.DUMMYFUNCTION("INDIRECT(""'收支紀錄'!L""&amp;TO_TEXT(ROW()-$C$72))"),"")</f>
        <v/>
      </c>
      <c r="M1759" s="61" t="str">
        <f>IFERROR(__xludf.DUMMYFUNCTION("INDIRECT(""'收支紀錄'!M""&amp;TO_TEXT(ROW()-$C$72))"),"")</f>
        <v/>
      </c>
      <c r="N1759" s="61" t="str">
        <f>IFERROR(__xludf.DUMMYFUNCTION("INDIRECT(""'收支紀錄'!N""&amp;TO_TEXT(ROW()-$C$72))"),"")</f>
        <v/>
      </c>
      <c r="O1759" s="61" t="str">
        <f>IFERROR(__xludf.DUMMYFUNCTION("INDIRECT(""'收支紀錄'!O""&amp;TO_TEXT(ROW()-$C$72))"),"")</f>
        <v/>
      </c>
      <c r="P1759" s="61" t="str">
        <f>IFERROR(__xludf.DUMMYFUNCTION("INDIRECT(""'收支紀錄'!P""&amp;TO_TEXT(ROW()-$C$72))"),"")</f>
        <v/>
      </c>
      <c r="Q1759" s="61" t="str">
        <f>IFERROR(__xludf.DUMMYFUNCTION("INDIRECT(""'收支紀錄'!Q""&amp;TO_TEXT(ROW()-$C$72))"),"")</f>
        <v/>
      </c>
      <c r="R1759" s="61" t="str">
        <f>IFERROR(__xludf.DUMMYFUNCTION("INDIRECT(""'收支紀錄'!R""&amp;TO_TEXT(ROW()-$C$72))"),"")</f>
        <v/>
      </c>
      <c r="S1759" s="61" t="str">
        <f>IFERROR(__xludf.DUMMYFUNCTION("INDIRECT(""'收支紀錄'!S""&amp;TO_TEXT(ROW()-$C$72))"),"")</f>
        <v/>
      </c>
      <c r="T1759" s="61" t="str">
        <f>IFERROR(__xludf.DUMMYFUNCTION("INDIRECT(""'收支紀錄'!T""&amp;TO_TEXT(ROW()-$C$72))"),"")</f>
        <v/>
      </c>
      <c r="U1759" s="62" t="str">
        <f>IFERROR(__xludf.DUMMYFUNCTION("IF(T1759=""是"",TEXTJOIN("""", TRUE, ""$"", TO_TEXT(C1759), S1759),"""")"),"")</f>
        <v/>
      </c>
    </row>
    <row r="1760">
      <c r="A1760" s="58" t="str">
        <f>IFERROR(__xludf.DUMMYFUNCTION("INDIRECT(""'收支紀錄'!A""&amp;TO_TEXT(ROW()-$C$72))"),"")</f>
        <v/>
      </c>
      <c r="B1760" s="59" t="str">
        <f>IFERROR(__xludf.DUMMYFUNCTION("IF(ISBLANK(D1760), """", IF(ISDATE(D1760), D1760, IF(D1760=""今天"", A1760, IF(D1760=""昨天 (-1 day)"", A1760-1, IF(D1760=""前天 (-2 days)"", A1760-2, IF(D1760=""明天 (+1 day)"", A1760+1, DATE(LEFT(D1760,4), MID(D1760,5,2), RIGHT(D1760,2))))))))"),"")</f>
        <v/>
      </c>
      <c r="C1760" s="60" t="str">
        <f>IFERROR(__xludf.DUMMYFUNCTION("INDIRECT(""'收支紀錄'!C""&amp;TO_TEXT(ROW()-$C$72))"),"")</f>
        <v/>
      </c>
      <c r="D1760" s="63" t="str">
        <f>IFERROR(__xludf.DUMMYFUNCTION("INDIRECT(""'收支紀錄'!D""&amp;TO_TEXT(ROW()-$C$72))"),"")</f>
        <v/>
      </c>
      <c r="E1760" s="61" t="str">
        <f>IFERROR(__xludf.DUMMYFUNCTION("INDIRECT(""'收支紀錄'!E""&amp;TO_TEXT(ROW()-$C$72))"),"")</f>
        <v/>
      </c>
      <c r="F1760" s="61" t="str">
        <f>IFERROR(__xludf.DUMMYFUNCTION("INDIRECT(""'收支紀錄'!F""&amp;TO_TEXT(ROW()-$C$72))"),"")</f>
        <v/>
      </c>
      <c r="G1760" s="61" t="str">
        <f>IFERROR(__xludf.DUMMYFUNCTION("INDIRECT(""'收支紀錄'!G""&amp;TO_TEXT(ROW()-$C$72))"),"")</f>
        <v/>
      </c>
      <c r="H1760" s="61" t="str">
        <f>IFERROR(__xludf.DUMMYFUNCTION("INDIRECT(""'收支紀錄'!H""&amp;TO_TEXT(ROW()-$C$72))"),"")</f>
        <v/>
      </c>
      <c r="I1760" s="61" t="str">
        <f>IFERROR(__xludf.DUMMYFUNCTION("INDIRECT(""'收支紀錄'!I""&amp;TO_TEXT(ROW()-$C$72))"),"")</f>
        <v/>
      </c>
      <c r="J1760" s="61" t="str">
        <f>IFERROR(__xludf.DUMMYFUNCTION("INDIRECT(""'收支紀錄'!J""&amp;TO_TEXT(ROW()-$C$72))"),"")</f>
        <v/>
      </c>
      <c r="K1760" s="61" t="str">
        <f>IFERROR(__xludf.DUMMYFUNCTION("INDIRECT(""'收支紀錄'!K""&amp;TO_TEXT(ROW()-$C$72))"),"")</f>
        <v/>
      </c>
      <c r="L1760" s="61" t="str">
        <f>IFERROR(__xludf.DUMMYFUNCTION("INDIRECT(""'收支紀錄'!L""&amp;TO_TEXT(ROW()-$C$72))"),"")</f>
        <v/>
      </c>
      <c r="M1760" s="61" t="str">
        <f>IFERROR(__xludf.DUMMYFUNCTION("INDIRECT(""'收支紀錄'!M""&amp;TO_TEXT(ROW()-$C$72))"),"")</f>
        <v/>
      </c>
      <c r="N1760" s="61" t="str">
        <f>IFERROR(__xludf.DUMMYFUNCTION("INDIRECT(""'收支紀錄'!N""&amp;TO_TEXT(ROW()-$C$72))"),"")</f>
        <v/>
      </c>
      <c r="O1760" s="61" t="str">
        <f>IFERROR(__xludf.DUMMYFUNCTION("INDIRECT(""'收支紀錄'!O""&amp;TO_TEXT(ROW()-$C$72))"),"")</f>
        <v/>
      </c>
      <c r="P1760" s="61" t="str">
        <f>IFERROR(__xludf.DUMMYFUNCTION("INDIRECT(""'收支紀錄'!P""&amp;TO_TEXT(ROW()-$C$72))"),"")</f>
        <v/>
      </c>
      <c r="Q1760" s="61" t="str">
        <f>IFERROR(__xludf.DUMMYFUNCTION("INDIRECT(""'收支紀錄'!Q""&amp;TO_TEXT(ROW()-$C$72))"),"")</f>
        <v/>
      </c>
      <c r="R1760" s="61" t="str">
        <f>IFERROR(__xludf.DUMMYFUNCTION("INDIRECT(""'收支紀錄'!R""&amp;TO_TEXT(ROW()-$C$72))"),"")</f>
        <v/>
      </c>
      <c r="S1760" s="61" t="str">
        <f>IFERROR(__xludf.DUMMYFUNCTION("INDIRECT(""'收支紀錄'!S""&amp;TO_TEXT(ROW()-$C$72))"),"")</f>
        <v/>
      </c>
      <c r="T1760" s="61" t="str">
        <f>IFERROR(__xludf.DUMMYFUNCTION("INDIRECT(""'收支紀錄'!T""&amp;TO_TEXT(ROW()-$C$72))"),"")</f>
        <v/>
      </c>
      <c r="U1760" s="62" t="str">
        <f>IFERROR(__xludf.DUMMYFUNCTION("IF(T1760=""是"",TEXTJOIN("""", TRUE, ""$"", TO_TEXT(C1760), S1760),"""")"),"")</f>
        <v/>
      </c>
    </row>
    <row r="1761">
      <c r="A1761" s="58" t="str">
        <f>IFERROR(__xludf.DUMMYFUNCTION("INDIRECT(""'收支紀錄'!A""&amp;TO_TEXT(ROW()-$C$72))"),"")</f>
        <v/>
      </c>
      <c r="B1761" s="59" t="str">
        <f>IFERROR(__xludf.DUMMYFUNCTION("IF(ISBLANK(D1761), """", IF(ISDATE(D1761), D1761, IF(D1761=""今天"", A1761, IF(D1761=""昨天 (-1 day)"", A1761-1, IF(D1761=""前天 (-2 days)"", A1761-2, IF(D1761=""明天 (+1 day)"", A1761+1, DATE(LEFT(D1761,4), MID(D1761,5,2), RIGHT(D1761,2))))))))"),"")</f>
        <v/>
      </c>
      <c r="C1761" s="60" t="str">
        <f>IFERROR(__xludf.DUMMYFUNCTION("INDIRECT(""'收支紀錄'!C""&amp;TO_TEXT(ROW()-$C$72))"),"")</f>
        <v/>
      </c>
      <c r="D1761" s="63" t="str">
        <f>IFERROR(__xludf.DUMMYFUNCTION("INDIRECT(""'收支紀錄'!D""&amp;TO_TEXT(ROW()-$C$72))"),"")</f>
        <v/>
      </c>
      <c r="E1761" s="61" t="str">
        <f>IFERROR(__xludf.DUMMYFUNCTION("INDIRECT(""'收支紀錄'!E""&amp;TO_TEXT(ROW()-$C$72))"),"")</f>
        <v/>
      </c>
      <c r="F1761" s="61" t="str">
        <f>IFERROR(__xludf.DUMMYFUNCTION("INDIRECT(""'收支紀錄'!F""&amp;TO_TEXT(ROW()-$C$72))"),"")</f>
        <v/>
      </c>
      <c r="G1761" s="61" t="str">
        <f>IFERROR(__xludf.DUMMYFUNCTION("INDIRECT(""'收支紀錄'!G""&amp;TO_TEXT(ROW()-$C$72))"),"")</f>
        <v/>
      </c>
      <c r="H1761" s="61" t="str">
        <f>IFERROR(__xludf.DUMMYFUNCTION("INDIRECT(""'收支紀錄'!H""&amp;TO_TEXT(ROW()-$C$72))"),"")</f>
        <v/>
      </c>
      <c r="I1761" s="61" t="str">
        <f>IFERROR(__xludf.DUMMYFUNCTION("INDIRECT(""'收支紀錄'!I""&amp;TO_TEXT(ROW()-$C$72))"),"")</f>
        <v/>
      </c>
      <c r="J1761" s="61" t="str">
        <f>IFERROR(__xludf.DUMMYFUNCTION("INDIRECT(""'收支紀錄'!J""&amp;TO_TEXT(ROW()-$C$72))"),"")</f>
        <v/>
      </c>
      <c r="K1761" s="61" t="str">
        <f>IFERROR(__xludf.DUMMYFUNCTION("INDIRECT(""'收支紀錄'!K""&amp;TO_TEXT(ROW()-$C$72))"),"")</f>
        <v/>
      </c>
      <c r="L1761" s="61" t="str">
        <f>IFERROR(__xludf.DUMMYFUNCTION("INDIRECT(""'收支紀錄'!L""&amp;TO_TEXT(ROW()-$C$72))"),"")</f>
        <v/>
      </c>
      <c r="M1761" s="61" t="str">
        <f>IFERROR(__xludf.DUMMYFUNCTION("INDIRECT(""'收支紀錄'!M""&amp;TO_TEXT(ROW()-$C$72))"),"")</f>
        <v/>
      </c>
      <c r="N1761" s="61" t="str">
        <f>IFERROR(__xludf.DUMMYFUNCTION("INDIRECT(""'收支紀錄'!N""&amp;TO_TEXT(ROW()-$C$72))"),"")</f>
        <v/>
      </c>
      <c r="O1761" s="61" t="str">
        <f>IFERROR(__xludf.DUMMYFUNCTION("INDIRECT(""'收支紀錄'!O""&amp;TO_TEXT(ROW()-$C$72))"),"")</f>
        <v/>
      </c>
      <c r="P1761" s="61" t="str">
        <f>IFERROR(__xludf.DUMMYFUNCTION("INDIRECT(""'收支紀錄'!P""&amp;TO_TEXT(ROW()-$C$72))"),"")</f>
        <v/>
      </c>
      <c r="Q1761" s="61" t="str">
        <f>IFERROR(__xludf.DUMMYFUNCTION("INDIRECT(""'收支紀錄'!Q""&amp;TO_TEXT(ROW()-$C$72))"),"")</f>
        <v/>
      </c>
      <c r="R1761" s="61" t="str">
        <f>IFERROR(__xludf.DUMMYFUNCTION("INDIRECT(""'收支紀錄'!R""&amp;TO_TEXT(ROW()-$C$72))"),"")</f>
        <v/>
      </c>
      <c r="S1761" s="61" t="str">
        <f>IFERROR(__xludf.DUMMYFUNCTION("INDIRECT(""'收支紀錄'!S""&amp;TO_TEXT(ROW()-$C$72))"),"")</f>
        <v/>
      </c>
      <c r="T1761" s="61" t="str">
        <f>IFERROR(__xludf.DUMMYFUNCTION("INDIRECT(""'收支紀錄'!T""&amp;TO_TEXT(ROW()-$C$72))"),"")</f>
        <v/>
      </c>
      <c r="U1761" s="62" t="str">
        <f>IFERROR(__xludf.DUMMYFUNCTION("IF(T1761=""是"",TEXTJOIN("""", TRUE, ""$"", TO_TEXT(C1761), S1761),"""")"),"")</f>
        <v/>
      </c>
    </row>
    <row r="1762">
      <c r="A1762" s="58" t="str">
        <f>IFERROR(__xludf.DUMMYFUNCTION("INDIRECT(""'收支紀錄'!A""&amp;TO_TEXT(ROW()-$C$72))"),"")</f>
        <v/>
      </c>
      <c r="B1762" s="59" t="str">
        <f>IFERROR(__xludf.DUMMYFUNCTION("IF(ISBLANK(D1762), """", IF(ISDATE(D1762), D1762, IF(D1762=""今天"", A1762, IF(D1762=""昨天 (-1 day)"", A1762-1, IF(D1762=""前天 (-2 days)"", A1762-2, IF(D1762=""明天 (+1 day)"", A1762+1, DATE(LEFT(D1762,4), MID(D1762,5,2), RIGHT(D1762,2))))))))"),"")</f>
        <v/>
      </c>
      <c r="C1762" s="60" t="str">
        <f>IFERROR(__xludf.DUMMYFUNCTION("INDIRECT(""'收支紀錄'!C""&amp;TO_TEXT(ROW()-$C$72))"),"")</f>
        <v/>
      </c>
      <c r="D1762" s="63" t="str">
        <f>IFERROR(__xludf.DUMMYFUNCTION("INDIRECT(""'收支紀錄'!D""&amp;TO_TEXT(ROW()-$C$72))"),"")</f>
        <v/>
      </c>
      <c r="E1762" s="61" t="str">
        <f>IFERROR(__xludf.DUMMYFUNCTION("INDIRECT(""'收支紀錄'!E""&amp;TO_TEXT(ROW()-$C$72))"),"")</f>
        <v/>
      </c>
      <c r="F1762" s="61" t="str">
        <f>IFERROR(__xludf.DUMMYFUNCTION("INDIRECT(""'收支紀錄'!F""&amp;TO_TEXT(ROW()-$C$72))"),"")</f>
        <v/>
      </c>
      <c r="G1762" s="61" t="str">
        <f>IFERROR(__xludf.DUMMYFUNCTION("INDIRECT(""'收支紀錄'!G""&amp;TO_TEXT(ROW()-$C$72))"),"")</f>
        <v/>
      </c>
      <c r="H1762" s="61" t="str">
        <f>IFERROR(__xludf.DUMMYFUNCTION("INDIRECT(""'收支紀錄'!H""&amp;TO_TEXT(ROW()-$C$72))"),"")</f>
        <v/>
      </c>
      <c r="I1762" s="61" t="str">
        <f>IFERROR(__xludf.DUMMYFUNCTION("INDIRECT(""'收支紀錄'!I""&amp;TO_TEXT(ROW()-$C$72))"),"")</f>
        <v/>
      </c>
      <c r="J1762" s="61" t="str">
        <f>IFERROR(__xludf.DUMMYFUNCTION("INDIRECT(""'收支紀錄'!J""&amp;TO_TEXT(ROW()-$C$72))"),"")</f>
        <v/>
      </c>
      <c r="K1762" s="61" t="str">
        <f>IFERROR(__xludf.DUMMYFUNCTION("INDIRECT(""'收支紀錄'!K""&amp;TO_TEXT(ROW()-$C$72))"),"")</f>
        <v/>
      </c>
      <c r="L1762" s="61" t="str">
        <f>IFERROR(__xludf.DUMMYFUNCTION("INDIRECT(""'收支紀錄'!L""&amp;TO_TEXT(ROW()-$C$72))"),"")</f>
        <v/>
      </c>
      <c r="M1762" s="61" t="str">
        <f>IFERROR(__xludf.DUMMYFUNCTION("INDIRECT(""'收支紀錄'!M""&amp;TO_TEXT(ROW()-$C$72))"),"")</f>
        <v/>
      </c>
      <c r="N1762" s="61" t="str">
        <f>IFERROR(__xludf.DUMMYFUNCTION("INDIRECT(""'收支紀錄'!N""&amp;TO_TEXT(ROW()-$C$72))"),"")</f>
        <v/>
      </c>
      <c r="O1762" s="61" t="str">
        <f>IFERROR(__xludf.DUMMYFUNCTION("INDIRECT(""'收支紀錄'!O""&amp;TO_TEXT(ROW()-$C$72))"),"")</f>
        <v/>
      </c>
      <c r="P1762" s="61" t="str">
        <f>IFERROR(__xludf.DUMMYFUNCTION("INDIRECT(""'收支紀錄'!P""&amp;TO_TEXT(ROW()-$C$72))"),"")</f>
        <v/>
      </c>
      <c r="Q1762" s="61" t="str">
        <f>IFERROR(__xludf.DUMMYFUNCTION("INDIRECT(""'收支紀錄'!Q""&amp;TO_TEXT(ROW()-$C$72))"),"")</f>
        <v/>
      </c>
      <c r="R1762" s="61" t="str">
        <f>IFERROR(__xludf.DUMMYFUNCTION("INDIRECT(""'收支紀錄'!R""&amp;TO_TEXT(ROW()-$C$72))"),"")</f>
        <v/>
      </c>
      <c r="S1762" s="61" t="str">
        <f>IFERROR(__xludf.DUMMYFUNCTION("INDIRECT(""'收支紀錄'!S""&amp;TO_TEXT(ROW()-$C$72))"),"")</f>
        <v/>
      </c>
      <c r="T1762" s="61" t="str">
        <f>IFERROR(__xludf.DUMMYFUNCTION("INDIRECT(""'收支紀錄'!T""&amp;TO_TEXT(ROW()-$C$72))"),"")</f>
        <v/>
      </c>
      <c r="U1762" s="62" t="str">
        <f>IFERROR(__xludf.DUMMYFUNCTION("IF(T1762=""是"",TEXTJOIN("""", TRUE, ""$"", TO_TEXT(C1762), S1762),"""")"),"")</f>
        <v/>
      </c>
    </row>
    <row r="1763">
      <c r="A1763" s="58" t="str">
        <f>IFERROR(__xludf.DUMMYFUNCTION("INDIRECT(""'收支紀錄'!A""&amp;TO_TEXT(ROW()-$C$72))"),"")</f>
        <v/>
      </c>
      <c r="B1763" s="59" t="str">
        <f>IFERROR(__xludf.DUMMYFUNCTION("IF(ISBLANK(D1763), """", IF(ISDATE(D1763), D1763, IF(D1763=""今天"", A1763, IF(D1763=""昨天 (-1 day)"", A1763-1, IF(D1763=""前天 (-2 days)"", A1763-2, IF(D1763=""明天 (+1 day)"", A1763+1, DATE(LEFT(D1763,4), MID(D1763,5,2), RIGHT(D1763,2))))))))"),"")</f>
        <v/>
      </c>
      <c r="C1763" s="60" t="str">
        <f>IFERROR(__xludf.DUMMYFUNCTION("INDIRECT(""'收支紀錄'!C""&amp;TO_TEXT(ROW()-$C$72))"),"")</f>
        <v/>
      </c>
      <c r="D1763" s="63" t="str">
        <f>IFERROR(__xludf.DUMMYFUNCTION("INDIRECT(""'收支紀錄'!D""&amp;TO_TEXT(ROW()-$C$72))"),"")</f>
        <v/>
      </c>
      <c r="E1763" s="61" t="str">
        <f>IFERROR(__xludf.DUMMYFUNCTION("INDIRECT(""'收支紀錄'!E""&amp;TO_TEXT(ROW()-$C$72))"),"")</f>
        <v/>
      </c>
      <c r="F1763" s="61" t="str">
        <f>IFERROR(__xludf.DUMMYFUNCTION("INDIRECT(""'收支紀錄'!F""&amp;TO_TEXT(ROW()-$C$72))"),"")</f>
        <v/>
      </c>
      <c r="G1763" s="61" t="str">
        <f>IFERROR(__xludf.DUMMYFUNCTION("INDIRECT(""'收支紀錄'!G""&amp;TO_TEXT(ROW()-$C$72))"),"")</f>
        <v/>
      </c>
      <c r="H1763" s="61" t="str">
        <f>IFERROR(__xludf.DUMMYFUNCTION("INDIRECT(""'收支紀錄'!H""&amp;TO_TEXT(ROW()-$C$72))"),"")</f>
        <v/>
      </c>
      <c r="I1763" s="61" t="str">
        <f>IFERROR(__xludf.DUMMYFUNCTION("INDIRECT(""'收支紀錄'!I""&amp;TO_TEXT(ROW()-$C$72))"),"")</f>
        <v/>
      </c>
      <c r="J1763" s="61" t="str">
        <f>IFERROR(__xludf.DUMMYFUNCTION("INDIRECT(""'收支紀錄'!J""&amp;TO_TEXT(ROW()-$C$72))"),"")</f>
        <v/>
      </c>
      <c r="K1763" s="61" t="str">
        <f>IFERROR(__xludf.DUMMYFUNCTION("INDIRECT(""'收支紀錄'!K""&amp;TO_TEXT(ROW()-$C$72))"),"")</f>
        <v/>
      </c>
      <c r="L1763" s="61" t="str">
        <f>IFERROR(__xludf.DUMMYFUNCTION("INDIRECT(""'收支紀錄'!L""&amp;TO_TEXT(ROW()-$C$72))"),"")</f>
        <v/>
      </c>
      <c r="M1763" s="61" t="str">
        <f>IFERROR(__xludf.DUMMYFUNCTION("INDIRECT(""'收支紀錄'!M""&amp;TO_TEXT(ROW()-$C$72))"),"")</f>
        <v/>
      </c>
      <c r="N1763" s="61" t="str">
        <f>IFERROR(__xludf.DUMMYFUNCTION("INDIRECT(""'收支紀錄'!N""&amp;TO_TEXT(ROW()-$C$72))"),"")</f>
        <v/>
      </c>
      <c r="O1763" s="61" t="str">
        <f>IFERROR(__xludf.DUMMYFUNCTION("INDIRECT(""'收支紀錄'!O""&amp;TO_TEXT(ROW()-$C$72))"),"")</f>
        <v/>
      </c>
      <c r="P1763" s="61" t="str">
        <f>IFERROR(__xludf.DUMMYFUNCTION("INDIRECT(""'收支紀錄'!P""&amp;TO_TEXT(ROW()-$C$72))"),"")</f>
        <v/>
      </c>
      <c r="Q1763" s="61" t="str">
        <f>IFERROR(__xludf.DUMMYFUNCTION("INDIRECT(""'收支紀錄'!Q""&amp;TO_TEXT(ROW()-$C$72))"),"")</f>
        <v/>
      </c>
      <c r="R1763" s="61" t="str">
        <f>IFERROR(__xludf.DUMMYFUNCTION("INDIRECT(""'收支紀錄'!R""&amp;TO_TEXT(ROW()-$C$72))"),"")</f>
        <v/>
      </c>
      <c r="S1763" s="61" t="str">
        <f>IFERROR(__xludf.DUMMYFUNCTION("INDIRECT(""'收支紀錄'!S""&amp;TO_TEXT(ROW()-$C$72))"),"")</f>
        <v/>
      </c>
      <c r="T1763" s="61" t="str">
        <f>IFERROR(__xludf.DUMMYFUNCTION("INDIRECT(""'收支紀錄'!T""&amp;TO_TEXT(ROW()-$C$72))"),"")</f>
        <v/>
      </c>
      <c r="U1763" s="62" t="str">
        <f>IFERROR(__xludf.DUMMYFUNCTION("IF(T1763=""是"",TEXTJOIN("""", TRUE, ""$"", TO_TEXT(C1763), S1763),"""")"),"")</f>
        <v/>
      </c>
    </row>
    <row r="1764">
      <c r="A1764" s="58" t="str">
        <f>IFERROR(__xludf.DUMMYFUNCTION("INDIRECT(""'收支紀錄'!A""&amp;TO_TEXT(ROW()-$C$72))"),"")</f>
        <v/>
      </c>
      <c r="B1764" s="59" t="str">
        <f>IFERROR(__xludf.DUMMYFUNCTION("IF(ISBLANK(D1764), """", IF(ISDATE(D1764), D1764, IF(D1764=""今天"", A1764, IF(D1764=""昨天 (-1 day)"", A1764-1, IF(D1764=""前天 (-2 days)"", A1764-2, IF(D1764=""明天 (+1 day)"", A1764+1, DATE(LEFT(D1764,4), MID(D1764,5,2), RIGHT(D1764,2))))))))"),"")</f>
        <v/>
      </c>
      <c r="C1764" s="60" t="str">
        <f>IFERROR(__xludf.DUMMYFUNCTION("INDIRECT(""'收支紀錄'!C""&amp;TO_TEXT(ROW()-$C$72))"),"")</f>
        <v/>
      </c>
      <c r="D1764" s="63" t="str">
        <f>IFERROR(__xludf.DUMMYFUNCTION("INDIRECT(""'收支紀錄'!D""&amp;TO_TEXT(ROW()-$C$72))"),"")</f>
        <v/>
      </c>
      <c r="E1764" s="61" t="str">
        <f>IFERROR(__xludf.DUMMYFUNCTION("INDIRECT(""'收支紀錄'!E""&amp;TO_TEXT(ROW()-$C$72))"),"")</f>
        <v/>
      </c>
      <c r="F1764" s="61" t="str">
        <f>IFERROR(__xludf.DUMMYFUNCTION("INDIRECT(""'收支紀錄'!F""&amp;TO_TEXT(ROW()-$C$72))"),"")</f>
        <v/>
      </c>
      <c r="G1764" s="61" t="str">
        <f>IFERROR(__xludf.DUMMYFUNCTION("INDIRECT(""'收支紀錄'!G""&amp;TO_TEXT(ROW()-$C$72))"),"")</f>
        <v/>
      </c>
      <c r="H1764" s="61" t="str">
        <f>IFERROR(__xludf.DUMMYFUNCTION("INDIRECT(""'收支紀錄'!H""&amp;TO_TEXT(ROW()-$C$72))"),"")</f>
        <v/>
      </c>
      <c r="I1764" s="61" t="str">
        <f>IFERROR(__xludf.DUMMYFUNCTION("INDIRECT(""'收支紀錄'!I""&amp;TO_TEXT(ROW()-$C$72))"),"")</f>
        <v/>
      </c>
      <c r="J1764" s="61" t="str">
        <f>IFERROR(__xludf.DUMMYFUNCTION("INDIRECT(""'收支紀錄'!J""&amp;TO_TEXT(ROW()-$C$72))"),"")</f>
        <v/>
      </c>
      <c r="K1764" s="61" t="str">
        <f>IFERROR(__xludf.DUMMYFUNCTION("INDIRECT(""'收支紀錄'!K""&amp;TO_TEXT(ROW()-$C$72))"),"")</f>
        <v/>
      </c>
      <c r="L1764" s="61" t="str">
        <f>IFERROR(__xludf.DUMMYFUNCTION("INDIRECT(""'收支紀錄'!L""&amp;TO_TEXT(ROW()-$C$72))"),"")</f>
        <v/>
      </c>
      <c r="M1764" s="61" t="str">
        <f>IFERROR(__xludf.DUMMYFUNCTION("INDIRECT(""'收支紀錄'!M""&amp;TO_TEXT(ROW()-$C$72))"),"")</f>
        <v/>
      </c>
      <c r="N1764" s="61" t="str">
        <f>IFERROR(__xludf.DUMMYFUNCTION("INDIRECT(""'收支紀錄'!N""&amp;TO_TEXT(ROW()-$C$72))"),"")</f>
        <v/>
      </c>
      <c r="O1764" s="61" t="str">
        <f>IFERROR(__xludf.DUMMYFUNCTION("INDIRECT(""'收支紀錄'!O""&amp;TO_TEXT(ROW()-$C$72))"),"")</f>
        <v/>
      </c>
      <c r="P1764" s="61" t="str">
        <f>IFERROR(__xludf.DUMMYFUNCTION("INDIRECT(""'收支紀錄'!P""&amp;TO_TEXT(ROW()-$C$72))"),"")</f>
        <v/>
      </c>
      <c r="Q1764" s="61" t="str">
        <f>IFERROR(__xludf.DUMMYFUNCTION("INDIRECT(""'收支紀錄'!Q""&amp;TO_TEXT(ROW()-$C$72))"),"")</f>
        <v/>
      </c>
      <c r="R1764" s="61" t="str">
        <f>IFERROR(__xludf.DUMMYFUNCTION("INDIRECT(""'收支紀錄'!R""&amp;TO_TEXT(ROW()-$C$72))"),"")</f>
        <v/>
      </c>
      <c r="S1764" s="61" t="str">
        <f>IFERROR(__xludf.DUMMYFUNCTION("INDIRECT(""'收支紀錄'!S""&amp;TO_TEXT(ROW()-$C$72))"),"")</f>
        <v/>
      </c>
      <c r="T1764" s="61" t="str">
        <f>IFERROR(__xludf.DUMMYFUNCTION("INDIRECT(""'收支紀錄'!T""&amp;TO_TEXT(ROW()-$C$72))"),"")</f>
        <v/>
      </c>
      <c r="U1764" s="62" t="str">
        <f>IFERROR(__xludf.DUMMYFUNCTION("IF(T1764=""是"",TEXTJOIN("""", TRUE, ""$"", TO_TEXT(C1764), S1764),"""")"),"")</f>
        <v/>
      </c>
    </row>
    <row r="1765">
      <c r="A1765" s="58" t="str">
        <f>IFERROR(__xludf.DUMMYFUNCTION("INDIRECT(""'收支紀錄'!A""&amp;TO_TEXT(ROW()-$C$72))"),"")</f>
        <v/>
      </c>
      <c r="B1765" s="59" t="str">
        <f>IFERROR(__xludf.DUMMYFUNCTION("IF(ISBLANK(D1765), """", IF(ISDATE(D1765), D1765, IF(D1765=""今天"", A1765, IF(D1765=""昨天 (-1 day)"", A1765-1, IF(D1765=""前天 (-2 days)"", A1765-2, IF(D1765=""明天 (+1 day)"", A1765+1, DATE(LEFT(D1765,4), MID(D1765,5,2), RIGHT(D1765,2))))))))"),"")</f>
        <v/>
      </c>
      <c r="C1765" s="60" t="str">
        <f>IFERROR(__xludf.DUMMYFUNCTION("INDIRECT(""'收支紀錄'!C""&amp;TO_TEXT(ROW()-$C$72))"),"")</f>
        <v/>
      </c>
      <c r="D1765" s="63" t="str">
        <f>IFERROR(__xludf.DUMMYFUNCTION("INDIRECT(""'收支紀錄'!D""&amp;TO_TEXT(ROW()-$C$72))"),"")</f>
        <v/>
      </c>
      <c r="E1765" s="61" t="str">
        <f>IFERROR(__xludf.DUMMYFUNCTION("INDIRECT(""'收支紀錄'!E""&amp;TO_TEXT(ROW()-$C$72))"),"")</f>
        <v/>
      </c>
      <c r="F1765" s="61" t="str">
        <f>IFERROR(__xludf.DUMMYFUNCTION("INDIRECT(""'收支紀錄'!F""&amp;TO_TEXT(ROW()-$C$72))"),"")</f>
        <v/>
      </c>
      <c r="G1765" s="61" t="str">
        <f>IFERROR(__xludf.DUMMYFUNCTION("INDIRECT(""'收支紀錄'!G""&amp;TO_TEXT(ROW()-$C$72))"),"")</f>
        <v/>
      </c>
      <c r="H1765" s="61" t="str">
        <f>IFERROR(__xludf.DUMMYFUNCTION("INDIRECT(""'收支紀錄'!H""&amp;TO_TEXT(ROW()-$C$72))"),"")</f>
        <v/>
      </c>
      <c r="I1765" s="61" t="str">
        <f>IFERROR(__xludf.DUMMYFUNCTION("INDIRECT(""'收支紀錄'!I""&amp;TO_TEXT(ROW()-$C$72))"),"")</f>
        <v/>
      </c>
      <c r="J1765" s="61" t="str">
        <f>IFERROR(__xludf.DUMMYFUNCTION("INDIRECT(""'收支紀錄'!J""&amp;TO_TEXT(ROW()-$C$72))"),"")</f>
        <v/>
      </c>
      <c r="K1765" s="61" t="str">
        <f>IFERROR(__xludf.DUMMYFUNCTION("INDIRECT(""'收支紀錄'!K""&amp;TO_TEXT(ROW()-$C$72))"),"")</f>
        <v/>
      </c>
      <c r="L1765" s="61" t="str">
        <f>IFERROR(__xludf.DUMMYFUNCTION("INDIRECT(""'收支紀錄'!L""&amp;TO_TEXT(ROW()-$C$72))"),"")</f>
        <v/>
      </c>
      <c r="M1765" s="61" t="str">
        <f>IFERROR(__xludf.DUMMYFUNCTION("INDIRECT(""'收支紀錄'!M""&amp;TO_TEXT(ROW()-$C$72))"),"")</f>
        <v/>
      </c>
      <c r="N1765" s="61" t="str">
        <f>IFERROR(__xludf.DUMMYFUNCTION("INDIRECT(""'收支紀錄'!N""&amp;TO_TEXT(ROW()-$C$72))"),"")</f>
        <v/>
      </c>
      <c r="O1765" s="61" t="str">
        <f>IFERROR(__xludf.DUMMYFUNCTION("INDIRECT(""'收支紀錄'!O""&amp;TO_TEXT(ROW()-$C$72))"),"")</f>
        <v/>
      </c>
      <c r="P1765" s="61" t="str">
        <f>IFERROR(__xludf.DUMMYFUNCTION("INDIRECT(""'收支紀錄'!P""&amp;TO_TEXT(ROW()-$C$72))"),"")</f>
        <v/>
      </c>
      <c r="Q1765" s="61" t="str">
        <f>IFERROR(__xludf.DUMMYFUNCTION("INDIRECT(""'收支紀錄'!Q""&amp;TO_TEXT(ROW()-$C$72))"),"")</f>
        <v/>
      </c>
      <c r="R1765" s="61" t="str">
        <f>IFERROR(__xludf.DUMMYFUNCTION("INDIRECT(""'收支紀錄'!R""&amp;TO_TEXT(ROW()-$C$72))"),"")</f>
        <v/>
      </c>
      <c r="S1765" s="61" t="str">
        <f>IFERROR(__xludf.DUMMYFUNCTION("INDIRECT(""'收支紀錄'!S""&amp;TO_TEXT(ROW()-$C$72))"),"")</f>
        <v/>
      </c>
      <c r="T1765" s="61" t="str">
        <f>IFERROR(__xludf.DUMMYFUNCTION("INDIRECT(""'收支紀錄'!T""&amp;TO_TEXT(ROW()-$C$72))"),"")</f>
        <v/>
      </c>
      <c r="U1765" s="62" t="str">
        <f>IFERROR(__xludf.DUMMYFUNCTION("IF(T1765=""是"",TEXTJOIN("""", TRUE, ""$"", TO_TEXT(C1765), S1765),"""")"),"")</f>
        <v/>
      </c>
    </row>
    <row r="1766">
      <c r="A1766" s="58" t="str">
        <f>IFERROR(__xludf.DUMMYFUNCTION("INDIRECT(""'收支紀錄'!A""&amp;TO_TEXT(ROW()-$C$72))"),"")</f>
        <v/>
      </c>
      <c r="B1766" s="59" t="str">
        <f>IFERROR(__xludf.DUMMYFUNCTION("IF(ISBLANK(D1766), """", IF(ISDATE(D1766), D1766, IF(D1766=""今天"", A1766, IF(D1766=""昨天 (-1 day)"", A1766-1, IF(D1766=""前天 (-2 days)"", A1766-2, IF(D1766=""明天 (+1 day)"", A1766+1, DATE(LEFT(D1766,4), MID(D1766,5,2), RIGHT(D1766,2))))))))"),"")</f>
        <v/>
      </c>
      <c r="C1766" s="60" t="str">
        <f>IFERROR(__xludf.DUMMYFUNCTION("INDIRECT(""'收支紀錄'!C""&amp;TO_TEXT(ROW()-$C$72))"),"")</f>
        <v/>
      </c>
      <c r="D1766" s="63" t="str">
        <f>IFERROR(__xludf.DUMMYFUNCTION("INDIRECT(""'收支紀錄'!D""&amp;TO_TEXT(ROW()-$C$72))"),"")</f>
        <v/>
      </c>
      <c r="E1766" s="61" t="str">
        <f>IFERROR(__xludf.DUMMYFUNCTION("INDIRECT(""'收支紀錄'!E""&amp;TO_TEXT(ROW()-$C$72))"),"")</f>
        <v/>
      </c>
      <c r="F1766" s="61" t="str">
        <f>IFERROR(__xludf.DUMMYFUNCTION("INDIRECT(""'收支紀錄'!F""&amp;TO_TEXT(ROW()-$C$72))"),"")</f>
        <v/>
      </c>
      <c r="G1766" s="61" t="str">
        <f>IFERROR(__xludf.DUMMYFUNCTION("INDIRECT(""'收支紀錄'!G""&amp;TO_TEXT(ROW()-$C$72))"),"")</f>
        <v/>
      </c>
      <c r="H1766" s="61" t="str">
        <f>IFERROR(__xludf.DUMMYFUNCTION("INDIRECT(""'收支紀錄'!H""&amp;TO_TEXT(ROW()-$C$72))"),"")</f>
        <v/>
      </c>
      <c r="I1766" s="61" t="str">
        <f>IFERROR(__xludf.DUMMYFUNCTION("INDIRECT(""'收支紀錄'!I""&amp;TO_TEXT(ROW()-$C$72))"),"")</f>
        <v/>
      </c>
      <c r="J1766" s="61" t="str">
        <f>IFERROR(__xludf.DUMMYFUNCTION("INDIRECT(""'收支紀錄'!J""&amp;TO_TEXT(ROW()-$C$72))"),"")</f>
        <v/>
      </c>
      <c r="K1766" s="61" t="str">
        <f>IFERROR(__xludf.DUMMYFUNCTION("INDIRECT(""'收支紀錄'!K""&amp;TO_TEXT(ROW()-$C$72))"),"")</f>
        <v/>
      </c>
      <c r="L1766" s="61" t="str">
        <f>IFERROR(__xludf.DUMMYFUNCTION("INDIRECT(""'收支紀錄'!L""&amp;TO_TEXT(ROW()-$C$72))"),"")</f>
        <v/>
      </c>
      <c r="M1766" s="61" t="str">
        <f>IFERROR(__xludf.DUMMYFUNCTION("INDIRECT(""'收支紀錄'!M""&amp;TO_TEXT(ROW()-$C$72))"),"")</f>
        <v/>
      </c>
      <c r="N1766" s="61" t="str">
        <f>IFERROR(__xludf.DUMMYFUNCTION("INDIRECT(""'收支紀錄'!N""&amp;TO_TEXT(ROW()-$C$72))"),"")</f>
        <v/>
      </c>
      <c r="O1766" s="61" t="str">
        <f>IFERROR(__xludf.DUMMYFUNCTION("INDIRECT(""'收支紀錄'!O""&amp;TO_TEXT(ROW()-$C$72))"),"")</f>
        <v/>
      </c>
      <c r="P1766" s="61" t="str">
        <f>IFERROR(__xludf.DUMMYFUNCTION("INDIRECT(""'收支紀錄'!P""&amp;TO_TEXT(ROW()-$C$72))"),"")</f>
        <v/>
      </c>
      <c r="Q1766" s="61" t="str">
        <f>IFERROR(__xludf.DUMMYFUNCTION("INDIRECT(""'收支紀錄'!Q""&amp;TO_TEXT(ROW()-$C$72))"),"")</f>
        <v/>
      </c>
      <c r="R1766" s="61" t="str">
        <f>IFERROR(__xludf.DUMMYFUNCTION("INDIRECT(""'收支紀錄'!R""&amp;TO_TEXT(ROW()-$C$72))"),"")</f>
        <v/>
      </c>
      <c r="S1766" s="61" t="str">
        <f>IFERROR(__xludf.DUMMYFUNCTION("INDIRECT(""'收支紀錄'!S""&amp;TO_TEXT(ROW()-$C$72))"),"")</f>
        <v/>
      </c>
      <c r="T1766" s="61" t="str">
        <f>IFERROR(__xludf.DUMMYFUNCTION("INDIRECT(""'收支紀錄'!T""&amp;TO_TEXT(ROW()-$C$72))"),"")</f>
        <v/>
      </c>
      <c r="U1766" s="62" t="str">
        <f>IFERROR(__xludf.DUMMYFUNCTION("IF(T1766=""是"",TEXTJOIN("""", TRUE, ""$"", TO_TEXT(C1766), S1766),"""")"),"")</f>
        <v/>
      </c>
    </row>
    <row r="1767">
      <c r="A1767" s="58" t="str">
        <f>IFERROR(__xludf.DUMMYFUNCTION("INDIRECT(""'收支紀錄'!A""&amp;TO_TEXT(ROW()-$C$72))"),"")</f>
        <v/>
      </c>
      <c r="B1767" s="59" t="str">
        <f>IFERROR(__xludf.DUMMYFUNCTION("IF(ISBLANK(D1767), """", IF(ISDATE(D1767), D1767, IF(D1767=""今天"", A1767, IF(D1767=""昨天 (-1 day)"", A1767-1, IF(D1767=""前天 (-2 days)"", A1767-2, IF(D1767=""明天 (+1 day)"", A1767+1, DATE(LEFT(D1767,4), MID(D1767,5,2), RIGHT(D1767,2))))))))"),"")</f>
        <v/>
      </c>
      <c r="C1767" s="60" t="str">
        <f>IFERROR(__xludf.DUMMYFUNCTION("INDIRECT(""'收支紀錄'!C""&amp;TO_TEXT(ROW()-$C$72))"),"")</f>
        <v/>
      </c>
      <c r="D1767" s="63" t="str">
        <f>IFERROR(__xludf.DUMMYFUNCTION("INDIRECT(""'收支紀錄'!D""&amp;TO_TEXT(ROW()-$C$72))"),"")</f>
        <v/>
      </c>
      <c r="E1767" s="61" t="str">
        <f>IFERROR(__xludf.DUMMYFUNCTION("INDIRECT(""'收支紀錄'!E""&amp;TO_TEXT(ROW()-$C$72))"),"")</f>
        <v/>
      </c>
      <c r="F1767" s="61" t="str">
        <f>IFERROR(__xludf.DUMMYFUNCTION("INDIRECT(""'收支紀錄'!F""&amp;TO_TEXT(ROW()-$C$72))"),"")</f>
        <v/>
      </c>
      <c r="G1767" s="61" t="str">
        <f>IFERROR(__xludf.DUMMYFUNCTION("INDIRECT(""'收支紀錄'!G""&amp;TO_TEXT(ROW()-$C$72))"),"")</f>
        <v/>
      </c>
      <c r="H1767" s="61" t="str">
        <f>IFERROR(__xludf.DUMMYFUNCTION("INDIRECT(""'收支紀錄'!H""&amp;TO_TEXT(ROW()-$C$72))"),"")</f>
        <v/>
      </c>
      <c r="I1767" s="61" t="str">
        <f>IFERROR(__xludf.DUMMYFUNCTION("INDIRECT(""'收支紀錄'!I""&amp;TO_TEXT(ROW()-$C$72))"),"")</f>
        <v/>
      </c>
      <c r="J1767" s="61" t="str">
        <f>IFERROR(__xludf.DUMMYFUNCTION("INDIRECT(""'收支紀錄'!J""&amp;TO_TEXT(ROW()-$C$72))"),"")</f>
        <v/>
      </c>
      <c r="K1767" s="61" t="str">
        <f>IFERROR(__xludf.DUMMYFUNCTION("INDIRECT(""'收支紀錄'!K""&amp;TO_TEXT(ROW()-$C$72))"),"")</f>
        <v/>
      </c>
      <c r="L1767" s="61" t="str">
        <f>IFERROR(__xludf.DUMMYFUNCTION("INDIRECT(""'收支紀錄'!L""&amp;TO_TEXT(ROW()-$C$72))"),"")</f>
        <v/>
      </c>
      <c r="M1767" s="61" t="str">
        <f>IFERROR(__xludf.DUMMYFUNCTION("INDIRECT(""'收支紀錄'!M""&amp;TO_TEXT(ROW()-$C$72))"),"")</f>
        <v/>
      </c>
      <c r="N1767" s="61" t="str">
        <f>IFERROR(__xludf.DUMMYFUNCTION("INDIRECT(""'收支紀錄'!N""&amp;TO_TEXT(ROW()-$C$72))"),"")</f>
        <v/>
      </c>
      <c r="O1767" s="61" t="str">
        <f>IFERROR(__xludf.DUMMYFUNCTION("INDIRECT(""'收支紀錄'!O""&amp;TO_TEXT(ROW()-$C$72))"),"")</f>
        <v/>
      </c>
      <c r="P1767" s="61" t="str">
        <f>IFERROR(__xludf.DUMMYFUNCTION("INDIRECT(""'收支紀錄'!P""&amp;TO_TEXT(ROW()-$C$72))"),"")</f>
        <v/>
      </c>
      <c r="Q1767" s="61" t="str">
        <f>IFERROR(__xludf.DUMMYFUNCTION("INDIRECT(""'收支紀錄'!Q""&amp;TO_TEXT(ROW()-$C$72))"),"")</f>
        <v/>
      </c>
      <c r="R1767" s="61" t="str">
        <f>IFERROR(__xludf.DUMMYFUNCTION("INDIRECT(""'收支紀錄'!R""&amp;TO_TEXT(ROW()-$C$72))"),"")</f>
        <v/>
      </c>
      <c r="S1767" s="61" t="str">
        <f>IFERROR(__xludf.DUMMYFUNCTION("INDIRECT(""'收支紀錄'!S""&amp;TO_TEXT(ROW()-$C$72))"),"")</f>
        <v/>
      </c>
      <c r="T1767" s="61" t="str">
        <f>IFERROR(__xludf.DUMMYFUNCTION("INDIRECT(""'收支紀錄'!T""&amp;TO_TEXT(ROW()-$C$72))"),"")</f>
        <v/>
      </c>
      <c r="U1767" s="62" t="str">
        <f>IFERROR(__xludf.DUMMYFUNCTION("IF(T1767=""是"",TEXTJOIN("""", TRUE, ""$"", TO_TEXT(C1767), S1767),"""")"),"")</f>
        <v/>
      </c>
    </row>
    <row r="1768">
      <c r="A1768" s="58" t="str">
        <f>IFERROR(__xludf.DUMMYFUNCTION("INDIRECT(""'收支紀錄'!A""&amp;TO_TEXT(ROW()-$C$72))"),"")</f>
        <v/>
      </c>
      <c r="B1768" s="59" t="str">
        <f>IFERROR(__xludf.DUMMYFUNCTION("IF(ISBLANK(D1768), """", IF(ISDATE(D1768), D1768, IF(D1768=""今天"", A1768, IF(D1768=""昨天 (-1 day)"", A1768-1, IF(D1768=""前天 (-2 days)"", A1768-2, IF(D1768=""明天 (+1 day)"", A1768+1, DATE(LEFT(D1768,4), MID(D1768,5,2), RIGHT(D1768,2))))))))"),"")</f>
        <v/>
      </c>
      <c r="C1768" s="60" t="str">
        <f>IFERROR(__xludf.DUMMYFUNCTION("INDIRECT(""'收支紀錄'!C""&amp;TO_TEXT(ROW()-$C$72))"),"")</f>
        <v/>
      </c>
      <c r="D1768" s="63" t="str">
        <f>IFERROR(__xludf.DUMMYFUNCTION("INDIRECT(""'收支紀錄'!D""&amp;TO_TEXT(ROW()-$C$72))"),"")</f>
        <v/>
      </c>
      <c r="E1768" s="61" t="str">
        <f>IFERROR(__xludf.DUMMYFUNCTION("INDIRECT(""'收支紀錄'!E""&amp;TO_TEXT(ROW()-$C$72))"),"")</f>
        <v/>
      </c>
      <c r="F1768" s="61" t="str">
        <f>IFERROR(__xludf.DUMMYFUNCTION("INDIRECT(""'收支紀錄'!F""&amp;TO_TEXT(ROW()-$C$72))"),"")</f>
        <v/>
      </c>
      <c r="G1768" s="61" t="str">
        <f>IFERROR(__xludf.DUMMYFUNCTION("INDIRECT(""'收支紀錄'!G""&amp;TO_TEXT(ROW()-$C$72))"),"")</f>
        <v/>
      </c>
      <c r="H1768" s="61" t="str">
        <f>IFERROR(__xludf.DUMMYFUNCTION("INDIRECT(""'收支紀錄'!H""&amp;TO_TEXT(ROW()-$C$72))"),"")</f>
        <v/>
      </c>
      <c r="I1768" s="61" t="str">
        <f>IFERROR(__xludf.DUMMYFUNCTION("INDIRECT(""'收支紀錄'!I""&amp;TO_TEXT(ROW()-$C$72))"),"")</f>
        <v/>
      </c>
      <c r="J1768" s="61" t="str">
        <f>IFERROR(__xludf.DUMMYFUNCTION("INDIRECT(""'收支紀錄'!J""&amp;TO_TEXT(ROW()-$C$72))"),"")</f>
        <v/>
      </c>
      <c r="K1768" s="61" t="str">
        <f>IFERROR(__xludf.DUMMYFUNCTION("INDIRECT(""'收支紀錄'!K""&amp;TO_TEXT(ROW()-$C$72))"),"")</f>
        <v/>
      </c>
      <c r="L1768" s="61" t="str">
        <f>IFERROR(__xludf.DUMMYFUNCTION("INDIRECT(""'收支紀錄'!L""&amp;TO_TEXT(ROW()-$C$72))"),"")</f>
        <v/>
      </c>
      <c r="M1768" s="61" t="str">
        <f>IFERROR(__xludf.DUMMYFUNCTION("INDIRECT(""'收支紀錄'!M""&amp;TO_TEXT(ROW()-$C$72))"),"")</f>
        <v/>
      </c>
      <c r="N1768" s="61" t="str">
        <f>IFERROR(__xludf.DUMMYFUNCTION("INDIRECT(""'收支紀錄'!N""&amp;TO_TEXT(ROW()-$C$72))"),"")</f>
        <v/>
      </c>
      <c r="O1768" s="61" t="str">
        <f>IFERROR(__xludf.DUMMYFUNCTION("INDIRECT(""'收支紀錄'!O""&amp;TO_TEXT(ROW()-$C$72))"),"")</f>
        <v/>
      </c>
      <c r="P1768" s="61" t="str">
        <f>IFERROR(__xludf.DUMMYFUNCTION("INDIRECT(""'收支紀錄'!P""&amp;TO_TEXT(ROW()-$C$72))"),"")</f>
        <v/>
      </c>
      <c r="Q1768" s="61" t="str">
        <f>IFERROR(__xludf.DUMMYFUNCTION("INDIRECT(""'收支紀錄'!Q""&amp;TO_TEXT(ROW()-$C$72))"),"")</f>
        <v/>
      </c>
      <c r="R1768" s="61" t="str">
        <f>IFERROR(__xludf.DUMMYFUNCTION("INDIRECT(""'收支紀錄'!R""&amp;TO_TEXT(ROW()-$C$72))"),"")</f>
        <v/>
      </c>
      <c r="S1768" s="61" t="str">
        <f>IFERROR(__xludf.DUMMYFUNCTION("INDIRECT(""'收支紀錄'!S""&amp;TO_TEXT(ROW()-$C$72))"),"")</f>
        <v/>
      </c>
      <c r="T1768" s="61" t="str">
        <f>IFERROR(__xludf.DUMMYFUNCTION("INDIRECT(""'收支紀錄'!T""&amp;TO_TEXT(ROW()-$C$72))"),"")</f>
        <v/>
      </c>
      <c r="U1768" s="62" t="str">
        <f>IFERROR(__xludf.DUMMYFUNCTION("IF(T1768=""是"",TEXTJOIN("""", TRUE, ""$"", TO_TEXT(C1768), S1768),"""")"),"")</f>
        <v/>
      </c>
    </row>
    <row r="1769">
      <c r="A1769" s="58" t="str">
        <f>IFERROR(__xludf.DUMMYFUNCTION("INDIRECT(""'收支紀錄'!A""&amp;TO_TEXT(ROW()-$C$72))"),"")</f>
        <v/>
      </c>
      <c r="B1769" s="59" t="str">
        <f>IFERROR(__xludf.DUMMYFUNCTION("IF(ISBLANK(D1769), """", IF(ISDATE(D1769), D1769, IF(D1769=""今天"", A1769, IF(D1769=""昨天 (-1 day)"", A1769-1, IF(D1769=""前天 (-2 days)"", A1769-2, IF(D1769=""明天 (+1 day)"", A1769+1, DATE(LEFT(D1769,4), MID(D1769,5,2), RIGHT(D1769,2))))))))"),"")</f>
        <v/>
      </c>
      <c r="C1769" s="60" t="str">
        <f>IFERROR(__xludf.DUMMYFUNCTION("INDIRECT(""'收支紀錄'!C""&amp;TO_TEXT(ROW()-$C$72))"),"")</f>
        <v/>
      </c>
      <c r="D1769" s="63" t="str">
        <f>IFERROR(__xludf.DUMMYFUNCTION("INDIRECT(""'收支紀錄'!D""&amp;TO_TEXT(ROW()-$C$72))"),"")</f>
        <v/>
      </c>
      <c r="E1769" s="61" t="str">
        <f>IFERROR(__xludf.DUMMYFUNCTION("INDIRECT(""'收支紀錄'!E""&amp;TO_TEXT(ROW()-$C$72))"),"")</f>
        <v/>
      </c>
      <c r="F1769" s="61" t="str">
        <f>IFERROR(__xludf.DUMMYFUNCTION("INDIRECT(""'收支紀錄'!F""&amp;TO_TEXT(ROW()-$C$72))"),"")</f>
        <v/>
      </c>
      <c r="G1769" s="61" t="str">
        <f>IFERROR(__xludf.DUMMYFUNCTION("INDIRECT(""'收支紀錄'!G""&amp;TO_TEXT(ROW()-$C$72))"),"")</f>
        <v/>
      </c>
      <c r="H1769" s="61" t="str">
        <f>IFERROR(__xludf.DUMMYFUNCTION("INDIRECT(""'收支紀錄'!H""&amp;TO_TEXT(ROW()-$C$72))"),"")</f>
        <v/>
      </c>
      <c r="I1769" s="61" t="str">
        <f>IFERROR(__xludf.DUMMYFUNCTION("INDIRECT(""'收支紀錄'!I""&amp;TO_TEXT(ROW()-$C$72))"),"")</f>
        <v/>
      </c>
      <c r="J1769" s="61" t="str">
        <f>IFERROR(__xludf.DUMMYFUNCTION("INDIRECT(""'收支紀錄'!J""&amp;TO_TEXT(ROW()-$C$72))"),"")</f>
        <v/>
      </c>
      <c r="K1769" s="61" t="str">
        <f>IFERROR(__xludf.DUMMYFUNCTION("INDIRECT(""'收支紀錄'!K""&amp;TO_TEXT(ROW()-$C$72))"),"")</f>
        <v/>
      </c>
      <c r="L1769" s="61" t="str">
        <f>IFERROR(__xludf.DUMMYFUNCTION("INDIRECT(""'收支紀錄'!L""&amp;TO_TEXT(ROW()-$C$72))"),"")</f>
        <v/>
      </c>
      <c r="M1769" s="61" t="str">
        <f>IFERROR(__xludf.DUMMYFUNCTION("INDIRECT(""'收支紀錄'!M""&amp;TO_TEXT(ROW()-$C$72))"),"")</f>
        <v/>
      </c>
      <c r="N1769" s="61" t="str">
        <f>IFERROR(__xludf.DUMMYFUNCTION("INDIRECT(""'收支紀錄'!N""&amp;TO_TEXT(ROW()-$C$72))"),"")</f>
        <v/>
      </c>
      <c r="O1769" s="61" t="str">
        <f>IFERROR(__xludf.DUMMYFUNCTION("INDIRECT(""'收支紀錄'!O""&amp;TO_TEXT(ROW()-$C$72))"),"")</f>
        <v/>
      </c>
      <c r="P1769" s="61" t="str">
        <f>IFERROR(__xludf.DUMMYFUNCTION("INDIRECT(""'收支紀錄'!P""&amp;TO_TEXT(ROW()-$C$72))"),"")</f>
        <v/>
      </c>
      <c r="Q1769" s="61" t="str">
        <f>IFERROR(__xludf.DUMMYFUNCTION("INDIRECT(""'收支紀錄'!Q""&amp;TO_TEXT(ROW()-$C$72))"),"")</f>
        <v/>
      </c>
      <c r="R1769" s="61" t="str">
        <f>IFERROR(__xludf.DUMMYFUNCTION("INDIRECT(""'收支紀錄'!R""&amp;TO_TEXT(ROW()-$C$72))"),"")</f>
        <v/>
      </c>
      <c r="S1769" s="61" t="str">
        <f>IFERROR(__xludf.DUMMYFUNCTION("INDIRECT(""'收支紀錄'!S""&amp;TO_TEXT(ROW()-$C$72))"),"")</f>
        <v/>
      </c>
      <c r="T1769" s="61" t="str">
        <f>IFERROR(__xludf.DUMMYFUNCTION("INDIRECT(""'收支紀錄'!T""&amp;TO_TEXT(ROW()-$C$72))"),"")</f>
        <v/>
      </c>
      <c r="U1769" s="62" t="str">
        <f>IFERROR(__xludf.DUMMYFUNCTION("IF(T1769=""是"",TEXTJOIN("""", TRUE, ""$"", TO_TEXT(C1769), S1769),"""")"),"")</f>
        <v/>
      </c>
    </row>
    <row r="1770">
      <c r="A1770" s="58" t="str">
        <f>IFERROR(__xludf.DUMMYFUNCTION("INDIRECT(""'收支紀錄'!A""&amp;TO_TEXT(ROW()-$C$72))"),"")</f>
        <v/>
      </c>
      <c r="B1770" s="59" t="str">
        <f>IFERROR(__xludf.DUMMYFUNCTION("IF(ISBLANK(D1770), """", IF(ISDATE(D1770), D1770, IF(D1770=""今天"", A1770, IF(D1770=""昨天 (-1 day)"", A1770-1, IF(D1770=""前天 (-2 days)"", A1770-2, IF(D1770=""明天 (+1 day)"", A1770+1, DATE(LEFT(D1770,4), MID(D1770,5,2), RIGHT(D1770,2))))))))"),"")</f>
        <v/>
      </c>
      <c r="C1770" s="60" t="str">
        <f>IFERROR(__xludf.DUMMYFUNCTION("INDIRECT(""'收支紀錄'!C""&amp;TO_TEXT(ROW()-$C$72))"),"")</f>
        <v/>
      </c>
      <c r="D1770" s="63" t="str">
        <f>IFERROR(__xludf.DUMMYFUNCTION("INDIRECT(""'收支紀錄'!D""&amp;TO_TEXT(ROW()-$C$72))"),"")</f>
        <v/>
      </c>
      <c r="E1770" s="61" t="str">
        <f>IFERROR(__xludf.DUMMYFUNCTION("INDIRECT(""'收支紀錄'!E""&amp;TO_TEXT(ROW()-$C$72))"),"")</f>
        <v/>
      </c>
      <c r="F1770" s="61" t="str">
        <f>IFERROR(__xludf.DUMMYFUNCTION("INDIRECT(""'收支紀錄'!F""&amp;TO_TEXT(ROW()-$C$72))"),"")</f>
        <v/>
      </c>
      <c r="G1770" s="61" t="str">
        <f>IFERROR(__xludf.DUMMYFUNCTION("INDIRECT(""'收支紀錄'!G""&amp;TO_TEXT(ROW()-$C$72))"),"")</f>
        <v/>
      </c>
      <c r="H1770" s="61" t="str">
        <f>IFERROR(__xludf.DUMMYFUNCTION("INDIRECT(""'收支紀錄'!H""&amp;TO_TEXT(ROW()-$C$72))"),"")</f>
        <v/>
      </c>
      <c r="I1770" s="61" t="str">
        <f>IFERROR(__xludf.DUMMYFUNCTION("INDIRECT(""'收支紀錄'!I""&amp;TO_TEXT(ROW()-$C$72))"),"")</f>
        <v/>
      </c>
      <c r="J1770" s="61" t="str">
        <f>IFERROR(__xludf.DUMMYFUNCTION("INDIRECT(""'收支紀錄'!J""&amp;TO_TEXT(ROW()-$C$72))"),"")</f>
        <v/>
      </c>
      <c r="K1770" s="61" t="str">
        <f>IFERROR(__xludf.DUMMYFUNCTION("INDIRECT(""'收支紀錄'!K""&amp;TO_TEXT(ROW()-$C$72))"),"")</f>
        <v/>
      </c>
      <c r="L1770" s="61" t="str">
        <f>IFERROR(__xludf.DUMMYFUNCTION("INDIRECT(""'收支紀錄'!L""&amp;TO_TEXT(ROW()-$C$72))"),"")</f>
        <v/>
      </c>
      <c r="M1770" s="61" t="str">
        <f>IFERROR(__xludf.DUMMYFUNCTION("INDIRECT(""'收支紀錄'!M""&amp;TO_TEXT(ROW()-$C$72))"),"")</f>
        <v/>
      </c>
      <c r="N1770" s="61" t="str">
        <f>IFERROR(__xludf.DUMMYFUNCTION("INDIRECT(""'收支紀錄'!N""&amp;TO_TEXT(ROW()-$C$72))"),"")</f>
        <v/>
      </c>
      <c r="O1770" s="61" t="str">
        <f>IFERROR(__xludf.DUMMYFUNCTION("INDIRECT(""'收支紀錄'!O""&amp;TO_TEXT(ROW()-$C$72))"),"")</f>
        <v/>
      </c>
      <c r="P1770" s="61" t="str">
        <f>IFERROR(__xludf.DUMMYFUNCTION("INDIRECT(""'收支紀錄'!P""&amp;TO_TEXT(ROW()-$C$72))"),"")</f>
        <v/>
      </c>
      <c r="Q1770" s="61" t="str">
        <f>IFERROR(__xludf.DUMMYFUNCTION("INDIRECT(""'收支紀錄'!Q""&amp;TO_TEXT(ROW()-$C$72))"),"")</f>
        <v/>
      </c>
      <c r="R1770" s="61" t="str">
        <f>IFERROR(__xludf.DUMMYFUNCTION("INDIRECT(""'收支紀錄'!R""&amp;TO_TEXT(ROW()-$C$72))"),"")</f>
        <v/>
      </c>
      <c r="S1770" s="61" t="str">
        <f>IFERROR(__xludf.DUMMYFUNCTION("INDIRECT(""'收支紀錄'!S""&amp;TO_TEXT(ROW()-$C$72))"),"")</f>
        <v/>
      </c>
      <c r="T1770" s="61" t="str">
        <f>IFERROR(__xludf.DUMMYFUNCTION("INDIRECT(""'收支紀錄'!T""&amp;TO_TEXT(ROW()-$C$72))"),"")</f>
        <v/>
      </c>
      <c r="U1770" s="62" t="str">
        <f>IFERROR(__xludf.DUMMYFUNCTION("IF(T1770=""是"",TEXTJOIN("""", TRUE, ""$"", TO_TEXT(C1770), S1770),"""")"),"")</f>
        <v/>
      </c>
    </row>
    <row r="1771">
      <c r="A1771" s="58" t="str">
        <f>IFERROR(__xludf.DUMMYFUNCTION("INDIRECT(""'收支紀錄'!A""&amp;TO_TEXT(ROW()-$C$72))"),"")</f>
        <v/>
      </c>
      <c r="B1771" s="59" t="str">
        <f>IFERROR(__xludf.DUMMYFUNCTION("IF(ISBLANK(D1771), """", IF(ISDATE(D1771), D1771, IF(D1771=""今天"", A1771, IF(D1771=""昨天 (-1 day)"", A1771-1, IF(D1771=""前天 (-2 days)"", A1771-2, IF(D1771=""明天 (+1 day)"", A1771+1, DATE(LEFT(D1771,4), MID(D1771,5,2), RIGHT(D1771,2))))))))"),"")</f>
        <v/>
      </c>
      <c r="C1771" s="60" t="str">
        <f>IFERROR(__xludf.DUMMYFUNCTION("INDIRECT(""'收支紀錄'!C""&amp;TO_TEXT(ROW()-$C$72))"),"")</f>
        <v/>
      </c>
      <c r="D1771" s="63" t="str">
        <f>IFERROR(__xludf.DUMMYFUNCTION("INDIRECT(""'收支紀錄'!D""&amp;TO_TEXT(ROW()-$C$72))"),"")</f>
        <v/>
      </c>
      <c r="E1771" s="61" t="str">
        <f>IFERROR(__xludf.DUMMYFUNCTION("INDIRECT(""'收支紀錄'!E""&amp;TO_TEXT(ROW()-$C$72))"),"")</f>
        <v/>
      </c>
      <c r="F1771" s="61" t="str">
        <f>IFERROR(__xludf.DUMMYFUNCTION("INDIRECT(""'收支紀錄'!F""&amp;TO_TEXT(ROW()-$C$72))"),"")</f>
        <v/>
      </c>
      <c r="G1771" s="61" t="str">
        <f>IFERROR(__xludf.DUMMYFUNCTION("INDIRECT(""'收支紀錄'!G""&amp;TO_TEXT(ROW()-$C$72))"),"")</f>
        <v/>
      </c>
      <c r="H1771" s="61" t="str">
        <f>IFERROR(__xludf.DUMMYFUNCTION("INDIRECT(""'收支紀錄'!H""&amp;TO_TEXT(ROW()-$C$72))"),"")</f>
        <v/>
      </c>
      <c r="I1771" s="61" t="str">
        <f>IFERROR(__xludf.DUMMYFUNCTION("INDIRECT(""'收支紀錄'!I""&amp;TO_TEXT(ROW()-$C$72))"),"")</f>
        <v/>
      </c>
      <c r="J1771" s="61" t="str">
        <f>IFERROR(__xludf.DUMMYFUNCTION("INDIRECT(""'收支紀錄'!J""&amp;TO_TEXT(ROW()-$C$72))"),"")</f>
        <v/>
      </c>
      <c r="K1771" s="61" t="str">
        <f>IFERROR(__xludf.DUMMYFUNCTION("INDIRECT(""'收支紀錄'!K""&amp;TO_TEXT(ROW()-$C$72))"),"")</f>
        <v/>
      </c>
      <c r="L1771" s="61" t="str">
        <f>IFERROR(__xludf.DUMMYFUNCTION("INDIRECT(""'收支紀錄'!L""&amp;TO_TEXT(ROW()-$C$72))"),"")</f>
        <v/>
      </c>
      <c r="M1771" s="61" t="str">
        <f>IFERROR(__xludf.DUMMYFUNCTION("INDIRECT(""'收支紀錄'!M""&amp;TO_TEXT(ROW()-$C$72))"),"")</f>
        <v/>
      </c>
      <c r="N1771" s="61" t="str">
        <f>IFERROR(__xludf.DUMMYFUNCTION("INDIRECT(""'收支紀錄'!N""&amp;TO_TEXT(ROW()-$C$72))"),"")</f>
        <v/>
      </c>
      <c r="O1771" s="61" t="str">
        <f>IFERROR(__xludf.DUMMYFUNCTION("INDIRECT(""'收支紀錄'!O""&amp;TO_TEXT(ROW()-$C$72))"),"")</f>
        <v/>
      </c>
      <c r="P1771" s="61" t="str">
        <f>IFERROR(__xludf.DUMMYFUNCTION("INDIRECT(""'收支紀錄'!P""&amp;TO_TEXT(ROW()-$C$72))"),"")</f>
        <v/>
      </c>
      <c r="Q1771" s="61" t="str">
        <f>IFERROR(__xludf.DUMMYFUNCTION("INDIRECT(""'收支紀錄'!Q""&amp;TO_TEXT(ROW()-$C$72))"),"")</f>
        <v/>
      </c>
      <c r="R1771" s="61" t="str">
        <f>IFERROR(__xludf.DUMMYFUNCTION("INDIRECT(""'收支紀錄'!R""&amp;TO_TEXT(ROW()-$C$72))"),"")</f>
        <v/>
      </c>
      <c r="S1771" s="61" t="str">
        <f>IFERROR(__xludf.DUMMYFUNCTION("INDIRECT(""'收支紀錄'!S""&amp;TO_TEXT(ROW()-$C$72))"),"")</f>
        <v/>
      </c>
      <c r="T1771" s="61" t="str">
        <f>IFERROR(__xludf.DUMMYFUNCTION("INDIRECT(""'收支紀錄'!T""&amp;TO_TEXT(ROW()-$C$72))"),"")</f>
        <v/>
      </c>
      <c r="U1771" s="62" t="str">
        <f>IFERROR(__xludf.DUMMYFUNCTION("IF(T1771=""是"",TEXTJOIN("""", TRUE, ""$"", TO_TEXT(C1771), S1771),"""")"),"")</f>
        <v/>
      </c>
    </row>
    <row r="1772">
      <c r="A1772" s="58" t="str">
        <f>IFERROR(__xludf.DUMMYFUNCTION("INDIRECT(""'收支紀錄'!A""&amp;TO_TEXT(ROW()-$C$72))"),"")</f>
        <v/>
      </c>
      <c r="B1772" s="59" t="str">
        <f>IFERROR(__xludf.DUMMYFUNCTION("IF(ISBLANK(D1772), """", IF(ISDATE(D1772), D1772, IF(D1772=""今天"", A1772, IF(D1772=""昨天 (-1 day)"", A1772-1, IF(D1772=""前天 (-2 days)"", A1772-2, IF(D1772=""明天 (+1 day)"", A1772+1, DATE(LEFT(D1772,4), MID(D1772,5,2), RIGHT(D1772,2))))))))"),"")</f>
        <v/>
      </c>
      <c r="C1772" s="60" t="str">
        <f>IFERROR(__xludf.DUMMYFUNCTION("INDIRECT(""'收支紀錄'!C""&amp;TO_TEXT(ROW()-$C$72))"),"")</f>
        <v/>
      </c>
      <c r="D1772" s="63" t="str">
        <f>IFERROR(__xludf.DUMMYFUNCTION("INDIRECT(""'收支紀錄'!D""&amp;TO_TEXT(ROW()-$C$72))"),"")</f>
        <v/>
      </c>
      <c r="E1772" s="61" t="str">
        <f>IFERROR(__xludf.DUMMYFUNCTION("INDIRECT(""'收支紀錄'!E""&amp;TO_TEXT(ROW()-$C$72))"),"")</f>
        <v/>
      </c>
      <c r="F1772" s="61" t="str">
        <f>IFERROR(__xludf.DUMMYFUNCTION("INDIRECT(""'收支紀錄'!F""&amp;TO_TEXT(ROW()-$C$72))"),"")</f>
        <v/>
      </c>
      <c r="G1772" s="61" t="str">
        <f>IFERROR(__xludf.DUMMYFUNCTION("INDIRECT(""'收支紀錄'!G""&amp;TO_TEXT(ROW()-$C$72))"),"")</f>
        <v/>
      </c>
      <c r="H1772" s="61" t="str">
        <f>IFERROR(__xludf.DUMMYFUNCTION("INDIRECT(""'收支紀錄'!H""&amp;TO_TEXT(ROW()-$C$72))"),"")</f>
        <v/>
      </c>
      <c r="I1772" s="61" t="str">
        <f>IFERROR(__xludf.DUMMYFUNCTION("INDIRECT(""'收支紀錄'!I""&amp;TO_TEXT(ROW()-$C$72))"),"")</f>
        <v/>
      </c>
      <c r="J1772" s="61" t="str">
        <f>IFERROR(__xludf.DUMMYFUNCTION("INDIRECT(""'收支紀錄'!J""&amp;TO_TEXT(ROW()-$C$72))"),"")</f>
        <v/>
      </c>
      <c r="K1772" s="61" t="str">
        <f>IFERROR(__xludf.DUMMYFUNCTION("INDIRECT(""'收支紀錄'!K""&amp;TO_TEXT(ROW()-$C$72))"),"")</f>
        <v/>
      </c>
      <c r="L1772" s="61" t="str">
        <f>IFERROR(__xludf.DUMMYFUNCTION("INDIRECT(""'收支紀錄'!L""&amp;TO_TEXT(ROW()-$C$72))"),"")</f>
        <v/>
      </c>
      <c r="M1772" s="61" t="str">
        <f>IFERROR(__xludf.DUMMYFUNCTION("INDIRECT(""'收支紀錄'!M""&amp;TO_TEXT(ROW()-$C$72))"),"")</f>
        <v/>
      </c>
      <c r="N1772" s="61" t="str">
        <f>IFERROR(__xludf.DUMMYFUNCTION("INDIRECT(""'收支紀錄'!N""&amp;TO_TEXT(ROW()-$C$72))"),"")</f>
        <v/>
      </c>
      <c r="O1772" s="61" t="str">
        <f>IFERROR(__xludf.DUMMYFUNCTION("INDIRECT(""'收支紀錄'!O""&amp;TO_TEXT(ROW()-$C$72))"),"")</f>
        <v/>
      </c>
      <c r="P1772" s="61" t="str">
        <f>IFERROR(__xludf.DUMMYFUNCTION("INDIRECT(""'收支紀錄'!P""&amp;TO_TEXT(ROW()-$C$72))"),"")</f>
        <v/>
      </c>
      <c r="Q1772" s="61" t="str">
        <f>IFERROR(__xludf.DUMMYFUNCTION("INDIRECT(""'收支紀錄'!Q""&amp;TO_TEXT(ROW()-$C$72))"),"")</f>
        <v/>
      </c>
      <c r="R1772" s="61" t="str">
        <f>IFERROR(__xludf.DUMMYFUNCTION("INDIRECT(""'收支紀錄'!R""&amp;TO_TEXT(ROW()-$C$72))"),"")</f>
        <v/>
      </c>
      <c r="S1772" s="61" t="str">
        <f>IFERROR(__xludf.DUMMYFUNCTION("INDIRECT(""'收支紀錄'!S""&amp;TO_TEXT(ROW()-$C$72))"),"")</f>
        <v/>
      </c>
      <c r="T1772" s="61" t="str">
        <f>IFERROR(__xludf.DUMMYFUNCTION("INDIRECT(""'收支紀錄'!T""&amp;TO_TEXT(ROW()-$C$72))"),"")</f>
        <v/>
      </c>
      <c r="U1772" s="62" t="str">
        <f>IFERROR(__xludf.DUMMYFUNCTION("IF(T1772=""是"",TEXTJOIN("""", TRUE, ""$"", TO_TEXT(C1772), S1772),"""")"),"")</f>
        <v/>
      </c>
    </row>
    <row r="1773">
      <c r="A1773" s="58" t="str">
        <f>IFERROR(__xludf.DUMMYFUNCTION("INDIRECT(""'收支紀錄'!A""&amp;TO_TEXT(ROW()-$C$72))"),"")</f>
        <v/>
      </c>
      <c r="B1773" s="59" t="str">
        <f>IFERROR(__xludf.DUMMYFUNCTION("IF(ISBLANK(D1773), """", IF(ISDATE(D1773), D1773, IF(D1773=""今天"", A1773, IF(D1773=""昨天 (-1 day)"", A1773-1, IF(D1773=""前天 (-2 days)"", A1773-2, IF(D1773=""明天 (+1 day)"", A1773+1, DATE(LEFT(D1773,4), MID(D1773,5,2), RIGHT(D1773,2))))))))"),"")</f>
        <v/>
      </c>
      <c r="C1773" s="60" t="str">
        <f>IFERROR(__xludf.DUMMYFUNCTION("INDIRECT(""'收支紀錄'!C""&amp;TO_TEXT(ROW()-$C$72))"),"")</f>
        <v/>
      </c>
      <c r="D1773" s="63" t="str">
        <f>IFERROR(__xludf.DUMMYFUNCTION("INDIRECT(""'收支紀錄'!D""&amp;TO_TEXT(ROW()-$C$72))"),"")</f>
        <v/>
      </c>
      <c r="E1773" s="61" t="str">
        <f>IFERROR(__xludf.DUMMYFUNCTION("INDIRECT(""'收支紀錄'!E""&amp;TO_TEXT(ROW()-$C$72))"),"")</f>
        <v/>
      </c>
      <c r="F1773" s="61" t="str">
        <f>IFERROR(__xludf.DUMMYFUNCTION("INDIRECT(""'收支紀錄'!F""&amp;TO_TEXT(ROW()-$C$72))"),"")</f>
        <v/>
      </c>
      <c r="G1773" s="61" t="str">
        <f>IFERROR(__xludf.DUMMYFUNCTION("INDIRECT(""'收支紀錄'!G""&amp;TO_TEXT(ROW()-$C$72))"),"")</f>
        <v/>
      </c>
      <c r="H1773" s="61" t="str">
        <f>IFERROR(__xludf.DUMMYFUNCTION("INDIRECT(""'收支紀錄'!H""&amp;TO_TEXT(ROW()-$C$72))"),"")</f>
        <v/>
      </c>
      <c r="I1773" s="61" t="str">
        <f>IFERROR(__xludf.DUMMYFUNCTION("INDIRECT(""'收支紀錄'!I""&amp;TO_TEXT(ROW()-$C$72))"),"")</f>
        <v/>
      </c>
      <c r="J1773" s="61" t="str">
        <f>IFERROR(__xludf.DUMMYFUNCTION("INDIRECT(""'收支紀錄'!J""&amp;TO_TEXT(ROW()-$C$72))"),"")</f>
        <v/>
      </c>
      <c r="K1773" s="61" t="str">
        <f>IFERROR(__xludf.DUMMYFUNCTION("INDIRECT(""'收支紀錄'!K""&amp;TO_TEXT(ROW()-$C$72))"),"")</f>
        <v/>
      </c>
      <c r="L1773" s="61" t="str">
        <f>IFERROR(__xludf.DUMMYFUNCTION("INDIRECT(""'收支紀錄'!L""&amp;TO_TEXT(ROW()-$C$72))"),"")</f>
        <v/>
      </c>
      <c r="M1773" s="61" t="str">
        <f>IFERROR(__xludf.DUMMYFUNCTION("INDIRECT(""'收支紀錄'!M""&amp;TO_TEXT(ROW()-$C$72))"),"")</f>
        <v/>
      </c>
      <c r="N1773" s="61" t="str">
        <f>IFERROR(__xludf.DUMMYFUNCTION("INDIRECT(""'收支紀錄'!N""&amp;TO_TEXT(ROW()-$C$72))"),"")</f>
        <v/>
      </c>
      <c r="O1773" s="61" t="str">
        <f>IFERROR(__xludf.DUMMYFUNCTION("INDIRECT(""'收支紀錄'!O""&amp;TO_TEXT(ROW()-$C$72))"),"")</f>
        <v/>
      </c>
      <c r="P1773" s="61" t="str">
        <f>IFERROR(__xludf.DUMMYFUNCTION("INDIRECT(""'收支紀錄'!P""&amp;TO_TEXT(ROW()-$C$72))"),"")</f>
        <v/>
      </c>
      <c r="Q1773" s="61" t="str">
        <f>IFERROR(__xludf.DUMMYFUNCTION("INDIRECT(""'收支紀錄'!Q""&amp;TO_TEXT(ROW()-$C$72))"),"")</f>
        <v/>
      </c>
      <c r="R1773" s="61" t="str">
        <f>IFERROR(__xludf.DUMMYFUNCTION("INDIRECT(""'收支紀錄'!R""&amp;TO_TEXT(ROW()-$C$72))"),"")</f>
        <v/>
      </c>
      <c r="S1773" s="61" t="str">
        <f>IFERROR(__xludf.DUMMYFUNCTION("INDIRECT(""'收支紀錄'!S""&amp;TO_TEXT(ROW()-$C$72))"),"")</f>
        <v/>
      </c>
      <c r="T1773" s="61" t="str">
        <f>IFERROR(__xludf.DUMMYFUNCTION("INDIRECT(""'收支紀錄'!T""&amp;TO_TEXT(ROW()-$C$72))"),"")</f>
        <v/>
      </c>
      <c r="U1773" s="62" t="str">
        <f>IFERROR(__xludf.DUMMYFUNCTION("IF(T1773=""是"",TEXTJOIN("""", TRUE, ""$"", TO_TEXT(C1773), S1773),"""")"),"")</f>
        <v/>
      </c>
    </row>
    <row r="1774">
      <c r="A1774" s="58" t="str">
        <f>IFERROR(__xludf.DUMMYFUNCTION("INDIRECT(""'收支紀錄'!A""&amp;TO_TEXT(ROW()-$C$72))"),"")</f>
        <v/>
      </c>
      <c r="B1774" s="59" t="str">
        <f>IFERROR(__xludf.DUMMYFUNCTION("IF(ISBLANK(D1774), """", IF(ISDATE(D1774), D1774, IF(D1774=""今天"", A1774, IF(D1774=""昨天 (-1 day)"", A1774-1, IF(D1774=""前天 (-2 days)"", A1774-2, IF(D1774=""明天 (+1 day)"", A1774+1, DATE(LEFT(D1774,4), MID(D1774,5,2), RIGHT(D1774,2))))))))"),"")</f>
        <v/>
      </c>
      <c r="C1774" s="60" t="str">
        <f>IFERROR(__xludf.DUMMYFUNCTION("INDIRECT(""'收支紀錄'!C""&amp;TO_TEXT(ROW()-$C$72))"),"")</f>
        <v/>
      </c>
      <c r="D1774" s="63" t="str">
        <f>IFERROR(__xludf.DUMMYFUNCTION("INDIRECT(""'收支紀錄'!D""&amp;TO_TEXT(ROW()-$C$72))"),"")</f>
        <v/>
      </c>
      <c r="E1774" s="61" t="str">
        <f>IFERROR(__xludf.DUMMYFUNCTION("INDIRECT(""'收支紀錄'!E""&amp;TO_TEXT(ROW()-$C$72))"),"")</f>
        <v/>
      </c>
      <c r="F1774" s="61" t="str">
        <f>IFERROR(__xludf.DUMMYFUNCTION("INDIRECT(""'收支紀錄'!F""&amp;TO_TEXT(ROW()-$C$72))"),"")</f>
        <v/>
      </c>
      <c r="G1774" s="61" t="str">
        <f>IFERROR(__xludf.DUMMYFUNCTION("INDIRECT(""'收支紀錄'!G""&amp;TO_TEXT(ROW()-$C$72))"),"")</f>
        <v/>
      </c>
      <c r="H1774" s="61" t="str">
        <f>IFERROR(__xludf.DUMMYFUNCTION("INDIRECT(""'收支紀錄'!H""&amp;TO_TEXT(ROW()-$C$72))"),"")</f>
        <v/>
      </c>
      <c r="I1774" s="61" t="str">
        <f>IFERROR(__xludf.DUMMYFUNCTION("INDIRECT(""'收支紀錄'!I""&amp;TO_TEXT(ROW()-$C$72))"),"")</f>
        <v/>
      </c>
      <c r="J1774" s="61" t="str">
        <f>IFERROR(__xludf.DUMMYFUNCTION("INDIRECT(""'收支紀錄'!J""&amp;TO_TEXT(ROW()-$C$72))"),"")</f>
        <v/>
      </c>
      <c r="K1774" s="61" t="str">
        <f>IFERROR(__xludf.DUMMYFUNCTION("INDIRECT(""'收支紀錄'!K""&amp;TO_TEXT(ROW()-$C$72))"),"")</f>
        <v/>
      </c>
      <c r="L1774" s="61" t="str">
        <f>IFERROR(__xludf.DUMMYFUNCTION("INDIRECT(""'收支紀錄'!L""&amp;TO_TEXT(ROW()-$C$72))"),"")</f>
        <v/>
      </c>
      <c r="M1774" s="61" t="str">
        <f>IFERROR(__xludf.DUMMYFUNCTION("INDIRECT(""'收支紀錄'!M""&amp;TO_TEXT(ROW()-$C$72))"),"")</f>
        <v/>
      </c>
      <c r="N1774" s="61" t="str">
        <f>IFERROR(__xludf.DUMMYFUNCTION("INDIRECT(""'收支紀錄'!N""&amp;TO_TEXT(ROW()-$C$72))"),"")</f>
        <v/>
      </c>
      <c r="O1774" s="61" t="str">
        <f>IFERROR(__xludf.DUMMYFUNCTION("INDIRECT(""'收支紀錄'!O""&amp;TO_TEXT(ROW()-$C$72))"),"")</f>
        <v/>
      </c>
      <c r="P1774" s="61" t="str">
        <f>IFERROR(__xludf.DUMMYFUNCTION("INDIRECT(""'收支紀錄'!P""&amp;TO_TEXT(ROW()-$C$72))"),"")</f>
        <v/>
      </c>
      <c r="Q1774" s="61" t="str">
        <f>IFERROR(__xludf.DUMMYFUNCTION("INDIRECT(""'收支紀錄'!Q""&amp;TO_TEXT(ROW()-$C$72))"),"")</f>
        <v/>
      </c>
      <c r="R1774" s="61" t="str">
        <f>IFERROR(__xludf.DUMMYFUNCTION("INDIRECT(""'收支紀錄'!R""&amp;TO_TEXT(ROW()-$C$72))"),"")</f>
        <v/>
      </c>
      <c r="S1774" s="61" t="str">
        <f>IFERROR(__xludf.DUMMYFUNCTION("INDIRECT(""'收支紀錄'!S""&amp;TO_TEXT(ROW()-$C$72))"),"")</f>
        <v/>
      </c>
      <c r="T1774" s="61" t="str">
        <f>IFERROR(__xludf.DUMMYFUNCTION("INDIRECT(""'收支紀錄'!T""&amp;TO_TEXT(ROW()-$C$72))"),"")</f>
        <v/>
      </c>
      <c r="U1774" s="62" t="str">
        <f>IFERROR(__xludf.DUMMYFUNCTION("IF(T1774=""是"",TEXTJOIN("""", TRUE, ""$"", TO_TEXT(C1774), S1774),"""")"),"")</f>
        <v/>
      </c>
    </row>
    <row r="1775">
      <c r="A1775" s="58" t="str">
        <f>IFERROR(__xludf.DUMMYFUNCTION("INDIRECT(""'收支紀錄'!A""&amp;TO_TEXT(ROW()-$C$72))"),"")</f>
        <v/>
      </c>
      <c r="B1775" s="59" t="str">
        <f>IFERROR(__xludf.DUMMYFUNCTION("IF(ISBLANK(D1775), """", IF(ISDATE(D1775), D1775, IF(D1775=""今天"", A1775, IF(D1775=""昨天 (-1 day)"", A1775-1, IF(D1775=""前天 (-2 days)"", A1775-2, IF(D1775=""明天 (+1 day)"", A1775+1, DATE(LEFT(D1775,4), MID(D1775,5,2), RIGHT(D1775,2))))))))"),"")</f>
        <v/>
      </c>
      <c r="C1775" s="60" t="str">
        <f>IFERROR(__xludf.DUMMYFUNCTION("INDIRECT(""'收支紀錄'!C""&amp;TO_TEXT(ROW()-$C$72))"),"")</f>
        <v/>
      </c>
      <c r="D1775" s="63" t="str">
        <f>IFERROR(__xludf.DUMMYFUNCTION("INDIRECT(""'收支紀錄'!D""&amp;TO_TEXT(ROW()-$C$72))"),"")</f>
        <v/>
      </c>
      <c r="E1775" s="61" t="str">
        <f>IFERROR(__xludf.DUMMYFUNCTION("INDIRECT(""'收支紀錄'!E""&amp;TO_TEXT(ROW()-$C$72))"),"")</f>
        <v/>
      </c>
      <c r="F1775" s="61" t="str">
        <f>IFERROR(__xludf.DUMMYFUNCTION("INDIRECT(""'收支紀錄'!F""&amp;TO_TEXT(ROW()-$C$72))"),"")</f>
        <v/>
      </c>
      <c r="G1775" s="61" t="str">
        <f>IFERROR(__xludf.DUMMYFUNCTION("INDIRECT(""'收支紀錄'!G""&amp;TO_TEXT(ROW()-$C$72))"),"")</f>
        <v/>
      </c>
      <c r="H1775" s="61" t="str">
        <f>IFERROR(__xludf.DUMMYFUNCTION("INDIRECT(""'收支紀錄'!H""&amp;TO_TEXT(ROW()-$C$72))"),"")</f>
        <v/>
      </c>
      <c r="I1775" s="61" t="str">
        <f>IFERROR(__xludf.DUMMYFUNCTION("INDIRECT(""'收支紀錄'!I""&amp;TO_TEXT(ROW()-$C$72))"),"")</f>
        <v/>
      </c>
      <c r="J1775" s="61" t="str">
        <f>IFERROR(__xludf.DUMMYFUNCTION("INDIRECT(""'收支紀錄'!J""&amp;TO_TEXT(ROW()-$C$72))"),"")</f>
        <v/>
      </c>
      <c r="K1775" s="61" t="str">
        <f>IFERROR(__xludf.DUMMYFUNCTION("INDIRECT(""'收支紀錄'!K""&amp;TO_TEXT(ROW()-$C$72))"),"")</f>
        <v/>
      </c>
      <c r="L1775" s="61" t="str">
        <f>IFERROR(__xludf.DUMMYFUNCTION("INDIRECT(""'收支紀錄'!L""&amp;TO_TEXT(ROW()-$C$72))"),"")</f>
        <v/>
      </c>
      <c r="M1775" s="61" t="str">
        <f>IFERROR(__xludf.DUMMYFUNCTION("INDIRECT(""'收支紀錄'!M""&amp;TO_TEXT(ROW()-$C$72))"),"")</f>
        <v/>
      </c>
      <c r="N1775" s="61" t="str">
        <f>IFERROR(__xludf.DUMMYFUNCTION("INDIRECT(""'收支紀錄'!N""&amp;TO_TEXT(ROW()-$C$72))"),"")</f>
        <v/>
      </c>
      <c r="O1775" s="61" t="str">
        <f>IFERROR(__xludf.DUMMYFUNCTION("INDIRECT(""'收支紀錄'!O""&amp;TO_TEXT(ROW()-$C$72))"),"")</f>
        <v/>
      </c>
      <c r="P1775" s="61" t="str">
        <f>IFERROR(__xludf.DUMMYFUNCTION("INDIRECT(""'收支紀錄'!P""&amp;TO_TEXT(ROW()-$C$72))"),"")</f>
        <v/>
      </c>
      <c r="Q1775" s="61" t="str">
        <f>IFERROR(__xludf.DUMMYFUNCTION("INDIRECT(""'收支紀錄'!Q""&amp;TO_TEXT(ROW()-$C$72))"),"")</f>
        <v/>
      </c>
      <c r="R1775" s="61" t="str">
        <f>IFERROR(__xludf.DUMMYFUNCTION("INDIRECT(""'收支紀錄'!R""&amp;TO_TEXT(ROW()-$C$72))"),"")</f>
        <v/>
      </c>
      <c r="S1775" s="61" t="str">
        <f>IFERROR(__xludf.DUMMYFUNCTION("INDIRECT(""'收支紀錄'!S""&amp;TO_TEXT(ROW()-$C$72))"),"")</f>
        <v/>
      </c>
      <c r="T1775" s="61" t="str">
        <f>IFERROR(__xludf.DUMMYFUNCTION("INDIRECT(""'收支紀錄'!T""&amp;TO_TEXT(ROW()-$C$72))"),"")</f>
        <v/>
      </c>
      <c r="U1775" s="62" t="str">
        <f>IFERROR(__xludf.DUMMYFUNCTION("IF(T1775=""是"",TEXTJOIN("""", TRUE, ""$"", TO_TEXT(C1775), S1775),"""")"),"")</f>
        <v/>
      </c>
    </row>
    <row r="1776">
      <c r="A1776" s="58" t="str">
        <f>IFERROR(__xludf.DUMMYFUNCTION("INDIRECT(""'收支紀錄'!A""&amp;TO_TEXT(ROW()-$C$72))"),"")</f>
        <v/>
      </c>
      <c r="B1776" s="59" t="str">
        <f>IFERROR(__xludf.DUMMYFUNCTION("IF(ISBLANK(D1776), """", IF(ISDATE(D1776), D1776, IF(D1776=""今天"", A1776, IF(D1776=""昨天 (-1 day)"", A1776-1, IF(D1776=""前天 (-2 days)"", A1776-2, IF(D1776=""明天 (+1 day)"", A1776+1, DATE(LEFT(D1776,4), MID(D1776,5,2), RIGHT(D1776,2))))))))"),"")</f>
        <v/>
      </c>
      <c r="C1776" s="60" t="str">
        <f>IFERROR(__xludf.DUMMYFUNCTION("INDIRECT(""'收支紀錄'!C""&amp;TO_TEXT(ROW()-$C$72))"),"")</f>
        <v/>
      </c>
      <c r="D1776" s="63" t="str">
        <f>IFERROR(__xludf.DUMMYFUNCTION("INDIRECT(""'收支紀錄'!D""&amp;TO_TEXT(ROW()-$C$72))"),"")</f>
        <v/>
      </c>
      <c r="E1776" s="61" t="str">
        <f>IFERROR(__xludf.DUMMYFUNCTION("INDIRECT(""'收支紀錄'!E""&amp;TO_TEXT(ROW()-$C$72))"),"")</f>
        <v/>
      </c>
      <c r="F1776" s="61" t="str">
        <f>IFERROR(__xludf.DUMMYFUNCTION("INDIRECT(""'收支紀錄'!F""&amp;TO_TEXT(ROW()-$C$72))"),"")</f>
        <v/>
      </c>
      <c r="G1776" s="61" t="str">
        <f>IFERROR(__xludf.DUMMYFUNCTION("INDIRECT(""'收支紀錄'!G""&amp;TO_TEXT(ROW()-$C$72))"),"")</f>
        <v/>
      </c>
      <c r="H1776" s="61" t="str">
        <f>IFERROR(__xludf.DUMMYFUNCTION("INDIRECT(""'收支紀錄'!H""&amp;TO_TEXT(ROW()-$C$72))"),"")</f>
        <v/>
      </c>
      <c r="I1776" s="61" t="str">
        <f>IFERROR(__xludf.DUMMYFUNCTION("INDIRECT(""'收支紀錄'!I""&amp;TO_TEXT(ROW()-$C$72))"),"")</f>
        <v/>
      </c>
      <c r="J1776" s="61" t="str">
        <f>IFERROR(__xludf.DUMMYFUNCTION("INDIRECT(""'收支紀錄'!J""&amp;TO_TEXT(ROW()-$C$72))"),"")</f>
        <v/>
      </c>
      <c r="K1776" s="61" t="str">
        <f>IFERROR(__xludf.DUMMYFUNCTION("INDIRECT(""'收支紀錄'!K""&amp;TO_TEXT(ROW()-$C$72))"),"")</f>
        <v/>
      </c>
      <c r="L1776" s="61" t="str">
        <f>IFERROR(__xludf.DUMMYFUNCTION("INDIRECT(""'收支紀錄'!L""&amp;TO_TEXT(ROW()-$C$72))"),"")</f>
        <v/>
      </c>
      <c r="M1776" s="61" t="str">
        <f>IFERROR(__xludf.DUMMYFUNCTION("INDIRECT(""'收支紀錄'!M""&amp;TO_TEXT(ROW()-$C$72))"),"")</f>
        <v/>
      </c>
      <c r="N1776" s="61" t="str">
        <f>IFERROR(__xludf.DUMMYFUNCTION("INDIRECT(""'收支紀錄'!N""&amp;TO_TEXT(ROW()-$C$72))"),"")</f>
        <v/>
      </c>
      <c r="O1776" s="61" t="str">
        <f>IFERROR(__xludf.DUMMYFUNCTION("INDIRECT(""'收支紀錄'!O""&amp;TO_TEXT(ROW()-$C$72))"),"")</f>
        <v/>
      </c>
      <c r="P1776" s="61" t="str">
        <f>IFERROR(__xludf.DUMMYFUNCTION("INDIRECT(""'收支紀錄'!P""&amp;TO_TEXT(ROW()-$C$72))"),"")</f>
        <v/>
      </c>
      <c r="Q1776" s="61" t="str">
        <f>IFERROR(__xludf.DUMMYFUNCTION("INDIRECT(""'收支紀錄'!Q""&amp;TO_TEXT(ROW()-$C$72))"),"")</f>
        <v/>
      </c>
      <c r="R1776" s="61" t="str">
        <f>IFERROR(__xludf.DUMMYFUNCTION("INDIRECT(""'收支紀錄'!R""&amp;TO_TEXT(ROW()-$C$72))"),"")</f>
        <v/>
      </c>
      <c r="S1776" s="61" t="str">
        <f>IFERROR(__xludf.DUMMYFUNCTION("INDIRECT(""'收支紀錄'!S""&amp;TO_TEXT(ROW()-$C$72))"),"")</f>
        <v/>
      </c>
      <c r="T1776" s="61" t="str">
        <f>IFERROR(__xludf.DUMMYFUNCTION("INDIRECT(""'收支紀錄'!T""&amp;TO_TEXT(ROW()-$C$72))"),"")</f>
        <v/>
      </c>
      <c r="U1776" s="62" t="str">
        <f>IFERROR(__xludf.DUMMYFUNCTION("IF(T1776=""是"",TEXTJOIN("""", TRUE, ""$"", TO_TEXT(C1776), S1776),"""")"),"")</f>
        <v/>
      </c>
    </row>
    <row r="1777">
      <c r="A1777" s="58" t="str">
        <f>IFERROR(__xludf.DUMMYFUNCTION("INDIRECT(""'收支紀錄'!A""&amp;TO_TEXT(ROW()-$C$72))"),"")</f>
        <v/>
      </c>
      <c r="B1777" s="59" t="str">
        <f>IFERROR(__xludf.DUMMYFUNCTION("IF(ISBLANK(D1777), """", IF(ISDATE(D1777), D1777, IF(D1777=""今天"", A1777, IF(D1777=""昨天 (-1 day)"", A1777-1, IF(D1777=""前天 (-2 days)"", A1777-2, IF(D1777=""明天 (+1 day)"", A1777+1, DATE(LEFT(D1777,4), MID(D1777,5,2), RIGHT(D1777,2))))))))"),"")</f>
        <v/>
      </c>
      <c r="C1777" s="60" t="str">
        <f>IFERROR(__xludf.DUMMYFUNCTION("INDIRECT(""'收支紀錄'!C""&amp;TO_TEXT(ROW()-$C$72))"),"")</f>
        <v/>
      </c>
      <c r="D1777" s="63" t="str">
        <f>IFERROR(__xludf.DUMMYFUNCTION("INDIRECT(""'收支紀錄'!D""&amp;TO_TEXT(ROW()-$C$72))"),"")</f>
        <v/>
      </c>
      <c r="E1777" s="61" t="str">
        <f>IFERROR(__xludf.DUMMYFUNCTION("INDIRECT(""'收支紀錄'!E""&amp;TO_TEXT(ROW()-$C$72))"),"")</f>
        <v/>
      </c>
      <c r="F1777" s="61" t="str">
        <f>IFERROR(__xludf.DUMMYFUNCTION("INDIRECT(""'收支紀錄'!F""&amp;TO_TEXT(ROW()-$C$72))"),"")</f>
        <v/>
      </c>
      <c r="G1777" s="61" t="str">
        <f>IFERROR(__xludf.DUMMYFUNCTION("INDIRECT(""'收支紀錄'!G""&amp;TO_TEXT(ROW()-$C$72))"),"")</f>
        <v/>
      </c>
      <c r="H1777" s="61" t="str">
        <f>IFERROR(__xludf.DUMMYFUNCTION("INDIRECT(""'收支紀錄'!H""&amp;TO_TEXT(ROW()-$C$72))"),"")</f>
        <v/>
      </c>
      <c r="I1777" s="61" t="str">
        <f>IFERROR(__xludf.DUMMYFUNCTION("INDIRECT(""'收支紀錄'!I""&amp;TO_TEXT(ROW()-$C$72))"),"")</f>
        <v/>
      </c>
      <c r="J1777" s="61" t="str">
        <f>IFERROR(__xludf.DUMMYFUNCTION("INDIRECT(""'收支紀錄'!J""&amp;TO_TEXT(ROW()-$C$72))"),"")</f>
        <v/>
      </c>
      <c r="K1777" s="61" t="str">
        <f>IFERROR(__xludf.DUMMYFUNCTION("INDIRECT(""'收支紀錄'!K""&amp;TO_TEXT(ROW()-$C$72))"),"")</f>
        <v/>
      </c>
      <c r="L1777" s="61" t="str">
        <f>IFERROR(__xludf.DUMMYFUNCTION("INDIRECT(""'收支紀錄'!L""&amp;TO_TEXT(ROW()-$C$72))"),"")</f>
        <v/>
      </c>
      <c r="M1777" s="61" t="str">
        <f>IFERROR(__xludf.DUMMYFUNCTION("INDIRECT(""'收支紀錄'!M""&amp;TO_TEXT(ROW()-$C$72))"),"")</f>
        <v/>
      </c>
      <c r="N1777" s="61" t="str">
        <f>IFERROR(__xludf.DUMMYFUNCTION("INDIRECT(""'收支紀錄'!N""&amp;TO_TEXT(ROW()-$C$72))"),"")</f>
        <v/>
      </c>
      <c r="O1777" s="61" t="str">
        <f>IFERROR(__xludf.DUMMYFUNCTION("INDIRECT(""'收支紀錄'!O""&amp;TO_TEXT(ROW()-$C$72))"),"")</f>
        <v/>
      </c>
      <c r="P1777" s="61" t="str">
        <f>IFERROR(__xludf.DUMMYFUNCTION("INDIRECT(""'收支紀錄'!P""&amp;TO_TEXT(ROW()-$C$72))"),"")</f>
        <v/>
      </c>
      <c r="Q1777" s="61" t="str">
        <f>IFERROR(__xludf.DUMMYFUNCTION("INDIRECT(""'收支紀錄'!Q""&amp;TO_TEXT(ROW()-$C$72))"),"")</f>
        <v/>
      </c>
      <c r="R1777" s="61" t="str">
        <f>IFERROR(__xludf.DUMMYFUNCTION("INDIRECT(""'收支紀錄'!R""&amp;TO_TEXT(ROW()-$C$72))"),"")</f>
        <v/>
      </c>
      <c r="S1777" s="61" t="str">
        <f>IFERROR(__xludf.DUMMYFUNCTION("INDIRECT(""'收支紀錄'!S""&amp;TO_TEXT(ROW()-$C$72))"),"")</f>
        <v/>
      </c>
      <c r="T1777" s="61" t="str">
        <f>IFERROR(__xludf.DUMMYFUNCTION("INDIRECT(""'收支紀錄'!T""&amp;TO_TEXT(ROW()-$C$72))"),"")</f>
        <v/>
      </c>
      <c r="U1777" s="62" t="str">
        <f>IFERROR(__xludf.DUMMYFUNCTION("IF(T1777=""是"",TEXTJOIN("""", TRUE, ""$"", TO_TEXT(C1777), S1777),"""")"),"")</f>
        <v/>
      </c>
    </row>
    <row r="1778">
      <c r="A1778" s="58" t="str">
        <f>IFERROR(__xludf.DUMMYFUNCTION("INDIRECT(""'收支紀錄'!A""&amp;TO_TEXT(ROW()-$C$72))"),"")</f>
        <v/>
      </c>
      <c r="B1778" s="59" t="str">
        <f>IFERROR(__xludf.DUMMYFUNCTION("IF(ISBLANK(D1778), """", IF(ISDATE(D1778), D1778, IF(D1778=""今天"", A1778, IF(D1778=""昨天 (-1 day)"", A1778-1, IF(D1778=""前天 (-2 days)"", A1778-2, IF(D1778=""明天 (+1 day)"", A1778+1, DATE(LEFT(D1778,4), MID(D1778,5,2), RIGHT(D1778,2))))))))"),"")</f>
        <v/>
      </c>
      <c r="C1778" s="60" t="str">
        <f>IFERROR(__xludf.DUMMYFUNCTION("INDIRECT(""'收支紀錄'!C""&amp;TO_TEXT(ROW()-$C$72))"),"")</f>
        <v/>
      </c>
      <c r="D1778" s="63" t="str">
        <f>IFERROR(__xludf.DUMMYFUNCTION("INDIRECT(""'收支紀錄'!D""&amp;TO_TEXT(ROW()-$C$72))"),"")</f>
        <v/>
      </c>
      <c r="E1778" s="61" t="str">
        <f>IFERROR(__xludf.DUMMYFUNCTION("INDIRECT(""'收支紀錄'!E""&amp;TO_TEXT(ROW()-$C$72))"),"")</f>
        <v/>
      </c>
      <c r="F1778" s="61" t="str">
        <f>IFERROR(__xludf.DUMMYFUNCTION("INDIRECT(""'收支紀錄'!F""&amp;TO_TEXT(ROW()-$C$72))"),"")</f>
        <v/>
      </c>
      <c r="G1778" s="61" t="str">
        <f>IFERROR(__xludf.DUMMYFUNCTION("INDIRECT(""'收支紀錄'!G""&amp;TO_TEXT(ROW()-$C$72))"),"")</f>
        <v/>
      </c>
      <c r="H1778" s="61" t="str">
        <f>IFERROR(__xludf.DUMMYFUNCTION("INDIRECT(""'收支紀錄'!H""&amp;TO_TEXT(ROW()-$C$72))"),"")</f>
        <v/>
      </c>
      <c r="I1778" s="61" t="str">
        <f>IFERROR(__xludf.DUMMYFUNCTION("INDIRECT(""'收支紀錄'!I""&amp;TO_TEXT(ROW()-$C$72))"),"")</f>
        <v/>
      </c>
      <c r="J1778" s="61" t="str">
        <f>IFERROR(__xludf.DUMMYFUNCTION("INDIRECT(""'收支紀錄'!J""&amp;TO_TEXT(ROW()-$C$72))"),"")</f>
        <v/>
      </c>
      <c r="K1778" s="61" t="str">
        <f>IFERROR(__xludf.DUMMYFUNCTION("INDIRECT(""'收支紀錄'!K""&amp;TO_TEXT(ROW()-$C$72))"),"")</f>
        <v/>
      </c>
      <c r="L1778" s="61" t="str">
        <f>IFERROR(__xludf.DUMMYFUNCTION("INDIRECT(""'收支紀錄'!L""&amp;TO_TEXT(ROW()-$C$72))"),"")</f>
        <v/>
      </c>
      <c r="M1778" s="61" t="str">
        <f>IFERROR(__xludf.DUMMYFUNCTION("INDIRECT(""'收支紀錄'!M""&amp;TO_TEXT(ROW()-$C$72))"),"")</f>
        <v/>
      </c>
      <c r="N1778" s="61" t="str">
        <f>IFERROR(__xludf.DUMMYFUNCTION("INDIRECT(""'收支紀錄'!N""&amp;TO_TEXT(ROW()-$C$72))"),"")</f>
        <v/>
      </c>
      <c r="O1778" s="61" t="str">
        <f>IFERROR(__xludf.DUMMYFUNCTION("INDIRECT(""'收支紀錄'!O""&amp;TO_TEXT(ROW()-$C$72))"),"")</f>
        <v/>
      </c>
      <c r="P1778" s="61" t="str">
        <f>IFERROR(__xludf.DUMMYFUNCTION("INDIRECT(""'收支紀錄'!P""&amp;TO_TEXT(ROW()-$C$72))"),"")</f>
        <v/>
      </c>
      <c r="Q1778" s="61" t="str">
        <f>IFERROR(__xludf.DUMMYFUNCTION("INDIRECT(""'收支紀錄'!Q""&amp;TO_TEXT(ROW()-$C$72))"),"")</f>
        <v/>
      </c>
      <c r="R1778" s="61" t="str">
        <f>IFERROR(__xludf.DUMMYFUNCTION("INDIRECT(""'收支紀錄'!R""&amp;TO_TEXT(ROW()-$C$72))"),"")</f>
        <v/>
      </c>
      <c r="S1778" s="61" t="str">
        <f>IFERROR(__xludf.DUMMYFUNCTION("INDIRECT(""'收支紀錄'!S""&amp;TO_TEXT(ROW()-$C$72))"),"")</f>
        <v/>
      </c>
      <c r="T1778" s="61" t="str">
        <f>IFERROR(__xludf.DUMMYFUNCTION("INDIRECT(""'收支紀錄'!T""&amp;TO_TEXT(ROW()-$C$72))"),"")</f>
        <v/>
      </c>
      <c r="U1778" s="62" t="str">
        <f>IFERROR(__xludf.DUMMYFUNCTION("IF(T1778=""是"",TEXTJOIN("""", TRUE, ""$"", TO_TEXT(C1778), S1778),"""")"),"")</f>
        <v/>
      </c>
    </row>
    <row r="1779">
      <c r="A1779" s="58" t="str">
        <f>IFERROR(__xludf.DUMMYFUNCTION("INDIRECT(""'收支紀錄'!A""&amp;TO_TEXT(ROW()-$C$72))"),"")</f>
        <v/>
      </c>
      <c r="B1779" s="59" t="str">
        <f>IFERROR(__xludf.DUMMYFUNCTION("IF(ISBLANK(D1779), """", IF(ISDATE(D1779), D1779, IF(D1779=""今天"", A1779, IF(D1779=""昨天 (-1 day)"", A1779-1, IF(D1779=""前天 (-2 days)"", A1779-2, IF(D1779=""明天 (+1 day)"", A1779+1, DATE(LEFT(D1779,4), MID(D1779,5,2), RIGHT(D1779,2))))))))"),"")</f>
        <v/>
      </c>
      <c r="C1779" s="60" t="str">
        <f>IFERROR(__xludf.DUMMYFUNCTION("INDIRECT(""'收支紀錄'!C""&amp;TO_TEXT(ROW()-$C$72))"),"")</f>
        <v/>
      </c>
      <c r="D1779" s="63" t="str">
        <f>IFERROR(__xludf.DUMMYFUNCTION("INDIRECT(""'收支紀錄'!D""&amp;TO_TEXT(ROW()-$C$72))"),"")</f>
        <v/>
      </c>
      <c r="E1779" s="61" t="str">
        <f>IFERROR(__xludf.DUMMYFUNCTION("INDIRECT(""'收支紀錄'!E""&amp;TO_TEXT(ROW()-$C$72))"),"")</f>
        <v/>
      </c>
      <c r="F1779" s="61" t="str">
        <f>IFERROR(__xludf.DUMMYFUNCTION("INDIRECT(""'收支紀錄'!F""&amp;TO_TEXT(ROW()-$C$72))"),"")</f>
        <v/>
      </c>
      <c r="G1779" s="61" t="str">
        <f>IFERROR(__xludf.DUMMYFUNCTION("INDIRECT(""'收支紀錄'!G""&amp;TO_TEXT(ROW()-$C$72))"),"")</f>
        <v/>
      </c>
      <c r="H1779" s="61" t="str">
        <f>IFERROR(__xludf.DUMMYFUNCTION("INDIRECT(""'收支紀錄'!H""&amp;TO_TEXT(ROW()-$C$72))"),"")</f>
        <v/>
      </c>
      <c r="I1779" s="61" t="str">
        <f>IFERROR(__xludf.DUMMYFUNCTION("INDIRECT(""'收支紀錄'!I""&amp;TO_TEXT(ROW()-$C$72))"),"")</f>
        <v/>
      </c>
      <c r="J1779" s="61" t="str">
        <f>IFERROR(__xludf.DUMMYFUNCTION("INDIRECT(""'收支紀錄'!J""&amp;TO_TEXT(ROW()-$C$72))"),"")</f>
        <v/>
      </c>
      <c r="K1779" s="61" t="str">
        <f>IFERROR(__xludf.DUMMYFUNCTION("INDIRECT(""'收支紀錄'!K""&amp;TO_TEXT(ROW()-$C$72))"),"")</f>
        <v/>
      </c>
      <c r="L1779" s="61" t="str">
        <f>IFERROR(__xludf.DUMMYFUNCTION("INDIRECT(""'收支紀錄'!L""&amp;TO_TEXT(ROW()-$C$72))"),"")</f>
        <v/>
      </c>
      <c r="M1779" s="61" t="str">
        <f>IFERROR(__xludf.DUMMYFUNCTION("INDIRECT(""'收支紀錄'!M""&amp;TO_TEXT(ROW()-$C$72))"),"")</f>
        <v/>
      </c>
      <c r="N1779" s="61" t="str">
        <f>IFERROR(__xludf.DUMMYFUNCTION("INDIRECT(""'收支紀錄'!N""&amp;TO_TEXT(ROW()-$C$72))"),"")</f>
        <v/>
      </c>
      <c r="O1779" s="61" t="str">
        <f>IFERROR(__xludf.DUMMYFUNCTION("INDIRECT(""'收支紀錄'!O""&amp;TO_TEXT(ROW()-$C$72))"),"")</f>
        <v/>
      </c>
      <c r="P1779" s="61" t="str">
        <f>IFERROR(__xludf.DUMMYFUNCTION("INDIRECT(""'收支紀錄'!P""&amp;TO_TEXT(ROW()-$C$72))"),"")</f>
        <v/>
      </c>
      <c r="Q1779" s="61" t="str">
        <f>IFERROR(__xludf.DUMMYFUNCTION("INDIRECT(""'收支紀錄'!Q""&amp;TO_TEXT(ROW()-$C$72))"),"")</f>
        <v/>
      </c>
      <c r="R1779" s="61" t="str">
        <f>IFERROR(__xludf.DUMMYFUNCTION("INDIRECT(""'收支紀錄'!R""&amp;TO_TEXT(ROW()-$C$72))"),"")</f>
        <v/>
      </c>
      <c r="S1779" s="61" t="str">
        <f>IFERROR(__xludf.DUMMYFUNCTION("INDIRECT(""'收支紀錄'!S""&amp;TO_TEXT(ROW()-$C$72))"),"")</f>
        <v/>
      </c>
      <c r="T1779" s="61" t="str">
        <f>IFERROR(__xludf.DUMMYFUNCTION("INDIRECT(""'收支紀錄'!T""&amp;TO_TEXT(ROW()-$C$72))"),"")</f>
        <v/>
      </c>
      <c r="U1779" s="62" t="str">
        <f>IFERROR(__xludf.DUMMYFUNCTION("IF(T1779=""是"",TEXTJOIN("""", TRUE, ""$"", TO_TEXT(C1779), S1779),"""")"),"")</f>
        <v/>
      </c>
    </row>
    <row r="1780">
      <c r="A1780" s="58" t="str">
        <f>IFERROR(__xludf.DUMMYFUNCTION("INDIRECT(""'收支紀錄'!A""&amp;TO_TEXT(ROW()-$C$72))"),"")</f>
        <v/>
      </c>
      <c r="B1780" s="59" t="str">
        <f>IFERROR(__xludf.DUMMYFUNCTION("IF(ISBLANK(D1780), """", IF(ISDATE(D1780), D1780, IF(D1780=""今天"", A1780, IF(D1780=""昨天 (-1 day)"", A1780-1, IF(D1780=""前天 (-2 days)"", A1780-2, IF(D1780=""明天 (+1 day)"", A1780+1, DATE(LEFT(D1780,4), MID(D1780,5,2), RIGHT(D1780,2))))))))"),"")</f>
        <v/>
      </c>
      <c r="C1780" s="60" t="str">
        <f>IFERROR(__xludf.DUMMYFUNCTION("INDIRECT(""'收支紀錄'!C""&amp;TO_TEXT(ROW()-$C$72))"),"")</f>
        <v/>
      </c>
      <c r="D1780" s="63" t="str">
        <f>IFERROR(__xludf.DUMMYFUNCTION("INDIRECT(""'收支紀錄'!D""&amp;TO_TEXT(ROW()-$C$72))"),"")</f>
        <v/>
      </c>
      <c r="E1780" s="61" t="str">
        <f>IFERROR(__xludf.DUMMYFUNCTION("INDIRECT(""'收支紀錄'!E""&amp;TO_TEXT(ROW()-$C$72))"),"")</f>
        <v/>
      </c>
      <c r="F1780" s="61" t="str">
        <f>IFERROR(__xludf.DUMMYFUNCTION("INDIRECT(""'收支紀錄'!F""&amp;TO_TEXT(ROW()-$C$72))"),"")</f>
        <v/>
      </c>
      <c r="G1780" s="61" t="str">
        <f>IFERROR(__xludf.DUMMYFUNCTION("INDIRECT(""'收支紀錄'!G""&amp;TO_TEXT(ROW()-$C$72))"),"")</f>
        <v/>
      </c>
      <c r="H1780" s="61" t="str">
        <f>IFERROR(__xludf.DUMMYFUNCTION("INDIRECT(""'收支紀錄'!H""&amp;TO_TEXT(ROW()-$C$72))"),"")</f>
        <v/>
      </c>
      <c r="I1780" s="61" t="str">
        <f>IFERROR(__xludf.DUMMYFUNCTION("INDIRECT(""'收支紀錄'!I""&amp;TO_TEXT(ROW()-$C$72))"),"")</f>
        <v/>
      </c>
      <c r="J1780" s="61" t="str">
        <f>IFERROR(__xludf.DUMMYFUNCTION("INDIRECT(""'收支紀錄'!J""&amp;TO_TEXT(ROW()-$C$72))"),"")</f>
        <v/>
      </c>
      <c r="K1780" s="61" t="str">
        <f>IFERROR(__xludf.DUMMYFUNCTION("INDIRECT(""'收支紀錄'!K""&amp;TO_TEXT(ROW()-$C$72))"),"")</f>
        <v/>
      </c>
      <c r="L1780" s="61" t="str">
        <f>IFERROR(__xludf.DUMMYFUNCTION("INDIRECT(""'收支紀錄'!L""&amp;TO_TEXT(ROW()-$C$72))"),"")</f>
        <v/>
      </c>
      <c r="M1780" s="61" t="str">
        <f>IFERROR(__xludf.DUMMYFUNCTION("INDIRECT(""'收支紀錄'!M""&amp;TO_TEXT(ROW()-$C$72))"),"")</f>
        <v/>
      </c>
      <c r="N1780" s="61" t="str">
        <f>IFERROR(__xludf.DUMMYFUNCTION("INDIRECT(""'收支紀錄'!N""&amp;TO_TEXT(ROW()-$C$72))"),"")</f>
        <v/>
      </c>
      <c r="O1780" s="61" t="str">
        <f>IFERROR(__xludf.DUMMYFUNCTION("INDIRECT(""'收支紀錄'!O""&amp;TO_TEXT(ROW()-$C$72))"),"")</f>
        <v/>
      </c>
      <c r="P1780" s="61" t="str">
        <f>IFERROR(__xludf.DUMMYFUNCTION("INDIRECT(""'收支紀錄'!P""&amp;TO_TEXT(ROW()-$C$72))"),"")</f>
        <v/>
      </c>
      <c r="Q1780" s="61" t="str">
        <f>IFERROR(__xludf.DUMMYFUNCTION("INDIRECT(""'收支紀錄'!Q""&amp;TO_TEXT(ROW()-$C$72))"),"")</f>
        <v/>
      </c>
      <c r="R1780" s="61" t="str">
        <f>IFERROR(__xludf.DUMMYFUNCTION("INDIRECT(""'收支紀錄'!R""&amp;TO_TEXT(ROW()-$C$72))"),"")</f>
        <v/>
      </c>
      <c r="S1780" s="61" t="str">
        <f>IFERROR(__xludf.DUMMYFUNCTION("INDIRECT(""'收支紀錄'!S""&amp;TO_TEXT(ROW()-$C$72))"),"")</f>
        <v/>
      </c>
      <c r="T1780" s="61" t="str">
        <f>IFERROR(__xludf.DUMMYFUNCTION("INDIRECT(""'收支紀錄'!T""&amp;TO_TEXT(ROW()-$C$72))"),"")</f>
        <v/>
      </c>
      <c r="U1780" s="62" t="str">
        <f>IFERROR(__xludf.DUMMYFUNCTION("IF(T1780=""是"",TEXTJOIN("""", TRUE, ""$"", TO_TEXT(C1780), S1780),"""")"),"")</f>
        <v/>
      </c>
    </row>
    <row r="1781">
      <c r="A1781" s="58" t="str">
        <f>IFERROR(__xludf.DUMMYFUNCTION("INDIRECT(""'收支紀錄'!A""&amp;TO_TEXT(ROW()-$C$72))"),"")</f>
        <v/>
      </c>
      <c r="B1781" s="59" t="str">
        <f>IFERROR(__xludf.DUMMYFUNCTION("IF(ISBLANK(D1781), """", IF(ISDATE(D1781), D1781, IF(D1781=""今天"", A1781, IF(D1781=""昨天 (-1 day)"", A1781-1, IF(D1781=""前天 (-2 days)"", A1781-2, IF(D1781=""明天 (+1 day)"", A1781+1, DATE(LEFT(D1781,4), MID(D1781,5,2), RIGHT(D1781,2))))))))"),"")</f>
        <v/>
      </c>
      <c r="C1781" s="60" t="str">
        <f>IFERROR(__xludf.DUMMYFUNCTION("INDIRECT(""'收支紀錄'!C""&amp;TO_TEXT(ROW()-$C$72))"),"")</f>
        <v/>
      </c>
      <c r="D1781" s="63" t="str">
        <f>IFERROR(__xludf.DUMMYFUNCTION("INDIRECT(""'收支紀錄'!D""&amp;TO_TEXT(ROW()-$C$72))"),"")</f>
        <v/>
      </c>
      <c r="E1781" s="61" t="str">
        <f>IFERROR(__xludf.DUMMYFUNCTION("INDIRECT(""'收支紀錄'!E""&amp;TO_TEXT(ROW()-$C$72))"),"")</f>
        <v/>
      </c>
      <c r="F1781" s="61" t="str">
        <f>IFERROR(__xludf.DUMMYFUNCTION("INDIRECT(""'收支紀錄'!F""&amp;TO_TEXT(ROW()-$C$72))"),"")</f>
        <v/>
      </c>
      <c r="G1781" s="61" t="str">
        <f>IFERROR(__xludf.DUMMYFUNCTION("INDIRECT(""'收支紀錄'!G""&amp;TO_TEXT(ROW()-$C$72))"),"")</f>
        <v/>
      </c>
      <c r="H1781" s="61" t="str">
        <f>IFERROR(__xludf.DUMMYFUNCTION("INDIRECT(""'收支紀錄'!H""&amp;TO_TEXT(ROW()-$C$72))"),"")</f>
        <v/>
      </c>
      <c r="I1781" s="61" t="str">
        <f>IFERROR(__xludf.DUMMYFUNCTION("INDIRECT(""'收支紀錄'!I""&amp;TO_TEXT(ROW()-$C$72))"),"")</f>
        <v/>
      </c>
      <c r="J1781" s="61" t="str">
        <f>IFERROR(__xludf.DUMMYFUNCTION("INDIRECT(""'收支紀錄'!J""&amp;TO_TEXT(ROW()-$C$72))"),"")</f>
        <v/>
      </c>
      <c r="K1781" s="61" t="str">
        <f>IFERROR(__xludf.DUMMYFUNCTION("INDIRECT(""'收支紀錄'!K""&amp;TO_TEXT(ROW()-$C$72))"),"")</f>
        <v/>
      </c>
      <c r="L1781" s="61" t="str">
        <f>IFERROR(__xludf.DUMMYFUNCTION("INDIRECT(""'收支紀錄'!L""&amp;TO_TEXT(ROW()-$C$72))"),"")</f>
        <v/>
      </c>
      <c r="M1781" s="61" t="str">
        <f>IFERROR(__xludf.DUMMYFUNCTION("INDIRECT(""'收支紀錄'!M""&amp;TO_TEXT(ROW()-$C$72))"),"")</f>
        <v/>
      </c>
      <c r="N1781" s="61" t="str">
        <f>IFERROR(__xludf.DUMMYFUNCTION("INDIRECT(""'收支紀錄'!N""&amp;TO_TEXT(ROW()-$C$72))"),"")</f>
        <v/>
      </c>
      <c r="O1781" s="61" t="str">
        <f>IFERROR(__xludf.DUMMYFUNCTION("INDIRECT(""'收支紀錄'!O""&amp;TO_TEXT(ROW()-$C$72))"),"")</f>
        <v/>
      </c>
      <c r="P1781" s="61" t="str">
        <f>IFERROR(__xludf.DUMMYFUNCTION("INDIRECT(""'收支紀錄'!P""&amp;TO_TEXT(ROW()-$C$72))"),"")</f>
        <v/>
      </c>
      <c r="Q1781" s="61" t="str">
        <f>IFERROR(__xludf.DUMMYFUNCTION("INDIRECT(""'收支紀錄'!Q""&amp;TO_TEXT(ROW()-$C$72))"),"")</f>
        <v/>
      </c>
      <c r="R1781" s="61" t="str">
        <f>IFERROR(__xludf.DUMMYFUNCTION("INDIRECT(""'收支紀錄'!R""&amp;TO_TEXT(ROW()-$C$72))"),"")</f>
        <v/>
      </c>
      <c r="S1781" s="61" t="str">
        <f>IFERROR(__xludf.DUMMYFUNCTION("INDIRECT(""'收支紀錄'!S""&amp;TO_TEXT(ROW()-$C$72))"),"")</f>
        <v/>
      </c>
      <c r="T1781" s="61" t="str">
        <f>IFERROR(__xludf.DUMMYFUNCTION("INDIRECT(""'收支紀錄'!T""&amp;TO_TEXT(ROW()-$C$72))"),"")</f>
        <v/>
      </c>
      <c r="U1781" s="62" t="str">
        <f>IFERROR(__xludf.DUMMYFUNCTION("IF(T1781=""是"",TEXTJOIN("""", TRUE, ""$"", TO_TEXT(C1781), S1781),"""")"),"")</f>
        <v/>
      </c>
    </row>
    <row r="1782">
      <c r="A1782" s="58" t="str">
        <f>IFERROR(__xludf.DUMMYFUNCTION("INDIRECT(""'收支紀錄'!A""&amp;TO_TEXT(ROW()-$C$72))"),"")</f>
        <v/>
      </c>
      <c r="B1782" s="59" t="str">
        <f>IFERROR(__xludf.DUMMYFUNCTION("IF(ISBLANK(D1782), """", IF(ISDATE(D1782), D1782, IF(D1782=""今天"", A1782, IF(D1782=""昨天 (-1 day)"", A1782-1, IF(D1782=""前天 (-2 days)"", A1782-2, IF(D1782=""明天 (+1 day)"", A1782+1, DATE(LEFT(D1782,4), MID(D1782,5,2), RIGHT(D1782,2))))))))"),"")</f>
        <v/>
      </c>
      <c r="C1782" s="60" t="str">
        <f>IFERROR(__xludf.DUMMYFUNCTION("INDIRECT(""'收支紀錄'!C""&amp;TO_TEXT(ROW()-$C$72))"),"")</f>
        <v/>
      </c>
      <c r="D1782" s="63" t="str">
        <f>IFERROR(__xludf.DUMMYFUNCTION("INDIRECT(""'收支紀錄'!D""&amp;TO_TEXT(ROW()-$C$72))"),"")</f>
        <v/>
      </c>
      <c r="E1782" s="61" t="str">
        <f>IFERROR(__xludf.DUMMYFUNCTION("INDIRECT(""'收支紀錄'!E""&amp;TO_TEXT(ROW()-$C$72))"),"")</f>
        <v/>
      </c>
      <c r="F1782" s="61" t="str">
        <f>IFERROR(__xludf.DUMMYFUNCTION("INDIRECT(""'收支紀錄'!F""&amp;TO_TEXT(ROW()-$C$72))"),"")</f>
        <v/>
      </c>
      <c r="G1782" s="61" t="str">
        <f>IFERROR(__xludf.DUMMYFUNCTION("INDIRECT(""'收支紀錄'!G""&amp;TO_TEXT(ROW()-$C$72))"),"")</f>
        <v/>
      </c>
      <c r="H1782" s="61" t="str">
        <f>IFERROR(__xludf.DUMMYFUNCTION("INDIRECT(""'收支紀錄'!H""&amp;TO_TEXT(ROW()-$C$72))"),"")</f>
        <v/>
      </c>
      <c r="I1782" s="61" t="str">
        <f>IFERROR(__xludf.DUMMYFUNCTION("INDIRECT(""'收支紀錄'!I""&amp;TO_TEXT(ROW()-$C$72))"),"")</f>
        <v/>
      </c>
      <c r="J1782" s="61" t="str">
        <f>IFERROR(__xludf.DUMMYFUNCTION("INDIRECT(""'收支紀錄'!J""&amp;TO_TEXT(ROW()-$C$72))"),"")</f>
        <v/>
      </c>
      <c r="K1782" s="61" t="str">
        <f>IFERROR(__xludf.DUMMYFUNCTION("INDIRECT(""'收支紀錄'!K""&amp;TO_TEXT(ROW()-$C$72))"),"")</f>
        <v/>
      </c>
      <c r="L1782" s="61" t="str">
        <f>IFERROR(__xludf.DUMMYFUNCTION("INDIRECT(""'收支紀錄'!L""&amp;TO_TEXT(ROW()-$C$72))"),"")</f>
        <v/>
      </c>
      <c r="M1782" s="61" t="str">
        <f>IFERROR(__xludf.DUMMYFUNCTION("INDIRECT(""'收支紀錄'!M""&amp;TO_TEXT(ROW()-$C$72))"),"")</f>
        <v/>
      </c>
      <c r="N1782" s="61" t="str">
        <f>IFERROR(__xludf.DUMMYFUNCTION("INDIRECT(""'收支紀錄'!N""&amp;TO_TEXT(ROW()-$C$72))"),"")</f>
        <v/>
      </c>
      <c r="O1782" s="61" t="str">
        <f>IFERROR(__xludf.DUMMYFUNCTION("INDIRECT(""'收支紀錄'!O""&amp;TO_TEXT(ROW()-$C$72))"),"")</f>
        <v/>
      </c>
      <c r="P1782" s="61" t="str">
        <f>IFERROR(__xludf.DUMMYFUNCTION("INDIRECT(""'收支紀錄'!P""&amp;TO_TEXT(ROW()-$C$72))"),"")</f>
        <v/>
      </c>
      <c r="Q1782" s="61" t="str">
        <f>IFERROR(__xludf.DUMMYFUNCTION("INDIRECT(""'收支紀錄'!Q""&amp;TO_TEXT(ROW()-$C$72))"),"")</f>
        <v/>
      </c>
      <c r="R1782" s="61" t="str">
        <f>IFERROR(__xludf.DUMMYFUNCTION("INDIRECT(""'收支紀錄'!R""&amp;TO_TEXT(ROW()-$C$72))"),"")</f>
        <v/>
      </c>
      <c r="S1782" s="61" t="str">
        <f>IFERROR(__xludf.DUMMYFUNCTION("INDIRECT(""'收支紀錄'!S""&amp;TO_TEXT(ROW()-$C$72))"),"")</f>
        <v/>
      </c>
      <c r="T1782" s="61" t="str">
        <f>IFERROR(__xludf.DUMMYFUNCTION("INDIRECT(""'收支紀錄'!T""&amp;TO_TEXT(ROW()-$C$72))"),"")</f>
        <v/>
      </c>
      <c r="U1782" s="62" t="str">
        <f>IFERROR(__xludf.DUMMYFUNCTION("IF(T1782=""是"",TEXTJOIN("""", TRUE, ""$"", TO_TEXT(C1782), S1782),"""")"),"")</f>
        <v/>
      </c>
    </row>
    <row r="1783">
      <c r="A1783" s="58" t="str">
        <f>IFERROR(__xludf.DUMMYFUNCTION("INDIRECT(""'收支紀錄'!A""&amp;TO_TEXT(ROW()-$C$72))"),"")</f>
        <v/>
      </c>
      <c r="B1783" s="59" t="str">
        <f>IFERROR(__xludf.DUMMYFUNCTION("IF(ISBLANK(D1783), """", IF(ISDATE(D1783), D1783, IF(D1783=""今天"", A1783, IF(D1783=""昨天 (-1 day)"", A1783-1, IF(D1783=""前天 (-2 days)"", A1783-2, IF(D1783=""明天 (+1 day)"", A1783+1, DATE(LEFT(D1783,4), MID(D1783,5,2), RIGHT(D1783,2))))))))"),"")</f>
        <v/>
      </c>
      <c r="C1783" s="60" t="str">
        <f>IFERROR(__xludf.DUMMYFUNCTION("INDIRECT(""'收支紀錄'!C""&amp;TO_TEXT(ROW()-$C$72))"),"")</f>
        <v/>
      </c>
      <c r="D1783" s="63" t="str">
        <f>IFERROR(__xludf.DUMMYFUNCTION("INDIRECT(""'收支紀錄'!D""&amp;TO_TEXT(ROW()-$C$72))"),"")</f>
        <v/>
      </c>
      <c r="E1783" s="61" t="str">
        <f>IFERROR(__xludf.DUMMYFUNCTION("INDIRECT(""'收支紀錄'!E""&amp;TO_TEXT(ROW()-$C$72))"),"")</f>
        <v/>
      </c>
      <c r="F1783" s="61" t="str">
        <f>IFERROR(__xludf.DUMMYFUNCTION("INDIRECT(""'收支紀錄'!F""&amp;TO_TEXT(ROW()-$C$72))"),"")</f>
        <v/>
      </c>
      <c r="G1783" s="61" t="str">
        <f>IFERROR(__xludf.DUMMYFUNCTION("INDIRECT(""'收支紀錄'!G""&amp;TO_TEXT(ROW()-$C$72))"),"")</f>
        <v/>
      </c>
      <c r="H1783" s="61" t="str">
        <f>IFERROR(__xludf.DUMMYFUNCTION("INDIRECT(""'收支紀錄'!H""&amp;TO_TEXT(ROW()-$C$72))"),"")</f>
        <v/>
      </c>
      <c r="I1783" s="61" t="str">
        <f>IFERROR(__xludf.DUMMYFUNCTION("INDIRECT(""'收支紀錄'!I""&amp;TO_TEXT(ROW()-$C$72))"),"")</f>
        <v/>
      </c>
      <c r="J1783" s="61" t="str">
        <f>IFERROR(__xludf.DUMMYFUNCTION("INDIRECT(""'收支紀錄'!J""&amp;TO_TEXT(ROW()-$C$72))"),"")</f>
        <v/>
      </c>
      <c r="K1783" s="61" t="str">
        <f>IFERROR(__xludf.DUMMYFUNCTION("INDIRECT(""'收支紀錄'!K""&amp;TO_TEXT(ROW()-$C$72))"),"")</f>
        <v/>
      </c>
      <c r="L1783" s="61" t="str">
        <f>IFERROR(__xludf.DUMMYFUNCTION("INDIRECT(""'收支紀錄'!L""&amp;TO_TEXT(ROW()-$C$72))"),"")</f>
        <v/>
      </c>
      <c r="M1783" s="61" t="str">
        <f>IFERROR(__xludf.DUMMYFUNCTION("INDIRECT(""'收支紀錄'!M""&amp;TO_TEXT(ROW()-$C$72))"),"")</f>
        <v/>
      </c>
      <c r="N1783" s="61" t="str">
        <f>IFERROR(__xludf.DUMMYFUNCTION("INDIRECT(""'收支紀錄'!N""&amp;TO_TEXT(ROW()-$C$72))"),"")</f>
        <v/>
      </c>
      <c r="O1783" s="61" t="str">
        <f>IFERROR(__xludf.DUMMYFUNCTION("INDIRECT(""'收支紀錄'!O""&amp;TO_TEXT(ROW()-$C$72))"),"")</f>
        <v/>
      </c>
      <c r="P1783" s="61" t="str">
        <f>IFERROR(__xludf.DUMMYFUNCTION("INDIRECT(""'收支紀錄'!P""&amp;TO_TEXT(ROW()-$C$72))"),"")</f>
        <v/>
      </c>
      <c r="Q1783" s="61" t="str">
        <f>IFERROR(__xludf.DUMMYFUNCTION("INDIRECT(""'收支紀錄'!Q""&amp;TO_TEXT(ROW()-$C$72))"),"")</f>
        <v/>
      </c>
      <c r="R1783" s="61" t="str">
        <f>IFERROR(__xludf.DUMMYFUNCTION("INDIRECT(""'收支紀錄'!R""&amp;TO_TEXT(ROW()-$C$72))"),"")</f>
        <v/>
      </c>
      <c r="S1783" s="61" t="str">
        <f>IFERROR(__xludf.DUMMYFUNCTION("INDIRECT(""'收支紀錄'!S""&amp;TO_TEXT(ROW()-$C$72))"),"")</f>
        <v/>
      </c>
      <c r="T1783" s="61" t="str">
        <f>IFERROR(__xludf.DUMMYFUNCTION("INDIRECT(""'收支紀錄'!T""&amp;TO_TEXT(ROW()-$C$72))"),"")</f>
        <v/>
      </c>
      <c r="U1783" s="62" t="str">
        <f>IFERROR(__xludf.DUMMYFUNCTION("IF(T1783=""是"",TEXTJOIN("""", TRUE, ""$"", TO_TEXT(C1783), S1783),"""")"),"")</f>
        <v/>
      </c>
    </row>
    <row r="1784">
      <c r="A1784" s="58" t="str">
        <f>IFERROR(__xludf.DUMMYFUNCTION("INDIRECT(""'收支紀錄'!A""&amp;TO_TEXT(ROW()-$C$72))"),"")</f>
        <v/>
      </c>
      <c r="B1784" s="59" t="str">
        <f>IFERROR(__xludf.DUMMYFUNCTION("IF(ISBLANK(D1784), """", IF(ISDATE(D1784), D1784, IF(D1784=""今天"", A1784, IF(D1784=""昨天 (-1 day)"", A1784-1, IF(D1784=""前天 (-2 days)"", A1784-2, IF(D1784=""明天 (+1 day)"", A1784+1, DATE(LEFT(D1784,4), MID(D1784,5,2), RIGHT(D1784,2))))))))"),"")</f>
        <v/>
      </c>
      <c r="C1784" s="60" t="str">
        <f>IFERROR(__xludf.DUMMYFUNCTION("INDIRECT(""'收支紀錄'!C""&amp;TO_TEXT(ROW()-$C$72))"),"")</f>
        <v/>
      </c>
      <c r="D1784" s="63" t="str">
        <f>IFERROR(__xludf.DUMMYFUNCTION("INDIRECT(""'收支紀錄'!D""&amp;TO_TEXT(ROW()-$C$72))"),"")</f>
        <v/>
      </c>
      <c r="E1784" s="61" t="str">
        <f>IFERROR(__xludf.DUMMYFUNCTION("INDIRECT(""'收支紀錄'!E""&amp;TO_TEXT(ROW()-$C$72))"),"")</f>
        <v/>
      </c>
      <c r="F1784" s="61" t="str">
        <f>IFERROR(__xludf.DUMMYFUNCTION("INDIRECT(""'收支紀錄'!F""&amp;TO_TEXT(ROW()-$C$72))"),"")</f>
        <v/>
      </c>
      <c r="G1784" s="61" t="str">
        <f>IFERROR(__xludf.DUMMYFUNCTION("INDIRECT(""'收支紀錄'!G""&amp;TO_TEXT(ROW()-$C$72))"),"")</f>
        <v/>
      </c>
      <c r="H1784" s="61" t="str">
        <f>IFERROR(__xludf.DUMMYFUNCTION("INDIRECT(""'收支紀錄'!H""&amp;TO_TEXT(ROW()-$C$72))"),"")</f>
        <v/>
      </c>
      <c r="I1784" s="61" t="str">
        <f>IFERROR(__xludf.DUMMYFUNCTION("INDIRECT(""'收支紀錄'!I""&amp;TO_TEXT(ROW()-$C$72))"),"")</f>
        <v/>
      </c>
      <c r="J1784" s="61" t="str">
        <f>IFERROR(__xludf.DUMMYFUNCTION("INDIRECT(""'收支紀錄'!J""&amp;TO_TEXT(ROW()-$C$72))"),"")</f>
        <v/>
      </c>
      <c r="K1784" s="61" t="str">
        <f>IFERROR(__xludf.DUMMYFUNCTION("INDIRECT(""'收支紀錄'!K""&amp;TO_TEXT(ROW()-$C$72))"),"")</f>
        <v/>
      </c>
      <c r="L1784" s="61" t="str">
        <f>IFERROR(__xludf.DUMMYFUNCTION("INDIRECT(""'收支紀錄'!L""&amp;TO_TEXT(ROW()-$C$72))"),"")</f>
        <v/>
      </c>
      <c r="M1784" s="61" t="str">
        <f>IFERROR(__xludf.DUMMYFUNCTION("INDIRECT(""'收支紀錄'!M""&amp;TO_TEXT(ROW()-$C$72))"),"")</f>
        <v/>
      </c>
      <c r="N1784" s="61" t="str">
        <f>IFERROR(__xludf.DUMMYFUNCTION("INDIRECT(""'收支紀錄'!N""&amp;TO_TEXT(ROW()-$C$72))"),"")</f>
        <v/>
      </c>
      <c r="O1784" s="61" t="str">
        <f>IFERROR(__xludf.DUMMYFUNCTION("INDIRECT(""'收支紀錄'!O""&amp;TO_TEXT(ROW()-$C$72))"),"")</f>
        <v/>
      </c>
      <c r="P1784" s="61" t="str">
        <f>IFERROR(__xludf.DUMMYFUNCTION("INDIRECT(""'收支紀錄'!P""&amp;TO_TEXT(ROW()-$C$72))"),"")</f>
        <v/>
      </c>
      <c r="Q1784" s="61" t="str">
        <f>IFERROR(__xludf.DUMMYFUNCTION("INDIRECT(""'收支紀錄'!Q""&amp;TO_TEXT(ROW()-$C$72))"),"")</f>
        <v/>
      </c>
      <c r="R1784" s="61" t="str">
        <f>IFERROR(__xludf.DUMMYFUNCTION("INDIRECT(""'收支紀錄'!R""&amp;TO_TEXT(ROW()-$C$72))"),"")</f>
        <v/>
      </c>
      <c r="S1784" s="61" t="str">
        <f>IFERROR(__xludf.DUMMYFUNCTION("INDIRECT(""'收支紀錄'!S""&amp;TO_TEXT(ROW()-$C$72))"),"")</f>
        <v/>
      </c>
      <c r="T1784" s="61" t="str">
        <f>IFERROR(__xludf.DUMMYFUNCTION("INDIRECT(""'收支紀錄'!T""&amp;TO_TEXT(ROW()-$C$72))"),"")</f>
        <v/>
      </c>
      <c r="U1784" s="62" t="str">
        <f>IFERROR(__xludf.DUMMYFUNCTION("IF(T1784=""是"",TEXTJOIN("""", TRUE, ""$"", TO_TEXT(C1784), S1784),"""")"),"")</f>
        <v/>
      </c>
    </row>
    <row r="1785">
      <c r="A1785" s="58" t="str">
        <f>IFERROR(__xludf.DUMMYFUNCTION("INDIRECT(""'收支紀錄'!A""&amp;TO_TEXT(ROW()-$C$72))"),"")</f>
        <v/>
      </c>
      <c r="B1785" s="59" t="str">
        <f>IFERROR(__xludf.DUMMYFUNCTION("IF(ISBLANK(D1785), """", IF(ISDATE(D1785), D1785, IF(D1785=""今天"", A1785, IF(D1785=""昨天 (-1 day)"", A1785-1, IF(D1785=""前天 (-2 days)"", A1785-2, IF(D1785=""明天 (+1 day)"", A1785+1, DATE(LEFT(D1785,4), MID(D1785,5,2), RIGHT(D1785,2))))))))"),"")</f>
        <v/>
      </c>
      <c r="C1785" s="60" t="str">
        <f>IFERROR(__xludf.DUMMYFUNCTION("INDIRECT(""'收支紀錄'!C""&amp;TO_TEXT(ROW()-$C$72))"),"")</f>
        <v/>
      </c>
      <c r="D1785" s="63" t="str">
        <f>IFERROR(__xludf.DUMMYFUNCTION("INDIRECT(""'收支紀錄'!D""&amp;TO_TEXT(ROW()-$C$72))"),"")</f>
        <v/>
      </c>
      <c r="E1785" s="61" t="str">
        <f>IFERROR(__xludf.DUMMYFUNCTION("INDIRECT(""'收支紀錄'!E""&amp;TO_TEXT(ROW()-$C$72))"),"")</f>
        <v/>
      </c>
      <c r="F1785" s="61" t="str">
        <f>IFERROR(__xludf.DUMMYFUNCTION("INDIRECT(""'收支紀錄'!F""&amp;TO_TEXT(ROW()-$C$72))"),"")</f>
        <v/>
      </c>
      <c r="G1785" s="61" t="str">
        <f>IFERROR(__xludf.DUMMYFUNCTION("INDIRECT(""'收支紀錄'!G""&amp;TO_TEXT(ROW()-$C$72))"),"")</f>
        <v/>
      </c>
      <c r="H1785" s="61" t="str">
        <f>IFERROR(__xludf.DUMMYFUNCTION("INDIRECT(""'收支紀錄'!H""&amp;TO_TEXT(ROW()-$C$72))"),"")</f>
        <v/>
      </c>
      <c r="I1785" s="61" t="str">
        <f>IFERROR(__xludf.DUMMYFUNCTION("INDIRECT(""'收支紀錄'!I""&amp;TO_TEXT(ROW()-$C$72))"),"")</f>
        <v/>
      </c>
      <c r="J1785" s="61" t="str">
        <f>IFERROR(__xludf.DUMMYFUNCTION("INDIRECT(""'收支紀錄'!J""&amp;TO_TEXT(ROW()-$C$72))"),"")</f>
        <v/>
      </c>
      <c r="K1785" s="61" t="str">
        <f>IFERROR(__xludf.DUMMYFUNCTION("INDIRECT(""'收支紀錄'!K""&amp;TO_TEXT(ROW()-$C$72))"),"")</f>
        <v/>
      </c>
      <c r="L1785" s="61" t="str">
        <f>IFERROR(__xludf.DUMMYFUNCTION("INDIRECT(""'收支紀錄'!L""&amp;TO_TEXT(ROW()-$C$72))"),"")</f>
        <v/>
      </c>
      <c r="M1785" s="61" t="str">
        <f>IFERROR(__xludf.DUMMYFUNCTION("INDIRECT(""'收支紀錄'!M""&amp;TO_TEXT(ROW()-$C$72))"),"")</f>
        <v/>
      </c>
      <c r="N1785" s="61" t="str">
        <f>IFERROR(__xludf.DUMMYFUNCTION("INDIRECT(""'收支紀錄'!N""&amp;TO_TEXT(ROW()-$C$72))"),"")</f>
        <v/>
      </c>
      <c r="O1785" s="61" t="str">
        <f>IFERROR(__xludf.DUMMYFUNCTION("INDIRECT(""'收支紀錄'!O""&amp;TO_TEXT(ROW()-$C$72))"),"")</f>
        <v/>
      </c>
      <c r="P1785" s="61" t="str">
        <f>IFERROR(__xludf.DUMMYFUNCTION("INDIRECT(""'收支紀錄'!P""&amp;TO_TEXT(ROW()-$C$72))"),"")</f>
        <v/>
      </c>
      <c r="Q1785" s="61" t="str">
        <f>IFERROR(__xludf.DUMMYFUNCTION("INDIRECT(""'收支紀錄'!Q""&amp;TO_TEXT(ROW()-$C$72))"),"")</f>
        <v/>
      </c>
      <c r="R1785" s="61" t="str">
        <f>IFERROR(__xludf.DUMMYFUNCTION("INDIRECT(""'收支紀錄'!R""&amp;TO_TEXT(ROW()-$C$72))"),"")</f>
        <v/>
      </c>
      <c r="S1785" s="61" t="str">
        <f>IFERROR(__xludf.DUMMYFUNCTION("INDIRECT(""'收支紀錄'!S""&amp;TO_TEXT(ROW()-$C$72))"),"")</f>
        <v/>
      </c>
      <c r="T1785" s="61" t="str">
        <f>IFERROR(__xludf.DUMMYFUNCTION("INDIRECT(""'收支紀錄'!T""&amp;TO_TEXT(ROW()-$C$72))"),"")</f>
        <v/>
      </c>
      <c r="U1785" s="62" t="str">
        <f>IFERROR(__xludf.DUMMYFUNCTION("IF(T1785=""是"",TEXTJOIN("""", TRUE, ""$"", TO_TEXT(C1785), S1785),"""")"),"")</f>
        <v/>
      </c>
    </row>
    <row r="1786">
      <c r="A1786" s="58" t="str">
        <f>IFERROR(__xludf.DUMMYFUNCTION("INDIRECT(""'收支紀錄'!A""&amp;TO_TEXT(ROW()-$C$72))"),"")</f>
        <v/>
      </c>
      <c r="B1786" s="59" t="str">
        <f>IFERROR(__xludf.DUMMYFUNCTION("IF(ISBLANK(D1786), """", IF(ISDATE(D1786), D1786, IF(D1786=""今天"", A1786, IF(D1786=""昨天 (-1 day)"", A1786-1, IF(D1786=""前天 (-2 days)"", A1786-2, IF(D1786=""明天 (+1 day)"", A1786+1, DATE(LEFT(D1786,4), MID(D1786,5,2), RIGHT(D1786,2))))))))"),"")</f>
        <v/>
      </c>
      <c r="C1786" s="60" t="str">
        <f>IFERROR(__xludf.DUMMYFUNCTION("INDIRECT(""'收支紀錄'!C""&amp;TO_TEXT(ROW()-$C$72))"),"")</f>
        <v/>
      </c>
      <c r="D1786" s="63" t="str">
        <f>IFERROR(__xludf.DUMMYFUNCTION("INDIRECT(""'收支紀錄'!D""&amp;TO_TEXT(ROW()-$C$72))"),"")</f>
        <v/>
      </c>
      <c r="E1786" s="61" t="str">
        <f>IFERROR(__xludf.DUMMYFUNCTION("INDIRECT(""'收支紀錄'!E""&amp;TO_TEXT(ROW()-$C$72))"),"")</f>
        <v/>
      </c>
      <c r="F1786" s="61" t="str">
        <f>IFERROR(__xludf.DUMMYFUNCTION("INDIRECT(""'收支紀錄'!F""&amp;TO_TEXT(ROW()-$C$72))"),"")</f>
        <v/>
      </c>
      <c r="G1786" s="61" t="str">
        <f>IFERROR(__xludf.DUMMYFUNCTION("INDIRECT(""'收支紀錄'!G""&amp;TO_TEXT(ROW()-$C$72))"),"")</f>
        <v/>
      </c>
      <c r="H1786" s="61" t="str">
        <f>IFERROR(__xludf.DUMMYFUNCTION("INDIRECT(""'收支紀錄'!H""&amp;TO_TEXT(ROW()-$C$72))"),"")</f>
        <v/>
      </c>
      <c r="I1786" s="61" t="str">
        <f>IFERROR(__xludf.DUMMYFUNCTION("INDIRECT(""'收支紀錄'!I""&amp;TO_TEXT(ROW()-$C$72))"),"")</f>
        <v/>
      </c>
      <c r="J1786" s="61" t="str">
        <f>IFERROR(__xludf.DUMMYFUNCTION("INDIRECT(""'收支紀錄'!J""&amp;TO_TEXT(ROW()-$C$72))"),"")</f>
        <v/>
      </c>
      <c r="K1786" s="61" t="str">
        <f>IFERROR(__xludf.DUMMYFUNCTION("INDIRECT(""'收支紀錄'!K""&amp;TO_TEXT(ROW()-$C$72))"),"")</f>
        <v/>
      </c>
      <c r="L1786" s="61" t="str">
        <f>IFERROR(__xludf.DUMMYFUNCTION("INDIRECT(""'收支紀錄'!L""&amp;TO_TEXT(ROW()-$C$72))"),"")</f>
        <v/>
      </c>
      <c r="M1786" s="61" t="str">
        <f>IFERROR(__xludf.DUMMYFUNCTION("INDIRECT(""'收支紀錄'!M""&amp;TO_TEXT(ROW()-$C$72))"),"")</f>
        <v/>
      </c>
      <c r="N1786" s="61" t="str">
        <f>IFERROR(__xludf.DUMMYFUNCTION("INDIRECT(""'收支紀錄'!N""&amp;TO_TEXT(ROW()-$C$72))"),"")</f>
        <v/>
      </c>
      <c r="O1786" s="61" t="str">
        <f>IFERROR(__xludf.DUMMYFUNCTION("INDIRECT(""'收支紀錄'!O""&amp;TO_TEXT(ROW()-$C$72))"),"")</f>
        <v/>
      </c>
      <c r="P1786" s="61" t="str">
        <f>IFERROR(__xludf.DUMMYFUNCTION("INDIRECT(""'收支紀錄'!P""&amp;TO_TEXT(ROW()-$C$72))"),"")</f>
        <v/>
      </c>
      <c r="Q1786" s="61" t="str">
        <f>IFERROR(__xludf.DUMMYFUNCTION("INDIRECT(""'收支紀錄'!Q""&amp;TO_TEXT(ROW()-$C$72))"),"")</f>
        <v/>
      </c>
      <c r="R1786" s="61" t="str">
        <f>IFERROR(__xludf.DUMMYFUNCTION("INDIRECT(""'收支紀錄'!R""&amp;TO_TEXT(ROW()-$C$72))"),"")</f>
        <v/>
      </c>
      <c r="S1786" s="61" t="str">
        <f>IFERROR(__xludf.DUMMYFUNCTION("INDIRECT(""'收支紀錄'!S""&amp;TO_TEXT(ROW()-$C$72))"),"")</f>
        <v/>
      </c>
      <c r="T1786" s="61" t="str">
        <f>IFERROR(__xludf.DUMMYFUNCTION("INDIRECT(""'收支紀錄'!T""&amp;TO_TEXT(ROW()-$C$72))"),"")</f>
        <v/>
      </c>
      <c r="U1786" s="62" t="str">
        <f>IFERROR(__xludf.DUMMYFUNCTION("IF(T1786=""是"",TEXTJOIN("""", TRUE, ""$"", TO_TEXT(C1786), S1786),"""")"),"")</f>
        <v/>
      </c>
    </row>
    <row r="1787">
      <c r="A1787" s="58" t="str">
        <f>IFERROR(__xludf.DUMMYFUNCTION("INDIRECT(""'收支紀錄'!A""&amp;TO_TEXT(ROW()-$C$72))"),"")</f>
        <v/>
      </c>
      <c r="B1787" s="59" t="str">
        <f>IFERROR(__xludf.DUMMYFUNCTION("IF(ISBLANK(D1787), """", IF(ISDATE(D1787), D1787, IF(D1787=""今天"", A1787, IF(D1787=""昨天 (-1 day)"", A1787-1, IF(D1787=""前天 (-2 days)"", A1787-2, IF(D1787=""明天 (+1 day)"", A1787+1, DATE(LEFT(D1787,4), MID(D1787,5,2), RIGHT(D1787,2))))))))"),"")</f>
        <v/>
      </c>
      <c r="C1787" s="60" t="str">
        <f>IFERROR(__xludf.DUMMYFUNCTION("INDIRECT(""'收支紀錄'!C""&amp;TO_TEXT(ROW()-$C$72))"),"")</f>
        <v/>
      </c>
      <c r="D1787" s="63" t="str">
        <f>IFERROR(__xludf.DUMMYFUNCTION("INDIRECT(""'收支紀錄'!D""&amp;TO_TEXT(ROW()-$C$72))"),"")</f>
        <v/>
      </c>
      <c r="E1787" s="61" t="str">
        <f>IFERROR(__xludf.DUMMYFUNCTION("INDIRECT(""'收支紀錄'!E""&amp;TO_TEXT(ROW()-$C$72))"),"")</f>
        <v/>
      </c>
      <c r="F1787" s="61" t="str">
        <f>IFERROR(__xludf.DUMMYFUNCTION("INDIRECT(""'收支紀錄'!F""&amp;TO_TEXT(ROW()-$C$72))"),"")</f>
        <v/>
      </c>
      <c r="G1787" s="61" t="str">
        <f>IFERROR(__xludf.DUMMYFUNCTION("INDIRECT(""'收支紀錄'!G""&amp;TO_TEXT(ROW()-$C$72))"),"")</f>
        <v/>
      </c>
      <c r="H1787" s="61" t="str">
        <f>IFERROR(__xludf.DUMMYFUNCTION("INDIRECT(""'收支紀錄'!H""&amp;TO_TEXT(ROW()-$C$72))"),"")</f>
        <v/>
      </c>
      <c r="I1787" s="61" t="str">
        <f>IFERROR(__xludf.DUMMYFUNCTION("INDIRECT(""'收支紀錄'!I""&amp;TO_TEXT(ROW()-$C$72))"),"")</f>
        <v/>
      </c>
      <c r="J1787" s="61" t="str">
        <f>IFERROR(__xludf.DUMMYFUNCTION("INDIRECT(""'收支紀錄'!J""&amp;TO_TEXT(ROW()-$C$72))"),"")</f>
        <v/>
      </c>
      <c r="K1787" s="61" t="str">
        <f>IFERROR(__xludf.DUMMYFUNCTION("INDIRECT(""'收支紀錄'!K""&amp;TO_TEXT(ROW()-$C$72))"),"")</f>
        <v/>
      </c>
      <c r="L1787" s="61" t="str">
        <f>IFERROR(__xludf.DUMMYFUNCTION("INDIRECT(""'收支紀錄'!L""&amp;TO_TEXT(ROW()-$C$72))"),"")</f>
        <v/>
      </c>
      <c r="M1787" s="61" t="str">
        <f>IFERROR(__xludf.DUMMYFUNCTION("INDIRECT(""'收支紀錄'!M""&amp;TO_TEXT(ROW()-$C$72))"),"")</f>
        <v/>
      </c>
      <c r="N1787" s="61" t="str">
        <f>IFERROR(__xludf.DUMMYFUNCTION("INDIRECT(""'收支紀錄'!N""&amp;TO_TEXT(ROW()-$C$72))"),"")</f>
        <v/>
      </c>
      <c r="O1787" s="61" t="str">
        <f>IFERROR(__xludf.DUMMYFUNCTION("INDIRECT(""'收支紀錄'!O""&amp;TO_TEXT(ROW()-$C$72))"),"")</f>
        <v/>
      </c>
      <c r="P1787" s="61" t="str">
        <f>IFERROR(__xludf.DUMMYFUNCTION("INDIRECT(""'收支紀錄'!P""&amp;TO_TEXT(ROW()-$C$72))"),"")</f>
        <v/>
      </c>
      <c r="Q1787" s="61" t="str">
        <f>IFERROR(__xludf.DUMMYFUNCTION("INDIRECT(""'收支紀錄'!Q""&amp;TO_TEXT(ROW()-$C$72))"),"")</f>
        <v/>
      </c>
      <c r="R1787" s="61" t="str">
        <f>IFERROR(__xludf.DUMMYFUNCTION("INDIRECT(""'收支紀錄'!R""&amp;TO_TEXT(ROW()-$C$72))"),"")</f>
        <v/>
      </c>
      <c r="S1787" s="61" t="str">
        <f>IFERROR(__xludf.DUMMYFUNCTION("INDIRECT(""'收支紀錄'!S""&amp;TO_TEXT(ROW()-$C$72))"),"")</f>
        <v/>
      </c>
      <c r="T1787" s="61" t="str">
        <f>IFERROR(__xludf.DUMMYFUNCTION("INDIRECT(""'收支紀錄'!T""&amp;TO_TEXT(ROW()-$C$72))"),"")</f>
        <v/>
      </c>
      <c r="U1787" s="62" t="str">
        <f>IFERROR(__xludf.DUMMYFUNCTION("IF(T1787=""是"",TEXTJOIN("""", TRUE, ""$"", TO_TEXT(C1787), S1787),"""")"),"")</f>
        <v/>
      </c>
    </row>
    <row r="1788">
      <c r="A1788" s="58" t="str">
        <f>IFERROR(__xludf.DUMMYFUNCTION("INDIRECT(""'收支紀錄'!A""&amp;TO_TEXT(ROW()-$C$72))"),"")</f>
        <v/>
      </c>
      <c r="B1788" s="59" t="str">
        <f>IFERROR(__xludf.DUMMYFUNCTION("IF(ISBLANK(D1788), """", IF(ISDATE(D1788), D1788, IF(D1788=""今天"", A1788, IF(D1788=""昨天 (-1 day)"", A1788-1, IF(D1788=""前天 (-2 days)"", A1788-2, IF(D1788=""明天 (+1 day)"", A1788+1, DATE(LEFT(D1788,4), MID(D1788,5,2), RIGHT(D1788,2))))))))"),"")</f>
        <v/>
      </c>
      <c r="C1788" s="60" t="str">
        <f>IFERROR(__xludf.DUMMYFUNCTION("INDIRECT(""'收支紀錄'!C""&amp;TO_TEXT(ROW()-$C$72))"),"")</f>
        <v/>
      </c>
      <c r="D1788" s="63" t="str">
        <f>IFERROR(__xludf.DUMMYFUNCTION("INDIRECT(""'收支紀錄'!D""&amp;TO_TEXT(ROW()-$C$72))"),"")</f>
        <v/>
      </c>
      <c r="E1788" s="61" t="str">
        <f>IFERROR(__xludf.DUMMYFUNCTION("INDIRECT(""'收支紀錄'!E""&amp;TO_TEXT(ROW()-$C$72))"),"")</f>
        <v/>
      </c>
      <c r="F1788" s="61" t="str">
        <f>IFERROR(__xludf.DUMMYFUNCTION("INDIRECT(""'收支紀錄'!F""&amp;TO_TEXT(ROW()-$C$72))"),"")</f>
        <v/>
      </c>
      <c r="G1788" s="61" t="str">
        <f>IFERROR(__xludf.DUMMYFUNCTION("INDIRECT(""'收支紀錄'!G""&amp;TO_TEXT(ROW()-$C$72))"),"")</f>
        <v/>
      </c>
      <c r="H1788" s="61" t="str">
        <f>IFERROR(__xludf.DUMMYFUNCTION("INDIRECT(""'收支紀錄'!H""&amp;TO_TEXT(ROW()-$C$72))"),"")</f>
        <v/>
      </c>
      <c r="I1788" s="61" t="str">
        <f>IFERROR(__xludf.DUMMYFUNCTION("INDIRECT(""'收支紀錄'!I""&amp;TO_TEXT(ROW()-$C$72))"),"")</f>
        <v/>
      </c>
      <c r="J1788" s="61" t="str">
        <f>IFERROR(__xludf.DUMMYFUNCTION("INDIRECT(""'收支紀錄'!J""&amp;TO_TEXT(ROW()-$C$72))"),"")</f>
        <v/>
      </c>
      <c r="K1788" s="61" t="str">
        <f>IFERROR(__xludf.DUMMYFUNCTION("INDIRECT(""'收支紀錄'!K""&amp;TO_TEXT(ROW()-$C$72))"),"")</f>
        <v/>
      </c>
      <c r="L1788" s="61" t="str">
        <f>IFERROR(__xludf.DUMMYFUNCTION("INDIRECT(""'收支紀錄'!L""&amp;TO_TEXT(ROW()-$C$72))"),"")</f>
        <v/>
      </c>
      <c r="M1788" s="61" t="str">
        <f>IFERROR(__xludf.DUMMYFUNCTION("INDIRECT(""'收支紀錄'!M""&amp;TO_TEXT(ROW()-$C$72))"),"")</f>
        <v/>
      </c>
      <c r="N1788" s="61" t="str">
        <f>IFERROR(__xludf.DUMMYFUNCTION("INDIRECT(""'收支紀錄'!N""&amp;TO_TEXT(ROW()-$C$72))"),"")</f>
        <v/>
      </c>
      <c r="O1788" s="61" t="str">
        <f>IFERROR(__xludf.DUMMYFUNCTION("INDIRECT(""'收支紀錄'!O""&amp;TO_TEXT(ROW()-$C$72))"),"")</f>
        <v/>
      </c>
      <c r="P1788" s="61" t="str">
        <f>IFERROR(__xludf.DUMMYFUNCTION("INDIRECT(""'收支紀錄'!P""&amp;TO_TEXT(ROW()-$C$72))"),"")</f>
        <v/>
      </c>
      <c r="Q1788" s="61" t="str">
        <f>IFERROR(__xludf.DUMMYFUNCTION("INDIRECT(""'收支紀錄'!Q""&amp;TO_TEXT(ROW()-$C$72))"),"")</f>
        <v/>
      </c>
      <c r="R1788" s="61" t="str">
        <f>IFERROR(__xludf.DUMMYFUNCTION("INDIRECT(""'收支紀錄'!R""&amp;TO_TEXT(ROW()-$C$72))"),"")</f>
        <v/>
      </c>
      <c r="S1788" s="61" t="str">
        <f>IFERROR(__xludf.DUMMYFUNCTION("INDIRECT(""'收支紀錄'!S""&amp;TO_TEXT(ROW()-$C$72))"),"")</f>
        <v/>
      </c>
      <c r="T1788" s="61" t="str">
        <f>IFERROR(__xludf.DUMMYFUNCTION("INDIRECT(""'收支紀錄'!T""&amp;TO_TEXT(ROW()-$C$72))"),"")</f>
        <v/>
      </c>
      <c r="U1788" s="62" t="str">
        <f>IFERROR(__xludf.DUMMYFUNCTION("IF(T1788=""是"",TEXTJOIN("""", TRUE, ""$"", TO_TEXT(C1788), S1788),"""")"),"")</f>
        <v/>
      </c>
    </row>
    <row r="1789">
      <c r="A1789" s="58" t="str">
        <f>IFERROR(__xludf.DUMMYFUNCTION("INDIRECT(""'收支紀錄'!A""&amp;TO_TEXT(ROW()-$C$72))"),"")</f>
        <v/>
      </c>
      <c r="B1789" s="59" t="str">
        <f>IFERROR(__xludf.DUMMYFUNCTION("IF(ISBLANK(D1789), """", IF(ISDATE(D1789), D1789, IF(D1789=""今天"", A1789, IF(D1789=""昨天 (-1 day)"", A1789-1, IF(D1789=""前天 (-2 days)"", A1789-2, IF(D1789=""明天 (+1 day)"", A1789+1, DATE(LEFT(D1789,4), MID(D1789,5,2), RIGHT(D1789,2))))))))"),"")</f>
        <v/>
      </c>
      <c r="C1789" s="60" t="str">
        <f>IFERROR(__xludf.DUMMYFUNCTION("INDIRECT(""'收支紀錄'!C""&amp;TO_TEXT(ROW()-$C$72))"),"")</f>
        <v/>
      </c>
      <c r="D1789" s="63" t="str">
        <f>IFERROR(__xludf.DUMMYFUNCTION("INDIRECT(""'收支紀錄'!D""&amp;TO_TEXT(ROW()-$C$72))"),"")</f>
        <v/>
      </c>
      <c r="E1789" s="61" t="str">
        <f>IFERROR(__xludf.DUMMYFUNCTION("INDIRECT(""'收支紀錄'!E""&amp;TO_TEXT(ROW()-$C$72))"),"")</f>
        <v/>
      </c>
      <c r="F1789" s="61" t="str">
        <f>IFERROR(__xludf.DUMMYFUNCTION("INDIRECT(""'收支紀錄'!F""&amp;TO_TEXT(ROW()-$C$72))"),"")</f>
        <v/>
      </c>
      <c r="G1789" s="61" t="str">
        <f>IFERROR(__xludf.DUMMYFUNCTION("INDIRECT(""'收支紀錄'!G""&amp;TO_TEXT(ROW()-$C$72))"),"")</f>
        <v/>
      </c>
      <c r="H1789" s="61" t="str">
        <f>IFERROR(__xludf.DUMMYFUNCTION("INDIRECT(""'收支紀錄'!H""&amp;TO_TEXT(ROW()-$C$72))"),"")</f>
        <v/>
      </c>
      <c r="I1789" s="61" t="str">
        <f>IFERROR(__xludf.DUMMYFUNCTION("INDIRECT(""'收支紀錄'!I""&amp;TO_TEXT(ROW()-$C$72))"),"")</f>
        <v/>
      </c>
      <c r="J1789" s="61" t="str">
        <f>IFERROR(__xludf.DUMMYFUNCTION("INDIRECT(""'收支紀錄'!J""&amp;TO_TEXT(ROW()-$C$72))"),"")</f>
        <v/>
      </c>
      <c r="K1789" s="61" t="str">
        <f>IFERROR(__xludf.DUMMYFUNCTION("INDIRECT(""'收支紀錄'!K""&amp;TO_TEXT(ROW()-$C$72))"),"")</f>
        <v/>
      </c>
      <c r="L1789" s="61" t="str">
        <f>IFERROR(__xludf.DUMMYFUNCTION("INDIRECT(""'收支紀錄'!L""&amp;TO_TEXT(ROW()-$C$72))"),"")</f>
        <v/>
      </c>
      <c r="M1789" s="61" t="str">
        <f>IFERROR(__xludf.DUMMYFUNCTION("INDIRECT(""'收支紀錄'!M""&amp;TO_TEXT(ROW()-$C$72))"),"")</f>
        <v/>
      </c>
      <c r="N1789" s="61" t="str">
        <f>IFERROR(__xludf.DUMMYFUNCTION("INDIRECT(""'收支紀錄'!N""&amp;TO_TEXT(ROW()-$C$72))"),"")</f>
        <v/>
      </c>
      <c r="O1789" s="61" t="str">
        <f>IFERROR(__xludf.DUMMYFUNCTION("INDIRECT(""'收支紀錄'!O""&amp;TO_TEXT(ROW()-$C$72))"),"")</f>
        <v/>
      </c>
      <c r="P1789" s="61" t="str">
        <f>IFERROR(__xludf.DUMMYFUNCTION("INDIRECT(""'收支紀錄'!P""&amp;TO_TEXT(ROW()-$C$72))"),"")</f>
        <v/>
      </c>
      <c r="Q1789" s="61" t="str">
        <f>IFERROR(__xludf.DUMMYFUNCTION("INDIRECT(""'收支紀錄'!Q""&amp;TO_TEXT(ROW()-$C$72))"),"")</f>
        <v/>
      </c>
      <c r="R1789" s="61" t="str">
        <f>IFERROR(__xludf.DUMMYFUNCTION("INDIRECT(""'收支紀錄'!R""&amp;TO_TEXT(ROW()-$C$72))"),"")</f>
        <v/>
      </c>
      <c r="S1789" s="61" t="str">
        <f>IFERROR(__xludf.DUMMYFUNCTION("INDIRECT(""'收支紀錄'!S""&amp;TO_TEXT(ROW()-$C$72))"),"")</f>
        <v/>
      </c>
      <c r="T1789" s="61" t="str">
        <f>IFERROR(__xludf.DUMMYFUNCTION("INDIRECT(""'收支紀錄'!T""&amp;TO_TEXT(ROW()-$C$72))"),"")</f>
        <v/>
      </c>
      <c r="U1789" s="62" t="str">
        <f>IFERROR(__xludf.DUMMYFUNCTION("IF(T1789=""是"",TEXTJOIN("""", TRUE, ""$"", TO_TEXT(C1789), S1789),"""")"),"")</f>
        <v/>
      </c>
    </row>
    <row r="1790">
      <c r="A1790" s="58" t="str">
        <f>IFERROR(__xludf.DUMMYFUNCTION("INDIRECT(""'收支紀錄'!A""&amp;TO_TEXT(ROW()-$C$72))"),"")</f>
        <v/>
      </c>
      <c r="B1790" s="59" t="str">
        <f>IFERROR(__xludf.DUMMYFUNCTION("IF(ISBLANK(D1790), """", IF(ISDATE(D1790), D1790, IF(D1790=""今天"", A1790, IF(D1790=""昨天 (-1 day)"", A1790-1, IF(D1790=""前天 (-2 days)"", A1790-2, IF(D1790=""明天 (+1 day)"", A1790+1, DATE(LEFT(D1790,4), MID(D1790,5,2), RIGHT(D1790,2))))))))"),"")</f>
        <v/>
      </c>
      <c r="C1790" s="60" t="str">
        <f>IFERROR(__xludf.DUMMYFUNCTION("INDIRECT(""'收支紀錄'!C""&amp;TO_TEXT(ROW()-$C$72))"),"")</f>
        <v/>
      </c>
      <c r="D1790" s="63" t="str">
        <f>IFERROR(__xludf.DUMMYFUNCTION("INDIRECT(""'收支紀錄'!D""&amp;TO_TEXT(ROW()-$C$72))"),"")</f>
        <v/>
      </c>
      <c r="E1790" s="61" t="str">
        <f>IFERROR(__xludf.DUMMYFUNCTION("INDIRECT(""'收支紀錄'!E""&amp;TO_TEXT(ROW()-$C$72))"),"")</f>
        <v/>
      </c>
      <c r="F1790" s="61" t="str">
        <f>IFERROR(__xludf.DUMMYFUNCTION("INDIRECT(""'收支紀錄'!F""&amp;TO_TEXT(ROW()-$C$72))"),"")</f>
        <v/>
      </c>
      <c r="G1790" s="61" t="str">
        <f>IFERROR(__xludf.DUMMYFUNCTION("INDIRECT(""'收支紀錄'!G""&amp;TO_TEXT(ROW()-$C$72))"),"")</f>
        <v/>
      </c>
      <c r="H1790" s="61" t="str">
        <f>IFERROR(__xludf.DUMMYFUNCTION("INDIRECT(""'收支紀錄'!H""&amp;TO_TEXT(ROW()-$C$72))"),"")</f>
        <v/>
      </c>
      <c r="I1790" s="61" t="str">
        <f>IFERROR(__xludf.DUMMYFUNCTION("INDIRECT(""'收支紀錄'!I""&amp;TO_TEXT(ROW()-$C$72))"),"")</f>
        <v/>
      </c>
      <c r="J1790" s="61" t="str">
        <f>IFERROR(__xludf.DUMMYFUNCTION("INDIRECT(""'收支紀錄'!J""&amp;TO_TEXT(ROW()-$C$72))"),"")</f>
        <v/>
      </c>
      <c r="K1790" s="61" t="str">
        <f>IFERROR(__xludf.DUMMYFUNCTION("INDIRECT(""'收支紀錄'!K""&amp;TO_TEXT(ROW()-$C$72))"),"")</f>
        <v/>
      </c>
      <c r="L1790" s="61" t="str">
        <f>IFERROR(__xludf.DUMMYFUNCTION("INDIRECT(""'收支紀錄'!L""&amp;TO_TEXT(ROW()-$C$72))"),"")</f>
        <v/>
      </c>
      <c r="M1790" s="61" t="str">
        <f>IFERROR(__xludf.DUMMYFUNCTION("INDIRECT(""'收支紀錄'!M""&amp;TO_TEXT(ROW()-$C$72))"),"")</f>
        <v/>
      </c>
      <c r="N1790" s="61" t="str">
        <f>IFERROR(__xludf.DUMMYFUNCTION("INDIRECT(""'收支紀錄'!N""&amp;TO_TEXT(ROW()-$C$72))"),"")</f>
        <v/>
      </c>
      <c r="O1790" s="61" t="str">
        <f>IFERROR(__xludf.DUMMYFUNCTION("INDIRECT(""'收支紀錄'!O""&amp;TO_TEXT(ROW()-$C$72))"),"")</f>
        <v/>
      </c>
      <c r="P1790" s="61" t="str">
        <f>IFERROR(__xludf.DUMMYFUNCTION("INDIRECT(""'收支紀錄'!P""&amp;TO_TEXT(ROW()-$C$72))"),"")</f>
        <v/>
      </c>
      <c r="Q1790" s="61" t="str">
        <f>IFERROR(__xludf.DUMMYFUNCTION("INDIRECT(""'收支紀錄'!Q""&amp;TO_TEXT(ROW()-$C$72))"),"")</f>
        <v/>
      </c>
      <c r="R1790" s="61" t="str">
        <f>IFERROR(__xludf.DUMMYFUNCTION("INDIRECT(""'收支紀錄'!R""&amp;TO_TEXT(ROW()-$C$72))"),"")</f>
        <v/>
      </c>
      <c r="S1790" s="61" t="str">
        <f>IFERROR(__xludf.DUMMYFUNCTION("INDIRECT(""'收支紀錄'!S""&amp;TO_TEXT(ROW()-$C$72))"),"")</f>
        <v/>
      </c>
      <c r="T1790" s="61" t="str">
        <f>IFERROR(__xludf.DUMMYFUNCTION("INDIRECT(""'收支紀錄'!T""&amp;TO_TEXT(ROW()-$C$72))"),"")</f>
        <v/>
      </c>
      <c r="U1790" s="62" t="str">
        <f>IFERROR(__xludf.DUMMYFUNCTION("IF(T1790=""是"",TEXTJOIN("""", TRUE, ""$"", TO_TEXT(C1790), S1790),"""")"),"")</f>
        <v/>
      </c>
    </row>
    <row r="1791">
      <c r="A1791" s="58" t="str">
        <f>IFERROR(__xludf.DUMMYFUNCTION("INDIRECT(""'收支紀錄'!A""&amp;TO_TEXT(ROW()-$C$72))"),"")</f>
        <v/>
      </c>
      <c r="B1791" s="59" t="str">
        <f>IFERROR(__xludf.DUMMYFUNCTION("IF(ISBLANK(D1791), """", IF(ISDATE(D1791), D1791, IF(D1791=""今天"", A1791, IF(D1791=""昨天 (-1 day)"", A1791-1, IF(D1791=""前天 (-2 days)"", A1791-2, IF(D1791=""明天 (+1 day)"", A1791+1, DATE(LEFT(D1791,4), MID(D1791,5,2), RIGHT(D1791,2))))))))"),"")</f>
        <v/>
      </c>
      <c r="C1791" s="60" t="str">
        <f>IFERROR(__xludf.DUMMYFUNCTION("INDIRECT(""'收支紀錄'!C""&amp;TO_TEXT(ROW()-$C$72))"),"")</f>
        <v/>
      </c>
      <c r="D1791" s="63" t="str">
        <f>IFERROR(__xludf.DUMMYFUNCTION("INDIRECT(""'收支紀錄'!D""&amp;TO_TEXT(ROW()-$C$72))"),"")</f>
        <v/>
      </c>
      <c r="E1791" s="61" t="str">
        <f>IFERROR(__xludf.DUMMYFUNCTION("INDIRECT(""'收支紀錄'!E""&amp;TO_TEXT(ROW()-$C$72))"),"")</f>
        <v/>
      </c>
      <c r="F1791" s="61" t="str">
        <f>IFERROR(__xludf.DUMMYFUNCTION("INDIRECT(""'收支紀錄'!F""&amp;TO_TEXT(ROW()-$C$72))"),"")</f>
        <v/>
      </c>
      <c r="G1791" s="61" t="str">
        <f>IFERROR(__xludf.DUMMYFUNCTION("INDIRECT(""'收支紀錄'!G""&amp;TO_TEXT(ROW()-$C$72))"),"")</f>
        <v/>
      </c>
      <c r="H1791" s="61" t="str">
        <f>IFERROR(__xludf.DUMMYFUNCTION("INDIRECT(""'收支紀錄'!H""&amp;TO_TEXT(ROW()-$C$72))"),"")</f>
        <v/>
      </c>
      <c r="I1791" s="61" t="str">
        <f>IFERROR(__xludf.DUMMYFUNCTION("INDIRECT(""'收支紀錄'!I""&amp;TO_TEXT(ROW()-$C$72))"),"")</f>
        <v/>
      </c>
      <c r="J1791" s="61" t="str">
        <f>IFERROR(__xludf.DUMMYFUNCTION("INDIRECT(""'收支紀錄'!J""&amp;TO_TEXT(ROW()-$C$72))"),"")</f>
        <v/>
      </c>
      <c r="K1791" s="61" t="str">
        <f>IFERROR(__xludf.DUMMYFUNCTION("INDIRECT(""'收支紀錄'!K""&amp;TO_TEXT(ROW()-$C$72))"),"")</f>
        <v/>
      </c>
      <c r="L1791" s="61" t="str">
        <f>IFERROR(__xludf.DUMMYFUNCTION("INDIRECT(""'收支紀錄'!L""&amp;TO_TEXT(ROW()-$C$72))"),"")</f>
        <v/>
      </c>
      <c r="M1791" s="61" t="str">
        <f>IFERROR(__xludf.DUMMYFUNCTION("INDIRECT(""'收支紀錄'!M""&amp;TO_TEXT(ROW()-$C$72))"),"")</f>
        <v/>
      </c>
      <c r="N1791" s="61" t="str">
        <f>IFERROR(__xludf.DUMMYFUNCTION("INDIRECT(""'收支紀錄'!N""&amp;TO_TEXT(ROW()-$C$72))"),"")</f>
        <v/>
      </c>
      <c r="O1791" s="61" t="str">
        <f>IFERROR(__xludf.DUMMYFUNCTION("INDIRECT(""'收支紀錄'!O""&amp;TO_TEXT(ROW()-$C$72))"),"")</f>
        <v/>
      </c>
      <c r="P1791" s="61" t="str">
        <f>IFERROR(__xludf.DUMMYFUNCTION("INDIRECT(""'收支紀錄'!P""&amp;TO_TEXT(ROW()-$C$72))"),"")</f>
        <v/>
      </c>
      <c r="Q1791" s="61" t="str">
        <f>IFERROR(__xludf.DUMMYFUNCTION("INDIRECT(""'收支紀錄'!Q""&amp;TO_TEXT(ROW()-$C$72))"),"")</f>
        <v/>
      </c>
      <c r="R1791" s="61" t="str">
        <f>IFERROR(__xludf.DUMMYFUNCTION("INDIRECT(""'收支紀錄'!R""&amp;TO_TEXT(ROW()-$C$72))"),"")</f>
        <v/>
      </c>
      <c r="S1791" s="61" t="str">
        <f>IFERROR(__xludf.DUMMYFUNCTION("INDIRECT(""'收支紀錄'!S""&amp;TO_TEXT(ROW()-$C$72))"),"")</f>
        <v/>
      </c>
      <c r="T1791" s="61" t="str">
        <f>IFERROR(__xludf.DUMMYFUNCTION("INDIRECT(""'收支紀錄'!T""&amp;TO_TEXT(ROW()-$C$72))"),"")</f>
        <v/>
      </c>
      <c r="U1791" s="62" t="str">
        <f>IFERROR(__xludf.DUMMYFUNCTION("IF(T1791=""是"",TEXTJOIN("""", TRUE, ""$"", TO_TEXT(C1791), S1791),"""")"),"")</f>
        <v/>
      </c>
    </row>
    <row r="1792">
      <c r="A1792" s="58" t="str">
        <f>IFERROR(__xludf.DUMMYFUNCTION("INDIRECT(""'收支紀錄'!A""&amp;TO_TEXT(ROW()-$C$72))"),"")</f>
        <v/>
      </c>
      <c r="B1792" s="59" t="str">
        <f>IFERROR(__xludf.DUMMYFUNCTION("IF(ISBLANK(D1792), """", IF(ISDATE(D1792), D1792, IF(D1792=""今天"", A1792, IF(D1792=""昨天 (-1 day)"", A1792-1, IF(D1792=""前天 (-2 days)"", A1792-2, IF(D1792=""明天 (+1 day)"", A1792+1, DATE(LEFT(D1792,4), MID(D1792,5,2), RIGHT(D1792,2))))))))"),"")</f>
        <v/>
      </c>
      <c r="C1792" s="60" t="str">
        <f>IFERROR(__xludf.DUMMYFUNCTION("INDIRECT(""'收支紀錄'!C""&amp;TO_TEXT(ROW()-$C$72))"),"")</f>
        <v/>
      </c>
      <c r="D1792" s="63" t="str">
        <f>IFERROR(__xludf.DUMMYFUNCTION("INDIRECT(""'收支紀錄'!D""&amp;TO_TEXT(ROW()-$C$72))"),"")</f>
        <v/>
      </c>
      <c r="E1792" s="61" t="str">
        <f>IFERROR(__xludf.DUMMYFUNCTION("INDIRECT(""'收支紀錄'!E""&amp;TO_TEXT(ROW()-$C$72))"),"")</f>
        <v/>
      </c>
      <c r="F1792" s="61" t="str">
        <f>IFERROR(__xludf.DUMMYFUNCTION("INDIRECT(""'收支紀錄'!F""&amp;TO_TEXT(ROW()-$C$72))"),"")</f>
        <v/>
      </c>
      <c r="G1792" s="61" t="str">
        <f>IFERROR(__xludf.DUMMYFUNCTION("INDIRECT(""'收支紀錄'!G""&amp;TO_TEXT(ROW()-$C$72))"),"")</f>
        <v/>
      </c>
      <c r="H1792" s="61" t="str">
        <f>IFERROR(__xludf.DUMMYFUNCTION("INDIRECT(""'收支紀錄'!H""&amp;TO_TEXT(ROW()-$C$72))"),"")</f>
        <v/>
      </c>
      <c r="I1792" s="61" t="str">
        <f>IFERROR(__xludf.DUMMYFUNCTION("INDIRECT(""'收支紀錄'!I""&amp;TO_TEXT(ROW()-$C$72))"),"")</f>
        <v/>
      </c>
      <c r="J1792" s="61" t="str">
        <f>IFERROR(__xludf.DUMMYFUNCTION("INDIRECT(""'收支紀錄'!J""&amp;TO_TEXT(ROW()-$C$72))"),"")</f>
        <v/>
      </c>
      <c r="K1792" s="61" t="str">
        <f>IFERROR(__xludf.DUMMYFUNCTION("INDIRECT(""'收支紀錄'!K""&amp;TO_TEXT(ROW()-$C$72))"),"")</f>
        <v/>
      </c>
      <c r="L1792" s="61" t="str">
        <f>IFERROR(__xludf.DUMMYFUNCTION("INDIRECT(""'收支紀錄'!L""&amp;TO_TEXT(ROW()-$C$72))"),"")</f>
        <v/>
      </c>
      <c r="M1792" s="61" t="str">
        <f>IFERROR(__xludf.DUMMYFUNCTION("INDIRECT(""'收支紀錄'!M""&amp;TO_TEXT(ROW()-$C$72))"),"")</f>
        <v/>
      </c>
      <c r="N1792" s="61" t="str">
        <f>IFERROR(__xludf.DUMMYFUNCTION("INDIRECT(""'收支紀錄'!N""&amp;TO_TEXT(ROW()-$C$72))"),"")</f>
        <v/>
      </c>
      <c r="O1792" s="61" t="str">
        <f>IFERROR(__xludf.DUMMYFUNCTION("INDIRECT(""'收支紀錄'!O""&amp;TO_TEXT(ROW()-$C$72))"),"")</f>
        <v/>
      </c>
      <c r="P1792" s="61" t="str">
        <f>IFERROR(__xludf.DUMMYFUNCTION("INDIRECT(""'收支紀錄'!P""&amp;TO_TEXT(ROW()-$C$72))"),"")</f>
        <v/>
      </c>
      <c r="Q1792" s="61" t="str">
        <f>IFERROR(__xludf.DUMMYFUNCTION("INDIRECT(""'收支紀錄'!Q""&amp;TO_TEXT(ROW()-$C$72))"),"")</f>
        <v/>
      </c>
      <c r="R1792" s="61" t="str">
        <f>IFERROR(__xludf.DUMMYFUNCTION("INDIRECT(""'收支紀錄'!R""&amp;TO_TEXT(ROW()-$C$72))"),"")</f>
        <v/>
      </c>
      <c r="S1792" s="61" t="str">
        <f>IFERROR(__xludf.DUMMYFUNCTION("INDIRECT(""'收支紀錄'!S""&amp;TO_TEXT(ROW()-$C$72))"),"")</f>
        <v/>
      </c>
      <c r="T1792" s="61" t="str">
        <f>IFERROR(__xludf.DUMMYFUNCTION("INDIRECT(""'收支紀錄'!T""&amp;TO_TEXT(ROW()-$C$72))"),"")</f>
        <v/>
      </c>
      <c r="U1792" s="62" t="str">
        <f>IFERROR(__xludf.DUMMYFUNCTION("IF(T1792=""是"",TEXTJOIN("""", TRUE, ""$"", TO_TEXT(C1792), S1792),"""")"),"")</f>
        <v/>
      </c>
    </row>
    <row r="1793">
      <c r="A1793" s="58" t="str">
        <f>IFERROR(__xludf.DUMMYFUNCTION("INDIRECT(""'收支紀錄'!A""&amp;TO_TEXT(ROW()-$C$72))"),"")</f>
        <v/>
      </c>
      <c r="B1793" s="59" t="str">
        <f>IFERROR(__xludf.DUMMYFUNCTION("IF(ISBLANK(D1793), """", IF(ISDATE(D1793), D1793, IF(D1793=""今天"", A1793, IF(D1793=""昨天 (-1 day)"", A1793-1, IF(D1793=""前天 (-2 days)"", A1793-2, IF(D1793=""明天 (+1 day)"", A1793+1, DATE(LEFT(D1793,4), MID(D1793,5,2), RIGHT(D1793,2))))))))"),"")</f>
        <v/>
      </c>
      <c r="C1793" s="60" t="str">
        <f>IFERROR(__xludf.DUMMYFUNCTION("INDIRECT(""'收支紀錄'!C""&amp;TO_TEXT(ROW()-$C$72))"),"")</f>
        <v/>
      </c>
      <c r="D1793" s="63" t="str">
        <f>IFERROR(__xludf.DUMMYFUNCTION("INDIRECT(""'收支紀錄'!D""&amp;TO_TEXT(ROW()-$C$72))"),"")</f>
        <v/>
      </c>
      <c r="E1793" s="61" t="str">
        <f>IFERROR(__xludf.DUMMYFUNCTION("INDIRECT(""'收支紀錄'!E""&amp;TO_TEXT(ROW()-$C$72))"),"")</f>
        <v/>
      </c>
      <c r="F1793" s="61" t="str">
        <f>IFERROR(__xludf.DUMMYFUNCTION("INDIRECT(""'收支紀錄'!F""&amp;TO_TEXT(ROW()-$C$72))"),"")</f>
        <v/>
      </c>
      <c r="G1793" s="61" t="str">
        <f>IFERROR(__xludf.DUMMYFUNCTION("INDIRECT(""'收支紀錄'!G""&amp;TO_TEXT(ROW()-$C$72))"),"")</f>
        <v/>
      </c>
      <c r="H1793" s="61" t="str">
        <f>IFERROR(__xludf.DUMMYFUNCTION("INDIRECT(""'收支紀錄'!H""&amp;TO_TEXT(ROW()-$C$72))"),"")</f>
        <v/>
      </c>
      <c r="I1793" s="61" t="str">
        <f>IFERROR(__xludf.DUMMYFUNCTION("INDIRECT(""'收支紀錄'!I""&amp;TO_TEXT(ROW()-$C$72))"),"")</f>
        <v/>
      </c>
      <c r="J1793" s="61" t="str">
        <f>IFERROR(__xludf.DUMMYFUNCTION("INDIRECT(""'收支紀錄'!J""&amp;TO_TEXT(ROW()-$C$72))"),"")</f>
        <v/>
      </c>
      <c r="K1793" s="61" t="str">
        <f>IFERROR(__xludf.DUMMYFUNCTION("INDIRECT(""'收支紀錄'!K""&amp;TO_TEXT(ROW()-$C$72))"),"")</f>
        <v/>
      </c>
      <c r="L1793" s="61" t="str">
        <f>IFERROR(__xludf.DUMMYFUNCTION("INDIRECT(""'收支紀錄'!L""&amp;TO_TEXT(ROW()-$C$72))"),"")</f>
        <v/>
      </c>
      <c r="M1793" s="61" t="str">
        <f>IFERROR(__xludf.DUMMYFUNCTION("INDIRECT(""'收支紀錄'!M""&amp;TO_TEXT(ROW()-$C$72))"),"")</f>
        <v/>
      </c>
      <c r="N1793" s="61" t="str">
        <f>IFERROR(__xludf.DUMMYFUNCTION("INDIRECT(""'收支紀錄'!N""&amp;TO_TEXT(ROW()-$C$72))"),"")</f>
        <v/>
      </c>
      <c r="O1793" s="61" t="str">
        <f>IFERROR(__xludf.DUMMYFUNCTION("INDIRECT(""'收支紀錄'!O""&amp;TO_TEXT(ROW()-$C$72))"),"")</f>
        <v/>
      </c>
      <c r="P1793" s="61" t="str">
        <f>IFERROR(__xludf.DUMMYFUNCTION("INDIRECT(""'收支紀錄'!P""&amp;TO_TEXT(ROW()-$C$72))"),"")</f>
        <v/>
      </c>
      <c r="Q1793" s="61" t="str">
        <f>IFERROR(__xludf.DUMMYFUNCTION("INDIRECT(""'收支紀錄'!Q""&amp;TO_TEXT(ROW()-$C$72))"),"")</f>
        <v/>
      </c>
      <c r="R1793" s="61" t="str">
        <f>IFERROR(__xludf.DUMMYFUNCTION("INDIRECT(""'收支紀錄'!R""&amp;TO_TEXT(ROW()-$C$72))"),"")</f>
        <v/>
      </c>
      <c r="S1793" s="61" t="str">
        <f>IFERROR(__xludf.DUMMYFUNCTION("INDIRECT(""'收支紀錄'!S""&amp;TO_TEXT(ROW()-$C$72))"),"")</f>
        <v/>
      </c>
      <c r="T1793" s="61" t="str">
        <f>IFERROR(__xludf.DUMMYFUNCTION("INDIRECT(""'收支紀錄'!T""&amp;TO_TEXT(ROW()-$C$72))"),"")</f>
        <v/>
      </c>
      <c r="U1793" s="62" t="str">
        <f>IFERROR(__xludf.DUMMYFUNCTION("IF(T1793=""是"",TEXTJOIN("""", TRUE, ""$"", TO_TEXT(C1793), S1793),"""")"),"")</f>
        <v/>
      </c>
    </row>
    <row r="1794">
      <c r="A1794" s="58" t="str">
        <f>IFERROR(__xludf.DUMMYFUNCTION("INDIRECT(""'收支紀錄'!A""&amp;TO_TEXT(ROW()-$C$72))"),"")</f>
        <v/>
      </c>
      <c r="B1794" s="59" t="str">
        <f>IFERROR(__xludf.DUMMYFUNCTION("IF(ISBLANK(D1794), """", IF(ISDATE(D1794), D1794, IF(D1794=""今天"", A1794, IF(D1794=""昨天 (-1 day)"", A1794-1, IF(D1794=""前天 (-2 days)"", A1794-2, IF(D1794=""明天 (+1 day)"", A1794+1, DATE(LEFT(D1794,4), MID(D1794,5,2), RIGHT(D1794,2))))))))"),"")</f>
        <v/>
      </c>
      <c r="C1794" s="60" t="str">
        <f>IFERROR(__xludf.DUMMYFUNCTION("INDIRECT(""'收支紀錄'!C""&amp;TO_TEXT(ROW()-$C$72))"),"")</f>
        <v/>
      </c>
      <c r="D1794" s="63" t="str">
        <f>IFERROR(__xludf.DUMMYFUNCTION("INDIRECT(""'收支紀錄'!D""&amp;TO_TEXT(ROW()-$C$72))"),"")</f>
        <v/>
      </c>
      <c r="E1794" s="61" t="str">
        <f>IFERROR(__xludf.DUMMYFUNCTION("INDIRECT(""'收支紀錄'!E""&amp;TO_TEXT(ROW()-$C$72))"),"")</f>
        <v/>
      </c>
      <c r="F1794" s="61" t="str">
        <f>IFERROR(__xludf.DUMMYFUNCTION("INDIRECT(""'收支紀錄'!F""&amp;TO_TEXT(ROW()-$C$72))"),"")</f>
        <v/>
      </c>
      <c r="G1794" s="61" t="str">
        <f>IFERROR(__xludf.DUMMYFUNCTION("INDIRECT(""'收支紀錄'!G""&amp;TO_TEXT(ROW()-$C$72))"),"")</f>
        <v/>
      </c>
      <c r="H1794" s="61" t="str">
        <f>IFERROR(__xludf.DUMMYFUNCTION("INDIRECT(""'收支紀錄'!H""&amp;TO_TEXT(ROW()-$C$72))"),"")</f>
        <v/>
      </c>
      <c r="I1794" s="61" t="str">
        <f>IFERROR(__xludf.DUMMYFUNCTION("INDIRECT(""'收支紀錄'!I""&amp;TO_TEXT(ROW()-$C$72))"),"")</f>
        <v/>
      </c>
      <c r="J1794" s="61" t="str">
        <f>IFERROR(__xludf.DUMMYFUNCTION("INDIRECT(""'收支紀錄'!J""&amp;TO_TEXT(ROW()-$C$72))"),"")</f>
        <v/>
      </c>
      <c r="K1794" s="61" t="str">
        <f>IFERROR(__xludf.DUMMYFUNCTION("INDIRECT(""'收支紀錄'!K""&amp;TO_TEXT(ROW()-$C$72))"),"")</f>
        <v/>
      </c>
      <c r="L1794" s="61" t="str">
        <f>IFERROR(__xludf.DUMMYFUNCTION("INDIRECT(""'收支紀錄'!L""&amp;TO_TEXT(ROW()-$C$72))"),"")</f>
        <v/>
      </c>
      <c r="M1794" s="61" t="str">
        <f>IFERROR(__xludf.DUMMYFUNCTION("INDIRECT(""'收支紀錄'!M""&amp;TO_TEXT(ROW()-$C$72))"),"")</f>
        <v/>
      </c>
      <c r="N1794" s="61" t="str">
        <f>IFERROR(__xludf.DUMMYFUNCTION("INDIRECT(""'收支紀錄'!N""&amp;TO_TEXT(ROW()-$C$72))"),"")</f>
        <v/>
      </c>
      <c r="O1794" s="61" t="str">
        <f>IFERROR(__xludf.DUMMYFUNCTION("INDIRECT(""'收支紀錄'!O""&amp;TO_TEXT(ROW()-$C$72))"),"")</f>
        <v/>
      </c>
      <c r="P1794" s="61" t="str">
        <f>IFERROR(__xludf.DUMMYFUNCTION("INDIRECT(""'收支紀錄'!P""&amp;TO_TEXT(ROW()-$C$72))"),"")</f>
        <v/>
      </c>
      <c r="Q1794" s="61" t="str">
        <f>IFERROR(__xludf.DUMMYFUNCTION("INDIRECT(""'收支紀錄'!Q""&amp;TO_TEXT(ROW()-$C$72))"),"")</f>
        <v/>
      </c>
      <c r="R1794" s="61" t="str">
        <f>IFERROR(__xludf.DUMMYFUNCTION("INDIRECT(""'收支紀錄'!R""&amp;TO_TEXT(ROW()-$C$72))"),"")</f>
        <v/>
      </c>
      <c r="S1794" s="61" t="str">
        <f>IFERROR(__xludf.DUMMYFUNCTION("INDIRECT(""'收支紀錄'!S""&amp;TO_TEXT(ROW()-$C$72))"),"")</f>
        <v/>
      </c>
      <c r="T1794" s="61" t="str">
        <f>IFERROR(__xludf.DUMMYFUNCTION("INDIRECT(""'收支紀錄'!T""&amp;TO_TEXT(ROW()-$C$72))"),"")</f>
        <v/>
      </c>
      <c r="U1794" s="62" t="str">
        <f>IFERROR(__xludf.DUMMYFUNCTION("IF(T1794=""是"",TEXTJOIN("""", TRUE, ""$"", TO_TEXT(C1794), S1794),"""")"),"")</f>
        <v/>
      </c>
    </row>
    <row r="1795">
      <c r="A1795" s="58" t="str">
        <f>IFERROR(__xludf.DUMMYFUNCTION("INDIRECT(""'收支紀錄'!A""&amp;TO_TEXT(ROW()-$C$72))"),"")</f>
        <v/>
      </c>
      <c r="B1795" s="59" t="str">
        <f>IFERROR(__xludf.DUMMYFUNCTION("IF(ISBLANK(D1795), """", IF(ISDATE(D1795), D1795, IF(D1795=""今天"", A1795, IF(D1795=""昨天 (-1 day)"", A1795-1, IF(D1795=""前天 (-2 days)"", A1795-2, IF(D1795=""明天 (+1 day)"", A1795+1, DATE(LEFT(D1795,4), MID(D1795,5,2), RIGHT(D1795,2))))))))"),"")</f>
        <v/>
      </c>
      <c r="C1795" s="60" t="str">
        <f>IFERROR(__xludf.DUMMYFUNCTION("INDIRECT(""'收支紀錄'!C""&amp;TO_TEXT(ROW()-$C$72))"),"")</f>
        <v/>
      </c>
      <c r="D1795" s="63" t="str">
        <f>IFERROR(__xludf.DUMMYFUNCTION("INDIRECT(""'收支紀錄'!D""&amp;TO_TEXT(ROW()-$C$72))"),"")</f>
        <v/>
      </c>
      <c r="E1795" s="61" t="str">
        <f>IFERROR(__xludf.DUMMYFUNCTION("INDIRECT(""'收支紀錄'!E""&amp;TO_TEXT(ROW()-$C$72))"),"")</f>
        <v/>
      </c>
      <c r="F1795" s="61" t="str">
        <f>IFERROR(__xludf.DUMMYFUNCTION("INDIRECT(""'收支紀錄'!F""&amp;TO_TEXT(ROW()-$C$72))"),"")</f>
        <v/>
      </c>
      <c r="G1795" s="61" t="str">
        <f>IFERROR(__xludf.DUMMYFUNCTION("INDIRECT(""'收支紀錄'!G""&amp;TO_TEXT(ROW()-$C$72))"),"")</f>
        <v/>
      </c>
      <c r="H1795" s="61" t="str">
        <f>IFERROR(__xludf.DUMMYFUNCTION("INDIRECT(""'收支紀錄'!H""&amp;TO_TEXT(ROW()-$C$72))"),"")</f>
        <v/>
      </c>
      <c r="I1795" s="61" t="str">
        <f>IFERROR(__xludf.DUMMYFUNCTION("INDIRECT(""'收支紀錄'!I""&amp;TO_TEXT(ROW()-$C$72))"),"")</f>
        <v/>
      </c>
      <c r="J1795" s="61" t="str">
        <f>IFERROR(__xludf.DUMMYFUNCTION("INDIRECT(""'收支紀錄'!J""&amp;TO_TEXT(ROW()-$C$72))"),"")</f>
        <v/>
      </c>
      <c r="K1795" s="61" t="str">
        <f>IFERROR(__xludf.DUMMYFUNCTION("INDIRECT(""'收支紀錄'!K""&amp;TO_TEXT(ROW()-$C$72))"),"")</f>
        <v/>
      </c>
      <c r="L1795" s="61" t="str">
        <f>IFERROR(__xludf.DUMMYFUNCTION("INDIRECT(""'收支紀錄'!L""&amp;TO_TEXT(ROW()-$C$72))"),"")</f>
        <v/>
      </c>
      <c r="M1795" s="61" t="str">
        <f>IFERROR(__xludf.DUMMYFUNCTION("INDIRECT(""'收支紀錄'!M""&amp;TO_TEXT(ROW()-$C$72))"),"")</f>
        <v/>
      </c>
      <c r="N1795" s="61" t="str">
        <f>IFERROR(__xludf.DUMMYFUNCTION("INDIRECT(""'收支紀錄'!N""&amp;TO_TEXT(ROW()-$C$72))"),"")</f>
        <v/>
      </c>
      <c r="O1795" s="61" t="str">
        <f>IFERROR(__xludf.DUMMYFUNCTION("INDIRECT(""'收支紀錄'!O""&amp;TO_TEXT(ROW()-$C$72))"),"")</f>
        <v/>
      </c>
      <c r="P1795" s="61" t="str">
        <f>IFERROR(__xludf.DUMMYFUNCTION("INDIRECT(""'收支紀錄'!P""&amp;TO_TEXT(ROW()-$C$72))"),"")</f>
        <v/>
      </c>
      <c r="Q1795" s="61" t="str">
        <f>IFERROR(__xludf.DUMMYFUNCTION("INDIRECT(""'收支紀錄'!Q""&amp;TO_TEXT(ROW()-$C$72))"),"")</f>
        <v/>
      </c>
      <c r="R1795" s="61" t="str">
        <f>IFERROR(__xludf.DUMMYFUNCTION("INDIRECT(""'收支紀錄'!R""&amp;TO_TEXT(ROW()-$C$72))"),"")</f>
        <v/>
      </c>
      <c r="S1795" s="61" t="str">
        <f>IFERROR(__xludf.DUMMYFUNCTION("INDIRECT(""'收支紀錄'!S""&amp;TO_TEXT(ROW()-$C$72))"),"")</f>
        <v/>
      </c>
      <c r="T1795" s="61" t="str">
        <f>IFERROR(__xludf.DUMMYFUNCTION("INDIRECT(""'收支紀錄'!T""&amp;TO_TEXT(ROW()-$C$72))"),"")</f>
        <v/>
      </c>
      <c r="U1795" s="62" t="str">
        <f>IFERROR(__xludf.DUMMYFUNCTION("IF(T1795=""是"",TEXTJOIN("""", TRUE, ""$"", TO_TEXT(C1795), S1795),"""")"),"")</f>
        <v/>
      </c>
    </row>
    <row r="1796">
      <c r="A1796" s="58" t="str">
        <f>IFERROR(__xludf.DUMMYFUNCTION("INDIRECT(""'收支紀錄'!A""&amp;TO_TEXT(ROW()-$C$72))"),"")</f>
        <v/>
      </c>
      <c r="B1796" s="59" t="str">
        <f>IFERROR(__xludf.DUMMYFUNCTION("IF(ISBLANK(D1796), """", IF(ISDATE(D1796), D1796, IF(D1796=""今天"", A1796, IF(D1796=""昨天 (-1 day)"", A1796-1, IF(D1796=""前天 (-2 days)"", A1796-2, IF(D1796=""明天 (+1 day)"", A1796+1, DATE(LEFT(D1796,4), MID(D1796,5,2), RIGHT(D1796,2))))))))"),"")</f>
        <v/>
      </c>
      <c r="C1796" s="60" t="str">
        <f>IFERROR(__xludf.DUMMYFUNCTION("INDIRECT(""'收支紀錄'!C""&amp;TO_TEXT(ROW()-$C$72))"),"")</f>
        <v/>
      </c>
      <c r="D1796" s="63" t="str">
        <f>IFERROR(__xludf.DUMMYFUNCTION("INDIRECT(""'收支紀錄'!D""&amp;TO_TEXT(ROW()-$C$72))"),"")</f>
        <v/>
      </c>
      <c r="E1796" s="61" t="str">
        <f>IFERROR(__xludf.DUMMYFUNCTION("INDIRECT(""'收支紀錄'!E""&amp;TO_TEXT(ROW()-$C$72))"),"")</f>
        <v/>
      </c>
      <c r="F1796" s="61" t="str">
        <f>IFERROR(__xludf.DUMMYFUNCTION("INDIRECT(""'收支紀錄'!F""&amp;TO_TEXT(ROW()-$C$72))"),"")</f>
        <v/>
      </c>
      <c r="G1796" s="61" t="str">
        <f>IFERROR(__xludf.DUMMYFUNCTION("INDIRECT(""'收支紀錄'!G""&amp;TO_TEXT(ROW()-$C$72))"),"")</f>
        <v/>
      </c>
      <c r="H1796" s="61" t="str">
        <f>IFERROR(__xludf.DUMMYFUNCTION("INDIRECT(""'收支紀錄'!H""&amp;TO_TEXT(ROW()-$C$72))"),"")</f>
        <v/>
      </c>
      <c r="I1796" s="61" t="str">
        <f>IFERROR(__xludf.DUMMYFUNCTION("INDIRECT(""'收支紀錄'!I""&amp;TO_TEXT(ROW()-$C$72))"),"")</f>
        <v/>
      </c>
      <c r="J1796" s="61" t="str">
        <f>IFERROR(__xludf.DUMMYFUNCTION("INDIRECT(""'收支紀錄'!J""&amp;TO_TEXT(ROW()-$C$72))"),"")</f>
        <v/>
      </c>
      <c r="K1796" s="61" t="str">
        <f>IFERROR(__xludf.DUMMYFUNCTION("INDIRECT(""'收支紀錄'!K""&amp;TO_TEXT(ROW()-$C$72))"),"")</f>
        <v/>
      </c>
      <c r="L1796" s="61" t="str">
        <f>IFERROR(__xludf.DUMMYFUNCTION("INDIRECT(""'收支紀錄'!L""&amp;TO_TEXT(ROW()-$C$72))"),"")</f>
        <v/>
      </c>
      <c r="M1796" s="61" t="str">
        <f>IFERROR(__xludf.DUMMYFUNCTION("INDIRECT(""'收支紀錄'!M""&amp;TO_TEXT(ROW()-$C$72))"),"")</f>
        <v/>
      </c>
      <c r="N1796" s="61" t="str">
        <f>IFERROR(__xludf.DUMMYFUNCTION("INDIRECT(""'收支紀錄'!N""&amp;TO_TEXT(ROW()-$C$72))"),"")</f>
        <v/>
      </c>
      <c r="O1796" s="61" t="str">
        <f>IFERROR(__xludf.DUMMYFUNCTION("INDIRECT(""'收支紀錄'!O""&amp;TO_TEXT(ROW()-$C$72))"),"")</f>
        <v/>
      </c>
      <c r="P1796" s="61" t="str">
        <f>IFERROR(__xludf.DUMMYFUNCTION("INDIRECT(""'收支紀錄'!P""&amp;TO_TEXT(ROW()-$C$72))"),"")</f>
        <v/>
      </c>
      <c r="Q1796" s="61" t="str">
        <f>IFERROR(__xludf.DUMMYFUNCTION("INDIRECT(""'收支紀錄'!Q""&amp;TO_TEXT(ROW()-$C$72))"),"")</f>
        <v/>
      </c>
      <c r="R1796" s="61" t="str">
        <f>IFERROR(__xludf.DUMMYFUNCTION("INDIRECT(""'收支紀錄'!R""&amp;TO_TEXT(ROW()-$C$72))"),"")</f>
        <v/>
      </c>
      <c r="S1796" s="61" t="str">
        <f>IFERROR(__xludf.DUMMYFUNCTION("INDIRECT(""'收支紀錄'!S""&amp;TO_TEXT(ROW()-$C$72))"),"")</f>
        <v/>
      </c>
      <c r="T1796" s="61" t="str">
        <f>IFERROR(__xludf.DUMMYFUNCTION("INDIRECT(""'收支紀錄'!T""&amp;TO_TEXT(ROW()-$C$72))"),"")</f>
        <v/>
      </c>
      <c r="U1796" s="62" t="str">
        <f>IFERROR(__xludf.DUMMYFUNCTION("IF(T1796=""是"",TEXTJOIN("""", TRUE, ""$"", TO_TEXT(C1796), S1796),"""")"),"")</f>
        <v/>
      </c>
    </row>
    <row r="1797">
      <c r="A1797" s="58" t="str">
        <f>IFERROR(__xludf.DUMMYFUNCTION("INDIRECT(""'收支紀錄'!A""&amp;TO_TEXT(ROW()-$C$72))"),"")</f>
        <v/>
      </c>
      <c r="B1797" s="59" t="str">
        <f>IFERROR(__xludf.DUMMYFUNCTION("IF(ISBLANK(D1797), """", IF(ISDATE(D1797), D1797, IF(D1797=""今天"", A1797, IF(D1797=""昨天 (-1 day)"", A1797-1, IF(D1797=""前天 (-2 days)"", A1797-2, IF(D1797=""明天 (+1 day)"", A1797+1, DATE(LEFT(D1797,4), MID(D1797,5,2), RIGHT(D1797,2))))))))"),"")</f>
        <v/>
      </c>
      <c r="C1797" s="60" t="str">
        <f>IFERROR(__xludf.DUMMYFUNCTION("INDIRECT(""'收支紀錄'!C""&amp;TO_TEXT(ROW()-$C$72))"),"")</f>
        <v/>
      </c>
      <c r="D1797" s="63" t="str">
        <f>IFERROR(__xludf.DUMMYFUNCTION("INDIRECT(""'收支紀錄'!D""&amp;TO_TEXT(ROW()-$C$72))"),"")</f>
        <v/>
      </c>
      <c r="E1797" s="61" t="str">
        <f>IFERROR(__xludf.DUMMYFUNCTION("INDIRECT(""'收支紀錄'!E""&amp;TO_TEXT(ROW()-$C$72))"),"")</f>
        <v/>
      </c>
      <c r="F1797" s="61" t="str">
        <f>IFERROR(__xludf.DUMMYFUNCTION("INDIRECT(""'收支紀錄'!F""&amp;TO_TEXT(ROW()-$C$72))"),"")</f>
        <v/>
      </c>
      <c r="G1797" s="61" t="str">
        <f>IFERROR(__xludf.DUMMYFUNCTION("INDIRECT(""'收支紀錄'!G""&amp;TO_TEXT(ROW()-$C$72))"),"")</f>
        <v/>
      </c>
      <c r="H1797" s="61" t="str">
        <f>IFERROR(__xludf.DUMMYFUNCTION("INDIRECT(""'收支紀錄'!H""&amp;TO_TEXT(ROW()-$C$72))"),"")</f>
        <v/>
      </c>
      <c r="I1797" s="61" t="str">
        <f>IFERROR(__xludf.DUMMYFUNCTION("INDIRECT(""'收支紀錄'!I""&amp;TO_TEXT(ROW()-$C$72))"),"")</f>
        <v/>
      </c>
      <c r="J1797" s="61" t="str">
        <f>IFERROR(__xludf.DUMMYFUNCTION("INDIRECT(""'收支紀錄'!J""&amp;TO_TEXT(ROW()-$C$72))"),"")</f>
        <v/>
      </c>
      <c r="K1797" s="61" t="str">
        <f>IFERROR(__xludf.DUMMYFUNCTION("INDIRECT(""'收支紀錄'!K""&amp;TO_TEXT(ROW()-$C$72))"),"")</f>
        <v/>
      </c>
      <c r="L1797" s="61" t="str">
        <f>IFERROR(__xludf.DUMMYFUNCTION("INDIRECT(""'收支紀錄'!L""&amp;TO_TEXT(ROW()-$C$72))"),"")</f>
        <v/>
      </c>
      <c r="M1797" s="61" t="str">
        <f>IFERROR(__xludf.DUMMYFUNCTION("INDIRECT(""'收支紀錄'!M""&amp;TO_TEXT(ROW()-$C$72))"),"")</f>
        <v/>
      </c>
      <c r="N1797" s="61" t="str">
        <f>IFERROR(__xludf.DUMMYFUNCTION("INDIRECT(""'收支紀錄'!N""&amp;TO_TEXT(ROW()-$C$72))"),"")</f>
        <v/>
      </c>
      <c r="O1797" s="61" t="str">
        <f>IFERROR(__xludf.DUMMYFUNCTION("INDIRECT(""'收支紀錄'!O""&amp;TO_TEXT(ROW()-$C$72))"),"")</f>
        <v/>
      </c>
      <c r="P1797" s="61" t="str">
        <f>IFERROR(__xludf.DUMMYFUNCTION("INDIRECT(""'收支紀錄'!P""&amp;TO_TEXT(ROW()-$C$72))"),"")</f>
        <v/>
      </c>
      <c r="Q1797" s="61" t="str">
        <f>IFERROR(__xludf.DUMMYFUNCTION("INDIRECT(""'收支紀錄'!Q""&amp;TO_TEXT(ROW()-$C$72))"),"")</f>
        <v/>
      </c>
      <c r="R1797" s="61" t="str">
        <f>IFERROR(__xludf.DUMMYFUNCTION("INDIRECT(""'收支紀錄'!R""&amp;TO_TEXT(ROW()-$C$72))"),"")</f>
        <v/>
      </c>
      <c r="S1797" s="61" t="str">
        <f>IFERROR(__xludf.DUMMYFUNCTION("INDIRECT(""'收支紀錄'!S""&amp;TO_TEXT(ROW()-$C$72))"),"")</f>
        <v/>
      </c>
      <c r="T1797" s="61" t="str">
        <f>IFERROR(__xludf.DUMMYFUNCTION("INDIRECT(""'收支紀錄'!T""&amp;TO_TEXT(ROW()-$C$72))"),"")</f>
        <v/>
      </c>
      <c r="U1797" s="62" t="str">
        <f>IFERROR(__xludf.DUMMYFUNCTION("IF(T1797=""是"",TEXTJOIN("""", TRUE, ""$"", TO_TEXT(C1797), S1797),"""")"),"")</f>
        <v/>
      </c>
    </row>
    <row r="1798">
      <c r="A1798" s="58" t="str">
        <f>IFERROR(__xludf.DUMMYFUNCTION("INDIRECT(""'收支紀錄'!A""&amp;TO_TEXT(ROW()-$C$72))"),"")</f>
        <v/>
      </c>
      <c r="B1798" s="59" t="str">
        <f>IFERROR(__xludf.DUMMYFUNCTION("IF(ISBLANK(D1798), """", IF(ISDATE(D1798), D1798, IF(D1798=""今天"", A1798, IF(D1798=""昨天 (-1 day)"", A1798-1, IF(D1798=""前天 (-2 days)"", A1798-2, IF(D1798=""明天 (+1 day)"", A1798+1, DATE(LEFT(D1798,4), MID(D1798,5,2), RIGHT(D1798,2))))))))"),"")</f>
        <v/>
      </c>
      <c r="C1798" s="60" t="str">
        <f>IFERROR(__xludf.DUMMYFUNCTION("INDIRECT(""'收支紀錄'!C""&amp;TO_TEXT(ROW()-$C$72))"),"")</f>
        <v/>
      </c>
      <c r="D1798" s="63" t="str">
        <f>IFERROR(__xludf.DUMMYFUNCTION("INDIRECT(""'收支紀錄'!D""&amp;TO_TEXT(ROW()-$C$72))"),"")</f>
        <v/>
      </c>
      <c r="E1798" s="61" t="str">
        <f>IFERROR(__xludf.DUMMYFUNCTION("INDIRECT(""'收支紀錄'!E""&amp;TO_TEXT(ROW()-$C$72))"),"")</f>
        <v/>
      </c>
      <c r="F1798" s="61" t="str">
        <f>IFERROR(__xludf.DUMMYFUNCTION("INDIRECT(""'收支紀錄'!F""&amp;TO_TEXT(ROW()-$C$72))"),"")</f>
        <v/>
      </c>
      <c r="G1798" s="61" t="str">
        <f>IFERROR(__xludf.DUMMYFUNCTION("INDIRECT(""'收支紀錄'!G""&amp;TO_TEXT(ROW()-$C$72))"),"")</f>
        <v/>
      </c>
      <c r="H1798" s="61" t="str">
        <f>IFERROR(__xludf.DUMMYFUNCTION("INDIRECT(""'收支紀錄'!H""&amp;TO_TEXT(ROW()-$C$72))"),"")</f>
        <v/>
      </c>
      <c r="I1798" s="61" t="str">
        <f>IFERROR(__xludf.DUMMYFUNCTION("INDIRECT(""'收支紀錄'!I""&amp;TO_TEXT(ROW()-$C$72))"),"")</f>
        <v/>
      </c>
      <c r="J1798" s="61" t="str">
        <f>IFERROR(__xludf.DUMMYFUNCTION("INDIRECT(""'收支紀錄'!J""&amp;TO_TEXT(ROW()-$C$72))"),"")</f>
        <v/>
      </c>
      <c r="K1798" s="61" t="str">
        <f>IFERROR(__xludf.DUMMYFUNCTION("INDIRECT(""'收支紀錄'!K""&amp;TO_TEXT(ROW()-$C$72))"),"")</f>
        <v/>
      </c>
      <c r="L1798" s="61" t="str">
        <f>IFERROR(__xludf.DUMMYFUNCTION("INDIRECT(""'收支紀錄'!L""&amp;TO_TEXT(ROW()-$C$72))"),"")</f>
        <v/>
      </c>
      <c r="M1798" s="61" t="str">
        <f>IFERROR(__xludf.DUMMYFUNCTION("INDIRECT(""'收支紀錄'!M""&amp;TO_TEXT(ROW()-$C$72))"),"")</f>
        <v/>
      </c>
      <c r="N1798" s="61" t="str">
        <f>IFERROR(__xludf.DUMMYFUNCTION("INDIRECT(""'收支紀錄'!N""&amp;TO_TEXT(ROW()-$C$72))"),"")</f>
        <v/>
      </c>
      <c r="O1798" s="61" t="str">
        <f>IFERROR(__xludf.DUMMYFUNCTION("INDIRECT(""'收支紀錄'!O""&amp;TO_TEXT(ROW()-$C$72))"),"")</f>
        <v/>
      </c>
      <c r="P1798" s="61" t="str">
        <f>IFERROR(__xludf.DUMMYFUNCTION("INDIRECT(""'收支紀錄'!P""&amp;TO_TEXT(ROW()-$C$72))"),"")</f>
        <v/>
      </c>
      <c r="Q1798" s="61" t="str">
        <f>IFERROR(__xludf.DUMMYFUNCTION("INDIRECT(""'收支紀錄'!Q""&amp;TO_TEXT(ROW()-$C$72))"),"")</f>
        <v/>
      </c>
      <c r="R1798" s="61" t="str">
        <f>IFERROR(__xludf.DUMMYFUNCTION("INDIRECT(""'收支紀錄'!R""&amp;TO_TEXT(ROW()-$C$72))"),"")</f>
        <v/>
      </c>
      <c r="S1798" s="61" t="str">
        <f>IFERROR(__xludf.DUMMYFUNCTION("INDIRECT(""'收支紀錄'!S""&amp;TO_TEXT(ROW()-$C$72))"),"")</f>
        <v/>
      </c>
      <c r="T1798" s="61" t="str">
        <f>IFERROR(__xludf.DUMMYFUNCTION("INDIRECT(""'收支紀錄'!T""&amp;TO_TEXT(ROW()-$C$72))"),"")</f>
        <v/>
      </c>
      <c r="U1798" s="62" t="str">
        <f>IFERROR(__xludf.DUMMYFUNCTION("IF(T1798=""是"",TEXTJOIN("""", TRUE, ""$"", TO_TEXT(C1798), S1798),"""")"),"")</f>
        <v/>
      </c>
    </row>
    <row r="1799">
      <c r="A1799" s="58" t="str">
        <f>IFERROR(__xludf.DUMMYFUNCTION("INDIRECT(""'收支紀錄'!A""&amp;TO_TEXT(ROW()-$C$72))"),"")</f>
        <v/>
      </c>
      <c r="B1799" s="59" t="str">
        <f>IFERROR(__xludf.DUMMYFUNCTION("IF(ISBLANK(D1799), """", IF(ISDATE(D1799), D1799, IF(D1799=""今天"", A1799, IF(D1799=""昨天 (-1 day)"", A1799-1, IF(D1799=""前天 (-2 days)"", A1799-2, IF(D1799=""明天 (+1 day)"", A1799+1, DATE(LEFT(D1799,4), MID(D1799,5,2), RIGHT(D1799,2))))))))"),"")</f>
        <v/>
      </c>
      <c r="C1799" s="60" t="str">
        <f>IFERROR(__xludf.DUMMYFUNCTION("INDIRECT(""'收支紀錄'!C""&amp;TO_TEXT(ROW()-$C$72))"),"")</f>
        <v/>
      </c>
      <c r="D1799" s="63" t="str">
        <f>IFERROR(__xludf.DUMMYFUNCTION("INDIRECT(""'收支紀錄'!D""&amp;TO_TEXT(ROW()-$C$72))"),"")</f>
        <v/>
      </c>
      <c r="E1799" s="61" t="str">
        <f>IFERROR(__xludf.DUMMYFUNCTION("INDIRECT(""'收支紀錄'!E""&amp;TO_TEXT(ROW()-$C$72))"),"")</f>
        <v/>
      </c>
      <c r="F1799" s="61" t="str">
        <f>IFERROR(__xludf.DUMMYFUNCTION("INDIRECT(""'收支紀錄'!F""&amp;TO_TEXT(ROW()-$C$72))"),"")</f>
        <v/>
      </c>
      <c r="G1799" s="61" t="str">
        <f>IFERROR(__xludf.DUMMYFUNCTION("INDIRECT(""'收支紀錄'!G""&amp;TO_TEXT(ROW()-$C$72))"),"")</f>
        <v/>
      </c>
      <c r="H1799" s="61" t="str">
        <f>IFERROR(__xludf.DUMMYFUNCTION("INDIRECT(""'收支紀錄'!H""&amp;TO_TEXT(ROW()-$C$72))"),"")</f>
        <v/>
      </c>
      <c r="I1799" s="61" t="str">
        <f>IFERROR(__xludf.DUMMYFUNCTION("INDIRECT(""'收支紀錄'!I""&amp;TO_TEXT(ROW()-$C$72))"),"")</f>
        <v/>
      </c>
      <c r="J1799" s="61" t="str">
        <f>IFERROR(__xludf.DUMMYFUNCTION("INDIRECT(""'收支紀錄'!J""&amp;TO_TEXT(ROW()-$C$72))"),"")</f>
        <v/>
      </c>
      <c r="K1799" s="61" t="str">
        <f>IFERROR(__xludf.DUMMYFUNCTION("INDIRECT(""'收支紀錄'!K""&amp;TO_TEXT(ROW()-$C$72))"),"")</f>
        <v/>
      </c>
      <c r="L1799" s="61" t="str">
        <f>IFERROR(__xludf.DUMMYFUNCTION("INDIRECT(""'收支紀錄'!L""&amp;TO_TEXT(ROW()-$C$72))"),"")</f>
        <v/>
      </c>
      <c r="M1799" s="61" t="str">
        <f>IFERROR(__xludf.DUMMYFUNCTION("INDIRECT(""'收支紀錄'!M""&amp;TO_TEXT(ROW()-$C$72))"),"")</f>
        <v/>
      </c>
      <c r="N1799" s="61" t="str">
        <f>IFERROR(__xludf.DUMMYFUNCTION("INDIRECT(""'收支紀錄'!N""&amp;TO_TEXT(ROW()-$C$72))"),"")</f>
        <v/>
      </c>
      <c r="O1799" s="61" t="str">
        <f>IFERROR(__xludf.DUMMYFUNCTION("INDIRECT(""'收支紀錄'!O""&amp;TO_TEXT(ROW()-$C$72))"),"")</f>
        <v/>
      </c>
      <c r="P1799" s="61" t="str">
        <f>IFERROR(__xludf.DUMMYFUNCTION("INDIRECT(""'收支紀錄'!P""&amp;TO_TEXT(ROW()-$C$72))"),"")</f>
        <v/>
      </c>
      <c r="Q1799" s="61" t="str">
        <f>IFERROR(__xludf.DUMMYFUNCTION("INDIRECT(""'收支紀錄'!Q""&amp;TO_TEXT(ROW()-$C$72))"),"")</f>
        <v/>
      </c>
      <c r="R1799" s="61" t="str">
        <f>IFERROR(__xludf.DUMMYFUNCTION("INDIRECT(""'收支紀錄'!R""&amp;TO_TEXT(ROW()-$C$72))"),"")</f>
        <v/>
      </c>
      <c r="S1799" s="61" t="str">
        <f>IFERROR(__xludf.DUMMYFUNCTION("INDIRECT(""'收支紀錄'!S""&amp;TO_TEXT(ROW()-$C$72))"),"")</f>
        <v/>
      </c>
      <c r="T1799" s="61" t="str">
        <f>IFERROR(__xludf.DUMMYFUNCTION("INDIRECT(""'收支紀錄'!T""&amp;TO_TEXT(ROW()-$C$72))"),"")</f>
        <v/>
      </c>
      <c r="U1799" s="62" t="str">
        <f>IFERROR(__xludf.DUMMYFUNCTION("IF(T1799=""是"",TEXTJOIN("""", TRUE, ""$"", TO_TEXT(C1799), S1799),"""")"),"")</f>
        <v/>
      </c>
    </row>
    <row r="1800">
      <c r="A1800" s="58" t="str">
        <f>IFERROR(__xludf.DUMMYFUNCTION("INDIRECT(""'收支紀錄'!A""&amp;TO_TEXT(ROW()-$C$72))"),"")</f>
        <v/>
      </c>
      <c r="B1800" s="59" t="str">
        <f>IFERROR(__xludf.DUMMYFUNCTION("IF(ISBLANK(D1800), """", IF(ISDATE(D1800), D1800, IF(D1800=""今天"", A1800, IF(D1800=""昨天 (-1 day)"", A1800-1, IF(D1800=""前天 (-2 days)"", A1800-2, IF(D1800=""明天 (+1 day)"", A1800+1, DATE(LEFT(D1800,4), MID(D1800,5,2), RIGHT(D1800,2))))))))"),"")</f>
        <v/>
      </c>
      <c r="C1800" s="60" t="str">
        <f>IFERROR(__xludf.DUMMYFUNCTION("INDIRECT(""'收支紀錄'!C""&amp;TO_TEXT(ROW()-$C$72))"),"")</f>
        <v/>
      </c>
      <c r="D1800" s="63" t="str">
        <f>IFERROR(__xludf.DUMMYFUNCTION("INDIRECT(""'收支紀錄'!D""&amp;TO_TEXT(ROW()-$C$72))"),"")</f>
        <v/>
      </c>
      <c r="E1800" s="61" t="str">
        <f>IFERROR(__xludf.DUMMYFUNCTION("INDIRECT(""'收支紀錄'!E""&amp;TO_TEXT(ROW()-$C$72))"),"")</f>
        <v/>
      </c>
      <c r="F1800" s="61" t="str">
        <f>IFERROR(__xludf.DUMMYFUNCTION("INDIRECT(""'收支紀錄'!F""&amp;TO_TEXT(ROW()-$C$72))"),"")</f>
        <v/>
      </c>
      <c r="G1800" s="61" t="str">
        <f>IFERROR(__xludf.DUMMYFUNCTION("INDIRECT(""'收支紀錄'!G""&amp;TO_TEXT(ROW()-$C$72))"),"")</f>
        <v/>
      </c>
      <c r="H1800" s="61" t="str">
        <f>IFERROR(__xludf.DUMMYFUNCTION("INDIRECT(""'收支紀錄'!H""&amp;TO_TEXT(ROW()-$C$72))"),"")</f>
        <v/>
      </c>
      <c r="I1800" s="61" t="str">
        <f>IFERROR(__xludf.DUMMYFUNCTION("INDIRECT(""'收支紀錄'!I""&amp;TO_TEXT(ROW()-$C$72))"),"")</f>
        <v/>
      </c>
      <c r="J1800" s="61" t="str">
        <f>IFERROR(__xludf.DUMMYFUNCTION("INDIRECT(""'收支紀錄'!J""&amp;TO_TEXT(ROW()-$C$72))"),"")</f>
        <v/>
      </c>
      <c r="K1800" s="61" t="str">
        <f>IFERROR(__xludf.DUMMYFUNCTION("INDIRECT(""'收支紀錄'!K""&amp;TO_TEXT(ROW()-$C$72))"),"")</f>
        <v/>
      </c>
      <c r="L1800" s="61" t="str">
        <f>IFERROR(__xludf.DUMMYFUNCTION("INDIRECT(""'收支紀錄'!L""&amp;TO_TEXT(ROW()-$C$72))"),"")</f>
        <v/>
      </c>
      <c r="M1800" s="61" t="str">
        <f>IFERROR(__xludf.DUMMYFUNCTION("INDIRECT(""'收支紀錄'!M""&amp;TO_TEXT(ROW()-$C$72))"),"")</f>
        <v/>
      </c>
      <c r="N1800" s="61" t="str">
        <f>IFERROR(__xludf.DUMMYFUNCTION("INDIRECT(""'收支紀錄'!N""&amp;TO_TEXT(ROW()-$C$72))"),"")</f>
        <v/>
      </c>
      <c r="O1800" s="61" t="str">
        <f>IFERROR(__xludf.DUMMYFUNCTION("INDIRECT(""'收支紀錄'!O""&amp;TO_TEXT(ROW()-$C$72))"),"")</f>
        <v/>
      </c>
      <c r="P1800" s="61" t="str">
        <f>IFERROR(__xludf.DUMMYFUNCTION("INDIRECT(""'收支紀錄'!P""&amp;TO_TEXT(ROW()-$C$72))"),"")</f>
        <v/>
      </c>
      <c r="Q1800" s="61" t="str">
        <f>IFERROR(__xludf.DUMMYFUNCTION("INDIRECT(""'收支紀錄'!Q""&amp;TO_TEXT(ROW()-$C$72))"),"")</f>
        <v/>
      </c>
      <c r="R1800" s="61" t="str">
        <f>IFERROR(__xludf.DUMMYFUNCTION("INDIRECT(""'收支紀錄'!R""&amp;TO_TEXT(ROW()-$C$72))"),"")</f>
        <v/>
      </c>
      <c r="S1800" s="61" t="str">
        <f>IFERROR(__xludf.DUMMYFUNCTION("INDIRECT(""'收支紀錄'!S""&amp;TO_TEXT(ROW()-$C$72))"),"")</f>
        <v/>
      </c>
      <c r="T1800" s="61" t="str">
        <f>IFERROR(__xludf.DUMMYFUNCTION("INDIRECT(""'收支紀錄'!T""&amp;TO_TEXT(ROW()-$C$72))"),"")</f>
        <v/>
      </c>
      <c r="U1800" s="62" t="str">
        <f>IFERROR(__xludf.DUMMYFUNCTION("IF(T1800=""是"",TEXTJOIN("""", TRUE, ""$"", TO_TEXT(C1800), S1800),"""")"),"")</f>
        <v/>
      </c>
    </row>
    <row r="1801">
      <c r="A1801" s="58" t="str">
        <f>IFERROR(__xludf.DUMMYFUNCTION("INDIRECT(""'收支紀錄'!A""&amp;TO_TEXT(ROW()-$C$72))"),"")</f>
        <v/>
      </c>
      <c r="B1801" s="59" t="str">
        <f>IFERROR(__xludf.DUMMYFUNCTION("IF(ISBLANK(D1801), """", IF(ISDATE(D1801), D1801, IF(D1801=""今天"", A1801, IF(D1801=""昨天 (-1 day)"", A1801-1, IF(D1801=""前天 (-2 days)"", A1801-2, IF(D1801=""明天 (+1 day)"", A1801+1, DATE(LEFT(D1801,4), MID(D1801,5,2), RIGHT(D1801,2))))))))"),"")</f>
        <v/>
      </c>
      <c r="C1801" s="60" t="str">
        <f>IFERROR(__xludf.DUMMYFUNCTION("INDIRECT(""'收支紀錄'!C""&amp;TO_TEXT(ROW()-$C$72))"),"")</f>
        <v/>
      </c>
      <c r="D1801" s="63" t="str">
        <f>IFERROR(__xludf.DUMMYFUNCTION("INDIRECT(""'收支紀錄'!D""&amp;TO_TEXT(ROW()-$C$72))"),"")</f>
        <v/>
      </c>
      <c r="E1801" s="61" t="str">
        <f>IFERROR(__xludf.DUMMYFUNCTION("INDIRECT(""'收支紀錄'!E""&amp;TO_TEXT(ROW()-$C$72))"),"")</f>
        <v/>
      </c>
      <c r="F1801" s="61" t="str">
        <f>IFERROR(__xludf.DUMMYFUNCTION("INDIRECT(""'收支紀錄'!F""&amp;TO_TEXT(ROW()-$C$72))"),"")</f>
        <v/>
      </c>
      <c r="G1801" s="61" t="str">
        <f>IFERROR(__xludf.DUMMYFUNCTION("INDIRECT(""'收支紀錄'!G""&amp;TO_TEXT(ROW()-$C$72))"),"")</f>
        <v/>
      </c>
      <c r="H1801" s="61" t="str">
        <f>IFERROR(__xludf.DUMMYFUNCTION("INDIRECT(""'收支紀錄'!H""&amp;TO_TEXT(ROW()-$C$72))"),"")</f>
        <v/>
      </c>
      <c r="I1801" s="61" t="str">
        <f>IFERROR(__xludf.DUMMYFUNCTION("INDIRECT(""'收支紀錄'!I""&amp;TO_TEXT(ROW()-$C$72))"),"")</f>
        <v/>
      </c>
      <c r="J1801" s="61" t="str">
        <f>IFERROR(__xludf.DUMMYFUNCTION("INDIRECT(""'收支紀錄'!J""&amp;TO_TEXT(ROW()-$C$72))"),"")</f>
        <v/>
      </c>
      <c r="K1801" s="61" t="str">
        <f>IFERROR(__xludf.DUMMYFUNCTION("INDIRECT(""'收支紀錄'!K""&amp;TO_TEXT(ROW()-$C$72))"),"")</f>
        <v/>
      </c>
      <c r="L1801" s="61" t="str">
        <f>IFERROR(__xludf.DUMMYFUNCTION("INDIRECT(""'收支紀錄'!L""&amp;TO_TEXT(ROW()-$C$72))"),"")</f>
        <v/>
      </c>
      <c r="M1801" s="61" t="str">
        <f>IFERROR(__xludf.DUMMYFUNCTION("INDIRECT(""'收支紀錄'!M""&amp;TO_TEXT(ROW()-$C$72))"),"")</f>
        <v/>
      </c>
      <c r="N1801" s="61" t="str">
        <f>IFERROR(__xludf.DUMMYFUNCTION("INDIRECT(""'收支紀錄'!N""&amp;TO_TEXT(ROW()-$C$72))"),"")</f>
        <v/>
      </c>
      <c r="O1801" s="61" t="str">
        <f>IFERROR(__xludf.DUMMYFUNCTION("INDIRECT(""'收支紀錄'!O""&amp;TO_TEXT(ROW()-$C$72))"),"")</f>
        <v/>
      </c>
      <c r="P1801" s="61" t="str">
        <f>IFERROR(__xludf.DUMMYFUNCTION("INDIRECT(""'收支紀錄'!P""&amp;TO_TEXT(ROW()-$C$72))"),"")</f>
        <v/>
      </c>
      <c r="Q1801" s="61" t="str">
        <f>IFERROR(__xludf.DUMMYFUNCTION("INDIRECT(""'收支紀錄'!Q""&amp;TO_TEXT(ROW()-$C$72))"),"")</f>
        <v/>
      </c>
      <c r="R1801" s="61" t="str">
        <f>IFERROR(__xludf.DUMMYFUNCTION("INDIRECT(""'收支紀錄'!R""&amp;TO_TEXT(ROW()-$C$72))"),"")</f>
        <v/>
      </c>
      <c r="S1801" s="61" t="str">
        <f>IFERROR(__xludf.DUMMYFUNCTION("INDIRECT(""'收支紀錄'!S""&amp;TO_TEXT(ROW()-$C$72))"),"")</f>
        <v/>
      </c>
      <c r="T1801" s="61" t="str">
        <f>IFERROR(__xludf.DUMMYFUNCTION("INDIRECT(""'收支紀錄'!T""&amp;TO_TEXT(ROW()-$C$72))"),"")</f>
        <v/>
      </c>
      <c r="U1801" s="62" t="str">
        <f>IFERROR(__xludf.DUMMYFUNCTION("IF(T1801=""是"",TEXTJOIN("""", TRUE, ""$"", TO_TEXT(C1801), S1801),"""")"),"")</f>
        <v/>
      </c>
    </row>
    <row r="1802">
      <c r="A1802" s="58" t="str">
        <f>IFERROR(__xludf.DUMMYFUNCTION("INDIRECT(""'收支紀錄'!A""&amp;TO_TEXT(ROW()-$C$72))"),"")</f>
        <v/>
      </c>
      <c r="B1802" s="59" t="str">
        <f>IFERROR(__xludf.DUMMYFUNCTION("IF(ISBLANK(D1802), """", IF(ISDATE(D1802), D1802, IF(D1802=""今天"", A1802, IF(D1802=""昨天 (-1 day)"", A1802-1, IF(D1802=""前天 (-2 days)"", A1802-2, IF(D1802=""明天 (+1 day)"", A1802+1, DATE(LEFT(D1802,4), MID(D1802,5,2), RIGHT(D1802,2))))))))"),"")</f>
        <v/>
      </c>
      <c r="C1802" s="60" t="str">
        <f>IFERROR(__xludf.DUMMYFUNCTION("INDIRECT(""'收支紀錄'!C""&amp;TO_TEXT(ROW()-$C$72))"),"")</f>
        <v/>
      </c>
      <c r="D1802" s="63" t="str">
        <f>IFERROR(__xludf.DUMMYFUNCTION("INDIRECT(""'收支紀錄'!D""&amp;TO_TEXT(ROW()-$C$72))"),"")</f>
        <v/>
      </c>
      <c r="E1802" s="61" t="str">
        <f>IFERROR(__xludf.DUMMYFUNCTION("INDIRECT(""'收支紀錄'!E""&amp;TO_TEXT(ROW()-$C$72))"),"")</f>
        <v/>
      </c>
      <c r="F1802" s="61" t="str">
        <f>IFERROR(__xludf.DUMMYFUNCTION("INDIRECT(""'收支紀錄'!F""&amp;TO_TEXT(ROW()-$C$72))"),"")</f>
        <v/>
      </c>
      <c r="G1802" s="61" t="str">
        <f>IFERROR(__xludf.DUMMYFUNCTION("INDIRECT(""'收支紀錄'!G""&amp;TO_TEXT(ROW()-$C$72))"),"")</f>
        <v/>
      </c>
      <c r="H1802" s="61" t="str">
        <f>IFERROR(__xludf.DUMMYFUNCTION("INDIRECT(""'收支紀錄'!H""&amp;TO_TEXT(ROW()-$C$72))"),"")</f>
        <v/>
      </c>
      <c r="I1802" s="61" t="str">
        <f>IFERROR(__xludf.DUMMYFUNCTION("INDIRECT(""'收支紀錄'!I""&amp;TO_TEXT(ROW()-$C$72))"),"")</f>
        <v/>
      </c>
      <c r="J1802" s="61" t="str">
        <f>IFERROR(__xludf.DUMMYFUNCTION("INDIRECT(""'收支紀錄'!J""&amp;TO_TEXT(ROW()-$C$72))"),"")</f>
        <v/>
      </c>
      <c r="K1802" s="61" t="str">
        <f>IFERROR(__xludf.DUMMYFUNCTION("INDIRECT(""'收支紀錄'!K""&amp;TO_TEXT(ROW()-$C$72))"),"")</f>
        <v/>
      </c>
      <c r="L1802" s="61" t="str">
        <f>IFERROR(__xludf.DUMMYFUNCTION("INDIRECT(""'收支紀錄'!L""&amp;TO_TEXT(ROW()-$C$72))"),"")</f>
        <v/>
      </c>
      <c r="M1802" s="61" t="str">
        <f>IFERROR(__xludf.DUMMYFUNCTION("INDIRECT(""'收支紀錄'!M""&amp;TO_TEXT(ROW()-$C$72))"),"")</f>
        <v/>
      </c>
      <c r="N1802" s="61" t="str">
        <f>IFERROR(__xludf.DUMMYFUNCTION("INDIRECT(""'收支紀錄'!N""&amp;TO_TEXT(ROW()-$C$72))"),"")</f>
        <v/>
      </c>
      <c r="O1802" s="61" t="str">
        <f>IFERROR(__xludf.DUMMYFUNCTION("INDIRECT(""'收支紀錄'!O""&amp;TO_TEXT(ROW()-$C$72))"),"")</f>
        <v/>
      </c>
      <c r="P1802" s="61" t="str">
        <f>IFERROR(__xludf.DUMMYFUNCTION("INDIRECT(""'收支紀錄'!P""&amp;TO_TEXT(ROW()-$C$72))"),"")</f>
        <v/>
      </c>
      <c r="Q1802" s="61" t="str">
        <f>IFERROR(__xludf.DUMMYFUNCTION("INDIRECT(""'收支紀錄'!Q""&amp;TO_TEXT(ROW()-$C$72))"),"")</f>
        <v/>
      </c>
      <c r="R1802" s="61" t="str">
        <f>IFERROR(__xludf.DUMMYFUNCTION("INDIRECT(""'收支紀錄'!R""&amp;TO_TEXT(ROW()-$C$72))"),"")</f>
        <v/>
      </c>
      <c r="S1802" s="61" t="str">
        <f>IFERROR(__xludf.DUMMYFUNCTION("INDIRECT(""'收支紀錄'!S""&amp;TO_TEXT(ROW()-$C$72))"),"")</f>
        <v/>
      </c>
      <c r="T1802" s="61" t="str">
        <f>IFERROR(__xludf.DUMMYFUNCTION("INDIRECT(""'收支紀錄'!T""&amp;TO_TEXT(ROW()-$C$72))"),"")</f>
        <v/>
      </c>
      <c r="U1802" s="62" t="str">
        <f>IFERROR(__xludf.DUMMYFUNCTION("IF(T1802=""是"",TEXTJOIN("""", TRUE, ""$"", TO_TEXT(C1802), S1802),"""")"),"")</f>
        <v/>
      </c>
    </row>
    <row r="1803">
      <c r="A1803" s="58" t="str">
        <f>IFERROR(__xludf.DUMMYFUNCTION("INDIRECT(""'收支紀錄'!A""&amp;TO_TEXT(ROW()-$C$72))"),"")</f>
        <v/>
      </c>
      <c r="B1803" s="59" t="str">
        <f>IFERROR(__xludf.DUMMYFUNCTION("IF(ISBLANK(D1803), """", IF(ISDATE(D1803), D1803, IF(D1803=""今天"", A1803, IF(D1803=""昨天 (-1 day)"", A1803-1, IF(D1803=""前天 (-2 days)"", A1803-2, IF(D1803=""明天 (+1 day)"", A1803+1, DATE(LEFT(D1803,4), MID(D1803,5,2), RIGHT(D1803,2))))))))"),"")</f>
        <v/>
      </c>
      <c r="C1803" s="60" t="str">
        <f>IFERROR(__xludf.DUMMYFUNCTION("INDIRECT(""'收支紀錄'!C""&amp;TO_TEXT(ROW()-$C$72))"),"")</f>
        <v/>
      </c>
      <c r="D1803" s="63" t="str">
        <f>IFERROR(__xludf.DUMMYFUNCTION("INDIRECT(""'收支紀錄'!D""&amp;TO_TEXT(ROW()-$C$72))"),"")</f>
        <v/>
      </c>
      <c r="E1803" s="61" t="str">
        <f>IFERROR(__xludf.DUMMYFUNCTION("INDIRECT(""'收支紀錄'!E""&amp;TO_TEXT(ROW()-$C$72))"),"")</f>
        <v/>
      </c>
      <c r="F1803" s="61" t="str">
        <f>IFERROR(__xludf.DUMMYFUNCTION("INDIRECT(""'收支紀錄'!F""&amp;TO_TEXT(ROW()-$C$72))"),"")</f>
        <v/>
      </c>
      <c r="G1803" s="61" t="str">
        <f>IFERROR(__xludf.DUMMYFUNCTION("INDIRECT(""'收支紀錄'!G""&amp;TO_TEXT(ROW()-$C$72))"),"")</f>
        <v/>
      </c>
      <c r="H1803" s="61" t="str">
        <f>IFERROR(__xludf.DUMMYFUNCTION("INDIRECT(""'收支紀錄'!H""&amp;TO_TEXT(ROW()-$C$72))"),"")</f>
        <v/>
      </c>
      <c r="I1803" s="61" t="str">
        <f>IFERROR(__xludf.DUMMYFUNCTION("INDIRECT(""'收支紀錄'!I""&amp;TO_TEXT(ROW()-$C$72))"),"")</f>
        <v/>
      </c>
      <c r="J1803" s="61" t="str">
        <f>IFERROR(__xludf.DUMMYFUNCTION("INDIRECT(""'收支紀錄'!J""&amp;TO_TEXT(ROW()-$C$72))"),"")</f>
        <v/>
      </c>
      <c r="K1803" s="61" t="str">
        <f>IFERROR(__xludf.DUMMYFUNCTION("INDIRECT(""'收支紀錄'!K""&amp;TO_TEXT(ROW()-$C$72))"),"")</f>
        <v/>
      </c>
      <c r="L1803" s="61" t="str">
        <f>IFERROR(__xludf.DUMMYFUNCTION("INDIRECT(""'收支紀錄'!L""&amp;TO_TEXT(ROW()-$C$72))"),"")</f>
        <v/>
      </c>
      <c r="M1803" s="61" t="str">
        <f>IFERROR(__xludf.DUMMYFUNCTION("INDIRECT(""'收支紀錄'!M""&amp;TO_TEXT(ROW()-$C$72))"),"")</f>
        <v/>
      </c>
      <c r="N1803" s="61" t="str">
        <f>IFERROR(__xludf.DUMMYFUNCTION("INDIRECT(""'收支紀錄'!N""&amp;TO_TEXT(ROW()-$C$72))"),"")</f>
        <v/>
      </c>
      <c r="O1803" s="61" t="str">
        <f>IFERROR(__xludf.DUMMYFUNCTION("INDIRECT(""'收支紀錄'!O""&amp;TO_TEXT(ROW()-$C$72))"),"")</f>
        <v/>
      </c>
      <c r="P1803" s="61" t="str">
        <f>IFERROR(__xludf.DUMMYFUNCTION("INDIRECT(""'收支紀錄'!P""&amp;TO_TEXT(ROW()-$C$72))"),"")</f>
        <v/>
      </c>
      <c r="Q1803" s="61" t="str">
        <f>IFERROR(__xludf.DUMMYFUNCTION("INDIRECT(""'收支紀錄'!Q""&amp;TO_TEXT(ROW()-$C$72))"),"")</f>
        <v/>
      </c>
      <c r="R1803" s="61" t="str">
        <f>IFERROR(__xludf.DUMMYFUNCTION("INDIRECT(""'收支紀錄'!R""&amp;TO_TEXT(ROW()-$C$72))"),"")</f>
        <v/>
      </c>
      <c r="S1803" s="61" t="str">
        <f>IFERROR(__xludf.DUMMYFUNCTION("INDIRECT(""'收支紀錄'!S""&amp;TO_TEXT(ROW()-$C$72))"),"")</f>
        <v/>
      </c>
      <c r="T1803" s="61" t="str">
        <f>IFERROR(__xludf.DUMMYFUNCTION("INDIRECT(""'收支紀錄'!T""&amp;TO_TEXT(ROW()-$C$72))"),"")</f>
        <v/>
      </c>
      <c r="U1803" s="62" t="str">
        <f>IFERROR(__xludf.DUMMYFUNCTION("IF(T1803=""是"",TEXTJOIN("""", TRUE, ""$"", TO_TEXT(C1803), S1803),"""")"),"")</f>
        <v/>
      </c>
    </row>
    <row r="1804">
      <c r="A1804" s="58" t="str">
        <f>IFERROR(__xludf.DUMMYFUNCTION("INDIRECT(""'收支紀錄'!A""&amp;TO_TEXT(ROW()-$C$72))"),"")</f>
        <v/>
      </c>
      <c r="B1804" s="59" t="str">
        <f>IFERROR(__xludf.DUMMYFUNCTION("IF(ISBLANK(D1804), """", IF(ISDATE(D1804), D1804, IF(D1804=""今天"", A1804, IF(D1804=""昨天 (-1 day)"", A1804-1, IF(D1804=""前天 (-2 days)"", A1804-2, IF(D1804=""明天 (+1 day)"", A1804+1, DATE(LEFT(D1804,4), MID(D1804,5,2), RIGHT(D1804,2))))))))"),"")</f>
        <v/>
      </c>
      <c r="C1804" s="60" t="str">
        <f>IFERROR(__xludf.DUMMYFUNCTION("INDIRECT(""'收支紀錄'!C""&amp;TO_TEXT(ROW()-$C$72))"),"")</f>
        <v/>
      </c>
      <c r="D1804" s="63" t="str">
        <f>IFERROR(__xludf.DUMMYFUNCTION("INDIRECT(""'收支紀錄'!D""&amp;TO_TEXT(ROW()-$C$72))"),"")</f>
        <v/>
      </c>
      <c r="E1804" s="61" t="str">
        <f>IFERROR(__xludf.DUMMYFUNCTION("INDIRECT(""'收支紀錄'!E""&amp;TO_TEXT(ROW()-$C$72))"),"")</f>
        <v/>
      </c>
      <c r="F1804" s="61" t="str">
        <f>IFERROR(__xludf.DUMMYFUNCTION("INDIRECT(""'收支紀錄'!F""&amp;TO_TEXT(ROW()-$C$72))"),"")</f>
        <v/>
      </c>
      <c r="G1804" s="61" t="str">
        <f>IFERROR(__xludf.DUMMYFUNCTION("INDIRECT(""'收支紀錄'!G""&amp;TO_TEXT(ROW()-$C$72))"),"")</f>
        <v/>
      </c>
      <c r="H1804" s="61" t="str">
        <f>IFERROR(__xludf.DUMMYFUNCTION("INDIRECT(""'收支紀錄'!H""&amp;TO_TEXT(ROW()-$C$72))"),"")</f>
        <v/>
      </c>
      <c r="I1804" s="61" t="str">
        <f>IFERROR(__xludf.DUMMYFUNCTION("INDIRECT(""'收支紀錄'!I""&amp;TO_TEXT(ROW()-$C$72))"),"")</f>
        <v/>
      </c>
      <c r="J1804" s="61" t="str">
        <f>IFERROR(__xludf.DUMMYFUNCTION("INDIRECT(""'收支紀錄'!J""&amp;TO_TEXT(ROW()-$C$72))"),"")</f>
        <v/>
      </c>
      <c r="K1804" s="61" t="str">
        <f>IFERROR(__xludf.DUMMYFUNCTION("INDIRECT(""'收支紀錄'!K""&amp;TO_TEXT(ROW()-$C$72))"),"")</f>
        <v/>
      </c>
      <c r="L1804" s="61" t="str">
        <f>IFERROR(__xludf.DUMMYFUNCTION("INDIRECT(""'收支紀錄'!L""&amp;TO_TEXT(ROW()-$C$72))"),"")</f>
        <v/>
      </c>
      <c r="M1804" s="61" t="str">
        <f>IFERROR(__xludf.DUMMYFUNCTION("INDIRECT(""'收支紀錄'!M""&amp;TO_TEXT(ROW()-$C$72))"),"")</f>
        <v/>
      </c>
      <c r="N1804" s="61" t="str">
        <f>IFERROR(__xludf.DUMMYFUNCTION("INDIRECT(""'收支紀錄'!N""&amp;TO_TEXT(ROW()-$C$72))"),"")</f>
        <v/>
      </c>
      <c r="O1804" s="61" t="str">
        <f>IFERROR(__xludf.DUMMYFUNCTION("INDIRECT(""'收支紀錄'!O""&amp;TO_TEXT(ROW()-$C$72))"),"")</f>
        <v/>
      </c>
      <c r="P1804" s="61" t="str">
        <f>IFERROR(__xludf.DUMMYFUNCTION("INDIRECT(""'收支紀錄'!P""&amp;TO_TEXT(ROW()-$C$72))"),"")</f>
        <v/>
      </c>
      <c r="Q1804" s="61" t="str">
        <f>IFERROR(__xludf.DUMMYFUNCTION("INDIRECT(""'收支紀錄'!Q""&amp;TO_TEXT(ROW()-$C$72))"),"")</f>
        <v/>
      </c>
      <c r="R1804" s="61" t="str">
        <f>IFERROR(__xludf.DUMMYFUNCTION("INDIRECT(""'收支紀錄'!R""&amp;TO_TEXT(ROW()-$C$72))"),"")</f>
        <v/>
      </c>
      <c r="S1804" s="61" t="str">
        <f>IFERROR(__xludf.DUMMYFUNCTION("INDIRECT(""'收支紀錄'!S""&amp;TO_TEXT(ROW()-$C$72))"),"")</f>
        <v/>
      </c>
      <c r="T1804" s="61" t="str">
        <f>IFERROR(__xludf.DUMMYFUNCTION("INDIRECT(""'收支紀錄'!T""&amp;TO_TEXT(ROW()-$C$72))"),"")</f>
        <v/>
      </c>
      <c r="U1804" s="62" t="str">
        <f>IFERROR(__xludf.DUMMYFUNCTION("IF(T1804=""是"",TEXTJOIN("""", TRUE, ""$"", TO_TEXT(C1804), S1804),"""")"),"")</f>
        <v/>
      </c>
    </row>
    <row r="1805">
      <c r="A1805" s="58" t="str">
        <f>IFERROR(__xludf.DUMMYFUNCTION("INDIRECT(""'收支紀錄'!A""&amp;TO_TEXT(ROW()-$C$72))"),"")</f>
        <v/>
      </c>
      <c r="B1805" s="59" t="str">
        <f>IFERROR(__xludf.DUMMYFUNCTION("IF(ISBLANK(D1805), """", IF(ISDATE(D1805), D1805, IF(D1805=""今天"", A1805, IF(D1805=""昨天 (-1 day)"", A1805-1, IF(D1805=""前天 (-2 days)"", A1805-2, IF(D1805=""明天 (+1 day)"", A1805+1, DATE(LEFT(D1805,4), MID(D1805,5,2), RIGHT(D1805,2))))))))"),"")</f>
        <v/>
      </c>
      <c r="C1805" s="60" t="str">
        <f>IFERROR(__xludf.DUMMYFUNCTION("INDIRECT(""'收支紀錄'!C""&amp;TO_TEXT(ROW()-$C$72))"),"")</f>
        <v/>
      </c>
      <c r="D1805" s="63" t="str">
        <f>IFERROR(__xludf.DUMMYFUNCTION("INDIRECT(""'收支紀錄'!D""&amp;TO_TEXT(ROW()-$C$72))"),"")</f>
        <v/>
      </c>
      <c r="E1805" s="61" t="str">
        <f>IFERROR(__xludf.DUMMYFUNCTION("INDIRECT(""'收支紀錄'!E""&amp;TO_TEXT(ROW()-$C$72))"),"")</f>
        <v/>
      </c>
      <c r="F1805" s="61" t="str">
        <f>IFERROR(__xludf.DUMMYFUNCTION("INDIRECT(""'收支紀錄'!F""&amp;TO_TEXT(ROW()-$C$72))"),"")</f>
        <v/>
      </c>
      <c r="G1805" s="61" t="str">
        <f>IFERROR(__xludf.DUMMYFUNCTION("INDIRECT(""'收支紀錄'!G""&amp;TO_TEXT(ROW()-$C$72))"),"")</f>
        <v/>
      </c>
      <c r="H1805" s="61" t="str">
        <f>IFERROR(__xludf.DUMMYFUNCTION("INDIRECT(""'收支紀錄'!H""&amp;TO_TEXT(ROW()-$C$72))"),"")</f>
        <v/>
      </c>
      <c r="I1805" s="61" t="str">
        <f>IFERROR(__xludf.DUMMYFUNCTION("INDIRECT(""'收支紀錄'!I""&amp;TO_TEXT(ROW()-$C$72))"),"")</f>
        <v/>
      </c>
      <c r="J1805" s="61" t="str">
        <f>IFERROR(__xludf.DUMMYFUNCTION("INDIRECT(""'收支紀錄'!J""&amp;TO_TEXT(ROW()-$C$72))"),"")</f>
        <v/>
      </c>
      <c r="K1805" s="61" t="str">
        <f>IFERROR(__xludf.DUMMYFUNCTION("INDIRECT(""'收支紀錄'!K""&amp;TO_TEXT(ROW()-$C$72))"),"")</f>
        <v/>
      </c>
      <c r="L1805" s="61" t="str">
        <f>IFERROR(__xludf.DUMMYFUNCTION("INDIRECT(""'收支紀錄'!L""&amp;TO_TEXT(ROW()-$C$72))"),"")</f>
        <v/>
      </c>
      <c r="M1805" s="61" t="str">
        <f>IFERROR(__xludf.DUMMYFUNCTION("INDIRECT(""'收支紀錄'!M""&amp;TO_TEXT(ROW()-$C$72))"),"")</f>
        <v/>
      </c>
      <c r="N1805" s="61" t="str">
        <f>IFERROR(__xludf.DUMMYFUNCTION("INDIRECT(""'收支紀錄'!N""&amp;TO_TEXT(ROW()-$C$72))"),"")</f>
        <v/>
      </c>
      <c r="O1805" s="61" t="str">
        <f>IFERROR(__xludf.DUMMYFUNCTION("INDIRECT(""'收支紀錄'!O""&amp;TO_TEXT(ROW()-$C$72))"),"")</f>
        <v/>
      </c>
      <c r="P1805" s="61" t="str">
        <f>IFERROR(__xludf.DUMMYFUNCTION("INDIRECT(""'收支紀錄'!P""&amp;TO_TEXT(ROW()-$C$72))"),"")</f>
        <v/>
      </c>
      <c r="Q1805" s="61" t="str">
        <f>IFERROR(__xludf.DUMMYFUNCTION("INDIRECT(""'收支紀錄'!Q""&amp;TO_TEXT(ROW()-$C$72))"),"")</f>
        <v/>
      </c>
      <c r="R1805" s="61" t="str">
        <f>IFERROR(__xludf.DUMMYFUNCTION("INDIRECT(""'收支紀錄'!R""&amp;TO_TEXT(ROW()-$C$72))"),"")</f>
        <v/>
      </c>
      <c r="S1805" s="61" t="str">
        <f>IFERROR(__xludf.DUMMYFUNCTION("INDIRECT(""'收支紀錄'!S""&amp;TO_TEXT(ROW()-$C$72))"),"")</f>
        <v/>
      </c>
      <c r="T1805" s="61" t="str">
        <f>IFERROR(__xludf.DUMMYFUNCTION("INDIRECT(""'收支紀錄'!T""&amp;TO_TEXT(ROW()-$C$72))"),"")</f>
        <v/>
      </c>
      <c r="U1805" s="62" t="str">
        <f>IFERROR(__xludf.DUMMYFUNCTION("IF(T1805=""是"",TEXTJOIN("""", TRUE, ""$"", TO_TEXT(C1805), S1805),"""")"),"")</f>
        <v/>
      </c>
    </row>
    <row r="1806">
      <c r="A1806" s="58" t="str">
        <f>IFERROR(__xludf.DUMMYFUNCTION("INDIRECT(""'收支紀錄'!A""&amp;TO_TEXT(ROW()-$C$72))"),"")</f>
        <v/>
      </c>
      <c r="B1806" s="59" t="str">
        <f>IFERROR(__xludf.DUMMYFUNCTION("IF(ISBLANK(D1806), """", IF(ISDATE(D1806), D1806, IF(D1806=""今天"", A1806, IF(D1806=""昨天 (-1 day)"", A1806-1, IF(D1806=""前天 (-2 days)"", A1806-2, IF(D1806=""明天 (+1 day)"", A1806+1, DATE(LEFT(D1806,4), MID(D1806,5,2), RIGHT(D1806,2))))))))"),"")</f>
        <v/>
      </c>
      <c r="C1806" s="60" t="str">
        <f>IFERROR(__xludf.DUMMYFUNCTION("INDIRECT(""'收支紀錄'!C""&amp;TO_TEXT(ROW()-$C$72))"),"")</f>
        <v/>
      </c>
      <c r="D1806" s="63" t="str">
        <f>IFERROR(__xludf.DUMMYFUNCTION("INDIRECT(""'收支紀錄'!D""&amp;TO_TEXT(ROW()-$C$72))"),"")</f>
        <v/>
      </c>
      <c r="E1806" s="61" t="str">
        <f>IFERROR(__xludf.DUMMYFUNCTION("INDIRECT(""'收支紀錄'!E""&amp;TO_TEXT(ROW()-$C$72))"),"")</f>
        <v/>
      </c>
      <c r="F1806" s="61" t="str">
        <f>IFERROR(__xludf.DUMMYFUNCTION("INDIRECT(""'收支紀錄'!F""&amp;TO_TEXT(ROW()-$C$72))"),"")</f>
        <v/>
      </c>
      <c r="G1806" s="61" t="str">
        <f>IFERROR(__xludf.DUMMYFUNCTION("INDIRECT(""'收支紀錄'!G""&amp;TO_TEXT(ROW()-$C$72))"),"")</f>
        <v/>
      </c>
      <c r="H1806" s="61" t="str">
        <f>IFERROR(__xludf.DUMMYFUNCTION("INDIRECT(""'收支紀錄'!H""&amp;TO_TEXT(ROW()-$C$72))"),"")</f>
        <v/>
      </c>
      <c r="I1806" s="61" t="str">
        <f>IFERROR(__xludf.DUMMYFUNCTION("INDIRECT(""'收支紀錄'!I""&amp;TO_TEXT(ROW()-$C$72))"),"")</f>
        <v/>
      </c>
      <c r="J1806" s="61" t="str">
        <f>IFERROR(__xludf.DUMMYFUNCTION("INDIRECT(""'收支紀錄'!J""&amp;TO_TEXT(ROW()-$C$72))"),"")</f>
        <v/>
      </c>
      <c r="K1806" s="61" t="str">
        <f>IFERROR(__xludf.DUMMYFUNCTION("INDIRECT(""'收支紀錄'!K""&amp;TO_TEXT(ROW()-$C$72))"),"")</f>
        <v/>
      </c>
      <c r="L1806" s="61" t="str">
        <f>IFERROR(__xludf.DUMMYFUNCTION("INDIRECT(""'收支紀錄'!L""&amp;TO_TEXT(ROW()-$C$72))"),"")</f>
        <v/>
      </c>
      <c r="M1806" s="61" t="str">
        <f>IFERROR(__xludf.DUMMYFUNCTION("INDIRECT(""'收支紀錄'!M""&amp;TO_TEXT(ROW()-$C$72))"),"")</f>
        <v/>
      </c>
      <c r="N1806" s="61" t="str">
        <f>IFERROR(__xludf.DUMMYFUNCTION("INDIRECT(""'收支紀錄'!N""&amp;TO_TEXT(ROW()-$C$72))"),"")</f>
        <v/>
      </c>
      <c r="O1806" s="61" t="str">
        <f>IFERROR(__xludf.DUMMYFUNCTION("INDIRECT(""'收支紀錄'!O""&amp;TO_TEXT(ROW()-$C$72))"),"")</f>
        <v/>
      </c>
      <c r="P1806" s="61" t="str">
        <f>IFERROR(__xludf.DUMMYFUNCTION("INDIRECT(""'收支紀錄'!P""&amp;TO_TEXT(ROW()-$C$72))"),"")</f>
        <v/>
      </c>
      <c r="Q1806" s="61" t="str">
        <f>IFERROR(__xludf.DUMMYFUNCTION("INDIRECT(""'收支紀錄'!Q""&amp;TO_TEXT(ROW()-$C$72))"),"")</f>
        <v/>
      </c>
      <c r="R1806" s="61" t="str">
        <f>IFERROR(__xludf.DUMMYFUNCTION("INDIRECT(""'收支紀錄'!R""&amp;TO_TEXT(ROW()-$C$72))"),"")</f>
        <v/>
      </c>
      <c r="S1806" s="61" t="str">
        <f>IFERROR(__xludf.DUMMYFUNCTION("INDIRECT(""'收支紀錄'!S""&amp;TO_TEXT(ROW()-$C$72))"),"")</f>
        <v/>
      </c>
      <c r="T1806" s="61" t="str">
        <f>IFERROR(__xludf.DUMMYFUNCTION("INDIRECT(""'收支紀錄'!T""&amp;TO_TEXT(ROW()-$C$72))"),"")</f>
        <v/>
      </c>
      <c r="U1806" s="62" t="str">
        <f>IFERROR(__xludf.DUMMYFUNCTION("IF(T1806=""是"",TEXTJOIN("""", TRUE, ""$"", TO_TEXT(C1806), S1806),"""")"),"")</f>
        <v/>
      </c>
    </row>
    <row r="1807">
      <c r="A1807" s="58" t="str">
        <f>IFERROR(__xludf.DUMMYFUNCTION("INDIRECT(""'收支紀錄'!A""&amp;TO_TEXT(ROW()-$C$72))"),"")</f>
        <v/>
      </c>
      <c r="B1807" s="59" t="str">
        <f>IFERROR(__xludf.DUMMYFUNCTION("IF(ISBLANK(D1807), """", IF(ISDATE(D1807), D1807, IF(D1807=""今天"", A1807, IF(D1807=""昨天 (-1 day)"", A1807-1, IF(D1807=""前天 (-2 days)"", A1807-2, IF(D1807=""明天 (+1 day)"", A1807+1, DATE(LEFT(D1807,4), MID(D1807,5,2), RIGHT(D1807,2))))))))"),"")</f>
        <v/>
      </c>
      <c r="C1807" s="60" t="str">
        <f>IFERROR(__xludf.DUMMYFUNCTION("INDIRECT(""'收支紀錄'!C""&amp;TO_TEXT(ROW()-$C$72))"),"")</f>
        <v/>
      </c>
      <c r="D1807" s="63" t="str">
        <f>IFERROR(__xludf.DUMMYFUNCTION("INDIRECT(""'收支紀錄'!D""&amp;TO_TEXT(ROW()-$C$72))"),"")</f>
        <v/>
      </c>
      <c r="E1807" s="61" t="str">
        <f>IFERROR(__xludf.DUMMYFUNCTION("INDIRECT(""'收支紀錄'!E""&amp;TO_TEXT(ROW()-$C$72))"),"")</f>
        <v/>
      </c>
      <c r="F1807" s="61" t="str">
        <f>IFERROR(__xludf.DUMMYFUNCTION("INDIRECT(""'收支紀錄'!F""&amp;TO_TEXT(ROW()-$C$72))"),"")</f>
        <v/>
      </c>
      <c r="G1807" s="61" t="str">
        <f>IFERROR(__xludf.DUMMYFUNCTION("INDIRECT(""'收支紀錄'!G""&amp;TO_TEXT(ROW()-$C$72))"),"")</f>
        <v/>
      </c>
      <c r="H1807" s="61" t="str">
        <f>IFERROR(__xludf.DUMMYFUNCTION("INDIRECT(""'收支紀錄'!H""&amp;TO_TEXT(ROW()-$C$72))"),"")</f>
        <v/>
      </c>
      <c r="I1807" s="61" t="str">
        <f>IFERROR(__xludf.DUMMYFUNCTION("INDIRECT(""'收支紀錄'!I""&amp;TO_TEXT(ROW()-$C$72))"),"")</f>
        <v/>
      </c>
      <c r="J1807" s="61" t="str">
        <f>IFERROR(__xludf.DUMMYFUNCTION("INDIRECT(""'收支紀錄'!J""&amp;TO_TEXT(ROW()-$C$72))"),"")</f>
        <v/>
      </c>
      <c r="K1807" s="61" t="str">
        <f>IFERROR(__xludf.DUMMYFUNCTION("INDIRECT(""'收支紀錄'!K""&amp;TO_TEXT(ROW()-$C$72))"),"")</f>
        <v/>
      </c>
      <c r="L1807" s="61" t="str">
        <f>IFERROR(__xludf.DUMMYFUNCTION("INDIRECT(""'收支紀錄'!L""&amp;TO_TEXT(ROW()-$C$72))"),"")</f>
        <v/>
      </c>
      <c r="M1807" s="61" t="str">
        <f>IFERROR(__xludf.DUMMYFUNCTION("INDIRECT(""'收支紀錄'!M""&amp;TO_TEXT(ROW()-$C$72))"),"")</f>
        <v/>
      </c>
      <c r="N1807" s="61" t="str">
        <f>IFERROR(__xludf.DUMMYFUNCTION("INDIRECT(""'收支紀錄'!N""&amp;TO_TEXT(ROW()-$C$72))"),"")</f>
        <v/>
      </c>
      <c r="O1807" s="61" t="str">
        <f>IFERROR(__xludf.DUMMYFUNCTION("INDIRECT(""'收支紀錄'!O""&amp;TO_TEXT(ROW()-$C$72))"),"")</f>
        <v/>
      </c>
      <c r="P1807" s="61" t="str">
        <f>IFERROR(__xludf.DUMMYFUNCTION("INDIRECT(""'收支紀錄'!P""&amp;TO_TEXT(ROW()-$C$72))"),"")</f>
        <v/>
      </c>
      <c r="Q1807" s="61" t="str">
        <f>IFERROR(__xludf.DUMMYFUNCTION("INDIRECT(""'收支紀錄'!Q""&amp;TO_TEXT(ROW()-$C$72))"),"")</f>
        <v/>
      </c>
      <c r="R1807" s="61" t="str">
        <f>IFERROR(__xludf.DUMMYFUNCTION("INDIRECT(""'收支紀錄'!R""&amp;TO_TEXT(ROW()-$C$72))"),"")</f>
        <v/>
      </c>
      <c r="S1807" s="61" t="str">
        <f>IFERROR(__xludf.DUMMYFUNCTION("INDIRECT(""'收支紀錄'!S""&amp;TO_TEXT(ROW()-$C$72))"),"")</f>
        <v/>
      </c>
      <c r="T1807" s="61" t="str">
        <f>IFERROR(__xludf.DUMMYFUNCTION("INDIRECT(""'收支紀錄'!T""&amp;TO_TEXT(ROW()-$C$72))"),"")</f>
        <v/>
      </c>
      <c r="U1807" s="62" t="str">
        <f>IFERROR(__xludf.DUMMYFUNCTION("IF(T1807=""是"",TEXTJOIN("""", TRUE, ""$"", TO_TEXT(C1807), S1807),"""")"),"")</f>
        <v/>
      </c>
    </row>
    <row r="1808">
      <c r="A1808" s="58" t="str">
        <f>IFERROR(__xludf.DUMMYFUNCTION("INDIRECT(""'收支紀錄'!A""&amp;TO_TEXT(ROW()-$C$72))"),"")</f>
        <v/>
      </c>
      <c r="B1808" s="59" t="str">
        <f>IFERROR(__xludf.DUMMYFUNCTION("IF(ISBLANK(D1808), """", IF(ISDATE(D1808), D1808, IF(D1808=""今天"", A1808, IF(D1808=""昨天 (-1 day)"", A1808-1, IF(D1808=""前天 (-2 days)"", A1808-2, IF(D1808=""明天 (+1 day)"", A1808+1, DATE(LEFT(D1808,4), MID(D1808,5,2), RIGHT(D1808,2))))))))"),"")</f>
        <v/>
      </c>
      <c r="C1808" s="60" t="str">
        <f>IFERROR(__xludf.DUMMYFUNCTION("INDIRECT(""'收支紀錄'!C""&amp;TO_TEXT(ROW()-$C$72))"),"")</f>
        <v/>
      </c>
      <c r="D1808" s="63" t="str">
        <f>IFERROR(__xludf.DUMMYFUNCTION("INDIRECT(""'收支紀錄'!D""&amp;TO_TEXT(ROW()-$C$72))"),"")</f>
        <v/>
      </c>
      <c r="E1808" s="61" t="str">
        <f>IFERROR(__xludf.DUMMYFUNCTION("INDIRECT(""'收支紀錄'!E""&amp;TO_TEXT(ROW()-$C$72))"),"")</f>
        <v/>
      </c>
      <c r="F1808" s="61" t="str">
        <f>IFERROR(__xludf.DUMMYFUNCTION("INDIRECT(""'收支紀錄'!F""&amp;TO_TEXT(ROW()-$C$72))"),"")</f>
        <v/>
      </c>
      <c r="G1808" s="61" t="str">
        <f>IFERROR(__xludf.DUMMYFUNCTION("INDIRECT(""'收支紀錄'!G""&amp;TO_TEXT(ROW()-$C$72))"),"")</f>
        <v/>
      </c>
      <c r="H1808" s="61" t="str">
        <f>IFERROR(__xludf.DUMMYFUNCTION("INDIRECT(""'收支紀錄'!H""&amp;TO_TEXT(ROW()-$C$72))"),"")</f>
        <v/>
      </c>
      <c r="I1808" s="61" t="str">
        <f>IFERROR(__xludf.DUMMYFUNCTION("INDIRECT(""'收支紀錄'!I""&amp;TO_TEXT(ROW()-$C$72))"),"")</f>
        <v/>
      </c>
      <c r="J1808" s="61" t="str">
        <f>IFERROR(__xludf.DUMMYFUNCTION("INDIRECT(""'收支紀錄'!J""&amp;TO_TEXT(ROW()-$C$72))"),"")</f>
        <v/>
      </c>
      <c r="K1808" s="61" t="str">
        <f>IFERROR(__xludf.DUMMYFUNCTION("INDIRECT(""'收支紀錄'!K""&amp;TO_TEXT(ROW()-$C$72))"),"")</f>
        <v/>
      </c>
      <c r="L1808" s="61" t="str">
        <f>IFERROR(__xludf.DUMMYFUNCTION("INDIRECT(""'收支紀錄'!L""&amp;TO_TEXT(ROW()-$C$72))"),"")</f>
        <v/>
      </c>
      <c r="M1808" s="61" t="str">
        <f>IFERROR(__xludf.DUMMYFUNCTION("INDIRECT(""'收支紀錄'!M""&amp;TO_TEXT(ROW()-$C$72))"),"")</f>
        <v/>
      </c>
      <c r="N1808" s="61" t="str">
        <f>IFERROR(__xludf.DUMMYFUNCTION("INDIRECT(""'收支紀錄'!N""&amp;TO_TEXT(ROW()-$C$72))"),"")</f>
        <v/>
      </c>
      <c r="O1808" s="61" t="str">
        <f>IFERROR(__xludf.DUMMYFUNCTION("INDIRECT(""'收支紀錄'!O""&amp;TO_TEXT(ROW()-$C$72))"),"")</f>
        <v/>
      </c>
      <c r="P1808" s="61" t="str">
        <f>IFERROR(__xludf.DUMMYFUNCTION("INDIRECT(""'收支紀錄'!P""&amp;TO_TEXT(ROW()-$C$72))"),"")</f>
        <v/>
      </c>
      <c r="Q1808" s="61" t="str">
        <f>IFERROR(__xludf.DUMMYFUNCTION("INDIRECT(""'收支紀錄'!Q""&amp;TO_TEXT(ROW()-$C$72))"),"")</f>
        <v/>
      </c>
      <c r="R1808" s="61" t="str">
        <f>IFERROR(__xludf.DUMMYFUNCTION("INDIRECT(""'收支紀錄'!R""&amp;TO_TEXT(ROW()-$C$72))"),"")</f>
        <v/>
      </c>
      <c r="S1808" s="61" t="str">
        <f>IFERROR(__xludf.DUMMYFUNCTION("INDIRECT(""'收支紀錄'!S""&amp;TO_TEXT(ROW()-$C$72))"),"")</f>
        <v/>
      </c>
      <c r="T1808" s="61" t="str">
        <f>IFERROR(__xludf.DUMMYFUNCTION("INDIRECT(""'收支紀錄'!T""&amp;TO_TEXT(ROW()-$C$72))"),"")</f>
        <v/>
      </c>
      <c r="U1808" s="62" t="str">
        <f>IFERROR(__xludf.DUMMYFUNCTION("IF(T1808=""是"",TEXTJOIN("""", TRUE, ""$"", TO_TEXT(C1808), S1808),"""")"),"")</f>
        <v/>
      </c>
    </row>
    <row r="1809">
      <c r="A1809" s="58" t="str">
        <f>IFERROR(__xludf.DUMMYFUNCTION("INDIRECT(""'收支紀錄'!A""&amp;TO_TEXT(ROW()-$C$72))"),"")</f>
        <v/>
      </c>
      <c r="B1809" s="59" t="str">
        <f>IFERROR(__xludf.DUMMYFUNCTION("IF(ISBLANK(D1809), """", IF(ISDATE(D1809), D1809, IF(D1809=""今天"", A1809, IF(D1809=""昨天 (-1 day)"", A1809-1, IF(D1809=""前天 (-2 days)"", A1809-2, IF(D1809=""明天 (+1 day)"", A1809+1, DATE(LEFT(D1809,4), MID(D1809,5,2), RIGHT(D1809,2))))))))"),"")</f>
        <v/>
      </c>
      <c r="C1809" s="60" t="str">
        <f>IFERROR(__xludf.DUMMYFUNCTION("INDIRECT(""'收支紀錄'!C""&amp;TO_TEXT(ROW()-$C$72))"),"")</f>
        <v/>
      </c>
      <c r="D1809" s="63" t="str">
        <f>IFERROR(__xludf.DUMMYFUNCTION("INDIRECT(""'收支紀錄'!D""&amp;TO_TEXT(ROW()-$C$72))"),"")</f>
        <v/>
      </c>
      <c r="E1809" s="61" t="str">
        <f>IFERROR(__xludf.DUMMYFUNCTION("INDIRECT(""'收支紀錄'!E""&amp;TO_TEXT(ROW()-$C$72))"),"")</f>
        <v/>
      </c>
      <c r="F1809" s="61" t="str">
        <f>IFERROR(__xludf.DUMMYFUNCTION("INDIRECT(""'收支紀錄'!F""&amp;TO_TEXT(ROW()-$C$72))"),"")</f>
        <v/>
      </c>
      <c r="G1809" s="61" t="str">
        <f>IFERROR(__xludf.DUMMYFUNCTION("INDIRECT(""'收支紀錄'!G""&amp;TO_TEXT(ROW()-$C$72))"),"")</f>
        <v/>
      </c>
      <c r="H1809" s="61" t="str">
        <f>IFERROR(__xludf.DUMMYFUNCTION("INDIRECT(""'收支紀錄'!H""&amp;TO_TEXT(ROW()-$C$72))"),"")</f>
        <v/>
      </c>
      <c r="I1809" s="61" t="str">
        <f>IFERROR(__xludf.DUMMYFUNCTION("INDIRECT(""'收支紀錄'!I""&amp;TO_TEXT(ROW()-$C$72))"),"")</f>
        <v/>
      </c>
      <c r="J1809" s="61" t="str">
        <f>IFERROR(__xludf.DUMMYFUNCTION("INDIRECT(""'收支紀錄'!J""&amp;TO_TEXT(ROW()-$C$72))"),"")</f>
        <v/>
      </c>
      <c r="K1809" s="61" t="str">
        <f>IFERROR(__xludf.DUMMYFUNCTION("INDIRECT(""'收支紀錄'!K""&amp;TO_TEXT(ROW()-$C$72))"),"")</f>
        <v/>
      </c>
      <c r="L1809" s="61" t="str">
        <f>IFERROR(__xludf.DUMMYFUNCTION("INDIRECT(""'收支紀錄'!L""&amp;TO_TEXT(ROW()-$C$72))"),"")</f>
        <v/>
      </c>
      <c r="M1809" s="61" t="str">
        <f>IFERROR(__xludf.DUMMYFUNCTION("INDIRECT(""'收支紀錄'!M""&amp;TO_TEXT(ROW()-$C$72))"),"")</f>
        <v/>
      </c>
      <c r="N1809" s="61" t="str">
        <f>IFERROR(__xludf.DUMMYFUNCTION("INDIRECT(""'收支紀錄'!N""&amp;TO_TEXT(ROW()-$C$72))"),"")</f>
        <v/>
      </c>
      <c r="O1809" s="61" t="str">
        <f>IFERROR(__xludf.DUMMYFUNCTION("INDIRECT(""'收支紀錄'!O""&amp;TO_TEXT(ROW()-$C$72))"),"")</f>
        <v/>
      </c>
      <c r="P1809" s="61" t="str">
        <f>IFERROR(__xludf.DUMMYFUNCTION("INDIRECT(""'收支紀錄'!P""&amp;TO_TEXT(ROW()-$C$72))"),"")</f>
        <v/>
      </c>
      <c r="Q1809" s="61" t="str">
        <f>IFERROR(__xludf.DUMMYFUNCTION("INDIRECT(""'收支紀錄'!Q""&amp;TO_TEXT(ROW()-$C$72))"),"")</f>
        <v/>
      </c>
      <c r="R1809" s="61" t="str">
        <f>IFERROR(__xludf.DUMMYFUNCTION("INDIRECT(""'收支紀錄'!R""&amp;TO_TEXT(ROW()-$C$72))"),"")</f>
        <v/>
      </c>
      <c r="S1809" s="61" t="str">
        <f>IFERROR(__xludf.DUMMYFUNCTION("INDIRECT(""'收支紀錄'!S""&amp;TO_TEXT(ROW()-$C$72))"),"")</f>
        <v/>
      </c>
      <c r="T1809" s="61" t="str">
        <f>IFERROR(__xludf.DUMMYFUNCTION("INDIRECT(""'收支紀錄'!T""&amp;TO_TEXT(ROW()-$C$72))"),"")</f>
        <v/>
      </c>
      <c r="U1809" s="62" t="str">
        <f>IFERROR(__xludf.DUMMYFUNCTION("IF(T1809=""是"",TEXTJOIN("""", TRUE, ""$"", TO_TEXT(C1809), S1809),"""")"),"")</f>
        <v/>
      </c>
    </row>
    <row r="1810">
      <c r="A1810" s="58" t="str">
        <f>IFERROR(__xludf.DUMMYFUNCTION("INDIRECT(""'收支紀錄'!A""&amp;TO_TEXT(ROW()-$C$72))"),"")</f>
        <v/>
      </c>
      <c r="B1810" s="59" t="str">
        <f>IFERROR(__xludf.DUMMYFUNCTION("IF(ISBLANK(D1810), """", IF(ISDATE(D1810), D1810, IF(D1810=""今天"", A1810, IF(D1810=""昨天 (-1 day)"", A1810-1, IF(D1810=""前天 (-2 days)"", A1810-2, IF(D1810=""明天 (+1 day)"", A1810+1, DATE(LEFT(D1810,4), MID(D1810,5,2), RIGHT(D1810,2))))))))"),"")</f>
        <v/>
      </c>
      <c r="C1810" s="60" t="str">
        <f>IFERROR(__xludf.DUMMYFUNCTION("INDIRECT(""'收支紀錄'!C""&amp;TO_TEXT(ROW()-$C$72))"),"")</f>
        <v/>
      </c>
      <c r="D1810" s="63" t="str">
        <f>IFERROR(__xludf.DUMMYFUNCTION("INDIRECT(""'收支紀錄'!D""&amp;TO_TEXT(ROW()-$C$72))"),"")</f>
        <v/>
      </c>
      <c r="E1810" s="61" t="str">
        <f>IFERROR(__xludf.DUMMYFUNCTION("INDIRECT(""'收支紀錄'!E""&amp;TO_TEXT(ROW()-$C$72))"),"")</f>
        <v/>
      </c>
      <c r="F1810" s="61" t="str">
        <f>IFERROR(__xludf.DUMMYFUNCTION("INDIRECT(""'收支紀錄'!F""&amp;TO_TEXT(ROW()-$C$72))"),"")</f>
        <v/>
      </c>
      <c r="G1810" s="61" t="str">
        <f>IFERROR(__xludf.DUMMYFUNCTION("INDIRECT(""'收支紀錄'!G""&amp;TO_TEXT(ROW()-$C$72))"),"")</f>
        <v/>
      </c>
      <c r="H1810" s="61" t="str">
        <f>IFERROR(__xludf.DUMMYFUNCTION("INDIRECT(""'收支紀錄'!H""&amp;TO_TEXT(ROW()-$C$72))"),"")</f>
        <v/>
      </c>
      <c r="I1810" s="61" t="str">
        <f>IFERROR(__xludf.DUMMYFUNCTION("INDIRECT(""'收支紀錄'!I""&amp;TO_TEXT(ROW()-$C$72))"),"")</f>
        <v/>
      </c>
      <c r="J1810" s="61" t="str">
        <f>IFERROR(__xludf.DUMMYFUNCTION("INDIRECT(""'收支紀錄'!J""&amp;TO_TEXT(ROW()-$C$72))"),"")</f>
        <v/>
      </c>
      <c r="K1810" s="61" t="str">
        <f>IFERROR(__xludf.DUMMYFUNCTION("INDIRECT(""'收支紀錄'!K""&amp;TO_TEXT(ROW()-$C$72))"),"")</f>
        <v/>
      </c>
      <c r="L1810" s="61" t="str">
        <f>IFERROR(__xludf.DUMMYFUNCTION("INDIRECT(""'收支紀錄'!L""&amp;TO_TEXT(ROW()-$C$72))"),"")</f>
        <v/>
      </c>
      <c r="M1810" s="61" t="str">
        <f>IFERROR(__xludf.DUMMYFUNCTION("INDIRECT(""'收支紀錄'!M""&amp;TO_TEXT(ROW()-$C$72))"),"")</f>
        <v/>
      </c>
      <c r="N1810" s="61" t="str">
        <f>IFERROR(__xludf.DUMMYFUNCTION("INDIRECT(""'收支紀錄'!N""&amp;TO_TEXT(ROW()-$C$72))"),"")</f>
        <v/>
      </c>
      <c r="O1810" s="61" t="str">
        <f>IFERROR(__xludf.DUMMYFUNCTION("INDIRECT(""'收支紀錄'!O""&amp;TO_TEXT(ROW()-$C$72))"),"")</f>
        <v/>
      </c>
      <c r="P1810" s="61" t="str">
        <f>IFERROR(__xludf.DUMMYFUNCTION("INDIRECT(""'收支紀錄'!P""&amp;TO_TEXT(ROW()-$C$72))"),"")</f>
        <v/>
      </c>
      <c r="Q1810" s="61" t="str">
        <f>IFERROR(__xludf.DUMMYFUNCTION("INDIRECT(""'收支紀錄'!Q""&amp;TO_TEXT(ROW()-$C$72))"),"")</f>
        <v/>
      </c>
      <c r="R1810" s="61" t="str">
        <f>IFERROR(__xludf.DUMMYFUNCTION("INDIRECT(""'收支紀錄'!R""&amp;TO_TEXT(ROW()-$C$72))"),"")</f>
        <v/>
      </c>
      <c r="S1810" s="61" t="str">
        <f>IFERROR(__xludf.DUMMYFUNCTION("INDIRECT(""'收支紀錄'!S""&amp;TO_TEXT(ROW()-$C$72))"),"")</f>
        <v/>
      </c>
      <c r="T1810" s="61" t="str">
        <f>IFERROR(__xludf.DUMMYFUNCTION("INDIRECT(""'收支紀錄'!T""&amp;TO_TEXT(ROW()-$C$72))"),"")</f>
        <v/>
      </c>
      <c r="U1810" s="62" t="str">
        <f>IFERROR(__xludf.DUMMYFUNCTION("IF(T1810=""是"",TEXTJOIN("""", TRUE, ""$"", TO_TEXT(C1810), S1810),"""")"),"")</f>
        <v/>
      </c>
    </row>
    <row r="1811">
      <c r="A1811" s="58" t="str">
        <f>IFERROR(__xludf.DUMMYFUNCTION("INDIRECT(""'收支紀錄'!A""&amp;TO_TEXT(ROW()-$C$72))"),"")</f>
        <v/>
      </c>
      <c r="B1811" s="59" t="str">
        <f>IFERROR(__xludf.DUMMYFUNCTION("IF(ISBLANK(D1811), """", IF(ISDATE(D1811), D1811, IF(D1811=""今天"", A1811, IF(D1811=""昨天 (-1 day)"", A1811-1, IF(D1811=""前天 (-2 days)"", A1811-2, IF(D1811=""明天 (+1 day)"", A1811+1, DATE(LEFT(D1811,4), MID(D1811,5,2), RIGHT(D1811,2))))))))"),"")</f>
        <v/>
      </c>
      <c r="C1811" s="60" t="str">
        <f>IFERROR(__xludf.DUMMYFUNCTION("INDIRECT(""'收支紀錄'!C""&amp;TO_TEXT(ROW()-$C$72))"),"")</f>
        <v/>
      </c>
      <c r="D1811" s="63" t="str">
        <f>IFERROR(__xludf.DUMMYFUNCTION("INDIRECT(""'收支紀錄'!D""&amp;TO_TEXT(ROW()-$C$72))"),"")</f>
        <v/>
      </c>
      <c r="E1811" s="61" t="str">
        <f>IFERROR(__xludf.DUMMYFUNCTION("INDIRECT(""'收支紀錄'!E""&amp;TO_TEXT(ROW()-$C$72))"),"")</f>
        <v/>
      </c>
      <c r="F1811" s="61" t="str">
        <f>IFERROR(__xludf.DUMMYFUNCTION("INDIRECT(""'收支紀錄'!F""&amp;TO_TEXT(ROW()-$C$72))"),"")</f>
        <v/>
      </c>
      <c r="G1811" s="61" t="str">
        <f>IFERROR(__xludf.DUMMYFUNCTION("INDIRECT(""'收支紀錄'!G""&amp;TO_TEXT(ROW()-$C$72))"),"")</f>
        <v/>
      </c>
      <c r="H1811" s="61" t="str">
        <f>IFERROR(__xludf.DUMMYFUNCTION("INDIRECT(""'收支紀錄'!H""&amp;TO_TEXT(ROW()-$C$72))"),"")</f>
        <v/>
      </c>
      <c r="I1811" s="61" t="str">
        <f>IFERROR(__xludf.DUMMYFUNCTION("INDIRECT(""'收支紀錄'!I""&amp;TO_TEXT(ROW()-$C$72))"),"")</f>
        <v/>
      </c>
      <c r="J1811" s="61" t="str">
        <f>IFERROR(__xludf.DUMMYFUNCTION("INDIRECT(""'收支紀錄'!J""&amp;TO_TEXT(ROW()-$C$72))"),"")</f>
        <v/>
      </c>
      <c r="K1811" s="61" t="str">
        <f>IFERROR(__xludf.DUMMYFUNCTION("INDIRECT(""'收支紀錄'!K""&amp;TO_TEXT(ROW()-$C$72))"),"")</f>
        <v/>
      </c>
      <c r="L1811" s="61" t="str">
        <f>IFERROR(__xludf.DUMMYFUNCTION("INDIRECT(""'收支紀錄'!L""&amp;TO_TEXT(ROW()-$C$72))"),"")</f>
        <v/>
      </c>
      <c r="M1811" s="61" t="str">
        <f>IFERROR(__xludf.DUMMYFUNCTION("INDIRECT(""'收支紀錄'!M""&amp;TO_TEXT(ROW()-$C$72))"),"")</f>
        <v/>
      </c>
      <c r="N1811" s="61" t="str">
        <f>IFERROR(__xludf.DUMMYFUNCTION("INDIRECT(""'收支紀錄'!N""&amp;TO_TEXT(ROW()-$C$72))"),"")</f>
        <v/>
      </c>
      <c r="O1811" s="61" t="str">
        <f>IFERROR(__xludf.DUMMYFUNCTION("INDIRECT(""'收支紀錄'!O""&amp;TO_TEXT(ROW()-$C$72))"),"")</f>
        <v/>
      </c>
      <c r="P1811" s="61" t="str">
        <f>IFERROR(__xludf.DUMMYFUNCTION("INDIRECT(""'收支紀錄'!P""&amp;TO_TEXT(ROW()-$C$72))"),"")</f>
        <v/>
      </c>
      <c r="Q1811" s="61" t="str">
        <f>IFERROR(__xludf.DUMMYFUNCTION("INDIRECT(""'收支紀錄'!Q""&amp;TO_TEXT(ROW()-$C$72))"),"")</f>
        <v/>
      </c>
      <c r="R1811" s="61" t="str">
        <f>IFERROR(__xludf.DUMMYFUNCTION("INDIRECT(""'收支紀錄'!R""&amp;TO_TEXT(ROW()-$C$72))"),"")</f>
        <v/>
      </c>
      <c r="S1811" s="61" t="str">
        <f>IFERROR(__xludf.DUMMYFUNCTION("INDIRECT(""'收支紀錄'!S""&amp;TO_TEXT(ROW()-$C$72))"),"")</f>
        <v/>
      </c>
      <c r="T1811" s="61" t="str">
        <f>IFERROR(__xludf.DUMMYFUNCTION("INDIRECT(""'收支紀錄'!T""&amp;TO_TEXT(ROW()-$C$72))"),"")</f>
        <v/>
      </c>
      <c r="U1811" s="62" t="str">
        <f>IFERROR(__xludf.DUMMYFUNCTION("IF(T1811=""是"",TEXTJOIN("""", TRUE, ""$"", TO_TEXT(C1811), S1811),"""")"),"")</f>
        <v/>
      </c>
    </row>
    <row r="1812">
      <c r="A1812" s="58" t="str">
        <f>IFERROR(__xludf.DUMMYFUNCTION("INDIRECT(""'收支紀錄'!A""&amp;TO_TEXT(ROW()-$C$72))"),"")</f>
        <v/>
      </c>
      <c r="B1812" s="59" t="str">
        <f>IFERROR(__xludf.DUMMYFUNCTION("IF(ISBLANK(D1812), """", IF(ISDATE(D1812), D1812, IF(D1812=""今天"", A1812, IF(D1812=""昨天 (-1 day)"", A1812-1, IF(D1812=""前天 (-2 days)"", A1812-2, IF(D1812=""明天 (+1 day)"", A1812+1, DATE(LEFT(D1812,4), MID(D1812,5,2), RIGHT(D1812,2))))))))"),"")</f>
        <v/>
      </c>
      <c r="C1812" s="60" t="str">
        <f>IFERROR(__xludf.DUMMYFUNCTION("INDIRECT(""'收支紀錄'!C""&amp;TO_TEXT(ROW()-$C$72))"),"")</f>
        <v/>
      </c>
      <c r="D1812" s="63" t="str">
        <f>IFERROR(__xludf.DUMMYFUNCTION("INDIRECT(""'收支紀錄'!D""&amp;TO_TEXT(ROW()-$C$72))"),"")</f>
        <v/>
      </c>
      <c r="E1812" s="61" t="str">
        <f>IFERROR(__xludf.DUMMYFUNCTION("INDIRECT(""'收支紀錄'!E""&amp;TO_TEXT(ROW()-$C$72))"),"")</f>
        <v/>
      </c>
      <c r="F1812" s="61" t="str">
        <f>IFERROR(__xludf.DUMMYFUNCTION("INDIRECT(""'收支紀錄'!F""&amp;TO_TEXT(ROW()-$C$72))"),"")</f>
        <v/>
      </c>
      <c r="G1812" s="61" t="str">
        <f>IFERROR(__xludf.DUMMYFUNCTION("INDIRECT(""'收支紀錄'!G""&amp;TO_TEXT(ROW()-$C$72))"),"")</f>
        <v/>
      </c>
      <c r="H1812" s="61" t="str">
        <f>IFERROR(__xludf.DUMMYFUNCTION("INDIRECT(""'收支紀錄'!H""&amp;TO_TEXT(ROW()-$C$72))"),"")</f>
        <v/>
      </c>
      <c r="I1812" s="61" t="str">
        <f>IFERROR(__xludf.DUMMYFUNCTION("INDIRECT(""'收支紀錄'!I""&amp;TO_TEXT(ROW()-$C$72))"),"")</f>
        <v/>
      </c>
      <c r="J1812" s="61" t="str">
        <f>IFERROR(__xludf.DUMMYFUNCTION("INDIRECT(""'收支紀錄'!J""&amp;TO_TEXT(ROW()-$C$72))"),"")</f>
        <v/>
      </c>
      <c r="K1812" s="61" t="str">
        <f>IFERROR(__xludf.DUMMYFUNCTION("INDIRECT(""'收支紀錄'!K""&amp;TO_TEXT(ROW()-$C$72))"),"")</f>
        <v/>
      </c>
      <c r="L1812" s="61" t="str">
        <f>IFERROR(__xludf.DUMMYFUNCTION("INDIRECT(""'收支紀錄'!L""&amp;TO_TEXT(ROW()-$C$72))"),"")</f>
        <v/>
      </c>
      <c r="M1812" s="61" t="str">
        <f>IFERROR(__xludf.DUMMYFUNCTION("INDIRECT(""'收支紀錄'!M""&amp;TO_TEXT(ROW()-$C$72))"),"")</f>
        <v/>
      </c>
      <c r="N1812" s="61" t="str">
        <f>IFERROR(__xludf.DUMMYFUNCTION("INDIRECT(""'收支紀錄'!N""&amp;TO_TEXT(ROW()-$C$72))"),"")</f>
        <v/>
      </c>
      <c r="O1812" s="61" t="str">
        <f>IFERROR(__xludf.DUMMYFUNCTION("INDIRECT(""'收支紀錄'!O""&amp;TO_TEXT(ROW()-$C$72))"),"")</f>
        <v/>
      </c>
      <c r="P1812" s="61" t="str">
        <f>IFERROR(__xludf.DUMMYFUNCTION("INDIRECT(""'收支紀錄'!P""&amp;TO_TEXT(ROW()-$C$72))"),"")</f>
        <v/>
      </c>
      <c r="Q1812" s="61" t="str">
        <f>IFERROR(__xludf.DUMMYFUNCTION("INDIRECT(""'收支紀錄'!Q""&amp;TO_TEXT(ROW()-$C$72))"),"")</f>
        <v/>
      </c>
      <c r="R1812" s="61" t="str">
        <f>IFERROR(__xludf.DUMMYFUNCTION("INDIRECT(""'收支紀錄'!R""&amp;TO_TEXT(ROW()-$C$72))"),"")</f>
        <v/>
      </c>
      <c r="S1812" s="61" t="str">
        <f>IFERROR(__xludf.DUMMYFUNCTION("INDIRECT(""'收支紀錄'!S""&amp;TO_TEXT(ROW()-$C$72))"),"")</f>
        <v/>
      </c>
      <c r="T1812" s="61" t="str">
        <f>IFERROR(__xludf.DUMMYFUNCTION("INDIRECT(""'收支紀錄'!T""&amp;TO_TEXT(ROW()-$C$72))"),"")</f>
        <v/>
      </c>
      <c r="U1812" s="62" t="str">
        <f>IFERROR(__xludf.DUMMYFUNCTION("IF(T1812=""是"",TEXTJOIN("""", TRUE, ""$"", TO_TEXT(C1812), S1812),"""")"),"")</f>
        <v/>
      </c>
    </row>
    <row r="1813">
      <c r="A1813" s="58" t="str">
        <f>IFERROR(__xludf.DUMMYFUNCTION("INDIRECT(""'收支紀錄'!A""&amp;TO_TEXT(ROW()-$C$72))"),"")</f>
        <v/>
      </c>
      <c r="B1813" s="59" t="str">
        <f>IFERROR(__xludf.DUMMYFUNCTION("IF(ISBLANK(D1813), """", IF(ISDATE(D1813), D1813, IF(D1813=""今天"", A1813, IF(D1813=""昨天 (-1 day)"", A1813-1, IF(D1813=""前天 (-2 days)"", A1813-2, IF(D1813=""明天 (+1 day)"", A1813+1, DATE(LEFT(D1813,4), MID(D1813,5,2), RIGHT(D1813,2))))))))"),"")</f>
        <v/>
      </c>
      <c r="C1813" s="60" t="str">
        <f>IFERROR(__xludf.DUMMYFUNCTION("INDIRECT(""'收支紀錄'!C""&amp;TO_TEXT(ROW()-$C$72))"),"")</f>
        <v/>
      </c>
      <c r="D1813" s="63" t="str">
        <f>IFERROR(__xludf.DUMMYFUNCTION("INDIRECT(""'收支紀錄'!D""&amp;TO_TEXT(ROW()-$C$72))"),"")</f>
        <v/>
      </c>
      <c r="E1813" s="61" t="str">
        <f>IFERROR(__xludf.DUMMYFUNCTION("INDIRECT(""'收支紀錄'!E""&amp;TO_TEXT(ROW()-$C$72))"),"")</f>
        <v/>
      </c>
      <c r="F1813" s="61" t="str">
        <f>IFERROR(__xludf.DUMMYFUNCTION("INDIRECT(""'收支紀錄'!F""&amp;TO_TEXT(ROW()-$C$72))"),"")</f>
        <v/>
      </c>
      <c r="G1813" s="61" t="str">
        <f>IFERROR(__xludf.DUMMYFUNCTION("INDIRECT(""'收支紀錄'!G""&amp;TO_TEXT(ROW()-$C$72))"),"")</f>
        <v/>
      </c>
      <c r="H1813" s="61" t="str">
        <f>IFERROR(__xludf.DUMMYFUNCTION("INDIRECT(""'收支紀錄'!H""&amp;TO_TEXT(ROW()-$C$72))"),"")</f>
        <v/>
      </c>
      <c r="I1813" s="61" t="str">
        <f>IFERROR(__xludf.DUMMYFUNCTION("INDIRECT(""'收支紀錄'!I""&amp;TO_TEXT(ROW()-$C$72))"),"")</f>
        <v/>
      </c>
      <c r="J1813" s="61" t="str">
        <f>IFERROR(__xludf.DUMMYFUNCTION("INDIRECT(""'收支紀錄'!J""&amp;TO_TEXT(ROW()-$C$72))"),"")</f>
        <v/>
      </c>
      <c r="K1813" s="61" t="str">
        <f>IFERROR(__xludf.DUMMYFUNCTION("INDIRECT(""'收支紀錄'!K""&amp;TO_TEXT(ROW()-$C$72))"),"")</f>
        <v/>
      </c>
      <c r="L1813" s="61" t="str">
        <f>IFERROR(__xludf.DUMMYFUNCTION("INDIRECT(""'收支紀錄'!L""&amp;TO_TEXT(ROW()-$C$72))"),"")</f>
        <v/>
      </c>
      <c r="M1813" s="61" t="str">
        <f>IFERROR(__xludf.DUMMYFUNCTION("INDIRECT(""'收支紀錄'!M""&amp;TO_TEXT(ROW()-$C$72))"),"")</f>
        <v/>
      </c>
      <c r="N1813" s="61" t="str">
        <f>IFERROR(__xludf.DUMMYFUNCTION("INDIRECT(""'收支紀錄'!N""&amp;TO_TEXT(ROW()-$C$72))"),"")</f>
        <v/>
      </c>
      <c r="O1813" s="61" t="str">
        <f>IFERROR(__xludf.DUMMYFUNCTION("INDIRECT(""'收支紀錄'!O""&amp;TO_TEXT(ROW()-$C$72))"),"")</f>
        <v/>
      </c>
      <c r="P1813" s="61" t="str">
        <f>IFERROR(__xludf.DUMMYFUNCTION("INDIRECT(""'收支紀錄'!P""&amp;TO_TEXT(ROW()-$C$72))"),"")</f>
        <v/>
      </c>
      <c r="Q1813" s="61" t="str">
        <f>IFERROR(__xludf.DUMMYFUNCTION("INDIRECT(""'收支紀錄'!Q""&amp;TO_TEXT(ROW()-$C$72))"),"")</f>
        <v/>
      </c>
      <c r="R1813" s="61" t="str">
        <f>IFERROR(__xludf.DUMMYFUNCTION("INDIRECT(""'收支紀錄'!R""&amp;TO_TEXT(ROW()-$C$72))"),"")</f>
        <v/>
      </c>
      <c r="S1813" s="61" t="str">
        <f>IFERROR(__xludf.DUMMYFUNCTION("INDIRECT(""'收支紀錄'!S""&amp;TO_TEXT(ROW()-$C$72))"),"")</f>
        <v/>
      </c>
      <c r="T1813" s="61" t="str">
        <f>IFERROR(__xludf.DUMMYFUNCTION("INDIRECT(""'收支紀錄'!T""&amp;TO_TEXT(ROW()-$C$72))"),"")</f>
        <v/>
      </c>
      <c r="U1813" s="62" t="str">
        <f>IFERROR(__xludf.DUMMYFUNCTION("IF(T1813=""是"",TEXTJOIN("""", TRUE, ""$"", TO_TEXT(C1813), S1813),"""")"),"")</f>
        <v/>
      </c>
    </row>
    <row r="1814">
      <c r="A1814" s="58" t="str">
        <f>IFERROR(__xludf.DUMMYFUNCTION("INDIRECT(""'收支紀錄'!A""&amp;TO_TEXT(ROW()-$C$72))"),"")</f>
        <v/>
      </c>
      <c r="B1814" s="59" t="str">
        <f>IFERROR(__xludf.DUMMYFUNCTION("IF(ISBLANK(D1814), """", IF(ISDATE(D1814), D1814, IF(D1814=""今天"", A1814, IF(D1814=""昨天 (-1 day)"", A1814-1, IF(D1814=""前天 (-2 days)"", A1814-2, IF(D1814=""明天 (+1 day)"", A1814+1, DATE(LEFT(D1814,4), MID(D1814,5,2), RIGHT(D1814,2))))))))"),"")</f>
        <v/>
      </c>
      <c r="C1814" s="60" t="str">
        <f>IFERROR(__xludf.DUMMYFUNCTION("INDIRECT(""'收支紀錄'!C""&amp;TO_TEXT(ROW()-$C$72))"),"")</f>
        <v/>
      </c>
      <c r="D1814" s="63" t="str">
        <f>IFERROR(__xludf.DUMMYFUNCTION("INDIRECT(""'收支紀錄'!D""&amp;TO_TEXT(ROW()-$C$72))"),"")</f>
        <v/>
      </c>
      <c r="E1814" s="61" t="str">
        <f>IFERROR(__xludf.DUMMYFUNCTION("INDIRECT(""'收支紀錄'!E""&amp;TO_TEXT(ROW()-$C$72))"),"")</f>
        <v/>
      </c>
      <c r="F1814" s="61" t="str">
        <f>IFERROR(__xludf.DUMMYFUNCTION("INDIRECT(""'收支紀錄'!F""&amp;TO_TEXT(ROW()-$C$72))"),"")</f>
        <v/>
      </c>
      <c r="G1814" s="61" t="str">
        <f>IFERROR(__xludf.DUMMYFUNCTION("INDIRECT(""'收支紀錄'!G""&amp;TO_TEXT(ROW()-$C$72))"),"")</f>
        <v/>
      </c>
      <c r="H1814" s="61" t="str">
        <f>IFERROR(__xludf.DUMMYFUNCTION("INDIRECT(""'收支紀錄'!H""&amp;TO_TEXT(ROW()-$C$72))"),"")</f>
        <v/>
      </c>
      <c r="I1814" s="61" t="str">
        <f>IFERROR(__xludf.DUMMYFUNCTION("INDIRECT(""'收支紀錄'!I""&amp;TO_TEXT(ROW()-$C$72))"),"")</f>
        <v/>
      </c>
      <c r="J1814" s="61" t="str">
        <f>IFERROR(__xludf.DUMMYFUNCTION("INDIRECT(""'收支紀錄'!J""&amp;TO_TEXT(ROW()-$C$72))"),"")</f>
        <v/>
      </c>
      <c r="K1814" s="61" t="str">
        <f>IFERROR(__xludf.DUMMYFUNCTION("INDIRECT(""'收支紀錄'!K""&amp;TO_TEXT(ROW()-$C$72))"),"")</f>
        <v/>
      </c>
      <c r="L1814" s="61" t="str">
        <f>IFERROR(__xludf.DUMMYFUNCTION("INDIRECT(""'收支紀錄'!L""&amp;TO_TEXT(ROW()-$C$72))"),"")</f>
        <v/>
      </c>
      <c r="M1814" s="61" t="str">
        <f>IFERROR(__xludf.DUMMYFUNCTION("INDIRECT(""'收支紀錄'!M""&amp;TO_TEXT(ROW()-$C$72))"),"")</f>
        <v/>
      </c>
      <c r="N1814" s="61" t="str">
        <f>IFERROR(__xludf.DUMMYFUNCTION("INDIRECT(""'收支紀錄'!N""&amp;TO_TEXT(ROW()-$C$72))"),"")</f>
        <v/>
      </c>
      <c r="O1814" s="61" t="str">
        <f>IFERROR(__xludf.DUMMYFUNCTION("INDIRECT(""'收支紀錄'!O""&amp;TO_TEXT(ROW()-$C$72))"),"")</f>
        <v/>
      </c>
      <c r="P1814" s="61" t="str">
        <f>IFERROR(__xludf.DUMMYFUNCTION("INDIRECT(""'收支紀錄'!P""&amp;TO_TEXT(ROW()-$C$72))"),"")</f>
        <v/>
      </c>
      <c r="Q1814" s="61" t="str">
        <f>IFERROR(__xludf.DUMMYFUNCTION("INDIRECT(""'收支紀錄'!Q""&amp;TO_TEXT(ROW()-$C$72))"),"")</f>
        <v/>
      </c>
      <c r="R1814" s="61" t="str">
        <f>IFERROR(__xludf.DUMMYFUNCTION("INDIRECT(""'收支紀錄'!R""&amp;TO_TEXT(ROW()-$C$72))"),"")</f>
        <v/>
      </c>
      <c r="S1814" s="61" t="str">
        <f>IFERROR(__xludf.DUMMYFUNCTION("INDIRECT(""'收支紀錄'!S""&amp;TO_TEXT(ROW()-$C$72))"),"")</f>
        <v/>
      </c>
      <c r="T1814" s="61" t="str">
        <f>IFERROR(__xludf.DUMMYFUNCTION("INDIRECT(""'收支紀錄'!T""&amp;TO_TEXT(ROW()-$C$72))"),"")</f>
        <v/>
      </c>
      <c r="U1814" s="62" t="str">
        <f>IFERROR(__xludf.DUMMYFUNCTION("IF(T1814=""是"",TEXTJOIN("""", TRUE, ""$"", TO_TEXT(C1814), S1814),"""")"),"")</f>
        <v/>
      </c>
    </row>
    <row r="1815">
      <c r="A1815" s="58" t="str">
        <f>IFERROR(__xludf.DUMMYFUNCTION("INDIRECT(""'收支紀錄'!A""&amp;TO_TEXT(ROW()-$C$72))"),"")</f>
        <v/>
      </c>
      <c r="B1815" s="59" t="str">
        <f>IFERROR(__xludf.DUMMYFUNCTION("IF(ISBLANK(D1815), """", IF(ISDATE(D1815), D1815, IF(D1815=""今天"", A1815, IF(D1815=""昨天 (-1 day)"", A1815-1, IF(D1815=""前天 (-2 days)"", A1815-2, IF(D1815=""明天 (+1 day)"", A1815+1, DATE(LEFT(D1815,4), MID(D1815,5,2), RIGHT(D1815,2))))))))"),"")</f>
        <v/>
      </c>
      <c r="C1815" s="60" t="str">
        <f>IFERROR(__xludf.DUMMYFUNCTION("INDIRECT(""'收支紀錄'!C""&amp;TO_TEXT(ROW()-$C$72))"),"")</f>
        <v/>
      </c>
      <c r="D1815" s="63" t="str">
        <f>IFERROR(__xludf.DUMMYFUNCTION("INDIRECT(""'收支紀錄'!D""&amp;TO_TEXT(ROW()-$C$72))"),"")</f>
        <v/>
      </c>
      <c r="E1815" s="61" t="str">
        <f>IFERROR(__xludf.DUMMYFUNCTION("INDIRECT(""'收支紀錄'!E""&amp;TO_TEXT(ROW()-$C$72))"),"")</f>
        <v/>
      </c>
      <c r="F1815" s="61" t="str">
        <f>IFERROR(__xludf.DUMMYFUNCTION("INDIRECT(""'收支紀錄'!F""&amp;TO_TEXT(ROW()-$C$72))"),"")</f>
        <v/>
      </c>
      <c r="G1815" s="61" t="str">
        <f>IFERROR(__xludf.DUMMYFUNCTION("INDIRECT(""'收支紀錄'!G""&amp;TO_TEXT(ROW()-$C$72))"),"")</f>
        <v/>
      </c>
      <c r="H1815" s="61" t="str">
        <f>IFERROR(__xludf.DUMMYFUNCTION("INDIRECT(""'收支紀錄'!H""&amp;TO_TEXT(ROW()-$C$72))"),"")</f>
        <v/>
      </c>
      <c r="I1815" s="61" t="str">
        <f>IFERROR(__xludf.DUMMYFUNCTION("INDIRECT(""'收支紀錄'!I""&amp;TO_TEXT(ROW()-$C$72))"),"")</f>
        <v/>
      </c>
      <c r="J1815" s="61" t="str">
        <f>IFERROR(__xludf.DUMMYFUNCTION("INDIRECT(""'收支紀錄'!J""&amp;TO_TEXT(ROW()-$C$72))"),"")</f>
        <v/>
      </c>
      <c r="K1815" s="61" t="str">
        <f>IFERROR(__xludf.DUMMYFUNCTION("INDIRECT(""'收支紀錄'!K""&amp;TO_TEXT(ROW()-$C$72))"),"")</f>
        <v/>
      </c>
      <c r="L1815" s="61" t="str">
        <f>IFERROR(__xludf.DUMMYFUNCTION("INDIRECT(""'收支紀錄'!L""&amp;TO_TEXT(ROW()-$C$72))"),"")</f>
        <v/>
      </c>
      <c r="M1815" s="61" t="str">
        <f>IFERROR(__xludf.DUMMYFUNCTION("INDIRECT(""'收支紀錄'!M""&amp;TO_TEXT(ROW()-$C$72))"),"")</f>
        <v/>
      </c>
      <c r="N1815" s="61" t="str">
        <f>IFERROR(__xludf.DUMMYFUNCTION("INDIRECT(""'收支紀錄'!N""&amp;TO_TEXT(ROW()-$C$72))"),"")</f>
        <v/>
      </c>
      <c r="O1815" s="61" t="str">
        <f>IFERROR(__xludf.DUMMYFUNCTION("INDIRECT(""'收支紀錄'!O""&amp;TO_TEXT(ROW()-$C$72))"),"")</f>
        <v/>
      </c>
      <c r="P1815" s="61" t="str">
        <f>IFERROR(__xludf.DUMMYFUNCTION("INDIRECT(""'收支紀錄'!P""&amp;TO_TEXT(ROW()-$C$72))"),"")</f>
        <v/>
      </c>
      <c r="Q1815" s="61" t="str">
        <f>IFERROR(__xludf.DUMMYFUNCTION("INDIRECT(""'收支紀錄'!Q""&amp;TO_TEXT(ROW()-$C$72))"),"")</f>
        <v/>
      </c>
      <c r="R1815" s="61" t="str">
        <f>IFERROR(__xludf.DUMMYFUNCTION("INDIRECT(""'收支紀錄'!R""&amp;TO_TEXT(ROW()-$C$72))"),"")</f>
        <v/>
      </c>
      <c r="S1815" s="61" t="str">
        <f>IFERROR(__xludf.DUMMYFUNCTION("INDIRECT(""'收支紀錄'!S""&amp;TO_TEXT(ROW()-$C$72))"),"")</f>
        <v/>
      </c>
      <c r="T1815" s="61" t="str">
        <f>IFERROR(__xludf.DUMMYFUNCTION("INDIRECT(""'收支紀錄'!T""&amp;TO_TEXT(ROW()-$C$72))"),"")</f>
        <v/>
      </c>
      <c r="U1815" s="62" t="str">
        <f>IFERROR(__xludf.DUMMYFUNCTION("IF(T1815=""是"",TEXTJOIN("""", TRUE, ""$"", TO_TEXT(C1815), S1815),"""")"),"")</f>
        <v/>
      </c>
    </row>
    <row r="1816">
      <c r="A1816" s="58" t="str">
        <f>IFERROR(__xludf.DUMMYFUNCTION("INDIRECT(""'收支紀錄'!A""&amp;TO_TEXT(ROW()-$C$72))"),"")</f>
        <v/>
      </c>
      <c r="B1816" s="59" t="str">
        <f>IFERROR(__xludf.DUMMYFUNCTION("IF(ISBLANK(D1816), """", IF(ISDATE(D1816), D1816, IF(D1816=""今天"", A1816, IF(D1816=""昨天 (-1 day)"", A1816-1, IF(D1816=""前天 (-2 days)"", A1816-2, IF(D1816=""明天 (+1 day)"", A1816+1, DATE(LEFT(D1816,4), MID(D1816,5,2), RIGHT(D1816,2))))))))"),"")</f>
        <v/>
      </c>
      <c r="C1816" s="60" t="str">
        <f>IFERROR(__xludf.DUMMYFUNCTION("INDIRECT(""'收支紀錄'!C""&amp;TO_TEXT(ROW()-$C$72))"),"")</f>
        <v/>
      </c>
      <c r="D1816" s="63" t="str">
        <f>IFERROR(__xludf.DUMMYFUNCTION("INDIRECT(""'收支紀錄'!D""&amp;TO_TEXT(ROW()-$C$72))"),"")</f>
        <v/>
      </c>
      <c r="E1816" s="61" t="str">
        <f>IFERROR(__xludf.DUMMYFUNCTION("INDIRECT(""'收支紀錄'!E""&amp;TO_TEXT(ROW()-$C$72))"),"")</f>
        <v/>
      </c>
      <c r="F1816" s="61" t="str">
        <f>IFERROR(__xludf.DUMMYFUNCTION("INDIRECT(""'收支紀錄'!F""&amp;TO_TEXT(ROW()-$C$72))"),"")</f>
        <v/>
      </c>
      <c r="G1816" s="61" t="str">
        <f>IFERROR(__xludf.DUMMYFUNCTION("INDIRECT(""'收支紀錄'!G""&amp;TO_TEXT(ROW()-$C$72))"),"")</f>
        <v/>
      </c>
      <c r="H1816" s="61" t="str">
        <f>IFERROR(__xludf.DUMMYFUNCTION("INDIRECT(""'收支紀錄'!H""&amp;TO_TEXT(ROW()-$C$72))"),"")</f>
        <v/>
      </c>
      <c r="I1816" s="61" t="str">
        <f>IFERROR(__xludf.DUMMYFUNCTION("INDIRECT(""'收支紀錄'!I""&amp;TO_TEXT(ROW()-$C$72))"),"")</f>
        <v/>
      </c>
      <c r="J1816" s="61" t="str">
        <f>IFERROR(__xludf.DUMMYFUNCTION("INDIRECT(""'收支紀錄'!J""&amp;TO_TEXT(ROW()-$C$72))"),"")</f>
        <v/>
      </c>
      <c r="K1816" s="61" t="str">
        <f>IFERROR(__xludf.DUMMYFUNCTION("INDIRECT(""'收支紀錄'!K""&amp;TO_TEXT(ROW()-$C$72))"),"")</f>
        <v/>
      </c>
      <c r="L1816" s="61" t="str">
        <f>IFERROR(__xludf.DUMMYFUNCTION("INDIRECT(""'收支紀錄'!L""&amp;TO_TEXT(ROW()-$C$72))"),"")</f>
        <v/>
      </c>
      <c r="M1816" s="61" t="str">
        <f>IFERROR(__xludf.DUMMYFUNCTION("INDIRECT(""'收支紀錄'!M""&amp;TO_TEXT(ROW()-$C$72))"),"")</f>
        <v/>
      </c>
      <c r="N1816" s="61" t="str">
        <f>IFERROR(__xludf.DUMMYFUNCTION("INDIRECT(""'收支紀錄'!N""&amp;TO_TEXT(ROW()-$C$72))"),"")</f>
        <v/>
      </c>
      <c r="O1816" s="61" t="str">
        <f>IFERROR(__xludf.DUMMYFUNCTION("INDIRECT(""'收支紀錄'!O""&amp;TO_TEXT(ROW()-$C$72))"),"")</f>
        <v/>
      </c>
      <c r="P1816" s="61" t="str">
        <f>IFERROR(__xludf.DUMMYFUNCTION("INDIRECT(""'收支紀錄'!P""&amp;TO_TEXT(ROW()-$C$72))"),"")</f>
        <v/>
      </c>
      <c r="Q1816" s="61" t="str">
        <f>IFERROR(__xludf.DUMMYFUNCTION("INDIRECT(""'收支紀錄'!Q""&amp;TO_TEXT(ROW()-$C$72))"),"")</f>
        <v/>
      </c>
      <c r="R1816" s="61" t="str">
        <f>IFERROR(__xludf.DUMMYFUNCTION("INDIRECT(""'收支紀錄'!R""&amp;TO_TEXT(ROW()-$C$72))"),"")</f>
        <v/>
      </c>
      <c r="S1816" s="61" t="str">
        <f>IFERROR(__xludf.DUMMYFUNCTION("INDIRECT(""'收支紀錄'!S""&amp;TO_TEXT(ROW()-$C$72))"),"")</f>
        <v/>
      </c>
      <c r="T1816" s="61" t="str">
        <f>IFERROR(__xludf.DUMMYFUNCTION("INDIRECT(""'收支紀錄'!T""&amp;TO_TEXT(ROW()-$C$72))"),"")</f>
        <v/>
      </c>
      <c r="U1816" s="62" t="str">
        <f>IFERROR(__xludf.DUMMYFUNCTION("IF(T1816=""是"",TEXTJOIN("""", TRUE, ""$"", TO_TEXT(C1816), S1816),"""")"),"")</f>
        <v/>
      </c>
    </row>
    <row r="1817">
      <c r="A1817" s="58" t="str">
        <f>IFERROR(__xludf.DUMMYFUNCTION("INDIRECT(""'收支紀錄'!A""&amp;TO_TEXT(ROW()-$C$72))"),"")</f>
        <v/>
      </c>
      <c r="B1817" s="59" t="str">
        <f>IFERROR(__xludf.DUMMYFUNCTION("IF(ISBLANK(D1817), """", IF(ISDATE(D1817), D1817, IF(D1817=""今天"", A1817, IF(D1817=""昨天 (-1 day)"", A1817-1, IF(D1817=""前天 (-2 days)"", A1817-2, IF(D1817=""明天 (+1 day)"", A1817+1, DATE(LEFT(D1817,4), MID(D1817,5,2), RIGHT(D1817,2))))))))"),"")</f>
        <v/>
      </c>
      <c r="C1817" s="60" t="str">
        <f>IFERROR(__xludf.DUMMYFUNCTION("INDIRECT(""'收支紀錄'!C""&amp;TO_TEXT(ROW()-$C$72))"),"")</f>
        <v/>
      </c>
      <c r="D1817" s="63" t="str">
        <f>IFERROR(__xludf.DUMMYFUNCTION("INDIRECT(""'收支紀錄'!D""&amp;TO_TEXT(ROW()-$C$72))"),"")</f>
        <v/>
      </c>
      <c r="E1817" s="61" t="str">
        <f>IFERROR(__xludf.DUMMYFUNCTION("INDIRECT(""'收支紀錄'!E""&amp;TO_TEXT(ROW()-$C$72))"),"")</f>
        <v/>
      </c>
      <c r="F1817" s="61" t="str">
        <f>IFERROR(__xludf.DUMMYFUNCTION("INDIRECT(""'收支紀錄'!F""&amp;TO_TEXT(ROW()-$C$72))"),"")</f>
        <v/>
      </c>
      <c r="G1817" s="61" t="str">
        <f>IFERROR(__xludf.DUMMYFUNCTION("INDIRECT(""'收支紀錄'!G""&amp;TO_TEXT(ROW()-$C$72))"),"")</f>
        <v/>
      </c>
      <c r="H1817" s="61" t="str">
        <f>IFERROR(__xludf.DUMMYFUNCTION("INDIRECT(""'收支紀錄'!H""&amp;TO_TEXT(ROW()-$C$72))"),"")</f>
        <v/>
      </c>
      <c r="I1817" s="61" t="str">
        <f>IFERROR(__xludf.DUMMYFUNCTION("INDIRECT(""'收支紀錄'!I""&amp;TO_TEXT(ROW()-$C$72))"),"")</f>
        <v/>
      </c>
      <c r="J1817" s="61" t="str">
        <f>IFERROR(__xludf.DUMMYFUNCTION("INDIRECT(""'收支紀錄'!J""&amp;TO_TEXT(ROW()-$C$72))"),"")</f>
        <v/>
      </c>
      <c r="K1817" s="61" t="str">
        <f>IFERROR(__xludf.DUMMYFUNCTION("INDIRECT(""'收支紀錄'!K""&amp;TO_TEXT(ROW()-$C$72))"),"")</f>
        <v/>
      </c>
      <c r="L1817" s="61" t="str">
        <f>IFERROR(__xludf.DUMMYFUNCTION("INDIRECT(""'收支紀錄'!L""&amp;TO_TEXT(ROW()-$C$72))"),"")</f>
        <v/>
      </c>
      <c r="M1817" s="61" t="str">
        <f>IFERROR(__xludf.DUMMYFUNCTION("INDIRECT(""'收支紀錄'!M""&amp;TO_TEXT(ROW()-$C$72))"),"")</f>
        <v/>
      </c>
      <c r="N1817" s="61" t="str">
        <f>IFERROR(__xludf.DUMMYFUNCTION("INDIRECT(""'收支紀錄'!N""&amp;TO_TEXT(ROW()-$C$72))"),"")</f>
        <v/>
      </c>
      <c r="O1817" s="61" t="str">
        <f>IFERROR(__xludf.DUMMYFUNCTION("INDIRECT(""'收支紀錄'!O""&amp;TO_TEXT(ROW()-$C$72))"),"")</f>
        <v/>
      </c>
      <c r="P1817" s="61" t="str">
        <f>IFERROR(__xludf.DUMMYFUNCTION("INDIRECT(""'收支紀錄'!P""&amp;TO_TEXT(ROW()-$C$72))"),"")</f>
        <v/>
      </c>
      <c r="Q1817" s="61" t="str">
        <f>IFERROR(__xludf.DUMMYFUNCTION("INDIRECT(""'收支紀錄'!Q""&amp;TO_TEXT(ROW()-$C$72))"),"")</f>
        <v/>
      </c>
      <c r="R1817" s="61" t="str">
        <f>IFERROR(__xludf.DUMMYFUNCTION("INDIRECT(""'收支紀錄'!R""&amp;TO_TEXT(ROW()-$C$72))"),"")</f>
        <v/>
      </c>
      <c r="S1817" s="61" t="str">
        <f>IFERROR(__xludf.DUMMYFUNCTION("INDIRECT(""'收支紀錄'!S""&amp;TO_TEXT(ROW()-$C$72))"),"")</f>
        <v/>
      </c>
      <c r="T1817" s="61" t="str">
        <f>IFERROR(__xludf.DUMMYFUNCTION("INDIRECT(""'收支紀錄'!T""&amp;TO_TEXT(ROW()-$C$72))"),"")</f>
        <v/>
      </c>
      <c r="U1817" s="62" t="str">
        <f>IFERROR(__xludf.DUMMYFUNCTION("IF(T1817=""是"",TEXTJOIN("""", TRUE, ""$"", TO_TEXT(C1817), S1817),"""")"),"")</f>
        <v/>
      </c>
    </row>
    <row r="1818">
      <c r="A1818" s="58" t="str">
        <f>IFERROR(__xludf.DUMMYFUNCTION("INDIRECT(""'收支紀錄'!A""&amp;TO_TEXT(ROW()-$C$72))"),"")</f>
        <v/>
      </c>
      <c r="B1818" s="59" t="str">
        <f>IFERROR(__xludf.DUMMYFUNCTION("IF(ISBLANK(D1818), """", IF(ISDATE(D1818), D1818, IF(D1818=""今天"", A1818, IF(D1818=""昨天 (-1 day)"", A1818-1, IF(D1818=""前天 (-2 days)"", A1818-2, IF(D1818=""明天 (+1 day)"", A1818+1, DATE(LEFT(D1818,4), MID(D1818,5,2), RIGHT(D1818,2))))))))"),"")</f>
        <v/>
      </c>
      <c r="C1818" s="60" t="str">
        <f>IFERROR(__xludf.DUMMYFUNCTION("INDIRECT(""'收支紀錄'!C""&amp;TO_TEXT(ROW()-$C$72))"),"")</f>
        <v/>
      </c>
      <c r="D1818" s="63" t="str">
        <f>IFERROR(__xludf.DUMMYFUNCTION("INDIRECT(""'收支紀錄'!D""&amp;TO_TEXT(ROW()-$C$72))"),"")</f>
        <v/>
      </c>
      <c r="E1818" s="61" t="str">
        <f>IFERROR(__xludf.DUMMYFUNCTION("INDIRECT(""'收支紀錄'!E""&amp;TO_TEXT(ROW()-$C$72))"),"")</f>
        <v/>
      </c>
      <c r="F1818" s="61" t="str">
        <f>IFERROR(__xludf.DUMMYFUNCTION("INDIRECT(""'收支紀錄'!F""&amp;TO_TEXT(ROW()-$C$72))"),"")</f>
        <v/>
      </c>
      <c r="G1818" s="61" t="str">
        <f>IFERROR(__xludf.DUMMYFUNCTION("INDIRECT(""'收支紀錄'!G""&amp;TO_TEXT(ROW()-$C$72))"),"")</f>
        <v/>
      </c>
      <c r="H1818" s="61" t="str">
        <f>IFERROR(__xludf.DUMMYFUNCTION("INDIRECT(""'收支紀錄'!H""&amp;TO_TEXT(ROW()-$C$72))"),"")</f>
        <v/>
      </c>
      <c r="I1818" s="61" t="str">
        <f>IFERROR(__xludf.DUMMYFUNCTION("INDIRECT(""'收支紀錄'!I""&amp;TO_TEXT(ROW()-$C$72))"),"")</f>
        <v/>
      </c>
      <c r="J1818" s="61" t="str">
        <f>IFERROR(__xludf.DUMMYFUNCTION("INDIRECT(""'收支紀錄'!J""&amp;TO_TEXT(ROW()-$C$72))"),"")</f>
        <v/>
      </c>
      <c r="K1818" s="61" t="str">
        <f>IFERROR(__xludf.DUMMYFUNCTION("INDIRECT(""'收支紀錄'!K""&amp;TO_TEXT(ROW()-$C$72))"),"")</f>
        <v/>
      </c>
      <c r="L1818" s="61" t="str">
        <f>IFERROR(__xludf.DUMMYFUNCTION("INDIRECT(""'收支紀錄'!L""&amp;TO_TEXT(ROW()-$C$72))"),"")</f>
        <v/>
      </c>
      <c r="M1818" s="61" t="str">
        <f>IFERROR(__xludf.DUMMYFUNCTION("INDIRECT(""'收支紀錄'!M""&amp;TO_TEXT(ROW()-$C$72))"),"")</f>
        <v/>
      </c>
      <c r="N1818" s="61" t="str">
        <f>IFERROR(__xludf.DUMMYFUNCTION("INDIRECT(""'收支紀錄'!N""&amp;TO_TEXT(ROW()-$C$72))"),"")</f>
        <v/>
      </c>
      <c r="O1818" s="61" t="str">
        <f>IFERROR(__xludf.DUMMYFUNCTION("INDIRECT(""'收支紀錄'!O""&amp;TO_TEXT(ROW()-$C$72))"),"")</f>
        <v/>
      </c>
      <c r="P1818" s="61" t="str">
        <f>IFERROR(__xludf.DUMMYFUNCTION("INDIRECT(""'收支紀錄'!P""&amp;TO_TEXT(ROW()-$C$72))"),"")</f>
        <v/>
      </c>
      <c r="Q1818" s="61" t="str">
        <f>IFERROR(__xludf.DUMMYFUNCTION("INDIRECT(""'收支紀錄'!Q""&amp;TO_TEXT(ROW()-$C$72))"),"")</f>
        <v/>
      </c>
      <c r="R1818" s="61" t="str">
        <f>IFERROR(__xludf.DUMMYFUNCTION("INDIRECT(""'收支紀錄'!R""&amp;TO_TEXT(ROW()-$C$72))"),"")</f>
        <v/>
      </c>
      <c r="S1818" s="61" t="str">
        <f>IFERROR(__xludf.DUMMYFUNCTION("INDIRECT(""'收支紀錄'!S""&amp;TO_TEXT(ROW()-$C$72))"),"")</f>
        <v/>
      </c>
      <c r="T1818" s="61" t="str">
        <f>IFERROR(__xludf.DUMMYFUNCTION("INDIRECT(""'收支紀錄'!T""&amp;TO_TEXT(ROW()-$C$72))"),"")</f>
        <v/>
      </c>
      <c r="U1818" s="62" t="str">
        <f>IFERROR(__xludf.DUMMYFUNCTION("IF(T1818=""是"",TEXTJOIN("""", TRUE, ""$"", TO_TEXT(C1818), S1818),"""")"),"")</f>
        <v/>
      </c>
    </row>
    <row r="1819">
      <c r="A1819" s="58" t="str">
        <f>IFERROR(__xludf.DUMMYFUNCTION("INDIRECT(""'收支紀錄'!A""&amp;TO_TEXT(ROW()-$C$72))"),"")</f>
        <v/>
      </c>
      <c r="B1819" s="59" t="str">
        <f>IFERROR(__xludf.DUMMYFUNCTION("IF(ISBLANK(D1819), """", IF(ISDATE(D1819), D1819, IF(D1819=""今天"", A1819, IF(D1819=""昨天 (-1 day)"", A1819-1, IF(D1819=""前天 (-2 days)"", A1819-2, IF(D1819=""明天 (+1 day)"", A1819+1, DATE(LEFT(D1819,4), MID(D1819,5,2), RIGHT(D1819,2))))))))"),"")</f>
        <v/>
      </c>
      <c r="C1819" s="60" t="str">
        <f>IFERROR(__xludf.DUMMYFUNCTION("INDIRECT(""'收支紀錄'!C""&amp;TO_TEXT(ROW()-$C$72))"),"")</f>
        <v/>
      </c>
      <c r="D1819" s="63" t="str">
        <f>IFERROR(__xludf.DUMMYFUNCTION("INDIRECT(""'收支紀錄'!D""&amp;TO_TEXT(ROW()-$C$72))"),"")</f>
        <v/>
      </c>
      <c r="E1819" s="61" t="str">
        <f>IFERROR(__xludf.DUMMYFUNCTION("INDIRECT(""'收支紀錄'!E""&amp;TO_TEXT(ROW()-$C$72))"),"")</f>
        <v/>
      </c>
      <c r="F1819" s="61" t="str">
        <f>IFERROR(__xludf.DUMMYFUNCTION("INDIRECT(""'收支紀錄'!F""&amp;TO_TEXT(ROW()-$C$72))"),"")</f>
        <v/>
      </c>
      <c r="G1819" s="61" t="str">
        <f>IFERROR(__xludf.DUMMYFUNCTION("INDIRECT(""'收支紀錄'!G""&amp;TO_TEXT(ROW()-$C$72))"),"")</f>
        <v/>
      </c>
      <c r="H1819" s="61" t="str">
        <f>IFERROR(__xludf.DUMMYFUNCTION("INDIRECT(""'收支紀錄'!H""&amp;TO_TEXT(ROW()-$C$72))"),"")</f>
        <v/>
      </c>
      <c r="I1819" s="61" t="str">
        <f>IFERROR(__xludf.DUMMYFUNCTION("INDIRECT(""'收支紀錄'!I""&amp;TO_TEXT(ROW()-$C$72))"),"")</f>
        <v/>
      </c>
      <c r="J1819" s="61" t="str">
        <f>IFERROR(__xludf.DUMMYFUNCTION("INDIRECT(""'收支紀錄'!J""&amp;TO_TEXT(ROW()-$C$72))"),"")</f>
        <v/>
      </c>
      <c r="K1819" s="61" t="str">
        <f>IFERROR(__xludf.DUMMYFUNCTION("INDIRECT(""'收支紀錄'!K""&amp;TO_TEXT(ROW()-$C$72))"),"")</f>
        <v/>
      </c>
      <c r="L1819" s="61" t="str">
        <f>IFERROR(__xludf.DUMMYFUNCTION("INDIRECT(""'收支紀錄'!L""&amp;TO_TEXT(ROW()-$C$72))"),"")</f>
        <v/>
      </c>
      <c r="M1819" s="61" t="str">
        <f>IFERROR(__xludf.DUMMYFUNCTION("INDIRECT(""'收支紀錄'!M""&amp;TO_TEXT(ROW()-$C$72))"),"")</f>
        <v/>
      </c>
      <c r="N1819" s="61" t="str">
        <f>IFERROR(__xludf.DUMMYFUNCTION("INDIRECT(""'收支紀錄'!N""&amp;TO_TEXT(ROW()-$C$72))"),"")</f>
        <v/>
      </c>
      <c r="O1819" s="61" t="str">
        <f>IFERROR(__xludf.DUMMYFUNCTION("INDIRECT(""'收支紀錄'!O""&amp;TO_TEXT(ROW()-$C$72))"),"")</f>
        <v/>
      </c>
      <c r="P1819" s="61" t="str">
        <f>IFERROR(__xludf.DUMMYFUNCTION("INDIRECT(""'收支紀錄'!P""&amp;TO_TEXT(ROW()-$C$72))"),"")</f>
        <v/>
      </c>
      <c r="Q1819" s="61" t="str">
        <f>IFERROR(__xludf.DUMMYFUNCTION("INDIRECT(""'收支紀錄'!Q""&amp;TO_TEXT(ROW()-$C$72))"),"")</f>
        <v/>
      </c>
      <c r="R1819" s="61" t="str">
        <f>IFERROR(__xludf.DUMMYFUNCTION("INDIRECT(""'收支紀錄'!R""&amp;TO_TEXT(ROW()-$C$72))"),"")</f>
        <v/>
      </c>
      <c r="S1819" s="61" t="str">
        <f>IFERROR(__xludf.DUMMYFUNCTION("INDIRECT(""'收支紀錄'!S""&amp;TO_TEXT(ROW()-$C$72))"),"")</f>
        <v/>
      </c>
      <c r="T1819" s="61" t="str">
        <f>IFERROR(__xludf.DUMMYFUNCTION("INDIRECT(""'收支紀錄'!T""&amp;TO_TEXT(ROW()-$C$72))"),"")</f>
        <v/>
      </c>
      <c r="U1819" s="62" t="str">
        <f>IFERROR(__xludf.DUMMYFUNCTION("IF(T1819=""是"",TEXTJOIN("""", TRUE, ""$"", TO_TEXT(C1819), S1819),"""")"),"")</f>
        <v/>
      </c>
    </row>
    <row r="1820">
      <c r="A1820" s="58" t="str">
        <f>IFERROR(__xludf.DUMMYFUNCTION("INDIRECT(""'收支紀錄'!A""&amp;TO_TEXT(ROW()-$C$72))"),"")</f>
        <v/>
      </c>
      <c r="B1820" s="59" t="str">
        <f>IFERROR(__xludf.DUMMYFUNCTION("IF(ISBLANK(D1820), """", IF(ISDATE(D1820), D1820, IF(D1820=""今天"", A1820, IF(D1820=""昨天 (-1 day)"", A1820-1, IF(D1820=""前天 (-2 days)"", A1820-2, IF(D1820=""明天 (+1 day)"", A1820+1, DATE(LEFT(D1820,4), MID(D1820,5,2), RIGHT(D1820,2))))))))"),"")</f>
        <v/>
      </c>
      <c r="C1820" s="60" t="str">
        <f>IFERROR(__xludf.DUMMYFUNCTION("INDIRECT(""'收支紀錄'!C""&amp;TO_TEXT(ROW()-$C$72))"),"")</f>
        <v/>
      </c>
      <c r="D1820" s="63" t="str">
        <f>IFERROR(__xludf.DUMMYFUNCTION("INDIRECT(""'收支紀錄'!D""&amp;TO_TEXT(ROW()-$C$72))"),"")</f>
        <v/>
      </c>
      <c r="E1820" s="61" t="str">
        <f>IFERROR(__xludf.DUMMYFUNCTION("INDIRECT(""'收支紀錄'!E""&amp;TO_TEXT(ROW()-$C$72))"),"")</f>
        <v/>
      </c>
      <c r="F1820" s="61" t="str">
        <f>IFERROR(__xludf.DUMMYFUNCTION("INDIRECT(""'收支紀錄'!F""&amp;TO_TEXT(ROW()-$C$72))"),"")</f>
        <v/>
      </c>
      <c r="G1820" s="61" t="str">
        <f>IFERROR(__xludf.DUMMYFUNCTION("INDIRECT(""'收支紀錄'!G""&amp;TO_TEXT(ROW()-$C$72))"),"")</f>
        <v/>
      </c>
      <c r="H1820" s="61" t="str">
        <f>IFERROR(__xludf.DUMMYFUNCTION("INDIRECT(""'收支紀錄'!H""&amp;TO_TEXT(ROW()-$C$72))"),"")</f>
        <v/>
      </c>
      <c r="I1820" s="61" t="str">
        <f>IFERROR(__xludf.DUMMYFUNCTION("INDIRECT(""'收支紀錄'!I""&amp;TO_TEXT(ROW()-$C$72))"),"")</f>
        <v/>
      </c>
      <c r="J1820" s="61" t="str">
        <f>IFERROR(__xludf.DUMMYFUNCTION("INDIRECT(""'收支紀錄'!J""&amp;TO_TEXT(ROW()-$C$72))"),"")</f>
        <v/>
      </c>
      <c r="K1820" s="61" t="str">
        <f>IFERROR(__xludf.DUMMYFUNCTION("INDIRECT(""'收支紀錄'!K""&amp;TO_TEXT(ROW()-$C$72))"),"")</f>
        <v/>
      </c>
      <c r="L1820" s="61" t="str">
        <f>IFERROR(__xludf.DUMMYFUNCTION("INDIRECT(""'收支紀錄'!L""&amp;TO_TEXT(ROW()-$C$72))"),"")</f>
        <v/>
      </c>
      <c r="M1820" s="61" t="str">
        <f>IFERROR(__xludf.DUMMYFUNCTION("INDIRECT(""'收支紀錄'!M""&amp;TO_TEXT(ROW()-$C$72))"),"")</f>
        <v/>
      </c>
      <c r="N1820" s="61" t="str">
        <f>IFERROR(__xludf.DUMMYFUNCTION("INDIRECT(""'收支紀錄'!N""&amp;TO_TEXT(ROW()-$C$72))"),"")</f>
        <v/>
      </c>
      <c r="O1820" s="61" t="str">
        <f>IFERROR(__xludf.DUMMYFUNCTION("INDIRECT(""'收支紀錄'!O""&amp;TO_TEXT(ROW()-$C$72))"),"")</f>
        <v/>
      </c>
      <c r="P1820" s="61" t="str">
        <f>IFERROR(__xludf.DUMMYFUNCTION("INDIRECT(""'收支紀錄'!P""&amp;TO_TEXT(ROW()-$C$72))"),"")</f>
        <v/>
      </c>
      <c r="Q1820" s="61" t="str">
        <f>IFERROR(__xludf.DUMMYFUNCTION("INDIRECT(""'收支紀錄'!Q""&amp;TO_TEXT(ROW()-$C$72))"),"")</f>
        <v/>
      </c>
      <c r="R1820" s="61" t="str">
        <f>IFERROR(__xludf.DUMMYFUNCTION("INDIRECT(""'收支紀錄'!R""&amp;TO_TEXT(ROW()-$C$72))"),"")</f>
        <v/>
      </c>
      <c r="S1820" s="61" t="str">
        <f>IFERROR(__xludf.DUMMYFUNCTION("INDIRECT(""'收支紀錄'!S""&amp;TO_TEXT(ROW()-$C$72))"),"")</f>
        <v/>
      </c>
      <c r="T1820" s="61" t="str">
        <f>IFERROR(__xludf.DUMMYFUNCTION("INDIRECT(""'收支紀錄'!T""&amp;TO_TEXT(ROW()-$C$72))"),"")</f>
        <v/>
      </c>
      <c r="U1820" s="62" t="str">
        <f>IFERROR(__xludf.DUMMYFUNCTION("IF(T1820=""是"",TEXTJOIN("""", TRUE, ""$"", TO_TEXT(C1820), S1820),"""")"),"")</f>
        <v/>
      </c>
    </row>
    <row r="1821">
      <c r="A1821" s="58" t="str">
        <f>IFERROR(__xludf.DUMMYFUNCTION("INDIRECT(""'收支紀錄'!A""&amp;TO_TEXT(ROW()-$C$72))"),"")</f>
        <v/>
      </c>
      <c r="B1821" s="59" t="str">
        <f>IFERROR(__xludf.DUMMYFUNCTION("IF(ISBLANK(D1821), """", IF(ISDATE(D1821), D1821, IF(D1821=""今天"", A1821, IF(D1821=""昨天 (-1 day)"", A1821-1, IF(D1821=""前天 (-2 days)"", A1821-2, IF(D1821=""明天 (+1 day)"", A1821+1, DATE(LEFT(D1821,4), MID(D1821,5,2), RIGHT(D1821,2))))))))"),"")</f>
        <v/>
      </c>
      <c r="C1821" s="60" t="str">
        <f>IFERROR(__xludf.DUMMYFUNCTION("INDIRECT(""'收支紀錄'!C""&amp;TO_TEXT(ROW()-$C$72))"),"")</f>
        <v/>
      </c>
      <c r="D1821" s="63" t="str">
        <f>IFERROR(__xludf.DUMMYFUNCTION("INDIRECT(""'收支紀錄'!D""&amp;TO_TEXT(ROW()-$C$72))"),"")</f>
        <v/>
      </c>
      <c r="E1821" s="61" t="str">
        <f>IFERROR(__xludf.DUMMYFUNCTION("INDIRECT(""'收支紀錄'!E""&amp;TO_TEXT(ROW()-$C$72))"),"")</f>
        <v/>
      </c>
      <c r="F1821" s="61" t="str">
        <f>IFERROR(__xludf.DUMMYFUNCTION("INDIRECT(""'收支紀錄'!F""&amp;TO_TEXT(ROW()-$C$72))"),"")</f>
        <v/>
      </c>
      <c r="G1821" s="61" t="str">
        <f>IFERROR(__xludf.DUMMYFUNCTION("INDIRECT(""'收支紀錄'!G""&amp;TO_TEXT(ROW()-$C$72))"),"")</f>
        <v/>
      </c>
      <c r="H1821" s="61" t="str">
        <f>IFERROR(__xludf.DUMMYFUNCTION("INDIRECT(""'收支紀錄'!H""&amp;TO_TEXT(ROW()-$C$72))"),"")</f>
        <v/>
      </c>
      <c r="I1821" s="61" t="str">
        <f>IFERROR(__xludf.DUMMYFUNCTION("INDIRECT(""'收支紀錄'!I""&amp;TO_TEXT(ROW()-$C$72))"),"")</f>
        <v/>
      </c>
      <c r="J1821" s="61" t="str">
        <f>IFERROR(__xludf.DUMMYFUNCTION("INDIRECT(""'收支紀錄'!J""&amp;TO_TEXT(ROW()-$C$72))"),"")</f>
        <v/>
      </c>
      <c r="K1821" s="61" t="str">
        <f>IFERROR(__xludf.DUMMYFUNCTION("INDIRECT(""'收支紀錄'!K""&amp;TO_TEXT(ROW()-$C$72))"),"")</f>
        <v/>
      </c>
      <c r="L1821" s="61" t="str">
        <f>IFERROR(__xludf.DUMMYFUNCTION("INDIRECT(""'收支紀錄'!L""&amp;TO_TEXT(ROW()-$C$72))"),"")</f>
        <v/>
      </c>
      <c r="M1821" s="61" t="str">
        <f>IFERROR(__xludf.DUMMYFUNCTION("INDIRECT(""'收支紀錄'!M""&amp;TO_TEXT(ROW()-$C$72))"),"")</f>
        <v/>
      </c>
      <c r="N1821" s="61" t="str">
        <f>IFERROR(__xludf.DUMMYFUNCTION("INDIRECT(""'收支紀錄'!N""&amp;TO_TEXT(ROW()-$C$72))"),"")</f>
        <v/>
      </c>
      <c r="O1821" s="61" t="str">
        <f>IFERROR(__xludf.DUMMYFUNCTION("INDIRECT(""'收支紀錄'!O""&amp;TO_TEXT(ROW()-$C$72))"),"")</f>
        <v/>
      </c>
      <c r="P1821" s="61" t="str">
        <f>IFERROR(__xludf.DUMMYFUNCTION("INDIRECT(""'收支紀錄'!P""&amp;TO_TEXT(ROW()-$C$72))"),"")</f>
        <v/>
      </c>
      <c r="Q1821" s="61" t="str">
        <f>IFERROR(__xludf.DUMMYFUNCTION("INDIRECT(""'收支紀錄'!Q""&amp;TO_TEXT(ROW()-$C$72))"),"")</f>
        <v/>
      </c>
      <c r="R1821" s="61" t="str">
        <f>IFERROR(__xludf.DUMMYFUNCTION("INDIRECT(""'收支紀錄'!R""&amp;TO_TEXT(ROW()-$C$72))"),"")</f>
        <v/>
      </c>
      <c r="S1821" s="61" t="str">
        <f>IFERROR(__xludf.DUMMYFUNCTION("INDIRECT(""'收支紀錄'!S""&amp;TO_TEXT(ROW()-$C$72))"),"")</f>
        <v/>
      </c>
      <c r="T1821" s="61" t="str">
        <f>IFERROR(__xludf.DUMMYFUNCTION("INDIRECT(""'收支紀錄'!T""&amp;TO_TEXT(ROW()-$C$72))"),"")</f>
        <v/>
      </c>
      <c r="U1821" s="62" t="str">
        <f>IFERROR(__xludf.DUMMYFUNCTION("IF(T1821=""是"",TEXTJOIN("""", TRUE, ""$"", TO_TEXT(C1821), S1821),"""")"),"")</f>
        <v/>
      </c>
    </row>
    <row r="1822">
      <c r="A1822" s="58" t="str">
        <f>IFERROR(__xludf.DUMMYFUNCTION("INDIRECT(""'收支紀錄'!A""&amp;TO_TEXT(ROW()-$C$72))"),"")</f>
        <v/>
      </c>
      <c r="B1822" s="59" t="str">
        <f>IFERROR(__xludf.DUMMYFUNCTION("IF(ISBLANK(D1822), """", IF(ISDATE(D1822), D1822, IF(D1822=""今天"", A1822, IF(D1822=""昨天 (-1 day)"", A1822-1, IF(D1822=""前天 (-2 days)"", A1822-2, IF(D1822=""明天 (+1 day)"", A1822+1, DATE(LEFT(D1822,4), MID(D1822,5,2), RIGHT(D1822,2))))))))"),"")</f>
        <v/>
      </c>
      <c r="C1822" s="60" t="str">
        <f>IFERROR(__xludf.DUMMYFUNCTION("INDIRECT(""'收支紀錄'!C""&amp;TO_TEXT(ROW()-$C$72))"),"")</f>
        <v/>
      </c>
      <c r="D1822" s="63" t="str">
        <f>IFERROR(__xludf.DUMMYFUNCTION("INDIRECT(""'收支紀錄'!D""&amp;TO_TEXT(ROW()-$C$72))"),"")</f>
        <v/>
      </c>
      <c r="E1822" s="61" t="str">
        <f>IFERROR(__xludf.DUMMYFUNCTION("INDIRECT(""'收支紀錄'!E""&amp;TO_TEXT(ROW()-$C$72))"),"")</f>
        <v/>
      </c>
      <c r="F1822" s="61" t="str">
        <f>IFERROR(__xludf.DUMMYFUNCTION("INDIRECT(""'收支紀錄'!F""&amp;TO_TEXT(ROW()-$C$72))"),"")</f>
        <v/>
      </c>
      <c r="G1822" s="61" t="str">
        <f>IFERROR(__xludf.DUMMYFUNCTION("INDIRECT(""'收支紀錄'!G""&amp;TO_TEXT(ROW()-$C$72))"),"")</f>
        <v/>
      </c>
      <c r="H1822" s="61" t="str">
        <f>IFERROR(__xludf.DUMMYFUNCTION("INDIRECT(""'收支紀錄'!H""&amp;TO_TEXT(ROW()-$C$72))"),"")</f>
        <v/>
      </c>
      <c r="I1822" s="61" t="str">
        <f>IFERROR(__xludf.DUMMYFUNCTION("INDIRECT(""'收支紀錄'!I""&amp;TO_TEXT(ROW()-$C$72))"),"")</f>
        <v/>
      </c>
      <c r="J1822" s="61" t="str">
        <f>IFERROR(__xludf.DUMMYFUNCTION("INDIRECT(""'收支紀錄'!J""&amp;TO_TEXT(ROW()-$C$72))"),"")</f>
        <v/>
      </c>
      <c r="K1822" s="61" t="str">
        <f>IFERROR(__xludf.DUMMYFUNCTION("INDIRECT(""'收支紀錄'!K""&amp;TO_TEXT(ROW()-$C$72))"),"")</f>
        <v/>
      </c>
      <c r="L1822" s="61" t="str">
        <f>IFERROR(__xludf.DUMMYFUNCTION("INDIRECT(""'收支紀錄'!L""&amp;TO_TEXT(ROW()-$C$72))"),"")</f>
        <v/>
      </c>
      <c r="M1822" s="61" t="str">
        <f>IFERROR(__xludf.DUMMYFUNCTION("INDIRECT(""'收支紀錄'!M""&amp;TO_TEXT(ROW()-$C$72))"),"")</f>
        <v/>
      </c>
      <c r="N1822" s="61" t="str">
        <f>IFERROR(__xludf.DUMMYFUNCTION("INDIRECT(""'收支紀錄'!N""&amp;TO_TEXT(ROW()-$C$72))"),"")</f>
        <v/>
      </c>
      <c r="O1822" s="61" t="str">
        <f>IFERROR(__xludf.DUMMYFUNCTION("INDIRECT(""'收支紀錄'!O""&amp;TO_TEXT(ROW()-$C$72))"),"")</f>
        <v/>
      </c>
      <c r="P1822" s="61" t="str">
        <f>IFERROR(__xludf.DUMMYFUNCTION("INDIRECT(""'收支紀錄'!P""&amp;TO_TEXT(ROW()-$C$72))"),"")</f>
        <v/>
      </c>
      <c r="Q1822" s="61" t="str">
        <f>IFERROR(__xludf.DUMMYFUNCTION("INDIRECT(""'收支紀錄'!Q""&amp;TO_TEXT(ROW()-$C$72))"),"")</f>
        <v/>
      </c>
      <c r="R1822" s="61" t="str">
        <f>IFERROR(__xludf.DUMMYFUNCTION("INDIRECT(""'收支紀錄'!R""&amp;TO_TEXT(ROW()-$C$72))"),"")</f>
        <v/>
      </c>
      <c r="S1822" s="61" t="str">
        <f>IFERROR(__xludf.DUMMYFUNCTION("INDIRECT(""'收支紀錄'!S""&amp;TO_TEXT(ROW()-$C$72))"),"")</f>
        <v/>
      </c>
      <c r="T1822" s="61" t="str">
        <f>IFERROR(__xludf.DUMMYFUNCTION("INDIRECT(""'收支紀錄'!T""&amp;TO_TEXT(ROW()-$C$72))"),"")</f>
        <v/>
      </c>
      <c r="U1822" s="62" t="str">
        <f>IFERROR(__xludf.DUMMYFUNCTION("IF(T1822=""是"",TEXTJOIN("""", TRUE, ""$"", TO_TEXT(C1822), S1822),"""")"),"")</f>
        <v/>
      </c>
    </row>
    <row r="1823">
      <c r="A1823" s="58" t="str">
        <f>IFERROR(__xludf.DUMMYFUNCTION("INDIRECT(""'收支紀錄'!A""&amp;TO_TEXT(ROW()-$C$72))"),"")</f>
        <v/>
      </c>
      <c r="B1823" s="59" t="str">
        <f>IFERROR(__xludf.DUMMYFUNCTION("IF(ISBLANK(D1823), """", IF(ISDATE(D1823), D1823, IF(D1823=""今天"", A1823, IF(D1823=""昨天 (-1 day)"", A1823-1, IF(D1823=""前天 (-2 days)"", A1823-2, IF(D1823=""明天 (+1 day)"", A1823+1, DATE(LEFT(D1823,4), MID(D1823,5,2), RIGHT(D1823,2))))))))"),"")</f>
        <v/>
      </c>
      <c r="C1823" s="60" t="str">
        <f>IFERROR(__xludf.DUMMYFUNCTION("INDIRECT(""'收支紀錄'!C""&amp;TO_TEXT(ROW()-$C$72))"),"")</f>
        <v/>
      </c>
      <c r="D1823" s="63" t="str">
        <f>IFERROR(__xludf.DUMMYFUNCTION("INDIRECT(""'收支紀錄'!D""&amp;TO_TEXT(ROW()-$C$72))"),"")</f>
        <v/>
      </c>
      <c r="E1823" s="61" t="str">
        <f>IFERROR(__xludf.DUMMYFUNCTION("INDIRECT(""'收支紀錄'!E""&amp;TO_TEXT(ROW()-$C$72))"),"")</f>
        <v/>
      </c>
      <c r="F1823" s="61" t="str">
        <f>IFERROR(__xludf.DUMMYFUNCTION("INDIRECT(""'收支紀錄'!F""&amp;TO_TEXT(ROW()-$C$72))"),"")</f>
        <v/>
      </c>
      <c r="G1823" s="61" t="str">
        <f>IFERROR(__xludf.DUMMYFUNCTION("INDIRECT(""'收支紀錄'!G""&amp;TO_TEXT(ROW()-$C$72))"),"")</f>
        <v/>
      </c>
      <c r="H1823" s="61" t="str">
        <f>IFERROR(__xludf.DUMMYFUNCTION("INDIRECT(""'收支紀錄'!H""&amp;TO_TEXT(ROW()-$C$72))"),"")</f>
        <v/>
      </c>
      <c r="I1823" s="61" t="str">
        <f>IFERROR(__xludf.DUMMYFUNCTION("INDIRECT(""'收支紀錄'!I""&amp;TO_TEXT(ROW()-$C$72))"),"")</f>
        <v/>
      </c>
      <c r="J1823" s="61" t="str">
        <f>IFERROR(__xludf.DUMMYFUNCTION("INDIRECT(""'收支紀錄'!J""&amp;TO_TEXT(ROW()-$C$72))"),"")</f>
        <v/>
      </c>
      <c r="K1823" s="61" t="str">
        <f>IFERROR(__xludf.DUMMYFUNCTION("INDIRECT(""'收支紀錄'!K""&amp;TO_TEXT(ROW()-$C$72))"),"")</f>
        <v/>
      </c>
      <c r="L1823" s="61" t="str">
        <f>IFERROR(__xludf.DUMMYFUNCTION("INDIRECT(""'收支紀錄'!L""&amp;TO_TEXT(ROW()-$C$72))"),"")</f>
        <v/>
      </c>
      <c r="M1823" s="61" t="str">
        <f>IFERROR(__xludf.DUMMYFUNCTION("INDIRECT(""'收支紀錄'!M""&amp;TO_TEXT(ROW()-$C$72))"),"")</f>
        <v/>
      </c>
      <c r="N1823" s="61" t="str">
        <f>IFERROR(__xludf.DUMMYFUNCTION("INDIRECT(""'收支紀錄'!N""&amp;TO_TEXT(ROW()-$C$72))"),"")</f>
        <v/>
      </c>
      <c r="O1823" s="61" t="str">
        <f>IFERROR(__xludf.DUMMYFUNCTION("INDIRECT(""'收支紀錄'!O""&amp;TO_TEXT(ROW()-$C$72))"),"")</f>
        <v/>
      </c>
      <c r="P1823" s="61" t="str">
        <f>IFERROR(__xludf.DUMMYFUNCTION("INDIRECT(""'收支紀錄'!P""&amp;TO_TEXT(ROW()-$C$72))"),"")</f>
        <v/>
      </c>
      <c r="Q1823" s="61" t="str">
        <f>IFERROR(__xludf.DUMMYFUNCTION("INDIRECT(""'收支紀錄'!Q""&amp;TO_TEXT(ROW()-$C$72))"),"")</f>
        <v/>
      </c>
      <c r="R1823" s="61" t="str">
        <f>IFERROR(__xludf.DUMMYFUNCTION("INDIRECT(""'收支紀錄'!R""&amp;TO_TEXT(ROW()-$C$72))"),"")</f>
        <v/>
      </c>
      <c r="S1823" s="61" t="str">
        <f>IFERROR(__xludf.DUMMYFUNCTION("INDIRECT(""'收支紀錄'!S""&amp;TO_TEXT(ROW()-$C$72))"),"")</f>
        <v/>
      </c>
      <c r="T1823" s="61" t="str">
        <f>IFERROR(__xludf.DUMMYFUNCTION("INDIRECT(""'收支紀錄'!T""&amp;TO_TEXT(ROW()-$C$72))"),"")</f>
        <v/>
      </c>
      <c r="U1823" s="62" t="str">
        <f>IFERROR(__xludf.DUMMYFUNCTION("IF(T1823=""是"",TEXTJOIN("""", TRUE, ""$"", TO_TEXT(C1823), S1823),"""")"),"")</f>
        <v/>
      </c>
    </row>
    <row r="1824">
      <c r="A1824" s="58" t="str">
        <f>IFERROR(__xludf.DUMMYFUNCTION("INDIRECT(""'收支紀錄'!A""&amp;TO_TEXT(ROW()-$C$72))"),"")</f>
        <v/>
      </c>
      <c r="B1824" s="59" t="str">
        <f>IFERROR(__xludf.DUMMYFUNCTION("IF(ISBLANK(D1824), """", IF(ISDATE(D1824), D1824, IF(D1824=""今天"", A1824, IF(D1824=""昨天 (-1 day)"", A1824-1, IF(D1824=""前天 (-2 days)"", A1824-2, IF(D1824=""明天 (+1 day)"", A1824+1, DATE(LEFT(D1824,4), MID(D1824,5,2), RIGHT(D1824,2))))))))"),"")</f>
        <v/>
      </c>
      <c r="C1824" s="60" t="str">
        <f>IFERROR(__xludf.DUMMYFUNCTION("INDIRECT(""'收支紀錄'!C""&amp;TO_TEXT(ROW()-$C$72))"),"")</f>
        <v/>
      </c>
      <c r="D1824" s="63" t="str">
        <f>IFERROR(__xludf.DUMMYFUNCTION("INDIRECT(""'收支紀錄'!D""&amp;TO_TEXT(ROW()-$C$72))"),"")</f>
        <v/>
      </c>
      <c r="E1824" s="61" t="str">
        <f>IFERROR(__xludf.DUMMYFUNCTION("INDIRECT(""'收支紀錄'!E""&amp;TO_TEXT(ROW()-$C$72))"),"")</f>
        <v/>
      </c>
      <c r="F1824" s="61" t="str">
        <f>IFERROR(__xludf.DUMMYFUNCTION("INDIRECT(""'收支紀錄'!F""&amp;TO_TEXT(ROW()-$C$72))"),"")</f>
        <v/>
      </c>
      <c r="G1824" s="61" t="str">
        <f>IFERROR(__xludf.DUMMYFUNCTION("INDIRECT(""'收支紀錄'!G""&amp;TO_TEXT(ROW()-$C$72))"),"")</f>
        <v/>
      </c>
      <c r="H1824" s="61" t="str">
        <f>IFERROR(__xludf.DUMMYFUNCTION("INDIRECT(""'收支紀錄'!H""&amp;TO_TEXT(ROW()-$C$72))"),"")</f>
        <v/>
      </c>
      <c r="I1824" s="61" t="str">
        <f>IFERROR(__xludf.DUMMYFUNCTION("INDIRECT(""'收支紀錄'!I""&amp;TO_TEXT(ROW()-$C$72))"),"")</f>
        <v/>
      </c>
      <c r="J1824" s="61" t="str">
        <f>IFERROR(__xludf.DUMMYFUNCTION("INDIRECT(""'收支紀錄'!J""&amp;TO_TEXT(ROW()-$C$72))"),"")</f>
        <v/>
      </c>
      <c r="K1824" s="61" t="str">
        <f>IFERROR(__xludf.DUMMYFUNCTION("INDIRECT(""'收支紀錄'!K""&amp;TO_TEXT(ROW()-$C$72))"),"")</f>
        <v/>
      </c>
      <c r="L1824" s="61" t="str">
        <f>IFERROR(__xludf.DUMMYFUNCTION("INDIRECT(""'收支紀錄'!L""&amp;TO_TEXT(ROW()-$C$72))"),"")</f>
        <v/>
      </c>
      <c r="M1824" s="61" t="str">
        <f>IFERROR(__xludf.DUMMYFUNCTION("INDIRECT(""'收支紀錄'!M""&amp;TO_TEXT(ROW()-$C$72))"),"")</f>
        <v/>
      </c>
      <c r="N1824" s="61" t="str">
        <f>IFERROR(__xludf.DUMMYFUNCTION("INDIRECT(""'收支紀錄'!N""&amp;TO_TEXT(ROW()-$C$72))"),"")</f>
        <v/>
      </c>
      <c r="O1824" s="61" t="str">
        <f>IFERROR(__xludf.DUMMYFUNCTION("INDIRECT(""'收支紀錄'!O""&amp;TO_TEXT(ROW()-$C$72))"),"")</f>
        <v/>
      </c>
      <c r="P1824" s="61" t="str">
        <f>IFERROR(__xludf.DUMMYFUNCTION("INDIRECT(""'收支紀錄'!P""&amp;TO_TEXT(ROW()-$C$72))"),"")</f>
        <v/>
      </c>
      <c r="Q1824" s="61" t="str">
        <f>IFERROR(__xludf.DUMMYFUNCTION("INDIRECT(""'收支紀錄'!Q""&amp;TO_TEXT(ROW()-$C$72))"),"")</f>
        <v/>
      </c>
      <c r="R1824" s="61" t="str">
        <f>IFERROR(__xludf.DUMMYFUNCTION("INDIRECT(""'收支紀錄'!R""&amp;TO_TEXT(ROW()-$C$72))"),"")</f>
        <v/>
      </c>
      <c r="S1824" s="61" t="str">
        <f>IFERROR(__xludf.DUMMYFUNCTION("INDIRECT(""'收支紀錄'!S""&amp;TO_TEXT(ROW()-$C$72))"),"")</f>
        <v/>
      </c>
      <c r="T1824" s="61" t="str">
        <f>IFERROR(__xludf.DUMMYFUNCTION("INDIRECT(""'收支紀錄'!T""&amp;TO_TEXT(ROW()-$C$72))"),"")</f>
        <v/>
      </c>
      <c r="U1824" s="62" t="str">
        <f>IFERROR(__xludf.DUMMYFUNCTION("IF(T1824=""是"",TEXTJOIN("""", TRUE, ""$"", TO_TEXT(C1824), S1824),"""")"),"")</f>
        <v/>
      </c>
    </row>
    <row r="1825">
      <c r="A1825" s="58" t="str">
        <f>IFERROR(__xludf.DUMMYFUNCTION("INDIRECT(""'收支紀錄'!A""&amp;TO_TEXT(ROW()-$C$72))"),"")</f>
        <v/>
      </c>
      <c r="B1825" s="59" t="str">
        <f>IFERROR(__xludf.DUMMYFUNCTION("IF(ISBLANK(D1825), """", IF(ISDATE(D1825), D1825, IF(D1825=""今天"", A1825, IF(D1825=""昨天 (-1 day)"", A1825-1, IF(D1825=""前天 (-2 days)"", A1825-2, IF(D1825=""明天 (+1 day)"", A1825+1, DATE(LEFT(D1825,4), MID(D1825,5,2), RIGHT(D1825,2))))))))"),"")</f>
        <v/>
      </c>
      <c r="C1825" s="60" t="str">
        <f>IFERROR(__xludf.DUMMYFUNCTION("INDIRECT(""'收支紀錄'!C""&amp;TO_TEXT(ROW()-$C$72))"),"")</f>
        <v/>
      </c>
      <c r="D1825" s="63" t="str">
        <f>IFERROR(__xludf.DUMMYFUNCTION("INDIRECT(""'收支紀錄'!D""&amp;TO_TEXT(ROW()-$C$72))"),"")</f>
        <v/>
      </c>
      <c r="E1825" s="61" t="str">
        <f>IFERROR(__xludf.DUMMYFUNCTION("INDIRECT(""'收支紀錄'!E""&amp;TO_TEXT(ROW()-$C$72))"),"")</f>
        <v/>
      </c>
      <c r="F1825" s="61" t="str">
        <f>IFERROR(__xludf.DUMMYFUNCTION("INDIRECT(""'收支紀錄'!F""&amp;TO_TEXT(ROW()-$C$72))"),"")</f>
        <v/>
      </c>
      <c r="G1825" s="61" t="str">
        <f>IFERROR(__xludf.DUMMYFUNCTION("INDIRECT(""'收支紀錄'!G""&amp;TO_TEXT(ROW()-$C$72))"),"")</f>
        <v/>
      </c>
      <c r="H1825" s="61" t="str">
        <f>IFERROR(__xludf.DUMMYFUNCTION("INDIRECT(""'收支紀錄'!H""&amp;TO_TEXT(ROW()-$C$72))"),"")</f>
        <v/>
      </c>
      <c r="I1825" s="61" t="str">
        <f>IFERROR(__xludf.DUMMYFUNCTION("INDIRECT(""'收支紀錄'!I""&amp;TO_TEXT(ROW()-$C$72))"),"")</f>
        <v/>
      </c>
      <c r="J1825" s="61" t="str">
        <f>IFERROR(__xludf.DUMMYFUNCTION("INDIRECT(""'收支紀錄'!J""&amp;TO_TEXT(ROW()-$C$72))"),"")</f>
        <v/>
      </c>
      <c r="K1825" s="61" t="str">
        <f>IFERROR(__xludf.DUMMYFUNCTION("INDIRECT(""'收支紀錄'!K""&amp;TO_TEXT(ROW()-$C$72))"),"")</f>
        <v/>
      </c>
      <c r="L1825" s="61" t="str">
        <f>IFERROR(__xludf.DUMMYFUNCTION("INDIRECT(""'收支紀錄'!L""&amp;TO_TEXT(ROW()-$C$72))"),"")</f>
        <v/>
      </c>
      <c r="M1825" s="61" t="str">
        <f>IFERROR(__xludf.DUMMYFUNCTION("INDIRECT(""'收支紀錄'!M""&amp;TO_TEXT(ROW()-$C$72))"),"")</f>
        <v/>
      </c>
      <c r="N1825" s="61" t="str">
        <f>IFERROR(__xludf.DUMMYFUNCTION("INDIRECT(""'收支紀錄'!N""&amp;TO_TEXT(ROW()-$C$72))"),"")</f>
        <v/>
      </c>
      <c r="O1825" s="61" t="str">
        <f>IFERROR(__xludf.DUMMYFUNCTION("INDIRECT(""'收支紀錄'!O""&amp;TO_TEXT(ROW()-$C$72))"),"")</f>
        <v/>
      </c>
      <c r="P1825" s="61" t="str">
        <f>IFERROR(__xludf.DUMMYFUNCTION("INDIRECT(""'收支紀錄'!P""&amp;TO_TEXT(ROW()-$C$72))"),"")</f>
        <v/>
      </c>
      <c r="Q1825" s="61" t="str">
        <f>IFERROR(__xludf.DUMMYFUNCTION("INDIRECT(""'收支紀錄'!Q""&amp;TO_TEXT(ROW()-$C$72))"),"")</f>
        <v/>
      </c>
      <c r="R1825" s="61" t="str">
        <f>IFERROR(__xludf.DUMMYFUNCTION("INDIRECT(""'收支紀錄'!R""&amp;TO_TEXT(ROW()-$C$72))"),"")</f>
        <v/>
      </c>
      <c r="S1825" s="61" t="str">
        <f>IFERROR(__xludf.DUMMYFUNCTION("INDIRECT(""'收支紀錄'!S""&amp;TO_TEXT(ROW()-$C$72))"),"")</f>
        <v/>
      </c>
      <c r="T1825" s="61" t="str">
        <f>IFERROR(__xludf.DUMMYFUNCTION("INDIRECT(""'收支紀錄'!T""&amp;TO_TEXT(ROW()-$C$72))"),"")</f>
        <v/>
      </c>
      <c r="U1825" s="62" t="str">
        <f>IFERROR(__xludf.DUMMYFUNCTION("IF(T1825=""是"",TEXTJOIN("""", TRUE, ""$"", TO_TEXT(C1825), S1825),"""")"),"")</f>
        <v/>
      </c>
    </row>
    <row r="1826">
      <c r="A1826" s="58" t="str">
        <f>IFERROR(__xludf.DUMMYFUNCTION("INDIRECT(""'收支紀錄'!A""&amp;TO_TEXT(ROW()-$C$72))"),"")</f>
        <v/>
      </c>
      <c r="B1826" s="59" t="str">
        <f>IFERROR(__xludf.DUMMYFUNCTION("IF(ISBLANK(D1826), """", IF(ISDATE(D1826), D1826, IF(D1826=""今天"", A1826, IF(D1826=""昨天 (-1 day)"", A1826-1, IF(D1826=""前天 (-2 days)"", A1826-2, IF(D1826=""明天 (+1 day)"", A1826+1, DATE(LEFT(D1826,4), MID(D1826,5,2), RIGHT(D1826,2))))))))"),"")</f>
        <v/>
      </c>
      <c r="C1826" s="60" t="str">
        <f>IFERROR(__xludf.DUMMYFUNCTION("INDIRECT(""'收支紀錄'!C""&amp;TO_TEXT(ROW()-$C$72))"),"")</f>
        <v/>
      </c>
      <c r="D1826" s="63" t="str">
        <f>IFERROR(__xludf.DUMMYFUNCTION("INDIRECT(""'收支紀錄'!D""&amp;TO_TEXT(ROW()-$C$72))"),"")</f>
        <v/>
      </c>
      <c r="E1826" s="61" t="str">
        <f>IFERROR(__xludf.DUMMYFUNCTION("INDIRECT(""'收支紀錄'!E""&amp;TO_TEXT(ROW()-$C$72))"),"")</f>
        <v/>
      </c>
      <c r="F1826" s="61" t="str">
        <f>IFERROR(__xludf.DUMMYFUNCTION("INDIRECT(""'收支紀錄'!F""&amp;TO_TEXT(ROW()-$C$72))"),"")</f>
        <v/>
      </c>
      <c r="G1826" s="61" t="str">
        <f>IFERROR(__xludf.DUMMYFUNCTION("INDIRECT(""'收支紀錄'!G""&amp;TO_TEXT(ROW()-$C$72))"),"")</f>
        <v/>
      </c>
      <c r="H1826" s="61" t="str">
        <f>IFERROR(__xludf.DUMMYFUNCTION("INDIRECT(""'收支紀錄'!H""&amp;TO_TEXT(ROW()-$C$72))"),"")</f>
        <v/>
      </c>
      <c r="I1826" s="61" t="str">
        <f>IFERROR(__xludf.DUMMYFUNCTION("INDIRECT(""'收支紀錄'!I""&amp;TO_TEXT(ROW()-$C$72))"),"")</f>
        <v/>
      </c>
      <c r="J1826" s="61" t="str">
        <f>IFERROR(__xludf.DUMMYFUNCTION("INDIRECT(""'收支紀錄'!J""&amp;TO_TEXT(ROW()-$C$72))"),"")</f>
        <v/>
      </c>
      <c r="K1826" s="61" t="str">
        <f>IFERROR(__xludf.DUMMYFUNCTION("INDIRECT(""'收支紀錄'!K""&amp;TO_TEXT(ROW()-$C$72))"),"")</f>
        <v/>
      </c>
      <c r="L1826" s="61" t="str">
        <f>IFERROR(__xludf.DUMMYFUNCTION("INDIRECT(""'收支紀錄'!L""&amp;TO_TEXT(ROW()-$C$72))"),"")</f>
        <v/>
      </c>
      <c r="M1826" s="61" t="str">
        <f>IFERROR(__xludf.DUMMYFUNCTION("INDIRECT(""'收支紀錄'!M""&amp;TO_TEXT(ROW()-$C$72))"),"")</f>
        <v/>
      </c>
      <c r="N1826" s="61" t="str">
        <f>IFERROR(__xludf.DUMMYFUNCTION("INDIRECT(""'收支紀錄'!N""&amp;TO_TEXT(ROW()-$C$72))"),"")</f>
        <v/>
      </c>
      <c r="O1826" s="61" t="str">
        <f>IFERROR(__xludf.DUMMYFUNCTION("INDIRECT(""'收支紀錄'!O""&amp;TO_TEXT(ROW()-$C$72))"),"")</f>
        <v/>
      </c>
      <c r="P1826" s="61" t="str">
        <f>IFERROR(__xludf.DUMMYFUNCTION("INDIRECT(""'收支紀錄'!P""&amp;TO_TEXT(ROW()-$C$72))"),"")</f>
        <v/>
      </c>
      <c r="Q1826" s="61" t="str">
        <f>IFERROR(__xludf.DUMMYFUNCTION("INDIRECT(""'收支紀錄'!Q""&amp;TO_TEXT(ROW()-$C$72))"),"")</f>
        <v/>
      </c>
      <c r="R1826" s="61" t="str">
        <f>IFERROR(__xludf.DUMMYFUNCTION("INDIRECT(""'收支紀錄'!R""&amp;TO_TEXT(ROW()-$C$72))"),"")</f>
        <v/>
      </c>
      <c r="S1826" s="61" t="str">
        <f>IFERROR(__xludf.DUMMYFUNCTION("INDIRECT(""'收支紀錄'!S""&amp;TO_TEXT(ROW()-$C$72))"),"")</f>
        <v/>
      </c>
      <c r="T1826" s="61" t="str">
        <f>IFERROR(__xludf.DUMMYFUNCTION("INDIRECT(""'收支紀錄'!T""&amp;TO_TEXT(ROW()-$C$72))"),"")</f>
        <v/>
      </c>
      <c r="U1826" s="62" t="str">
        <f>IFERROR(__xludf.DUMMYFUNCTION("IF(T1826=""是"",TEXTJOIN("""", TRUE, ""$"", TO_TEXT(C1826), S1826),"""")"),"")</f>
        <v/>
      </c>
    </row>
    <row r="1827">
      <c r="A1827" s="58" t="str">
        <f>IFERROR(__xludf.DUMMYFUNCTION("INDIRECT(""'收支紀錄'!A""&amp;TO_TEXT(ROW()-$C$72))"),"")</f>
        <v/>
      </c>
      <c r="B1827" s="59" t="str">
        <f>IFERROR(__xludf.DUMMYFUNCTION("IF(ISBLANK(D1827), """", IF(ISDATE(D1827), D1827, IF(D1827=""今天"", A1827, IF(D1827=""昨天 (-1 day)"", A1827-1, IF(D1827=""前天 (-2 days)"", A1827-2, IF(D1827=""明天 (+1 day)"", A1827+1, DATE(LEFT(D1827,4), MID(D1827,5,2), RIGHT(D1827,2))))))))"),"")</f>
        <v/>
      </c>
      <c r="C1827" s="60" t="str">
        <f>IFERROR(__xludf.DUMMYFUNCTION("INDIRECT(""'收支紀錄'!C""&amp;TO_TEXT(ROW()-$C$72))"),"")</f>
        <v/>
      </c>
      <c r="D1827" s="63" t="str">
        <f>IFERROR(__xludf.DUMMYFUNCTION("INDIRECT(""'收支紀錄'!D""&amp;TO_TEXT(ROW()-$C$72))"),"")</f>
        <v/>
      </c>
      <c r="E1827" s="61" t="str">
        <f>IFERROR(__xludf.DUMMYFUNCTION("INDIRECT(""'收支紀錄'!E""&amp;TO_TEXT(ROW()-$C$72))"),"")</f>
        <v/>
      </c>
      <c r="F1827" s="61" t="str">
        <f>IFERROR(__xludf.DUMMYFUNCTION("INDIRECT(""'收支紀錄'!F""&amp;TO_TEXT(ROW()-$C$72))"),"")</f>
        <v/>
      </c>
      <c r="G1827" s="61" t="str">
        <f>IFERROR(__xludf.DUMMYFUNCTION("INDIRECT(""'收支紀錄'!G""&amp;TO_TEXT(ROW()-$C$72))"),"")</f>
        <v/>
      </c>
      <c r="H1827" s="61" t="str">
        <f>IFERROR(__xludf.DUMMYFUNCTION("INDIRECT(""'收支紀錄'!H""&amp;TO_TEXT(ROW()-$C$72))"),"")</f>
        <v/>
      </c>
      <c r="I1827" s="61" t="str">
        <f>IFERROR(__xludf.DUMMYFUNCTION("INDIRECT(""'收支紀錄'!I""&amp;TO_TEXT(ROW()-$C$72))"),"")</f>
        <v/>
      </c>
      <c r="J1827" s="61" t="str">
        <f>IFERROR(__xludf.DUMMYFUNCTION("INDIRECT(""'收支紀錄'!J""&amp;TO_TEXT(ROW()-$C$72))"),"")</f>
        <v/>
      </c>
      <c r="K1827" s="61" t="str">
        <f>IFERROR(__xludf.DUMMYFUNCTION("INDIRECT(""'收支紀錄'!K""&amp;TO_TEXT(ROW()-$C$72))"),"")</f>
        <v/>
      </c>
      <c r="L1827" s="61" t="str">
        <f>IFERROR(__xludf.DUMMYFUNCTION("INDIRECT(""'收支紀錄'!L""&amp;TO_TEXT(ROW()-$C$72))"),"")</f>
        <v/>
      </c>
      <c r="M1827" s="61" t="str">
        <f>IFERROR(__xludf.DUMMYFUNCTION("INDIRECT(""'收支紀錄'!M""&amp;TO_TEXT(ROW()-$C$72))"),"")</f>
        <v/>
      </c>
      <c r="N1827" s="61" t="str">
        <f>IFERROR(__xludf.DUMMYFUNCTION("INDIRECT(""'收支紀錄'!N""&amp;TO_TEXT(ROW()-$C$72))"),"")</f>
        <v/>
      </c>
      <c r="O1827" s="61" t="str">
        <f>IFERROR(__xludf.DUMMYFUNCTION("INDIRECT(""'收支紀錄'!O""&amp;TO_TEXT(ROW()-$C$72))"),"")</f>
        <v/>
      </c>
      <c r="P1827" s="61" t="str">
        <f>IFERROR(__xludf.DUMMYFUNCTION("INDIRECT(""'收支紀錄'!P""&amp;TO_TEXT(ROW()-$C$72))"),"")</f>
        <v/>
      </c>
      <c r="Q1827" s="61" t="str">
        <f>IFERROR(__xludf.DUMMYFUNCTION("INDIRECT(""'收支紀錄'!Q""&amp;TO_TEXT(ROW()-$C$72))"),"")</f>
        <v/>
      </c>
      <c r="R1827" s="61" t="str">
        <f>IFERROR(__xludf.DUMMYFUNCTION("INDIRECT(""'收支紀錄'!R""&amp;TO_TEXT(ROW()-$C$72))"),"")</f>
        <v/>
      </c>
      <c r="S1827" s="61" t="str">
        <f>IFERROR(__xludf.DUMMYFUNCTION("INDIRECT(""'收支紀錄'!S""&amp;TO_TEXT(ROW()-$C$72))"),"")</f>
        <v/>
      </c>
      <c r="T1827" s="61" t="str">
        <f>IFERROR(__xludf.DUMMYFUNCTION("INDIRECT(""'收支紀錄'!T""&amp;TO_TEXT(ROW()-$C$72))"),"")</f>
        <v/>
      </c>
      <c r="U1827" s="62" t="str">
        <f>IFERROR(__xludf.DUMMYFUNCTION("IF(T1827=""是"",TEXTJOIN("""", TRUE, ""$"", TO_TEXT(C1827), S1827),"""")"),"")</f>
        <v/>
      </c>
    </row>
    <row r="1828">
      <c r="A1828" s="58" t="str">
        <f>IFERROR(__xludf.DUMMYFUNCTION("INDIRECT(""'收支紀錄'!A""&amp;TO_TEXT(ROW()-$C$72))"),"")</f>
        <v/>
      </c>
      <c r="B1828" s="59" t="str">
        <f>IFERROR(__xludf.DUMMYFUNCTION("IF(ISBLANK(D1828), """", IF(ISDATE(D1828), D1828, IF(D1828=""今天"", A1828, IF(D1828=""昨天 (-1 day)"", A1828-1, IF(D1828=""前天 (-2 days)"", A1828-2, IF(D1828=""明天 (+1 day)"", A1828+1, DATE(LEFT(D1828,4), MID(D1828,5,2), RIGHT(D1828,2))))))))"),"")</f>
        <v/>
      </c>
      <c r="C1828" s="60" t="str">
        <f>IFERROR(__xludf.DUMMYFUNCTION("INDIRECT(""'收支紀錄'!C""&amp;TO_TEXT(ROW()-$C$72))"),"")</f>
        <v/>
      </c>
      <c r="D1828" s="63" t="str">
        <f>IFERROR(__xludf.DUMMYFUNCTION("INDIRECT(""'收支紀錄'!D""&amp;TO_TEXT(ROW()-$C$72))"),"")</f>
        <v/>
      </c>
      <c r="E1828" s="61" t="str">
        <f>IFERROR(__xludf.DUMMYFUNCTION("INDIRECT(""'收支紀錄'!E""&amp;TO_TEXT(ROW()-$C$72))"),"")</f>
        <v/>
      </c>
      <c r="F1828" s="61" t="str">
        <f>IFERROR(__xludf.DUMMYFUNCTION("INDIRECT(""'收支紀錄'!F""&amp;TO_TEXT(ROW()-$C$72))"),"")</f>
        <v/>
      </c>
      <c r="G1828" s="61" t="str">
        <f>IFERROR(__xludf.DUMMYFUNCTION("INDIRECT(""'收支紀錄'!G""&amp;TO_TEXT(ROW()-$C$72))"),"")</f>
        <v/>
      </c>
      <c r="H1828" s="61" t="str">
        <f>IFERROR(__xludf.DUMMYFUNCTION("INDIRECT(""'收支紀錄'!H""&amp;TO_TEXT(ROW()-$C$72))"),"")</f>
        <v/>
      </c>
      <c r="I1828" s="61" t="str">
        <f>IFERROR(__xludf.DUMMYFUNCTION("INDIRECT(""'收支紀錄'!I""&amp;TO_TEXT(ROW()-$C$72))"),"")</f>
        <v/>
      </c>
      <c r="J1828" s="61" t="str">
        <f>IFERROR(__xludf.DUMMYFUNCTION("INDIRECT(""'收支紀錄'!J""&amp;TO_TEXT(ROW()-$C$72))"),"")</f>
        <v/>
      </c>
      <c r="K1828" s="61" t="str">
        <f>IFERROR(__xludf.DUMMYFUNCTION("INDIRECT(""'收支紀錄'!K""&amp;TO_TEXT(ROW()-$C$72))"),"")</f>
        <v/>
      </c>
      <c r="L1828" s="61" t="str">
        <f>IFERROR(__xludf.DUMMYFUNCTION("INDIRECT(""'收支紀錄'!L""&amp;TO_TEXT(ROW()-$C$72))"),"")</f>
        <v/>
      </c>
      <c r="M1828" s="61" t="str">
        <f>IFERROR(__xludf.DUMMYFUNCTION("INDIRECT(""'收支紀錄'!M""&amp;TO_TEXT(ROW()-$C$72))"),"")</f>
        <v/>
      </c>
      <c r="N1828" s="61" t="str">
        <f>IFERROR(__xludf.DUMMYFUNCTION("INDIRECT(""'收支紀錄'!N""&amp;TO_TEXT(ROW()-$C$72))"),"")</f>
        <v/>
      </c>
      <c r="O1828" s="61" t="str">
        <f>IFERROR(__xludf.DUMMYFUNCTION("INDIRECT(""'收支紀錄'!O""&amp;TO_TEXT(ROW()-$C$72))"),"")</f>
        <v/>
      </c>
      <c r="P1828" s="61" t="str">
        <f>IFERROR(__xludf.DUMMYFUNCTION("INDIRECT(""'收支紀錄'!P""&amp;TO_TEXT(ROW()-$C$72))"),"")</f>
        <v/>
      </c>
      <c r="Q1828" s="61" t="str">
        <f>IFERROR(__xludf.DUMMYFUNCTION("INDIRECT(""'收支紀錄'!Q""&amp;TO_TEXT(ROW()-$C$72))"),"")</f>
        <v/>
      </c>
      <c r="R1828" s="61" t="str">
        <f>IFERROR(__xludf.DUMMYFUNCTION("INDIRECT(""'收支紀錄'!R""&amp;TO_TEXT(ROW()-$C$72))"),"")</f>
        <v/>
      </c>
      <c r="S1828" s="61" t="str">
        <f>IFERROR(__xludf.DUMMYFUNCTION("INDIRECT(""'收支紀錄'!S""&amp;TO_TEXT(ROW()-$C$72))"),"")</f>
        <v/>
      </c>
      <c r="T1828" s="61" t="str">
        <f>IFERROR(__xludf.DUMMYFUNCTION("INDIRECT(""'收支紀錄'!T""&amp;TO_TEXT(ROW()-$C$72))"),"")</f>
        <v/>
      </c>
      <c r="U1828" s="62" t="str">
        <f>IFERROR(__xludf.DUMMYFUNCTION("IF(T1828=""是"",TEXTJOIN("""", TRUE, ""$"", TO_TEXT(C1828), S1828),"""")"),"")</f>
        <v/>
      </c>
    </row>
    <row r="1829">
      <c r="A1829" s="58" t="str">
        <f>IFERROR(__xludf.DUMMYFUNCTION("INDIRECT(""'收支紀錄'!A""&amp;TO_TEXT(ROW()-$C$72))"),"")</f>
        <v/>
      </c>
      <c r="B1829" s="59" t="str">
        <f>IFERROR(__xludf.DUMMYFUNCTION("IF(ISBLANK(D1829), """", IF(ISDATE(D1829), D1829, IF(D1829=""今天"", A1829, IF(D1829=""昨天 (-1 day)"", A1829-1, IF(D1829=""前天 (-2 days)"", A1829-2, IF(D1829=""明天 (+1 day)"", A1829+1, DATE(LEFT(D1829,4), MID(D1829,5,2), RIGHT(D1829,2))))))))"),"")</f>
        <v/>
      </c>
      <c r="C1829" s="60" t="str">
        <f>IFERROR(__xludf.DUMMYFUNCTION("INDIRECT(""'收支紀錄'!C""&amp;TO_TEXT(ROW()-$C$72))"),"")</f>
        <v/>
      </c>
      <c r="D1829" s="63" t="str">
        <f>IFERROR(__xludf.DUMMYFUNCTION("INDIRECT(""'收支紀錄'!D""&amp;TO_TEXT(ROW()-$C$72))"),"")</f>
        <v/>
      </c>
      <c r="E1829" s="61" t="str">
        <f>IFERROR(__xludf.DUMMYFUNCTION("INDIRECT(""'收支紀錄'!E""&amp;TO_TEXT(ROW()-$C$72))"),"")</f>
        <v/>
      </c>
      <c r="F1829" s="61" t="str">
        <f>IFERROR(__xludf.DUMMYFUNCTION("INDIRECT(""'收支紀錄'!F""&amp;TO_TEXT(ROW()-$C$72))"),"")</f>
        <v/>
      </c>
      <c r="G1829" s="61" t="str">
        <f>IFERROR(__xludf.DUMMYFUNCTION("INDIRECT(""'收支紀錄'!G""&amp;TO_TEXT(ROW()-$C$72))"),"")</f>
        <v/>
      </c>
      <c r="H1829" s="61" t="str">
        <f>IFERROR(__xludf.DUMMYFUNCTION("INDIRECT(""'收支紀錄'!H""&amp;TO_TEXT(ROW()-$C$72))"),"")</f>
        <v/>
      </c>
      <c r="I1829" s="61" t="str">
        <f>IFERROR(__xludf.DUMMYFUNCTION("INDIRECT(""'收支紀錄'!I""&amp;TO_TEXT(ROW()-$C$72))"),"")</f>
        <v/>
      </c>
      <c r="J1829" s="61" t="str">
        <f>IFERROR(__xludf.DUMMYFUNCTION("INDIRECT(""'收支紀錄'!J""&amp;TO_TEXT(ROW()-$C$72))"),"")</f>
        <v/>
      </c>
      <c r="K1829" s="61" t="str">
        <f>IFERROR(__xludf.DUMMYFUNCTION("INDIRECT(""'收支紀錄'!K""&amp;TO_TEXT(ROW()-$C$72))"),"")</f>
        <v/>
      </c>
      <c r="L1829" s="61" t="str">
        <f>IFERROR(__xludf.DUMMYFUNCTION("INDIRECT(""'收支紀錄'!L""&amp;TO_TEXT(ROW()-$C$72))"),"")</f>
        <v/>
      </c>
      <c r="M1829" s="61" t="str">
        <f>IFERROR(__xludf.DUMMYFUNCTION("INDIRECT(""'收支紀錄'!M""&amp;TO_TEXT(ROW()-$C$72))"),"")</f>
        <v/>
      </c>
      <c r="N1829" s="61" t="str">
        <f>IFERROR(__xludf.DUMMYFUNCTION("INDIRECT(""'收支紀錄'!N""&amp;TO_TEXT(ROW()-$C$72))"),"")</f>
        <v/>
      </c>
      <c r="O1829" s="61" t="str">
        <f>IFERROR(__xludf.DUMMYFUNCTION("INDIRECT(""'收支紀錄'!O""&amp;TO_TEXT(ROW()-$C$72))"),"")</f>
        <v/>
      </c>
      <c r="P1829" s="61" t="str">
        <f>IFERROR(__xludf.DUMMYFUNCTION("INDIRECT(""'收支紀錄'!P""&amp;TO_TEXT(ROW()-$C$72))"),"")</f>
        <v/>
      </c>
      <c r="Q1829" s="61" t="str">
        <f>IFERROR(__xludf.DUMMYFUNCTION("INDIRECT(""'收支紀錄'!Q""&amp;TO_TEXT(ROW()-$C$72))"),"")</f>
        <v/>
      </c>
      <c r="R1829" s="61" t="str">
        <f>IFERROR(__xludf.DUMMYFUNCTION("INDIRECT(""'收支紀錄'!R""&amp;TO_TEXT(ROW()-$C$72))"),"")</f>
        <v/>
      </c>
      <c r="S1829" s="61" t="str">
        <f>IFERROR(__xludf.DUMMYFUNCTION("INDIRECT(""'收支紀錄'!S""&amp;TO_TEXT(ROW()-$C$72))"),"")</f>
        <v/>
      </c>
      <c r="T1829" s="61" t="str">
        <f>IFERROR(__xludf.DUMMYFUNCTION("INDIRECT(""'收支紀錄'!T""&amp;TO_TEXT(ROW()-$C$72))"),"")</f>
        <v/>
      </c>
      <c r="U1829" s="62" t="str">
        <f>IFERROR(__xludf.DUMMYFUNCTION("IF(T1829=""是"",TEXTJOIN("""", TRUE, ""$"", TO_TEXT(C1829), S1829),"""")"),"")</f>
        <v/>
      </c>
    </row>
    <row r="1830">
      <c r="A1830" s="58" t="str">
        <f>IFERROR(__xludf.DUMMYFUNCTION("INDIRECT(""'收支紀錄'!A""&amp;TO_TEXT(ROW()-$C$72))"),"")</f>
        <v/>
      </c>
      <c r="B1830" s="59" t="str">
        <f>IFERROR(__xludf.DUMMYFUNCTION("IF(ISBLANK(D1830), """", IF(ISDATE(D1830), D1830, IF(D1830=""今天"", A1830, IF(D1830=""昨天 (-1 day)"", A1830-1, IF(D1830=""前天 (-2 days)"", A1830-2, IF(D1830=""明天 (+1 day)"", A1830+1, DATE(LEFT(D1830,4), MID(D1830,5,2), RIGHT(D1830,2))))))))"),"")</f>
        <v/>
      </c>
      <c r="C1830" s="60" t="str">
        <f>IFERROR(__xludf.DUMMYFUNCTION("INDIRECT(""'收支紀錄'!C""&amp;TO_TEXT(ROW()-$C$72))"),"")</f>
        <v/>
      </c>
      <c r="D1830" s="63" t="str">
        <f>IFERROR(__xludf.DUMMYFUNCTION("INDIRECT(""'收支紀錄'!D""&amp;TO_TEXT(ROW()-$C$72))"),"")</f>
        <v/>
      </c>
      <c r="E1830" s="61" t="str">
        <f>IFERROR(__xludf.DUMMYFUNCTION("INDIRECT(""'收支紀錄'!E""&amp;TO_TEXT(ROW()-$C$72))"),"")</f>
        <v/>
      </c>
      <c r="F1830" s="61" t="str">
        <f>IFERROR(__xludf.DUMMYFUNCTION("INDIRECT(""'收支紀錄'!F""&amp;TO_TEXT(ROW()-$C$72))"),"")</f>
        <v/>
      </c>
      <c r="G1830" s="61" t="str">
        <f>IFERROR(__xludf.DUMMYFUNCTION("INDIRECT(""'收支紀錄'!G""&amp;TO_TEXT(ROW()-$C$72))"),"")</f>
        <v/>
      </c>
      <c r="H1830" s="61" t="str">
        <f>IFERROR(__xludf.DUMMYFUNCTION("INDIRECT(""'收支紀錄'!H""&amp;TO_TEXT(ROW()-$C$72))"),"")</f>
        <v/>
      </c>
      <c r="I1830" s="61" t="str">
        <f>IFERROR(__xludf.DUMMYFUNCTION("INDIRECT(""'收支紀錄'!I""&amp;TO_TEXT(ROW()-$C$72))"),"")</f>
        <v/>
      </c>
      <c r="J1830" s="61" t="str">
        <f>IFERROR(__xludf.DUMMYFUNCTION("INDIRECT(""'收支紀錄'!J""&amp;TO_TEXT(ROW()-$C$72))"),"")</f>
        <v/>
      </c>
      <c r="K1830" s="61" t="str">
        <f>IFERROR(__xludf.DUMMYFUNCTION("INDIRECT(""'收支紀錄'!K""&amp;TO_TEXT(ROW()-$C$72))"),"")</f>
        <v/>
      </c>
      <c r="L1830" s="61" t="str">
        <f>IFERROR(__xludf.DUMMYFUNCTION("INDIRECT(""'收支紀錄'!L""&amp;TO_TEXT(ROW()-$C$72))"),"")</f>
        <v/>
      </c>
      <c r="M1830" s="61" t="str">
        <f>IFERROR(__xludf.DUMMYFUNCTION("INDIRECT(""'收支紀錄'!M""&amp;TO_TEXT(ROW()-$C$72))"),"")</f>
        <v/>
      </c>
      <c r="N1830" s="61" t="str">
        <f>IFERROR(__xludf.DUMMYFUNCTION("INDIRECT(""'收支紀錄'!N""&amp;TO_TEXT(ROW()-$C$72))"),"")</f>
        <v/>
      </c>
      <c r="O1830" s="61" t="str">
        <f>IFERROR(__xludf.DUMMYFUNCTION("INDIRECT(""'收支紀錄'!O""&amp;TO_TEXT(ROW()-$C$72))"),"")</f>
        <v/>
      </c>
      <c r="P1830" s="61" t="str">
        <f>IFERROR(__xludf.DUMMYFUNCTION("INDIRECT(""'收支紀錄'!P""&amp;TO_TEXT(ROW()-$C$72))"),"")</f>
        <v/>
      </c>
      <c r="Q1830" s="61" t="str">
        <f>IFERROR(__xludf.DUMMYFUNCTION("INDIRECT(""'收支紀錄'!Q""&amp;TO_TEXT(ROW()-$C$72))"),"")</f>
        <v/>
      </c>
      <c r="R1830" s="61" t="str">
        <f>IFERROR(__xludf.DUMMYFUNCTION("INDIRECT(""'收支紀錄'!R""&amp;TO_TEXT(ROW()-$C$72))"),"")</f>
        <v/>
      </c>
      <c r="S1830" s="61" t="str">
        <f>IFERROR(__xludf.DUMMYFUNCTION("INDIRECT(""'收支紀錄'!S""&amp;TO_TEXT(ROW()-$C$72))"),"")</f>
        <v/>
      </c>
      <c r="T1830" s="61" t="str">
        <f>IFERROR(__xludf.DUMMYFUNCTION("INDIRECT(""'收支紀錄'!T""&amp;TO_TEXT(ROW()-$C$72))"),"")</f>
        <v/>
      </c>
      <c r="U1830" s="62" t="str">
        <f>IFERROR(__xludf.DUMMYFUNCTION("IF(T1830=""是"",TEXTJOIN("""", TRUE, ""$"", TO_TEXT(C1830), S1830),"""")"),"")</f>
        <v/>
      </c>
    </row>
    <row r="1831">
      <c r="A1831" s="58" t="str">
        <f>IFERROR(__xludf.DUMMYFUNCTION("INDIRECT(""'收支紀錄'!A""&amp;TO_TEXT(ROW()-$C$72))"),"")</f>
        <v/>
      </c>
      <c r="B1831" s="59" t="str">
        <f>IFERROR(__xludf.DUMMYFUNCTION("IF(ISBLANK(D1831), """", IF(ISDATE(D1831), D1831, IF(D1831=""今天"", A1831, IF(D1831=""昨天 (-1 day)"", A1831-1, IF(D1831=""前天 (-2 days)"", A1831-2, IF(D1831=""明天 (+1 day)"", A1831+1, DATE(LEFT(D1831,4), MID(D1831,5,2), RIGHT(D1831,2))))))))"),"")</f>
        <v/>
      </c>
      <c r="C1831" s="60" t="str">
        <f>IFERROR(__xludf.DUMMYFUNCTION("INDIRECT(""'收支紀錄'!C""&amp;TO_TEXT(ROW()-$C$72))"),"")</f>
        <v/>
      </c>
      <c r="D1831" s="63" t="str">
        <f>IFERROR(__xludf.DUMMYFUNCTION("INDIRECT(""'收支紀錄'!D""&amp;TO_TEXT(ROW()-$C$72))"),"")</f>
        <v/>
      </c>
      <c r="E1831" s="61" t="str">
        <f>IFERROR(__xludf.DUMMYFUNCTION("INDIRECT(""'收支紀錄'!E""&amp;TO_TEXT(ROW()-$C$72))"),"")</f>
        <v/>
      </c>
      <c r="F1831" s="61" t="str">
        <f>IFERROR(__xludf.DUMMYFUNCTION("INDIRECT(""'收支紀錄'!F""&amp;TO_TEXT(ROW()-$C$72))"),"")</f>
        <v/>
      </c>
      <c r="G1831" s="61" t="str">
        <f>IFERROR(__xludf.DUMMYFUNCTION("INDIRECT(""'收支紀錄'!G""&amp;TO_TEXT(ROW()-$C$72))"),"")</f>
        <v/>
      </c>
      <c r="H1831" s="61" t="str">
        <f>IFERROR(__xludf.DUMMYFUNCTION("INDIRECT(""'收支紀錄'!H""&amp;TO_TEXT(ROW()-$C$72))"),"")</f>
        <v/>
      </c>
      <c r="I1831" s="61" t="str">
        <f>IFERROR(__xludf.DUMMYFUNCTION("INDIRECT(""'收支紀錄'!I""&amp;TO_TEXT(ROW()-$C$72))"),"")</f>
        <v/>
      </c>
      <c r="J1831" s="61" t="str">
        <f>IFERROR(__xludf.DUMMYFUNCTION("INDIRECT(""'收支紀錄'!J""&amp;TO_TEXT(ROW()-$C$72))"),"")</f>
        <v/>
      </c>
      <c r="K1831" s="61" t="str">
        <f>IFERROR(__xludf.DUMMYFUNCTION("INDIRECT(""'收支紀錄'!K""&amp;TO_TEXT(ROW()-$C$72))"),"")</f>
        <v/>
      </c>
      <c r="L1831" s="61" t="str">
        <f>IFERROR(__xludf.DUMMYFUNCTION("INDIRECT(""'收支紀錄'!L""&amp;TO_TEXT(ROW()-$C$72))"),"")</f>
        <v/>
      </c>
      <c r="M1831" s="61" t="str">
        <f>IFERROR(__xludf.DUMMYFUNCTION("INDIRECT(""'收支紀錄'!M""&amp;TO_TEXT(ROW()-$C$72))"),"")</f>
        <v/>
      </c>
      <c r="N1831" s="61" t="str">
        <f>IFERROR(__xludf.DUMMYFUNCTION("INDIRECT(""'收支紀錄'!N""&amp;TO_TEXT(ROW()-$C$72))"),"")</f>
        <v/>
      </c>
      <c r="O1831" s="61" t="str">
        <f>IFERROR(__xludf.DUMMYFUNCTION("INDIRECT(""'收支紀錄'!O""&amp;TO_TEXT(ROW()-$C$72))"),"")</f>
        <v/>
      </c>
      <c r="P1831" s="61" t="str">
        <f>IFERROR(__xludf.DUMMYFUNCTION("INDIRECT(""'收支紀錄'!P""&amp;TO_TEXT(ROW()-$C$72))"),"")</f>
        <v/>
      </c>
      <c r="Q1831" s="61" t="str">
        <f>IFERROR(__xludf.DUMMYFUNCTION("INDIRECT(""'收支紀錄'!Q""&amp;TO_TEXT(ROW()-$C$72))"),"")</f>
        <v/>
      </c>
      <c r="R1831" s="61" t="str">
        <f>IFERROR(__xludf.DUMMYFUNCTION("INDIRECT(""'收支紀錄'!R""&amp;TO_TEXT(ROW()-$C$72))"),"")</f>
        <v/>
      </c>
      <c r="S1831" s="61" t="str">
        <f>IFERROR(__xludf.DUMMYFUNCTION("INDIRECT(""'收支紀錄'!S""&amp;TO_TEXT(ROW()-$C$72))"),"")</f>
        <v/>
      </c>
      <c r="T1831" s="61" t="str">
        <f>IFERROR(__xludf.DUMMYFUNCTION("INDIRECT(""'收支紀錄'!T""&amp;TO_TEXT(ROW()-$C$72))"),"")</f>
        <v/>
      </c>
      <c r="U1831" s="62" t="str">
        <f>IFERROR(__xludf.DUMMYFUNCTION("IF(T1831=""是"",TEXTJOIN("""", TRUE, ""$"", TO_TEXT(C1831), S1831),"""")"),"")</f>
        <v/>
      </c>
    </row>
    <row r="1832">
      <c r="A1832" s="58" t="str">
        <f>IFERROR(__xludf.DUMMYFUNCTION("INDIRECT(""'收支紀錄'!A""&amp;TO_TEXT(ROW()-$C$72))"),"")</f>
        <v/>
      </c>
      <c r="B1832" s="59" t="str">
        <f>IFERROR(__xludf.DUMMYFUNCTION("IF(ISBLANK(D1832), """", IF(ISDATE(D1832), D1832, IF(D1832=""今天"", A1832, IF(D1832=""昨天 (-1 day)"", A1832-1, IF(D1832=""前天 (-2 days)"", A1832-2, IF(D1832=""明天 (+1 day)"", A1832+1, DATE(LEFT(D1832,4), MID(D1832,5,2), RIGHT(D1832,2))))))))"),"")</f>
        <v/>
      </c>
      <c r="C1832" s="60" t="str">
        <f>IFERROR(__xludf.DUMMYFUNCTION("INDIRECT(""'收支紀錄'!C""&amp;TO_TEXT(ROW()-$C$72))"),"")</f>
        <v/>
      </c>
      <c r="D1832" s="63" t="str">
        <f>IFERROR(__xludf.DUMMYFUNCTION("INDIRECT(""'收支紀錄'!D""&amp;TO_TEXT(ROW()-$C$72))"),"")</f>
        <v/>
      </c>
      <c r="E1832" s="61" t="str">
        <f>IFERROR(__xludf.DUMMYFUNCTION("INDIRECT(""'收支紀錄'!E""&amp;TO_TEXT(ROW()-$C$72))"),"")</f>
        <v/>
      </c>
      <c r="F1832" s="61" t="str">
        <f>IFERROR(__xludf.DUMMYFUNCTION("INDIRECT(""'收支紀錄'!F""&amp;TO_TEXT(ROW()-$C$72))"),"")</f>
        <v/>
      </c>
      <c r="G1832" s="61" t="str">
        <f>IFERROR(__xludf.DUMMYFUNCTION("INDIRECT(""'收支紀錄'!G""&amp;TO_TEXT(ROW()-$C$72))"),"")</f>
        <v/>
      </c>
      <c r="H1832" s="61" t="str">
        <f>IFERROR(__xludf.DUMMYFUNCTION("INDIRECT(""'收支紀錄'!H""&amp;TO_TEXT(ROW()-$C$72))"),"")</f>
        <v/>
      </c>
      <c r="I1832" s="61" t="str">
        <f>IFERROR(__xludf.DUMMYFUNCTION("INDIRECT(""'收支紀錄'!I""&amp;TO_TEXT(ROW()-$C$72))"),"")</f>
        <v/>
      </c>
      <c r="J1832" s="61" t="str">
        <f>IFERROR(__xludf.DUMMYFUNCTION("INDIRECT(""'收支紀錄'!J""&amp;TO_TEXT(ROW()-$C$72))"),"")</f>
        <v/>
      </c>
      <c r="K1832" s="61" t="str">
        <f>IFERROR(__xludf.DUMMYFUNCTION("INDIRECT(""'收支紀錄'!K""&amp;TO_TEXT(ROW()-$C$72))"),"")</f>
        <v/>
      </c>
      <c r="L1832" s="61" t="str">
        <f>IFERROR(__xludf.DUMMYFUNCTION("INDIRECT(""'收支紀錄'!L""&amp;TO_TEXT(ROW()-$C$72))"),"")</f>
        <v/>
      </c>
      <c r="M1832" s="61" t="str">
        <f>IFERROR(__xludf.DUMMYFUNCTION("INDIRECT(""'收支紀錄'!M""&amp;TO_TEXT(ROW()-$C$72))"),"")</f>
        <v/>
      </c>
      <c r="N1832" s="61" t="str">
        <f>IFERROR(__xludf.DUMMYFUNCTION("INDIRECT(""'收支紀錄'!N""&amp;TO_TEXT(ROW()-$C$72))"),"")</f>
        <v/>
      </c>
      <c r="O1832" s="61" t="str">
        <f>IFERROR(__xludf.DUMMYFUNCTION("INDIRECT(""'收支紀錄'!O""&amp;TO_TEXT(ROW()-$C$72))"),"")</f>
        <v/>
      </c>
      <c r="P1832" s="61" t="str">
        <f>IFERROR(__xludf.DUMMYFUNCTION("INDIRECT(""'收支紀錄'!P""&amp;TO_TEXT(ROW()-$C$72))"),"")</f>
        <v/>
      </c>
      <c r="Q1832" s="61" t="str">
        <f>IFERROR(__xludf.DUMMYFUNCTION("INDIRECT(""'收支紀錄'!Q""&amp;TO_TEXT(ROW()-$C$72))"),"")</f>
        <v/>
      </c>
      <c r="R1832" s="61" t="str">
        <f>IFERROR(__xludf.DUMMYFUNCTION("INDIRECT(""'收支紀錄'!R""&amp;TO_TEXT(ROW()-$C$72))"),"")</f>
        <v/>
      </c>
      <c r="S1832" s="61" t="str">
        <f>IFERROR(__xludf.DUMMYFUNCTION("INDIRECT(""'收支紀錄'!S""&amp;TO_TEXT(ROW()-$C$72))"),"")</f>
        <v/>
      </c>
      <c r="T1832" s="61" t="str">
        <f>IFERROR(__xludf.DUMMYFUNCTION("INDIRECT(""'收支紀錄'!T""&amp;TO_TEXT(ROW()-$C$72))"),"")</f>
        <v/>
      </c>
      <c r="U1832" s="62" t="str">
        <f>IFERROR(__xludf.DUMMYFUNCTION("IF(T1832=""是"",TEXTJOIN("""", TRUE, ""$"", TO_TEXT(C1832), S1832),"""")"),"")</f>
        <v/>
      </c>
    </row>
    <row r="1833">
      <c r="A1833" s="58" t="str">
        <f>IFERROR(__xludf.DUMMYFUNCTION("INDIRECT(""'收支紀錄'!A""&amp;TO_TEXT(ROW()-$C$72))"),"")</f>
        <v/>
      </c>
      <c r="B1833" s="59" t="str">
        <f>IFERROR(__xludf.DUMMYFUNCTION("IF(ISBLANK(D1833), """", IF(ISDATE(D1833), D1833, IF(D1833=""今天"", A1833, IF(D1833=""昨天 (-1 day)"", A1833-1, IF(D1833=""前天 (-2 days)"", A1833-2, IF(D1833=""明天 (+1 day)"", A1833+1, DATE(LEFT(D1833,4), MID(D1833,5,2), RIGHT(D1833,2))))))))"),"")</f>
        <v/>
      </c>
      <c r="C1833" s="60" t="str">
        <f>IFERROR(__xludf.DUMMYFUNCTION("INDIRECT(""'收支紀錄'!C""&amp;TO_TEXT(ROW()-$C$72))"),"")</f>
        <v/>
      </c>
      <c r="D1833" s="63" t="str">
        <f>IFERROR(__xludf.DUMMYFUNCTION("INDIRECT(""'收支紀錄'!D""&amp;TO_TEXT(ROW()-$C$72))"),"")</f>
        <v/>
      </c>
      <c r="E1833" s="61" t="str">
        <f>IFERROR(__xludf.DUMMYFUNCTION("INDIRECT(""'收支紀錄'!E""&amp;TO_TEXT(ROW()-$C$72))"),"")</f>
        <v/>
      </c>
      <c r="F1833" s="61" t="str">
        <f>IFERROR(__xludf.DUMMYFUNCTION("INDIRECT(""'收支紀錄'!F""&amp;TO_TEXT(ROW()-$C$72))"),"")</f>
        <v/>
      </c>
      <c r="G1833" s="61" t="str">
        <f>IFERROR(__xludf.DUMMYFUNCTION("INDIRECT(""'收支紀錄'!G""&amp;TO_TEXT(ROW()-$C$72))"),"")</f>
        <v/>
      </c>
      <c r="H1833" s="61" t="str">
        <f>IFERROR(__xludf.DUMMYFUNCTION("INDIRECT(""'收支紀錄'!H""&amp;TO_TEXT(ROW()-$C$72))"),"")</f>
        <v/>
      </c>
      <c r="I1833" s="61" t="str">
        <f>IFERROR(__xludf.DUMMYFUNCTION("INDIRECT(""'收支紀錄'!I""&amp;TO_TEXT(ROW()-$C$72))"),"")</f>
        <v/>
      </c>
      <c r="J1833" s="61" t="str">
        <f>IFERROR(__xludf.DUMMYFUNCTION("INDIRECT(""'收支紀錄'!J""&amp;TO_TEXT(ROW()-$C$72))"),"")</f>
        <v/>
      </c>
      <c r="K1833" s="61" t="str">
        <f>IFERROR(__xludf.DUMMYFUNCTION("INDIRECT(""'收支紀錄'!K""&amp;TO_TEXT(ROW()-$C$72))"),"")</f>
        <v/>
      </c>
      <c r="L1833" s="61" t="str">
        <f>IFERROR(__xludf.DUMMYFUNCTION("INDIRECT(""'收支紀錄'!L""&amp;TO_TEXT(ROW()-$C$72))"),"")</f>
        <v/>
      </c>
      <c r="M1833" s="61" t="str">
        <f>IFERROR(__xludf.DUMMYFUNCTION("INDIRECT(""'收支紀錄'!M""&amp;TO_TEXT(ROW()-$C$72))"),"")</f>
        <v/>
      </c>
      <c r="N1833" s="61" t="str">
        <f>IFERROR(__xludf.DUMMYFUNCTION("INDIRECT(""'收支紀錄'!N""&amp;TO_TEXT(ROW()-$C$72))"),"")</f>
        <v/>
      </c>
      <c r="O1833" s="61" t="str">
        <f>IFERROR(__xludf.DUMMYFUNCTION("INDIRECT(""'收支紀錄'!O""&amp;TO_TEXT(ROW()-$C$72))"),"")</f>
        <v/>
      </c>
      <c r="P1833" s="61" t="str">
        <f>IFERROR(__xludf.DUMMYFUNCTION("INDIRECT(""'收支紀錄'!P""&amp;TO_TEXT(ROW()-$C$72))"),"")</f>
        <v/>
      </c>
      <c r="Q1833" s="61" t="str">
        <f>IFERROR(__xludf.DUMMYFUNCTION("INDIRECT(""'收支紀錄'!Q""&amp;TO_TEXT(ROW()-$C$72))"),"")</f>
        <v/>
      </c>
      <c r="R1833" s="61" t="str">
        <f>IFERROR(__xludf.DUMMYFUNCTION("INDIRECT(""'收支紀錄'!R""&amp;TO_TEXT(ROW()-$C$72))"),"")</f>
        <v/>
      </c>
      <c r="S1833" s="61" t="str">
        <f>IFERROR(__xludf.DUMMYFUNCTION("INDIRECT(""'收支紀錄'!S""&amp;TO_TEXT(ROW()-$C$72))"),"")</f>
        <v/>
      </c>
      <c r="T1833" s="61" t="str">
        <f>IFERROR(__xludf.DUMMYFUNCTION("INDIRECT(""'收支紀錄'!T""&amp;TO_TEXT(ROW()-$C$72))"),"")</f>
        <v/>
      </c>
      <c r="U1833" s="62" t="str">
        <f>IFERROR(__xludf.DUMMYFUNCTION("IF(T1833=""是"",TEXTJOIN("""", TRUE, ""$"", TO_TEXT(C1833), S1833),"""")"),"")</f>
        <v/>
      </c>
    </row>
    <row r="1834">
      <c r="A1834" s="58" t="str">
        <f>IFERROR(__xludf.DUMMYFUNCTION("INDIRECT(""'收支紀錄'!A""&amp;TO_TEXT(ROW()-$C$72))"),"")</f>
        <v/>
      </c>
      <c r="B1834" s="59" t="str">
        <f>IFERROR(__xludf.DUMMYFUNCTION("IF(ISBLANK(D1834), """", IF(ISDATE(D1834), D1834, IF(D1834=""今天"", A1834, IF(D1834=""昨天 (-1 day)"", A1834-1, IF(D1834=""前天 (-2 days)"", A1834-2, IF(D1834=""明天 (+1 day)"", A1834+1, DATE(LEFT(D1834,4), MID(D1834,5,2), RIGHT(D1834,2))))))))"),"")</f>
        <v/>
      </c>
      <c r="C1834" s="60" t="str">
        <f>IFERROR(__xludf.DUMMYFUNCTION("INDIRECT(""'收支紀錄'!C""&amp;TO_TEXT(ROW()-$C$72))"),"")</f>
        <v/>
      </c>
      <c r="D1834" s="63" t="str">
        <f>IFERROR(__xludf.DUMMYFUNCTION("INDIRECT(""'收支紀錄'!D""&amp;TO_TEXT(ROW()-$C$72))"),"")</f>
        <v/>
      </c>
      <c r="E1834" s="61" t="str">
        <f>IFERROR(__xludf.DUMMYFUNCTION("INDIRECT(""'收支紀錄'!E""&amp;TO_TEXT(ROW()-$C$72))"),"")</f>
        <v/>
      </c>
      <c r="F1834" s="61" t="str">
        <f>IFERROR(__xludf.DUMMYFUNCTION("INDIRECT(""'收支紀錄'!F""&amp;TO_TEXT(ROW()-$C$72))"),"")</f>
        <v/>
      </c>
      <c r="G1834" s="61" t="str">
        <f>IFERROR(__xludf.DUMMYFUNCTION("INDIRECT(""'收支紀錄'!G""&amp;TO_TEXT(ROW()-$C$72))"),"")</f>
        <v/>
      </c>
      <c r="H1834" s="61" t="str">
        <f>IFERROR(__xludf.DUMMYFUNCTION("INDIRECT(""'收支紀錄'!H""&amp;TO_TEXT(ROW()-$C$72))"),"")</f>
        <v/>
      </c>
      <c r="I1834" s="61" t="str">
        <f>IFERROR(__xludf.DUMMYFUNCTION("INDIRECT(""'收支紀錄'!I""&amp;TO_TEXT(ROW()-$C$72))"),"")</f>
        <v/>
      </c>
      <c r="J1834" s="61" t="str">
        <f>IFERROR(__xludf.DUMMYFUNCTION("INDIRECT(""'收支紀錄'!J""&amp;TO_TEXT(ROW()-$C$72))"),"")</f>
        <v/>
      </c>
      <c r="K1834" s="61" t="str">
        <f>IFERROR(__xludf.DUMMYFUNCTION("INDIRECT(""'收支紀錄'!K""&amp;TO_TEXT(ROW()-$C$72))"),"")</f>
        <v/>
      </c>
      <c r="L1834" s="61" t="str">
        <f>IFERROR(__xludf.DUMMYFUNCTION("INDIRECT(""'收支紀錄'!L""&amp;TO_TEXT(ROW()-$C$72))"),"")</f>
        <v/>
      </c>
      <c r="M1834" s="61" t="str">
        <f>IFERROR(__xludf.DUMMYFUNCTION("INDIRECT(""'收支紀錄'!M""&amp;TO_TEXT(ROW()-$C$72))"),"")</f>
        <v/>
      </c>
      <c r="N1834" s="61" t="str">
        <f>IFERROR(__xludf.DUMMYFUNCTION("INDIRECT(""'收支紀錄'!N""&amp;TO_TEXT(ROW()-$C$72))"),"")</f>
        <v/>
      </c>
      <c r="O1834" s="61" t="str">
        <f>IFERROR(__xludf.DUMMYFUNCTION("INDIRECT(""'收支紀錄'!O""&amp;TO_TEXT(ROW()-$C$72))"),"")</f>
        <v/>
      </c>
      <c r="P1834" s="61" t="str">
        <f>IFERROR(__xludf.DUMMYFUNCTION("INDIRECT(""'收支紀錄'!P""&amp;TO_TEXT(ROW()-$C$72))"),"")</f>
        <v/>
      </c>
      <c r="Q1834" s="61" t="str">
        <f>IFERROR(__xludf.DUMMYFUNCTION("INDIRECT(""'收支紀錄'!Q""&amp;TO_TEXT(ROW()-$C$72))"),"")</f>
        <v/>
      </c>
      <c r="R1834" s="61" t="str">
        <f>IFERROR(__xludf.DUMMYFUNCTION("INDIRECT(""'收支紀錄'!R""&amp;TO_TEXT(ROW()-$C$72))"),"")</f>
        <v/>
      </c>
      <c r="S1834" s="61" t="str">
        <f>IFERROR(__xludf.DUMMYFUNCTION("INDIRECT(""'收支紀錄'!S""&amp;TO_TEXT(ROW()-$C$72))"),"")</f>
        <v/>
      </c>
      <c r="T1834" s="61" t="str">
        <f>IFERROR(__xludf.DUMMYFUNCTION("INDIRECT(""'收支紀錄'!T""&amp;TO_TEXT(ROW()-$C$72))"),"")</f>
        <v/>
      </c>
      <c r="U1834" s="62" t="str">
        <f>IFERROR(__xludf.DUMMYFUNCTION("IF(T1834=""是"",TEXTJOIN("""", TRUE, ""$"", TO_TEXT(C1834), S1834),"""")"),"")</f>
        <v/>
      </c>
    </row>
    <row r="1835">
      <c r="A1835" s="58" t="str">
        <f>IFERROR(__xludf.DUMMYFUNCTION("INDIRECT(""'收支紀錄'!A""&amp;TO_TEXT(ROW()-$C$72))"),"")</f>
        <v/>
      </c>
      <c r="B1835" s="59" t="str">
        <f>IFERROR(__xludf.DUMMYFUNCTION("IF(ISBLANK(D1835), """", IF(ISDATE(D1835), D1835, IF(D1835=""今天"", A1835, IF(D1835=""昨天 (-1 day)"", A1835-1, IF(D1835=""前天 (-2 days)"", A1835-2, IF(D1835=""明天 (+1 day)"", A1835+1, DATE(LEFT(D1835,4), MID(D1835,5,2), RIGHT(D1835,2))))))))"),"")</f>
        <v/>
      </c>
      <c r="C1835" s="60" t="str">
        <f>IFERROR(__xludf.DUMMYFUNCTION("INDIRECT(""'收支紀錄'!C""&amp;TO_TEXT(ROW()-$C$72))"),"")</f>
        <v/>
      </c>
      <c r="D1835" s="63" t="str">
        <f>IFERROR(__xludf.DUMMYFUNCTION("INDIRECT(""'收支紀錄'!D""&amp;TO_TEXT(ROW()-$C$72))"),"")</f>
        <v/>
      </c>
      <c r="E1835" s="61" t="str">
        <f>IFERROR(__xludf.DUMMYFUNCTION("INDIRECT(""'收支紀錄'!E""&amp;TO_TEXT(ROW()-$C$72))"),"")</f>
        <v/>
      </c>
      <c r="F1835" s="61" t="str">
        <f>IFERROR(__xludf.DUMMYFUNCTION("INDIRECT(""'收支紀錄'!F""&amp;TO_TEXT(ROW()-$C$72))"),"")</f>
        <v/>
      </c>
      <c r="G1835" s="61" t="str">
        <f>IFERROR(__xludf.DUMMYFUNCTION("INDIRECT(""'收支紀錄'!G""&amp;TO_TEXT(ROW()-$C$72))"),"")</f>
        <v/>
      </c>
      <c r="H1835" s="61" t="str">
        <f>IFERROR(__xludf.DUMMYFUNCTION("INDIRECT(""'收支紀錄'!H""&amp;TO_TEXT(ROW()-$C$72))"),"")</f>
        <v/>
      </c>
      <c r="I1835" s="61" t="str">
        <f>IFERROR(__xludf.DUMMYFUNCTION("INDIRECT(""'收支紀錄'!I""&amp;TO_TEXT(ROW()-$C$72))"),"")</f>
        <v/>
      </c>
      <c r="J1835" s="61" t="str">
        <f>IFERROR(__xludf.DUMMYFUNCTION("INDIRECT(""'收支紀錄'!J""&amp;TO_TEXT(ROW()-$C$72))"),"")</f>
        <v/>
      </c>
      <c r="K1835" s="61" t="str">
        <f>IFERROR(__xludf.DUMMYFUNCTION("INDIRECT(""'收支紀錄'!K""&amp;TO_TEXT(ROW()-$C$72))"),"")</f>
        <v/>
      </c>
      <c r="L1835" s="61" t="str">
        <f>IFERROR(__xludf.DUMMYFUNCTION("INDIRECT(""'收支紀錄'!L""&amp;TO_TEXT(ROW()-$C$72))"),"")</f>
        <v/>
      </c>
      <c r="M1835" s="61" t="str">
        <f>IFERROR(__xludf.DUMMYFUNCTION("INDIRECT(""'收支紀錄'!M""&amp;TO_TEXT(ROW()-$C$72))"),"")</f>
        <v/>
      </c>
      <c r="N1835" s="61" t="str">
        <f>IFERROR(__xludf.DUMMYFUNCTION("INDIRECT(""'收支紀錄'!N""&amp;TO_TEXT(ROW()-$C$72))"),"")</f>
        <v/>
      </c>
      <c r="O1835" s="61" t="str">
        <f>IFERROR(__xludf.DUMMYFUNCTION("INDIRECT(""'收支紀錄'!O""&amp;TO_TEXT(ROW()-$C$72))"),"")</f>
        <v/>
      </c>
      <c r="P1835" s="61" t="str">
        <f>IFERROR(__xludf.DUMMYFUNCTION("INDIRECT(""'收支紀錄'!P""&amp;TO_TEXT(ROW()-$C$72))"),"")</f>
        <v/>
      </c>
      <c r="Q1835" s="61" t="str">
        <f>IFERROR(__xludf.DUMMYFUNCTION("INDIRECT(""'收支紀錄'!Q""&amp;TO_TEXT(ROW()-$C$72))"),"")</f>
        <v/>
      </c>
      <c r="R1835" s="61" t="str">
        <f>IFERROR(__xludf.DUMMYFUNCTION("INDIRECT(""'收支紀錄'!R""&amp;TO_TEXT(ROW()-$C$72))"),"")</f>
        <v/>
      </c>
      <c r="S1835" s="61" t="str">
        <f>IFERROR(__xludf.DUMMYFUNCTION("INDIRECT(""'收支紀錄'!S""&amp;TO_TEXT(ROW()-$C$72))"),"")</f>
        <v/>
      </c>
      <c r="T1835" s="61" t="str">
        <f>IFERROR(__xludf.DUMMYFUNCTION("INDIRECT(""'收支紀錄'!T""&amp;TO_TEXT(ROW()-$C$72))"),"")</f>
        <v/>
      </c>
      <c r="U1835" s="62" t="str">
        <f>IFERROR(__xludf.DUMMYFUNCTION("IF(T1835=""是"",TEXTJOIN("""", TRUE, ""$"", TO_TEXT(C1835), S1835),"""")"),"")</f>
        <v/>
      </c>
    </row>
    <row r="1836">
      <c r="A1836" s="58" t="str">
        <f>IFERROR(__xludf.DUMMYFUNCTION("INDIRECT(""'收支紀錄'!A""&amp;TO_TEXT(ROW()-$C$72))"),"")</f>
        <v/>
      </c>
      <c r="B1836" s="59" t="str">
        <f>IFERROR(__xludf.DUMMYFUNCTION("IF(ISBLANK(D1836), """", IF(ISDATE(D1836), D1836, IF(D1836=""今天"", A1836, IF(D1836=""昨天 (-1 day)"", A1836-1, IF(D1836=""前天 (-2 days)"", A1836-2, IF(D1836=""明天 (+1 day)"", A1836+1, DATE(LEFT(D1836,4), MID(D1836,5,2), RIGHT(D1836,2))))))))"),"")</f>
        <v/>
      </c>
      <c r="C1836" s="60" t="str">
        <f>IFERROR(__xludf.DUMMYFUNCTION("INDIRECT(""'收支紀錄'!C""&amp;TO_TEXT(ROW()-$C$72))"),"")</f>
        <v/>
      </c>
      <c r="D1836" s="63" t="str">
        <f>IFERROR(__xludf.DUMMYFUNCTION("INDIRECT(""'收支紀錄'!D""&amp;TO_TEXT(ROW()-$C$72))"),"")</f>
        <v/>
      </c>
      <c r="E1836" s="61" t="str">
        <f>IFERROR(__xludf.DUMMYFUNCTION("INDIRECT(""'收支紀錄'!E""&amp;TO_TEXT(ROW()-$C$72))"),"")</f>
        <v/>
      </c>
      <c r="F1836" s="61" t="str">
        <f>IFERROR(__xludf.DUMMYFUNCTION("INDIRECT(""'收支紀錄'!F""&amp;TO_TEXT(ROW()-$C$72))"),"")</f>
        <v/>
      </c>
      <c r="G1836" s="61" t="str">
        <f>IFERROR(__xludf.DUMMYFUNCTION("INDIRECT(""'收支紀錄'!G""&amp;TO_TEXT(ROW()-$C$72))"),"")</f>
        <v/>
      </c>
      <c r="H1836" s="61" t="str">
        <f>IFERROR(__xludf.DUMMYFUNCTION("INDIRECT(""'收支紀錄'!H""&amp;TO_TEXT(ROW()-$C$72))"),"")</f>
        <v/>
      </c>
      <c r="I1836" s="61" t="str">
        <f>IFERROR(__xludf.DUMMYFUNCTION("INDIRECT(""'收支紀錄'!I""&amp;TO_TEXT(ROW()-$C$72))"),"")</f>
        <v/>
      </c>
      <c r="J1836" s="61" t="str">
        <f>IFERROR(__xludf.DUMMYFUNCTION("INDIRECT(""'收支紀錄'!J""&amp;TO_TEXT(ROW()-$C$72))"),"")</f>
        <v/>
      </c>
      <c r="K1836" s="61" t="str">
        <f>IFERROR(__xludf.DUMMYFUNCTION("INDIRECT(""'收支紀錄'!K""&amp;TO_TEXT(ROW()-$C$72))"),"")</f>
        <v/>
      </c>
      <c r="L1836" s="61" t="str">
        <f>IFERROR(__xludf.DUMMYFUNCTION("INDIRECT(""'收支紀錄'!L""&amp;TO_TEXT(ROW()-$C$72))"),"")</f>
        <v/>
      </c>
      <c r="M1836" s="61" t="str">
        <f>IFERROR(__xludf.DUMMYFUNCTION("INDIRECT(""'收支紀錄'!M""&amp;TO_TEXT(ROW()-$C$72))"),"")</f>
        <v/>
      </c>
      <c r="N1836" s="61" t="str">
        <f>IFERROR(__xludf.DUMMYFUNCTION("INDIRECT(""'收支紀錄'!N""&amp;TO_TEXT(ROW()-$C$72))"),"")</f>
        <v/>
      </c>
      <c r="O1836" s="61" t="str">
        <f>IFERROR(__xludf.DUMMYFUNCTION("INDIRECT(""'收支紀錄'!O""&amp;TO_TEXT(ROW()-$C$72))"),"")</f>
        <v/>
      </c>
      <c r="P1836" s="61" t="str">
        <f>IFERROR(__xludf.DUMMYFUNCTION("INDIRECT(""'收支紀錄'!P""&amp;TO_TEXT(ROW()-$C$72))"),"")</f>
        <v/>
      </c>
      <c r="Q1836" s="61" t="str">
        <f>IFERROR(__xludf.DUMMYFUNCTION("INDIRECT(""'收支紀錄'!Q""&amp;TO_TEXT(ROW()-$C$72))"),"")</f>
        <v/>
      </c>
      <c r="R1836" s="61" t="str">
        <f>IFERROR(__xludf.DUMMYFUNCTION("INDIRECT(""'收支紀錄'!R""&amp;TO_TEXT(ROW()-$C$72))"),"")</f>
        <v/>
      </c>
      <c r="S1836" s="61" t="str">
        <f>IFERROR(__xludf.DUMMYFUNCTION("INDIRECT(""'收支紀錄'!S""&amp;TO_TEXT(ROW()-$C$72))"),"")</f>
        <v/>
      </c>
      <c r="T1836" s="61" t="str">
        <f>IFERROR(__xludf.DUMMYFUNCTION("INDIRECT(""'收支紀錄'!T""&amp;TO_TEXT(ROW()-$C$72))"),"")</f>
        <v/>
      </c>
      <c r="U1836" s="62" t="str">
        <f>IFERROR(__xludf.DUMMYFUNCTION("IF(T1836=""是"",TEXTJOIN("""", TRUE, ""$"", TO_TEXT(C1836), S1836),"""")"),"")</f>
        <v/>
      </c>
    </row>
    <row r="1837">
      <c r="A1837" s="58" t="str">
        <f>IFERROR(__xludf.DUMMYFUNCTION("INDIRECT(""'收支紀錄'!A""&amp;TO_TEXT(ROW()-$C$72))"),"")</f>
        <v/>
      </c>
      <c r="B1837" s="59" t="str">
        <f>IFERROR(__xludf.DUMMYFUNCTION("IF(ISBLANK(D1837), """", IF(ISDATE(D1837), D1837, IF(D1837=""今天"", A1837, IF(D1837=""昨天 (-1 day)"", A1837-1, IF(D1837=""前天 (-2 days)"", A1837-2, IF(D1837=""明天 (+1 day)"", A1837+1, DATE(LEFT(D1837,4), MID(D1837,5,2), RIGHT(D1837,2))))))))"),"")</f>
        <v/>
      </c>
      <c r="C1837" s="60" t="str">
        <f>IFERROR(__xludf.DUMMYFUNCTION("INDIRECT(""'收支紀錄'!C""&amp;TO_TEXT(ROW()-$C$72))"),"")</f>
        <v/>
      </c>
      <c r="D1837" s="63" t="str">
        <f>IFERROR(__xludf.DUMMYFUNCTION("INDIRECT(""'收支紀錄'!D""&amp;TO_TEXT(ROW()-$C$72))"),"")</f>
        <v/>
      </c>
      <c r="E1837" s="61" t="str">
        <f>IFERROR(__xludf.DUMMYFUNCTION("INDIRECT(""'收支紀錄'!E""&amp;TO_TEXT(ROW()-$C$72))"),"")</f>
        <v/>
      </c>
      <c r="F1837" s="61" t="str">
        <f>IFERROR(__xludf.DUMMYFUNCTION("INDIRECT(""'收支紀錄'!F""&amp;TO_TEXT(ROW()-$C$72))"),"")</f>
        <v/>
      </c>
      <c r="G1837" s="61" t="str">
        <f>IFERROR(__xludf.DUMMYFUNCTION("INDIRECT(""'收支紀錄'!G""&amp;TO_TEXT(ROW()-$C$72))"),"")</f>
        <v/>
      </c>
      <c r="H1837" s="61" t="str">
        <f>IFERROR(__xludf.DUMMYFUNCTION("INDIRECT(""'收支紀錄'!H""&amp;TO_TEXT(ROW()-$C$72))"),"")</f>
        <v/>
      </c>
      <c r="I1837" s="61" t="str">
        <f>IFERROR(__xludf.DUMMYFUNCTION("INDIRECT(""'收支紀錄'!I""&amp;TO_TEXT(ROW()-$C$72))"),"")</f>
        <v/>
      </c>
      <c r="J1837" s="61" t="str">
        <f>IFERROR(__xludf.DUMMYFUNCTION("INDIRECT(""'收支紀錄'!J""&amp;TO_TEXT(ROW()-$C$72))"),"")</f>
        <v/>
      </c>
      <c r="K1837" s="61" t="str">
        <f>IFERROR(__xludf.DUMMYFUNCTION("INDIRECT(""'收支紀錄'!K""&amp;TO_TEXT(ROW()-$C$72))"),"")</f>
        <v/>
      </c>
      <c r="L1837" s="61" t="str">
        <f>IFERROR(__xludf.DUMMYFUNCTION("INDIRECT(""'收支紀錄'!L""&amp;TO_TEXT(ROW()-$C$72))"),"")</f>
        <v/>
      </c>
      <c r="M1837" s="61" t="str">
        <f>IFERROR(__xludf.DUMMYFUNCTION("INDIRECT(""'收支紀錄'!M""&amp;TO_TEXT(ROW()-$C$72))"),"")</f>
        <v/>
      </c>
      <c r="N1837" s="61" t="str">
        <f>IFERROR(__xludf.DUMMYFUNCTION("INDIRECT(""'收支紀錄'!N""&amp;TO_TEXT(ROW()-$C$72))"),"")</f>
        <v/>
      </c>
      <c r="O1837" s="61" t="str">
        <f>IFERROR(__xludf.DUMMYFUNCTION("INDIRECT(""'收支紀錄'!O""&amp;TO_TEXT(ROW()-$C$72))"),"")</f>
        <v/>
      </c>
      <c r="P1837" s="61" t="str">
        <f>IFERROR(__xludf.DUMMYFUNCTION("INDIRECT(""'收支紀錄'!P""&amp;TO_TEXT(ROW()-$C$72))"),"")</f>
        <v/>
      </c>
      <c r="Q1837" s="61" t="str">
        <f>IFERROR(__xludf.DUMMYFUNCTION("INDIRECT(""'收支紀錄'!Q""&amp;TO_TEXT(ROW()-$C$72))"),"")</f>
        <v/>
      </c>
      <c r="R1837" s="61" t="str">
        <f>IFERROR(__xludf.DUMMYFUNCTION("INDIRECT(""'收支紀錄'!R""&amp;TO_TEXT(ROW()-$C$72))"),"")</f>
        <v/>
      </c>
      <c r="S1837" s="61" t="str">
        <f>IFERROR(__xludf.DUMMYFUNCTION("INDIRECT(""'收支紀錄'!S""&amp;TO_TEXT(ROW()-$C$72))"),"")</f>
        <v/>
      </c>
      <c r="T1837" s="61" t="str">
        <f>IFERROR(__xludf.DUMMYFUNCTION("INDIRECT(""'收支紀錄'!T""&amp;TO_TEXT(ROW()-$C$72))"),"")</f>
        <v/>
      </c>
      <c r="U1837" s="62" t="str">
        <f>IFERROR(__xludf.DUMMYFUNCTION("IF(T1837=""是"",TEXTJOIN("""", TRUE, ""$"", TO_TEXT(C1837), S1837),"""")"),"")</f>
        <v/>
      </c>
    </row>
    <row r="1838">
      <c r="A1838" s="58" t="str">
        <f>IFERROR(__xludf.DUMMYFUNCTION("INDIRECT(""'收支紀錄'!A""&amp;TO_TEXT(ROW()-$C$72))"),"")</f>
        <v/>
      </c>
      <c r="B1838" s="59" t="str">
        <f>IFERROR(__xludf.DUMMYFUNCTION("IF(ISBLANK(D1838), """", IF(ISDATE(D1838), D1838, IF(D1838=""今天"", A1838, IF(D1838=""昨天 (-1 day)"", A1838-1, IF(D1838=""前天 (-2 days)"", A1838-2, IF(D1838=""明天 (+1 day)"", A1838+1, DATE(LEFT(D1838,4), MID(D1838,5,2), RIGHT(D1838,2))))))))"),"")</f>
        <v/>
      </c>
      <c r="C1838" s="60" t="str">
        <f>IFERROR(__xludf.DUMMYFUNCTION("INDIRECT(""'收支紀錄'!C""&amp;TO_TEXT(ROW()-$C$72))"),"")</f>
        <v/>
      </c>
      <c r="D1838" s="63" t="str">
        <f>IFERROR(__xludf.DUMMYFUNCTION("INDIRECT(""'收支紀錄'!D""&amp;TO_TEXT(ROW()-$C$72))"),"")</f>
        <v/>
      </c>
      <c r="E1838" s="61" t="str">
        <f>IFERROR(__xludf.DUMMYFUNCTION("INDIRECT(""'收支紀錄'!E""&amp;TO_TEXT(ROW()-$C$72))"),"")</f>
        <v/>
      </c>
      <c r="F1838" s="61" t="str">
        <f>IFERROR(__xludf.DUMMYFUNCTION("INDIRECT(""'收支紀錄'!F""&amp;TO_TEXT(ROW()-$C$72))"),"")</f>
        <v/>
      </c>
      <c r="G1838" s="61" t="str">
        <f>IFERROR(__xludf.DUMMYFUNCTION("INDIRECT(""'收支紀錄'!G""&amp;TO_TEXT(ROW()-$C$72))"),"")</f>
        <v/>
      </c>
      <c r="H1838" s="61" t="str">
        <f>IFERROR(__xludf.DUMMYFUNCTION("INDIRECT(""'收支紀錄'!H""&amp;TO_TEXT(ROW()-$C$72))"),"")</f>
        <v/>
      </c>
      <c r="I1838" s="61" t="str">
        <f>IFERROR(__xludf.DUMMYFUNCTION("INDIRECT(""'收支紀錄'!I""&amp;TO_TEXT(ROW()-$C$72))"),"")</f>
        <v/>
      </c>
      <c r="J1838" s="61" t="str">
        <f>IFERROR(__xludf.DUMMYFUNCTION("INDIRECT(""'收支紀錄'!J""&amp;TO_TEXT(ROW()-$C$72))"),"")</f>
        <v/>
      </c>
      <c r="K1838" s="61" t="str">
        <f>IFERROR(__xludf.DUMMYFUNCTION("INDIRECT(""'收支紀錄'!K""&amp;TO_TEXT(ROW()-$C$72))"),"")</f>
        <v/>
      </c>
      <c r="L1838" s="61" t="str">
        <f>IFERROR(__xludf.DUMMYFUNCTION("INDIRECT(""'收支紀錄'!L""&amp;TO_TEXT(ROW()-$C$72))"),"")</f>
        <v/>
      </c>
      <c r="M1838" s="61" t="str">
        <f>IFERROR(__xludf.DUMMYFUNCTION("INDIRECT(""'收支紀錄'!M""&amp;TO_TEXT(ROW()-$C$72))"),"")</f>
        <v/>
      </c>
      <c r="N1838" s="61" t="str">
        <f>IFERROR(__xludf.DUMMYFUNCTION("INDIRECT(""'收支紀錄'!N""&amp;TO_TEXT(ROW()-$C$72))"),"")</f>
        <v/>
      </c>
      <c r="O1838" s="61" t="str">
        <f>IFERROR(__xludf.DUMMYFUNCTION("INDIRECT(""'收支紀錄'!O""&amp;TO_TEXT(ROW()-$C$72))"),"")</f>
        <v/>
      </c>
      <c r="P1838" s="61" t="str">
        <f>IFERROR(__xludf.DUMMYFUNCTION("INDIRECT(""'收支紀錄'!P""&amp;TO_TEXT(ROW()-$C$72))"),"")</f>
        <v/>
      </c>
      <c r="Q1838" s="61" t="str">
        <f>IFERROR(__xludf.DUMMYFUNCTION("INDIRECT(""'收支紀錄'!Q""&amp;TO_TEXT(ROW()-$C$72))"),"")</f>
        <v/>
      </c>
      <c r="R1838" s="61" t="str">
        <f>IFERROR(__xludf.DUMMYFUNCTION("INDIRECT(""'收支紀錄'!R""&amp;TO_TEXT(ROW()-$C$72))"),"")</f>
        <v/>
      </c>
      <c r="S1838" s="61" t="str">
        <f>IFERROR(__xludf.DUMMYFUNCTION("INDIRECT(""'收支紀錄'!S""&amp;TO_TEXT(ROW()-$C$72))"),"")</f>
        <v/>
      </c>
      <c r="T1838" s="61" t="str">
        <f>IFERROR(__xludf.DUMMYFUNCTION("INDIRECT(""'收支紀錄'!T""&amp;TO_TEXT(ROW()-$C$72))"),"")</f>
        <v/>
      </c>
      <c r="U1838" s="62" t="str">
        <f>IFERROR(__xludf.DUMMYFUNCTION("IF(T1838=""是"",TEXTJOIN("""", TRUE, ""$"", TO_TEXT(C1838), S1838),"""")"),"")</f>
        <v/>
      </c>
    </row>
    <row r="1839">
      <c r="A1839" s="58" t="str">
        <f>IFERROR(__xludf.DUMMYFUNCTION("INDIRECT(""'收支紀錄'!A""&amp;TO_TEXT(ROW()-$C$72))"),"")</f>
        <v/>
      </c>
      <c r="B1839" s="59" t="str">
        <f>IFERROR(__xludf.DUMMYFUNCTION("IF(ISBLANK(D1839), """", IF(ISDATE(D1839), D1839, IF(D1839=""今天"", A1839, IF(D1839=""昨天 (-1 day)"", A1839-1, IF(D1839=""前天 (-2 days)"", A1839-2, IF(D1839=""明天 (+1 day)"", A1839+1, DATE(LEFT(D1839,4), MID(D1839,5,2), RIGHT(D1839,2))))))))"),"")</f>
        <v/>
      </c>
      <c r="C1839" s="60" t="str">
        <f>IFERROR(__xludf.DUMMYFUNCTION("INDIRECT(""'收支紀錄'!C""&amp;TO_TEXT(ROW()-$C$72))"),"")</f>
        <v/>
      </c>
      <c r="D1839" s="63" t="str">
        <f>IFERROR(__xludf.DUMMYFUNCTION("INDIRECT(""'收支紀錄'!D""&amp;TO_TEXT(ROW()-$C$72))"),"")</f>
        <v/>
      </c>
      <c r="E1839" s="61" t="str">
        <f>IFERROR(__xludf.DUMMYFUNCTION("INDIRECT(""'收支紀錄'!E""&amp;TO_TEXT(ROW()-$C$72))"),"")</f>
        <v/>
      </c>
      <c r="F1839" s="61" t="str">
        <f>IFERROR(__xludf.DUMMYFUNCTION("INDIRECT(""'收支紀錄'!F""&amp;TO_TEXT(ROW()-$C$72))"),"")</f>
        <v/>
      </c>
      <c r="G1839" s="61" t="str">
        <f>IFERROR(__xludf.DUMMYFUNCTION("INDIRECT(""'收支紀錄'!G""&amp;TO_TEXT(ROW()-$C$72))"),"")</f>
        <v/>
      </c>
      <c r="H1839" s="61" t="str">
        <f>IFERROR(__xludf.DUMMYFUNCTION("INDIRECT(""'收支紀錄'!H""&amp;TO_TEXT(ROW()-$C$72))"),"")</f>
        <v/>
      </c>
      <c r="I1839" s="61" t="str">
        <f>IFERROR(__xludf.DUMMYFUNCTION("INDIRECT(""'收支紀錄'!I""&amp;TO_TEXT(ROW()-$C$72))"),"")</f>
        <v/>
      </c>
      <c r="J1839" s="61" t="str">
        <f>IFERROR(__xludf.DUMMYFUNCTION("INDIRECT(""'收支紀錄'!J""&amp;TO_TEXT(ROW()-$C$72))"),"")</f>
        <v/>
      </c>
      <c r="K1839" s="61" t="str">
        <f>IFERROR(__xludf.DUMMYFUNCTION("INDIRECT(""'收支紀錄'!K""&amp;TO_TEXT(ROW()-$C$72))"),"")</f>
        <v/>
      </c>
      <c r="L1839" s="61" t="str">
        <f>IFERROR(__xludf.DUMMYFUNCTION("INDIRECT(""'收支紀錄'!L""&amp;TO_TEXT(ROW()-$C$72))"),"")</f>
        <v/>
      </c>
      <c r="M1839" s="61" t="str">
        <f>IFERROR(__xludf.DUMMYFUNCTION("INDIRECT(""'收支紀錄'!M""&amp;TO_TEXT(ROW()-$C$72))"),"")</f>
        <v/>
      </c>
      <c r="N1839" s="61" t="str">
        <f>IFERROR(__xludf.DUMMYFUNCTION("INDIRECT(""'收支紀錄'!N""&amp;TO_TEXT(ROW()-$C$72))"),"")</f>
        <v/>
      </c>
      <c r="O1839" s="61" t="str">
        <f>IFERROR(__xludf.DUMMYFUNCTION("INDIRECT(""'收支紀錄'!O""&amp;TO_TEXT(ROW()-$C$72))"),"")</f>
        <v/>
      </c>
      <c r="P1839" s="61" t="str">
        <f>IFERROR(__xludf.DUMMYFUNCTION("INDIRECT(""'收支紀錄'!P""&amp;TO_TEXT(ROW()-$C$72))"),"")</f>
        <v/>
      </c>
      <c r="Q1839" s="61" t="str">
        <f>IFERROR(__xludf.DUMMYFUNCTION("INDIRECT(""'收支紀錄'!Q""&amp;TO_TEXT(ROW()-$C$72))"),"")</f>
        <v/>
      </c>
      <c r="R1839" s="61" t="str">
        <f>IFERROR(__xludf.DUMMYFUNCTION("INDIRECT(""'收支紀錄'!R""&amp;TO_TEXT(ROW()-$C$72))"),"")</f>
        <v/>
      </c>
      <c r="S1839" s="61" t="str">
        <f>IFERROR(__xludf.DUMMYFUNCTION("INDIRECT(""'收支紀錄'!S""&amp;TO_TEXT(ROW()-$C$72))"),"")</f>
        <v/>
      </c>
      <c r="T1839" s="61" t="str">
        <f>IFERROR(__xludf.DUMMYFUNCTION("INDIRECT(""'收支紀錄'!T""&amp;TO_TEXT(ROW()-$C$72))"),"")</f>
        <v/>
      </c>
      <c r="U1839" s="62" t="str">
        <f>IFERROR(__xludf.DUMMYFUNCTION("IF(T1839=""是"",TEXTJOIN("""", TRUE, ""$"", TO_TEXT(C1839), S1839),"""")"),"")</f>
        <v/>
      </c>
    </row>
    <row r="1840">
      <c r="A1840" s="58" t="str">
        <f>IFERROR(__xludf.DUMMYFUNCTION("INDIRECT(""'收支紀錄'!A""&amp;TO_TEXT(ROW()-$C$72))"),"")</f>
        <v/>
      </c>
      <c r="B1840" s="59" t="str">
        <f>IFERROR(__xludf.DUMMYFUNCTION("IF(ISBLANK(D1840), """", IF(ISDATE(D1840), D1840, IF(D1840=""今天"", A1840, IF(D1840=""昨天 (-1 day)"", A1840-1, IF(D1840=""前天 (-2 days)"", A1840-2, IF(D1840=""明天 (+1 day)"", A1840+1, DATE(LEFT(D1840,4), MID(D1840,5,2), RIGHT(D1840,2))))))))"),"")</f>
        <v/>
      </c>
      <c r="C1840" s="60" t="str">
        <f>IFERROR(__xludf.DUMMYFUNCTION("INDIRECT(""'收支紀錄'!C""&amp;TO_TEXT(ROW()-$C$72))"),"")</f>
        <v/>
      </c>
      <c r="D1840" s="63" t="str">
        <f>IFERROR(__xludf.DUMMYFUNCTION("INDIRECT(""'收支紀錄'!D""&amp;TO_TEXT(ROW()-$C$72))"),"")</f>
        <v/>
      </c>
      <c r="E1840" s="61" t="str">
        <f>IFERROR(__xludf.DUMMYFUNCTION("INDIRECT(""'收支紀錄'!E""&amp;TO_TEXT(ROW()-$C$72))"),"")</f>
        <v/>
      </c>
      <c r="F1840" s="61" t="str">
        <f>IFERROR(__xludf.DUMMYFUNCTION("INDIRECT(""'收支紀錄'!F""&amp;TO_TEXT(ROW()-$C$72))"),"")</f>
        <v/>
      </c>
      <c r="G1840" s="61" t="str">
        <f>IFERROR(__xludf.DUMMYFUNCTION("INDIRECT(""'收支紀錄'!G""&amp;TO_TEXT(ROW()-$C$72))"),"")</f>
        <v/>
      </c>
      <c r="H1840" s="61" t="str">
        <f>IFERROR(__xludf.DUMMYFUNCTION("INDIRECT(""'收支紀錄'!H""&amp;TO_TEXT(ROW()-$C$72))"),"")</f>
        <v/>
      </c>
      <c r="I1840" s="61" t="str">
        <f>IFERROR(__xludf.DUMMYFUNCTION("INDIRECT(""'收支紀錄'!I""&amp;TO_TEXT(ROW()-$C$72))"),"")</f>
        <v/>
      </c>
      <c r="J1840" s="61" t="str">
        <f>IFERROR(__xludf.DUMMYFUNCTION("INDIRECT(""'收支紀錄'!J""&amp;TO_TEXT(ROW()-$C$72))"),"")</f>
        <v/>
      </c>
      <c r="K1840" s="61" t="str">
        <f>IFERROR(__xludf.DUMMYFUNCTION("INDIRECT(""'收支紀錄'!K""&amp;TO_TEXT(ROW()-$C$72))"),"")</f>
        <v/>
      </c>
      <c r="L1840" s="61" t="str">
        <f>IFERROR(__xludf.DUMMYFUNCTION("INDIRECT(""'收支紀錄'!L""&amp;TO_TEXT(ROW()-$C$72))"),"")</f>
        <v/>
      </c>
      <c r="M1840" s="61" t="str">
        <f>IFERROR(__xludf.DUMMYFUNCTION("INDIRECT(""'收支紀錄'!M""&amp;TO_TEXT(ROW()-$C$72))"),"")</f>
        <v/>
      </c>
      <c r="N1840" s="61" t="str">
        <f>IFERROR(__xludf.DUMMYFUNCTION("INDIRECT(""'收支紀錄'!N""&amp;TO_TEXT(ROW()-$C$72))"),"")</f>
        <v/>
      </c>
      <c r="O1840" s="61" t="str">
        <f>IFERROR(__xludf.DUMMYFUNCTION("INDIRECT(""'收支紀錄'!O""&amp;TO_TEXT(ROW()-$C$72))"),"")</f>
        <v/>
      </c>
      <c r="P1840" s="61" t="str">
        <f>IFERROR(__xludf.DUMMYFUNCTION("INDIRECT(""'收支紀錄'!P""&amp;TO_TEXT(ROW()-$C$72))"),"")</f>
        <v/>
      </c>
      <c r="Q1840" s="61" t="str">
        <f>IFERROR(__xludf.DUMMYFUNCTION("INDIRECT(""'收支紀錄'!Q""&amp;TO_TEXT(ROW()-$C$72))"),"")</f>
        <v/>
      </c>
      <c r="R1840" s="61" t="str">
        <f>IFERROR(__xludf.DUMMYFUNCTION("INDIRECT(""'收支紀錄'!R""&amp;TO_TEXT(ROW()-$C$72))"),"")</f>
        <v/>
      </c>
      <c r="S1840" s="61" t="str">
        <f>IFERROR(__xludf.DUMMYFUNCTION("INDIRECT(""'收支紀錄'!S""&amp;TO_TEXT(ROW()-$C$72))"),"")</f>
        <v/>
      </c>
      <c r="T1840" s="61" t="str">
        <f>IFERROR(__xludf.DUMMYFUNCTION("INDIRECT(""'收支紀錄'!T""&amp;TO_TEXT(ROW()-$C$72))"),"")</f>
        <v/>
      </c>
      <c r="U1840" s="62" t="str">
        <f>IFERROR(__xludf.DUMMYFUNCTION("IF(T1840=""是"",TEXTJOIN("""", TRUE, ""$"", TO_TEXT(C1840), S1840),"""")"),"")</f>
        <v/>
      </c>
    </row>
    <row r="1841">
      <c r="A1841" s="58" t="str">
        <f>IFERROR(__xludf.DUMMYFUNCTION("INDIRECT(""'收支紀錄'!A""&amp;TO_TEXT(ROW()-$C$72))"),"")</f>
        <v/>
      </c>
      <c r="B1841" s="59" t="str">
        <f>IFERROR(__xludf.DUMMYFUNCTION("IF(ISBLANK(D1841), """", IF(ISDATE(D1841), D1841, IF(D1841=""今天"", A1841, IF(D1841=""昨天 (-1 day)"", A1841-1, IF(D1841=""前天 (-2 days)"", A1841-2, IF(D1841=""明天 (+1 day)"", A1841+1, DATE(LEFT(D1841,4), MID(D1841,5,2), RIGHT(D1841,2))))))))"),"")</f>
        <v/>
      </c>
      <c r="C1841" s="60" t="str">
        <f>IFERROR(__xludf.DUMMYFUNCTION("INDIRECT(""'收支紀錄'!C""&amp;TO_TEXT(ROW()-$C$72))"),"")</f>
        <v/>
      </c>
      <c r="D1841" s="63" t="str">
        <f>IFERROR(__xludf.DUMMYFUNCTION("INDIRECT(""'收支紀錄'!D""&amp;TO_TEXT(ROW()-$C$72))"),"")</f>
        <v/>
      </c>
      <c r="E1841" s="61" t="str">
        <f>IFERROR(__xludf.DUMMYFUNCTION("INDIRECT(""'收支紀錄'!E""&amp;TO_TEXT(ROW()-$C$72))"),"")</f>
        <v/>
      </c>
      <c r="F1841" s="61" t="str">
        <f>IFERROR(__xludf.DUMMYFUNCTION("INDIRECT(""'收支紀錄'!F""&amp;TO_TEXT(ROW()-$C$72))"),"")</f>
        <v/>
      </c>
      <c r="G1841" s="61" t="str">
        <f>IFERROR(__xludf.DUMMYFUNCTION("INDIRECT(""'收支紀錄'!G""&amp;TO_TEXT(ROW()-$C$72))"),"")</f>
        <v/>
      </c>
      <c r="H1841" s="61" t="str">
        <f>IFERROR(__xludf.DUMMYFUNCTION("INDIRECT(""'收支紀錄'!H""&amp;TO_TEXT(ROW()-$C$72))"),"")</f>
        <v/>
      </c>
      <c r="I1841" s="61" t="str">
        <f>IFERROR(__xludf.DUMMYFUNCTION("INDIRECT(""'收支紀錄'!I""&amp;TO_TEXT(ROW()-$C$72))"),"")</f>
        <v/>
      </c>
      <c r="J1841" s="61" t="str">
        <f>IFERROR(__xludf.DUMMYFUNCTION("INDIRECT(""'收支紀錄'!J""&amp;TO_TEXT(ROW()-$C$72))"),"")</f>
        <v/>
      </c>
      <c r="K1841" s="61" t="str">
        <f>IFERROR(__xludf.DUMMYFUNCTION("INDIRECT(""'收支紀錄'!K""&amp;TO_TEXT(ROW()-$C$72))"),"")</f>
        <v/>
      </c>
      <c r="L1841" s="61" t="str">
        <f>IFERROR(__xludf.DUMMYFUNCTION("INDIRECT(""'收支紀錄'!L""&amp;TO_TEXT(ROW()-$C$72))"),"")</f>
        <v/>
      </c>
      <c r="M1841" s="61" t="str">
        <f>IFERROR(__xludf.DUMMYFUNCTION("INDIRECT(""'收支紀錄'!M""&amp;TO_TEXT(ROW()-$C$72))"),"")</f>
        <v/>
      </c>
      <c r="N1841" s="61" t="str">
        <f>IFERROR(__xludf.DUMMYFUNCTION("INDIRECT(""'收支紀錄'!N""&amp;TO_TEXT(ROW()-$C$72))"),"")</f>
        <v/>
      </c>
      <c r="O1841" s="61" t="str">
        <f>IFERROR(__xludf.DUMMYFUNCTION("INDIRECT(""'收支紀錄'!O""&amp;TO_TEXT(ROW()-$C$72))"),"")</f>
        <v/>
      </c>
      <c r="P1841" s="61" t="str">
        <f>IFERROR(__xludf.DUMMYFUNCTION("INDIRECT(""'收支紀錄'!P""&amp;TO_TEXT(ROW()-$C$72))"),"")</f>
        <v/>
      </c>
      <c r="Q1841" s="61" t="str">
        <f>IFERROR(__xludf.DUMMYFUNCTION("INDIRECT(""'收支紀錄'!Q""&amp;TO_TEXT(ROW()-$C$72))"),"")</f>
        <v/>
      </c>
      <c r="R1841" s="61" t="str">
        <f>IFERROR(__xludf.DUMMYFUNCTION("INDIRECT(""'收支紀錄'!R""&amp;TO_TEXT(ROW()-$C$72))"),"")</f>
        <v/>
      </c>
      <c r="S1841" s="61" t="str">
        <f>IFERROR(__xludf.DUMMYFUNCTION("INDIRECT(""'收支紀錄'!S""&amp;TO_TEXT(ROW()-$C$72))"),"")</f>
        <v/>
      </c>
      <c r="T1841" s="61" t="str">
        <f>IFERROR(__xludf.DUMMYFUNCTION("INDIRECT(""'收支紀錄'!T""&amp;TO_TEXT(ROW()-$C$72))"),"")</f>
        <v/>
      </c>
      <c r="U1841" s="62" t="str">
        <f>IFERROR(__xludf.DUMMYFUNCTION("IF(T1841=""是"",TEXTJOIN("""", TRUE, ""$"", TO_TEXT(C1841), S1841),"""")"),"")</f>
        <v/>
      </c>
    </row>
    <row r="1842">
      <c r="A1842" s="58" t="str">
        <f>IFERROR(__xludf.DUMMYFUNCTION("INDIRECT(""'收支紀錄'!A""&amp;TO_TEXT(ROW()-$C$72))"),"")</f>
        <v/>
      </c>
      <c r="B1842" s="59" t="str">
        <f>IFERROR(__xludf.DUMMYFUNCTION("IF(ISBLANK(D1842), """", IF(ISDATE(D1842), D1842, IF(D1842=""今天"", A1842, IF(D1842=""昨天 (-1 day)"", A1842-1, IF(D1842=""前天 (-2 days)"", A1842-2, IF(D1842=""明天 (+1 day)"", A1842+1, DATE(LEFT(D1842,4), MID(D1842,5,2), RIGHT(D1842,2))))))))"),"")</f>
        <v/>
      </c>
      <c r="C1842" s="60" t="str">
        <f>IFERROR(__xludf.DUMMYFUNCTION("INDIRECT(""'收支紀錄'!C""&amp;TO_TEXT(ROW()-$C$72))"),"")</f>
        <v/>
      </c>
      <c r="D1842" s="63" t="str">
        <f>IFERROR(__xludf.DUMMYFUNCTION("INDIRECT(""'收支紀錄'!D""&amp;TO_TEXT(ROW()-$C$72))"),"")</f>
        <v/>
      </c>
      <c r="E1842" s="61" t="str">
        <f>IFERROR(__xludf.DUMMYFUNCTION("INDIRECT(""'收支紀錄'!E""&amp;TO_TEXT(ROW()-$C$72))"),"")</f>
        <v/>
      </c>
      <c r="F1842" s="61" t="str">
        <f>IFERROR(__xludf.DUMMYFUNCTION("INDIRECT(""'收支紀錄'!F""&amp;TO_TEXT(ROW()-$C$72))"),"")</f>
        <v/>
      </c>
      <c r="G1842" s="61" t="str">
        <f>IFERROR(__xludf.DUMMYFUNCTION("INDIRECT(""'收支紀錄'!G""&amp;TO_TEXT(ROW()-$C$72))"),"")</f>
        <v/>
      </c>
      <c r="H1842" s="61" t="str">
        <f>IFERROR(__xludf.DUMMYFUNCTION("INDIRECT(""'收支紀錄'!H""&amp;TO_TEXT(ROW()-$C$72))"),"")</f>
        <v/>
      </c>
      <c r="I1842" s="61" t="str">
        <f>IFERROR(__xludf.DUMMYFUNCTION("INDIRECT(""'收支紀錄'!I""&amp;TO_TEXT(ROW()-$C$72))"),"")</f>
        <v/>
      </c>
      <c r="J1842" s="61" t="str">
        <f>IFERROR(__xludf.DUMMYFUNCTION("INDIRECT(""'收支紀錄'!J""&amp;TO_TEXT(ROW()-$C$72))"),"")</f>
        <v/>
      </c>
      <c r="K1842" s="61" t="str">
        <f>IFERROR(__xludf.DUMMYFUNCTION("INDIRECT(""'收支紀錄'!K""&amp;TO_TEXT(ROW()-$C$72))"),"")</f>
        <v/>
      </c>
      <c r="L1842" s="61" t="str">
        <f>IFERROR(__xludf.DUMMYFUNCTION("INDIRECT(""'收支紀錄'!L""&amp;TO_TEXT(ROW()-$C$72))"),"")</f>
        <v/>
      </c>
      <c r="M1842" s="61" t="str">
        <f>IFERROR(__xludf.DUMMYFUNCTION("INDIRECT(""'收支紀錄'!M""&amp;TO_TEXT(ROW()-$C$72))"),"")</f>
        <v/>
      </c>
      <c r="N1842" s="61" t="str">
        <f>IFERROR(__xludf.DUMMYFUNCTION("INDIRECT(""'收支紀錄'!N""&amp;TO_TEXT(ROW()-$C$72))"),"")</f>
        <v/>
      </c>
      <c r="O1842" s="61" t="str">
        <f>IFERROR(__xludf.DUMMYFUNCTION("INDIRECT(""'收支紀錄'!O""&amp;TO_TEXT(ROW()-$C$72))"),"")</f>
        <v/>
      </c>
      <c r="P1842" s="61" t="str">
        <f>IFERROR(__xludf.DUMMYFUNCTION("INDIRECT(""'收支紀錄'!P""&amp;TO_TEXT(ROW()-$C$72))"),"")</f>
        <v/>
      </c>
      <c r="Q1842" s="61" t="str">
        <f>IFERROR(__xludf.DUMMYFUNCTION("INDIRECT(""'收支紀錄'!Q""&amp;TO_TEXT(ROW()-$C$72))"),"")</f>
        <v/>
      </c>
      <c r="R1842" s="61" t="str">
        <f>IFERROR(__xludf.DUMMYFUNCTION("INDIRECT(""'收支紀錄'!R""&amp;TO_TEXT(ROW()-$C$72))"),"")</f>
        <v/>
      </c>
      <c r="S1842" s="61" t="str">
        <f>IFERROR(__xludf.DUMMYFUNCTION("INDIRECT(""'收支紀錄'!S""&amp;TO_TEXT(ROW()-$C$72))"),"")</f>
        <v/>
      </c>
      <c r="T1842" s="61" t="str">
        <f>IFERROR(__xludf.DUMMYFUNCTION("INDIRECT(""'收支紀錄'!T""&amp;TO_TEXT(ROW()-$C$72))"),"")</f>
        <v/>
      </c>
      <c r="U1842" s="62" t="str">
        <f>IFERROR(__xludf.DUMMYFUNCTION("IF(T1842=""是"",TEXTJOIN("""", TRUE, ""$"", TO_TEXT(C1842), S1842),"""")"),"")</f>
        <v/>
      </c>
    </row>
    <row r="1843">
      <c r="A1843" s="58" t="str">
        <f>IFERROR(__xludf.DUMMYFUNCTION("INDIRECT(""'收支紀錄'!A""&amp;TO_TEXT(ROW()-$C$72))"),"")</f>
        <v/>
      </c>
      <c r="B1843" s="59" t="str">
        <f>IFERROR(__xludf.DUMMYFUNCTION("IF(ISBLANK(D1843), """", IF(ISDATE(D1843), D1843, IF(D1843=""今天"", A1843, IF(D1843=""昨天 (-1 day)"", A1843-1, IF(D1843=""前天 (-2 days)"", A1843-2, IF(D1843=""明天 (+1 day)"", A1843+1, DATE(LEFT(D1843,4), MID(D1843,5,2), RIGHT(D1843,2))))))))"),"")</f>
        <v/>
      </c>
      <c r="C1843" s="60" t="str">
        <f>IFERROR(__xludf.DUMMYFUNCTION("INDIRECT(""'收支紀錄'!C""&amp;TO_TEXT(ROW()-$C$72))"),"")</f>
        <v/>
      </c>
      <c r="D1843" s="63" t="str">
        <f>IFERROR(__xludf.DUMMYFUNCTION("INDIRECT(""'收支紀錄'!D""&amp;TO_TEXT(ROW()-$C$72))"),"")</f>
        <v/>
      </c>
      <c r="E1843" s="61" t="str">
        <f>IFERROR(__xludf.DUMMYFUNCTION("INDIRECT(""'收支紀錄'!E""&amp;TO_TEXT(ROW()-$C$72))"),"")</f>
        <v/>
      </c>
      <c r="F1843" s="61" t="str">
        <f>IFERROR(__xludf.DUMMYFUNCTION("INDIRECT(""'收支紀錄'!F""&amp;TO_TEXT(ROW()-$C$72))"),"")</f>
        <v/>
      </c>
      <c r="G1843" s="61" t="str">
        <f>IFERROR(__xludf.DUMMYFUNCTION("INDIRECT(""'收支紀錄'!G""&amp;TO_TEXT(ROW()-$C$72))"),"")</f>
        <v/>
      </c>
      <c r="H1843" s="61" t="str">
        <f>IFERROR(__xludf.DUMMYFUNCTION("INDIRECT(""'收支紀錄'!H""&amp;TO_TEXT(ROW()-$C$72))"),"")</f>
        <v/>
      </c>
      <c r="I1843" s="61" t="str">
        <f>IFERROR(__xludf.DUMMYFUNCTION("INDIRECT(""'收支紀錄'!I""&amp;TO_TEXT(ROW()-$C$72))"),"")</f>
        <v/>
      </c>
      <c r="J1843" s="61" t="str">
        <f>IFERROR(__xludf.DUMMYFUNCTION("INDIRECT(""'收支紀錄'!J""&amp;TO_TEXT(ROW()-$C$72))"),"")</f>
        <v/>
      </c>
      <c r="K1843" s="61" t="str">
        <f>IFERROR(__xludf.DUMMYFUNCTION("INDIRECT(""'收支紀錄'!K""&amp;TO_TEXT(ROW()-$C$72))"),"")</f>
        <v/>
      </c>
      <c r="L1843" s="61" t="str">
        <f>IFERROR(__xludf.DUMMYFUNCTION("INDIRECT(""'收支紀錄'!L""&amp;TO_TEXT(ROW()-$C$72))"),"")</f>
        <v/>
      </c>
      <c r="M1843" s="61" t="str">
        <f>IFERROR(__xludf.DUMMYFUNCTION("INDIRECT(""'收支紀錄'!M""&amp;TO_TEXT(ROW()-$C$72))"),"")</f>
        <v/>
      </c>
      <c r="N1843" s="61" t="str">
        <f>IFERROR(__xludf.DUMMYFUNCTION("INDIRECT(""'收支紀錄'!N""&amp;TO_TEXT(ROW()-$C$72))"),"")</f>
        <v/>
      </c>
      <c r="O1843" s="61" t="str">
        <f>IFERROR(__xludf.DUMMYFUNCTION("INDIRECT(""'收支紀錄'!O""&amp;TO_TEXT(ROW()-$C$72))"),"")</f>
        <v/>
      </c>
      <c r="P1843" s="61" t="str">
        <f>IFERROR(__xludf.DUMMYFUNCTION("INDIRECT(""'收支紀錄'!P""&amp;TO_TEXT(ROW()-$C$72))"),"")</f>
        <v/>
      </c>
      <c r="Q1843" s="61" t="str">
        <f>IFERROR(__xludf.DUMMYFUNCTION("INDIRECT(""'收支紀錄'!Q""&amp;TO_TEXT(ROW()-$C$72))"),"")</f>
        <v/>
      </c>
      <c r="R1843" s="61" t="str">
        <f>IFERROR(__xludf.DUMMYFUNCTION("INDIRECT(""'收支紀錄'!R""&amp;TO_TEXT(ROW()-$C$72))"),"")</f>
        <v/>
      </c>
      <c r="S1843" s="61" t="str">
        <f>IFERROR(__xludf.DUMMYFUNCTION("INDIRECT(""'收支紀錄'!S""&amp;TO_TEXT(ROW()-$C$72))"),"")</f>
        <v/>
      </c>
      <c r="T1843" s="61" t="str">
        <f>IFERROR(__xludf.DUMMYFUNCTION("INDIRECT(""'收支紀錄'!T""&amp;TO_TEXT(ROW()-$C$72))"),"")</f>
        <v/>
      </c>
      <c r="U1843" s="62" t="str">
        <f>IFERROR(__xludf.DUMMYFUNCTION("IF(T1843=""是"",TEXTJOIN("""", TRUE, ""$"", TO_TEXT(C1843), S1843),"""")"),"")</f>
        <v/>
      </c>
    </row>
    <row r="1844">
      <c r="A1844" s="58" t="str">
        <f>IFERROR(__xludf.DUMMYFUNCTION("INDIRECT(""'收支紀錄'!A""&amp;TO_TEXT(ROW()-$C$72))"),"")</f>
        <v/>
      </c>
      <c r="B1844" s="59" t="str">
        <f>IFERROR(__xludf.DUMMYFUNCTION("IF(ISBLANK(D1844), """", IF(ISDATE(D1844), D1844, IF(D1844=""今天"", A1844, IF(D1844=""昨天 (-1 day)"", A1844-1, IF(D1844=""前天 (-2 days)"", A1844-2, IF(D1844=""明天 (+1 day)"", A1844+1, DATE(LEFT(D1844,4), MID(D1844,5,2), RIGHT(D1844,2))))))))"),"")</f>
        <v/>
      </c>
      <c r="C1844" s="60" t="str">
        <f>IFERROR(__xludf.DUMMYFUNCTION("INDIRECT(""'收支紀錄'!C""&amp;TO_TEXT(ROW()-$C$72))"),"")</f>
        <v/>
      </c>
      <c r="D1844" s="63" t="str">
        <f>IFERROR(__xludf.DUMMYFUNCTION("INDIRECT(""'收支紀錄'!D""&amp;TO_TEXT(ROW()-$C$72))"),"")</f>
        <v/>
      </c>
      <c r="E1844" s="61" t="str">
        <f>IFERROR(__xludf.DUMMYFUNCTION("INDIRECT(""'收支紀錄'!E""&amp;TO_TEXT(ROW()-$C$72))"),"")</f>
        <v/>
      </c>
      <c r="F1844" s="61" t="str">
        <f>IFERROR(__xludf.DUMMYFUNCTION("INDIRECT(""'收支紀錄'!F""&amp;TO_TEXT(ROW()-$C$72))"),"")</f>
        <v/>
      </c>
      <c r="G1844" s="61" t="str">
        <f>IFERROR(__xludf.DUMMYFUNCTION("INDIRECT(""'收支紀錄'!G""&amp;TO_TEXT(ROW()-$C$72))"),"")</f>
        <v/>
      </c>
      <c r="H1844" s="61" t="str">
        <f>IFERROR(__xludf.DUMMYFUNCTION("INDIRECT(""'收支紀錄'!H""&amp;TO_TEXT(ROW()-$C$72))"),"")</f>
        <v/>
      </c>
      <c r="I1844" s="61" t="str">
        <f>IFERROR(__xludf.DUMMYFUNCTION("INDIRECT(""'收支紀錄'!I""&amp;TO_TEXT(ROW()-$C$72))"),"")</f>
        <v/>
      </c>
      <c r="J1844" s="61" t="str">
        <f>IFERROR(__xludf.DUMMYFUNCTION("INDIRECT(""'收支紀錄'!J""&amp;TO_TEXT(ROW()-$C$72))"),"")</f>
        <v/>
      </c>
      <c r="K1844" s="61" t="str">
        <f>IFERROR(__xludf.DUMMYFUNCTION("INDIRECT(""'收支紀錄'!K""&amp;TO_TEXT(ROW()-$C$72))"),"")</f>
        <v/>
      </c>
      <c r="L1844" s="61" t="str">
        <f>IFERROR(__xludf.DUMMYFUNCTION("INDIRECT(""'收支紀錄'!L""&amp;TO_TEXT(ROW()-$C$72))"),"")</f>
        <v/>
      </c>
      <c r="M1844" s="61" t="str">
        <f>IFERROR(__xludf.DUMMYFUNCTION("INDIRECT(""'收支紀錄'!M""&amp;TO_TEXT(ROW()-$C$72))"),"")</f>
        <v/>
      </c>
      <c r="N1844" s="61" t="str">
        <f>IFERROR(__xludf.DUMMYFUNCTION("INDIRECT(""'收支紀錄'!N""&amp;TO_TEXT(ROW()-$C$72))"),"")</f>
        <v/>
      </c>
      <c r="O1844" s="61" t="str">
        <f>IFERROR(__xludf.DUMMYFUNCTION("INDIRECT(""'收支紀錄'!O""&amp;TO_TEXT(ROW()-$C$72))"),"")</f>
        <v/>
      </c>
      <c r="P1844" s="61" t="str">
        <f>IFERROR(__xludf.DUMMYFUNCTION("INDIRECT(""'收支紀錄'!P""&amp;TO_TEXT(ROW()-$C$72))"),"")</f>
        <v/>
      </c>
      <c r="Q1844" s="61" t="str">
        <f>IFERROR(__xludf.DUMMYFUNCTION("INDIRECT(""'收支紀錄'!Q""&amp;TO_TEXT(ROW()-$C$72))"),"")</f>
        <v/>
      </c>
      <c r="R1844" s="61" t="str">
        <f>IFERROR(__xludf.DUMMYFUNCTION("INDIRECT(""'收支紀錄'!R""&amp;TO_TEXT(ROW()-$C$72))"),"")</f>
        <v/>
      </c>
      <c r="S1844" s="61" t="str">
        <f>IFERROR(__xludf.DUMMYFUNCTION("INDIRECT(""'收支紀錄'!S""&amp;TO_TEXT(ROW()-$C$72))"),"")</f>
        <v/>
      </c>
      <c r="T1844" s="61" t="str">
        <f>IFERROR(__xludf.DUMMYFUNCTION("INDIRECT(""'收支紀錄'!T""&amp;TO_TEXT(ROW()-$C$72))"),"")</f>
        <v/>
      </c>
      <c r="U1844" s="62" t="str">
        <f>IFERROR(__xludf.DUMMYFUNCTION("IF(T1844=""是"",TEXTJOIN("""", TRUE, ""$"", TO_TEXT(C1844), S1844),"""")"),"")</f>
        <v/>
      </c>
    </row>
    <row r="1845">
      <c r="A1845" s="58" t="str">
        <f>IFERROR(__xludf.DUMMYFUNCTION("INDIRECT(""'收支紀錄'!A""&amp;TO_TEXT(ROW()-$C$72))"),"")</f>
        <v/>
      </c>
      <c r="B1845" s="59" t="str">
        <f>IFERROR(__xludf.DUMMYFUNCTION("IF(ISBLANK(D1845), """", IF(ISDATE(D1845), D1845, IF(D1845=""今天"", A1845, IF(D1845=""昨天 (-1 day)"", A1845-1, IF(D1845=""前天 (-2 days)"", A1845-2, IF(D1845=""明天 (+1 day)"", A1845+1, DATE(LEFT(D1845,4), MID(D1845,5,2), RIGHT(D1845,2))))))))"),"")</f>
        <v/>
      </c>
      <c r="C1845" s="60" t="str">
        <f>IFERROR(__xludf.DUMMYFUNCTION("INDIRECT(""'收支紀錄'!C""&amp;TO_TEXT(ROW()-$C$72))"),"")</f>
        <v/>
      </c>
      <c r="D1845" s="63" t="str">
        <f>IFERROR(__xludf.DUMMYFUNCTION("INDIRECT(""'收支紀錄'!D""&amp;TO_TEXT(ROW()-$C$72))"),"")</f>
        <v/>
      </c>
      <c r="E1845" s="61" t="str">
        <f>IFERROR(__xludf.DUMMYFUNCTION("INDIRECT(""'收支紀錄'!E""&amp;TO_TEXT(ROW()-$C$72))"),"")</f>
        <v/>
      </c>
      <c r="F1845" s="61" t="str">
        <f>IFERROR(__xludf.DUMMYFUNCTION("INDIRECT(""'收支紀錄'!F""&amp;TO_TEXT(ROW()-$C$72))"),"")</f>
        <v/>
      </c>
      <c r="G1845" s="61" t="str">
        <f>IFERROR(__xludf.DUMMYFUNCTION("INDIRECT(""'收支紀錄'!G""&amp;TO_TEXT(ROW()-$C$72))"),"")</f>
        <v/>
      </c>
      <c r="H1845" s="61" t="str">
        <f>IFERROR(__xludf.DUMMYFUNCTION("INDIRECT(""'收支紀錄'!H""&amp;TO_TEXT(ROW()-$C$72))"),"")</f>
        <v/>
      </c>
      <c r="I1845" s="61" t="str">
        <f>IFERROR(__xludf.DUMMYFUNCTION("INDIRECT(""'收支紀錄'!I""&amp;TO_TEXT(ROW()-$C$72))"),"")</f>
        <v/>
      </c>
      <c r="J1845" s="61" t="str">
        <f>IFERROR(__xludf.DUMMYFUNCTION("INDIRECT(""'收支紀錄'!J""&amp;TO_TEXT(ROW()-$C$72))"),"")</f>
        <v/>
      </c>
      <c r="K1845" s="61" t="str">
        <f>IFERROR(__xludf.DUMMYFUNCTION("INDIRECT(""'收支紀錄'!K""&amp;TO_TEXT(ROW()-$C$72))"),"")</f>
        <v/>
      </c>
      <c r="L1845" s="61" t="str">
        <f>IFERROR(__xludf.DUMMYFUNCTION("INDIRECT(""'收支紀錄'!L""&amp;TO_TEXT(ROW()-$C$72))"),"")</f>
        <v/>
      </c>
      <c r="M1845" s="61" t="str">
        <f>IFERROR(__xludf.DUMMYFUNCTION("INDIRECT(""'收支紀錄'!M""&amp;TO_TEXT(ROW()-$C$72))"),"")</f>
        <v/>
      </c>
      <c r="N1845" s="61" t="str">
        <f>IFERROR(__xludf.DUMMYFUNCTION("INDIRECT(""'收支紀錄'!N""&amp;TO_TEXT(ROW()-$C$72))"),"")</f>
        <v/>
      </c>
      <c r="O1845" s="61" t="str">
        <f>IFERROR(__xludf.DUMMYFUNCTION("INDIRECT(""'收支紀錄'!O""&amp;TO_TEXT(ROW()-$C$72))"),"")</f>
        <v/>
      </c>
      <c r="P1845" s="61" t="str">
        <f>IFERROR(__xludf.DUMMYFUNCTION("INDIRECT(""'收支紀錄'!P""&amp;TO_TEXT(ROW()-$C$72))"),"")</f>
        <v/>
      </c>
      <c r="Q1845" s="61" t="str">
        <f>IFERROR(__xludf.DUMMYFUNCTION("INDIRECT(""'收支紀錄'!Q""&amp;TO_TEXT(ROW()-$C$72))"),"")</f>
        <v/>
      </c>
      <c r="R1845" s="61" t="str">
        <f>IFERROR(__xludf.DUMMYFUNCTION("INDIRECT(""'收支紀錄'!R""&amp;TO_TEXT(ROW()-$C$72))"),"")</f>
        <v/>
      </c>
      <c r="S1845" s="61" t="str">
        <f>IFERROR(__xludf.DUMMYFUNCTION("INDIRECT(""'收支紀錄'!S""&amp;TO_TEXT(ROW()-$C$72))"),"")</f>
        <v/>
      </c>
      <c r="T1845" s="61" t="str">
        <f>IFERROR(__xludf.DUMMYFUNCTION("INDIRECT(""'收支紀錄'!T""&amp;TO_TEXT(ROW()-$C$72))"),"")</f>
        <v/>
      </c>
      <c r="U1845" s="62" t="str">
        <f>IFERROR(__xludf.DUMMYFUNCTION("IF(T1845=""是"",TEXTJOIN("""", TRUE, ""$"", TO_TEXT(C1845), S1845),"""")"),"")</f>
        <v/>
      </c>
    </row>
    <row r="1846">
      <c r="A1846" s="58" t="str">
        <f>IFERROR(__xludf.DUMMYFUNCTION("INDIRECT(""'收支紀錄'!A""&amp;TO_TEXT(ROW()-$C$72))"),"")</f>
        <v/>
      </c>
      <c r="B1846" s="59" t="str">
        <f>IFERROR(__xludf.DUMMYFUNCTION("IF(ISBLANK(D1846), """", IF(ISDATE(D1846), D1846, IF(D1846=""今天"", A1846, IF(D1846=""昨天 (-1 day)"", A1846-1, IF(D1846=""前天 (-2 days)"", A1846-2, IF(D1846=""明天 (+1 day)"", A1846+1, DATE(LEFT(D1846,4), MID(D1846,5,2), RIGHT(D1846,2))))))))"),"")</f>
        <v/>
      </c>
      <c r="C1846" s="60" t="str">
        <f>IFERROR(__xludf.DUMMYFUNCTION("INDIRECT(""'收支紀錄'!C""&amp;TO_TEXT(ROW()-$C$72))"),"")</f>
        <v/>
      </c>
      <c r="D1846" s="63" t="str">
        <f>IFERROR(__xludf.DUMMYFUNCTION("INDIRECT(""'收支紀錄'!D""&amp;TO_TEXT(ROW()-$C$72))"),"")</f>
        <v/>
      </c>
      <c r="E1846" s="61" t="str">
        <f>IFERROR(__xludf.DUMMYFUNCTION("INDIRECT(""'收支紀錄'!E""&amp;TO_TEXT(ROW()-$C$72))"),"")</f>
        <v/>
      </c>
      <c r="F1846" s="61" t="str">
        <f>IFERROR(__xludf.DUMMYFUNCTION("INDIRECT(""'收支紀錄'!F""&amp;TO_TEXT(ROW()-$C$72))"),"")</f>
        <v/>
      </c>
      <c r="G1846" s="61" t="str">
        <f>IFERROR(__xludf.DUMMYFUNCTION("INDIRECT(""'收支紀錄'!G""&amp;TO_TEXT(ROW()-$C$72))"),"")</f>
        <v/>
      </c>
      <c r="H1846" s="61" t="str">
        <f>IFERROR(__xludf.DUMMYFUNCTION("INDIRECT(""'收支紀錄'!H""&amp;TO_TEXT(ROW()-$C$72))"),"")</f>
        <v/>
      </c>
      <c r="I1846" s="61" t="str">
        <f>IFERROR(__xludf.DUMMYFUNCTION("INDIRECT(""'收支紀錄'!I""&amp;TO_TEXT(ROW()-$C$72))"),"")</f>
        <v/>
      </c>
      <c r="J1846" s="61" t="str">
        <f>IFERROR(__xludf.DUMMYFUNCTION("INDIRECT(""'收支紀錄'!J""&amp;TO_TEXT(ROW()-$C$72))"),"")</f>
        <v/>
      </c>
      <c r="K1846" s="61" t="str">
        <f>IFERROR(__xludf.DUMMYFUNCTION("INDIRECT(""'收支紀錄'!K""&amp;TO_TEXT(ROW()-$C$72))"),"")</f>
        <v/>
      </c>
      <c r="L1846" s="61" t="str">
        <f>IFERROR(__xludf.DUMMYFUNCTION("INDIRECT(""'收支紀錄'!L""&amp;TO_TEXT(ROW()-$C$72))"),"")</f>
        <v/>
      </c>
      <c r="M1846" s="61" t="str">
        <f>IFERROR(__xludf.DUMMYFUNCTION("INDIRECT(""'收支紀錄'!M""&amp;TO_TEXT(ROW()-$C$72))"),"")</f>
        <v/>
      </c>
      <c r="N1846" s="61" t="str">
        <f>IFERROR(__xludf.DUMMYFUNCTION("INDIRECT(""'收支紀錄'!N""&amp;TO_TEXT(ROW()-$C$72))"),"")</f>
        <v/>
      </c>
      <c r="O1846" s="61" t="str">
        <f>IFERROR(__xludf.DUMMYFUNCTION("INDIRECT(""'收支紀錄'!O""&amp;TO_TEXT(ROW()-$C$72))"),"")</f>
        <v/>
      </c>
      <c r="P1846" s="61" t="str">
        <f>IFERROR(__xludf.DUMMYFUNCTION("INDIRECT(""'收支紀錄'!P""&amp;TO_TEXT(ROW()-$C$72))"),"")</f>
        <v/>
      </c>
      <c r="Q1846" s="61" t="str">
        <f>IFERROR(__xludf.DUMMYFUNCTION("INDIRECT(""'收支紀錄'!Q""&amp;TO_TEXT(ROW()-$C$72))"),"")</f>
        <v/>
      </c>
      <c r="R1846" s="61" t="str">
        <f>IFERROR(__xludf.DUMMYFUNCTION("INDIRECT(""'收支紀錄'!R""&amp;TO_TEXT(ROW()-$C$72))"),"")</f>
        <v/>
      </c>
      <c r="S1846" s="61" t="str">
        <f>IFERROR(__xludf.DUMMYFUNCTION("INDIRECT(""'收支紀錄'!S""&amp;TO_TEXT(ROW()-$C$72))"),"")</f>
        <v/>
      </c>
      <c r="T1846" s="61" t="str">
        <f>IFERROR(__xludf.DUMMYFUNCTION("INDIRECT(""'收支紀錄'!T""&amp;TO_TEXT(ROW()-$C$72))"),"")</f>
        <v/>
      </c>
      <c r="U1846" s="62" t="str">
        <f>IFERROR(__xludf.DUMMYFUNCTION("IF(T1846=""是"",TEXTJOIN("""", TRUE, ""$"", TO_TEXT(C1846), S1846),"""")"),"")</f>
        <v/>
      </c>
    </row>
    <row r="1847">
      <c r="A1847" s="58" t="str">
        <f>IFERROR(__xludf.DUMMYFUNCTION("INDIRECT(""'收支紀錄'!A""&amp;TO_TEXT(ROW()-$C$72))"),"")</f>
        <v/>
      </c>
      <c r="B1847" s="59" t="str">
        <f>IFERROR(__xludf.DUMMYFUNCTION("IF(ISBLANK(D1847), """", IF(ISDATE(D1847), D1847, IF(D1847=""今天"", A1847, IF(D1847=""昨天 (-1 day)"", A1847-1, IF(D1847=""前天 (-2 days)"", A1847-2, IF(D1847=""明天 (+1 day)"", A1847+1, DATE(LEFT(D1847,4), MID(D1847,5,2), RIGHT(D1847,2))))))))"),"")</f>
        <v/>
      </c>
      <c r="C1847" s="60" t="str">
        <f>IFERROR(__xludf.DUMMYFUNCTION("INDIRECT(""'收支紀錄'!C""&amp;TO_TEXT(ROW()-$C$72))"),"")</f>
        <v/>
      </c>
      <c r="D1847" s="63" t="str">
        <f>IFERROR(__xludf.DUMMYFUNCTION("INDIRECT(""'收支紀錄'!D""&amp;TO_TEXT(ROW()-$C$72))"),"")</f>
        <v/>
      </c>
      <c r="E1847" s="61" t="str">
        <f>IFERROR(__xludf.DUMMYFUNCTION("INDIRECT(""'收支紀錄'!E""&amp;TO_TEXT(ROW()-$C$72))"),"")</f>
        <v/>
      </c>
      <c r="F1847" s="61" t="str">
        <f>IFERROR(__xludf.DUMMYFUNCTION("INDIRECT(""'收支紀錄'!F""&amp;TO_TEXT(ROW()-$C$72))"),"")</f>
        <v/>
      </c>
      <c r="G1847" s="61" t="str">
        <f>IFERROR(__xludf.DUMMYFUNCTION("INDIRECT(""'收支紀錄'!G""&amp;TO_TEXT(ROW()-$C$72))"),"")</f>
        <v/>
      </c>
      <c r="H1847" s="61" t="str">
        <f>IFERROR(__xludf.DUMMYFUNCTION("INDIRECT(""'收支紀錄'!H""&amp;TO_TEXT(ROW()-$C$72))"),"")</f>
        <v/>
      </c>
      <c r="I1847" s="61" t="str">
        <f>IFERROR(__xludf.DUMMYFUNCTION("INDIRECT(""'收支紀錄'!I""&amp;TO_TEXT(ROW()-$C$72))"),"")</f>
        <v/>
      </c>
      <c r="J1847" s="61" t="str">
        <f>IFERROR(__xludf.DUMMYFUNCTION("INDIRECT(""'收支紀錄'!J""&amp;TO_TEXT(ROW()-$C$72))"),"")</f>
        <v/>
      </c>
      <c r="K1847" s="61" t="str">
        <f>IFERROR(__xludf.DUMMYFUNCTION("INDIRECT(""'收支紀錄'!K""&amp;TO_TEXT(ROW()-$C$72))"),"")</f>
        <v/>
      </c>
      <c r="L1847" s="61" t="str">
        <f>IFERROR(__xludf.DUMMYFUNCTION("INDIRECT(""'收支紀錄'!L""&amp;TO_TEXT(ROW()-$C$72))"),"")</f>
        <v/>
      </c>
      <c r="M1847" s="61" t="str">
        <f>IFERROR(__xludf.DUMMYFUNCTION("INDIRECT(""'收支紀錄'!M""&amp;TO_TEXT(ROW()-$C$72))"),"")</f>
        <v/>
      </c>
      <c r="N1847" s="61" t="str">
        <f>IFERROR(__xludf.DUMMYFUNCTION("INDIRECT(""'收支紀錄'!N""&amp;TO_TEXT(ROW()-$C$72))"),"")</f>
        <v/>
      </c>
      <c r="O1847" s="61" t="str">
        <f>IFERROR(__xludf.DUMMYFUNCTION("INDIRECT(""'收支紀錄'!O""&amp;TO_TEXT(ROW()-$C$72))"),"")</f>
        <v/>
      </c>
      <c r="P1847" s="61" t="str">
        <f>IFERROR(__xludf.DUMMYFUNCTION("INDIRECT(""'收支紀錄'!P""&amp;TO_TEXT(ROW()-$C$72))"),"")</f>
        <v/>
      </c>
      <c r="Q1847" s="61" t="str">
        <f>IFERROR(__xludf.DUMMYFUNCTION("INDIRECT(""'收支紀錄'!Q""&amp;TO_TEXT(ROW()-$C$72))"),"")</f>
        <v/>
      </c>
      <c r="R1847" s="61" t="str">
        <f>IFERROR(__xludf.DUMMYFUNCTION("INDIRECT(""'收支紀錄'!R""&amp;TO_TEXT(ROW()-$C$72))"),"")</f>
        <v/>
      </c>
      <c r="S1847" s="61" t="str">
        <f>IFERROR(__xludf.DUMMYFUNCTION("INDIRECT(""'收支紀錄'!S""&amp;TO_TEXT(ROW()-$C$72))"),"")</f>
        <v/>
      </c>
      <c r="T1847" s="61" t="str">
        <f>IFERROR(__xludf.DUMMYFUNCTION("INDIRECT(""'收支紀錄'!T""&amp;TO_TEXT(ROW()-$C$72))"),"")</f>
        <v/>
      </c>
      <c r="U1847" s="62" t="str">
        <f>IFERROR(__xludf.DUMMYFUNCTION("IF(T1847=""是"",TEXTJOIN("""", TRUE, ""$"", TO_TEXT(C1847), S1847),"""")"),"")</f>
        <v/>
      </c>
    </row>
    <row r="1848">
      <c r="A1848" s="58" t="str">
        <f>IFERROR(__xludf.DUMMYFUNCTION("INDIRECT(""'收支紀錄'!A""&amp;TO_TEXT(ROW()-$C$72))"),"")</f>
        <v/>
      </c>
      <c r="B1848" s="59" t="str">
        <f>IFERROR(__xludf.DUMMYFUNCTION("IF(ISBLANK(D1848), """", IF(ISDATE(D1848), D1848, IF(D1848=""今天"", A1848, IF(D1848=""昨天 (-1 day)"", A1848-1, IF(D1848=""前天 (-2 days)"", A1848-2, IF(D1848=""明天 (+1 day)"", A1848+1, DATE(LEFT(D1848,4), MID(D1848,5,2), RIGHT(D1848,2))))))))"),"")</f>
        <v/>
      </c>
      <c r="C1848" s="60" t="str">
        <f>IFERROR(__xludf.DUMMYFUNCTION("INDIRECT(""'收支紀錄'!C""&amp;TO_TEXT(ROW()-$C$72))"),"")</f>
        <v/>
      </c>
      <c r="D1848" s="63" t="str">
        <f>IFERROR(__xludf.DUMMYFUNCTION("INDIRECT(""'收支紀錄'!D""&amp;TO_TEXT(ROW()-$C$72))"),"")</f>
        <v/>
      </c>
      <c r="E1848" s="61" t="str">
        <f>IFERROR(__xludf.DUMMYFUNCTION("INDIRECT(""'收支紀錄'!E""&amp;TO_TEXT(ROW()-$C$72))"),"")</f>
        <v/>
      </c>
      <c r="F1848" s="61" t="str">
        <f>IFERROR(__xludf.DUMMYFUNCTION("INDIRECT(""'收支紀錄'!F""&amp;TO_TEXT(ROW()-$C$72))"),"")</f>
        <v/>
      </c>
      <c r="G1848" s="61" t="str">
        <f>IFERROR(__xludf.DUMMYFUNCTION("INDIRECT(""'收支紀錄'!G""&amp;TO_TEXT(ROW()-$C$72))"),"")</f>
        <v/>
      </c>
      <c r="H1848" s="61" t="str">
        <f>IFERROR(__xludf.DUMMYFUNCTION("INDIRECT(""'收支紀錄'!H""&amp;TO_TEXT(ROW()-$C$72))"),"")</f>
        <v/>
      </c>
      <c r="I1848" s="61" t="str">
        <f>IFERROR(__xludf.DUMMYFUNCTION("INDIRECT(""'收支紀錄'!I""&amp;TO_TEXT(ROW()-$C$72))"),"")</f>
        <v/>
      </c>
      <c r="J1848" s="61" t="str">
        <f>IFERROR(__xludf.DUMMYFUNCTION("INDIRECT(""'收支紀錄'!J""&amp;TO_TEXT(ROW()-$C$72))"),"")</f>
        <v/>
      </c>
      <c r="K1848" s="61" t="str">
        <f>IFERROR(__xludf.DUMMYFUNCTION("INDIRECT(""'收支紀錄'!K""&amp;TO_TEXT(ROW()-$C$72))"),"")</f>
        <v/>
      </c>
      <c r="L1848" s="61" t="str">
        <f>IFERROR(__xludf.DUMMYFUNCTION("INDIRECT(""'收支紀錄'!L""&amp;TO_TEXT(ROW()-$C$72))"),"")</f>
        <v/>
      </c>
      <c r="M1848" s="61" t="str">
        <f>IFERROR(__xludf.DUMMYFUNCTION("INDIRECT(""'收支紀錄'!M""&amp;TO_TEXT(ROW()-$C$72))"),"")</f>
        <v/>
      </c>
      <c r="N1848" s="61" t="str">
        <f>IFERROR(__xludf.DUMMYFUNCTION("INDIRECT(""'收支紀錄'!N""&amp;TO_TEXT(ROW()-$C$72))"),"")</f>
        <v/>
      </c>
      <c r="O1848" s="61" t="str">
        <f>IFERROR(__xludf.DUMMYFUNCTION("INDIRECT(""'收支紀錄'!O""&amp;TO_TEXT(ROW()-$C$72))"),"")</f>
        <v/>
      </c>
      <c r="P1848" s="61" t="str">
        <f>IFERROR(__xludf.DUMMYFUNCTION("INDIRECT(""'收支紀錄'!P""&amp;TO_TEXT(ROW()-$C$72))"),"")</f>
        <v/>
      </c>
      <c r="Q1848" s="61" t="str">
        <f>IFERROR(__xludf.DUMMYFUNCTION("INDIRECT(""'收支紀錄'!Q""&amp;TO_TEXT(ROW()-$C$72))"),"")</f>
        <v/>
      </c>
      <c r="R1848" s="61" t="str">
        <f>IFERROR(__xludf.DUMMYFUNCTION("INDIRECT(""'收支紀錄'!R""&amp;TO_TEXT(ROW()-$C$72))"),"")</f>
        <v/>
      </c>
      <c r="S1848" s="61" t="str">
        <f>IFERROR(__xludf.DUMMYFUNCTION("INDIRECT(""'收支紀錄'!S""&amp;TO_TEXT(ROW()-$C$72))"),"")</f>
        <v/>
      </c>
      <c r="T1848" s="61" t="str">
        <f>IFERROR(__xludf.DUMMYFUNCTION("INDIRECT(""'收支紀錄'!T""&amp;TO_TEXT(ROW()-$C$72))"),"")</f>
        <v/>
      </c>
      <c r="U1848" s="62" t="str">
        <f>IFERROR(__xludf.DUMMYFUNCTION("IF(T1848=""是"",TEXTJOIN("""", TRUE, ""$"", TO_TEXT(C1848), S1848),"""")"),"")</f>
        <v/>
      </c>
    </row>
    <row r="1849">
      <c r="A1849" s="58" t="str">
        <f>IFERROR(__xludf.DUMMYFUNCTION("INDIRECT(""'收支紀錄'!A""&amp;TO_TEXT(ROW()-$C$72))"),"")</f>
        <v/>
      </c>
      <c r="B1849" s="59" t="str">
        <f>IFERROR(__xludf.DUMMYFUNCTION("IF(ISBLANK(D1849), """", IF(ISDATE(D1849), D1849, IF(D1849=""今天"", A1849, IF(D1849=""昨天 (-1 day)"", A1849-1, IF(D1849=""前天 (-2 days)"", A1849-2, IF(D1849=""明天 (+1 day)"", A1849+1, DATE(LEFT(D1849,4), MID(D1849,5,2), RIGHT(D1849,2))))))))"),"")</f>
        <v/>
      </c>
      <c r="C1849" s="60" t="str">
        <f>IFERROR(__xludf.DUMMYFUNCTION("INDIRECT(""'收支紀錄'!C""&amp;TO_TEXT(ROW()-$C$72))"),"")</f>
        <v/>
      </c>
      <c r="D1849" s="63" t="str">
        <f>IFERROR(__xludf.DUMMYFUNCTION("INDIRECT(""'收支紀錄'!D""&amp;TO_TEXT(ROW()-$C$72))"),"")</f>
        <v/>
      </c>
      <c r="E1849" s="61" t="str">
        <f>IFERROR(__xludf.DUMMYFUNCTION("INDIRECT(""'收支紀錄'!E""&amp;TO_TEXT(ROW()-$C$72))"),"")</f>
        <v/>
      </c>
      <c r="F1849" s="61" t="str">
        <f>IFERROR(__xludf.DUMMYFUNCTION("INDIRECT(""'收支紀錄'!F""&amp;TO_TEXT(ROW()-$C$72))"),"")</f>
        <v/>
      </c>
      <c r="G1849" s="61" t="str">
        <f>IFERROR(__xludf.DUMMYFUNCTION("INDIRECT(""'收支紀錄'!G""&amp;TO_TEXT(ROW()-$C$72))"),"")</f>
        <v/>
      </c>
      <c r="H1849" s="61" t="str">
        <f>IFERROR(__xludf.DUMMYFUNCTION("INDIRECT(""'收支紀錄'!H""&amp;TO_TEXT(ROW()-$C$72))"),"")</f>
        <v/>
      </c>
      <c r="I1849" s="61" t="str">
        <f>IFERROR(__xludf.DUMMYFUNCTION("INDIRECT(""'收支紀錄'!I""&amp;TO_TEXT(ROW()-$C$72))"),"")</f>
        <v/>
      </c>
      <c r="J1849" s="61" t="str">
        <f>IFERROR(__xludf.DUMMYFUNCTION("INDIRECT(""'收支紀錄'!J""&amp;TO_TEXT(ROW()-$C$72))"),"")</f>
        <v/>
      </c>
      <c r="K1849" s="61" t="str">
        <f>IFERROR(__xludf.DUMMYFUNCTION("INDIRECT(""'收支紀錄'!K""&amp;TO_TEXT(ROW()-$C$72))"),"")</f>
        <v/>
      </c>
      <c r="L1849" s="61" t="str">
        <f>IFERROR(__xludf.DUMMYFUNCTION("INDIRECT(""'收支紀錄'!L""&amp;TO_TEXT(ROW()-$C$72))"),"")</f>
        <v/>
      </c>
      <c r="M1849" s="61" t="str">
        <f>IFERROR(__xludf.DUMMYFUNCTION("INDIRECT(""'收支紀錄'!M""&amp;TO_TEXT(ROW()-$C$72))"),"")</f>
        <v/>
      </c>
      <c r="N1849" s="61" t="str">
        <f>IFERROR(__xludf.DUMMYFUNCTION("INDIRECT(""'收支紀錄'!N""&amp;TO_TEXT(ROW()-$C$72))"),"")</f>
        <v/>
      </c>
      <c r="O1849" s="61" t="str">
        <f>IFERROR(__xludf.DUMMYFUNCTION("INDIRECT(""'收支紀錄'!O""&amp;TO_TEXT(ROW()-$C$72))"),"")</f>
        <v/>
      </c>
      <c r="P1849" s="61" t="str">
        <f>IFERROR(__xludf.DUMMYFUNCTION("INDIRECT(""'收支紀錄'!P""&amp;TO_TEXT(ROW()-$C$72))"),"")</f>
        <v/>
      </c>
      <c r="Q1849" s="61" t="str">
        <f>IFERROR(__xludf.DUMMYFUNCTION("INDIRECT(""'收支紀錄'!Q""&amp;TO_TEXT(ROW()-$C$72))"),"")</f>
        <v/>
      </c>
      <c r="R1849" s="61" t="str">
        <f>IFERROR(__xludf.DUMMYFUNCTION("INDIRECT(""'收支紀錄'!R""&amp;TO_TEXT(ROW()-$C$72))"),"")</f>
        <v/>
      </c>
      <c r="S1849" s="61" t="str">
        <f>IFERROR(__xludf.DUMMYFUNCTION("INDIRECT(""'收支紀錄'!S""&amp;TO_TEXT(ROW()-$C$72))"),"")</f>
        <v/>
      </c>
      <c r="T1849" s="61" t="str">
        <f>IFERROR(__xludf.DUMMYFUNCTION("INDIRECT(""'收支紀錄'!T""&amp;TO_TEXT(ROW()-$C$72))"),"")</f>
        <v/>
      </c>
      <c r="U1849" s="62" t="str">
        <f>IFERROR(__xludf.DUMMYFUNCTION("IF(T1849=""是"",TEXTJOIN("""", TRUE, ""$"", TO_TEXT(C1849), S1849),"""")"),"")</f>
        <v/>
      </c>
    </row>
    <row r="1850">
      <c r="A1850" s="58" t="str">
        <f>IFERROR(__xludf.DUMMYFUNCTION("INDIRECT(""'收支紀錄'!A""&amp;TO_TEXT(ROW()-$C$72))"),"")</f>
        <v/>
      </c>
      <c r="B1850" s="59" t="str">
        <f>IFERROR(__xludf.DUMMYFUNCTION("IF(ISBLANK(D1850), """", IF(ISDATE(D1850), D1850, IF(D1850=""今天"", A1850, IF(D1850=""昨天 (-1 day)"", A1850-1, IF(D1850=""前天 (-2 days)"", A1850-2, IF(D1850=""明天 (+1 day)"", A1850+1, DATE(LEFT(D1850,4), MID(D1850,5,2), RIGHT(D1850,2))))))))"),"")</f>
        <v/>
      </c>
      <c r="C1850" s="60" t="str">
        <f>IFERROR(__xludf.DUMMYFUNCTION("INDIRECT(""'收支紀錄'!C""&amp;TO_TEXT(ROW()-$C$72))"),"")</f>
        <v/>
      </c>
      <c r="D1850" s="63" t="str">
        <f>IFERROR(__xludf.DUMMYFUNCTION("INDIRECT(""'收支紀錄'!D""&amp;TO_TEXT(ROW()-$C$72))"),"")</f>
        <v/>
      </c>
      <c r="E1850" s="61" t="str">
        <f>IFERROR(__xludf.DUMMYFUNCTION("INDIRECT(""'收支紀錄'!E""&amp;TO_TEXT(ROW()-$C$72))"),"")</f>
        <v/>
      </c>
      <c r="F1850" s="61" t="str">
        <f>IFERROR(__xludf.DUMMYFUNCTION("INDIRECT(""'收支紀錄'!F""&amp;TO_TEXT(ROW()-$C$72))"),"")</f>
        <v/>
      </c>
      <c r="G1850" s="61" t="str">
        <f>IFERROR(__xludf.DUMMYFUNCTION("INDIRECT(""'收支紀錄'!G""&amp;TO_TEXT(ROW()-$C$72))"),"")</f>
        <v/>
      </c>
      <c r="H1850" s="61" t="str">
        <f>IFERROR(__xludf.DUMMYFUNCTION("INDIRECT(""'收支紀錄'!H""&amp;TO_TEXT(ROW()-$C$72))"),"")</f>
        <v/>
      </c>
      <c r="I1850" s="61" t="str">
        <f>IFERROR(__xludf.DUMMYFUNCTION("INDIRECT(""'收支紀錄'!I""&amp;TO_TEXT(ROW()-$C$72))"),"")</f>
        <v/>
      </c>
      <c r="J1850" s="61" t="str">
        <f>IFERROR(__xludf.DUMMYFUNCTION("INDIRECT(""'收支紀錄'!J""&amp;TO_TEXT(ROW()-$C$72))"),"")</f>
        <v/>
      </c>
      <c r="K1850" s="61" t="str">
        <f>IFERROR(__xludf.DUMMYFUNCTION("INDIRECT(""'收支紀錄'!K""&amp;TO_TEXT(ROW()-$C$72))"),"")</f>
        <v/>
      </c>
      <c r="L1850" s="61" t="str">
        <f>IFERROR(__xludf.DUMMYFUNCTION("INDIRECT(""'收支紀錄'!L""&amp;TO_TEXT(ROW()-$C$72))"),"")</f>
        <v/>
      </c>
      <c r="M1850" s="61" t="str">
        <f>IFERROR(__xludf.DUMMYFUNCTION("INDIRECT(""'收支紀錄'!M""&amp;TO_TEXT(ROW()-$C$72))"),"")</f>
        <v/>
      </c>
      <c r="N1850" s="61" t="str">
        <f>IFERROR(__xludf.DUMMYFUNCTION("INDIRECT(""'收支紀錄'!N""&amp;TO_TEXT(ROW()-$C$72))"),"")</f>
        <v/>
      </c>
      <c r="O1850" s="61" t="str">
        <f>IFERROR(__xludf.DUMMYFUNCTION("INDIRECT(""'收支紀錄'!O""&amp;TO_TEXT(ROW()-$C$72))"),"")</f>
        <v/>
      </c>
      <c r="P1850" s="61" t="str">
        <f>IFERROR(__xludf.DUMMYFUNCTION("INDIRECT(""'收支紀錄'!P""&amp;TO_TEXT(ROW()-$C$72))"),"")</f>
        <v/>
      </c>
      <c r="Q1850" s="61" t="str">
        <f>IFERROR(__xludf.DUMMYFUNCTION("INDIRECT(""'收支紀錄'!Q""&amp;TO_TEXT(ROW()-$C$72))"),"")</f>
        <v/>
      </c>
      <c r="R1850" s="61" t="str">
        <f>IFERROR(__xludf.DUMMYFUNCTION("INDIRECT(""'收支紀錄'!R""&amp;TO_TEXT(ROW()-$C$72))"),"")</f>
        <v/>
      </c>
      <c r="S1850" s="61" t="str">
        <f>IFERROR(__xludf.DUMMYFUNCTION("INDIRECT(""'收支紀錄'!S""&amp;TO_TEXT(ROW()-$C$72))"),"")</f>
        <v/>
      </c>
      <c r="T1850" s="61" t="str">
        <f>IFERROR(__xludf.DUMMYFUNCTION("INDIRECT(""'收支紀錄'!T""&amp;TO_TEXT(ROW()-$C$72))"),"")</f>
        <v/>
      </c>
      <c r="U1850" s="62" t="str">
        <f>IFERROR(__xludf.DUMMYFUNCTION("IF(T1850=""是"",TEXTJOIN("""", TRUE, ""$"", TO_TEXT(C1850), S1850),"""")"),"")</f>
        <v/>
      </c>
    </row>
    <row r="1851">
      <c r="A1851" s="58" t="str">
        <f>IFERROR(__xludf.DUMMYFUNCTION("INDIRECT(""'收支紀錄'!A""&amp;TO_TEXT(ROW()-$C$72))"),"")</f>
        <v/>
      </c>
      <c r="B1851" s="59" t="str">
        <f>IFERROR(__xludf.DUMMYFUNCTION("IF(ISBLANK(D1851), """", IF(ISDATE(D1851), D1851, IF(D1851=""今天"", A1851, IF(D1851=""昨天 (-1 day)"", A1851-1, IF(D1851=""前天 (-2 days)"", A1851-2, IF(D1851=""明天 (+1 day)"", A1851+1, DATE(LEFT(D1851,4), MID(D1851,5,2), RIGHT(D1851,2))))))))"),"")</f>
        <v/>
      </c>
      <c r="C1851" s="60" t="str">
        <f>IFERROR(__xludf.DUMMYFUNCTION("INDIRECT(""'收支紀錄'!C""&amp;TO_TEXT(ROW()-$C$72))"),"")</f>
        <v/>
      </c>
      <c r="D1851" s="63" t="str">
        <f>IFERROR(__xludf.DUMMYFUNCTION("INDIRECT(""'收支紀錄'!D""&amp;TO_TEXT(ROW()-$C$72))"),"")</f>
        <v/>
      </c>
      <c r="E1851" s="61" t="str">
        <f>IFERROR(__xludf.DUMMYFUNCTION("INDIRECT(""'收支紀錄'!E""&amp;TO_TEXT(ROW()-$C$72))"),"")</f>
        <v/>
      </c>
      <c r="F1851" s="61" t="str">
        <f>IFERROR(__xludf.DUMMYFUNCTION("INDIRECT(""'收支紀錄'!F""&amp;TO_TEXT(ROW()-$C$72))"),"")</f>
        <v/>
      </c>
      <c r="G1851" s="61" t="str">
        <f>IFERROR(__xludf.DUMMYFUNCTION("INDIRECT(""'收支紀錄'!G""&amp;TO_TEXT(ROW()-$C$72))"),"")</f>
        <v/>
      </c>
      <c r="H1851" s="61" t="str">
        <f>IFERROR(__xludf.DUMMYFUNCTION("INDIRECT(""'收支紀錄'!H""&amp;TO_TEXT(ROW()-$C$72))"),"")</f>
        <v/>
      </c>
      <c r="I1851" s="61" t="str">
        <f>IFERROR(__xludf.DUMMYFUNCTION("INDIRECT(""'收支紀錄'!I""&amp;TO_TEXT(ROW()-$C$72))"),"")</f>
        <v/>
      </c>
      <c r="J1851" s="61" t="str">
        <f>IFERROR(__xludf.DUMMYFUNCTION("INDIRECT(""'收支紀錄'!J""&amp;TO_TEXT(ROW()-$C$72))"),"")</f>
        <v/>
      </c>
      <c r="K1851" s="61" t="str">
        <f>IFERROR(__xludf.DUMMYFUNCTION("INDIRECT(""'收支紀錄'!K""&amp;TO_TEXT(ROW()-$C$72))"),"")</f>
        <v/>
      </c>
      <c r="L1851" s="61" t="str">
        <f>IFERROR(__xludf.DUMMYFUNCTION("INDIRECT(""'收支紀錄'!L""&amp;TO_TEXT(ROW()-$C$72))"),"")</f>
        <v/>
      </c>
      <c r="M1851" s="61" t="str">
        <f>IFERROR(__xludf.DUMMYFUNCTION("INDIRECT(""'收支紀錄'!M""&amp;TO_TEXT(ROW()-$C$72))"),"")</f>
        <v/>
      </c>
      <c r="N1851" s="61" t="str">
        <f>IFERROR(__xludf.DUMMYFUNCTION("INDIRECT(""'收支紀錄'!N""&amp;TO_TEXT(ROW()-$C$72))"),"")</f>
        <v/>
      </c>
      <c r="O1851" s="61" t="str">
        <f>IFERROR(__xludf.DUMMYFUNCTION("INDIRECT(""'收支紀錄'!O""&amp;TO_TEXT(ROW()-$C$72))"),"")</f>
        <v/>
      </c>
      <c r="P1851" s="61" t="str">
        <f>IFERROR(__xludf.DUMMYFUNCTION("INDIRECT(""'收支紀錄'!P""&amp;TO_TEXT(ROW()-$C$72))"),"")</f>
        <v/>
      </c>
      <c r="Q1851" s="61" t="str">
        <f>IFERROR(__xludf.DUMMYFUNCTION("INDIRECT(""'收支紀錄'!Q""&amp;TO_TEXT(ROW()-$C$72))"),"")</f>
        <v/>
      </c>
      <c r="R1851" s="61" t="str">
        <f>IFERROR(__xludf.DUMMYFUNCTION("INDIRECT(""'收支紀錄'!R""&amp;TO_TEXT(ROW()-$C$72))"),"")</f>
        <v/>
      </c>
      <c r="S1851" s="61" t="str">
        <f>IFERROR(__xludf.DUMMYFUNCTION("INDIRECT(""'收支紀錄'!S""&amp;TO_TEXT(ROW()-$C$72))"),"")</f>
        <v/>
      </c>
      <c r="T1851" s="61" t="str">
        <f>IFERROR(__xludf.DUMMYFUNCTION("INDIRECT(""'收支紀錄'!T""&amp;TO_TEXT(ROW()-$C$72))"),"")</f>
        <v/>
      </c>
      <c r="U1851" s="62" t="str">
        <f>IFERROR(__xludf.DUMMYFUNCTION("IF(T1851=""是"",TEXTJOIN("""", TRUE, ""$"", TO_TEXT(C1851), S1851),"""")"),"")</f>
        <v/>
      </c>
    </row>
    <row r="1852">
      <c r="A1852" s="58" t="str">
        <f>IFERROR(__xludf.DUMMYFUNCTION("INDIRECT(""'收支紀錄'!A""&amp;TO_TEXT(ROW()-$C$72))"),"")</f>
        <v/>
      </c>
      <c r="B1852" s="59" t="str">
        <f>IFERROR(__xludf.DUMMYFUNCTION("IF(ISBLANK(D1852), """", IF(ISDATE(D1852), D1852, IF(D1852=""今天"", A1852, IF(D1852=""昨天 (-1 day)"", A1852-1, IF(D1852=""前天 (-2 days)"", A1852-2, IF(D1852=""明天 (+1 day)"", A1852+1, DATE(LEFT(D1852,4), MID(D1852,5,2), RIGHT(D1852,2))))))))"),"")</f>
        <v/>
      </c>
      <c r="C1852" s="60" t="str">
        <f>IFERROR(__xludf.DUMMYFUNCTION("INDIRECT(""'收支紀錄'!C""&amp;TO_TEXT(ROW()-$C$72))"),"")</f>
        <v/>
      </c>
      <c r="D1852" s="63" t="str">
        <f>IFERROR(__xludf.DUMMYFUNCTION("INDIRECT(""'收支紀錄'!D""&amp;TO_TEXT(ROW()-$C$72))"),"")</f>
        <v/>
      </c>
      <c r="E1852" s="61" t="str">
        <f>IFERROR(__xludf.DUMMYFUNCTION("INDIRECT(""'收支紀錄'!E""&amp;TO_TEXT(ROW()-$C$72))"),"")</f>
        <v/>
      </c>
      <c r="F1852" s="61" t="str">
        <f>IFERROR(__xludf.DUMMYFUNCTION("INDIRECT(""'收支紀錄'!F""&amp;TO_TEXT(ROW()-$C$72))"),"")</f>
        <v/>
      </c>
      <c r="G1852" s="61" t="str">
        <f>IFERROR(__xludf.DUMMYFUNCTION("INDIRECT(""'收支紀錄'!G""&amp;TO_TEXT(ROW()-$C$72))"),"")</f>
        <v/>
      </c>
      <c r="H1852" s="61" t="str">
        <f>IFERROR(__xludf.DUMMYFUNCTION("INDIRECT(""'收支紀錄'!H""&amp;TO_TEXT(ROW()-$C$72))"),"")</f>
        <v/>
      </c>
      <c r="I1852" s="61" t="str">
        <f>IFERROR(__xludf.DUMMYFUNCTION("INDIRECT(""'收支紀錄'!I""&amp;TO_TEXT(ROW()-$C$72))"),"")</f>
        <v/>
      </c>
      <c r="J1852" s="61" t="str">
        <f>IFERROR(__xludf.DUMMYFUNCTION("INDIRECT(""'收支紀錄'!J""&amp;TO_TEXT(ROW()-$C$72))"),"")</f>
        <v/>
      </c>
      <c r="K1852" s="61" t="str">
        <f>IFERROR(__xludf.DUMMYFUNCTION("INDIRECT(""'收支紀錄'!K""&amp;TO_TEXT(ROW()-$C$72))"),"")</f>
        <v/>
      </c>
      <c r="L1852" s="61" t="str">
        <f>IFERROR(__xludf.DUMMYFUNCTION("INDIRECT(""'收支紀錄'!L""&amp;TO_TEXT(ROW()-$C$72))"),"")</f>
        <v/>
      </c>
      <c r="M1852" s="61" t="str">
        <f>IFERROR(__xludf.DUMMYFUNCTION("INDIRECT(""'收支紀錄'!M""&amp;TO_TEXT(ROW()-$C$72))"),"")</f>
        <v/>
      </c>
      <c r="N1852" s="61" t="str">
        <f>IFERROR(__xludf.DUMMYFUNCTION("INDIRECT(""'收支紀錄'!N""&amp;TO_TEXT(ROW()-$C$72))"),"")</f>
        <v/>
      </c>
      <c r="O1852" s="61" t="str">
        <f>IFERROR(__xludf.DUMMYFUNCTION("INDIRECT(""'收支紀錄'!O""&amp;TO_TEXT(ROW()-$C$72))"),"")</f>
        <v/>
      </c>
      <c r="P1852" s="61" t="str">
        <f>IFERROR(__xludf.DUMMYFUNCTION("INDIRECT(""'收支紀錄'!P""&amp;TO_TEXT(ROW()-$C$72))"),"")</f>
        <v/>
      </c>
      <c r="Q1852" s="61" t="str">
        <f>IFERROR(__xludf.DUMMYFUNCTION("INDIRECT(""'收支紀錄'!Q""&amp;TO_TEXT(ROW()-$C$72))"),"")</f>
        <v/>
      </c>
      <c r="R1852" s="61" t="str">
        <f>IFERROR(__xludf.DUMMYFUNCTION("INDIRECT(""'收支紀錄'!R""&amp;TO_TEXT(ROW()-$C$72))"),"")</f>
        <v/>
      </c>
      <c r="S1852" s="61" t="str">
        <f>IFERROR(__xludf.DUMMYFUNCTION("INDIRECT(""'收支紀錄'!S""&amp;TO_TEXT(ROW()-$C$72))"),"")</f>
        <v/>
      </c>
      <c r="T1852" s="61" t="str">
        <f>IFERROR(__xludf.DUMMYFUNCTION("INDIRECT(""'收支紀錄'!T""&amp;TO_TEXT(ROW()-$C$72))"),"")</f>
        <v/>
      </c>
      <c r="U1852" s="62" t="str">
        <f>IFERROR(__xludf.DUMMYFUNCTION("IF(T1852=""是"",TEXTJOIN("""", TRUE, ""$"", TO_TEXT(C1852), S1852),"""")"),"")</f>
        <v/>
      </c>
    </row>
    <row r="1853">
      <c r="A1853" s="58" t="str">
        <f>IFERROR(__xludf.DUMMYFUNCTION("INDIRECT(""'收支紀錄'!A""&amp;TO_TEXT(ROW()-$C$72))"),"")</f>
        <v/>
      </c>
      <c r="B1853" s="59" t="str">
        <f>IFERROR(__xludf.DUMMYFUNCTION("IF(ISBLANK(D1853), """", IF(ISDATE(D1853), D1853, IF(D1853=""今天"", A1853, IF(D1853=""昨天 (-1 day)"", A1853-1, IF(D1853=""前天 (-2 days)"", A1853-2, IF(D1853=""明天 (+1 day)"", A1853+1, DATE(LEFT(D1853,4), MID(D1853,5,2), RIGHT(D1853,2))))))))"),"")</f>
        <v/>
      </c>
      <c r="C1853" s="60" t="str">
        <f>IFERROR(__xludf.DUMMYFUNCTION("INDIRECT(""'收支紀錄'!C""&amp;TO_TEXT(ROW()-$C$72))"),"")</f>
        <v/>
      </c>
      <c r="D1853" s="63" t="str">
        <f>IFERROR(__xludf.DUMMYFUNCTION("INDIRECT(""'收支紀錄'!D""&amp;TO_TEXT(ROW()-$C$72))"),"")</f>
        <v/>
      </c>
      <c r="E1853" s="61" t="str">
        <f>IFERROR(__xludf.DUMMYFUNCTION("INDIRECT(""'收支紀錄'!E""&amp;TO_TEXT(ROW()-$C$72))"),"")</f>
        <v/>
      </c>
      <c r="F1853" s="61" t="str">
        <f>IFERROR(__xludf.DUMMYFUNCTION("INDIRECT(""'收支紀錄'!F""&amp;TO_TEXT(ROW()-$C$72))"),"")</f>
        <v/>
      </c>
      <c r="G1853" s="61" t="str">
        <f>IFERROR(__xludf.DUMMYFUNCTION("INDIRECT(""'收支紀錄'!G""&amp;TO_TEXT(ROW()-$C$72))"),"")</f>
        <v/>
      </c>
      <c r="H1853" s="61" t="str">
        <f>IFERROR(__xludf.DUMMYFUNCTION("INDIRECT(""'收支紀錄'!H""&amp;TO_TEXT(ROW()-$C$72))"),"")</f>
        <v/>
      </c>
      <c r="I1853" s="61" t="str">
        <f>IFERROR(__xludf.DUMMYFUNCTION("INDIRECT(""'收支紀錄'!I""&amp;TO_TEXT(ROW()-$C$72))"),"")</f>
        <v/>
      </c>
      <c r="J1853" s="61" t="str">
        <f>IFERROR(__xludf.DUMMYFUNCTION("INDIRECT(""'收支紀錄'!J""&amp;TO_TEXT(ROW()-$C$72))"),"")</f>
        <v/>
      </c>
      <c r="K1853" s="61" t="str">
        <f>IFERROR(__xludf.DUMMYFUNCTION("INDIRECT(""'收支紀錄'!K""&amp;TO_TEXT(ROW()-$C$72))"),"")</f>
        <v/>
      </c>
      <c r="L1853" s="61" t="str">
        <f>IFERROR(__xludf.DUMMYFUNCTION("INDIRECT(""'收支紀錄'!L""&amp;TO_TEXT(ROW()-$C$72))"),"")</f>
        <v/>
      </c>
      <c r="M1853" s="61" t="str">
        <f>IFERROR(__xludf.DUMMYFUNCTION("INDIRECT(""'收支紀錄'!M""&amp;TO_TEXT(ROW()-$C$72))"),"")</f>
        <v/>
      </c>
      <c r="N1853" s="61" t="str">
        <f>IFERROR(__xludf.DUMMYFUNCTION("INDIRECT(""'收支紀錄'!N""&amp;TO_TEXT(ROW()-$C$72))"),"")</f>
        <v/>
      </c>
      <c r="O1853" s="61" t="str">
        <f>IFERROR(__xludf.DUMMYFUNCTION("INDIRECT(""'收支紀錄'!O""&amp;TO_TEXT(ROW()-$C$72))"),"")</f>
        <v/>
      </c>
      <c r="P1853" s="61" t="str">
        <f>IFERROR(__xludf.DUMMYFUNCTION("INDIRECT(""'收支紀錄'!P""&amp;TO_TEXT(ROW()-$C$72))"),"")</f>
        <v/>
      </c>
      <c r="Q1853" s="61" t="str">
        <f>IFERROR(__xludf.DUMMYFUNCTION("INDIRECT(""'收支紀錄'!Q""&amp;TO_TEXT(ROW()-$C$72))"),"")</f>
        <v/>
      </c>
      <c r="R1853" s="61" t="str">
        <f>IFERROR(__xludf.DUMMYFUNCTION("INDIRECT(""'收支紀錄'!R""&amp;TO_TEXT(ROW()-$C$72))"),"")</f>
        <v/>
      </c>
      <c r="S1853" s="61" t="str">
        <f>IFERROR(__xludf.DUMMYFUNCTION("INDIRECT(""'收支紀錄'!S""&amp;TO_TEXT(ROW()-$C$72))"),"")</f>
        <v/>
      </c>
      <c r="T1853" s="61" t="str">
        <f>IFERROR(__xludf.DUMMYFUNCTION("INDIRECT(""'收支紀錄'!T""&amp;TO_TEXT(ROW()-$C$72))"),"")</f>
        <v/>
      </c>
      <c r="U1853" s="62" t="str">
        <f>IFERROR(__xludf.DUMMYFUNCTION("IF(T1853=""是"",TEXTJOIN("""", TRUE, ""$"", TO_TEXT(C1853), S1853),"""")"),"")</f>
        <v/>
      </c>
    </row>
    <row r="1854">
      <c r="A1854" s="58" t="str">
        <f>IFERROR(__xludf.DUMMYFUNCTION("INDIRECT(""'收支紀錄'!A""&amp;TO_TEXT(ROW()-$C$72))"),"")</f>
        <v/>
      </c>
      <c r="B1854" s="59" t="str">
        <f>IFERROR(__xludf.DUMMYFUNCTION("IF(ISBLANK(D1854), """", IF(ISDATE(D1854), D1854, IF(D1854=""今天"", A1854, IF(D1854=""昨天 (-1 day)"", A1854-1, IF(D1854=""前天 (-2 days)"", A1854-2, IF(D1854=""明天 (+1 day)"", A1854+1, DATE(LEFT(D1854,4), MID(D1854,5,2), RIGHT(D1854,2))))))))"),"")</f>
        <v/>
      </c>
      <c r="C1854" s="60" t="str">
        <f>IFERROR(__xludf.DUMMYFUNCTION("INDIRECT(""'收支紀錄'!C""&amp;TO_TEXT(ROW()-$C$72))"),"")</f>
        <v/>
      </c>
      <c r="D1854" s="63" t="str">
        <f>IFERROR(__xludf.DUMMYFUNCTION("INDIRECT(""'收支紀錄'!D""&amp;TO_TEXT(ROW()-$C$72))"),"")</f>
        <v/>
      </c>
      <c r="E1854" s="61" t="str">
        <f>IFERROR(__xludf.DUMMYFUNCTION("INDIRECT(""'收支紀錄'!E""&amp;TO_TEXT(ROW()-$C$72))"),"")</f>
        <v/>
      </c>
      <c r="F1854" s="61" t="str">
        <f>IFERROR(__xludf.DUMMYFUNCTION("INDIRECT(""'收支紀錄'!F""&amp;TO_TEXT(ROW()-$C$72))"),"")</f>
        <v/>
      </c>
      <c r="G1854" s="61" t="str">
        <f>IFERROR(__xludf.DUMMYFUNCTION("INDIRECT(""'收支紀錄'!G""&amp;TO_TEXT(ROW()-$C$72))"),"")</f>
        <v/>
      </c>
      <c r="H1854" s="61" t="str">
        <f>IFERROR(__xludf.DUMMYFUNCTION("INDIRECT(""'收支紀錄'!H""&amp;TO_TEXT(ROW()-$C$72))"),"")</f>
        <v/>
      </c>
      <c r="I1854" s="61" t="str">
        <f>IFERROR(__xludf.DUMMYFUNCTION("INDIRECT(""'收支紀錄'!I""&amp;TO_TEXT(ROW()-$C$72))"),"")</f>
        <v/>
      </c>
      <c r="J1854" s="61" t="str">
        <f>IFERROR(__xludf.DUMMYFUNCTION("INDIRECT(""'收支紀錄'!J""&amp;TO_TEXT(ROW()-$C$72))"),"")</f>
        <v/>
      </c>
      <c r="K1854" s="61" t="str">
        <f>IFERROR(__xludf.DUMMYFUNCTION("INDIRECT(""'收支紀錄'!K""&amp;TO_TEXT(ROW()-$C$72))"),"")</f>
        <v/>
      </c>
      <c r="L1854" s="61" t="str">
        <f>IFERROR(__xludf.DUMMYFUNCTION("INDIRECT(""'收支紀錄'!L""&amp;TO_TEXT(ROW()-$C$72))"),"")</f>
        <v/>
      </c>
      <c r="M1854" s="61" t="str">
        <f>IFERROR(__xludf.DUMMYFUNCTION("INDIRECT(""'收支紀錄'!M""&amp;TO_TEXT(ROW()-$C$72))"),"")</f>
        <v/>
      </c>
      <c r="N1854" s="61" t="str">
        <f>IFERROR(__xludf.DUMMYFUNCTION("INDIRECT(""'收支紀錄'!N""&amp;TO_TEXT(ROW()-$C$72))"),"")</f>
        <v/>
      </c>
      <c r="O1854" s="61" t="str">
        <f>IFERROR(__xludf.DUMMYFUNCTION("INDIRECT(""'收支紀錄'!O""&amp;TO_TEXT(ROW()-$C$72))"),"")</f>
        <v/>
      </c>
      <c r="P1854" s="61" t="str">
        <f>IFERROR(__xludf.DUMMYFUNCTION("INDIRECT(""'收支紀錄'!P""&amp;TO_TEXT(ROW()-$C$72))"),"")</f>
        <v/>
      </c>
      <c r="Q1854" s="61" t="str">
        <f>IFERROR(__xludf.DUMMYFUNCTION("INDIRECT(""'收支紀錄'!Q""&amp;TO_TEXT(ROW()-$C$72))"),"")</f>
        <v/>
      </c>
      <c r="R1854" s="61" t="str">
        <f>IFERROR(__xludf.DUMMYFUNCTION("INDIRECT(""'收支紀錄'!R""&amp;TO_TEXT(ROW()-$C$72))"),"")</f>
        <v/>
      </c>
      <c r="S1854" s="61" t="str">
        <f>IFERROR(__xludf.DUMMYFUNCTION("INDIRECT(""'收支紀錄'!S""&amp;TO_TEXT(ROW()-$C$72))"),"")</f>
        <v/>
      </c>
      <c r="T1854" s="61" t="str">
        <f>IFERROR(__xludf.DUMMYFUNCTION("INDIRECT(""'收支紀錄'!T""&amp;TO_TEXT(ROW()-$C$72))"),"")</f>
        <v/>
      </c>
      <c r="U1854" s="62" t="str">
        <f>IFERROR(__xludf.DUMMYFUNCTION("IF(T1854=""是"",TEXTJOIN("""", TRUE, ""$"", TO_TEXT(C1854), S1854),"""")"),"")</f>
        <v/>
      </c>
    </row>
    <row r="1855">
      <c r="A1855" s="58" t="str">
        <f>IFERROR(__xludf.DUMMYFUNCTION("INDIRECT(""'收支紀錄'!A""&amp;TO_TEXT(ROW()-$C$72))"),"")</f>
        <v/>
      </c>
      <c r="B1855" s="59" t="str">
        <f>IFERROR(__xludf.DUMMYFUNCTION("IF(ISBLANK(D1855), """", IF(ISDATE(D1855), D1855, IF(D1855=""今天"", A1855, IF(D1855=""昨天 (-1 day)"", A1855-1, IF(D1855=""前天 (-2 days)"", A1855-2, IF(D1855=""明天 (+1 day)"", A1855+1, DATE(LEFT(D1855,4), MID(D1855,5,2), RIGHT(D1855,2))))))))"),"")</f>
        <v/>
      </c>
      <c r="C1855" s="60" t="str">
        <f>IFERROR(__xludf.DUMMYFUNCTION("INDIRECT(""'收支紀錄'!C""&amp;TO_TEXT(ROW()-$C$72))"),"")</f>
        <v/>
      </c>
      <c r="D1855" s="63" t="str">
        <f>IFERROR(__xludf.DUMMYFUNCTION("INDIRECT(""'收支紀錄'!D""&amp;TO_TEXT(ROW()-$C$72))"),"")</f>
        <v/>
      </c>
      <c r="E1855" s="61" t="str">
        <f>IFERROR(__xludf.DUMMYFUNCTION("INDIRECT(""'收支紀錄'!E""&amp;TO_TEXT(ROW()-$C$72))"),"")</f>
        <v/>
      </c>
      <c r="F1855" s="61" t="str">
        <f>IFERROR(__xludf.DUMMYFUNCTION("INDIRECT(""'收支紀錄'!F""&amp;TO_TEXT(ROW()-$C$72))"),"")</f>
        <v/>
      </c>
      <c r="G1855" s="61" t="str">
        <f>IFERROR(__xludf.DUMMYFUNCTION("INDIRECT(""'收支紀錄'!G""&amp;TO_TEXT(ROW()-$C$72))"),"")</f>
        <v/>
      </c>
      <c r="H1855" s="61" t="str">
        <f>IFERROR(__xludf.DUMMYFUNCTION("INDIRECT(""'收支紀錄'!H""&amp;TO_TEXT(ROW()-$C$72))"),"")</f>
        <v/>
      </c>
      <c r="I1855" s="61" t="str">
        <f>IFERROR(__xludf.DUMMYFUNCTION("INDIRECT(""'收支紀錄'!I""&amp;TO_TEXT(ROW()-$C$72))"),"")</f>
        <v/>
      </c>
      <c r="J1855" s="61" t="str">
        <f>IFERROR(__xludf.DUMMYFUNCTION("INDIRECT(""'收支紀錄'!J""&amp;TO_TEXT(ROW()-$C$72))"),"")</f>
        <v/>
      </c>
      <c r="K1855" s="61" t="str">
        <f>IFERROR(__xludf.DUMMYFUNCTION("INDIRECT(""'收支紀錄'!K""&amp;TO_TEXT(ROW()-$C$72))"),"")</f>
        <v/>
      </c>
      <c r="L1855" s="61" t="str">
        <f>IFERROR(__xludf.DUMMYFUNCTION("INDIRECT(""'收支紀錄'!L""&amp;TO_TEXT(ROW()-$C$72))"),"")</f>
        <v/>
      </c>
      <c r="M1855" s="61" t="str">
        <f>IFERROR(__xludf.DUMMYFUNCTION("INDIRECT(""'收支紀錄'!M""&amp;TO_TEXT(ROW()-$C$72))"),"")</f>
        <v/>
      </c>
      <c r="N1855" s="61" t="str">
        <f>IFERROR(__xludf.DUMMYFUNCTION("INDIRECT(""'收支紀錄'!N""&amp;TO_TEXT(ROW()-$C$72))"),"")</f>
        <v/>
      </c>
      <c r="O1855" s="61" t="str">
        <f>IFERROR(__xludf.DUMMYFUNCTION("INDIRECT(""'收支紀錄'!O""&amp;TO_TEXT(ROW()-$C$72))"),"")</f>
        <v/>
      </c>
      <c r="P1855" s="61" t="str">
        <f>IFERROR(__xludf.DUMMYFUNCTION("INDIRECT(""'收支紀錄'!P""&amp;TO_TEXT(ROW()-$C$72))"),"")</f>
        <v/>
      </c>
      <c r="Q1855" s="61" t="str">
        <f>IFERROR(__xludf.DUMMYFUNCTION("INDIRECT(""'收支紀錄'!Q""&amp;TO_TEXT(ROW()-$C$72))"),"")</f>
        <v/>
      </c>
      <c r="R1855" s="61" t="str">
        <f>IFERROR(__xludf.DUMMYFUNCTION("INDIRECT(""'收支紀錄'!R""&amp;TO_TEXT(ROW()-$C$72))"),"")</f>
        <v/>
      </c>
      <c r="S1855" s="61" t="str">
        <f>IFERROR(__xludf.DUMMYFUNCTION("INDIRECT(""'收支紀錄'!S""&amp;TO_TEXT(ROW()-$C$72))"),"")</f>
        <v/>
      </c>
      <c r="T1855" s="61" t="str">
        <f>IFERROR(__xludf.DUMMYFUNCTION("INDIRECT(""'收支紀錄'!T""&amp;TO_TEXT(ROW()-$C$72))"),"")</f>
        <v/>
      </c>
      <c r="U1855" s="62" t="str">
        <f>IFERROR(__xludf.DUMMYFUNCTION("IF(T1855=""是"",TEXTJOIN("""", TRUE, ""$"", TO_TEXT(C1855), S1855),"""")"),"")</f>
        <v/>
      </c>
    </row>
    <row r="1856">
      <c r="A1856" s="58" t="str">
        <f>IFERROR(__xludf.DUMMYFUNCTION("INDIRECT(""'收支紀錄'!A""&amp;TO_TEXT(ROW()-$C$72))"),"")</f>
        <v/>
      </c>
      <c r="B1856" s="59" t="str">
        <f>IFERROR(__xludf.DUMMYFUNCTION("IF(ISBLANK(D1856), """", IF(ISDATE(D1856), D1856, IF(D1856=""今天"", A1856, IF(D1856=""昨天 (-1 day)"", A1856-1, IF(D1856=""前天 (-2 days)"", A1856-2, IF(D1856=""明天 (+1 day)"", A1856+1, DATE(LEFT(D1856,4), MID(D1856,5,2), RIGHT(D1856,2))))))))"),"")</f>
        <v/>
      </c>
      <c r="C1856" s="60" t="str">
        <f>IFERROR(__xludf.DUMMYFUNCTION("INDIRECT(""'收支紀錄'!C""&amp;TO_TEXT(ROW()-$C$72))"),"")</f>
        <v/>
      </c>
      <c r="D1856" s="63" t="str">
        <f>IFERROR(__xludf.DUMMYFUNCTION("INDIRECT(""'收支紀錄'!D""&amp;TO_TEXT(ROW()-$C$72))"),"")</f>
        <v/>
      </c>
      <c r="E1856" s="61" t="str">
        <f>IFERROR(__xludf.DUMMYFUNCTION("INDIRECT(""'收支紀錄'!E""&amp;TO_TEXT(ROW()-$C$72))"),"")</f>
        <v/>
      </c>
      <c r="F1856" s="61" t="str">
        <f>IFERROR(__xludf.DUMMYFUNCTION("INDIRECT(""'收支紀錄'!F""&amp;TO_TEXT(ROW()-$C$72))"),"")</f>
        <v/>
      </c>
      <c r="G1856" s="61" t="str">
        <f>IFERROR(__xludf.DUMMYFUNCTION("INDIRECT(""'收支紀錄'!G""&amp;TO_TEXT(ROW()-$C$72))"),"")</f>
        <v/>
      </c>
      <c r="H1856" s="61" t="str">
        <f>IFERROR(__xludf.DUMMYFUNCTION("INDIRECT(""'收支紀錄'!H""&amp;TO_TEXT(ROW()-$C$72))"),"")</f>
        <v/>
      </c>
      <c r="I1856" s="61" t="str">
        <f>IFERROR(__xludf.DUMMYFUNCTION("INDIRECT(""'收支紀錄'!I""&amp;TO_TEXT(ROW()-$C$72))"),"")</f>
        <v/>
      </c>
      <c r="J1856" s="61" t="str">
        <f>IFERROR(__xludf.DUMMYFUNCTION("INDIRECT(""'收支紀錄'!J""&amp;TO_TEXT(ROW()-$C$72))"),"")</f>
        <v/>
      </c>
      <c r="K1856" s="61" t="str">
        <f>IFERROR(__xludf.DUMMYFUNCTION("INDIRECT(""'收支紀錄'!K""&amp;TO_TEXT(ROW()-$C$72))"),"")</f>
        <v/>
      </c>
      <c r="L1856" s="61" t="str">
        <f>IFERROR(__xludf.DUMMYFUNCTION("INDIRECT(""'收支紀錄'!L""&amp;TO_TEXT(ROW()-$C$72))"),"")</f>
        <v/>
      </c>
      <c r="M1856" s="61" t="str">
        <f>IFERROR(__xludf.DUMMYFUNCTION("INDIRECT(""'收支紀錄'!M""&amp;TO_TEXT(ROW()-$C$72))"),"")</f>
        <v/>
      </c>
      <c r="N1856" s="61" t="str">
        <f>IFERROR(__xludf.DUMMYFUNCTION("INDIRECT(""'收支紀錄'!N""&amp;TO_TEXT(ROW()-$C$72))"),"")</f>
        <v/>
      </c>
      <c r="O1856" s="61" t="str">
        <f>IFERROR(__xludf.DUMMYFUNCTION("INDIRECT(""'收支紀錄'!O""&amp;TO_TEXT(ROW()-$C$72))"),"")</f>
        <v/>
      </c>
      <c r="P1856" s="61" t="str">
        <f>IFERROR(__xludf.DUMMYFUNCTION("INDIRECT(""'收支紀錄'!P""&amp;TO_TEXT(ROW()-$C$72))"),"")</f>
        <v/>
      </c>
      <c r="Q1856" s="61" t="str">
        <f>IFERROR(__xludf.DUMMYFUNCTION("INDIRECT(""'收支紀錄'!Q""&amp;TO_TEXT(ROW()-$C$72))"),"")</f>
        <v/>
      </c>
      <c r="R1856" s="61" t="str">
        <f>IFERROR(__xludf.DUMMYFUNCTION("INDIRECT(""'收支紀錄'!R""&amp;TO_TEXT(ROW()-$C$72))"),"")</f>
        <v/>
      </c>
      <c r="S1856" s="61" t="str">
        <f>IFERROR(__xludf.DUMMYFUNCTION("INDIRECT(""'收支紀錄'!S""&amp;TO_TEXT(ROW()-$C$72))"),"")</f>
        <v/>
      </c>
      <c r="T1856" s="61" t="str">
        <f>IFERROR(__xludf.DUMMYFUNCTION("INDIRECT(""'收支紀錄'!T""&amp;TO_TEXT(ROW()-$C$72))"),"")</f>
        <v/>
      </c>
      <c r="U1856" s="62" t="str">
        <f>IFERROR(__xludf.DUMMYFUNCTION("IF(T1856=""是"",TEXTJOIN("""", TRUE, ""$"", TO_TEXT(C1856), S1856),"""")"),"")</f>
        <v/>
      </c>
    </row>
    <row r="1857">
      <c r="A1857" s="58" t="str">
        <f>IFERROR(__xludf.DUMMYFUNCTION("INDIRECT(""'收支紀錄'!A""&amp;TO_TEXT(ROW()-$C$72))"),"")</f>
        <v/>
      </c>
      <c r="B1857" s="59" t="str">
        <f>IFERROR(__xludf.DUMMYFUNCTION("IF(ISBLANK(D1857), """", IF(ISDATE(D1857), D1857, IF(D1857=""今天"", A1857, IF(D1857=""昨天 (-1 day)"", A1857-1, IF(D1857=""前天 (-2 days)"", A1857-2, IF(D1857=""明天 (+1 day)"", A1857+1, DATE(LEFT(D1857,4), MID(D1857,5,2), RIGHT(D1857,2))))))))"),"")</f>
        <v/>
      </c>
      <c r="C1857" s="60" t="str">
        <f>IFERROR(__xludf.DUMMYFUNCTION("INDIRECT(""'收支紀錄'!C""&amp;TO_TEXT(ROW()-$C$72))"),"")</f>
        <v/>
      </c>
      <c r="D1857" s="63" t="str">
        <f>IFERROR(__xludf.DUMMYFUNCTION("INDIRECT(""'收支紀錄'!D""&amp;TO_TEXT(ROW()-$C$72))"),"")</f>
        <v/>
      </c>
      <c r="E1857" s="61" t="str">
        <f>IFERROR(__xludf.DUMMYFUNCTION("INDIRECT(""'收支紀錄'!E""&amp;TO_TEXT(ROW()-$C$72))"),"")</f>
        <v/>
      </c>
      <c r="F1857" s="61" t="str">
        <f>IFERROR(__xludf.DUMMYFUNCTION("INDIRECT(""'收支紀錄'!F""&amp;TO_TEXT(ROW()-$C$72))"),"")</f>
        <v/>
      </c>
      <c r="G1857" s="61" t="str">
        <f>IFERROR(__xludf.DUMMYFUNCTION("INDIRECT(""'收支紀錄'!G""&amp;TO_TEXT(ROW()-$C$72))"),"")</f>
        <v/>
      </c>
      <c r="H1857" s="61" t="str">
        <f>IFERROR(__xludf.DUMMYFUNCTION("INDIRECT(""'收支紀錄'!H""&amp;TO_TEXT(ROW()-$C$72))"),"")</f>
        <v/>
      </c>
      <c r="I1857" s="61" t="str">
        <f>IFERROR(__xludf.DUMMYFUNCTION("INDIRECT(""'收支紀錄'!I""&amp;TO_TEXT(ROW()-$C$72))"),"")</f>
        <v/>
      </c>
      <c r="J1857" s="61" t="str">
        <f>IFERROR(__xludf.DUMMYFUNCTION("INDIRECT(""'收支紀錄'!J""&amp;TO_TEXT(ROW()-$C$72))"),"")</f>
        <v/>
      </c>
      <c r="K1857" s="61" t="str">
        <f>IFERROR(__xludf.DUMMYFUNCTION("INDIRECT(""'收支紀錄'!K""&amp;TO_TEXT(ROW()-$C$72))"),"")</f>
        <v/>
      </c>
      <c r="L1857" s="61" t="str">
        <f>IFERROR(__xludf.DUMMYFUNCTION("INDIRECT(""'收支紀錄'!L""&amp;TO_TEXT(ROW()-$C$72))"),"")</f>
        <v/>
      </c>
      <c r="M1857" s="61" t="str">
        <f>IFERROR(__xludf.DUMMYFUNCTION("INDIRECT(""'收支紀錄'!M""&amp;TO_TEXT(ROW()-$C$72))"),"")</f>
        <v/>
      </c>
      <c r="N1857" s="61" t="str">
        <f>IFERROR(__xludf.DUMMYFUNCTION("INDIRECT(""'收支紀錄'!N""&amp;TO_TEXT(ROW()-$C$72))"),"")</f>
        <v/>
      </c>
      <c r="O1857" s="61" t="str">
        <f>IFERROR(__xludf.DUMMYFUNCTION("INDIRECT(""'收支紀錄'!O""&amp;TO_TEXT(ROW()-$C$72))"),"")</f>
        <v/>
      </c>
      <c r="P1857" s="61" t="str">
        <f>IFERROR(__xludf.DUMMYFUNCTION("INDIRECT(""'收支紀錄'!P""&amp;TO_TEXT(ROW()-$C$72))"),"")</f>
        <v/>
      </c>
      <c r="Q1857" s="61" t="str">
        <f>IFERROR(__xludf.DUMMYFUNCTION("INDIRECT(""'收支紀錄'!Q""&amp;TO_TEXT(ROW()-$C$72))"),"")</f>
        <v/>
      </c>
      <c r="R1857" s="61" t="str">
        <f>IFERROR(__xludf.DUMMYFUNCTION("INDIRECT(""'收支紀錄'!R""&amp;TO_TEXT(ROW()-$C$72))"),"")</f>
        <v/>
      </c>
      <c r="S1857" s="61" t="str">
        <f>IFERROR(__xludf.DUMMYFUNCTION("INDIRECT(""'收支紀錄'!S""&amp;TO_TEXT(ROW()-$C$72))"),"")</f>
        <v/>
      </c>
      <c r="T1857" s="61" t="str">
        <f>IFERROR(__xludf.DUMMYFUNCTION("INDIRECT(""'收支紀錄'!T""&amp;TO_TEXT(ROW()-$C$72))"),"")</f>
        <v/>
      </c>
      <c r="U1857" s="62" t="str">
        <f>IFERROR(__xludf.DUMMYFUNCTION("IF(T1857=""是"",TEXTJOIN("""", TRUE, ""$"", TO_TEXT(C1857), S1857),"""")"),"")</f>
        <v/>
      </c>
    </row>
    <row r="1858">
      <c r="A1858" s="58" t="str">
        <f>IFERROR(__xludf.DUMMYFUNCTION("INDIRECT(""'收支紀錄'!A""&amp;TO_TEXT(ROW()-$C$72))"),"")</f>
        <v/>
      </c>
      <c r="B1858" s="59" t="str">
        <f>IFERROR(__xludf.DUMMYFUNCTION("IF(ISBLANK(D1858), """", IF(ISDATE(D1858), D1858, IF(D1858=""今天"", A1858, IF(D1858=""昨天 (-1 day)"", A1858-1, IF(D1858=""前天 (-2 days)"", A1858-2, IF(D1858=""明天 (+1 day)"", A1858+1, DATE(LEFT(D1858,4), MID(D1858,5,2), RIGHT(D1858,2))))))))"),"")</f>
        <v/>
      </c>
      <c r="C1858" s="60" t="str">
        <f>IFERROR(__xludf.DUMMYFUNCTION("INDIRECT(""'收支紀錄'!C""&amp;TO_TEXT(ROW()-$C$72))"),"")</f>
        <v/>
      </c>
      <c r="D1858" s="63" t="str">
        <f>IFERROR(__xludf.DUMMYFUNCTION("INDIRECT(""'收支紀錄'!D""&amp;TO_TEXT(ROW()-$C$72))"),"")</f>
        <v/>
      </c>
      <c r="E1858" s="61" t="str">
        <f>IFERROR(__xludf.DUMMYFUNCTION("INDIRECT(""'收支紀錄'!E""&amp;TO_TEXT(ROW()-$C$72))"),"")</f>
        <v/>
      </c>
      <c r="F1858" s="61" t="str">
        <f>IFERROR(__xludf.DUMMYFUNCTION("INDIRECT(""'收支紀錄'!F""&amp;TO_TEXT(ROW()-$C$72))"),"")</f>
        <v/>
      </c>
      <c r="G1858" s="61" t="str">
        <f>IFERROR(__xludf.DUMMYFUNCTION("INDIRECT(""'收支紀錄'!G""&amp;TO_TEXT(ROW()-$C$72))"),"")</f>
        <v/>
      </c>
      <c r="H1858" s="61" t="str">
        <f>IFERROR(__xludf.DUMMYFUNCTION("INDIRECT(""'收支紀錄'!H""&amp;TO_TEXT(ROW()-$C$72))"),"")</f>
        <v/>
      </c>
      <c r="I1858" s="61" t="str">
        <f>IFERROR(__xludf.DUMMYFUNCTION("INDIRECT(""'收支紀錄'!I""&amp;TO_TEXT(ROW()-$C$72))"),"")</f>
        <v/>
      </c>
      <c r="J1858" s="61" t="str">
        <f>IFERROR(__xludf.DUMMYFUNCTION("INDIRECT(""'收支紀錄'!J""&amp;TO_TEXT(ROW()-$C$72))"),"")</f>
        <v/>
      </c>
      <c r="K1858" s="61" t="str">
        <f>IFERROR(__xludf.DUMMYFUNCTION("INDIRECT(""'收支紀錄'!K""&amp;TO_TEXT(ROW()-$C$72))"),"")</f>
        <v/>
      </c>
      <c r="L1858" s="61" t="str">
        <f>IFERROR(__xludf.DUMMYFUNCTION("INDIRECT(""'收支紀錄'!L""&amp;TO_TEXT(ROW()-$C$72))"),"")</f>
        <v/>
      </c>
      <c r="M1858" s="61" t="str">
        <f>IFERROR(__xludf.DUMMYFUNCTION("INDIRECT(""'收支紀錄'!M""&amp;TO_TEXT(ROW()-$C$72))"),"")</f>
        <v/>
      </c>
      <c r="N1858" s="61" t="str">
        <f>IFERROR(__xludf.DUMMYFUNCTION("INDIRECT(""'收支紀錄'!N""&amp;TO_TEXT(ROW()-$C$72))"),"")</f>
        <v/>
      </c>
      <c r="O1858" s="61" t="str">
        <f>IFERROR(__xludf.DUMMYFUNCTION("INDIRECT(""'收支紀錄'!O""&amp;TO_TEXT(ROW()-$C$72))"),"")</f>
        <v/>
      </c>
      <c r="P1858" s="61" t="str">
        <f>IFERROR(__xludf.DUMMYFUNCTION("INDIRECT(""'收支紀錄'!P""&amp;TO_TEXT(ROW()-$C$72))"),"")</f>
        <v/>
      </c>
      <c r="Q1858" s="61" t="str">
        <f>IFERROR(__xludf.DUMMYFUNCTION("INDIRECT(""'收支紀錄'!Q""&amp;TO_TEXT(ROW()-$C$72))"),"")</f>
        <v/>
      </c>
      <c r="R1858" s="61" t="str">
        <f>IFERROR(__xludf.DUMMYFUNCTION("INDIRECT(""'收支紀錄'!R""&amp;TO_TEXT(ROW()-$C$72))"),"")</f>
        <v/>
      </c>
      <c r="S1858" s="61" t="str">
        <f>IFERROR(__xludf.DUMMYFUNCTION("INDIRECT(""'收支紀錄'!S""&amp;TO_TEXT(ROW()-$C$72))"),"")</f>
        <v/>
      </c>
      <c r="T1858" s="61" t="str">
        <f>IFERROR(__xludf.DUMMYFUNCTION("INDIRECT(""'收支紀錄'!T""&amp;TO_TEXT(ROW()-$C$72))"),"")</f>
        <v/>
      </c>
      <c r="U1858" s="62" t="str">
        <f>IFERROR(__xludf.DUMMYFUNCTION("IF(T1858=""是"",TEXTJOIN("""", TRUE, ""$"", TO_TEXT(C1858), S1858),"""")"),"")</f>
        <v/>
      </c>
    </row>
    <row r="1859">
      <c r="A1859" s="58" t="str">
        <f>IFERROR(__xludf.DUMMYFUNCTION("INDIRECT(""'收支紀錄'!A""&amp;TO_TEXT(ROW()-$C$72))"),"")</f>
        <v/>
      </c>
      <c r="B1859" s="59" t="str">
        <f>IFERROR(__xludf.DUMMYFUNCTION("IF(ISBLANK(D1859), """", IF(ISDATE(D1859), D1859, IF(D1859=""今天"", A1859, IF(D1859=""昨天 (-1 day)"", A1859-1, IF(D1859=""前天 (-2 days)"", A1859-2, IF(D1859=""明天 (+1 day)"", A1859+1, DATE(LEFT(D1859,4), MID(D1859,5,2), RIGHT(D1859,2))))))))"),"")</f>
        <v/>
      </c>
      <c r="C1859" s="60" t="str">
        <f>IFERROR(__xludf.DUMMYFUNCTION("INDIRECT(""'收支紀錄'!C""&amp;TO_TEXT(ROW()-$C$72))"),"")</f>
        <v/>
      </c>
      <c r="D1859" s="63" t="str">
        <f>IFERROR(__xludf.DUMMYFUNCTION("INDIRECT(""'收支紀錄'!D""&amp;TO_TEXT(ROW()-$C$72))"),"")</f>
        <v/>
      </c>
      <c r="E1859" s="61" t="str">
        <f>IFERROR(__xludf.DUMMYFUNCTION("INDIRECT(""'收支紀錄'!E""&amp;TO_TEXT(ROW()-$C$72))"),"")</f>
        <v/>
      </c>
      <c r="F1859" s="61" t="str">
        <f>IFERROR(__xludf.DUMMYFUNCTION("INDIRECT(""'收支紀錄'!F""&amp;TO_TEXT(ROW()-$C$72))"),"")</f>
        <v/>
      </c>
      <c r="G1859" s="61" t="str">
        <f>IFERROR(__xludf.DUMMYFUNCTION("INDIRECT(""'收支紀錄'!G""&amp;TO_TEXT(ROW()-$C$72))"),"")</f>
        <v/>
      </c>
      <c r="H1859" s="61" t="str">
        <f>IFERROR(__xludf.DUMMYFUNCTION("INDIRECT(""'收支紀錄'!H""&amp;TO_TEXT(ROW()-$C$72))"),"")</f>
        <v/>
      </c>
      <c r="I1859" s="61" t="str">
        <f>IFERROR(__xludf.DUMMYFUNCTION("INDIRECT(""'收支紀錄'!I""&amp;TO_TEXT(ROW()-$C$72))"),"")</f>
        <v/>
      </c>
      <c r="J1859" s="61" t="str">
        <f>IFERROR(__xludf.DUMMYFUNCTION("INDIRECT(""'收支紀錄'!J""&amp;TO_TEXT(ROW()-$C$72))"),"")</f>
        <v/>
      </c>
      <c r="K1859" s="61" t="str">
        <f>IFERROR(__xludf.DUMMYFUNCTION("INDIRECT(""'收支紀錄'!K""&amp;TO_TEXT(ROW()-$C$72))"),"")</f>
        <v/>
      </c>
      <c r="L1859" s="61" t="str">
        <f>IFERROR(__xludf.DUMMYFUNCTION("INDIRECT(""'收支紀錄'!L""&amp;TO_TEXT(ROW()-$C$72))"),"")</f>
        <v/>
      </c>
      <c r="M1859" s="61" t="str">
        <f>IFERROR(__xludf.DUMMYFUNCTION("INDIRECT(""'收支紀錄'!M""&amp;TO_TEXT(ROW()-$C$72))"),"")</f>
        <v/>
      </c>
      <c r="N1859" s="61" t="str">
        <f>IFERROR(__xludf.DUMMYFUNCTION("INDIRECT(""'收支紀錄'!N""&amp;TO_TEXT(ROW()-$C$72))"),"")</f>
        <v/>
      </c>
      <c r="O1859" s="61" t="str">
        <f>IFERROR(__xludf.DUMMYFUNCTION("INDIRECT(""'收支紀錄'!O""&amp;TO_TEXT(ROW()-$C$72))"),"")</f>
        <v/>
      </c>
      <c r="P1859" s="61" t="str">
        <f>IFERROR(__xludf.DUMMYFUNCTION("INDIRECT(""'收支紀錄'!P""&amp;TO_TEXT(ROW()-$C$72))"),"")</f>
        <v/>
      </c>
      <c r="Q1859" s="61" t="str">
        <f>IFERROR(__xludf.DUMMYFUNCTION("INDIRECT(""'收支紀錄'!Q""&amp;TO_TEXT(ROW()-$C$72))"),"")</f>
        <v/>
      </c>
      <c r="R1859" s="61" t="str">
        <f>IFERROR(__xludf.DUMMYFUNCTION("INDIRECT(""'收支紀錄'!R""&amp;TO_TEXT(ROW()-$C$72))"),"")</f>
        <v/>
      </c>
      <c r="S1859" s="61" t="str">
        <f>IFERROR(__xludf.DUMMYFUNCTION("INDIRECT(""'收支紀錄'!S""&amp;TO_TEXT(ROW()-$C$72))"),"")</f>
        <v/>
      </c>
      <c r="T1859" s="61" t="str">
        <f>IFERROR(__xludf.DUMMYFUNCTION("INDIRECT(""'收支紀錄'!T""&amp;TO_TEXT(ROW()-$C$72))"),"")</f>
        <v/>
      </c>
      <c r="U1859" s="62" t="str">
        <f>IFERROR(__xludf.DUMMYFUNCTION("IF(T1859=""是"",TEXTJOIN("""", TRUE, ""$"", TO_TEXT(C1859), S1859),"""")"),"")</f>
        <v/>
      </c>
    </row>
    <row r="1860">
      <c r="A1860" s="58" t="str">
        <f>IFERROR(__xludf.DUMMYFUNCTION("INDIRECT(""'收支紀錄'!A""&amp;TO_TEXT(ROW()-$C$72))"),"")</f>
        <v/>
      </c>
      <c r="B1860" s="59" t="str">
        <f>IFERROR(__xludf.DUMMYFUNCTION("IF(ISBLANK(D1860), """", IF(ISDATE(D1860), D1860, IF(D1860=""今天"", A1860, IF(D1860=""昨天 (-1 day)"", A1860-1, IF(D1860=""前天 (-2 days)"", A1860-2, IF(D1860=""明天 (+1 day)"", A1860+1, DATE(LEFT(D1860,4), MID(D1860,5,2), RIGHT(D1860,2))))))))"),"")</f>
        <v/>
      </c>
      <c r="C1860" s="60" t="str">
        <f>IFERROR(__xludf.DUMMYFUNCTION("INDIRECT(""'收支紀錄'!C""&amp;TO_TEXT(ROW()-$C$72))"),"")</f>
        <v/>
      </c>
      <c r="D1860" s="63" t="str">
        <f>IFERROR(__xludf.DUMMYFUNCTION("INDIRECT(""'收支紀錄'!D""&amp;TO_TEXT(ROW()-$C$72))"),"")</f>
        <v/>
      </c>
      <c r="E1860" s="61" t="str">
        <f>IFERROR(__xludf.DUMMYFUNCTION("INDIRECT(""'收支紀錄'!E""&amp;TO_TEXT(ROW()-$C$72))"),"")</f>
        <v/>
      </c>
      <c r="F1860" s="61" t="str">
        <f>IFERROR(__xludf.DUMMYFUNCTION("INDIRECT(""'收支紀錄'!F""&amp;TO_TEXT(ROW()-$C$72))"),"")</f>
        <v/>
      </c>
      <c r="G1860" s="61" t="str">
        <f>IFERROR(__xludf.DUMMYFUNCTION("INDIRECT(""'收支紀錄'!G""&amp;TO_TEXT(ROW()-$C$72))"),"")</f>
        <v/>
      </c>
      <c r="H1860" s="61" t="str">
        <f>IFERROR(__xludf.DUMMYFUNCTION("INDIRECT(""'收支紀錄'!H""&amp;TO_TEXT(ROW()-$C$72))"),"")</f>
        <v/>
      </c>
      <c r="I1860" s="61" t="str">
        <f>IFERROR(__xludf.DUMMYFUNCTION("INDIRECT(""'收支紀錄'!I""&amp;TO_TEXT(ROW()-$C$72))"),"")</f>
        <v/>
      </c>
      <c r="J1860" s="61" t="str">
        <f>IFERROR(__xludf.DUMMYFUNCTION("INDIRECT(""'收支紀錄'!J""&amp;TO_TEXT(ROW()-$C$72))"),"")</f>
        <v/>
      </c>
      <c r="K1860" s="61" t="str">
        <f>IFERROR(__xludf.DUMMYFUNCTION("INDIRECT(""'收支紀錄'!K""&amp;TO_TEXT(ROW()-$C$72))"),"")</f>
        <v/>
      </c>
      <c r="L1860" s="61" t="str">
        <f>IFERROR(__xludf.DUMMYFUNCTION("INDIRECT(""'收支紀錄'!L""&amp;TO_TEXT(ROW()-$C$72))"),"")</f>
        <v/>
      </c>
      <c r="M1860" s="61" t="str">
        <f>IFERROR(__xludf.DUMMYFUNCTION("INDIRECT(""'收支紀錄'!M""&amp;TO_TEXT(ROW()-$C$72))"),"")</f>
        <v/>
      </c>
      <c r="N1860" s="61" t="str">
        <f>IFERROR(__xludf.DUMMYFUNCTION("INDIRECT(""'收支紀錄'!N""&amp;TO_TEXT(ROW()-$C$72))"),"")</f>
        <v/>
      </c>
      <c r="O1860" s="61" t="str">
        <f>IFERROR(__xludf.DUMMYFUNCTION("INDIRECT(""'收支紀錄'!O""&amp;TO_TEXT(ROW()-$C$72))"),"")</f>
        <v/>
      </c>
      <c r="P1860" s="61" t="str">
        <f>IFERROR(__xludf.DUMMYFUNCTION("INDIRECT(""'收支紀錄'!P""&amp;TO_TEXT(ROW()-$C$72))"),"")</f>
        <v/>
      </c>
      <c r="Q1860" s="61" t="str">
        <f>IFERROR(__xludf.DUMMYFUNCTION("INDIRECT(""'收支紀錄'!Q""&amp;TO_TEXT(ROW()-$C$72))"),"")</f>
        <v/>
      </c>
      <c r="R1860" s="61" t="str">
        <f>IFERROR(__xludf.DUMMYFUNCTION("INDIRECT(""'收支紀錄'!R""&amp;TO_TEXT(ROW()-$C$72))"),"")</f>
        <v/>
      </c>
      <c r="S1860" s="61" t="str">
        <f>IFERROR(__xludf.DUMMYFUNCTION("INDIRECT(""'收支紀錄'!S""&amp;TO_TEXT(ROW()-$C$72))"),"")</f>
        <v/>
      </c>
      <c r="T1860" s="61" t="str">
        <f>IFERROR(__xludf.DUMMYFUNCTION("INDIRECT(""'收支紀錄'!T""&amp;TO_TEXT(ROW()-$C$72))"),"")</f>
        <v/>
      </c>
      <c r="U1860" s="62" t="str">
        <f>IFERROR(__xludf.DUMMYFUNCTION("IF(T1860=""是"",TEXTJOIN("""", TRUE, ""$"", TO_TEXT(C1860), S1860),"""")"),"")</f>
        <v/>
      </c>
    </row>
    <row r="1861">
      <c r="A1861" s="58" t="str">
        <f>IFERROR(__xludf.DUMMYFUNCTION("INDIRECT(""'收支紀錄'!A""&amp;TO_TEXT(ROW()-$C$72))"),"")</f>
        <v/>
      </c>
      <c r="B1861" s="59" t="str">
        <f>IFERROR(__xludf.DUMMYFUNCTION("IF(ISBLANK(D1861), """", IF(ISDATE(D1861), D1861, IF(D1861=""今天"", A1861, IF(D1861=""昨天 (-1 day)"", A1861-1, IF(D1861=""前天 (-2 days)"", A1861-2, IF(D1861=""明天 (+1 day)"", A1861+1, DATE(LEFT(D1861,4), MID(D1861,5,2), RIGHT(D1861,2))))))))"),"")</f>
        <v/>
      </c>
      <c r="C1861" s="60" t="str">
        <f>IFERROR(__xludf.DUMMYFUNCTION("INDIRECT(""'收支紀錄'!C""&amp;TO_TEXT(ROW()-$C$72))"),"")</f>
        <v/>
      </c>
      <c r="D1861" s="63" t="str">
        <f>IFERROR(__xludf.DUMMYFUNCTION("INDIRECT(""'收支紀錄'!D""&amp;TO_TEXT(ROW()-$C$72))"),"")</f>
        <v/>
      </c>
      <c r="E1861" s="61" t="str">
        <f>IFERROR(__xludf.DUMMYFUNCTION("INDIRECT(""'收支紀錄'!E""&amp;TO_TEXT(ROW()-$C$72))"),"")</f>
        <v/>
      </c>
      <c r="F1861" s="61" t="str">
        <f>IFERROR(__xludf.DUMMYFUNCTION("INDIRECT(""'收支紀錄'!F""&amp;TO_TEXT(ROW()-$C$72))"),"")</f>
        <v/>
      </c>
      <c r="G1861" s="61" t="str">
        <f>IFERROR(__xludf.DUMMYFUNCTION("INDIRECT(""'收支紀錄'!G""&amp;TO_TEXT(ROW()-$C$72))"),"")</f>
        <v/>
      </c>
      <c r="H1861" s="61" t="str">
        <f>IFERROR(__xludf.DUMMYFUNCTION("INDIRECT(""'收支紀錄'!H""&amp;TO_TEXT(ROW()-$C$72))"),"")</f>
        <v/>
      </c>
      <c r="I1861" s="61" t="str">
        <f>IFERROR(__xludf.DUMMYFUNCTION("INDIRECT(""'收支紀錄'!I""&amp;TO_TEXT(ROW()-$C$72))"),"")</f>
        <v/>
      </c>
      <c r="J1861" s="61" t="str">
        <f>IFERROR(__xludf.DUMMYFUNCTION("INDIRECT(""'收支紀錄'!J""&amp;TO_TEXT(ROW()-$C$72))"),"")</f>
        <v/>
      </c>
      <c r="K1861" s="61" t="str">
        <f>IFERROR(__xludf.DUMMYFUNCTION("INDIRECT(""'收支紀錄'!K""&amp;TO_TEXT(ROW()-$C$72))"),"")</f>
        <v/>
      </c>
      <c r="L1861" s="61" t="str">
        <f>IFERROR(__xludf.DUMMYFUNCTION("INDIRECT(""'收支紀錄'!L""&amp;TO_TEXT(ROW()-$C$72))"),"")</f>
        <v/>
      </c>
      <c r="M1861" s="61" t="str">
        <f>IFERROR(__xludf.DUMMYFUNCTION("INDIRECT(""'收支紀錄'!M""&amp;TO_TEXT(ROW()-$C$72))"),"")</f>
        <v/>
      </c>
      <c r="N1861" s="61" t="str">
        <f>IFERROR(__xludf.DUMMYFUNCTION("INDIRECT(""'收支紀錄'!N""&amp;TO_TEXT(ROW()-$C$72))"),"")</f>
        <v/>
      </c>
      <c r="O1861" s="61" t="str">
        <f>IFERROR(__xludf.DUMMYFUNCTION("INDIRECT(""'收支紀錄'!O""&amp;TO_TEXT(ROW()-$C$72))"),"")</f>
        <v/>
      </c>
      <c r="P1861" s="61" t="str">
        <f>IFERROR(__xludf.DUMMYFUNCTION("INDIRECT(""'收支紀錄'!P""&amp;TO_TEXT(ROW()-$C$72))"),"")</f>
        <v/>
      </c>
      <c r="Q1861" s="61" t="str">
        <f>IFERROR(__xludf.DUMMYFUNCTION("INDIRECT(""'收支紀錄'!Q""&amp;TO_TEXT(ROW()-$C$72))"),"")</f>
        <v/>
      </c>
      <c r="R1861" s="61" t="str">
        <f>IFERROR(__xludf.DUMMYFUNCTION("INDIRECT(""'收支紀錄'!R""&amp;TO_TEXT(ROW()-$C$72))"),"")</f>
        <v/>
      </c>
      <c r="S1861" s="61" t="str">
        <f>IFERROR(__xludf.DUMMYFUNCTION("INDIRECT(""'收支紀錄'!S""&amp;TO_TEXT(ROW()-$C$72))"),"")</f>
        <v/>
      </c>
      <c r="T1861" s="61" t="str">
        <f>IFERROR(__xludf.DUMMYFUNCTION("INDIRECT(""'收支紀錄'!T""&amp;TO_TEXT(ROW()-$C$72))"),"")</f>
        <v/>
      </c>
      <c r="U1861" s="62" t="str">
        <f>IFERROR(__xludf.DUMMYFUNCTION("IF(T1861=""是"",TEXTJOIN("""", TRUE, ""$"", TO_TEXT(C1861), S1861),"""")"),"")</f>
        <v/>
      </c>
    </row>
    <row r="1862">
      <c r="A1862" s="58" t="str">
        <f>IFERROR(__xludf.DUMMYFUNCTION("INDIRECT(""'收支紀錄'!A""&amp;TO_TEXT(ROW()-$C$72))"),"")</f>
        <v/>
      </c>
      <c r="B1862" s="59" t="str">
        <f>IFERROR(__xludf.DUMMYFUNCTION("IF(ISBLANK(D1862), """", IF(ISDATE(D1862), D1862, IF(D1862=""今天"", A1862, IF(D1862=""昨天 (-1 day)"", A1862-1, IF(D1862=""前天 (-2 days)"", A1862-2, IF(D1862=""明天 (+1 day)"", A1862+1, DATE(LEFT(D1862,4), MID(D1862,5,2), RIGHT(D1862,2))))))))"),"")</f>
        <v/>
      </c>
      <c r="C1862" s="60" t="str">
        <f>IFERROR(__xludf.DUMMYFUNCTION("INDIRECT(""'收支紀錄'!C""&amp;TO_TEXT(ROW()-$C$72))"),"")</f>
        <v/>
      </c>
      <c r="D1862" s="63" t="str">
        <f>IFERROR(__xludf.DUMMYFUNCTION("INDIRECT(""'收支紀錄'!D""&amp;TO_TEXT(ROW()-$C$72))"),"")</f>
        <v/>
      </c>
      <c r="E1862" s="61" t="str">
        <f>IFERROR(__xludf.DUMMYFUNCTION("INDIRECT(""'收支紀錄'!E""&amp;TO_TEXT(ROW()-$C$72))"),"")</f>
        <v/>
      </c>
      <c r="F1862" s="61" t="str">
        <f>IFERROR(__xludf.DUMMYFUNCTION("INDIRECT(""'收支紀錄'!F""&amp;TO_TEXT(ROW()-$C$72))"),"")</f>
        <v/>
      </c>
      <c r="G1862" s="61" t="str">
        <f>IFERROR(__xludf.DUMMYFUNCTION("INDIRECT(""'收支紀錄'!G""&amp;TO_TEXT(ROW()-$C$72))"),"")</f>
        <v/>
      </c>
      <c r="H1862" s="61" t="str">
        <f>IFERROR(__xludf.DUMMYFUNCTION("INDIRECT(""'收支紀錄'!H""&amp;TO_TEXT(ROW()-$C$72))"),"")</f>
        <v/>
      </c>
      <c r="I1862" s="61" t="str">
        <f>IFERROR(__xludf.DUMMYFUNCTION("INDIRECT(""'收支紀錄'!I""&amp;TO_TEXT(ROW()-$C$72))"),"")</f>
        <v/>
      </c>
      <c r="J1862" s="61" t="str">
        <f>IFERROR(__xludf.DUMMYFUNCTION("INDIRECT(""'收支紀錄'!J""&amp;TO_TEXT(ROW()-$C$72))"),"")</f>
        <v/>
      </c>
      <c r="K1862" s="61" t="str">
        <f>IFERROR(__xludf.DUMMYFUNCTION("INDIRECT(""'收支紀錄'!K""&amp;TO_TEXT(ROW()-$C$72))"),"")</f>
        <v/>
      </c>
      <c r="L1862" s="61" t="str">
        <f>IFERROR(__xludf.DUMMYFUNCTION("INDIRECT(""'收支紀錄'!L""&amp;TO_TEXT(ROW()-$C$72))"),"")</f>
        <v/>
      </c>
      <c r="M1862" s="61" t="str">
        <f>IFERROR(__xludf.DUMMYFUNCTION("INDIRECT(""'收支紀錄'!M""&amp;TO_TEXT(ROW()-$C$72))"),"")</f>
        <v/>
      </c>
      <c r="N1862" s="61" t="str">
        <f>IFERROR(__xludf.DUMMYFUNCTION("INDIRECT(""'收支紀錄'!N""&amp;TO_TEXT(ROW()-$C$72))"),"")</f>
        <v/>
      </c>
      <c r="O1862" s="61" t="str">
        <f>IFERROR(__xludf.DUMMYFUNCTION("INDIRECT(""'收支紀錄'!O""&amp;TO_TEXT(ROW()-$C$72))"),"")</f>
        <v/>
      </c>
      <c r="P1862" s="61" t="str">
        <f>IFERROR(__xludf.DUMMYFUNCTION("INDIRECT(""'收支紀錄'!P""&amp;TO_TEXT(ROW()-$C$72))"),"")</f>
        <v/>
      </c>
      <c r="Q1862" s="61" t="str">
        <f>IFERROR(__xludf.DUMMYFUNCTION("INDIRECT(""'收支紀錄'!Q""&amp;TO_TEXT(ROW()-$C$72))"),"")</f>
        <v/>
      </c>
      <c r="R1862" s="61" t="str">
        <f>IFERROR(__xludf.DUMMYFUNCTION("INDIRECT(""'收支紀錄'!R""&amp;TO_TEXT(ROW()-$C$72))"),"")</f>
        <v/>
      </c>
      <c r="S1862" s="61" t="str">
        <f>IFERROR(__xludf.DUMMYFUNCTION("INDIRECT(""'收支紀錄'!S""&amp;TO_TEXT(ROW()-$C$72))"),"")</f>
        <v/>
      </c>
      <c r="T1862" s="61" t="str">
        <f>IFERROR(__xludf.DUMMYFUNCTION("INDIRECT(""'收支紀錄'!T""&amp;TO_TEXT(ROW()-$C$72))"),"")</f>
        <v/>
      </c>
      <c r="U1862" s="62" t="str">
        <f>IFERROR(__xludf.DUMMYFUNCTION("IF(T1862=""是"",TEXTJOIN("""", TRUE, ""$"", TO_TEXT(C1862), S1862),"""")"),"")</f>
        <v/>
      </c>
    </row>
    <row r="1863">
      <c r="A1863" s="58" t="str">
        <f>IFERROR(__xludf.DUMMYFUNCTION("INDIRECT(""'收支紀錄'!A""&amp;TO_TEXT(ROW()-$C$72))"),"")</f>
        <v/>
      </c>
      <c r="B1863" s="59" t="str">
        <f>IFERROR(__xludf.DUMMYFUNCTION("IF(ISBLANK(D1863), """", IF(ISDATE(D1863), D1863, IF(D1863=""今天"", A1863, IF(D1863=""昨天 (-1 day)"", A1863-1, IF(D1863=""前天 (-2 days)"", A1863-2, IF(D1863=""明天 (+1 day)"", A1863+1, DATE(LEFT(D1863,4), MID(D1863,5,2), RIGHT(D1863,2))))))))"),"")</f>
        <v/>
      </c>
      <c r="C1863" s="60" t="str">
        <f>IFERROR(__xludf.DUMMYFUNCTION("INDIRECT(""'收支紀錄'!C""&amp;TO_TEXT(ROW()-$C$72))"),"")</f>
        <v/>
      </c>
      <c r="D1863" s="63" t="str">
        <f>IFERROR(__xludf.DUMMYFUNCTION("INDIRECT(""'收支紀錄'!D""&amp;TO_TEXT(ROW()-$C$72))"),"")</f>
        <v/>
      </c>
      <c r="E1863" s="61" t="str">
        <f>IFERROR(__xludf.DUMMYFUNCTION("INDIRECT(""'收支紀錄'!E""&amp;TO_TEXT(ROW()-$C$72))"),"")</f>
        <v/>
      </c>
      <c r="F1863" s="61" t="str">
        <f>IFERROR(__xludf.DUMMYFUNCTION("INDIRECT(""'收支紀錄'!F""&amp;TO_TEXT(ROW()-$C$72))"),"")</f>
        <v/>
      </c>
      <c r="G1863" s="61" t="str">
        <f>IFERROR(__xludf.DUMMYFUNCTION("INDIRECT(""'收支紀錄'!G""&amp;TO_TEXT(ROW()-$C$72))"),"")</f>
        <v/>
      </c>
      <c r="H1863" s="61" t="str">
        <f>IFERROR(__xludf.DUMMYFUNCTION("INDIRECT(""'收支紀錄'!H""&amp;TO_TEXT(ROW()-$C$72))"),"")</f>
        <v/>
      </c>
      <c r="I1863" s="61" t="str">
        <f>IFERROR(__xludf.DUMMYFUNCTION("INDIRECT(""'收支紀錄'!I""&amp;TO_TEXT(ROW()-$C$72))"),"")</f>
        <v/>
      </c>
      <c r="J1863" s="61" t="str">
        <f>IFERROR(__xludf.DUMMYFUNCTION("INDIRECT(""'收支紀錄'!J""&amp;TO_TEXT(ROW()-$C$72))"),"")</f>
        <v/>
      </c>
      <c r="K1863" s="61" t="str">
        <f>IFERROR(__xludf.DUMMYFUNCTION("INDIRECT(""'收支紀錄'!K""&amp;TO_TEXT(ROW()-$C$72))"),"")</f>
        <v/>
      </c>
      <c r="L1863" s="61" t="str">
        <f>IFERROR(__xludf.DUMMYFUNCTION("INDIRECT(""'收支紀錄'!L""&amp;TO_TEXT(ROW()-$C$72))"),"")</f>
        <v/>
      </c>
      <c r="M1863" s="61" t="str">
        <f>IFERROR(__xludf.DUMMYFUNCTION("INDIRECT(""'收支紀錄'!M""&amp;TO_TEXT(ROW()-$C$72))"),"")</f>
        <v/>
      </c>
      <c r="N1863" s="61" t="str">
        <f>IFERROR(__xludf.DUMMYFUNCTION("INDIRECT(""'收支紀錄'!N""&amp;TO_TEXT(ROW()-$C$72))"),"")</f>
        <v/>
      </c>
      <c r="O1863" s="61" t="str">
        <f>IFERROR(__xludf.DUMMYFUNCTION("INDIRECT(""'收支紀錄'!O""&amp;TO_TEXT(ROW()-$C$72))"),"")</f>
        <v/>
      </c>
      <c r="P1863" s="61" t="str">
        <f>IFERROR(__xludf.DUMMYFUNCTION("INDIRECT(""'收支紀錄'!P""&amp;TO_TEXT(ROW()-$C$72))"),"")</f>
        <v/>
      </c>
      <c r="Q1863" s="61" t="str">
        <f>IFERROR(__xludf.DUMMYFUNCTION("INDIRECT(""'收支紀錄'!Q""&amp;TO_TEXT(ROW()-$C$72))"),"")</f>
        <v/>
      </c>
      <c r="R1863" s="61" t="str">
        <f>IFERROR(__xludf.DUMMYFUNCTION("INDIRECT(""'收支紀錄'!R""&amp;TO_TEXT(ROW()-$C$72))"),"")</f>
        <v/>
      </c>
      <c r="S1863" s="61" t="str">
        <f>IFERROR(__xludf.DUMMYFUNCTION("INDIRECT(""'收支紀錄'!S""&amp;TO_TEXT(ROW()-$C$72))"),"")</f>
        <v/>
      </c>
      <c r="T1863" s="61" t="str">
        <f>IFERROR(__xludf.DUMMYFUNCTION("INDIRECT(""'收支紀錄'!T""&amp;TO_TEXT(ROW()-$C$72))"),"")</f>
        <v/>
      </c>
      <c r="U1863" s="62" t="str">
        <f>IFERROR(__xludf.DUMMYFUNCTION("IF(T1863=""是"",TEXTJOIN("""", TRUE, ""$"", TO_TEXT(C1863), S1863),"""")"),"")</f>
        <v/>
      </c>
    </row>
    <row r="1864">
      <c r="A1864" s="58" t="str">
        <f>IFERROR(__xludf.DUMMYFUNCTION("INDIRECT(""'收支紀錄'!A""&amp;TO_TEXT(ROW()-$C$72))"),"")</f>
        <v/>
      </c>
      <c r="B1864" s="59" t="str">
        <f>IFERROR(__xludf.DUMMYFUNCTION("IF(ISBLANK(D1864), """", IF(ISDATE(D1864), D1864, IF(D1864=""今天"", A1864, IF(D1864=""昨天 (-1 day)"", A1864-1, IF(D1864=""前天 (-2 days)"", A1864-2, IF(D1864=""明天 (+1 day)"", A1864+1, DATE(LEFT(D1864,4), MID(D1864,5,2), RIGHT(D1864,2))))))))"),"")</f>
        <v/>
      </c>
      <c r="C1864" s="60" t="str">
        <f>IFERROR(__xludf.DUMMYFUNCTION("INDIRECT(""'收支紀錄'!C""&amp;TO_TEXT(ROW()-$C$72))"),"")</f>
        <v/>
      </c>
      <c r="D1864" s="63" t="str">
        <f>IFERROR(__xludf.DUMMYFUNCTION("INDIRECT(""'收支紀錄'!D""&amp;TO_TEXT(ROW()-$C$72))"),"")</f>
        <v/>
      </c>
      <c r="E1864" s="61" t="str">
        <f>IFERROR(__xludf.DUMMYFUNCTION("INDIRECT(""'收支紀錄'!E""&amp;TO_TEXT(ROW()-$C$72))"),"")</f>
        <v/>
      </c>
      <c r="F1864" s="61" t="str">
        <f>IFERROR(__xludf.DUMMYFUNCTION("INDIRECT(""'收支紀錄'!F""&amp;TO_TEXT(ROW()-$C$72))"),"")</f>
        <v/>
      </c>
      <c r="G1864" s="61" t="str">
        <f>IFERROR(__xludf.DUMMYFUNCTION("INDIRECT(""'收支紀錄'!G""&amp;TO_TEXT(ROW()-$C$72))"),"")</f>
        <v/>
      </c>
      <c r="H1864" s="61" t="str">
        <f>IFERROR(__xludf.DUMMYFUNCTION("INDIRECT(""'收支紀錄'!H""&amp;TO_TEXT(ROW()-$C$72))"),"")</f>
        <v/>
      </c>
      <c r="I1864" s="61" t="str">
        <f>IFERROR(__xludf.DUMMYFUNCTION("INDIRECT(""'收支紀錄'!I""&amp;TO_TEXT(ROW()-$C$72))"),"")</f>
        <v/>
      </c>
      <c r="J1864" s="61" t="str">
        <f>IFERROR(__xludf.DUMMYFUNCTION("INDIRECT(""'收支紀錄'!J""&amp;TO_TEXT(ROW()-$C$72))"),"")</f>
        <v/>
      </c>
      <c r="K1864" s="61" t="str">
        <f>IFERROR(__xludf.DUMMYFUNCTION("INDIRECT(""'收支紀錄'!K""&amp;TO_TEXT(ROW()-$C$72))"),"")</f>
        <v/>
      </c>
      <c r="L1864" s="61" t="str">
        <f>IFERROR(__xludf.DUMMYFUNCTION("INDIRECT(""'收支紀錄'!L""&amp;TO_TEXT(ROW()-$C$72))"),"")</f>
        <v/>
      </c>
      <c r="M1864" s="61" t="str">
        <f>IFERROR(__xludf.DUMMYFUNCTION("INDIRECT(""'收支紀錄'!M""&amp;TO_TEXT(ROW()-$C$72))"),"")</f>
        <v/>
      </c>
      <c r="N1864" s="61" t="str">
        <f>IFERROR(__xludf.DUMMYFUNCTION("INDIRECT(""'收支紀錄'!N""&amp;TO_TEXT(ROW()-$C$72))"),"")</f>
        <v/>
      </c>
      <c r="O1864" s="61" t="str">
        <f>IFERROR(__xludf.DUMMYFUNCTION("INDIRECT(""'收支紀錄'!O""&amp;TO_TEXT(ROW()-$C$72))"),"")</f>
        <v/>
      </c>
      <c r="P1864" s="61" t="str">
        <f>IFERROR(__xludf.DUMMYFUNCTION("INDIRECT(""'收支紀錄'!P""&amp;TO_TEXT(ROW()-$C$72))"),"")</f>
        <v/>
      </c>
      <c r="Q1864" s="61" t="str">
        <f>IFERROR(__xludf.DUMMYFUNCTION("INDIRECT(""'收支紀錄'!Q""&amp;TO_TEXT(ROW()-$C$72))"),"")</f>
        <v/>
      </c>
      <c r="R1864" s="61" t="str">
        <f>IFERROR(__xludf.DUMMYFUNCTION("INDIRECT(""'收支紀錄'!R""&amp;TO_TEXT(ROW()-$C$72))"),"")</f>
        <v/>
      </c>
      <c r="S1864" s="61" t="str">
        <f>IFERROR(__xludf.DUMMYFUNCTION("INDIRECT(""'收支紀錄'!S""&amp;TO_TEXT(ROW()-$C$72))"),"")</f>
        <v/>
      </c>
      <c r="T1864" s="61" t="str">
        <f>IFERROR(__xludf.DUMMYFUNCTION("INDIRECT(""'收支紀錄'!T""&amp;TO_TEXT(ROW()-$C$72))"),"")</f>
        <v/>
      </c>
      <c r="U1864" s="62" t="str">
        <f>IFERROR(__xludf.DUMMYFUNCTION("IF(T1864=""是"",TEXTJOIN("""", TRUE, ""$"", TO_TEXT(C1864), S1864),"""")"),"")</f>
        <v/>
      </c>
    </row>
    <row r="1865">
      <c r="A1865" s="58" t="str">
        <f>IFERROR(__xludf.DUMMYFUNCTION("INDIRECT(""'收支紀錄'!A""&amp;TO_TEXT(ROW()-$C$72))"),"")</f>
        <v/>
      </c>
      <c r="B1865" s="59" t="str">
        <f>IFERROR(__xludf.DUMMYFUNCTION("IF(ISBLANK(D1865), """", IF(ISDATE(D1865), D1865, IF(D1865=""今天"", A1865, IF(D1865=""昨天 (-1 day)"", A1865-1, IF(D1865=""前天 (-2 days)"", A1865-2, IF(D1865=""明天 (+1 day)"", A1865+1, DATE(LEFT(D1865,4), MID(D1865,5,2), RIGHT(D1865,2))))))))"),"")</f>
        <v/>
      </c>
      <c r="C1865" s="60" t="str">
        <f>IFERROR(__xludf.DUMMYFUNCTION("INDIRECT(""'收支紀錄'!C""&amp;TO_TEXT(ROW()-$C$72))"),"")</f>
        <v/>
      </c>
      <c r="D1865" s="63" t="str">
        <f>IFERROR(__xludf.DUMMYFUNCTION("INDIRECT(""'收支紀錄'!D""&amp;TO_TEXT(ROW()-$C$72))"),"")</f>
        <v/>
      </c>
      <c r="E1865" s="61" t="str">
        <f>IFERROR(__xludf.DUMMYFUNCTION("INDIRECT(""'收支紀錄'!E""&amp;TO_TEXT(ROW()-$C$72))"),"")</f>
        <v/>
      </c>
      <c r="F1865" s="61" t="str">
        <f>IFERROR(__xludf.DUMMYFUNCTION("INDIRECT(""'收支紀錄'!F""&amp;TO_TEXT(ROW()-$C$72))"),"")</f>
        <v/>
      </c>
      <c r="G1865" s="61" t="str">
        <f>IFERROR(__xludf.DUMMYFUNCTION("INDIRECT(""'收支紀錄'!G""&amp;TO_TEXT(ROW()-$C$72))"),"")</f>
        <v/>
      </c>
      <c r="H1865" s="61" t="str">
        <f>IFERROR(__xludf.DUMMYFUNCTION("INDIRECT(""'收支紀錄'!H""&amp;TO_TEXT(ROW()-$C$72))"),"")</f>
        <v/>
      </c>
      <c r="I1865" s="61" t="str">
        <f>IFERROR(__xludf.DUMMYFUNCTION("INDIRECT(""'收支紀錄'!I""&amp;TO_TEXT(ROW()-$C$72))"),"")</f>
        <v/>
      </c>
      <c r="J1865" s="61" t="str">
        <f>IFERROR(__xludf.DUMMYFUNCTION("INDIRECT(""'收支紀錄'!J""&amp;TO_TEXT(ROW()-$C$72))"),"")</f>
        <v/>
      </c>
      <c r="K1865" s="61" t="str">
        <f>IFERROR(__xludf.DUMMYFUNCTION("INDIRECT(""'收支紀錄'!K""&amp;TO_TEXT(ROW()-$C$72))"),"")</f>
        <v/>
      </c>
      <c r="L1865" s="61" t="str">
        <f>IFERROR(__xludf.DUMMYFUNCTION("INDIRECT(""'收支紀錄'!L""&amp;TO_TEXT(ROW()-$C$72))"),"")</f>
        <v/>
      </c>
      <c r="M1865" s="61" t="str">
        <f>IFERROR(__xludf.DUMMYFUNCTION("INDIRECT(""'收支紀錄'!M""&amp;TO_TEXT(ROW()-$C$72))"),"")</f>
        <v/>
      </c>
      <c r="N1865" s="61" t="str">
        <f>IFERROR(__xludf.DUMMYFUNCTION("INDIRECT(""'收支紀錄'!N""&amp;TO_TEXT(ROW()-$C$72))"),"")</f>
        <v/>
      </c>
      <c r="O1865" s="61" t="str">
        <f>IFERROR(__xludf.DUMMYFUNCTION("INDIRECT(""'收支紀錄'!O""&amp;TO_TEXT(ROW()-$C$72))"),"")</f>
        <v/>
      </c>
      <c r="P1865" s="61" t="str">
        <f>IFERROR(__xludf.DUMMYFUNCTION("INDIRECT(""'收支紀錄'!P""&amp;TO_TEXT(ROW()-$C$72))"),"")</f>
        <v/>
      </c>
      <c r="Q1865" s="61" t="str">
        <f>IFERROR(__xludf.DUMMYFUNCTION("INDIRECT(""'收支紀錄'!Q""&amp;TO_TEXT(ROW()-$C$72))"),"")</f>
        <v/>
      </c>
      <c r="R1865" s="61" t="str">
        <f>IFERROR(__xludf.DUMMYFUNCTION("INDIRECT(""'收支紀錄'!R""&amp;TO_TEXT(ROW()-$C$72))"),"")</f>
        <v/>
      </c>
      <c r="S1865" s="61" t="str">
        <f>IFERROR(__xludf.DUMMYFUNCTION("INDIRECT(""'收支紀錄'!S""&amp;TO_TEXT(ROW()-$C$72))"),"")</f>
        <v/>
      </c>
      <c r="T1865" s="61" t="str">
        <f>IFERROR(__xludf.DUMMYFUNCTION("INDIRECT(""'收支紀錄'!T""&amp;TO_TEXT(ROW()-$C$72))"),"")</f>
        <v/>
      </c>
      <c r="U1865" s="62" t="str">
        <f>IFERROR(__xludf.DUMMYFUNCTION("IF(T1865=""是"",TEXTJOIN("""", TRUE, ""$"", TO_TEXT(C1865), S1865),"""")"),"")</f>
        <v/>
      </c>
    </row>
    <row r="1866">
      <c r="A1866" s="58" t="str">
        <f>IFERROR(__xludf.DUMMYFUNCTION("INDIRECT(""'收支紀錄'!A""&amp;TO_TEXT(ROW()-$C$72))"),"")</f>
        <v/>
      </c>
      <c r="B1866" s="59" t="str">
        <f>IFERROR(__xludf.DUMMYFUNCTION("IF(ISBLANK(D1866), """", IF(ISDATE(D1866), D1866, IF(D1866=""今天"", A1866, IF(D1866=""昨天 (-1 day)"", A1866-1, IF(D1866=""前天 (-2 days)"", A1866-2, IF(D1866=""明天 (+1 day)"", A1866+1, DATE(LEFT(D1866,4), MID(D1866,5,2), RIGHT(D1866,2))))))))"),"")</f>
        <v/>
      </c>
      <c r="C1866" s="60" t="str">
        <f>IFERROR(__xludf.DUMMYFUNCTION("INDIRECT(""'收支紀錄'!C""&amp;TO_TEXT(ROW()-$C$72))"),"")</f>
        <v/>
      </c>
      <c r="D1866" s="63" t="str">
        <f>IFERROR(__xludf.DUMMYFUNCTION("INDIRECT(""'收支紀錄'!D""&amp;TO_TEXT(ROW()-$C$72))"),"")</f>
        <v/>
      </c>
      <c r="E1866" s="61" t="str">
        <f>IFERROR(__xludf.DUMMYFUNCTION("INDIRECT(""'收支紀錄'!E""&amp;TO_TEXT(ROW()-$C$72))"),"")</f>
        <v/>
      </c>
      <c r="F1866" s="61" t="str">
        <f>IFERROR(__xludf.DUMMYFUNCTION("INDIRECT(""'收支紀錄'!F""&amp;TO_TEXT(ROW()-$C$72))"),"")</f>
        <v/>
      </c>
      <c r="G1866" s="61" t="str">
        <f>IFERROR(__xludf.DUMMYFUNCTION("INDIRECT(""'收支紀錄'!G""&amp;TO_TEXT(ROW()-$C$72))"),"")</f>
        <v/>
      </c>
      <c r="H1866" s="61" t="str">
        <f>IFERROR(__xludf.DUMMYFUNCTION("INDIRECT(""'收支紀錄'!H""&amp;TO_TEXT(ROW()-$C$72))"),"")</f>
        <v/>
      </c>
      <c r="I1866" s="61" t="str">
        <f>IFERROR(__xludf.DUMMYFUNCTION("INDIRECT(""'收支紀錄'!I""&amp;TO_TEXT(ROW()-$C$72))"),"")</f>
        <v/>
      </c>
      <c r="J1866" s="61" t="str">
        <f>IFERROR(__xludf.DUMMYFUNCTION("INDIRECT(""'收支紀錄'!J""&amp;TO_TEXT(ROW()-$C$72))"),"")</f>
        <v/>
      </c>
      <c r="K1866" s="61" t="str">
        <f>IFERROR(__xludf.DUMMYFUNCTION("INDIRECT(""'收支紀錄'!K""&amp;TO_TEXT(ROW()-$C$72))"),"")</f>
        <v/>
      </c>
      <c r="L1866" s="61" t="str">
        <f>IFERROR(__xludf.DUMMYFUNCTION("INDIRECT(""'收支紀錄'!L""&amp;TO_TEXT(ROW()-$C$72))"),"")</f>
        <v/>
      </c>
      <c r="M1866" s="61" t="str">
        <f>IFERROR(__xludf.DUMMYFUNCTION("INDIRECT(""'收支紀錄'!M""&amp;TO_TEXT(ROW()-$C$72))"),"")</f>
        <v/>
      </c>
      <c r="N1866" s="61" t="str">
        <f>IFERROR(__xludf.DUMMYFUNCTION("INDIRECT(""'收支紀錄'!N""&amp;TO_TEXT(ROW()-$C$72))"),"")</f>
        <v/>
      </c>
      <c r="O1866" s="61" t="str">
        <f>IFERROR(__xludf.DUMMYFUNCTION("INDIRECT(""'收支紀錄'!O""&amp;TO_TEXT(ROW()-$C$72))"),"")</f>
        <v/>
      </c>
      <c r="P1866" s="61" t="str">
        <f>IFERROR(__xludf.DUMMYFUNCTION("INDIRECT(""'收支紀錄'!P""&amp;TO_TEXT(ROW()-$C$72))"),"")</f>
        <v/>
      </c>
      <c r="Q1866" s="61" t="str">
        <f>IFERROR(__xludf.DUMMYFUNCTION("INDIRECT(""'收支紀錄'!Q""&amp;TO_TEXT(ROW()-$C$72))"),"")</f>
        <v/>
      </c>
      <c r="R1866" s="61" t="str">
        <f>IFERROR(__xludf.DUMMYFUNCTION("INDIRECT(""'收支紀錄'!R""&amp;TO_TEXT(ROW()-$C$72))"),"")</f>
        <v/>
      </c>
      <c r="S1866" s="61" t="str">
        <f>IFERROR(__xludf.DUMMYFUNCTION("INDIRECT(""'收支紀錄'!S""&amp;TO_TEXT(ROW()-$C$72))"),"")</f>
        <v/>
      </c>
      <c r="T1866" s="61" t="str">
        <f>IFERROR(__xludf.DUMMYFUNCTION("INDIRECT(""'收支紀錄'!T""&amp;TO_TEXT(ROW()-$C$72))"),"")</f>
        <v/>
      </c>
      <c r="U1866" s="62" t="str">
        <f>IFERROR(__xludf.DUMMYFUNCTION("IF(T1866=""是"",TEXTJOIN("""", TRUE, ""$"", TO_TEXT(C1866), S1866),"""")"),"")</f>
        <v/>
      </c>
    </row>
    <row r="1867">
      <c r="A1867" s="58" t="str">
        <f>IFERROR(__xludf.DUMMYFUNCTION("INDIRECT(""'收支紀錄'!A""&amp;TO_TEXT(ROW()-$C$72))"),"")</f>
        <v/>
      </c>
      <c r="B1867" s="59" t="str">
        <f>IFERROR(__xludf.DUMMYFUNCTION("IF(ISBLANK(D1867), """", IF(ISDATE(D1867), D1867, IF(D1867=""今天"", A1867, IF(D1867=""昨天 (-1 day)"", A1867-1, IF(D1867=""前天 (-2 days)"", A1867-2, IF(D1867=""明天 (+1 day)"", A1867+1, DATE(LEFT(D1867,4), MID(D1867,5,2), RIGHT(D1867,2))))))))"),"")</f>
        <v/>
      </c>
      <c r="C1867" s="60" t="str">
        <f>IFERROR(__xludf.DUMMYFUNCTION("INDIRECT(""'收支紀錄'!C""&amp;TO_TEXT(ROW()-$C$72))"),"")</f>
        <v/>
      </c>
      <c r="D1867" s="63" t="str">
        <f>IFERROR(__xludf.DUMMYFUNCTION("INDIRECT(""'收支紀錄'!D""&amp;TO_TEXT(ROW()-$C$72))"),"")</f>
        <v/>
      </c>
      <c r="E1867" s="61" t="str">
        <f>IFERROR(__xludf.DUMMYFUNCTION("INDIRECT(""'收支紀錄'!E""&amp;TO_TEXT(ROW()-$C$72))"),"")</f>
        <v/>
      </c>
      <c r="F1867" s="61" t="str">
        <f>IFERROR(__xludf.DUMMYFUNCTION("INDIRECT(""'收支紀錄'!F""&amp;TO_TEXT(ROW()-$C$72))"),"")</f>
        <v/>
      </c>
      <c r="G1867" s="61" t="str">
        <f>IFERROR(__xludf.DUMMYFUNCTION("INDIRECT(""'收支紀錄'!G""&amp;TO_TEXT(ROW()-$C$72))"),"")</f>
        <v/>
      </c>
      <c r="H1867" s="61" t="str">
        <f>IFERROR(__xludf.DUMMYFUNCTION("INDIRECT(""'收支紀錄'!H""&amp;TO_TEXT(ROW()-$C$72))"),"")</f>
        <v/>
      </c>
      <c r="I1867" s="61" t="str">
        <f>IFERROR(__xludf.DUMMYFUNCTION("INDIRECT(""'收支紀錄'!I""&amp;TO_TEXT(ROW()-$C$72))"),"")</f>
        <v/>
      </c>
      <c r="J1867" s="61" t="str">
        <f>IFERROR(__xludf.DUMMYFUNCTION("INDIRECT(""'收支紀錄'!J""&amp;TO_TEXT(ROW()-$C$72))"),"")</f>
        <v/>
      </c>
      <c r="K1867" s="61" t="str">
        <f>IFERROR(__xludf.DUMMYFUNCTION("INDIRECT(""'收支紀錄'!K""&amp;TO_TEXT(ROW()-$C$72))"),"")</f>
        <v/>
      </c>
      <c r="L1867" s="61" t="str">
        <f>IFERROR(__xludf.DUMMYFUNCTION("INDIRECT(""'收支紀錄'!L""&amp;TO_TEXT(ROW()-$C$72))"),"")</f>
        <v/>
      </c>
      <c r="M1867" s="61" t="str">
        <f>IFERROR(__xludf.DUMMYFUNCTION("INDIRECT(""'收支紀錄'!M""&amp;TO_TEXT(ROW()-$C$72))"),"")</f>
        <v/>
      </c>
      <c r="N1867" s="61" t="str">
        <f>IFERROR(__xludf.DUMMYFUNCTION("INDIRECT(""'收支紀錄'!N""&amp;TO_TEXT(ROW()-$C$72))"),"")</f>
        <v/>
      </c>
      <c r="O1867" s="61" t="str">
        <f>IFERROR(__xludf.DUMMYFUNCTION("INDIRECT(""'收支紀錄'!O""&amp;TO_TEXT(ROW()-$C$72))"),"")</f>
        <v/>
      </c>
      <c r="P1867" s="61" t="str">
        <f>IFERROR(__xludf.DUMMYFUNCTION("INDIRECT(""'收支紀錄'!P""&amp;TO_TEXT(ROW()-$C$72))"),"")</f>
        <v/>
      </c>
      <c r="Q1867" s="61" t="str">
        <f>IFERROR(__xludf.DUMMYFUNCTION("INDIRECT(""'收支紀錄'!Q""&amp;TO_TEXT(ROW()-$C$72))"),"")</f>
        <v/>
      </c>
      <c r="R1867" s="61" t="str">
        <f>IFERROR(__xludf.DUMMYFUNCTION("INDIRECT(""'收支紀錄'!R""&amp;TO_TEXT(ROW()-$C$72))"),"")</f>
        <v/>
      </c>
      <c r="S1867" s="61" t="str">
        <f>IFERROR(__xludf.DUMMYFUNCTION("INDIRECT(""'收支紀錄'!S""&amp;TO_TEXT(ROW()-$C$72))"),"")</f>
        <v/>
      </c>
      <c r="T1867" s="61" t="str">
        <f>IFERROR(__xludf.DUMMYFUNCTION("INDIRECT(""'收支紀錄'!T""&amp;TO_TEXT(ROW()-$C$72))"),"")</f>
        <v/>
      </c>
      <c r="U1867" s="62" t="str">
        <f>IFERROR(__xludf.DUMMYFUNCTION("IF(T1867=""是"",TEXTJOIN("""", TRUE, ""$"", TO_TEXT(C1867), S1867),"""")"),"")</f>
        <v/>
      </c>
    </row>
    <row r="1868">
      <c r="A1868" s="58" t="str">
        <f>IFERROR(__xludf.DUMMYFUNCTION("INDIRECT(""'收支紀錄'!A""&amp;TO_TEXT(ROW()-$C$72))"),"")</f>
        <v/>
      </c>
      <c r="B1868" s="59" t="str">
        <f>IFERROR(__xludf.DUMMYFUNCTION("IF(ISBLANK(D1868), """", IF(ISDATE(D1868), D1868, IF(D1868=""今天"", A1868, IF(D1868=""昨天 (-1 day)"", A1868-1, IF(D1868=""前天 (-2 days)"", A1868-2, IF(D1868=""明天 (+1 day)"", A1868+1, DATE(LEFT(D1868,4), MID(D1868,5,2), RIGHT(D1868,2))))))))"),"")</f>
        <v/>
      </c>
      <c r="C1868" s="60" t="str">
        <f>IFERROR(__xludf.DUMMYFUNCTION("INDIRECT(""'收支紀錄'!C""&amp;TO_TEXT(ROW()-$C$72))"),"")</f>
        <v/>
      </c>
      <c r="D1868" s="63" t="str">
        <f>IFERROR(__xludf.DUMMYFUNCTION("INDIRECT(""'收支紀錄'!D""&amp;TO_TEXT(ROW()-$C$72))"),"")</f>
        <v/>
      </c>
      <c r="E1868" s="61" t="str">
        <f>IFERROR(__xludf.DUMMYFUNCTION("INDIRECT(""'收支紀錄'!E""&amp;TO_TEXT(ROW()-$C$72))"),"")</f>
        <v/>
      </c>
      <c r="F1868" s="61" t="str">
        <f>IFERROR(__xludf.DUMMYFUNCTION("INDIRECT(""'收支紀錄'!F""&amp;TO_TEXT(ROW()-$C$72))"),"")</f>
        <v/>
      </c>
      <c r="G1868" s="61" t="str">
        <f>IFERROR(__xludf.DUMMYFUNCTION("INDIRECT(""'收支紀錄'!G""&amp;TO_TEXT(ROW()-$C$72))"),"")</f>
        <v/>
      </c>
      <c r="H1868" s="61" t="str">
        <f>IFERROR(__xludf.DUMMYFUNCTION("INDIRECT(""'收支紀錄'!H""&amp;TO_TEXT(ROW()-$C$72))"),"")</f>
        <v/>
      </c>
      <c r="I1868" s="61" t="str">
        <f>IFERROR(__xludf.DUMMYFUNCTION("INDIRECT(""'收支紀錄'!I""&amp;TO_TEXT(ROW()-$C$72))"),"")</f>
        <v/>
      </c>
      <c r="J1868" s="61" t="str">
        <f>IFERROR(__xludf.DUMMYFUNCTION("INDIRECT(""'收支紀錄'!J""&amp;TO_TEXT(ROW()-$C$72))"),"")</f>
        <v/>
      </c>
      <c r="K1868" s="61" t="str">
        <f>IFERROR(__xludf.DUMMYFUNCTION("INDIRECT(""'收支紀錄'!K""&amp;TO_TEXT(ROW()-$C$72))"),"")</f>
        <v/>
      </c>
      <c r="L1868" s="61" t="str">
        <f>IFERROR(__xludf.DUMMYFUNCTION("INDIRECT(""'收支紀錄'!L""&amp;TO_TEXT(ROW()-$C$72))"),"")</f>
        <v/>
      </c>
      <c r="M1868" s="61" t="str">
        <f>IFERROR(__xludf.DUMMYFUNCTION("INDIRECT(""'收支紀錄'!M""&amp;TO_TEXT(ROW()-$C$72))"),"")</f>
        <v/>
      </c>
      <c r="N1868" s="61" t="str">
        <f>IFERROR(__xludf.DUMMYFUNCTION("INDIRECT(""'收支紀錄'!N""&amp;TO_TEXT(ROW()-$C$72))"),"")</f>
        <v/>
      </c>
      <c r="O1868" s="61" t="str">
        <f>IFERROR(__xludf.DUMMYFUNCTION("INDIRECT(""'收支紀錄'!O""&amp;TO_TEXT(ROW()-$C$72))"),"")</f>
        <v/>
      </c>
      <c r="P1868" s="61" t="str">
        <f>IFERROR(__xludf.DUMMYFUNCTION("INDIRECT(""'收支紀錄'!P""&amp;TO_TEXT(ROW()-$C$72))"),"")</f>
        <v/>
      </c>
      <c r="Q1868" s="61" t="str">
        <f>IFERROR(__xludf.DUMMYFUNCTION("INDIRECT(""'收支紀錄'!Q""&amp;TO_TEXT(ROW()-$C$72))"),"")</f>
        <v/>
      </c>
      <c r="R1868" s="61" t="str">
        <f>IFERROR(__xludf.DUMMYFUNCTION("INDIRECT(""'收支紀錄'!R""&amp;TO_TEXT(ROW()-$C$72))"),"")</f>
        <v/>
      </c>
      <c r="S1868" s="61" t="str">
        <f>IFERROR(__xludf.DUMMYFUNCTION("INDIRECT(""'收支紀錄'!S""&amp;TO_TEXT(ROW()-$C$72))"),"")</f>
        <v/>
      </c>
      <c r="T1868" s="61" t="str">
        <f>IFERROR(__xludf.DUMMYFUNCTION("INDIRECT(""'收支紀錄'!T""&amp;TO_TEXT(ROW()-$C$72))"),"")</f>
        <v/>
      </c>
      <c r="U1868" s="62" t="str">
        <f>IFERROR(__xludf.DUMMYFUNCTION("IF(T1868=""是"",TEXTJOIN("""", TRUE, ""$"", TO_TEXT(C1868), S1868),"""")"),"")</f>
        <v/>
      </c>
    </row>
    <row r="1869">
      <c r="A1869" s="58" t="str">
        <f>IFERROR(__xludf.DUMMYFUNCTION("INDIRECT(""'收支紀錄'!A""&amp;TO_TEXT(ROW()-$C$72))"),"")</f>
        <v/>
      </c>
      <c r="B1869" s="59" t="str">
        <f>IFERROR(__xludf.DUMMYFUNCTION("IF(ISBLANK(D1869), """", IF(ISDATE(D1869), D1869, IF(D1869=""今天"", A1869, IF(D1869=""昨天 (-1 day)"", A1869-1, IF(D1869=""前天 (-2 days)"", A1869-2, IF(D1869=""明天 (+1 day)"", A1869+1, DATE(LEFT(D1869,4), MID(D1869,5,2), RIGHT(D1869,2))))))))"),"")</f>
        <v/>
      </c>
      <c r="C1869" s="60" t="str">
        <f>IFERROR(__xludf.DUMMYFUNCTION("INDIRECT(""'收支紀錄'!C""&amp;TO_TEXT(ROW()-$C$72))"),"")</f>
        <v/>
      </c>
      <c r="D1869" s="63" t="str">
        <f>IFERROR(__xludf.DUMMYFUNCTION("INDIRECT(""'收支紀錄'!D""&amp;TO_TEXT(ROW()-$C$72))"),"")</f>
        <v/>
      </c>
      <c r="E1869" s="61" t="str">
        <f>IFERROR(__xludf.DUMMYFUNCTION("INDIRECT(""'收支紀錄'!E""&amp;TO_TEXT(ROW()-$C$72))"),"")</f>
        <v/>
      </c>
      <c r="F1869" s="61" t="str">
        <f>IFERROR(__xludf.DUMMYFUNCTION("INDIRECT(""'收支紀錄'!F""&amp;TO_TEXT(ROW()-$C$72))"),"")</f>
        <v/>
      </c>
      <c r="G1869" s="61" t="str">
        <f>IFERROR(__xludf.DUMMYFUNCTION("INDIRECT(""'收支紀錄'!G""&amp;TO_TEXT(ROW()-$C$72))"),"")</f>
        <v/>
      </c>
      <c r="H1869" s="61" t="str">
        <f>IFERROR(__xludf.DUMMYFUNCTION("INDIRECT(""'收支紀錄'!H""&amp;TO_TEXT(ROW()-$C$72))"),"")</f>
        <v/>
      </c>
      <c r="I1869" s="61" t="str">
        <f>IFERROR(__xludf.DUMMYFUNCTION("INDIRECT(""'收支紀錄'!I""&amp;TO_TEXT(ROW()-$C$72))"),"")</f>
        <v/>
      </c>
      <c r="J1869" s="61" t="str">
        <f>IFERROR(__xludf.DUMMYFUNCTION("INDIRECT(""'收支紀錄'!J""&amp;TO_TEXT(ROW()-$C$72))"),"")</f>
        <v/>
      </c>
      <c r="K1869" s="61" t="str">
        <f>IFERROR(__xludf.DUMMYFUNCTION("INDIRECT(""'收支紀錄'!K""&amp;TO_TEXT(ROW()-$C$72))"),"")</f>
        <v/>
      </c>
      <c r="L1869" s="61" t="str">
        <f>IFERROR(__xludf.DUMMYFUNCTION("INDIRECT(""'收支紀錄'!L""&amp;TO_TEXT(ROW()-$C$72))"),"")</f>
        <v/>
      </c>
      <c r="M1869" s="61" t="str">
        <f>IFERROR(__xludf.DUMMYFUNCTION("INDIRECT(""'收支紀錄'!M""&amp;TO_TEXT(ROW()-$C$72))"),"")</f>
        <v/>
      </c>
      <c r="N1869" s="61" t="str">
        <f>IFERROR(__xludf.DUMMYFUNCTION("INDIRECT(""'收支紀錄'!N""&amp;TO_TEXT(ROW()-$C$72))"),"")</f>
        <v/>
      </c>
      <c r="O1869" s="61" t="str">
        <f>IFERROR(__xludf.DUMMYFUNCTION("INDIRECT(""'收支紀錄'!O""&amp;TO_TEXT(ROW()-$C$72))"),"")</f>
        <v/>
      </c>
      <c r="P1869" s="61" t="str">
        <f>IFERROR(__xludf.DUMMYFUNCTION("INDIRECT(""'收支紀錄'!P""&amp;TO_TEXT(ROW()-$C$72))"),"")</f>
        <v/>
      </c>
      <c r="Q1869" s="61" t="str">
        <f>IFERROR(__xludf.DUMMYFUNCTION("INDIRECT(""'收支紀錄'!Q""&amp;TO_TEXT(ROW()-$C$72))"),"")</f>
        <v/>
      </c>
      <c r="R1869" s="61" t="str">
        <f>IFERROR(__xludf.DUMMYFUNCTION("INDIRECT(""'收支紀錄'!R""&amp;TO_TEXT(ROW()-$C$72))"),"")</f>
        <v/>
      </c>
      <c r="S1869" s="61" t="str">
        <f>IFERROR(__xludf.DUMMYFUNCTION("INDIRECT(""'收支紀錄'!S""&amp;TO_TEXT(ROW()-$C$72))"),"")</f>
        <v/>
      </c>
      <c r="T1869" s="61" t="str">
        <f>IFERROR(__xludf.DUMMYFUNCTION("INDIRECT(""'收支紀錄'!T""&amp;TO_TEXT(ROW()-$C$72))"),"")</f>
        <v/>
      </c>
      <c r="U1869" s="62" t="str">
        <f>IFERROR(__xludf.DUMMYFUNCTION("IF(T1869=""是"",TEXTJOIN("""", TRUE, ""$"", TO_TEXT(C1869), S1869),"""")"),"")</f>
        <v/>
      </c>
    </row>
    <row r="1870">
      <c r="A1870" s="58" t="str">
        <f>IFERROR(__xludf.DUMMYFUNCTION("INDIRECT(""'收支紀錄'!A""&amp;TO_TEXT(ROW()-$C$72))"),"")</f>
        <v/>
      </c>
      <c r="B1870" s="59" t="str">
        <f>IFERROR(__xludf.DUMMYFUNCTION("IF(ISBLANK(D1870), """", IF(ISDATE(D1870), D1870, IF(D1870=""今天"", A1870, IF(D1870=""昨天 (-1 day)"", A1870-1, IF(D1870=""前天 (-2 days)"", A1870-2, IF(D1870=""明天 (+1 day)"", A1870+1, DATE(LEFT(D1870,4), MID(D1870,5,2), RIGHT(D1870,2))))))))"),"")</f>
        <v/>
      </c>
      <c r="C1870" s="60" t="str">
        <f>IFERROR(__xludf.DUMMYFUNCTION("INDIRECT(""'收支紀錄'!C""&amp;TO_TEXT(ROW()-$C$72))"),"")</f>
        <v/>
      </c>
      <c r="D1870" s="63" t="str">
        <f>IFERROR(__xludf.DUMMYFUNCTION("INDIRECT(""'收支紀錄'!D""&amp;TO_TEXT(ROW()-$C$72))"),"")</f>
        <v/>
      </c>
      <c r="E1870" s="61" t="str">
        <f>IFERROR(__xludf.DUMMYFUNCTION("INDIRECT(""'收支紀錄'!E""&amp;TO_TEXT(ROW()-$C$72))"),"")</f>
        <v/>
      </c>
      <c r="F1870" s="61" t="str">
        <f>IFERROR(__xludf.DUMMYFUNCTION("INDIRECT(""'收支紀錄'!F""&amp;TO_TEXT(ROW()-$C$72))"),"")</f>
        <v/>
      </c>
      <c r="G1870" s="61" t="str">
        <f>IFERROR(__xludf.DUMMYFUNCTION("INDIRECT(""'收支紀錄'!G""&amp;TO_TEXT(ROW()-$C$72))"),"")</f>
        <v/>
      </c>
      <c r="H1870" s="61" t="str">
        <f>IFERROR(__xludf.DUMMYFUNCTION("INDIRECT(""'收支紀錄'!H""&amp;TO_TEXT(ROW()-$C$72))"),"")</f>
        <v/>
      </c>
      <c r="I1870" s="61" t="str">
        <f>IFERROR(__xludf.DUMMYFUNCTION("INDIRECT(""'收支紀錄'!I""&amp;TO_TEXT(ROW()-$C$72))"),"")</f>
        <v/>
      </c>
      <c r="J1870" s="61" t="str">
        <f>IFERROR(__xludf.DUMMYFUNCTION("INDIRECT(""'收支紀錄'!J""&amp;TO_TEXT(ROW()-$C$72))"),"")</f>
        <v/>
      </c>
      <c r="K1870" s="61" t="str">
        <f>IFERROR(__xludf.DUMMYFUNCTION("INDIRECT(""'收支紀錄'!K""&amp;TO_TEXT(ROW()-$C$72))"),"")</f>
        <v/>
      </c>
      <c r="L1870" s="61" t="str">
        <f>IFERROR(__xludf.DUMMYFUNCTION("INDIRECT(""'收支紀錄'!L""&amp;TO_TEXT(ROW()-$C$72))"),"")</f>
        <v/>
      </c>
      <c r="M1870" s="61" t="str">
        <f>IFERROR(__xludf.DUMMYFUNCTION("INDIRECT(""'收支紀錄'!M""&amp;TO_TEXT(ROW()-$C$72))"),"")</f>
        <v/>
      </c>
      <c r="N1870" s="61" t="str">
        <f>IFERROR(__xludf.DUMMYFUNCTION("INDIRECT(""'收支紀錄'!N""&amp;TO_TEXT(ROW()-$C$72))"),"")</f>
        <v/>
      </c>
      <c r="O1870" s="61" t="str">
        <f>IFERROR(__xludf.DUMMYFUNCTION("INDIRECT(""'收支紀錄'!O""&amp;TO_TEXT(ROW()-$C$72))"),"")</f>
        <v/>
      </c>
      <c r="P1870" s="61" t="str">
        <f>IFERROR(__xludf.DUMMYFUNCTION("INDIRECT(""'收支紀錄'!P""&amp;TO_TEXT(ROW()-$C$72))"),"")</f>
        <v/>
      </c>
      <c r="Q1870" s="61" t="str">
        <f>IFERROR(__xludf.DUMMYFUNCTION("INDIRECT(""'收支紀錄'!Q""&amp;TO_TEXT(ROW()-$C$72))"),"")</f>
        <v/>
      </c>
      <c r="R1870" s="61" t="str">
        <f>IFERROR(__xludf.DUMMYFUNCTION("INDIRECT(""'收支紀錄'!R""&amp;TO_TEXT(ROW()-$C$72))"),"")</f>
        <v/>
      </c>
      <c r="S1870" s="61" t="str">
        <f>IFERROR(__xludf.DUMMYFUNCTION("INDIRECT(""'收支紀錄'!S""&amp;TO_TEXT(ROW()-$C$72))"),"")</f>
        <v/>
      </c>
      <c r="T1870" s="61" t="str">
        <f>IFERROR(__xludf.DUMMYFUNCTION("INDIRECT(""'收支紀錄'!T""&amp;TO_TEXT(ROW()-$C$72))"),"")</f>
        <v/>
      </c>
      <c r="U1870" s="62" t="str">
        <f>IFERROR(__xludf.DUMMYFUNCTION("IF(T1870=""是"",TEXTJOIN("""", TRUE, ""$"", TO_TEXT(C1870), S1870),"""")"),"")</f>
        <v/>
      </c>
    </row>
    <row r="1871">
      <c r="A1871" s="58" t="str">
        <f>IFERROR(__xludf.DUMMYFUNCTION("INDIRECT(""'收支紀錄'!A""&amp;TO_TEXT(ROW()-$C$72))"),"")</f>
        <v/>
      </c>
      <c r="B1871" s="59" t="str">
        <f>IFERROR(__xludf.DUMMYFUNCTION("IF(ISBLANK(D1871), """", IF(ISDATE(D1871), D1871, IF(D1871=""今天"", A1871, IF(D1871=""昨天 (-1 day)"", A1871-1, IF(D1871=""前天 (-2 days)"", A1871-2, IF(D1871=""明天 (+1 day)"", A1871+1, DATE(LEFT(D1871,4), MID(D1871,5,2), RIGHT(D1871,2))))))))"),"")</f>
        <v/>
      </c>
      <c r="C1871" s="60" t="str">
        <f>IFERROR(__xludf.DUMMYFUNCTION("INDIRECT(""'收支紀錄'!C""&amp;TO_TEXT(ROW()-$C$72))"),"")</f>
        <v/>
      </c>
      <c r="D1871" s="63" t="str">
        <f>IFERROR(__xludf.DUMMYFUNCTION("INDIRECT(""'收支紀錄'!D""&amp;TO_TEXT(ROW()-$C$72))"),"")</f>
        <v/>
      </c>
      <c r="E1871" s="61" t="str">
        <f>IFERROR(__xludf.DUMMYFUNCTION("INDIRECT(""'收支紀錄'!E""&amp;TO_TEXT(ROW()-$C$72))"),"")</f>
        <v/>
      </c>
      <c r="F1871" s="61" t="str">
        <f>IFERROR(__xludf.DUMMYFUNCTION("INDIRECT(""'收支紀錄'!F""&amp;TO_TEXT(ROW()-$C$72))"),"")</f>
        <v/>
      </c>
      <c r="G1871" s="61" t="str">
        <f>IFERROR(__xludf.DUMMYFUNCTION("INDIRECT(""'收支紀錄'!G""&amp;TO_TEXT(ROW()-$C$72))"),"")</f>
        <v/>
      </c>
      <c r="H1871" s="61" t="str">
        <f>IFERROR(__xludf.DUMMYFUNCTION("INDIRECT(""'收支紀錄'!H""&amp;TO_TEXT(ROW()-$C$72))"),"")</f>
        <v/>
      </c>
      <c r="I1871" s="61" t="str">
        <f>IFERROR(__xludf.DUMMYFUNCTION("INDIRECT(""'收支紀錄'!I""&amp;TO_TEXT(ROW()-$C$72))"),"")</f>
        <v/>
      </c>
      <c r="J1871" s="61" t="str">
        <f>IFERROR(__xludf.DUMMYFUNCTION("INDIRECT(""'收支紀錄'!J""&amp;TO_TEXT(ROW()-$C$72))"),"")</f>
        <v/>
      </c>
      <c r="K1871" s="61" t="str">
        <f>IFERROR(__xludf.DUMMYFUNCTION("INDIRECT(""'收支紀錄'!K""&amp;TO_TEXT(ROW()-$C$72))"),"")</f>
        <v/>
      </c>
      <c r="L1871" s="61" t="str">
        <f>IFERROR(__xludf.DUMMYFUNCTION("INDIRECT(""'收支紀錄'!L""&amp;TO_TEXT(ROW()-$C$72))"),"")</f>
        <v/>
      </c>
      <c r="M1871" s="61" t="str">
        <f>IFERROR(__xludf.DUMMYFUNCTION("INDIRECT(""'收支紀錄'!M""&amp;TO_TEXT(ROW()-$C$72))"),"")</f>
        <v/>
      </c>
      <c r="N1871" s="61" t="str">
        <f>IFERROR(__xludf.DUMMYFUNCTION("INDIRECT(""'收支紀錄'!N""&amp;TO_TEXT(ROW()-$C$72))"),"")</f>
        <v/>
      </c>
      <c r="O1871" s="61" t="str">
        <f>IFERROR(__xludf.DUMMYFUNCTION("INDIRECT(""'收支紀錄'!O""&amp;TO_TEXT(ROW()-$C$72))"),"")</f>
        <v/>
      </c>
      <c r="P1871" s="61" t="str">
        <f>IFERROR(__xludf.DUMMYFUNCTION("INDIRECT(""'收支紀錄'!P""&amp;TO_TEXT(ROW()-$C$72))"),"")</f>
        <v/>
      </c>
      <c r="Q1871" s="61" t="str">
        <f>IFERROR(__xludf.DUMMYFUNCTION("INDIRECT(""'收支紀錄'!Q""&amp;TO_TEXT(ROW()-$C$72))"),"")</f>
        <v/>
      </c>
      <c r="R1871" s="61" t="str">
        <f>IFERROR(__xludf.DUMMYFUNCTION("INDIRECT(""'收支紀錄'!R""&amp;TO_TEXT(ROW()-$C$72))"),"")</f>
        <v/>
      </c>
      <c r="S1871" s="61" t="str">
        <f>IFERROR(__xludf.DUMMYFUNCTION("INDIRECT(""'收支紀錄'!S""&amp;TO_TEXT(ROW()-$C$72))"),"")</f>
        <v/>
      </c>
      <c r="T1871" s="61" t="str">
        <f>IFERROR(__xludf.DUMMYFUNCTION("INDIRECT(""'收支紀錄'!T""&amp;TO_TEXT(ROW()-$C$72))"),"")</f>
        <v/>
      </c>
      <c r="U1871" s="62" t="str">
        <f>IFERROR(__xludf.DUMMYFUNCTION("IF(T1871=""是"",TEXTJOIN("""", TRUE, ""$"", TO_TEXT(C1871), S1871),"""")"),"")</f>
        <v/>
      </c>
    </row>
    <row r="1872">
      <c r="A1872" s="58" t="str">
        <f>IFERROR(__xludf.DUMMYFUNCTION("INDIRECT(""'收支紀錄'!A""&amp;TO_TEXT(ROW()-$C$72))"),"")</f>
        <v/>
      </c>
      <c r="B1872" s="59" t="str">
        <f>IFERROR(__xludf.DUMMYFUNCTION("IF(ISBLANK(D1872), """", IF(ISDATE(D1872), D1872, IF(D1872=""今天"", A1872, IF(D1872=""昨天 (-1 day)"", A1872-1, IF(D1872=""前天 (-2 days)"", A1872-2, IF(D1872=""明天 (+1 day)"", A1872+1, DATE(LEFT(D1872,4), MID(D1872,5,2), RIGHT(D1872,2))))))))"),"")</f>
        <v/>
      </c>
      <c r="C1872" s="60" t="str">
        <f>IFERROR(__xludf.DUMMYFUNCTION("INDIRECT(""'收支紀錄'!C""&amp;TO_TEXT(ROW()-$C$72))"),"")</f>
        <v/>
      </c>
      <c r="D1872" s="63" t="str">
        <f>IFERROR(__xludf.DUMMYFUNCTION("INDIRECT(""'收支紀錄'!D""&amp;TO_TEXT(ROW()-$C$72))"),"")</f>
        <v/>
      </c>
      <c r="E1872" s="61" t="str">
        <f>IFERROR(__xludf.DUMMYFUNCTION("INDIRECT(""'收支紀錄'!E""&amp;TO_TEXT(ROW()-$C$72))"),"")</f>
        <v/>
      </c>
      <c r="F1872" s="61" t="str">
        <f>IFERROR(__xludf.DUMMYFUNCTION("INDIRECT(""'收支紀錄'!F""&amp;TO_TEXT(ROW()-$C$72))"),"")</f>
        <v/>
      </c>
      <c r="G1872" s="61" t="str">
        <f>IFERROR(__xludf.DUMMYFUNCTION("INDIRECT(""'收支紀錄'!G""&amp;TO_TEXT(ROW()-$C$72))"),"")</f>
        <v/>
      </c>
      <c r="H1872" s="61" t="str">
        <f>IFERROR(__xludf.DUMMYFUNCTION("INDIRECT(""'收支紀錄'!H""&amp;TO_TEXT(ROW()-$C$72))"),"")</f>
        <v/>
      </c>
      <c r="I1872" s="61" t="str">
        <f>IFERROR(__xludf.DUMMYFUNCTION("INDIRECT(""'收支紀錄'!I""&amp;TO_TEXT(ROW()-$C$72))"),"")</f>
        <v/>
      </c>
      <c r="J1872" s="61" t="str">
        <f>IFERROR(__xludf.DUMMYFUNCTION("INDIRECT(""'收支紀錄'!J""&amp;TO_TEXT(ROW()-$C$72))"),"")</f>
        <v/>
      </c>
      <c r="K1872" s="61" t="str">
        <f>IFERROR(__xludf.DUMMYFUNCTION("INDIRECT(""'收支紀錄'!K""&amp;TO_TEXT(ROW()-$C$72))"),"")</f>
        <v/>
      </c>
      <c r="L1872" s="61" t="str">
        <f>IFERROR(__xludf.DUMMYFUNCTION("INDIRECT(""'收支紀錄'!L""&amp;TO_TEXT(ROW()-$C$72))"),"")</f>
        <v/>
      </c>
      <c r="M1872" s="61" t="str">
        <f>IFERROR(__xludf.DUMMYFUNCTION("INDIRECT(""'收支紀錄'!M""&amp;TO_TEXT(ROW()-$C$72))"),"")</f>
        <v/>
      </c>
      <c r="N1872" s="61" t="str">
        <f>IFERROR(__xludf.DUMMYFUNCTION("INDIRECT(""'收支紀錄'!N""&amp;TO_TEXT(ROW()-$C$72))"),"")</f>
        <v/>
      </c>
      <c r="O1872" s="61" t="str">
        <f>IFERROR(__xludf.DUMMYFUNCTION("INDIRECT(""'收支紀錄'!O""&amp;TO_TEXT(ROW()-$C$72))"),"")</f>
        <v/>
      </c>
      <c r="P1872" s="61" t="str">
        <f>IFERROR(__xludf.DUMMYFUNCTION("INDIRECT(""'收支紀錄'!P""&amp;TO_TEXT(ROW()-$C$72))"),"")</f>
        <v/>
      </c>
      <c r="Q1872" s="61" t="str">
        <f>IFERROR(__xludf.DUMMYFUNCTION("INDIRECT(""'收支紀錄'!Q""&amp;TO_TEXT(ROW()-$C$72))"),"")</f>
        <v/>
      </c>
      <c r="R1872" s="61" t="str">
        <f>IFERROR(__xludf.DUMMYFUNCTION("INDIRECT(""'收支紀錄'!R""&amp;TO_TEXT(ROW()-$C$72))"),"")</f>
        <v/>
      </c>
      <c r="S1872" s="61" t="str">
        <f>IFERROR(__xludf.DUMMYFUNCTION("INDIRECT(""'收支紀錄'!S""&amp;TO_TEXT(ROW()-$C$72))"),"")</f>
        <v/>
      </c>
      <c r="T1872" s="61" t="str">
        <f>IFERROR(__xludf.DUMMYFUNCTION("INDIRECT(""'收支紀錄'!T""&amp;TO_TEXT(ROW()-$C$72))"),"")</f>
        <v/>
      </c>
      <c r="U1872" s="62" t="str">
        <f>IFERROR(__xludf.DUMMYFUNCTION("IF(T1872=""是"",TEXTJOIN("""", TRUE, ""$"", TO_TEXT(C1872), S1872),"""")"),"")</f>
        <v/>
      </c>
    </row>
    <row r="1873">
      <c r="A1873" s="58" t="str">
        <f>IFERROR(__xludf.DUMMYFUNCTION("INDIRECT(""'收支紀錄'!A""&amp;TO_TEXT(ROW()-$C$72))"),"")</f>
        <v/>
      </c>
      <c r="B1873" s="59" t="str">
        <f>IFERROR(__xludf.DUMMYFUNCTION("IF(ISBLANK(D1873), """", IF(ISDATE(D1873), D1873, IF(D1873=""今天"", A1873, IF(D1873=""昨天 (-1 day)"", A1873-1, IF(D1873=""前天 (-2 days)"", A1873-2, IF(D1873=""明天 (+1 day)"", A1873+1, DATE(LEFT(D1873,4), MID(D1873,5,2), RIGHT(D1873,2))))))))"),"")</f>
        <v/>
      </c>
      <c r="C1873" s="60" t="str">
        <f>IFERROR(__xludf.DUMMYFUNCTION("INDIRECT(""'收支紀錄'!C""&amp;TO_TEXT(ROW()-$C$72))"),"")</f>
        <v/>
      </c>
      <c r="D1873" s="63" t="str">
        <f>IFERROR(__xludf.DUMMYFUNCTION("INDIRECT(""'收支紀錄'!D""&amp;TO_TEXT(ROW()-$C$72))"),"")</f>
        <v/>
      </c>
      <c r="E1873" s="61" t="str">
        <f>IFERROR(__xludf.DUMMYFUNCTION("INDIRECT(""'收支紀錄'!E""&amp;TO_TEXT(ROW()-$C$72))"),"")</f>
        <v/>
      </c>
      <c r="F1873" s="61" t="str">
        <f>IFERROR(__xludf.DUMMYFUNCTION("INDIRECT(""'收支紀錄'!F""&amp;TO_TEXT(ROW()-$C$72))"),"")</f>
        <v/>
      </c>
      <c r="G1873" s="61" t="str">
        <f>IFERROR(__xludf.DUMMYFUNCTION("INDIRECT(""'收支紀錄'!G""&amp;TO_TEXT(ROW()-$C$72))"),"")</f>
        <v/>
      </c>
      <c r="H1873" s="61" t="str">
        <f>IFERROR(__xludf.DUMMYFUNCTION("INDIRECT(""'收支紀錄'!H""&amp;TO_TEXT(ROW()-$C$72))"),"")</f>
        <v/>
      </c>
      <c r="I1873" s="61" t="str">
        <f>IFERROR(__xludf.DUMMYFUNCTION("INDIRECT(""'收支紀錄'!I""&amp;TO_TEXT(ROW()-$C$72))"),"")</f>
        <v/>
      </c>
      <c r="J1873" s="61" t="str">
        <f>IFERROR(__xludf.DUMMYFUNCTION("INDIRECT(""'收支紀錄'!J""&amp;TO_TEXT(ROW()-$C$72))"),"")</f>
        <v/>
      </c>
      <c r="K1873" s="61" t="str">
        <f>IFERROR(__xludf.DUMMYFUNCTION("INDIRECT(""'收支紀錄'!K""&amp;TO_TEXT(ROW()-$C$72))"),"")</f>
        <v/>
      </c>
      <c r="L1873" s="61" t="str">
        <f>IFERROR(__xludf.DUMMYFUNCTION("INDIRECT(""'收支紀錄'!L""&amp;TO_TEXT(ROW()-$C$72))"),"")</f>
        <v/>
      </c>
      <c r="M1873" s="61" t="str">
        <f>IFERROR(__xludf.DUMMYFUNCTION("INDIRECT(""'收支紀錄'!M""&amp;TO_TEXT(ROW()-$C$72))"),"")</f>
        <v/>
      </c>
      <c r="N1873" s="61" t="str">
        <f>IFERROR(__xludf.DUMMYFUNCTION("INDIRECT(""'收支紀錄'!N""&amp;TO_TEXT(ROW()-$C$72))"),"")</f>
        <v/>
      </c>
      <c r="O1873" s="61" t="str">
        <f>IFERROR(__xludf.DUMMYFUNCTION("INDIRECT(""'收支紀錄'!O""&amp;TO_TEXT(ROW()-$C$72))"),"")</f>
        <v/>
      </c>
      <c r="P1873" s="61" t="str">
        <f>IFERROR(__xludf.DUMMYFUNCTION("INDIRECT(""'收支紀錄'!P""&amp;TO_TEXT(ROW()-$C$72))"),"")</f>
        <v/>
      </c>
      <c r="Q1873" s="61" t="str">
        <f>IFERROR(__xludf.DUMMYFUNCTION("INDIRECT(""'收支紀錄'!Q""&amp;TO_TEXT(ROW()-$C$72))"),"")</f>
        <v/>
      </c>
      <c r="R1873" s="61" t="str">
        <f>IFERROR(__xludf.DUMMYFUNCTION("INDIRECT(""'收支紀錄'!R""&amp;TO_TEXT(ROW()-$C$72))"),"")</f>
        <v/>
      </c>
      <c r="S1873" s="61" t="str">
        <f>IFERROR(__xludf.DUMMYFUNCTION("INDIRECT(""'收支紀錄'!S""&amp;TO_TEXT(ROW()-$C$72))"),"")</f>
        <v/>
      </c>
      <c r="T1873" s="61" t="str">
        <f>IFERROR(__xludf.DUMMYFUNCTION("INDIRECT(""'收支紀錄'!T""&amp;TO_TEXT(ROW()-$C$72))"),"")</f>
        <v/>
      </c>
      <c r="U1873" s="62" t="str">
        <f>IFERROR(__xludf.DUMMYFUNCTION("IF(T1873=""是"",TEXTJOIN("""", TRUE, ""$"", TO_TEXT(C1873), S1873),"""")"),"")</f>
        <v/>
      </c>
    </row>
    <row r="1874">
      <c r="A1874" s="58" t="str">
        <f>IFERROR(__xludf.DUMMYFUNCTION("INDIRECT(""'收支紀錄'!A""&amp;TO_TEXT(ROW()-$C$72))"),"")</f>
        <v/>
      </c>
      <c r="B1874" s="59" t="str">
        <f>IFERROR(__xludf.DUMMYFUNCTION("IF(ISBLANK(D1874), """", IF(ISDATE(D1874), D1874, IF(D1874=""今天"", A1874, IF(D1874=""昨天 (-1 day)"", A1874-1, IF(D1874=""前天 (-2 days)"", A1874-2, IF(D1874=""明天 (+1 day)"", A1874+1, DATE(LEFT(D1874,4), MID(D1874,5,2), RIGHT(D1874,2))))))))"),"")</f>
        <v/>
      </c>
      <c r="C1874" s="60" t="str">
        <f>IFERROR(__xludf.DUMMYFUNCTION("INDIRECT(""'收支紀錄'!C""&amp;TO_TEXT(ROW()-$C$72))"),"")</f>
        <v/>
      </c>
      <c r="D1874" s="63" t="str">
        <f>IFERROR(__xludf.DUMMYFUNCTION("INDIRECT(""'收支紀錄'!D""&amp;TO_TEXT(ROW()-$C$72))"),"")</f>
        <v/>
      </c>
      <c r="E1874" s="61" t="str">
        <f>IFERROR(__xludf.DUMMYFUNCTION("INDIRECT(""'收支紀錄'!E""&amp;TO_TEXT(ROW()-$C$72))"),"")</f>
        <v/>
      </c>
      <c r="F1874" s="61" t="str">
        <f>IFERROR(__xludf.DUMMYFUNCTION("INDIRECT(""'收支紀錄'!F""&amp;TO_TEXT(ROW()-$C$72))"),"")</f>
        <v/>
      </c>
      <c r="G1874" s="61" t="str">
        <f>IFERROR(__xludf.DUMMYFUNCTION("INDIRECT(""'收支紀錄'!G""&amp;TO_TEXT(ROW()-$C$72))"),"")</f>
        <v/>
      </c>
      <c r="H1874" s="61" t="str">
        <f>IFERROR(__xludf.DUMMYFUNCTION("INDIRECT(""'收支紀錄'!H""&amp;TO_TEXT(ROW()-$C$72))"),"")</f>
        <v/>
      </c>
      <c r="I1874" s="61" t="str">
        <f>IFERROR(__xludf.DUMMYFUNCTION("INDIRECT(""'收支紀錄'!I""&amp;TO_TEXT(ROW()-$C$72))"),"")</f>
        <v/>
      </c>
      <c r="J1874" s="61" t="str">
        <f>IFERROR(__xludf.DUMMYFUNCTION("INDIRECT(""'收支紀錄'!J""&amp;TO_TEXT(ROW()-$C$72))"),"")</f>
        <v/>
      </c>
      <c r="K1874" s="61" t="str">
        <f>IFERROR(__xludf.DUMMYFUNCTION("INDIRECT(""'收支紀錄'!K""&amp;TO_TEXT(ROW()-$C$72))"),"")</f>
        <v/>
      </c>
      <c r="L1874" s="61" t="str">
        <f>IFERROR(__xludf.DUMMYFUNCTION("INDIRECT(""'收支紀錄'!L""&amp;TO_TEXT(ROW()-$C$72))"),"")</f>
        <v/>
      </c>
      <c r="M1874" s="61" t="str">
        <f>IFERROR(__xludf.DUMMYFUNCTION("INDIRECT(""'收支紀錄'!M""&amp;TO_TEXT(ROW()-$C$72))"),"")</f>
        <v/>
      </c>
      <c r="N1874" s="61" t="str">
        <f>IFERROR(__xludf.DUMMYFUNCTION("INDIRECT(""'收支紀錄'!N""&amp;TO_TEXT(ROW()-$C$72))"),"")</f>
        <v/>
      </c>
      <c r="O1874" s="61" t="str">
        <f>IFERROR(__xludf.DUMMYFUNCTION("INDIRECT(""'收支紀錄'!O""&amp;TO_TEXT(ROW()-$C$72))"),"")</f>
        <v/>
      </c>
      <c r="P1874" s="61" t="str">
        <f>IFERROR(__xludf.DUMMYFUNCTION("INDIRECT(""'收支紀錄'!P""&amp;TO_TEXT(ROW()-$C$72))"),"")</f>
        <v/>
      </c>
      <c r="Q1874" s="61" t="str">
        <f>IFERROR(__xludf.DUMMYFUNCTION("INDIRECT(""'收支紀錄'!Q""&amp;TO_TEXT(ROW()-$C$72))"),"")</f>
        <v/>
      </c>
      <c r="R1874" s="61" t="str">
        <f>IFERROR(__xludf.DUMMYFUNCTION("INDIRECT(""'收支紀錄'!R""&amp;TO_TEXT(ROW()-$C$72))"),"")</f>
        <v/>
      </c>
      <c r="S1874" s="61" t="str">
        <f>IFERROR(__xludf.DUMMYFUNCTION("INDIRECT(""'收支紀錄'!S""&amp;TO_TEXT(ROW()-$C$72))"),"")</f>
        <v/>
      </c>
      <c r="T1874" s="61" t="str">
        <f>IFERROR(__xludf.DUMMYFUNCTION("INDIRECT(""'收支紀錄'!T""&amp;TO_TEXT(ROW()-$C$72))"),"")</f>
        <v/>
      </c>
      <c r="U1874" s="62" t="str">
        <f>IFERROR(__xludf.DUMMYFUNCTION("IF(T1874=""是"",TEXTJOIN("""", TRUE, ""$"", TO_TEXT(C1874), S1874),"""")"),"")</f>
        <v/>
      </c>
    </row>
    <row r="1875">
      <c r="A1875" s="58" t="str">
        <f>IFERROR(__xludf.DUMMYFUNCTION("INDIRECT(""'收支紀錄'!A""&amp;TO_TEXT(ROW()-$C$72))"),"")</f>
        <v/>
      </c>
      <c r="B1875" s="59" t="str">
        <f>IFERROR(__xludf.DUMMYFUNCTION("IF(ISBLANK(D1875), """", IF(ISDATE(D1875), D1875, IF(D1875=""今天"", A1875, IF(D1875=""昨天 (-1 day)"", A1875-1, IF(D1875=""前天 (-2 days)"", A1875-2, IF(D1875=""明天 (+1 day)"", A1875+1, DATE(LEFT(D1875,4), MID(D1875,5,2), RIGHT(D1875,2))))))))"),"")</f>
        <v/>
      </c>
      <c r="C1875" s="60" t="str">
        <f>IFERROR(__xludf.DUMMYFUNCTION("INDIRECT(""'收支紀錄'!C""&amp;TO_TEXT(ROW()-$C$72))"),"")</f>
        <v/>
      </c>
      <c r="D1875" s="63" t="str">
        <f>IFERROR(__xludf.DUMMYFUNCTION("INDIRECT(""'收支紀錄'!D""&amp;TO_TEXT(ROW()-$C$72))"),"")</f>
        <v/>
      </c>
      <c r="E1875" s="61" t="str">
        <f>IFERROR(__xludf.DUMMYFUNCTION("INDIRECT(""'收支紀錄'!E""&amp;TO_TEXT(ROW()-$C$72))"),"")</f>
        <v/>
      </c>
      <c r="F1875" s="61" t="str">
        <f>IFERROR(__xludf.DUMMYFUNCTION("INDIRECT(""'收支紀錄'!F""&amp;TO_TEXT(ROW()-$C$72))"),"")</f>
        <v/>
      </c>
      <c r="G1875" s="61" t="str">
        <f>IFERROR(__xludf.DUMMYFUNCTION("INDIRECT(""'收支紀錄'!G""&amp;TO_TEXT(ROW()-$C$72))"),"")</f>
        <v/>
      </c>
      <c r="H1875" s="61" t="str">
        <f>IFERROR(__xludf.DUMMYFUNCTION("INDIRECT(""'收支紀錄'!H""&amp;TO_TEXT(ROW()-$C$72))"),"")</f>
        <v/>
      </c>
      <c r="I1875" s="61" t="str">
        <f>IFERROR(__xludf.DUMMYFUNCTION("INDIRECT(""'收支紀錄'!I""&amp;TO_TEXT(ROW()-$C$72))"),"")</f>
        <v/>
      </c>
      <c r="J1875" s="61" t="str">
        <f>IFERROR(__xludf.DUMMYFUNCTION("INDIRECT(""'收支紀錄'!J""&amp;TO_TEXT(ROW()-$C$72))"),"")</f>
        <v/>
      </c>
      <c r="K1875" s="61" t="str">
        <f>IFERROR(__xludf.DUMMYFUNCTION("INDIRECT(""'收支紀錄'!K""&amp;TO_TEXT(ROW()-$C$72))"),"")</f>
        <v/>
      </c>
      <c r="L1875" s="61" t="str">
        <f>IFERROR(__xludf.DUMMYFUNCTION("INDIRECT(""'收支紀錄'!L""&amp;TO_TEXT(ROW()-$C$72))"),"")</f>
        <v/>
      </c>
      <c r="M1875" s="61" t="str">
        <f>IFERROR(__xludf.DUMMYFUNCTION("INDIRECT(""'收支紀錄'!M""&amp;TO_TEXT(ROW()-$C$72))"),"")</f>
        <v/>
      </c>
      <c r="N1875" s="61" t="str">
        <f>IFERROR(__xludf.DUMMYFUNCTION("INDIRECT(""'收支紀錄'!N""&amp;TO_TEXT(ROW()-$C$72))"),"")</f>
        <v/>
      </c>
      <c r="O1875" s="61" t="str">
        <f>IFERROR(__xludf.DUMMYFUNCTION("INDIRECT(""'收支紀錄'!O""&amp;TO_TEXT(ROW()-$C$72))"),"")</f>
        <v/>
      </c>
      <c r="P1875" s="61" t="str">
        <f>IFERROR(__xludf.DUMMYFUNCTION("INDIRECT(""'收支紀錄'!P""&amp;TO_TEXT(ROW()-$C$72))"),"")</f>
        <v/>
      </c>
      <c r="Q1875" s="61" t="str">
        <f>IFERROR(__xludf.DUMMYFUNCTION("INDIRECT(""'收支紀錄'!Q""&amp;TO_TEXT(ROW()-$C$72))"),"")</f>
        <v/>
      </c>
      <c r="R1875" s="61" t="str">
        <f>IFERROR(__xludf.DUMMYFUNCTION("INDIRECT(""'收支紀錄'!R""&amp;TO_TEXT(ROW()-$C$72))"),"")</f>
        <v/>
      </c>
      <c r="S1875" s="61" t="str">
        <f>IFERROR(__xludf.DUMMYFUNCTION("INDIRECT(""'收支紀錄'!S""&amp;TO_TEXT(ROW()-$C$72))"),"")</f>
        <v/>
      </c>
      <c r="T1875" s="61" t="str">
        <f>IFERROR(__xludf.DUMMYFUNCTION("INDIRECT(""'收支紀錄'!T""&amp;TO_TEXT(ROW()-$C$72))"),"")</f>
        <v/>
      </c>
      <c r="U1875" s="62" t="str">
        <f>IFERROR(__xludf.DUMMYFUNCTION("IF(T1875=""是"",TEXTJOIN("""", TRUE, ""$"", TO_TEXT(C1875), S1875),"""")"),"")</f>
        <v/>
      </c>
    </row>
    <row r="1876">
      <c r="A1876" s="58" t="str">
        <f>IFERROR(__xludf.DUMMYFUNCTION("INDIRECT(""'收支紀錄'!A""&amp;TO_TEXT(ROW()-$C$72))"),"")</f>
        <v/>
      </c>
      <c r="B1876" s="59" t="str">
        <f>IFERROR(__xludf.DUMMYFUNCTION("IF(ISBLANK(D1876), """", IF(ISDATE(D1876), D1876, IF(D1876=""今天"", A1876, IF(D1876=""昨天 (-1 day)"", A1876-1, IF(D1876=""前天 (-2 days)"", A1876-2, IF(D1876=""明天 (+1 day)"", A1876+1, DATE(LEFT(D1876,4), MID(D1876,5,2), RIGHT(D1876,2))))))))"),"")</f>
        <v/>
      </c>
      <c r="C1876" s="60" t="str">
        <f>IFERROR(__xludf.DUMMYFUNCTION("INDIRECT(""'收支紀錄'!C""&amp;TO_TEXT(ROW()-$C$72))"),"")</f>
        <v/>
      </c>
      <c r="D1876" s="63" t="str">
        <f>IFERROR(__xludf.DUMMYFUNCTION("INDIRECT(""'收支紀錄'!D""&amp;TO_TEXT(ROW()-$C$72))"),"")</f>
        <v/>
      </c>
      <c r="E1876" s="61" t="str">
        <f>IFERROR(__xludf.DUMMYFUNCTION("INDIRECT(""'收支紀錄'!E""&amp;TO_TEXT(ROW()-$C$72))"),"")</f>
        <v/>
      </c>
      <c r="F1876" s="61" t="str">
        <f>IFERROR(__xludf.DUMMYFUNCTION("INDIRECT(""'收支紀錄'!F""&amp;TO_TEXT(ROW()-$C$72))"),"")</f>
        <v/>
      </c>
      <c r="G1876" s="61" t="str">
        <f>IFERROR(__xludf.DUMMYFUNCTION("INDIRECT(""'收支紀錄'!G""&amp;TO_TEXT(ROW()-$C$72))"),"")</f>
        <v/>
      </c>
      <c r="H1876" s="61" t="str">
        <f>IFERROR(__xludf.DUMMYFUNCTION("INDIRECT(""'收支紀錄'!H""&amp;TO_TEXT(ROW()-$C$72))"),"")</f>
        <v/>
      </c>
      <c r="I1876" s="61" t="str">
        <f>IFERROR(__xludf.DUMMYFUNCTION("INDIRECT(""'收支紀錄'!I""&amp;TO_TEXT(ROW()-$C$72))"),"")</f>
        <v/>
      </c>
      <c r="J1876" s="61" t="str">
        <f>IFERROR(__xludf.DUMMYFUNCTION("INDIRECT(""'收支紀錄'!J""&amp;TO_TEXT(ROW()-$C$72))"),"")</f>
        <v/>
      </c>
      <c r="K1876" s="61" t="str">
        <f>IFERROR(__xludf.DUMMYFUNCTION("INDIRECT(""'收支紀錄'!K""&amp;TO_TEXT(ROW()-$C$72))"),"")</f>
        <v/>
      </c>
      <c r="L1876" s="61" t="str">
        <f>IFERROR(__xludf.DUMMYFUNCTION("INDIRECT(""'收支紀錄'!L""&amp;TO_TEXT(ROW()-$C$72))"),"")</f>
        <v/>
      </c>
      <c r="M1876" s="61" t="str">
        <f>IFERROR(__xludf.DUMMYFUNCTION("INDIRECT(""'收支紀錄'!M""&amp;TO_TEXT(ROW()-$C$72))"),"")</f>
        <v/>
      </c>
      <c r="N1876" s="61" t="str">
        <f>IFERROR(__xludf.DUMMYFUNCTION("INDIRECT(""'收支紀錄'!N""&amp;TO_TEXT(ROW()-$C$72))"),"")</f>
        <v/>
      </c>
      <c r="O1876" s="61" t="str">
        <f>IFERROR(__xludf.DUMMYFUNCTION("INDIRECT(""'收支紀錄'!O""&amp;TO_TEXT(ROW()-$C$72))"),"")</f>
        <v/>
      </c>
      <c r="P1876" s="61" t="str">
        <f>IFERROR(__xludf.DUMMYFUNCTION("INDIRECT(""'收支紀錄'!P""&amp;TO_TEXT(ROW()-$C$72))"),"")</f>
        <v/>
      </c>
      <c r="Q1876" s="61" t="str">
        <f>IFERROR(__xludf.DUMMYFUNCTION("INDIRECT(""'收支紀錄'!Q""&amp;TO_TEXT(ROW()-$C$72))"),"")</f>
        <v/>
      </c>
      <c r="R1876" s="61" t="str">
        <f>IFERROR(__xludf.DUMMYFUNCTION("INDIRECT(""'收支紀錄'!R""&amp;TO_TEXT(ROW()-$C$72))"),"")</f>
        <v/>
      </c>
      <c r="S1876" s="61" t="str">
        <f>IFERROR(__xludf.DUMMYFUNCTION("INDIRECT(""'收支紀錄'!S""&amp;TO_TEXT(ROW()-$C$72))"),"")</f>
        <v/>
      </c>
      <c r="T1876" s="61" t="str">
        <f>IFERROR(__xludf.DUMMYFUNCTION("INDIRECT(""'收支紀錄'!T""&amp;TO_TEXT(ROW()-$C$72))"),"")</f>
        <v/>
      </c>
      <c r="U1876" s="62" t="str">
        <f>IFERROR(__xludf.DUMMYFUNCTION("IF(T1876=""是"",TEXTJOIN("""", TRUE, ""$"", TO_TEXT(C1876), S1876),"""")"),"")</f>
        <v/>
      </c>
    </row>
    <row r="1877">
      <c r="A1877" s="58" t="str">
        <f>IFERROR(__xludf.DUMMYFUNCTION("INDIRECT(""'收支紀錄'!A""&amp;TO_TEXT(ROW()-$C$72))"),"")</f>
        <v/>
      </c>
      <c r="B1877" s="59" t="str">
        <f>IFERROR(__xludf.DUMMYFUNCTION("IF(ISBLANK(D1877), """", IF(ISDATE(D1877), D1877, IF(D1877=""今天"", A1877, IF(D1877=""昨天 (-1 day)"", A1877-1, IF(D1877=""前天 (-2 days)"", A1877-2, IF(D1877=""明天 (+1 day)"", A1877+1, DATE(LEFT(D1877,4), MID(D1877,5,2), RIGHT(D1877,2))))))))"),"")</f>
        <v/>
      </c>
      <c r="C1877" s="60" t="str">
        <f>IFERROR(__xludf.DUMMYFUNCTION("INDIRECT(""'收支紀錄'!C""&amp;TO_TEXT(ROW()-$C$72))"),"")</f>
        <v/>
      </c>
      <c r="D1877" s="63" t="str">
        <f>IFERROR(__xludf.DUMMYFUNCTION("INDIRECT(""'收支紀錄'!D""&amp;TO_TEXT(ROW()-$C$72))"),"")</f>
        <v/>
      </c>
      <c r="E1877" s="61" t="str">
        <f>IFERROR(__xludf.DUMMYFUNCTION("INDIRECT(""'收支紀錄'!E""&amp;TO_TEXT(ROW()-$C$72))"),"")</f>
        <v/>
      </c>
      <c r="F1877" s="61" t="str">
        <f>IFERROR(__xludf.DUMMYFUNCTION("INDIRECT(""'收支紀錄'!F""&amp;TO_TEXT(ROW()-$C$72))"),"")</f>
        <v/>
      </c>
      <c r="G1877" s="61" t="str">
        <f>IFERROR(__xludf.DUMMYFUNCTION("INDIRECT(""'收支紀錄'!G""&amp;TO_TEXT(ROW()-$C$72))"),"")</f>
        <v/>
      </c>
      <c r="H1877" s="61" t="str">
        <f>IFERROR(__xludf.DUMMYFUNCTION("INDIRECT(""'收支紀錄'!H""&amp;TO_TEXT(ROW()-$C$72))"),"")</f>
        <v/>
      </c>
      <c r="I1877" s="61" t="str">
        <f>IFERROR(__xludf.DUMMYFUNCTION("INDIRECT(""'收支紀錄'!I""&amp;TO_TEXT(ROW()-$C$72))"),"")</f>
        <v/>
      </c>
      <c r="J1877" s="61" t="str">
        <f>IFERROR(__xludf.DUMMYFUNCTION("INDIRECT(""'收支紀錄'!J""&amp;TO_TEXT(ROW()-$C$72))"),"")</f>
        <v/>
      </c>
      <c r="K1877" s="61" t="str">
        <f>IFERROR(__xludf.DUMMYFUNCTION("INDIRECT(""'收支紀錄'!K""&amp;TO_TEXT(ROW()-$C$72))"),"")</f>
        <v/>
      </c>
      <c r="L1877" s="61" t="str">
        <f>IFERROR(__xludf.DUMMYFUNCTION("INDIRECT(""'收支紀錄'!L""&amp;TO_TEXT(ROW()-$C$72))"),"")</f>
        <v/>
      </c>
      <c r="M1877" s="61" t="str">
        <f>IFERROR(__xludf.DUMMYFUNCTION("INDIRECT(""'收支紀錄'!M""&amp;TO_TEXT(ROW()-$C$72))"),"")</f>
        <v/>
      </c>
      <c r="N1877" s="61" t="str">
        <f>IFERROR(__xludf.DUMMYFUNCTION("INDIRECT(""'收支紀錄'!N""&amp;TO_TEXT(ROW()-$C$72))"),"")</f>
        <v/>
      </c>
      <c r="O1877" s="61" t="str">
        <f>IFERROR(__xludf.DUMMYFUNCTION("INDIRECT(""'收支紀錄'!O""&amp;TO_TEXT(ROW()-$C$72))"),"")</f>
        <v/>
      </c>
      <c r="P1877" s="61" t="str">
        <f>IFERROR(__xludf.DUMMYFUNCTION("INDIRECT(""'收支紀錄'!P""&amp;TO_TEXT(ROW()-$C$72))"),"")</f>
        <v/>
      </c>
      <c r="Q1877" s="61" t="str">
        <f>IFERROR(__xludf.DUMMYFUNCTION("INDIRECT(""'收支紀錄'!Q""&amp;TO_TEXT(ROW()-$C$72))"),"")</f>
        <v/>
      </c>
      <c r="R1877" s="61" t="str">
        <f>IFERROR(__xludf.DUMMYFUNCTION("INDIRECT(""'收支紀錄'!R""&amp;TO_TEXT(ROW()-$C$72))"),"")</f>
        <v/>
      </c>
      <c r="S1877" s="61" t="str">
        <f>IFERROR(__xludf.DUMMYFUNCTION("INDIRECT(""'收支紀錄'!S""&amp;TO_TEXT(ROW()-$C$72))"),"")</f>
        <v/>
      </c>
      <c r="T1877" s="61" t="str">
        <f>IFERROR(__xludf.DUMMYFUNCTION("INDIRECT(""'收支紀錄'!T""&amp;TO_TEXT(ROW()-$C$72))"),"")</f>
        <v/>
      </c>
      <c r="U1877" s="62" t="str">
        <f>IFERROR(__xludf.DUMMYFUNCTION("IF(T1877=""是"",TEXTJOIN("""", TRUE, ""$"", TO_TEXT(C1877), S1877),"""")"),"")</f>
        <v/>
      </c>
    </row>
    <row r="1878">
      <c r="A1878" s="58" t="str">
        <f>IFERROR(__xludf.DUMMYFUNCTION("INDIRECT(""'收支紀錄'!A""&amp;TO_TEXT(ROW()-$C$72))"),"")</f>
        <v/>
      </c>
      <c r="B1878" s="59" t="str">
        <f>IFERROR(__xludf.DUMMYFUNCTION("IF(ISBLANK(D1878), """", IF(ISDATE(D1878), D1878, IF(D1878=""今天"", A1878, IF(D1878=""昨天 (-1 day)"", A1878-1, IF(D1878=""前天 (-2 days)"", A1878-2, IF(D1878=""明天 (+1 day)"", A1878+1, DATE(LEFT(D1878,4), MID(D1878,5,2), RIGHT(D1878,2))))))))"),"")</f>
        <v/>
      </c>
      <c r="C1878" s="60" t="str">
        <f>IFERROR(__xludf.DUMMYFUNCTION("INDIRECT(""'收支紀錄'!C""&amp;TO_TEXT(ROW()-$C$72))"),"")</f>
        <v/>
      </c>
      <c r="D1878" s="63" t="str">
        <f>IFERROR(__xludf.DUMMYFUNCTION("INDIRECT(""'收支紀錄'!D""&amp;TO_TEXT(ROW()-$C$72))"),"")</f>
        <v/>
      </c>
      <c r="E1878" s="61" t="str">
        <f>IFERROR(__xludf.DUMMYFUNCTION("INDIRECT(""'收支紀錄'!E""&amp;TO_TEXT(ROW()-$C$72))"),"")</f>
        <v/>
      </c>
      <c r="F1878" s="61" t="str">
        <f>IFERROR(__xludf.DUMMYFUNCTION("INDIRECT(""'收支紀錄'!F""&amp;TO_TEXT(ROW()-$C$72))"),"")</f>
        <v/>
      </c>
      <c r="G1878" s="61" t="str">
        <f>IFERROR(__xludf.DUMMYFUNCTION("INDIRECT(""'收支紀錄'!G""&amp;TO_TEXT(ROW()-$C$72))"),"")</f>
        <v/>
      </c>
      <c r="H1878" s="61" t="str">
        <f>IFERROR(__xludf.DUMMYFUNCTION("INDIRECT(""'收支紀錄'!H""&amp;TO_TEXT(ROW()-$C$72))"),"")</f>
        <v/>
      </c>
      <c r="I1878" s="61" t="str">
        <f>IFERROR(__xludf.DUMMYFUNCTION("INDIRECT(""'收支紀錄'!I""&amp;TO_TEXT(ROW()-$C$72))"),"")</f>
        <v/>
      </c>
      <c r="J1878" s="61" t="str">
        <f>IFERROR(__xludf.DUMMYFUNCTION("INDIRECT(""'收支紀錄'!J""&amp;TO_TEXT(ROW()-$C$72))"),"")</f>
        <v/>
      </c>
      <c r="K1878" s="61" t="str">
        <f>IFERROR(__xludf.DUMMYFUNCTION("INDIRECT(""'收支紀錄'!K""&amp;TO_TEXT(ROW()-$C$72))"),"")</f>
        <v/>
      </c>
      <c r="L1878" s="61" t="str">
        <f>IFERROR(__xludf.DUMMYFUNCTION("INDIRECT(""'收支紀錄'!L""&amp;TO_TEXT(ROW()-$C$72))"),"")</f>
        <v/>
      </c>
      <c r="M1878" s="61" t="str">
        <f>IFERROR(__xludf.DUMMYFUNCTION("INDIRECT(""'收支紀錄'!M""&amp;TO_TEXT(ROW()-$C$72))"),"")</f>
        <v/>
      </c>
      <c r="N1878" s="61" t="str">
        <f>IFERROR(__xludf.DUMMYFUNCTION("INDIRECT(""'收支紀錄'!N""&amp;TO_TEXT(ROW()-$C$72))"),"")</f>
        <v/>
      </c>
      <c r="O1878" s="61" t="str">
        <f>IFERROR(__xludf.DUMMYFUNCTION("INDIRECT(""'收支紀錄'!O""&amp;TO_TEXT(ROW()-$C$72))"),"")</f>
        <v/>
      </c>
      <c r="P1878" s="61" t="str">
        <f>IFERROR(__xludf.DUMMYFUNCTION("INDIRECT(""'收支紀錄'!P""&amp;TO_TEXT(ROW()-$C$72))"),"")</f>
        <v/>
      </c>
      <c r="Q1878" s="61" t="str">
        <f>IFERROR(__xludf.DUMMYFUNCTION("INDIRECT(""'收支紀錄'!Q""&amp;TO_TEXT(ROW()-$C$72))"),"")</f>
        <v/>
      </c>
      <c r="R1878" s="61" t="str">
        <f>IFERROR(__xludf.DUMMYFUNCTION("INDIRECT(""'收支紀錄'!R""&amp;TO_TEXT(ROW()-$C$72))"),"")</f>
        <v/>
      </c>
      <c r="S1878" s="61" t="str">
        <f>IFERROR(__xludf.DUMMYFUNCTION("INDIRECT(""'收支紀錄'!S""&amp;TO_TEXT(ROW()-$C$72))"),"")</f>
        <v/>
      </c>
      <c r="T1878" s="61" t="str">
        <f>IFERROR(__xludf.DUMMYFUNCTION("INDIRECT(""'收支紀錄'!T""&amp;TO_TEXT(ROW()-$C$72))"),"")</f>
        <v/>
      </c>
      <c r="U1878" s="62" t="str">
        <f>IFERROR(__xludf.DUMMYFUNCTION("IF(T1878=""是"",TEXTJOIN("""", TRUE, ""$"", TO_TEXT(C1878), S1878),"""")"),"")</f>
        <v/>
      </c>
    </row>
    <row r="1879">
      <c r="A1879" s="58" t="str">
        <f>IFERROR(__xludf.DUMMYFUNCTION("INDIRECT(""'收支紀錄'!A""&amp;TO_TEXT(ROW()-$C$72))"),"")</f>
        <v/>
      </c>
      <c r="B1879" s="59" t="str">
        <f>IFERROR(__xludf.DUMMYFUNCTION("IF(ISBLANK(D1879), """", IF(ISDATE(D1879), D1879, IF(D1879=""今天"", A1879, IF(D1879=""昨天 (-1 day)"", A1879-1, IF(D1879=""前天 (-2 days)"", A1879-2, IF(D1879=""明天 (+1 day)"", A1879+1, DATE(LEFT(D1879,4), MID(D1879,5,2), RIGHT(D1879,2))))))))"),"")</f>
        <v/>
      </c>
      <c r="C1879" s="60" t="str">
        <f>IFERROR(__xludf.DUMMYFUNCTION("INDIRECT(""'收支紀錄'!C""&amp;TO_TEXT(ROW()-$C$72))"),"")</f>
        <v/>
      </c>
      <c r="D1879" s="63" t="str">
        <f>IFERROR(__xludf.DUMMYFUNCTION("INDIRECT(""'收支紀錄'!D""&amp;TO_TEXT(ROW()-$C$72))"),"")</f>
        <v/>
      </c>
      <c r="E1879" s="61" t="str">
        <f>IFERROR(__xludf.DUMMYFUNCTION("INDIRECT(""'收支紀錄'!E""&amp;TO_TEXT(ROW()-$C$72))"),"")</f>
        <v/>
      </c>
      <c r="F1879" s="61" t="str">
        <f>IFERROR(__xludf.DUMMYFUNCTION("INDIRECT(""'收支紀錄'!F""&amp;TO_TEXT(ROW()-$C$72))"),"")</f>
        <v/>
      </c>
      <c r="G1879" s="61" t="str">
        <f>IFERROR(__xludf.DUMMYFUNCTION("INDIRECT(""'收支紀錄'!G""&amp;TO_TEXT(ROW()-$C$72))"),"")</f>
        <v/>
      </c>
      <c r="H1879" s="61" t="str">
        <f>IFERROR(__xludf.DUMMYFUNCTION("INDIRECT(""'收支紀錄'!H""&amp;TO_TEXT(ROW()-$C$72))"),"")</f>
        <v/>
      </c>
      <c r="I1879" s="61" t="str">
        <f>IFERROR(__xludf.DUMMYFUNCTION("INDIRECT(""'收支紀錄'!I""&amp;TO_TEXT(ROW()-$C$72))"),"")</f>
        <v/>
      </c>
      <c r="J1879" s="61" t="str">
        <f>IFERROR(__xludf.DUMMYFUNCTION("INDIRECT(""'收支紀錄'!J""&amp;TO_TEXT(ROW()-$C$72))"),"")</f>
        <v/>
      </c>
      <c r="K1879" s="61" t="str">
        <f>IFERROR(__xludf.DUMMYFUNCTION("INDIRECT(""'收支紀錄'!K""&amp;TO_TEXT(ROW()-$C$72))"),"")</f>
        <v/>
      </c>
      <c r="L1879" s="61" t="str">
        <f>IFERROR(__xludf.DUMMYFUNCTION("INDIRECT(""'收支紀錄'!L""&amp;TO_TEXT(ROW()-$C$72))"),"")</f>
        <v/>
      </c>
      <c r="M1879" s="61" t="str">
        <f>IFERROR(__xludf.DUMMYFUNCTION("INDIRECT(""'收支紀錄'!M""&amp;TO_TEXT(ROW()-$C$72))"),"")</f>
        <v/>
      </c>
      <c r="N1879" s="61" t="str">
        <f>IFERROR(__xludf.DUMMYFUNCTION("INDIRECT(""'收支紀錄'!N""&amp;TO_TEXT(ROW()-$C$72))"),"")</f>
        <v/>
      </c>
      <c r="O1879" s="61" t="str">
        <f>IFERROR(__xludf.DUMMYFUNCTION("INDIRECT(""'收支紀錄'!O""&amp;TO_TEXT(ROW()-$C$72))"),"")</f>
        <v/>
      </c>
      <c r="P1879" s="61" t="str">
        <f>IFERROR(__xludf.DUMMYFUNCTION("INDIRECT(""'收支紀錄'!P""&amp;TO_TEXT(ROW()-$C$72))"),"")</f>
        <v/>
      </c>
      <c r="Q1879" s="61" t="str">
        <f>IFERROR(__xludf.DUMMYFUNCTION("INDIRECT(""'收支紀錄'!Q""&amp;TO_TEXT(ROW()-$C$72))"),"")</f>
        <v/>
      </c>
      <c r="R1879" s="61" t="str">
        <f>IFERROR(__xludf.DUMMYFUNCTION("INDIRECT(""'收支紀錄'!R""&amp;TO_TEXT(ROW()-$C$72))"),"")</f>
        <v/>
      </c>
      <c r="S1879" s="61" t="str">
        <f>IFERROR(__xludf.DUMMYFUNCTION("INDIRECT(""'收支紀錄'!S""&amp;TO_TEXT(ROW()-$C$72))"),"")</f>
        <v/>
      </c>
      <c r="T1879" s="61" t="str">
        <f>IFERROR(__xludf.DUMMYFUNCTION("INDIRECT(""'收支紀錄'!T""&amp;TO_TEXT(ROW()-$C$72))"),"")</f>
        <v/>
      </c>
      <c r="U1879" s="62" t="str">
        <f>IFERROR(__xludf.DUMMYFUNCTION("IF(T1879=""是"",TEXTJOIN("""", TRUE, ""$"", TO_TEXT(C1879), S1879),"""")"),"")</f>
        <v/>
      </c>
    </row>
    <row r="1880">
      <c r="A1880" s="58" t="str">
        <f>IFERROR(__xludf.DUMMYFUNCTION("INDIRECT(""'收支紀錄'!A""&amp;TO_TEXT(ROW()-$C$72))"),"")</f>
        <v/>
      </c>
      <c r="B1880" s="59" t="str">
        <f>IFERROR(__xludf.DUMMYFUNCTION("IF(ISBLANK(D1880), """", IF(ISDATE(D1880), D1880, IF(D1880=""今天"", A1880, IF(D1880=""昨天 (-1 day)"", A1880-1, IF(D1880=""前天 (-2 days)"", A1880-2, IF(D1880=""明天 (+1 day)"", A1880+1, DATE(LEFT(D1880,4), MID(D1880,5,2), RIGHT(D1880,2))))))))"),"")</f>
        <v/>
      </c>
      <c r="C1880" s="60" t="str">
        <f>IFERROR(__xludf.DUMMYFUNCTION("INDIRECT(""'收支紀錄'!C""&amp;TO_TEXT(ROW()-$C$72))"),"")</f>
        <v/>
      </c>
      <c r="D1880" s="63" t="str">
        <f>IFERROR(__xludf.DUMMYFUNCTION("INDIRECT(""'收支紀錄'!D""&amp;TO_TEXT(ROW()-$C$72))"),"")</f>
        <v/>
      </c>
      <c r="E1880" s="61" t="str">
        <f>IFERROR(__xludf.DUMMYFUNCTION("INDIRECT(""'收支紀錄'!E""&amp;TO_TEXT(ROW()-$C$72))"),"")</f>
        <v/>
      </c>
      <c r="F1880" s="61" t="str">
        <f>IFERROR(__xludf.DUMMYFUNCTION("INDIRECT(""'收支紀錄'!F""&amp;TO_TEXT(ROW()-$C$72))"),"")</f>
        <v/>
      </c>
      <c r="G1880" s="61" t="str">
        <f>IFERROR(__xludf.DUMMYFUNCTION("INDIRECT(""'收支紀錄'!G""&amp;TO_TEXT(ROW()-$C$72))"),"")</f>
        <v/>
      </c>
      <c r="H1880" s="61" t="str">
        <f>IFERROR(__xludf.DUMMYFUNCTION("INDIRECT(""'收支紀錄'!H""&amp;TO_TEXT(ROW()-$C$72))"),"")</f>
        <v/>
      </c>
      <c r="I1880" s="61" t="str">
        <f>IFERROR(__xludf.DUMMYFUNCTION("INDIRECT(""'收支紀錄'!I""&amp;TO_TEXT(ROW()-$C$72))"),"")</f>
        <v/>
      </c>
      <c r="J1880" s="61" t="str">
        <f>IFERROR(__xludf.DUMMYFUNCTION("INDIRECT(""'收支紀錄'!J""&amp;TO_TEXT(ROW()-$C$72))"),"")</f>
        <v/>
      </c>
      <c r="K1880" s="61" t="str">
        <f>IFERROR(__xludf.DUMMYFUNCTION("INDIRECT(""'收支紀錄'!K""&amp;TO_TEXT(ROW()-$C$72))"),"")</f>
        <v/>
      </c>
      <c r="L1880" s="61" t="str">
        <f>IFERROR(__xludf.DUMMYFUNCTION("INDIRECT(""'收支紀錄'!L""&amp;TO_TEXT(ROW()-$C$72))"),"")</f>
        <v/>
      </c>
      <c r="M1880" s="61" t="str">
        <f>IFERROR(__xludf.DUMMYFUNCTION("INDIRECT(""'收支紀錄'!M""&amp;TO_TEXT(ROW()-$C$72))"),"")</f>
        <v/>
      </c>
      <c r="N1880" s="61" t="str">
        <f>IFERROR(__xludf.DUMMYFUNCTION("INDIRECT(""'收支紀錄'!N""&amp;TO_TEXT(ROW()-$C$72))"),"")</f>
        <v/>
      </c>
      <c r="O1880" s="61" t="str">
        <f>IFERROR(__xludf.DUMMYFUNCTION("INDIRECT(""'收支紀錄'!O""&amp;TO_TEXT(ROW()-$C$72))"),"")</f>
        <v/>
      </c>
      <c r="P1880" s="61" t="str">
        <f>IFERROR(__xludf.DUMMYFUNCTION("INDIRECT(""'收支紀錄'!P""&amp;TO_TEXT(ROW()-$C$72))"),"")</f>
        <v/>
      </c>
      <c r="Q1880" s="61" t="str">
        <f>IFERROR(__xludf.DUMMYFUNCTION("INDIRECT(""'收支紀錄'!Q""&amp;TO_TEXT(ROW()-$C$72))"),"")</f>
        <v/>
      </c>
      <c r="R1880" s="61" t="str">
        <f>IFERROR(__xludf.DUMMYFUNCTION("INDIRECT(""'收支紀錄'!R""&amp;TO_TEXT(ROW()-$C$72))"),"")</f>
        <v/>
      </c>
      <c r="S1880" s="61" t="str">
        <f>IFERROR(__xludf.DUMMYFUNCTION("INDIRECT(""'收支紀錄'!S""&amp;TO_TEXT(ROW()-$C$72))"),"")</f>
        <v/>
      </c>
      <c r="T1880" s="61" t="str">
        <f>IFERROR(__xludf.DUMMYFUNCTION("INDIRECT(""'收支紀錄'!T""&amp;TO_TEXT(ROW()-$C$72))"),"")</f>
        <v/>
      </c>
      <c r="U1880" s="62" t="str">
        <f>IFERROR(__xludf.DUMMYFUNCTION("IF(T1880=""是"",TEXTJOIN("""", TRUE, ""$"", TO_TEXT(C1880), S1880),"""")"),"")</f>
        <v/>
      </c>
    </row>
    <row r="1881">
      <c r="A1881" s="58" t="str">
        <f>IFERROR(__xludf.DUMMYFUNCTION("INDIRECT(""'收支紀錄'!A""&amp;TO_TEXT(ROW()-$C$72))"),"")</f>
        <v/>
      </c>
      <c r="B1881" s="59" t="str">
        <f>IFERROR(__xludf.DUMMYFUNCTION("IF(ISBLANK(D1881), """", IF(ISDATE(D1881), D1881, IF(D1881=""今天"", A1881, IF(D1881=""昨天 (-1 day)"", A1881-1, IF(D1881=""前天 (-2 days)"", A1881-2, IF(D1881=""明天 (+1 day)"", A1881+1, DATE(LEFT(D1881,4), MID(D1881,5,2), RIGHT(D1881,2))))))))"),"")</f>
        <v/>
      </c>
      <c r="C1881" s="60" t="str">
        <f>IFERROR(__xludf.DUMMYFUNCTION("INDIRECT(""'收支紀錄'!C""&amp;TO_TEXT(ROW()-$C$72))"),"")</f>
        <v/>
      </c>
      <c r="D1881" s="63" t="str">
        <f>IFERROR(__xludf.DUMMYFUNCTION("INDIRECT(""'收支紀錄'!D""&amp;TO_TEXT(ROW()-$C$72))"),"")</f>
        <v/>
      </c>
      <c r="E1881" s="61" t="str">
        <f>IFERROR(__xludf.DUMMYFUNCTION("INDIRECT(""'收支紀錄'!E""&amp;TO_TEXT(ROW()-$C$72))"),"")</f>
        <v/>
      </c>
      <c r="F1881" s="61" t="str">
        <f>IFERROR(__xludf.DUMMYFUNCTION("INDIRECT(""'收支紀錄'!F""&amp;TO_TEXT(ROW()-$C$72))"),"")</f>
        <v/>
      </c>
      <c r="G1881" s="61" t="str">
        <f>IFERROR(__xludf.DUMMYFUNCTION("INDIRECT(""'收支紀錄'!G""&amp;TO_TEXT(ROW()-$C$72))"),"")</f>
        <v/>
      </c>
      <c r="H1881" s="61" t="str">
        <f>IFERROR(__xludf.DUMMYFUNCTION("INDIRECT(""'收支紀錄'!H""&amp;TO_TEXT(ROW()-$C$72))"),"")</f>
        <v/>
      </c>
      <c r="I1881" s="61" t="str">
        <f>IFERROR(__xludf.DUMMYFUNCTION("INDIRECT(""'收支紀錄'!I""&amp;TO_TEXT(ROW()-$C$72))"),"")</f>
        <v/>
      </c>
      <c r="J1881" s="61" t="str">
        <f>IFERROR(__xludf.DUMMYFUNCTION("INDIRECT(""'收支紀錄'!J""&amp;TO_TEXT(ROW()-$C$72))"),"")</f>
        <v/>
      </c>
      <c r="K1881" s="61" t="str">
        <f>IFERROR(__xludf.DUMMYFUNCTION("INDIRECT(""'收支紀錄'!K""&amp;TO_TEXT(ROW()-$C$72))"),"")</f>
        <v/>
      </c>
      <c r="L1881" s="61" t="str">
        <f>IFERROR(__xludf.DUMMYFUNCTION("INDIRECT(""'收支紀錄'!L""&amp;TO_TEXT(ROW()-$C$72))"),"")</f>
        <v/>
      </c>
      <c r="M1881" s="61" t="str">
        <f>IFERROR(__xludf.DUMMYFUNCTION("INDIRECT(""'收支紀錄'!M""&amp;TO_TEXT(ROW()-$C$72))"),"")</f>
        <v/>
      </c>
      <c r="N1881" s="61" t="str">
        <f>IFERROR(__xludf.DUMMYFUNCTION("INDIRECT(""'收支紀錄'!N""&amp;TO_TEXT(ROW()-$C$72))"),"")</f>
        <v/>
      </c>
      <c r="O1881" s="61" t="str">
        <f>IFERROR(__xludf.DUMMYFUNCTION("INDIRECT(""'收支紀錄'!O""&amp;TO_TEXT(ROW()-$C$72))"),"")</f>
        <v/>
      </c>
      <c r="P1881" s="61" t="str">
        <f>IFERROR(__xludf.DUMMYFUNCTION("INDIRECT(""'收支紀錄'!P""&amp;TO_TEXT(ROW()-$C$72))"),"")</f>
        <v/>
      </c>
      <c r="Q1881" s="61" t="str">
        <f>IFERROR(__xludf.DUMMYFUNCTION("INDIRECT(""'收支紀錄'!Q""&amp;TO_TEXT(ROW()-$C$72))"),"")</f>
        <v/>
      </c>
      <c r="R1881" s="61" t="str">
        <f>IFERROR(__xludf.DUMMYFUNCTION("INDIRECT(""'收支紀錄'!R""&amp;TO_TEXT(ROW()-$C$72))"),"")</f>
        <v/>
      </c>
      <c r="S1881" s="61" t="str">
        <f>IFERROR(__xludf.DUMMYFUNCTION("INDIRECT(""'收支紀錄'!S""&amp;TO_TEXT(ROW()-$C$72))"),"")</f>
        <v/>
      </c>
      <c r="T1881" s="61" t="str">
        <f>IFERROR(__xludf.DUMMYFUNCTION("INDIRECT(""'收支紀錄'!T""&amp;TO_TEXT(ROW()-$C$72))"),"")</f>
        <v/>
      </c>
      <c r="U1881" s="62" t="str">
        <f>IFERROR(__xludf.DUMMYFUNCTION("IF(T1881=""是"",TEXTJOIN("""", TRUE, ""$"", TO_TEXT(C1881), S1881),"""")"),"")</f>
        <v/>
      </c>
    </row>
    <row r="1882">
      <c r="A1882" s="58" t="str">
        <f>IFERROR(__xludf.DUMMYFUNCTION("INDIRECT(""'收支紀錄'!A""&amp;TO_TEXT(ROW()-$C$72))"),"")</f>
        <v/>
      </c>
      <c r="B1882" s="59" t="str">
        <f>IFERROR(__xludf.DUMMYFUNCTION("IF(ISBLANK(D1882), """", IF(ISDATE(D1882), D1882, IF(D1882=""今天"", A1882, IF(D1882=""昨天 (-1 day)"", A1882-1, IF(D1882=""前天 (-2 days)"", A1882-2, IF(D1882=""明天 (+1 day)"", A1882+1, DATE(LEFT(D1882,4), MID(D1882,5,2), RIGHT(D1882,2))))))))"),"")</f>
        <v/>
      </c>
      <c r="C1882" s="60" t="str">
        <f>IFERROR(__xludf.DUMMYFUNCTION("INDIRECT(""'收支紀錄'!C""&amp;TO_TEXT(ROW()-$C$72))"),"")</f>
        <v/>
      </c>
      <c r="D1882" s="63" t="str">
        <f>IFERROR(__xludf.DUMMYFUNCTION("INDIRECT(""'收支紀錄'!D""&amp;TO_TEXT(ROW()-$C$72))"),"")</f>
        <v/>
      </c>
      <c r="E1882" s="61" t="str">
        <f>IFERROR(__xludf.DUMMYFUNCTION("INDIRECT(""'收支紀錄'!E""&amp;TO_TEXT(ROW()-$C$72))"),"")</f>
        <v/>
      </c>
      <c r="F1882" s="61" t="str">
        <f>IFERROR(__xludf.DUMMYFUNCTION("INDIRECT(""'收支紀錄'!F""&amp;TO_TEXT(ROW()-$C$72))"),"")</f>
        <v/>
      </c>
      <c r="G1882" s="61" t="str">
        <f>IFERROR(__xludf.DUMMYFUNCTION("INDIRECT(""'收支紀錄'!G""&amp;TO_TEXT(ROW()-$C$72))"),"")</f>
        <v/>
      </c>
      <c r="H1882" s="61" t="str">
        <f>IFERROR(__xludf.DUMMYFUNCTION("INDIRECT(""'收支紀錄'!H""&amp;TO_TEXT(ROW()-$C$72))"),"")</f>
        <v/>
      </c>
      <c r="I1882" s="61" t="str">
        <f>IFERROR(__xludf.DUMMYFUNCTION("INDIRECT(""'收支紀錄'!I""&amp;TO_TEXT(ROW()-$C$72))"),"")</f>
        <v/>
      </c>
      <c r="J1882" s="61" t="str">
        <f>IFERROR(__xludf.DUMMYFUNCTION("INDIRECT(""'收支紀錄'!J""&amp;TO_TEXT(ROW()-$C$72))"),"")</f>
        <v/>
      </c>
      <c r="K1882" s="61" t="str">
        <f>IFERROR(__xludf.DUMMYFUNCTION("INDIRECT(""'收支紀錄'!K""&amp;TO_TEXT(ROW()-$C$72))"),"")</f>
        <v/>
      </c>
      <c r="L1882" s="61" t="str">
        <f>IFERROR(__xludf.DUMMYFUNCTION("INDIRECT(""'收支紀錄'!L""&amp;TO_TEXT(ROW()-$C$72))"),"")</f>
        <v/>
      </c>
      <c r="M1882" s="61" t="str">
        <f>IFERROR(__xludf.DUMMYFUNCTION("INDIRECT(""'收支紀錄'!M""&amp;TO_TEXT(ROW()-$C$72))"),"")</f>
        <v/>
      </c>
      <c r="N1882" s="61" t="str">
        <f>IFERROR(__xludf.DUMMYFUNCTION("INDIRECT(""'收支紀錄'!N""&amp;TO_TEXT(ROW()-$C$72))"),"")</f>
        <v/>
      </c>
      <c r="O1882" s="61" t="str">
        <f>IFERROR(__xludf.DUMMYFUNCTION("INDIRECT(""'收支紀錄'!O""&amp;TO_TEXT(ROW()-$C$72))"),"")</f>
        <v/>
      </c>
      <c r="P1882" s="61" t="str">
        <f>IFERROR(__xludf.DUMMYFUNCTION("INDIRECT(""'收支紀錄'!P""&amp;TO_TEXT(ROW()-$C$72))"),"")</f>
        <v/>
      </c>
      <c r="Q1882" s="61" t="str">
        <f>IFERROR(__xludf.DUMMYFUNCTION("INDIRECT(""'收支紀錄'!Q""&amp;TO_TEXT(ROW()-$C$72))"),"")</f>
        <v/>
      </c>
      <c r="R1882" s="61" t="str">
        <f>IFERROR(__xludf.DUMMYFUNCTION("INDIRECT(""'收支紀錄'!R""&amp;TO_TEXT(ROW()-$C$72))"),"")</f>
        <v/>
      </c>
      <c r="S1882" s="61" t="str">
        <f>IFERROR(__xludf.DUMMYFUNCTION("INDIRECT(""'收支紀錄'!S""&amp;TO_TEXT(ROW()-$C$72))"),"")</f>
        <v/>
      </c>
      <c r="T1882" s="61" t="str">
        <f>IFERROR(__xludf.DUMMYFUNCTION("INDIRECT(""'收支紀錄'!T""&amp;TO_TEXT(ROW()-$C$72))"),"")</f>
        <v/>
      </c>
      <c r="U1882" s="62" t="str">
        <f>IFERROR(__xludf.DUMMYFUNCTION("IF(T1882=""是"",TEXTJOIN("""", TRUE, ""$"", TO_TEXT(C1882), S1882),"""")"),"")</f>
        <v/>
      </c>
    </row>
    <row r="1883">
      <c r="A1883" s="58" t="str">
        <f>IFERROR(__xludf.DUMMYFUNCTION("INDIRECT(""'收支紀錄'!A""&amp;TO_TEXT(ROW()-$C$72))"),"")</f>
        <v/>
      </c>
      <c r="B1883" s="59" t="str">
        <f>IFERROR(__xludf.DUMMYFUNCTION("IF(ISBLANK(D1883), """", IF(ISDATE(D1883), D1883, IF(D1883=""今天"", A1883, IF(D1883=""昨天 (-1 day)"", A1883-1, IF(D1883=""前天 (-2 days)"", A1883-2, IF(D1883=""明天 (+1 day)"", A1883+1, DATE(LEFT(D1883,4), MID(D1883,5,2), RIGHT(D1883,2))))))))"),"")</f>
        <v/>
      </c>
      <c r="C1883" s="60" t="str">
        <f>IFERROR(__xludf.DUMMYFUNCTION("INDIRECT(""'收支紀錄'!C""&amp;TO_TEXT(ROW()-$C$72))"),"")</f>
        <v/>
      </c>
      <c r="D1883" s="63" t="str">
        <f>IFERROR(__xludf.DUMMYFUNCTION("INDIRECT(""'收支紀錄'!D""&amp;TO_TEXT(ROW()-$C$72))"),"")</f>
        <v/>
      </c>
      <c r="E1883" s="61" t="str">
        <f>IFERROR(__xludf.DUMMYFUNCTION("INDIRECT(""'收支紀錄'!E""&amp;TO_TEXT(ROW()-$C$72))"),"")</f>
        <v/>
      </c>
      <c r="F1883" s="61" t="str">
        <f>IFERROR(__xludf.DUMMYFUNCTION("INDIRECT(""'收支紀錄'!F""&amp;TO_TEXT(ROW()-$C$72))"),"")</f>
        <v/>
      </c>
      <c r="G1883" s="61" t="str">
        <f>IFERROR(__xludf.DUMMYFUNCTION("INDIRECT(""'收支紀錄'!G""&amp;TO_TEXT(ROW()-$C$72))"),"")</f>
        <v/>
      </c>
      <c r="H1883" s="61" t="str">
        <f>IFERROR(__xludf.DUMMYFUNCTION("INDIRECT(""'收支紀錄'!H""&amp;TO_TEXT(ROW()-$C$72))"),"")</f>
        <v/>
      </c>
      <c r="I1883" s="61" t="str">
        <f>IFERROR(__xludf.DUMMYFUNCTION("INDIRECT(""'收支紀錄'!I""&amp;TO_TEXT(ROW()-$C$72))"),"")</f>
        <v/>
      </c>
      <c r="J1883" s="61" t="str">
        <f>IFERROR(__xludf.DUMMYFUNCTION("INDIRECT(""'收支紀錄'!J""&amp;TO_TEXT(ROW()-$C$72))"),"")</f>
        <v/>
      </c>
      <c r="K1883" s="61" t="str">
        <f>IFERROR(__xludf.DUMMYFUNCTION("INDIRECT(""'收支紀錄'!K""&amp;TO_TEXT(ROW()-$C$72))"),"")</f>
        <v/>
      </c>
      <c r="L1883" s="61" t="str">
        <f>IFERROR(__xludf.DUMMYFUNCTION("INDIRECT(""'收支紀錄'!L""&amp;TO_TEXT(ROW()-$C$72))"),"")</f>
        <v/>
      </c>
      <c r="M1883" s="61" t="str">
        <f>IFERROR(__xludf.DUMMYFUNCTION("INDIRECT(""'收支紀錄'!M""&amp;TO_TEXT(ROW()-$C$72))"),"")</f>
        <v/>
      </c>
      <c r="N1883" s="61" t="str">
        <f>IFERROR(__xludf.DUMMYFUNCTION("INDIRECT(""'收支紀錄'!N""&amp;TO_TEXT(ROW()-$C$72))"),"")</f>
        <v/>
      </c>
      <c r="O1883" s="61" t="str">
        <f>IFERROR(__xludf.DUMMYFUNCTION("INDIRECT(""'收支紀錄'!O""&amp;TO_TEXT(ROW()-$C$72))"),"")</f>
        <v/>
      </c>
      <c r="P1883" s="61" t="str">
        <f>IFERROR(__xludf.DUMMYFUNCTION("INDIRECT(""'收支紀錄'!P""&amp;TO_TEXT(ROW()-$C$72))"),"")</f>
        <v/>
      </c>
      <c r="Q1883" s="61" t="str">
        <f>IFERROR(__xludf.DUMMYFUNCTION("INDIRECT(""'收支紀錄'!Q""&amp;TO_TEXT(ROW()-$C$72))"),"")</f>
        <v/>
      </c>
      <c r="R1883" s="61" t="str">
        <f>IFERROR(__xludf.DUMMYFUNCTION("INDIRECT(""'收支紀錄'!R""&amp;TO_TEXT(ROW()-$C$72))"),"")</f>
        <v/>
      </c>
      <c r="S1883" s="61" t="str">
        <f>IFERROR(__xludf.DUMMYFUNCTION("INDIRECT(""'收支紀錄'!S""&amp;TO_TEXT(ROW()-$C$72))"),"")</f>
        <v/>
      </c>
      <c r="T1883" s="61" t="str">
        <f>IFERROR(__xludf.DUMMYFUNCTION("INDIRECT(""'收支紀錄'!T""&amp;TO_TEXT(ROW()-$C$72))"),"")</f>
        <v/>
      </c>
      <c r="U1883" s="62" t="str">
        <f>IFERROR(__xludf.DUMMYFUNCTION("IF(T1883=""是"",TEXTJOIN("""", TRUE, ""$"", TO_TEXT(C1883), S1883),"""")"),"")</f>
        <v/>
      </c>
    </row>
    <row r="1884">
      <c r="A1884" s="58" t="str">
        <f>IFERROR(__xludf.DUMMYFUNCTION("INDIRECT(""'收支紀錄'!A""&amp;TO_TEXT(ROW()-$C$72))"),"")</f>
        <v/>
      </c>
      <c r="B1884" s="59" t="str">
        <f>IFERROR(__xludf.DUMMYFUNCTION("IF(ISBLANK(D1884), """", IF(ISDATE(D1884), D1884, IF(D1884=""今天"", A1884, IF(D1884=""昨天 (-1 day)"", A1884-1, IF(D1884=""前天 (-2 days)"", A1884-2, IF(D1884=""明天 (+1 day)"", A1884+1, DATE(LEFT(D1884,4), MID(D1884,5,2), RIGHT(D1884,2))))))))"),"")</f>
        <v/>
      </c>
      <c r="C1884" s="60" t="str">
        <f>IFERROR(__xludf.DUMMYFUNCTION("INDIRECT(""'收支紀錄'!C""&amp;TO_TEXT(ROW()-$C$72))"),"")</f>
        <v/>
      </c>
      <c r="D1884" s="63" t="str">
        <f>IFERROR(__xludf.DUMMYFUNCTION("INDIRECT(""'收支紀錄'!D""&amp;TO_TEXT(ROW()-$C$72))"),"")</f>
        <v/>
      </c>
      <c r="E1884" s="61" t="str">
        <f>IFERROR(__xludf.DUMMYFUNCTION("INDIRECT(""'收支紀錄'!E""&amp;TO_TEXT(ROW()-$C$72))"),"")</f>
        <v/>
      </c>
      <c r="F1884" s="61" t="str">
        <f>IFERROR(__xludf.DUMMYFUNCTION("INDIRECT(""'收支紀錄'!F""&amp;TO_TEXT(ROW()-$C$72))"),"")</f>
        <v/>
      </c>
      <c r="G1884" s="61" t="str">
        <f>IFERROR(__xludf.DUMMYFUNCTION("INDIRECT(""'收支紀錄'!G""&amp;TO_TEXT(ROW()-$C$72))"),"")</f>
        <v/>
      </c>
      <c r="H1884" s="61" t="str">
        <f>IFERROR(__xludf.DUMMYFUNCTION("INDIRECT(""'收支紀錄'!H""&amp;TO_TEXT(ROW()-$C$72))"),"")</f>
        <v/>
      </c>
      <c r="I1884" s="61" t="str">
        <f>IFERROR(__xludf.DUMMYFUNCTION("INDIRECT(""'收支紀錄'!I""&amp;TO_TEXT(ROW()-$C$72))"),"")</f>
        <v/>
      </c>
      <c r="J1884" s="61" t="str">
        <f>IFERROR(__xludf.DUMMYFUNCTION("INDIRECT(""'收支紀錄'!J""&amp;TO_TEXT(ROW()-$C$72))"),"")</f>
        <v/>
      </c>
      <c r="K1884" s="61" t="str">
        <f>IFERROR(__xludf.DUMMYFUNCTION("INDIRECT(""'收支紀錄'!K""&amp;TO_TEXT(ROW()-$C$72))"),"")</f>
        <v/>
      </c>
      <c r="L1884" s="61" t="str">
        <f>IFERROR(__xludf.DUMMYFUNCTION("INDIRECT(""'收支紀錄'!L""&amp;TO_TEXT(ROW()-$C$72))"),"")</f>
        <v/>
      </c>
      <c r="M1884" s="61" t="str">
        <f>IFERROR(__xludf.DUMMYFUNCTION("INDIRECT(""'收支紀錄'!M""&amp;TO_TEXT(ROW()-$C$72))"),"")</f>
        <v/>
      </c>
      <c r="N1884" s="61" t="str">
        <f>IFERROR(__xludf.DUMMYFUNCTION("INDIRECT(""'收支紀錄'!N""&amp;TO_TEXT(ROW()-$C$72))"),"")</f>
        <v/>
      </c>
      <c r="O1884" s="61" t="str">
        <f>IFERROR(__xludf.DUMMYFUNCTION("INDIRECT(""'收支紀錄'!O""&amp;TO_TEXT(ROW()-$C$72))"),"")</f>
        <v/>
      </c>
      <c r="P1884" s="61" t="str">
        <f>IFERROR(__xludf.DUMMYFUNCTION("INDIRECT(""'收支紀錄'!P""&amp;TO_TEXT(ROW()-$C$72))"),"")</f>
        <v/>
      </c>
      <c r="Q1884" s="61" t="str">
        <f>IFERROR(__xludf.DUMMYFUNCTION("INDIRECT(""'收支紀錄'!Q""&amp;TO_TEXT(ROW()-$C$72))"),"")</f>
        <v/>
      </c>
      <c r="R1884" s="61" t="str">
        <f>IFERROR(__xludf.DUMMYFUNCTION("INDIRECT(""'收支紀錄'!R""&amp;TO_TEXT(ROW()-$C$72))"),"")</f>
        <v/>
      </c>
      <c r="S1884" s="61" t="str">
        <f>IFERROR(__xludf.DUMMYFUNCTION("INDIRECT(""'收支紀錄'!S""&amp;TO_TEXT(ROW()-$C$72))"),"")</f>
        <v/>
      </c>
      <c r="T1884" s="61" t="str">
        <f>IFERROR(__xludf.DUMMYFUNCTION("INDIRECT(""'收支紀錄'!T""&amp;TO_TEXT(ROW()-$C$72))"),"")</f>
        <v/>
      </c>
      <c r="U1884" s="62" t="str">
        <f>IFERROR(__xludf.DUMMYFUNCTION("IF(T1884=""是"",TEXTJOIN("""", TRUE, ""$"", TO_TEXT(C1884), S1884),"""")"),"")</f>
        <v/>
      </c>
    </row>
    <row r="1885">
      <c r="A1885" s="58" t="str">
        <f>IFERROR(__xludf.DUMMYFUNCTION("INDIRECT(""'收支紀錄'!A""&amp;TO_TEXT(ROW()-$C$72))"),"")</f>
        <v/>
      </c>
      <c r="B1885" s="59" t="str">
        <f>IFERROR(__xludf.DUMMYFUNCTION("IF(ISBLANK(D1885), """", IF(ISDATE(D1885), D1885, IF(D1885=""今天"", A1885, IF(D1885=""昨天 (-1 day)"", A1885-1, IF(D1885=""前天 (-2 days)"", A1885-2, IF(D1885=""明天 (+1 day)"", A1885+1, DATE(LEFT(D1885,4), MID(D1885,5,2), RIGHT(D1885,2))))))))"),"")</f>
        <v/>
      </c>
      <c r="C1885" s="60" t="str">
        <f>IFERROR(__xludf.DUMMYFUNCTION("INDIRECT(""'收支紀錄'!C""&amp;TO_TEXT(ROW()-$C$72))"),"")</f>
        <v/>
      </c>
      <c r="D1885" s="63" t="str">
        <f>IFERROR(__xludf.DUMMYFUNCTION("INDIRECT(""'收支紀錄'!D""&amp;TO_TEXT(ROW()-$C$72))"),"")</f>
        <v/>
      </c>
      <c r="E1885" s="61" t="str">
        <f>IFERROR(__xludf.DUMMYFUNCTION("INDIRECT(""'收支紀錄'!E""&amp;TO_TEXT(ROW()-$C$72))"),"")</f>
        <v/>
      </c>
      <c r="F1885" s="61" t="str">
        <f>IFERROR(__xludf.DUMMYFUNCTION("INDIRECT(""'收支紀錄'!F""&amp;TO_TEXT(ROW()-$C$72))"),"")</f>
        <v/>
      </c>
      <c r="G1885" s="61" t="str">
        <f>IFERROR(__xludf.DUMMYFUNCTION("INDIRECT(""'收支紀錄'!G""&amp;TO_TEXT(ROW()-$C$72))"),"")</f>
        <v/>
      </c>
      <c r="H1885" s="61" t="str">
        <f>IFERROR(__xludf.DUMMYFUNCTION("INDIRECT(""'收支紀錄'!H""&amp;TO_TEXT(ROW()-$C$72))"),"")</f>
        <v/>
      </c>
      <c r="I1885" s="61" t="str">
        <f>IFERROR(__xludf.DUMMYFUNCTION("INDIRECT(""'收支紀錄'!I""&amp;TO_TEXT(ROW()-$C$72))"),"")</f>
        <v/>
      </c>
      <c r="J1885" s="61" t="str">
        <f>IFERROR(__xludf.DUMMYFUNCTION("INDIRECT(""'收支紀錄'!J""&amp;TO_TEXT(ROW()-$C$72))"),"")</f>
        <v/>
      </c>
      <c r="K1885" s="61" t="str">
        <f>IFERROR(__xludf.DUMMYFUNCTION("INDIRECT(""'收支紀錄'!K""&amp;TO_TEXT(ROW()-$C$72))"),"")</f>
        <v/>
      </c>
      <c r="L1885" s="61" t="str">
        <f>IFERROR(__xludf.DUMMYFUNCTION("INDIRECT(""'收支紀錄'!L""&amp;TO_TEXT(ROW()-$C$72))"),"")</f>
        <v/>
      </c>
      <c r="M1885" s="61" t="str">
        <f>IFERROR(__xludf.DUMMYFUNCTION("INDIRECT(""'收支紀錄'!M""&amp;TO_TEXT(ROW()-$C$72))"),"")</f>
        <v/>
      </c>
      <c r="N1885" s="61" t="str">
        <f>IFERROR(__xludf.DUMMYFUNCTION("INDIRECT(""'收支紀錄'!N""&amp;TO_TEXT(ROW()-$C$72))"),"")</f>
        <v/>
      </c>
      <c r="O1885" s="61" t="str">
        <f>IFERROR(__xludf.DUMMYFUNCTION("INDIRECT(""'收支紀錄'!O""&amp;TO_TEXT(ROW()-$C$72))"),"")</f>
        <v/>
      </c>
      <c r="P1885" s="61" t="str">
        <f>IFERROR(__xludf.DUMMYFUNCTION("INDIRECT(""'收支紀錄'!P""&amp;TO_TEXT(ROW()-$C$72))"),"")</f>
        <v/>
      </c>
      <c r="Q1885" s="61" t="str">
        <f>IFERROR(__xludf.DUMMYFUNCTION("INDIRECT(""'收支紀錄'!Q""&amp;TO_TEXT(ROW()-$C$72))"),"")</f>
        <v/>
      </c>
      <c r="R1885" s="61" t="str">
        <f>IFERROR(__xludf.DUMMYFUNCTION("INDIRECT(""'收支紀錄'!R""&amp;TO_TEXT(ROW()-$C$72))"),"")</f>
        <v/>
      </c>
      <c r="S1885" s="61" t="str">
        <f>IFERROR(__xludf.DUMMYFUNCTION("INDIRECT(""'收支紀錄'!S""&amp;TO_TEXT(ROW()-$C$72))"),"")</f>
        <v/>
      </c>
      <c r="T1885" s="61" t="str">
        <f>IFERROR(__xludf.DUMMYFUNCTION("INDIRECT(""'收支紀錄'!T""&amp;TO_TEXT(ROW()-$C$72))"),"")</f>
        <v/>
      </c>
      <c r="U1885" s="62" t="str">
        <f>IFERROR(__xludf.DUMMYFUNCTION("IF(T1885=""是"",TEXTJOIN("""", TRUE, ""$"", TO_TEXT(C1885), S1885),"""")"),"")</f>
        <v/>
      </c>
    </row>
    <row r="1886">
      <c r="A1886" s="58" t="str">
        <f>IFERROR(__xludf.DUMMYFUNCTION("INDIRECT(""'收支紀錄'!A""&amp;TO_TEXT(ROW()-$C$72))"),"")</f>
        <v/>
      </c>
      <c r="B1886" s="59" t="str">
        <f>IFERROR(__xludf.DUMMYFUNCTION("IF(ISBLANK(D1886), """", IF(ISDATE(D1886), D1886, IF(D1886=""今天"", A1886, IF(D1886=""昨天 (-1 day)"", A1886-1, IF(D1886=""前天 (-2 days)"", A1886-2, IF(D1886=""明天 (+1 day)"", A1886+1, DATE(LEFT(D1886,4), MID(D1886,5,2), RIGHT(D1886,2))))))))"),"")</f>
        <v/>
      </c>
      <c r="C1886" s="60" t="str">
        <f>IFERROR(__xludf.DUMMYFUNCTION("INDIRECT(""'收支紀錄'!C""&amp;TO_TEXT(ROW()-$C$72))"),"")</f>
        <v/>
      </c>
      <c r="D1886" s="63" t="str">
        <f>IFERROR(__xludf.DUMMYFUNCTION("INDIRECT(""'收支紀錄'!D""&amp;TO_TEXT(ROW()-$C$72))"),"")</f>
        <v/>
      </c>
      <c r="E1886" s="61" t="str">
        <f>IFERROR(__xludf.DUMMYFUNCTION("INDIRECT(""'收支紀錄'!E""&amp;TO_TEXT(ROW()-$C$72))"),"")</f>
        <v/>
      </c>
      <c r="F1886" s="61" t="str">
        <f>IFERROR(__xludf.DUMMYFUNCTION("INDIRECT(""'收支紀錄'!F""&amp;TO_TEXT(ROW()-$C$72))"),"")</f>
        <v/>
      </c>
      <c r="G1886" s="61" t="str">
        <f>IFERROR(__xludf.DUMMYFUNCTION("INDIRECT(""'收支紀錄'!G""&amp;TO_TEXT(ROW()-$C$72))"),"")</f>
        <v/>
      </c>
      <c r="H1886" s="61" t="str">
        <f>IFERROR(__xludf.DUMMYFUNCTION("INDIRECT(""'收支紀錄'!H""&amp;TO_TEXT(ROW()-$C$72))"),"")</f>
        <v/>
      </c>
      <c r="I1886" s="61" t="str">
        <f>IFERROR(__xludf.DUMMYFUNCTION("INDIRECT(""'收支紀錄'!I""&amp;TO_TEXT(ROW()-$C$72))"),"")</f>
        <v/>
      </c>
      <c r="J1886" s="61" t="str">
        <f>IFERROR(__xludf.DUMMYFUNCTION("INDIRECT(""'收支紀錄'!J""&amp;TO_TEXT(ROW()-$C$72))"),"")</f>
        <v/>
      </c>
      <c r="K1886" s="61" t="str">
        <f>IFERROR(__xludf.DUMMYFUNCTION("INDIRECT(""'收支紀錄'!K""&amp;TO_TEXT(ROW()-$C$72))"),"")</f>
        <v/>
      </c>
      <c r="L1886" s="61" t="str">
        <f>IFERROR(__xludf.DUMMYFUNCTION("INDIRECT(""'收支紀錄'!L""&amp;TO_TEXT(ROW()-$C$72))"),"")</f>
        <v/>
      </c>
      <c r="M1886" s="61" t="str">
        <f>IFERROR(__xludf.DUMMYFUNCTION("INDIRECT(""'收支紀錄'!M""&amp;TO_TEXT(ROW()-$C$72))"),"")</f>
        <v/>
      </c>
      <c r="N1886" s="61" t="str">
        <f>IFERROR(__xludf.DUMMYFUNCTION("INDIRECT(""'收支紀錄'!N""&amp;TO_TEXT(ROW()-$C$72))"),"")</f>
        <v/>
      </c>
      <c r="O1886" s="61" t="str">
        <f>IFERROR(__xludf.DUMMYFUNCTION("INDIRECT(""'收支紀錄'!O""&amp;TO_TEXT(ROW()-$C$72))"),"")</f>
        <v/>
      </c>
      <c r="P1886" s="61" t="str">
        <f>IFERROR(__xludf.DUMMYFUNCTION("INDIRECT(""'收支紀錄'!P""&amp;TO_TEXT(ROW()-$C$72))"),"")</f>
        <v/>
      </c>
      <c r="Q1886" s="61" t="str">
        <f>IFERROR(__xludf.DUMMYFUNCTION("INDIRECT(""'收支紀錄'!Q""&amp;TO_TEXT(ROW()-$C$72))"),"")</f>
        <v/>
      </c>
      <c r="R1886" s="61" t="str">
        <f>IFERROR(__xludf.DUMMYFUNCTION("INDIRECT(""'收支紀錄'!R""&amp;TO_TEXT(ROW()-$C$72))"),"")</f>
        <v/>
      </c>
      <c r="S1886" s="61" t="str">
        <f>IFERROR(__xludf.DUMMYFUNCTION("INDIRECT(""'收支紀錄'!S""&amp;TO_TEXT(ROW()-$C$72))"),"")</f>
        <v/>
      </c>
      <c r="T1886" s="61" t="str">
        <f>IFERROR(__xludf.DUMMYFUNCTION("INDIRECT(""'收支紀錄'!T""&amp;TO_TEXT(ROW()-$C$72))"),"")</f>
        <v/>
      </c>
      <c r="U1886" s="62" t="str">
        <f>IFERROR(__xludf.DUMMYFUNCTION("IF(T1886=""是"",TEXTJOIN("""", TRUE, ""$"", TO_TEXT(C1886), S1886),"""")"),"")</f>
        <v/>
      </c>
    </row>
    <row r="1887">
      <c r="A1887" s="58" t="str">
        <f>IFERROR(__xludf.DUMMYFUNCTION("INDIRECT(""'收支紀錄'!A""&amp;TO_TEXT(ROW()-$C$72))"),"")</f>
        <v/>
      </c>
      <c r="B1887" s="59" t="str">
        <f>IFERROR(__xludf.DUMMYFUNCTION("IF(ISBLANK(D1887), """", IF(ISDATE(D1887), D1887, IF(D1887=""今天"", A1887, IF(D1887=""昨天 (-1 day)"", A1887-1, IF(D1887=""前天 (-2 days)"", A1887-2, IF(D1887=""明天 (+1 day)"", A1887+1, DATE(LEFT(D1887,4), MID(D1887,5,2), RIGHT(D1887,2))))))))"),"")</f>
        <v/>
      </c>
      <c r="C1887" s="60" t="str">
        <f>IFERROR(__xludf.DUMMYFUNCTION("INDIRECT(""'收支紀錄'!C""&amp;TO_TEXT(ROW()-$C$72))"),"")</f>
        <v/>
      </c>
      <c r="D1887" s="63" t="str">
        <f>IFERROR(__xludf.DUMMYFUNCTION("INDIRECT(""'收支紀錄'!D""&amp;TO_TEXT(ROW()-$C$72))"),"")</f>
        <v/>
      </c>
      <c r="E1887" s="61" t="str">
        <f>IFERROR(__xludf.DUMMYFUNCTION("INDIRECT(""'收支紀錄'!E""&amp;TO_TEXT(ROW()-$C$72))"),"")</f>
        <v/>
      </c>
      <c r="F1887" s="61" t="str">
        <f>IFERROR(__xludf.DUMMYFUNCTION("INDIRECT(""'收支紀錄'!F""&amp;TO_TEXT(ROW()-$C$72))"),"")</f>
        <v/>
      </c>
      <c r="G1887" s="61" t="str">
        <f>IFERROR(__xludf.DUMMYFUNCTION("INDIRECT(""'收支紀錄'!G""&amp;TO_TEXT(ROW()-$C$72))"),"")</f>
        <v/>
      </c>
      <c r="H1887" s="61" t="str">
        <f>IFERROR(__xludf.DUMMYFUNCTION("INDIRECT(""'收支紀錄'!H""&amp;TO_TEXT(ROW()-$C$72))"),"")</f>
        <v/>
      </c>
      <c r="I1887" s="61" t="str">
        <f>IFERROR(__xludf.DUMMYFUNCTION("INDIRECT(""'收支紀錄'!I""&amp;TO_TEXT(ROW()-$C$72))"),"")</f>
        <v/>
      </c>
      <c r="J1887" s="61" t="str">
        <f>IFERROR(__xludf.DUMMYFUNCTION("INDIRECT(""'收支紀錄'!J""&amp;TO_TEXT(ROW()-$C$72))"),"")</f>
        <v/>
      </c>
      <c r="K1887" s="61" t="str">
        <f>IFERROR(__xludf.DUMMYFUNCTION("INDIRECT(""'收支紀錄'!K""&amp;TO_TEXT(ROW()-$C$72))"),"")</f>
        <v/>
      </c>
      <c r="L1887" s="61" t="str">
        <f>IFERROR(__xludf.DUMMYFUNCTION("INDIRECT(""'收支紀錄'!L""&amp;TO_TEXT(ROW()-$C$72))"),"")</f>
        <v/>
      </c>
      <c r="M1887" s="61" t="str">
        <f>IFERROR(__xludf.DUMMYFUNCTION("INDIRECT(""'收支紀錄'!M""&amp;TO_TEXT(ROW()-$C$72))"),"")</f>
        <v/>
      </c>
      <c r="N1887" s="61" t="str">
        <f>IFERROR(__xludf.DUMMYFUNCTION("INDIRECT(""'收支紀錄'!N""&amp;TO_TEXT(ROW()-$C$72))"),"")</f>
        <v/>
      </c>
      <c r="O1887" s="61" t="str">
        <f>IFERROR(__xludf.DUMMYFUNCTION("INDIRECT(""'收支紀錄'!O""&amp;TO_TEXT(ROW()-$C$72))"),"")</f>
        <v/>
      </c>
      <c r="P1887" s="61" t="str">
        <f>IFERROR(__xludf.DUMMYFUNCTION("INDIRECT(""'收支紀錄'!P""&amp;TO_TEXT(ROW()-$C$72))"),"")</f>
        <v/>
      </c>
      <c r="Q1887" s="61" t="str">
        <f>IFERROR(__xludf.DUMMYFUNCTION("INDIRECT(""'收支紀錄'!Q""&amp;TO_TEXT(ROW()-$C$72))"),"")</f>
        <v/>
      </c>
      <c r="R1887" s="61" t="str">
        <f>IFERROR(__xludf.DUMMYFUNCTION("INDIRECT(""'收支紀錄'!R""&amp;TO_TEXT(ROW()-$C$72))"),"")</f>
        <v/>
      </c>
      <c r="S1887" s="61" t="str">
        <f>IFERROR(__xludf.DUMMYFUNCTION("INDIRECT(""'收支紀錄'!S""&amp;TO_TEXT(ROW()-$C$72))"),"")</f>
        <v/>
      </c>
      <c r="T1887" s="61" t="str">
        <f>IFERROR(__xludf.DUMMYFUNCTION("INDIRECT(""'收支紀錄'!T""&amp;TO_TEXT(ROW()-$C$72))"),"")</f>
        <v/>
      </c>
      <c r="U1887" s="62" t="str">
        <f>IFERROR(__xludf.DUMMYFUNCTION("IF(T1887=""是"",TEXTJOIN("""", TRUE, ""$"", TO_TEXT(C1887), S1887),"""")"),"")</f>
        <v/>
      </c>
    </row>
    <row r="1888">
      <c r="A1888" s="58" t="str">
        <f>IFERROR(__xludf.DUMMYFUNCTION("INDIRECT(""'收支紀錄'!A""&amp;TO_TEXT(ROW()-$C$72))"),"")</f>
        <v/>
      </c>
      <c r="B1888" s="59" t="str">
        <f>IFERROR(__xludf.DUMMYFUNCTION("IF(ISBLANK(D1888), """", IF(ISDATE(D1888), D1888, IF(D1888=""今天"", A1888, IF(D1888=""昨天 (-1 day)"", A1888-1, IF(D1888=""前天 (-2 days)"", A1888-2, IF(D1888=""明天 (+1 day)"", A1888+1, DATE(LEFT(D1888,4), MID(D1888,5,2), RIGHT(D1888,2))))))))"),"")</f>
        <v/>
      </c>
      <c r="C1888" s="60" t="str">
        <f>IFERROR(__xludf.DUMMYFUNCTION("INDIRECT(""'收支紀錄'!C""&amp;TO_TEXT(ROW()-$C$72))"),"")</f>
        <v/>
      </c>
      <c r="D1888" s="63" t="str">
        <f>IFERROR(__xludf.DUMMYFUNCTION("INDIRECT(""'收支紀錄'!D""&amp;TO_TEXT(ROW()-$C$72))"),"")</f>
        <v/>
      </c>
      <c r="E1888" s="61" t="str">
        <f>IFERROR(__xludf.DUMMYFUNCTION("INDIRECT(""'收支紀錄'!E""&amp;TO_TEXT(ROW()-$C$72))"),"")</f>
        <v/>
      </c>
      <c r="F1888" s="61" t="str">
        <f>IFERROR(__xludf.DUMMYFUNCTION("INDIRECT(""'收支紀錄'!F""&amp;TO_TEXT(ROW()-$C$72))"),"")</f>
        <v/>
      </c>
      <c r="G1888" s="61" t="str">
        <f>IFERROR(__xludf.DUMMYFUNCTION("INDIRECT(""'收支紀錄'!G""&amp;TO_TEXT(ROW()-$C$72))"),"")</f>
        <v/>
      </c>
      <c r="H1888" s="61" t="str">
        <f>IFERROR(__xludf.DUMMYFUNCTION("INDIRECT(""'收支紀錄'!H""&amp;TO_TEXT(ROW()-$C$72))"),"")</f>
        <v/>
      </c>
      <c r="I1888" s="61" t="str">
        <f>IFERROR(__xludf.DUMMYFUNCTION("INDIRECT(""'收支紀錄'!I""&amp;TO_TEXT(ROW()-$C$72))"),"")</f>
        <v/>
      </c>
      <c r="J1888" s="61" t="str">
        <f>IFERROR(__xludf.DUMMYFUNCTION("INDIRECT(""'收支紀錄'!J""&amp;TO_TEXT(ROW()-$C$72))"),"")</f>
        <v/>
      </c>
      <c r="K1888" s="61" t="str">
        <f>IFERROR(__xludf.DUMMYFUNCTION("INDIRECT(""'收支紀錄'!K""&amp;TO_TEXT(ROW()-$C$72))"),"")</f>
        <v/>
      </c>
      <c r="L1888" s="61" t="str">
        <f>IFERROR(__xludf.DUMMYFUNCTION("INDIRECT(""'收支紀錄'!L""&amp;TO_TEXT(ROW()-$C$72))"),"")</f>
        <v/>
      </c>
      <c r="M1888" s="61" t="str">
        <f>IFERROR(__xludf.DUMMYFUNCTION("INDIRECT(""'收支紀錄'!M""&amp;TO_TEXT(ROW()-$C$72))"),"")</f>
        <v/>
      </c>
      <c r="N1888" s="61" t="str">
        <f>IFERROR(__xludf.DUMMYFUNCTION("INDIRECT(""'收支紀錄'!N""&amp;TO_TEXT(ROW()-$C$72))"),"")</f>
        <v/>
      </c>
      <c r="O1888" s="61" t="str">
        <f>IFERROR(__xludf.DUMMYFUNCTION("INDIRECT(""'收支紀錄'!O""&amp;TO_TEXT(ROW()-$C$72))"),"")</f>
        <v/>
      </c>
      <c r="P1888" s="61" t="str">
        <f>IFERROR(__xludf.DUMMYFUNCTION("INDIRECT(""'收支紀錄'!P""&amp;TO_TEXT(ROW()-$C$72))"),"")</f>
        <v/>
      </c>
      <c r="Q1888" s="61" t="str">
        <f>IFERROR(__xludf.DUMMYFUNCTION("INDIRECT(""'收支紀錄'!Q""&amp;TO_TEXT(ROW()-$C$72))"),"")</f>
        <v/>
      </c>
      <c r="R1888" s="61" t="str">
        <f>IFERROR(__xludf.DUMMYFUNCTION("INDIRECT(""'收支紀錄'!R""&amp;TO_TEXT(ROW()-$C$72))"),"")</f>
        <v/>
      </c>
      <c r="S1888" s="61" t="str">
        <f>IFERROR(__xludf.DUMMYFUNCTION("INDIRECT(""'收支紀錄'!S""&amp;TO_TEXT(ROW()-$C$72))"),"")</f>
        <v/>
      </c>
      <c r="T1888" s="61" t="str">
        <f>IFERROR(__xludf.DUMMYFUNCTION("INDIRECT(""'收支紀錄'!T""&amp;TO_TEXT(ROW()-$C$72))"),"")</f>
        <v/>
      </c>
      <c r="U1888" s="62" t="str">
        <f>IFERROR(__xludf.DUMMYFUNCTION("IF(T1888=""是"",TEXTJOIN("""", TRUE, ""$"", TO_TEXT(C1888), S1888),"""")"),"")</f>
        <v/>
      </c>
    </row>
    <row r="1889">
      <c r="A1889" s="58" t="str">
        <f>IFERROR(__xludf.DUMMYFUNCTION("INDIRECT(""'收支紀錄'!A""&amp;TO_TEXT(ROW()-$C$72))"),"")</f>
        <v/>
      </c>
      <c r="B1889" s="59" t="str">
        <f>IFERROR(__xludf.DUMMYFUNCTION("IF(ISBLANK(D1889), """", IF(ISDATE(D1889), D1889, IF(D1889=""今天"", A1889, IF(D1889=""昨天 (-1 day)"", A1889-1, IF(D1889=""前天 (-2 days)"", A1889-2, IF(D1889=""明天 (+1 day)"", A1889+1, DATE(LEFT(D1889,4), MID(D1889,5,2), RIGHT(D1889,2))))))))"),"")</f>
        <v/>
      </c>
      <c r="C1889" s="60" t="str">
        <f>IFERROR(__xludf.DUMMYFUNCTION("INDIRECT(""'收支紀錄'!C""&amp;TO_TEXT(ROW()-$C$72))"),"")</f>
        <v/>
      </c>
      <c r="D1889" s="63" t="str">
        <f>IFERROR(__xludf.DUMMYFUNCTION("INDIRECT(""'收支紀錄'!D""&amp;TO_TEXT(ROW()-$C$72))"),"")</f>
        <v/>
      </c>
      <c r="E1889" s="61" t="str">
        <f>IFERROR(__xludf.DUMMYFUNCTION("INDIRECT(""'收支紀錄'!E""&amp;TO_TEXT(ROW()-$C$72))"),"")</f>
        <v/>
      </c>
      <c r="F1889" s="61" t="str">
        <f>IFERROR(__xludf.DUMMYFUNCTION("INDIRECT(""'收支紀錄'!F""&amp;TO_TEXT(ROW()-$C$72))"),"")</f>
        <v/>
      </c>
      <c r="G1889" s="61" t="str">
        <f>IFERROR(__xludf.DUMMYFUNCTION("INDIRECT(""'收支紀錄'!G""&amp;TO_TEXT(ROW()-$C$72))"),"")</f>
        <v/>
      </c>
      <c r="H1889" s="61" t="str">
        <f>IFERROR(__xludf.DUMMYFUNCTION("INDIRECT(""'收支紀錄'!H""&amp;TO_TEXT(ROW()-$C$72))"),"")</f>
        <v/>
      </c>
      <c r="I1889" s="61" t="str">
        <f>IFERROR(__xludf.DUMMYFUNCTION("INDIRECT(""'收支紀錄'!I""&amp;TO_TEXT(ROW()-$C$72))"),"")</f>
        <v/>
      </c>
      <c r="J1889" s="61" t="str">
        <f>IFERROR(__xludf.DUMMYFUNCTION("INDIRECT(""'收支紀錄'!J""&amp;TO_TEXT(ROW()-$C$72))"),"")</f>
        <v/>
      </c>
      <c r="K1889" s="61" t="str">
        <f>IFERROR(__xludf.DUMMYFUNCTION("INDIRECT(""'收支紀錄'!K""&amp;TO_TEXT(ROW()-$C$72))"),"")</f>
        <v/>
      </c>
      <c r="L1889" s="61" t="str">
        <f>IFERROR(__xludf.DUMMYFUNCTION("INDIRECT(""'收支紀錄'!L""&amp;TO_TEXT(ROW()-$C$72))"),"")</f>
        <v/>
      </c>
      <c r="M1889" s="61" t="str">
        <f>IFERROR(__xludf.DUMMYFUNCTION("INDIRECT(""'收支紀錄'!M""&amp;TO_TEXT(ROW()-$C$72))"),"")</f>
        <v/>
      </c>
      <c r="N1889" s="61" t="str">
        <f>IFERROR(__xludf.DUMMYFUNCTION("INDIRECT(""'收支紀錄'!N""&amp;TO_TEXT(ROW()-$C$72))"),"")</f>
        <v/>
      </c>
      <c r="O1889" s="61" t="str">
        <f>IFERROR(__xludf.DUMMYFUNCTION("INDIRECT(""'收支紀錄'!O""&amp;TO_TEXT(ROW()-$C$72))"),"")</f>
        <v/>
      </c>
      <c r="P1889" s="61" t="str">
        <f>IFERROR(__xludf.DUMMYFUNCTION("INDIRECT(""'收支紀錄'!P""&amp;TO_TEXT(ROW()-$C$72))"),"")</f>
        <v/>
      </c>
      <c r="Q1889" s="61" t="str">
        <f>IFERROR(__xludf.DUMMYFUNCTION("INDIRECT(""'收支紀錄'!Q""&amp;TO_TEXT(ROW()-$C$72))"),"")</f>
        <v/>
      </c>
      <c r="R1889" s="61" t="str">
        <f>IFERROR(__xludf.DUMMYFUNCTION("INDIRECT(""'收支紀錄'!R""&amp;TO_TEXT(ROW()-$C$72))"),"")</f>
        <v/>
      </c>
      <c r="S1889" s="61" t="str">
        <f>IFERROR(__xludf.DUMMYFUNCTION("INDIRECT(""'收支紀錄'!S""&amp;TO_TEXT(ROW()-$C$72))"),"")</f>
        <v/>
      </c>
      <c r="T1889" s="61" t="str">
        <f>IFERROR(__xludf.DUMMYFUNCTION("INDIRECT(""'收支紀錄'!T""&amp;TO_TEXT(ROW()-$C$72))"),"")</f>
        <v/>
      </c>
      <c r="U1889" s="62" t="str">
        <f>IFERROR(__xludf.DUMMYFUNCTION("IF(T1889=""是"",TEXTJOIN("""", TRUE, ""$"", TO_TEXT(C1889), S1889),"""")"),"")</f>
        <v/>
      </c>
    </row>
    <row r="1890">
      <c r="A1890" s="58" t="str">
        <f>IFERROR(__xludf.DUMMYFUNCTION("INDIRECT(""'收支紀錄'!A""&amp;TO_TEXT(ROW()-$C$72))"),"")</f>
        <v/>
      </c>
      <c r="B1890" s="59" t="str">
        <f>IFERROR(__xludf.DUMMYFUNCTION("IF(ISBLANK(D1890), """", IF(ISDATE(D1890), D1890, IF(D1890=""今天"", A1890, IF(D1890=""昨天 (-1 day)"", A1890-1, IF(D1890=""前天 (-2 days)"", A1890-2, IF(D1890=""明天 (+1 day)"", A1890+1, DATE(LEFT(D1890,4), MID(D1890,5,2), RIGHT(D1890,2))))))))"),"")</f>
        <v/>
      </c>
      <c r="C1890" s="60" t="str">
        <f>IFERROR(__xludf.DUMMYFUNCTION("INDIRECT(""'收支紀錄'!C""&amp;TO_TEXT(ROW()-$C$72))"),"")</f>
        <v/>
      </c>
      <c r="D1890" s="63" t="str">
        <f>IFERROR(__xludf.DUMMYFUNCTION("INDIRECT(""'收支紀錄'!D""&amp;TO_TEXT(ROW()-$C$72))"),"")</f>
        <v/>
      </c>
      <c r="E1890" s="61" t="str">
        <f>IFERROR(__xludf.DUMMYFUNCTION("INDIRECT(""'收支紀錄'!E""&amp;TO_TEXT(ROW()-$C$72))"),"")</f>
        <v/>
      </c>
      <c r="F1890" s="61" t="str">
        <f>IFERROR(__xludf.DUMMYFUNCTION("INDIRECT(""'收支紀錄'!F""&amp;TO_TEXT(ROW()-$C$72))"),"")</f>
        <v/>
      </c>
      <c r="G1890" s="61" t="str">
        <f>IFERROR(__xludf.DUMMYFUNCTION("INDIRECT(""'收支紀錄'!G""&amp;TO_TEXT(ROW()-$C$72))"),"")</f>
        <v/>
      </c>
      <c r="H1890" s="61" t="str">
        <f>IFERROR(__xludf.DUMMYFUNCTION("INDIRECT(""'收支紀錄'!H""&amp;TO_TEXT(ROW()-$C$72))"),"")</f>
        <v/>
      </c>
      <c r="I1890" s="61" t="str">
        <f>IFERROR(__xludf.DUMMYFUNCTION("INDIRECT(""'收支紀錄'!I""&amp;TO_TEXT(ROW()-$C$72))"),"")</f>
        <v/>
      </c>
      <c r="J1890" s="61" t="str">
        <f>IFERROR(__xludf.DUMMYFUNCTION("INDIRECT(""'收支紀錄'!J""&amp;TO_TEXT(ROW()-$C$72))"),"")</f>
        <v/>
      </c>
      <c r="K1890" s="61" t="str">
        <f>IFERROR(__xludf.DUMMYFUNCTION("INDIRECT(""'收支紀錄'!K""&amp;TO_TEXT(ROW()-$C$72))"),"")</f>
        <v/>
      </c>
      <c r="L1890" s="61" t="str">
        <f>IFERROR(__xludf.DUMMYFUNCTION("INDIRECT(""'收支紀錄'!L""&amp;TO_TEXT(ROW()-$C$72))"),"")</f>
        <v/>
      </c>
      <c r="M1890" s="61" t="str">
        <f>IFERROR(__xludf.DUMMYFUNCTION("INDIRECT(""'收支紀錄'!M""&amp;TO_TEXT(ROW()-$C$72))"),"")</f>
        <v/>
      </c>
      <c r="N1890" s="61" t="str">
        <f>IFERROR(__xludf.DUMMYFUNCTION("INDIRECT(""'收支紀錄'!N""&amp;TO_TEXT(ROW()-$C$72))"),"")</f>
        <v/>
      </c>
      <c r="O1890" s="61" t="str">
        <f>IFERROR(__xludf.DUMMYFUNCTION("INDIRECT(""'收支紀錄'!O""&amp;TO_TEXT(ROW()-$C$72))"),"")</f>
        <v/>
      </c>
      <c r="P1890" s="61" t="str">
        <f>IFERROR(__xludf.DUMMYFUNCTION("INDIRECT(""'收支紀錄'!P""&amp;TO_TEXT(ROW()-$C$72))"),"")</f>
        <v/>
      </c>
      <c r="Q1890" s="61" t="str">
        <f>IFERROR(__xludf.DUMMYFUNCTION("INDIRECT(""'收支紀錄'!Q""&amp;TO_TEXT(ROW()-$C$72))"),"")</f>
        <v/>
      </c>
      <c r="R1890" s="61" t="str">
        <f>IFERROR(__xludf.DUMMYFUNCTION("INDIRECT(""'收支紀錄'!R""&amp;TO_TEXT(ROW()-$C$72))"),"")</f>
        <v/>
      </c>
      <c r="S1890" s="61" t="str">
        <f>IFERROR(__xludf.DUMMYFUNCTION("INDIRECT(""'收支紀錄'!S""&amp;TO_TEXT(ROW()-$C$72))"),"")</f>
        <v/>
      </c>
      <c r="T1890" s="61" t="str">
        <f>IFERROR(__xludf.DUMMYFUNCTION("INDIRECT(""'收支紀錄'!T""&amp;TO_TEXT(ROW()-$C$72))"),"")</f>
        <v/>
      </c>
      <c r="U1890" s="62" t="str">
        <f>IFERROR(__xludf.DUMMYFUNCTION("IF(T1890=""是"",TEXTJOIN("""", TRUE, ""$"", TO_TEXT(C1890), S1890),"""")"),"")</f>
        <v/>
      </c>
    </row>
    <row r="1891">
      <c r="A1891" s="58" t="str">
        <f>IFERROR(__xludf.DUMMYFUNCTION("INDIRECT(""'收支紀錄'!A""&amp;TO_TEXT(ROW()-$C$72))"),"")</f>
        <v/>
      </c>
      <c r="B1891" s="59" t="str">
        <f>IFERROR(__xludf.DUMMYFUNCTION("IF(ISBLANK(D1891), """", IF(ISDATE(D1891), D1891, IF(D1891=""今天"", A1891, IF(D1891=""昨天 (-1 day)"", A1891-1, IF(D1891=""前天 (-2 days)"", A1891-2, IF(D1891=""明天 (+1 day)"", A1891+1, DATE(LEFT(D1891,4), MID(D1891,5,2), RIGHT(D1891,2))))))))"),"")</f>
        <v/>
      </c>
      <c r="C1891" s="60" t="str">
        <f>IFERROR(__xludf.DUMMYFUNCTION("INDIRECT(""'收支紀錄'!C""&amp;TO_TEXT(ROW()-$C$72))"),"")</f>
        <v/>
      </c>
      <c r="D1891" s="63" t="str">
        <f>IFERROR(__xludf.DUMMYFUNCTION("INDIRECT(""'收支紀錄'!D""&amp;TO_TEXT(ROW()-$C$72))"),"")</f>
        <v/>
      </c>
      <c r="E1891" s="61" t="str">
        <f>IFERROR(__xludf.DUMMYFUNCTION("INDIRECT(""'收支紀錄'!E""&amp;TO_TEXT(ROW()-$C$72))"),"")</f>
        <v/>
      </c>
      <c r="F1891" s="61" t="str">
        <f>IFERROR(__xludf.DUMMYFUNCTION("INDIRECT(""'收支紀錄'!F""&amp;TO_TEXT(ROW()-$C$72))"),"")</f>
        <v/>
      </c>
      <c r="G1891" s="61" t="str">
        <f>IFERROR(__xludf.DUMMYFUNCTION("INDIRECT(""'收支紀錄'!G""&amp;TO_TEXT(ROW()-$C$72))"),"")</f>
        <v/>
      </c>
      <c r="H1891" s="61" t="str">
        <f>IFERROR(__xludf.DUMMYFUNCTION("INDIRECT(""'收支紀錄'!H""&amp;TO_TEXT(ROW()-$C$72))"),"")</f>
        <v/>
      </c>
      <c r="I1891" s="61" t="str">
        <f>IFERROR(__xludf.DUMMYFUNCTION("INDIRECT(""'收支紀錄'!I""&amp;TO_TEXT(ROW()-$C$72))"),"")</f>
        <v/>
      </c>
      <c r="J1891" s="61" t="str">
        <f>IFERROR(__xludf.DUMMYFUNCTION("INDIRECT(""'收支紀錄'!J""&amp;TO_TEXT(ROW()-$C$72))"),"")</f>
        <v/>
      </c>
      <c r="K1891" s="61" t="str">
        <f>IFERROR(__xludf.DUMMYFUNCTION("INDIRECT(""'收支紀錄'!K""&amp;TO_TEXT(ROW()-$C$72))"),"")</f>
        <v/>
      </c>
      <c r="L1891" s="61" t="str">
        <f>IFERROR(__xludf.DUMMYFUNCTION("INDIRECT(""'收支紀錄'!L""&amp;TO_TEXT(ROW()-$C$72))"),"")</f>
        <v/>
      </c>
      <c r="M1891" s="61" t="str">
        <f>IFERROR(__xludf.DUMMYFUNCTION("INDIRECT(""'收支紀錄'!M""&amp;TO_TEXT(ROW()-$C$72))"),"")</f>
        <v/>
      </c>
      <c r="N1891" s="61" t="str">
        <f>IFERROR(__xludf.DUMMYFUNCTION("INDIRECT(""'收支紀錄'!N""&amp;TO_TEXT(ROW()-$C$72))"),"")</f>
        <v/>
      </c>
      <c r="O1891" s="61" t="str">
        <f>IFERROR(__xludf.DUMMYFUNCTION("INDIRECT(""'收支紀錄'!O""&amp;TO_TEXT(ROW()-$C$72))"),"")</f>
        <v/>
      </c>
      <c r="P1891" s="61" t="str">
        <f>IFERROR(__xludf.DUMMYFUNCTION("INDIRECT(""'收支紀錄'!P""&amp;TO_TEXT(ROW()-$C$72))"),"")</f>
        <v/>
      </c>
      <c r="Q1891" s="61" t="str">
        <f>IFERROR(__xludf.DUMMYFUNCTION("INDIRECT(""'收支紀錄'!Q""&amp;TO_TEXT(ROW()-$C$72))"),"")</f>
        <v/>
      </c>
      <c r="R1891" s="61" t="str">
        <f>IFERROR(__xludf.DUMMYFUNCTION("INDIRECT(""'收支紀錄'!R""&amp;TO_TEXT(ROW()-$C$72))"),"")</f>
        <v/>
      </c>
      <c r="S1891" s="61" t="str">
        <f>IFERROR(__xludf.DUMMYFUNCTION("INDIRECT(""'收支紀錄'!S""&amp;TO_TEXT(ROW()-$C$72))"),"")</f>
        <v/>
      </c>
      <c r="T1891" s="61" t="str">
        <f>IFERROR(__xludf.DUMMYFUNCTION("INDIRECT(""'收支紀錄'!T""&amp;TO_TEXT(ROW()-$C$72))"),"")</f>
        <v/>
      </c>
      <c r="U1891" s="62" t="str">
        <f>IFERROR(__xludf.DUMMYFUNCTION("IF(T1891=""是"",TEXTJOIN("""", TRUE, ""$"", TO_TEXT(C1891), S1891),"""")"),"")</f>
        <v/>
      </c>
    </row>
    <row r="1892">
      <c r="A1892" s="58" t="str">
        <f>IFERROR(__xludf.DUMMYFUNCTION("INDIRECT(""'收支紀錄'!A""&amp;TO_TEXT(ROW()-$C$72))"),"")</f>
        <v/>
      </c>
      <c r="B1892" s="59" t="str">
        <f>IFERROR(__xludf.DUMMYFUNCTION("IF(ISBLANK(D1892), """", IF(ISDATE(D1892), D1892, IF(D1892=""今天"", A1892, IF(D1892=""昨天 (-1 day)"", A1892-1, IF(D1892=""前天 (-2 days)"", A1892-2, IF(D1892=""明天 (+1 day)"", A1892+1, DATE(LEFT(D1892,4), MID(D1892,5,2), RIGHT(D1892,2))))))))"),"")</f>
        <v/>
      </c>
      <c r="C1892" s="60" t="str">
        <f>IFERROR(__xludf.DUMMYFUNCTION("INDIRECT(""'收支紀錄'!C""&amp;TO_TEXT(ROW()-$C$72))"),"")</f>
        <v/>
      </c>
      <c r="D1892" s="63" t="str">
        <f>IFERROR(__xludf.DUMMYFUNCTION("INDIRECT(""'收支紀錄'!D""&amp;TO_TEXT(ROW()-$C$72))"),"")</f>
        <v/>
      </c>
      <c r="E1892" s="61" t="str">
        <f>IFERROR(__xludf.DUMMYFUNCTION("INDIRECT(""'收支紀錄'!E""&amp;TO_TEXT(ROW()-$C$72))"),"")</f>
        <v/>
      </c>
      <c r="F1892" s="61" t="str">
        <f>IFERROR(__xludf.DUMMYFUNCTION("INDIRECT(""'收支紀錄'!F""&amp;TO_TEXT(ROW()-$C$72))"),"")</f>
        <v/>
      </c>
      <c r="G1892" s="61" t="str">
        <f>IFERROR(__xludf.DUMMYFUNCTION("INDIRECT(""'收支紀錄'!G""&amp;TO_TEXT(ROW()-$C$72))"),"")</f>
        <v/>
      </c>
      <c r="H1892" s="61" t="str">
        <f>IFERROR(__xludf.DUMMYFUNCTION("INDIRECT(""'收支紀錄'!H""&amp;TO_TEXT(ROW()-$C$72))"),"")</f>
        <v/>
      </c>
      <c r="I1892" s="61" t="str">
        <f>IFERROR(__xludf.DUMMYFUNCTION("INDIRECT(""'收支紀錄'!I""&amp;TO_TEXT(ROW()-$C$72))"),"")</f>
        <v/>
      </c>
      <c r="J1892" s="61" t="str">
        <f>IFERROR(__xludf.DUMMYFUNCTION("INDIRECT(""'收支紀錄'!J""&amp;TO_TEXT(ROW()-$C$72))"),"")</f>
        <v/>
      </c>
      <c r="K1892" s="61" t="str">
        <f>IFERROR(__xludf.DUMMYFUNCTION("INDIRECT(""'收支紀錄'!K""&amp;TO_TEXT(ROW()-$C$72))"),"")</f>
        <v/>
      </c>
      <c r="L1892" s="61" t="str">
        <f>IFERROR(__xludf.DUMMYFUNCTION("INDIRECT(""'收支紀錄'!L""&amp;TO_TEXT(ROW()-$C$72))"),"")</f>
        <v/>
      </c>
      <c r="M1892" s="61" t="str">
        <f>IFERROR(__xludf.DUMMYFUNCTION("INDIRECT(""'收支紀錄'!M""&amp;TO_TEXT(ROW()-$C$72))"),"")</f>
        <v/>
      </c>
      <c r="N1892" s="61" t="str">
        <f>IFERROR(__xludf.DUMMYFUNCTION("INDIRECT(""'收支紀錄'!N""&amp;TO_TEXT(ROW()-$C$72))"),"")</f>
        <v/>
      </c>
      <c r="O1892" s="61" t="str">
        <f>IFERROR(__xludf.DUMMYFUNCTION("INDIRECT(""'收支紀錄'!O""&amp;TO_TEXT(ROW()-$C$72))"),"")</f>
        <v/>
      </c>
      <c r="P1892" s="61" t="str">
        <f>IFERROR(__xludf.DUMMYFUNCTION("INDIRECT(""'收支紀錄'!P""&amp;TO_TEXT(ROW()-$C$72))"),"")</f>
        <v/>
      </c>
      <c r="Q1892" s="61" t="str">
        <f>IFERROR(__xludf.DUMMYFUNCTION("INDIRECT(""'收支紀錄'!Q""&amp;TO_TEXT(ROW()-$C$72))"),"")</f>
        <v/>
      </c>
      <c r="R1892" s="61" t="str">
        <f>IFERROR(__xludf.DUMMYFUNCTION("INDIRECT(""'收支紀錄'!R""&amp;TO_TEXT(ROW()-$C$72))"),"")</f>
        <v/>
      </c>
      <c r="S1892" s="61" t="str">
        <f>IFERROR(__xludf.DUMMYFUNCTION("INDIRECT(""'收支紀錄'!S""&amp;TO_TEXT(ROW()-$C$72))"),"")</f>
        <v/>
      </c>
      <c r="T1892" s="61" t="str">
        <f>IFERROR(__xludf.DUMMYFUNCTION("INDIRECT(""'收支紀錄'!T""&amp;TO_TEXT(ROW()-$C$72))"),"")</f>
        <v/>
      </c>
      <c r="U1892" s="62" t="str">
        <f>IFERROR(__xludf.DUMMYFUNCTION("IF(T1892=""是"",TEXTJOIN("""", TRUE, ""$"", TO_TEXT(C1892), S1892),"""")"),"")</f>
        <v/>
      </c>
    </row>
    <row r="1893">
      <c r="A1893" s="58" t="str">
        <f>IFERROR(__xludf.DUMMYFUNCTION("INDIRECT(""'收支紀錄'!A""&amp;TO_TEXT(ROW()-$C$72))"),"")</f>
        <v/>
      </c>
      <c r="B1893" s="59" t="str">
        <f>IFERROR(__xludf.DUMMYFUNCTION("IF(ISBLANK(D1893), """", IF(ISDATE(D1893), D1893, IF(D1893=""今天"", A1893, IF(D1893=""昨天 (-1 day)"", A1893-1, IF(D1893=""前天 (-2 days)"", A1893-2, IF(D1893=""明天 (+1 day)"", A1893+1, DATE(LEFT(D1893,4), MID(D1893,5,2), RIGHT(D1893,2))))))))"),"")</f>
        <v/>
      </c>
      <c r="C1893" s="60" t="str">
        <f>IFERROR(__xludf.DUMMYFUNCTION("INDIRECT(""'收支紀錄'!C""&amp;TO_TEXT(ROW()-$C$72))"),"")</f>
        <v/>
      </c>
      <c r="D1893" s="63" t="str">
        <f>IFERROR(__xludf.DUMMYFUNCTION("INDIRECT(""'收支紀錄'!D""&amp;TO_TEXT(ROW()-$C$72))"),"")</f>
        <v/>
      </c>
      <c r="E1893" s="61" t="str">
        <f>IFERROR(__xludf.DUMMYFUNCTION("INDIRECT(""'收支紀錄'!E""&amp;TO_TEXT(ROW()-$C$72))"),"")</f>
        <v/>
      </c>
      <c r="F1893" s="61" t="str">
        <f>IFERROR(__xludf.DUMMYFUNCTION("INDIRECT(""'收支紀錄'!F""&amp;TO_TEXT(ROW()-$C$72))"),"")</f>
        <v/>
      </c>
      <c r="G1893" s="61" t="str">
        <f>IFERROR(__xludf.DUMMYFUNCTION("INDIRECT(""'收支紀錄'!G""&amp;TO_TEXT(ROW()-$C$72))"),"")</f>
        <v/>
      </c>
      <c r="H1893" s="61" t="str">
        <f>IFERROR(__xludf.DUMMYFUNCTION("INDIRECT(""'收支紀錄'!H""&amp;TO_TEXT(ROW()-$C$72))"),"")</f>
        <v/>
      </c>
      <c r="I1893" s="61" t="str">
        <f>IFERROR(__xludf.DUMMYFUNCTION("INDIRECT(""'收支紀錄'!I""&amp;TO_TEXT(ROW()-$C$72))"),"")</f>
        <v/>
      </c>
      <c r="J1893" s="61" t="str">
        <f>IFERROR(__xludf.DUMMYFUNCTION("INDIRECT(""'收支紀錄'!J""&amp;TO_TEXT(ROW()-$C$72))"),"")</f>
        <v/>
      </c>
      <c r="K1893" s="61" t="str">
        <f>IFERROR(__xludf.DUMMYFUNCTION("INDIRECT(""'收支紀錄'!K""&amp;TO_TEXT(ROW()-$C$72))"),"")</f>
        <v/>
      </c>
      <c r="L1893" s="61" t="str">
        <f>IFERROR(__xludf.DUMMYFUNCTION("INDIRECT(""'收支紀錄'!L""&amp;TO_TEXT(ROW()-$C$72))"),"")</f>
        <v/>
      </c>
      <c r="M1893" s="61" t="str">
        <f>IFERROR(__xludf.DUMMYFUNCTION("INDIRECT(""'收支紀錄'!M""&amp;TO_TEXT(ROW()-$C$72))"),"")</f>
        <v/>
      </c>
      <c r="N1893" s="61" t="str">
        <f>IFERROR(__xludf.DUMMYFUNCTION("INDIRECT(""'收支紀錄'!N""&amp;TO_TEXT(ROW()-$C$72))"),"")</f>
        <v/>
      </c>
      <c r="O1893" s="61" t="str">
        <f>IFERROR(__xludf.DUMMYFUNCTION("INDIRECT(""'收支紀錄'!O""&amp;TO_TEXT(ROW()-$C$72))"),"")</f>
        <v/>
      </c>
      <c r="P1893" s="61" t="str">
        <f>IFERROR(__xludf.DUMMYFUNCTION("INDIRECT(""'收支紀錄'!P""&amp;TO_TEXT(ROW()-$C$72))"),"")</f>
        <v/>
      </c>
      <c r="Q1893" s="61" t="str">
        <f>IFERROR(__xludf.DUMMYFUNCTION("INDIRECT(""'收支紀錄'!Q""&amp;TO_TEXT(ROW()-$C$72))"),"")</f>
        <v/>
      </c>
      <c r="R1893" s="61" t="str">
        <f>IFERROR(__xludf.DUMMYFUNCTION("INDIRECT(""'收支紀錄'!R""&amp;TO_TEXT(ROW()-$C$72))"),"")</f>
        <v/>
      </c>
      <c r="S1893" s="61" t="str">
        <f>IFERROR(__xludf.DUMMYFUNCTION("INDIRECT(""'收支紀錄'!S""&amp;TO_TEXT(ROW()-$C$72))"),"")</f>
        <v/>
      </c>
      <c r="T1893" s="61" t="str">
        <f>IFERROR(__xludf.DUMMYFUNCTION("INDIRECT(""'收支紀錄'!T""&amp;TO_TEXT(ROW()-$C$72))"),"")</f>
        <v/>
      </c>
      <c r="U1893" s="62" t="str">
        <f>IFERROR(__xludf.DUMMYFUNCTION("IF(T1893=""是"",TEXTJOIN("""", TRUE, ""$"", TO_TEXT(C1893), S1893),"""")"),"")</f>
        <v/>
      </c>
    </row>
    <row r="1894">
      <c r="A1894" s="58" t="str">
        <f>IFERROR(__xludf.DUMMYFUNCTION("INDIRECT(""'收支紀錄'!A""&amp;TO_TEXT(ROW()-$C$72))"),"")</f>
        <v/>
      </c>
      <c r="B1894" s="59" t="str">
        <f>IFERROR(__xludf.DUMMYFUNCTION("IF(ISBLANK(D1894), """", IF(ISDATE(D1894), D1894, IF(D1894=""今天"", A1894, IF(D1894=""昨天 (-1 day)"", A1894-1, IF(D1894=""前天 (-2 days)"", A1894-2, IF(D1894=""明天 (+1 day)"", A1894+1, DATE(LEFT(D1894,4), MID(D1894,5,2), RIGHT(D1894,2))))))))"),"")</f>
        <v/>
      </c>
      <c r="C1894" s="60" t="str">
        <f>IFERROR(__xludf.DUMMYFUNCTION("INDIRECT(""'收支紀錄'!C""&amp;TO_TEXT(ROW()-$C$72))"),"")</f>
        <v/>
      </c>
      <c r="D1894" s="63" t="str">
        <f>IFERROR(__xludf.DUMMYFUNCTION("INDIRECT(""'收支紀錄'!D""&amp;TO_TEXT(ROW()-$C$72))"),"")</f>
        <v/>
      </c>
      <c r="E1894" s="61" t="str">
        <f>IFERROR(__xludf.DUMMYFUNCTION("INDIRECT(""'收支紀錄'!E""&amp;TO_TEXT(ROW()-$C$72))"),"")</f>
        <v/>
      </c>
      <c r="F1894" s="61" t="str">
        <f>IFERROR(__xludf.DUMMYFUNCTION("INDIRECT(""'收支紀錄'!F""&amp;TO_TEXT(ROW()-$C$72))"),"")</f>
        <v/>
      </c>
      <c r="G1894" s="61" t="str">
        <f>IFERROR(__xludf.DUMMYFUNCTION("INDIRECT(""'收支紀錄'!G""&amp;TO_TEXT(ROW()-$C$72))"),"")</f>
        <v/>
      </c>
      <c r="H1894" s="61" t="str">
        <f>IFERROR(__xludf.DUMMYFUNCTION("INDIRECT(""'收支紀錄'!H""&amp;TO_TEXT(ROW()-$C$72))"),"")</f>
        <v/>
      </c>
      <c r="I1894" s="61" t="str">
        <f>IFERROR(__xludf.DUMMYFUNCTION("INDIRECT(""'收支紀錄'!I""&amp;TO_TEXT(ROW()-$C$72))"),"")</f>
        <v/>
      </c>
      <c r="J1894" s="61" t="str">
        <f>IFERROR(__xludf.DUMMYFUNCTION("INDIRECT(""'收支紀錄'!J""&amp;TO_TEXT(ROW()-$C$72))"),"")</f>
        <v/>
      </c>
      <c r="K1894" s="61" t="str">
        <f>IFERROR(__xludf.DUMMYFUNCTION("INDIRECT(""'收支紀錄'!K""&amp;TO_TEXT(ROW()-$C$72))"),"")</f>
        <v/>
      </c>
      <c r="L1894" s="61" t="str">
        <f>IFERROR(__xludf.DUMMYFUNCTION("INDIRECT(""'收支紀錄'!L""&amp;TO_TEXT(ROW()-$C$72))"),"")</f>
        <v/>
      </c>
      <c r="M1894" s="61" t="str">
        <f>IFERROR(__xludf.DUMMYFUNCTION("INDIRECT(""'收支紀錄'!M""&amp;TO_TEXT(ROW()-$C$72))"),"")</f>
        <v/>
      </c>
      <c r="N1894" s="61" t="str">
        <f>IFERROR(__xludf.DUMMYFUNCTION("INDIRECT(""'收支紀錄'!N""&amp;TO_TEXT(ROW()-$C$72))"),"")</f>
        <v/>
      </c>
      <c r="O1894" s="61" t="str">
        <f>IFERROR(__xludf.DUMMYFUNCTION("INDIRECT(""'收支紀錄'!O""&amp;TO_TEXT(ROW()-$C$72))"),"")</f>
        <v/>
      </c>
      <c r="P1894" s="61" t="str">
        <f>IFERROR(__xludf.DUMMYFUNCTION("INDIRECT(""'收支紀錄'!P""&amp;TO_TEXT(ROW()-$C$72))"),"")</f>
        <v/>
      </c>
      <c r="Q1894" s="61" t="str">
        <f>IFERROR(__xludf.DUMMYFUNCTION("INDIRECT(""'收支紀錄'!Q""&amp;TO_TEXT(ROW()-$C$72))"),"")</f>
        <v/>
      </c>
      <c r="R1894" s="61" t="str">
        <f>IFERROR(__xludf.DUMMYFUNCTION("INDIRECT(""'收支紀錄'!R""&amp;TO_TEXT(ROW()-$C$72))"),"")</f>
        <v/>
      </c>
      <c r="S1894" s="61" t="str">
        <f>IFERROR(__xludf.DUMMYFUNCTION("INDIRECT(""'收支紀錄'!S""&amp;TO_TEXT(ROW()-$C$72))"),"")</f>
        <v/>
      </c>
      <c r="T1894" s="61" t="str">
        <f>IFERROR(__xludf.DUMMYFUNCTION("INDIRECT(""'收支紀錄'!T""&amp;TO_TEXT(ROW()-$C$72))"),"")</f>
        <v/>
      </c>
      <c r="U1894" s="62" t="str">
        <f>IFERROR(__xludf.DUMMYFUNCTION("IF(T1894=""是"",TEXTJOIN("""", TRUE, ""$"", TO_TEXT(C1894), S1894),"""")"),"")</f>
        <v/>
      </c>
    </row>
    <row r="1895">
      <c r="A1895" s="58" t="str">
        <f>IFERROR(__xludf.DUMMYFUNCTION("INDIRECT(""'收支紀錄'!A""&amp;TO_TEXT(ROW()-$C$72))"),"")</f>
        <v/>
      </c>
      <c r="B1895" s="59" t="str">
        <f>IFERROR(__xludf.DUMMYFUNCTION("IF(ISBLANK(D1895), """", IF(ISDATE(D1895), D1895, IF(D1895=""今天"", A1895, IF(D1895=""昨天 (-1 day)"", A1895-1, IF(D1895=""前天 (-2 days)"", A1895-2, IF(D1895=""明天 (+1 day)"", A1895+1, DATE(LEFT(D1895,4), MID(D1895,5,2), RIGHT(D1895,2))))))))"),"")</f>
        <v/>
      </c>
      <c r="C1895" s="60" t="str">
        <f>IFERROR(__xludf.DUMMYFUNCTION("INDIRECT(""'收支紀錄'!C""&amp;TO_TEXT(ROW()-$C$72))"),"")</f>
        <v/>
      </c>
      <c r="D1895" s="63" t="str">
        <f>IFERROR(__xludf.DUMMYFUNCTION("INDIRECT(""'收支紀錄'!D""&amp;TO_TEXT(ROW()-$C$72))"),"")</f>
        <v/>
      </c>
      <c r="E1895" s="61" t="str">
        <f>IFERROR(__xludf.DUMMYFUNCTION("INDIRECT(""'收支紀錄'!E""&amp;TO_TEXT(ROW()-$C$72))"),"")</f>
        <v/>
      </c>
      <c r="F1895" s="61" t="str">
        <f>IFERROR(__xludf.DUMMYFUNCTION("INDIRECT(""'收支紀錄'!F""&amp;TO_TEXT(ROW()-$C$72))"),"")</f>
        <v/>
      </c>
      <c r="G1895" s="61" t="str">
        <f>IFERROR(__xludf.DUMMYFUNCTION("INDIRECT(""'收支紀錄'!G""&amp;TO_TEXT(ROW()-$C$72))"),"")</f>
        <v/>
      </c>
      <c r="H1895" s="61" t="str">
        <f>IFERROR(__xludf.DUMMYFUNCTION("INDIRECT(""'收支紀錄'!H""&amp;TO_TEXT(ROW()-$C$72))"),"")</f>
        <v/>
      </c>
      <c r="I1895" s="61" t="str">
        <f>IFERROR(__xludf.DUMMYFUNCTION("INDIRECT(""'收支紀錄'!I""&amp;TO_TEXT(ROW()-$C$72))"),"")</f>
        <v/>
      </c>
      <c r="J1895" s="61" t="str">
        <f>IFERROR(__xludf.DUMMYFUNCTION("INDIRECT(""'收支紀錄'!J""&amp;TO_TEXT(ROW()-$C$72))"),"")</f>
        <v/>
      </c>
      <c r="K1895" s="61" t="str">
        <f>IFERROR(__xludf.DUMMYFUNCTION("INDIRECT(""'收支紀錄'!K""&amp;TO_TEXT(ROW()-$C$72))"),"")</f>
        <v/>
      </c>
      <c r="L1895" s="61" t="str">
        <f>IFERROR(__xludf.DUMMYFUNCTION("INDIRECT(""'收支紀錄'!L""&amp;TO_TEXT(ROW()-$C$72))"),"")</f>
        <v/>
      </c>
      <c r="M1895" s="61" t="str">
        <f>IFERROR(__xludf.DUMMYFUNCTION("INDIRECT(""'收支紀錄'!M""&amp;TO_TEXT(ROW()-$C$72))"),"")</f>
        <v/>
      </c>
      <c r="N1895" s="61" t="str">
        <f>IFERROR(__xludf.DUMMYFUNCTION("INDIRECT(""'收支紀錄'!N""&amp;TO_TEXT(ROW()-$C$72))"),"")</f>
        <v/>
      </c>
      <c r="O1895" s="61" t="str">
        <f>IFERROR(__xludf.DUMMYFUNCTION("INDIRECT(""'收支紀錄'!O""&amp;TO_TEXT(ROW()-$C$72))"),"")</f>
        <v/>
      </c>
      <c r="P1895" s="61" t="str">
        <f>IFERROR(__xludf.DUMMYFUNCTION("INDIRECT(""'收支紀錄'!P""&amp;TO_TEXT(ROW()-$C$72))"),"")</f>
        <v/>
      </c>
      <c r="Q1895" s="61" t="str">
        <f>IFERROR(__xludf.DUMMYFUNCTION("INDIRECT(""'收支紀錄'!Q""&amp;TO_TEXT(ROW()-$C$72))"),"")</f>
        <v/>
      </c>
      <c r="R1895" s="61" t="str">
        <f>IFERROR(__xludf.DUMMYFUNCTION("INDIRECT(""'收支紀錄'!R""&amp;TO_TEXT(ROW()-$C$72))"),"")</f>
        <v/>
      </c>
      <c r="S1895" s="61" t="str">
        <f>IFERROR(__xludf.DUMMYFUNCTION("INDIRECT(""'收支紀錄'!S""&amp;TO_TEXT(ROW()-$C$72))"),"")</f>
        <v/>
      </c>
      <c r="T1895" s="61" t="str">
        <f>IFERROR(__xludf.DUMMYFUNCTION("INDIRECT(""'收支紀錄'!T""&amp;TO_TEXT(ROW()-$C$72))"),"")</f>
        <v/>
      </c>
      <c r="U1895" s="62" t="str">
        <f>IFERROR(__xludf.DUMMYFUNCTION("IF(T1895=""是"",TEXTJOIN("""", TRUE, ""$"", TO_TEXT(C1895), S1895),"""")"),"")</f>
        <v/>
      </c>
    </row>
    <row r="1896">
      <c r="A1896" s="58" t="str">
        <f>IFERROR(__xludf.DUMMYFUNCTION("INDIRECT(""'收支紀錄'!A""&amp;TO_TEXT(ROW()-$C$72))"),"")</f>
        <v/>
      </c>
      <c r="B1896" s="59" t="str">
        <f>IFERROR(__xludf.DUMMYFUNCTION("IF(ISBLANK(D1896), """", IF(ISDATE(D1896), D1896, IF(D1896=""今天"", A1896, IF(D1896=""昨天 (-1 day)"", A1896-1, IF(D1896=""前天 (-2 days)"", A1896-2, IF(D1896=""明天 (+1 day)"", A1896+1, DATE(LEFT(D1896,4), MID(D1896,5,2), RIGHT(D1896,2))))))))"),"")</f>
        <v/>
      </c>
      <c r="C1896" s="60" t="str">
        <f>IFERROR(__xludf.DUMMYFUNCTION("INDIRECT(""'收支紀錄'!C""&amp;TO_TEXT(ROW()-$C$72))"),"")</f>
        <v/>
      </c>
      <c r="D1896" s="63" t="str">
        <f>IFERROR(__xludf.DUMMYFUNCTION("INDIRECT(""'收支紀錄'!D""&amp;TO_TEXT(ROW()-$C$72))"),"")</f>
        <v/>
      </c>
      <c r="E1896" s="61" t="str">
        <f>IFERROR(__xludf.DUMMYFUNCTION("INDIRECT(""'收支紀錄'!E""&amp;TO_TEXT(ROW()-$C$72))"),"")</f>
        <v/>
      </c>
      <c r="F1896" s="61" t="str">
        <f>IFERROR(__xludf.DUMMYFUNCTION("INDIRECT(""'收支紀錄'!F""&amp;TO_TEXT(ROW()-$C$72))"),"")</f>
        <v/>
      </c>
      <c r="G1896" s="61" t="str">
        <f>IFERROR(__xludf.DUMMYFUNCTION("INDIRECT(""'收支紀錄'!G""&amp;TO_TEXT(ROW()-$C$72))"),"")</f>
        <v/>
      </c>
      <c r="H1896" s="61" t="str">
        <f>IFERROR(__xludf.DUMMYFUNCTION("INDIRECT(""'收支紀錄'!H""&amp;TO_TEXT(ROW()-$C$72))"),"")</f>
        <v/>
      </c>
      <c r="I1896" s="61" t="str">
        <f>IFERROR(__xludf.DUMMYFUNCTION("INDIRECT(""'收支紀錄'!I""&amp;TO_TEXT(ROW()-$C$72))"),"")</f>
        <v/>
      </c>
      <c r="J1896" s="61" t="str">
        <f>IFERROR(__xludf.DUMMYFUNCTION("INDIRECT(""'收支紀錄'!J""&amp;TO_TEXT(ROW()-$C$72))"),"")</f>
        <v/>
      </c>
      <c r="K1896" s="61" t="str">
        <f>IFERROR(__xludf.DUMMYFUNCTION("INDIRECT(""'收支紀錄'!K""&amp;TO_TEXT(ROW()-$C$72))"),"")</f>
        <v/>
      </c>
      <c r="L1896" s="61" t="str">
        <f>IFERROR(__xludf.DUMMYFUNCTION("INDIRECT(""'收支紀錄'!L""&amp;TO_TEXT(ROW()-$C$72))"),"")</f>
        <v/>
      </c>
      <c r="M1896" s="61" t="str">
        <f>IFERROR(__xludf.DUMMYFUNCTION("INDIRECT(""'收支紀錄'!M""&amp;TO_TEXT(ROW()-$C$72))"),"")</f>
        <v/>
      </c>
      <c r="N1896" s="61" t="str">
        <f>IFERROR(__xludf.DUMMYFUNCTION("INDIRECT(""'收支紀錄'!N""&amp;TO_TEXT(ROW()-$C$72))"),"")</f>
        <v/>
      </c>
      <c r="O1896" s="61" t="str">
        <f>IFERROR(__xludf.DUMMYFUNCTION("INDIRECT(""'收支紀錄'!O""&amp;TO_TEXT(ROW()-$C$72))"),"")</f>
        <v/>
      </c>
      <c r="P1896" s="61" t="str">
        <f>IFERROR(__xludf.DUMMYFUNCTION("INDIRECT(""'收支紀錄'!P""&amp;TO_TEXT(ROW()-$C$72))"),"")</f>
        <v/>
      </c>
      <c r="Q1896" s="61" t="str">
        <f>IFERROR(__xludf.DUMMYFUNCTION("INDIRECT(""'收支紀錄'!Q""&amp;TO_TEXT(ROW()-$C$72))"),"")</f>
        <v/>
      </c>
      <c r="R1896" s="61" t="str">
        <f>IFERROR(__xludf.DUMMYFUNCTION("INDIRECT(""'收支紀錄'!R""&amp;TO_TEXT(ROW()-$C$72))"),"")</f>
        <v/>
      </c>
      <c r="S1896" s="61" t="str">
        <f>IFERROR(__xludf.DUMMYFUNCTION("INDIRECT(""'收支紀錄'!S""&amp;TO_TEXT(ROW()-$C$72))"),"")</f>
        <v/>
      </c>
      <c r="T1896" s="61" t="str">
        <f>IFERROR(__xludf.DUMMYFUNCTION("INDIRECT(""'收支紀錄'!T""&amp;TO_TEXT(ROW()-$C$72))"),"")</f>
        <v/>
      </c>
      <c r="U1896" s="62" t="str">
        <f>IFERROR(__xludf.DUMMYFUNCTION("IF(T1896=""是"",TEXTJOIN("""", TRUE, ""$"", TO_TEXT(C1896), S1896),"""")"),"")</f>
        <v/>
      </c>
    </row>
    <row r="1897">
      <c r="A1897" s="58" t="str">
        <f>IFERROR(__xludf.DUMMYFUNCTION("INDIRECT(""'收支紀錄'!A""&amp;TO_TEXT(ROW()-$C$72))"),"")</f>
        <v/>
      </c>
      <c r="B1897" s="59" t="str">
        <f>IFERROR(__xludf.DUMMYFUNCTION("IF(ISBLANK(D1897), """", IF(ISDATE(D1897), D1897, IF(D1897=""今天"", A1897, IF(D1897=""昨天 (-1 day)"", A1897-1, IF(D1897=""前天 (-2 days)"", A1897-2, IF(D1897=""明天 (+1 day)"", A1897+1, DATE(LEFT(D1897,4), MID(D1897,5,2), RIGHT(D1897,2))))))))"),"")</f>
        <v/>
      </c>
      <c r="C1897" s="60" t="str">
        <f>IFERROR(__xludf.DUMMYFUNCTION("INDIRECT(""'收支紀錄'!C""&amp;TO_TEXT(ROW()-$C$72))"),"")</f>
        <v/>
      </c>
      <c r="D1897" s="63" t="str">
        <f>IFERROR(__xludf.DUMMYFUNCTION("INDIRECT(""'收支紀錄'!D""&amp;TO_TEXT(ROW()-$C$72))"),"")</f>
        <v/>
      </c>
      <c r="E1897" s="61" t="str">
        <f>IFERROR(__xludf.DUMMYFUNCTION("INDIRECT(""'收支紀錄'!E""&amp;TO_TEXT(ROW()-$C$72))"),"")</f>
        <v/>
      </c>
      <c r="F1897" s="61" t="str">
        <f>IFERROR(__xludf.DUMMYFUNCTION("INDIRECT(""'收支紀錄'!F""&amp;TO_TEXT(ROW()-$C$72))"),"")</f>
        <v/>
      </c>
      <c r="G1897" s="61" t="str">
        <f>IFERROR(__xludf.DUMMYFUNCTION("INDIRECT(""'收支紀錄'!G""&amp;TO_TEXT(ROW()-$C$72))"),"")</f>
        <v/>
      </c>
      <c r="H1897" s="61" t="str">
        <f>IFERROR(__xludf.DUMMYFUNCTION("INDIRECT(""'收支紀錄'!H""&amp;TO_TEXT(ROW()-$C$72))"),"")</f>
        <v/>
      </c>
      <c r="I1897" s="61" t="str">
        <f>IFERROR(__xludf.DUMMYFUNCTION("INDIRECT(""'收支紀錄'!I""&amp;TO_TEXT(ROW()-$C$72))"),"")</f>
        <v/>
      </c>
      <c r="J1897" s="61" t="str">
        <f>IFERROR(__xludf.DUMMYFUNCTION("INDIRECT(""'收支紀錄'!J""&amp;TO_TEXT(ROW()-$C$72))"),"")</f>
        <v/>
      </c>
      <c r="K1897" s="61" t="str">
        <f>IFERROR(__xludf.DUMMYFUNCTION("INDIRECT(""'收支紀錄'!K""&amp;TO_TEXT(ROW()-$C$72))"),"")</f>
        <v/>
      </c>
      <c r="L1897" s="61" t="str">
        <f>IFERROR(__xludf.DUMMYFUNCTION("INDIRECT(""'收支紀錄'!L""&amp;TO_TEXT(ROW()-$C$72))"),"")</f>
        <v/>
      </c>
      <c r="M1897" s="61" t="str">
        <f>IFERROR(__xludf.DUMMYFUNCTION("INDIRECT(""'收支紀錄'!M""&amp;TO_TEXT(ROW()-$C$72))"),"")</f>
        <v/>
      </c>
      <c r="N1897" s="61" t="str">
        <f>IFERROR(__xludf.DUMMYFUNCTION("INDIRECT(""'收支紀錄'!N""&amp;TO_TEXT(ROW()-$C$72))"),"")</f>
        <v/>
      </c>
      <c r="O1897" s="61" t="str">
        <f>IFERROR(__xludf.DUMMYFUNCTION("INDIRECT(""'收支紀錄'!O""&amp;TO_TEXT(ROW()-$C$72))"),"")</f>
        <v/>
      </c>
      <c r="P1897" s="61" t="str">
        <f>IFERROR(__xludf.DUMMYFUNCTION("INDIRECT(""'收支紀錄'!P""&amp;TO_TEXT(ROW()-$C$72))"),"")</f>
        <v/>
      </c>
      <c r="Q1897" s="61" t="str">
        <f>IFERROR(__xludf.DUMMYFUNCTION("INDIRECT(""'收支紀錄'!Q""&amp;TO_TEXT(ROW()-$C$72))"),"")</f>
        <v/>
      </c>
      <c r="R1897" s="61" t="str">
        <f>IFERROR(__xludf.DUMMYFUNCTION("INDIRECT(""'收支紀錄'!R""&amp;TO_TEXT(ROW()-$C$72))"),"")</f>
        <v/>
      </c>
      <c r="S1897" s="61" t="str">
        <f>IFERROR(__xludf.DUMMYFUNCTION("INDIRECT(""'收支紀錄'!S""&amp;TO_TEXT(ROW()-$C$72))"),"")</f>
        <v/>
      </c>
      <c r="T1897" s="61" t="str">
        <f>IFERROR(__xludf.DUMMYFUNCTION("INDIRECT(""'收支紀錄'!T""&amp;TO_TEXT(ROW()-$C$72))"),"")</f>
        <v/>
      </c>
      <c r="U1897" s="62" t="str">
        <f>IFERROR(__xludf.DUMMYFUNCTION("IF(T1897=""是"",TEXTJOIN("""", TRUE, ""$"", TO_TEXT(C1897), S1897),"""")"),"")</f>
        <v/>
      </c>
    </row>
    <row r="1898">
      <c r="A1898" s="58" t="str">
        <f>IFERROR(__xludf.DUMMYFUNCTION("INDIRECT(""'收支紀錄'!A""&amp;TO_TEXT(ROW()-$C$72))"),"")</f>
        <v/>
      </c>
      <c r="B1898" s="59" t="str">
        <f>IFERROR(__xludf.DUMMYFUNCTION("IF(ISBLANK(D1898), """", IF(ISDATE(D1898), D1898, IF(D1898=""今天"", A1898, IF(D1898=""昨天 (-1 day)"", A1898-1, IF(D1898=""前天 (-2 days)"", A1898-2, IF(D1898=""明天 (+1 day)"", A1898+1, DATE(LEFT(D1898,4), MID(D1898,5,2), RIGHT(D1898,2))))))))"),"")</f>
        <v/>
      </c>
      <c r="C1898" s="60" t="str">
        <f>IFERROR(__xludf.DUMMYFUNCTION("INDIRECT(""'收支紀錄'!C""&amp;TO_TEXT(ROW()-$C$72))"),"")</f>
        <v/>
      </c>
      <c r="D1898" s="63" t="str">
        <f>IFERROR(__xludf.DUMMYFUNCTION("INDIRECT(""'收支紀錄'!D""&amp;TO_TEXT(ROW()-$C$72))"),"")</f>
        <v/>
      </c>
      <c r="E1898" s="61" t="str">
        <f>IFERROR(__xludf.DUMMYFUNCTION("INDIRECT(""'收支紀錄'!E""&amp;TO_TEXT(ROW()-$C$72))"),"")</f>
        <v/>
      </c>
      <c r="F1898" s="61" t="str">
        <f>IFERROR(__xludf.DUMMYFUNCTION("INDIRECT(""'收支紀錄'!F""&amp;TO_TEXT(ROW()-$C$72))"),"")</f>
        <v/>
      </c>
      <c r="G1898" s="61" t="str">
        <f>IFERROR(__xludf.DUMMYFUNCTION("INDIRECT(""'收支紀錄'!G""&amp;TO_TEXT(ROW()-$C$72))"),"")</f>
        <v/>
      </c>
      <c r="H1898" s="61" t="str">
        <f>IFERROR(__xludf.DUMMYFUNCTION("INDIRECT(""'收支紀錄'!H""&amp;TO_TEXT(ROW()-$C$72))"),"")</f>
        <v/>
      </c>
      <c r="I1898" s="61" t="str">
        <f>IFERROR(__xludf.DUMMYFUNCTION("INDIRECT(""'收支紀錄'!I""&amp;TO_TEXT(ROW()-$C$72))"),"")</f>
        <v/>
      </c>
      <c r="J1898" s="61" t="str">
        <f>IFERROR(__xludf.DUMMYFUNCTION("INDIRECT(""'收支紀錄'!J""&amp;TO_TEXT(ROW()-$C$72))"),"")</f>
        <v/>
      </c>
      <c r="K1898" s="61" t="str">
        <f>IFERROR(__xludf.DUMMYFUNCTION("INDIRECT(""'收支紀錄'!K""&amp;TO_TEXT(ROW()-$C$72))"),"")</f>
        <v/>
      </c>
      <c r="L1898" s="61" t="str">
        <f>IFERROR(__xludf.DUMMYFUNCTION("INDIRECT(""'收支紀錄'!L""&amp;TO_TEXT(ROW()-$C$72))"),"")</f>
        <v/>
      </c>
      <c r="M1898" s="61" t="str">
        <f>IFERROR(__xludf.DUMMYFUNCTION("INDIRECT(""'收支紀錄'!M""&amp;TO_TEXT(ROW()-$C$72))"),"")</f>
        <v/>
      </c>
      <c r="N1898" s="61" t="str">
        <f>IFERROR(__xludf.DUMMYFUNCTION("INDIRECT(""'收支紀錄'!N""&amp;TO_TEXT(ROW()-$C$72))"),"")</f>
        <v/>
      </c>
      <c r="O1898" s="61" t="str">
        <f>IFERROR(__xludf.DUMMYFUNCTION("INDIRECT(""'收支紀錄'!O""&amp;TO_TEXT(ROW()-$C$72))"),"")</f>
        <v/>
      </c>
      <c r="P1898" s="61" t="str">
        <f>IFERROR(__xludf.DUMMYFUNCTION("INDIRECT(""'收支紀錄'!P""&amp;TO_TEXT(ROW()-$C$72))"),"")</f>
        <v/>
      </c>
      <c r="Q1898" s="61" t="str">
        <f>IFERROR(__xludf.DUMMYFUNCTION("INDIRECT(""'收支紀錄'!Q""&amp;TO_TEXT(ROW()-$C$72))"),"")</f>
        <v/>
      </c>
      <c r="R1898" s="61" t="str">
        <f>IFERROR(__xludf.DUMMYFUNCTION("INDIRECT(""'收支紀錄'!R""&amp;TO_TEXT(ROW()-$C$72))"),"")</f>
        <v/>
      </c>
      <c r="S1898" s="61" t="str">
        <f>IFERROR(__xludf.DUMMYFUNCTION("INDIRECT(""'收支紀錄'!S""&amp;TO_TEXT(ROW()-$C$72))"),"")</f>
        <v/>
      </c>
      <c r="T1898" s="61" t="str">
        <f>IFERROR(__xludf.DUMMYFUNCTION("INDIRECT(""'收支紀錄'!T""&amp;TO_TEXT(ROW()-$C$72))"),"")</f>
        <v/>
      </c>
      <c r="U1898" s="62" t="str">
        <f>IFERROR(__xludf.DUMMYFUNCTION("IF(T1898=""是"",TEXTJOIN("""", TRUE, ""$"", TO_TEXT(C1898), S1898),"""")"),"")</f>
        <v/>
      </c>
    </row>
    <row r="1899">
      <c r="A1899" s="58" t="str">
        <f>IFERROR(__xludf.DUMMYFUNCTION("INDIRECT(""'收支紀錄'!A""&amp;TO_TEXT(ROW()-$C$72))"),"")</f>
        <v/>
      </c>
      <c r="B1899" s="59" t="str">
        <f>IFERROR(__xludf.DUMMYFUNCTION("IF(ISBLANK(D1899), """", IF(ISDATE(D1899), D1899, IF(D1899=""今天"", A1899, IF(D1899=""昨天 (-1 day)"", A1899-1, IF(D1899=""前天 (-2 days)"", A1899-2, IF(D1899=""明天 (+1 day)"", A1899+1, DATE(LEFT(D1899,4), MID(D1899,5,2), RIGHT(D1899,2))))))))"),"")</f>
        <v/>
      </c>
      <c r="C1899" s="60" t="str">
        <f>IFERROR(__xludf.DUMMYFUNCTION("INDIRECT(""'收支紀錄'!C""&amp;TO_TEXT(ROW()-$C$72))"),"")</f>
        <v/>
      </c>
      <c r="D1899" s="63" t="str">
        <f>IFERROR(__xludf.DUMMYFUNCTION("INDIRECT(""'收支紀錄'!D""&amp;TO_TEXT(ROW()-$C$72))"),"")</f>
        <v/>
      </c>
      <c r="E1899" s="61" t="str">
        <f>IFERROR(__xludf.DUMMYFUNCTION("INDIRECT(""'收支紀錄'!E""&amp;TO_TEXT(ROW()-$C$72))"),"")</f>
        <v/>
      </c>
      <c r="F1899" s="61" t="str">
        <f>IFERROR(__xludf.DUMMYFUNCTION("INDIRECT(""'收支紀錄'!F""&amp;TO_TEXT(ROW()-$C$72))"),"")</f>
        <v/>
      </c>
      <c r="G1899" s="61" t="str">
        <f>IFERROR(__xludf.DUMMYFUNCTION("INDIRECT(""'收支紀錄'!G""&amp;TO_TEXT(ROW()-$C$72))"),"")</f>
        <v/>
      </c>
      <c r="H1899" s="61" t="str">
        <f>IFERROR(__xludf.DUMMYFUNCTION("INDIRECT(""'收支紀錄'!H""&amp;TO_TEXT(ROW()-$C$72))"),"")</f>
        <v/>
      </c>
      <c r="I1899" s="61" t="str">
        <f>IFERROR(__xludf.DUMMYFUNCTION("INDIRECT(""'收支紀錄'!I""&amp;TO_TEXT(ROW()-$C$72))"),"")</f>
        <v/>
      </c>
      <c r="J1899" s="61" t="str">
        <f>IFERROR(__xludf.DUMMYFUNCTION("INDIRECT(""'收支紀錄'!J""&amp;TO_TEXT(ROW()-$C$72))"),"")</f>
        <v/>
      </c>
      <c r="K1899" s="61" t="str">
        <f>IFERROR(__xludf.DUMMYFUNCTION("INDIRECT(""'收支紀錄'!K""&amp;TO_TEXT(ROW()-$C$72))"),"")</f>
        <v/>
      </c>
      <c r="L1899" s="61" t="str">
        <f>IFERROR(__xludf.DUMMYFUNCTION("INDIRECT(""'收支紀錄'!L""&amp;TO_TEXT(ROW()-$C$72))"),"")</f>
        <v/>
      </c>
      <c r="M1899" s="61" t="str">
        <f>IFERROR(__xludf.DUMMYFUNCTION("INDIRECT(""'收支紀錄'!M""&amp;TO_TEXT(ROW()-$C$72))"),"")</f>
        <v/>
      </c>
      <c r="N1899" s="61" t="str">
        <f>IFERROR(__xludf.DUMMYFUNCTION("INDIRECT(""'收支紀錄'!N""&amp;TO_TEXT(ROW()-$C$72))"),"")</f>
        <v/>
      </c>
      <c r="O1899" s="61" t="str">
        <f>IFERROR(__xludf.DUMMYFUNCTION("INDIRECT(""'收支紀錄'!O""&amp;TO_TEXT(ROW()-$C$72))"),"")</f>
        <v/>
      </c>
      <c r="P1899" s="61" t="str">
        <f>IFERROR(__xludf.DUMMYFUNCTION("INDIRECT(""'收支紀錄'!P""&amp;TO_TEXT(ROW()-$C$72))"),"")</f>
        <v/>
      </c>
      <c r="Q1899" s="61" t="str">
        <f>IFERROR(__xludf.DUMMYFUNCTION("INDIRECT(""'收支紀錄'!Q""&amp;TO_TEXT(ROW()-$C$72))"),"")</f>
        <v/>
      </c>
      <c r="R1899" s="61" t="str">
        <f>IFERROR(__xludf.DUMMYFUNCTION("INDIRECT(""'收支紀錄'!R""&amp;TO_TEXT(ROW()-$C$72))"),"")</f>
        <v/>
      </c>
      <c r="S1899" s="61" t="str">
        <f>IFERROR(__xludf.DUMMYFUNCTION("INDIRECT(""'收支紀錄'!S""&amp;TO_TEXT(ROW()-$C$72))"),"")</f>
        <v/>
      </c>
      <c r="T1899" s="61" t="str">
        <f>IFERROR(__xludf.DUMMYFUNCTION("INDIRECT(""'收支紀錄'!T""&amp;TO_TEXT(ROW()-$C$72))"),"")</f>
        <v/>
      </c>
      <c r="U1899" s="62" t="str">
        <f>IFERROR(__xludf.DUMMYFUNCTION("IF(T1899=""是"",TEXTJOIN("""", TRUE, ""$"", TO_TEXT(C1899), S1899),"""")"),"")</f>
        <v/>
      </c>
    </row>
    <row r="1900">
      <c r="A1900" s="58" t="str">
        <f>IFERROR(__xludf.DUMMYFUNCTION("INDIRECT(""'收支紀錄'!A""&amp;TO_TEXT(ROW()-$C$72))"),"")</f>
        <v/>
      </c>
      <c r="B1900" s="59" t="str">
        <f>IFERROR(__xludf.DUMMYFUNCTION("IF(ISBLANK(D1900), """", IF(ISDATE(D1900), D1900, IF(D1900=""今天"", A1900, IF(D1900=""昨天 (-1 day)"", A1900-1, IF(D1900=""前天 (-2 days)"", A1900-2, IF(D1900=""明天 (+1 day)"", A1900+1, DATE(LEFT(D1900,4), MID(D1900,5,2), RIGHT(D1900,2))))))))"),"")</f>
        <v/>
      </c>
      <c r="C1900" s="60" t="str">
        <f>IFERROR(__xludf.DUMMYFUNCTION("INDIRECT(""'收支紀錄'!C""&amp;TO_TEXT(ROW()-$C$72))"),"")</f>
        <v/>
      </c>
      <c r="D1900" s="63" t="str">
        <f>IFERROR(__xludf.DUMMYFUNCTION("INDIRECT(""'收支紀錄'!D""&amp;TO_TEXT(ROW()-$C$72))"),"")</f>
        <v/>
      </c>
      <c r="E1900" s="61" t="str">
        <f>IFERROR(__xludf.DUMMYFUNCTION("INDIRECT(""'收支紀錄'!E""&amp;TO_TEXT(ROW()-$C$72))"),"")</f>
        <v/>
      </c>
      <c r="F1900" s="61" t="str">
        <f>IFERROR(__xludf.DUMMYFUNCTION("INDIRECT(""'收支紀錄'!F""&amp;TO_TEXT(ROW()-$C$72))"),"")</f>
        <v/>
      </c>
      <c r="G1900" s="61" t="str">
        <f>IFERROR(__xludf.DUMMYFUNCTION("INDIRECT(""'收支紀錄'!G""&amp;TO_TEXT(ROW()-$C$72))"),"")</f>
        <v/>
      </c>
      <c r="H1900" s="61" t="str">
        <f>IFERROR(__xludf.DUMMYFUNCTION("INDIRECT(""'收支紀錄'!H""&amp;TO_TEXT(ROW()-$C$72))"),"")</f>
        <v/>
      </c>
      <c r="I1900" s="61" t="str">
        <f>IFERROR(__xludf.DUMMYFUNCTION("INDIRECT(""'收支紀錄'!I""&amp;TO_TEXT(ROW()-$C$72))"),"")</f>
        <v/>
      </c>
      <c r="J1900" s="61" t="str">
        <f>IFERROR(__xludf.DUMMYFUNCTION("INDIRECT(""'收支紀錄'!J""&amp;TO_TEXT(ROW()-$C$72))"),"")</f>
        <v/>
      </c>
      <c r="K1900" s="61" t="str">
        <f>IFERROR(__xludf.DUMMYFUNCTION("INDIRECT(""'收支紀錄'!K""&amp;TO_TEXT(ROW()-$C$72))"),"")</f>
        <v/>
      </c>
      <c r="L1900" s="61" t="str">
        <f>IFERROR(__xludf.DUMMYFUNCTION("INDIRECT(""'收支紀錄'!L""&amp;TO_TEXT(ROW()-$C$72))"),"")</f>
        <v/>
      </c>
      <c r="M1900" s="61" t="str">
        <f>IFERROR(__xludf.DUMMYFUNCTION("INDIRECT(""'收支紀錄'!M""&amp;TO_TEXT(ROW()-$C$72))"),"")</f>
        <v/>
      </c>
      <c r="N1900" s="61" t="str">
        <f>IFERROR(__xludf.DUMMYFUNCTION("INDIRECT(""'收支紀錄'!N""&amp;TO_TEXT(ROW()-$C$72))"),"")</f>
        <v/>
      </c>
      <c r="O1900" s="61" t="str">
        <f>IFERROR(__xludf.DUMMYFUNCTION("INDIRECT(""'收支紀錄'!O""&amp;TO_TEXT(ROW()-$C$72))"),"")</f>
        <v/>
      </c>
      <c r="P1900" s="61" t="str">
        <f>IFERROR(__xludf.DUMMYFUNCTION("INDIRECT(""'收支紀錄'!P""&amp;TO_TEXT(ROW()-$C$72))"),"")</f>
        <v/>
      </c>
      <c r="Q1900" s="61" t="str">
        <f>IFERROR(__xludf.DUMMYFUNCTION("INDIRECT(""'收支紀錄'!Q""&amp;TO_TEXT(ROW()-$C$72))"),"")</f>
        <v/>
      </c>
      <c r="R1900" s="61" t="str">
        <f>IFERROR(__xludf.DUMMYFUNCTION("INDIRECT(""'收支紀錄'!R""&amp;TO_TEXT(ROW()-$C$72))"),"")</f>
        <v/>
      </c>
      <c r="S1900" s="61" t="str">
        <f>IFERROR(__xludf.DUMMYFUNCTION("INDIRECT(""'收支紀錄'!S""&amp;TO_TEXT(ROW()-$C$72))"),"")</f>
        <v/>
      </c>
      <c r="T1900" s="61" t="str">
        <f>IFERROR(__xludf.DUMMYFUNCTION("INDIRECT(""'收支紀錄'!T""&amp;TO_TEXT(ROW()-$C$72))"),"")</f>
        <v/>
      </c>
      <c r="U1900" s="62" t="str">
        <f>IFERROR(__xludf.DUMMYFUNCTION("IF(T1900=""是"",TEXTJOIN("""", TRUE, ""$"", TO_TEXT(C1900), S1900),"""")"),"")</f>
        <v/>
      </c>
    </row>
    <row r="1901">
      <c r="A1901" s="58" t="str">
        <f>IFERROR(__xludf.DUMMYFUNCTION("INDIRECT(""'收支紀錄'!A""&amp;TO_TEXT(ROW()-$C$72))"),"")</f>
        <v/>
      </c>
      <c r="B1901" s="59" t="str">
        <f>IFERROR(__xludf.DUMMYFUNCTION("IF(ISBLANK(D1901), """", IF(ISDATE(D1901), D1901, IF(D1901=""今天"", A1901, IF(D1901=""昨天 (-1 day)"", A1901-1, IF(D1901=""前天 (-2 days)"", A1901-2, IF(D1901=""明天 (+1 day)"", A1901+1, DATE(LEFT(D1901,4), MID(D1901,5,2), RIGHT(D1901,2))))))))"),"")</f>
        <v/>
      </c>
      <c r="C1901" s="60" t="str">
        <f>IFERROR(__xludf.DUMMYFUNCTION("INDIRECT(""'收支紀錄'!C""&amp;TO_TEXT(ROW()-$C$72))"),"")</f>
        <v/>
      </c>
      <c r="D1901" s="63" t="str">
        <f>IFERROR(__xludf.DUMMYFUNCTION("INDIRECT(""'收支紀錄'!D""&amp;TO_TEXT(ROW()-$C$72))"),"")</f>
        <v/>
      </c>
      <c r="E1901" s="61" t="str">
        <f>IFERROR(__xludf.DUMMYFUNCTION("INDIRECT(""'收支紀錄'!E""&amp;TO_TEXT(ROW()-$C$72))"),"")</f>
        <v/>
      </c>
      <c r="F1901" s="61" t="str">
        <f>IFERROR(__xludf.DUMMYFUNCTION("INDIRECT(""'收支紀錄'!F""&amp;TO_TEXT(ROW()-$C$72))"),"")</f>
        <v/>
      </c>
      <c r="G1901" s="61" t="str">
        <f>IFERROR(__xludf.DUMMYFUNCTION("INDIRECT(""'收支紀錄'!G""&amp;TO_TEXT(ROW()-$C$72))"),"")</f>
        <v/>
      </c>
      <c r="H1901" s="61" t="str">
        <f>IFERROR(__xludf.DUMMYFUNCTION("INDIRECT(""'收支紀錄'!H""&amp;TO_TEXT(ROW()-$C$72))"),"")</f>
        <v/>
      </c>
      <c r="I1901" s="61" t="str">
        <f>IFERROR(__xludf.DUMMYFUNCTION("INDIRECT(""'收支紀錄'!I""&amp;TO_TEXT(ROW()-$C$72))"),"")</f>
        <v/>
      </c>
      <c r="J1901" s="61" t="str">
        <f>IFERROR(__xludf.DUMMYFUNCTION("INDIRECT(""'收支紀錄'!J""&amp;TO_TEXT(ROW()-$C$72))"),"")</f>
        <v/>
      </c>
      <c r="K1901" s="61" t="str">
        <f>IFERROR(__xludf.DUMMYFUNCTION("INDIRECT(""'收支紀錄'!K""&amp;TO_TEXT(ROW()-$C$72))"),"")</f>
        <v/>
      </c>
      <c r="L1901" s="61" t="str">
        <f>IFERROR(__xludf.DUMMYFUNCTION("INDIRECT(""'收支紀錄'!L""&amp;TO_TEXT(ROW()-$C$72))"),"")</f>
        <v/>
      </c>
      <c r="M1901" s="61" t="str">
        <f>IFERROR(__xludf.DUMMYFUNCTION("INDIRECT(""'收支紀錄'!M""&amp;TO_TEXT(ROW()-$C$72))"),"")</f>
        <v/>
      </c>
      <c r="N1901" s="61" t="str">
        <f>IFERROR(__xludf.DUMMYFUNCTION("INDIRECT(""'收支紀錄'!N""&amp;TO_TEXT(ROW()-$C$72))"),"")</f>
        <v/>
      </c>
      <c r="O1901" s="61" t="str">
        <f>IFERROR(__xludf.DUMMYFUNCTION("INDIRECT(""'收支紀錄'!O""&amp;TO_TEXT(ROW()-$C$72))"),"")</f>
        <v/>
      </c>
      <c r="P1901" s="61" t="str">
        <f>IFERROR(__xludf.DUMMYFUNCTION("INDIRECT(""'收支紀錄'!P""&amp;TO_TEXT(ROW()-$C$72))"),"")</f>
        <v/>
      </c>
      <c r="Q1901" s="61" t="str">
        <f>IFERROR(__xludf.DUMMYFUNCTION("INDIRECT(""'收支紀錄'!Q""&amp;TO_TEXT(ROW()-$C$72))"),"")</f>
        <v/>
      </c>
      <c r="R1901" s="61" t="str">
        <f>IFERROR(__xludf.DUMMYFUNCTION("INDIRECT(""'收支紀錄'!R""&amp;TO_TEXT(ROW()-$C$72))"),"")</f>
        <v/>
      </c>
      <c r="S1901" s="61" t="str">
        <f>IFERROR(__xludf.DUMMYFUNCTION("INDIRECT(""'收支紀錄'!S""&amp;TO_TEXT(ROW()-$C$72))"),"")</f>
        <v/>
      </c>
      <c r="T1901" s="61" t="str">
        <f>IFERROR(__xludf.DUMMYFUNCTION("INDIRECT(""'收支紀錄'!T""&amp;TO_TEXT(ROW()-$C$72))"),"")</f>
        <v/>
      </c>
      <c r="U1901" s="62" t="str">
        <f>IFERROR(__xludf.DUMMYFUNCTION("IF(T1901=""是"",TEXTJOIN("""", TRUE, ""$"", TO_TEXT(C1901), S1901),"""")"),"")</f>
        <v/>
      </c>
    </row>
    <row r="1902">
      <c r="A1902" s="58" t="str">
        <f>IFERROR(__xludf.DUMMYFUNCTION("INDIRECT(""'收支紀錄'!A""&amp;TO_TEXT(ROW()-$C$72))"),"")</f>
        <v/>
      </c>
      <c r="B1902" s="59" t="str">
        <f>IFERROR(__xludf.DUMMYFUNCTION("IF(ISBLANK(D1902), """", IF(ISDATE(D1902), D1902, IF(D1902=""今天"", A1902, IF(D1902=""昨天 (-1 day)"", A1902-1, IF(D1902=""前天 (-2 days)"", A1902-2, IF(D1902=""明天 (+1 day)"", A1902+1, DATE(LEFT(D1902,4), MID(D1902,5,2), RIGHT(D1902,2))))))))"),"")</f>
        <v/>
      </c>
      <c r="C1902" s="60" t="str">
        <f>IFERROR(__xludf.DUMMYFUNCTION("INDIRECT(""'收支紀錄'!C""&amp;TO_TEXT(ROW()-$C$72))"),"")</f>
        <v/>
      </c>
      <c r="D1902" s="63" t="str">
        <f>IFERROR(__xludf.DUMMYFUNCTION("INDIRECT(""'收支紀錄'!D""&amp;TO_TEXT(ROW()-$C$72))"),"")</f>
        <v/>
      </c>
      <c r="E1902" s="61" t="str">
        <f>IFERROR(__xludf.DUMMYFUNCTION("INDIRECT(""'收支紀錄'!E""&amp;TO_TEXT(ROW()-$C$72))"),"")</f>
        <v/>
      </c>
      <c r="F1902" s="61" t="str">
        <f>IFERROR(__xludf.DUMMYFUNCTION("INDIRECT(""'收支紀錄'!F""&amp;TO_TEXT(ROW()-$C$72))"),"")</f>
        <v/>
      </c>
      <c r="G1902" s="61" t="str">
        <f>IFERROR(__xludf.DUMMYFUNCTION("INDIRECT(""'收支紀錄'!G""&amp;TO_TEXT(ROW()-$C$72))"),"")</f>
        <v/>
      </c>
      <c r="H1902" s="61" t="str">
        <f>IFERROR(__xludf.DUMMYFUNCTION("INDIRECT(""'收支紀錄'!H""&amp;TO_TEXT(ROW()-$C$72))"),"")</f>
        <v/>
      </c>
      <c r="I1902" s="61" t="str">
        <f>IFERROR(__xludf.DUMMYFUNCTION("INDIRECT(""'收支紀錄'!I""&amp;TO_TEXT(ROW()-$C$72))"),"")</f>
        <v/>
      </c>
      <c r="J1902" s="61" t="str">
        <f>IFERROR(__xludf.DUMMYFUNCTION("INDIRECT(""'收支紀錄'!J""&amp;TO_TEXT(ROW()-$C$72))"),"")</f>
        <v/>
      </c>
      <c r="K1902" s="61" t="str">
        <f>IFERROR(__xludf.DUMMYFUNCTION("INDIRECT(""'收支紀錄'!K""&amp;TO_TEXT(ROW()-$C$72))"),"")</f>
        <v/>
      </c>
      <c r="L1902" s="61" t="str">
        <f>IFERROR(__xludf.DUMMYFUNCTION("INDIRECT(""'收支紀錄'!L""&amp;TO_TEXT(ROW()-$C$72))"),"")</f>
        <v/>
      </c>
      <c r="M1902" s="61" t="str">
        <f>IFERROR(__xludf.DUMMYFUNCTION("INDIRECT(""'收支紀錄'!M""&amp;TO_TEXT(ROW()-$C$72))"),"")</f>
        <v/>
      </c>
      <c r="N1902" s="61" t="str">
        <f>IFERROR(__xludf.DUMMYFUNCTION("INDIRECT(""'收支紀錄'!N""&amp;TO_TEXT(ROW()-$C$72))"),"")</f>
        <v/>
      </c>
      <c r="O1902" s="61" t="str">
        <f>IFERROR(__xludf.DUMMYFUNCTION("INDIRECT(""'收支紀錄'!O""&amp;TO_TEXT(ROW()-$C$72))"),"")</f>
        <v/>
      </c>
      <c r="P1902" s="61" t="str">
        <f>IFERROR(__xludf.DUMMYFUNCTION("INDIRECT(""'收支紀錄'!P""&amp;TO_TEXT(ROW()-$C$72))"),"")</f>
        <v/>
      </c>
      <c r="Q1902" s="61" t="str">
        <f>IFERROR(__xludf.DUMMYFUNCTION("INDIRECT(""'收支紀錄'!Q""&amp;TO_TEXT(ROW()-$C$72))"),"")</f>
        <v/>
      </c>
      <c r="R1902" s="61" t="str">
        <f>IFERROR(__xludf.DUMMYFUNCTION("INDIRECT(""'收支紀錄'!R""&amp;TO_TEXT(ROW()-$C$72))"),"")</f>
        <v/>
      </c>
      <c r="S1902" s="61" t="str">
        <f>IFERROR(__xludf.DUMMYFUNCTION("INDIRECT(""'收支紀錄'!S""&amp;TO_TEXT(ROW()-$C$72))"),"")</f>
        <v/>
      </c>
      <c r="T1902" s="61" t="str">
        <f>IFERROR(__xludf.DUMMYFUNCTION("INDIRECT(""'收支紀錄'!T""&amp;TO_TEXT(ROW()-$C$72))"),"")</f>
        <v/>
      </c>
      <c r="U1902" s="62" t="str">
        <f>IFERROR(__xludf.DUMMYFUNCTION("IF(T1902=""是"",TEXTJOIN("""", TRUE, ""$"", TO_TEXT(C1902), S1902),"""")"),"")</f>
        <v/>
      </c>
    </row>
    <row r="1903">
      <c r="A1903" s="58" t="str">
        <f>IFERROR(__xludf.DUMMYFUNCTION("INDIRECT(""'收支紀錄'!A""&amp;TO_TEXT(ROW()-$C$72))"),"")</f>
        <v/>
      </c>
      <c r="B1903" s="59" t="str">
        <f>IFERROR(__xludf.DUMMYFUNCTION("IF(ISBLANK(D1903), """", IF(ISDATE(D1903), D1903, IF(D1903=""今天"", A1903, IF(D1903=""昨天 (-1 day)"", A1903-1, IF(D1903=""前天 (-2 days)"", A1903-2, IF(D1903=""明天 (+1 day)"", A1903+1, DATE(LEFT(D1903,4), MID(D1903,5,2), RIGHT(D1903,2))))))))"),"")</f>
        <v/>
      </c>
      <c r="C1903" s="60" t="str">
        <f>IFERROR(__xludf.DUMMYFUNCTION("INDIRECT(""'收支紀錄'!C""&amp;TO_TEXT(ROW()-$C$72))"),"")</f>
        <v/>
      </c>
      <c r="D1903" s="63" t="str">
        <f>IFERROR(__xludf.DUMMYFUNCTION("INDIRECT(""'收支紀錄'!D""&amp;TO_TEXT(ROW()-$C$72))"),"")</f>
        <v/>
      </c>
      <c r="E1903" s="61" t="str">
        <f>IFERROR(__xludf.DUMMYFUNCTION("INDIRECT(""'收支紀錄'!E""&amp;TO_TEXT(ROW()-$C$72))"),"")</f>
        <v/>
      </c>
      <c r="F1903" s="61" t="str">
        <f>IFERROR(__xludf.DUMMYFUNCTION("INDIRECT(""'收支紀錄'!F""&amp;TO_TEXT(ROW()-$C$72))"),"")</f>
        <v/>
      </c>
      <c r="G1903" s="61" t="str">
        <f>IFERROR(__xludf.DUMMYFUNCTION("INDIRECT(""'收支紀錄'!G""&amp;TO_TEXT(ROW()-$C$72))"),"")</f>
        <v/>
      </c>
      <c r="H1903" s="61" t="str">
        <f>IFERROR(__xludf.DUMMYFUNCTION("INDIRECT(""'收支紀錄'!H""&amp;TO_TEXT(ROW()-$C$72))"),"")</f>
        <v/>
      </c>
      <c r="I1903" s="61" t="str">
        <f>IFERROR(__xludf.DUMMYFUNCTION("INDIRECT(""'收支紀錄'!I""&amp;TO_TEXT(ROW()-$C$72))"),"")</f>
        <v/>
      </c>
      <c r="J1903" s="61" t="str">
        <f>IFERROR(__xludf.DUMMYFUNCTION("INDIRECT(""'收支紀錄'!J""&amp;TO_TEXT(ROW()-$C$72))"),"")</f>
        <v/>
      </c>
      <c r="K1903" s="61" t="str">
        <f>IFERROR(__xludf.DUMMYFUNCTION("INDIRECT(""'收支紀錄'!K""&amp;TO_TEXT(ROW()-$C$72))"),"")</f>
        <v/>
      </c>
      <c r="L1903" s="61" t="str">
        <f>IFERROR(__xludf.DUMMYFUNCTION("INDIRECT(""'收支紀錄'!L""&amp;TO_TEXT(ROW()-$C$72))"),"")</f>
        <v/>
      </c>
      <c r="M1903" s="61" t="str">
        <f>IFERROR(__xludf.DUMMYFUNCTION("INDIRECT(""'收支紀錄'!M""&amp;TO_TEXT(ROW()-$C$72))"),"")</f>
        <v/>
      </c>
      <c r="N1903" s="61" t="str">
        <f>IFERROR(__xludf.DUMMYFUNCTION("INDIRECT(""'收支紀錄'!N""&amp;TO_TEXT(ROW()-$C$72))"),"")</f>
        <v/>
      </c>
      <c r="O1903" s="61" t="str">
        <f>IFERROR(__xludf.DUMMYFUNCTION("INDIRECT(""'收支紀錄'!O""&amp;TO_TEXT(ROW()-$C$72))"),"")</f>
        <v/>
      </c>
      <c r="P1903" s="61" t="str">
        <f>IFERROR(__xludf.DUMMYFUNCTION("INDIRECT(""'收支紀錄'!P""&amp;TO_TEXT(ROW()-$C$72))"),"")</f>
        <v/>
      </c>
      <c r="Q1903" s="61" t="str">
        <f>IFERROR(__xludf.DUMMYFUNCTION("INDIRECT(""'收支紀錄'!Q""&amp;TO_TEXT(ROW()-$C$72))"),"")</f>
        <v/>
      </c>
      <c r="R1903" s="61" t="str">
        <f>IFERROR(__xludf.DUMMYFUNCTION("INDIRECT(""'收支紀錄'!R""&amp;TO_TEXT(ROW()-$C$72))"),"")</f>
        <v/>
      </c>
      <c r="S1903" s="61" t="str">
        <f>IFERROR(__xludf.DUMMYFUNCTION("INDIRECT(""'收支紀錄'!S""&amp;TO_TEXT(ROW()-$C$72))"),"")</f>
        <v/>
      </c>
      <c r="T1903" s="61" t="str">
        <f>IFERROR(__xludf.DUMMYFUNCTION("INDIRECT(""'收支紀錄'!T""&amp;TO_TEXT(ROW()-$C$72))"),"")</f>
        <v/>
      </c>
      <c r="U1903" s="62" t="str">
        <f>IFERROR(__xludf.DUMMYFUNCTION("IF(T1903=""是"",TEXTJOIN("""", TRUE, ""$"", TO_TEXT(C1903), S1903),"""")"),"")</f>
        <v/>
      </c>
    </row>
    <row r="1904">
      <c r="A1904" s="58" t="str">
        <f>IFERROR(__xludf.DUMMYFUNCTION("INDIRECT(""'收支紀錄'!A""&amp;TO_TEXT(ROW()-$C$72))"),"")</f>
        <v/>
      </c>
      <c r="B1904" s="59" t="str">
        <f>IFERROR(__xludf.DUMMYFUNCTION("IF(ISBLANK(D1904), """", IF(ISDATE(D1904), D1904, IF(D1904=""今天"", A1904, IF(D1904=""昨天 (-1 day)"", A1904-1, IF(D1904=""前天 (-2 days)"", A1904-2, IF(D1904=""明天 (+1 day)"", A1904+1, DATE(LEFT(D1904,4), MID(D1904,5,2), RIGHT(D1904,2))))))))"),"")</f>
        <v/>
      </c>
      <c r="C1904" s="60" t="str">
        <f>IFERROR(__xludf.DUMMYFUNCTION("INDIRECT(""'收支紀錄'!C""&amp;TO_TEXT(ROW()-$C$72))"),"")</f>
        <v/>
      </c>
      <c r="D1904" s="63" t="str">
        <f>IFERROR(__xludf.DUMMYFUNCTION("INDIRECT(""'收支紀錄'!D""&amp;TO_TEXT(ROW()-$C$72))"),"")</f>
        <v/>
      </c>
      <c r="E1904" s="61" t="str">
        <f>IFERROR(__xludf.DUMMYFUNCTION("INDIRECT(""'收支紀錄'!E""&amp;TO_TEXT(ROW()-$C$72))"),"")</f>
        <v/>
      </c>
      <c r="F1904" s="61" t="str">
        <f>IFERROR(__xludf.DUMMYFUNCTION("INDIRECT(""'收支紀錄'!F""&amp;TO_TEXT(ROW()-$C$72))"),"")</f>
        <v/>
      </c>
      <c r="G1904" s="61" t="str">
        <f>IFERROR(__xludf.DUMMYFUNCTION("INDIRECT(""'收支紀錄'!G""&amp;TO_TEXT(ROW()-$C$72))"),"")</f>
        <v/>
      </c>
      <c r="H1904" s="61" t="str">
        <f>IFERROR(__xludf.DUMMYFUNCTION("INDIRECT(""'收支紀錄'!H""&amp;TO_TEXT(ROW()-$C$72))"),"")</f>
        <v/>
      </c>
      <c r="I1904" s="61" t="str">
        <f>IFERROR(__xludf.DUMMYFUNCTION("INDIRECT(""'收支紀錄'!I""&amp;TO_TEXT(ROW()-$C$72))"),"")</f>
        <v/>
      </c>
      <c r="J1904" s="61" t="str">
        <f>IFERROR(__xludf.DUMMYFUNCTION("INDIRECT(""'收支紀錄'!J""&amp;TO_TEXT(ROW()-$C$72))"),"")</f>
        <v/>
      </c>
      <c r="K1904" s="61" t="str">
        <f>IFERROR(__xludf.DUMMYFUNCTION("INDIRECT(""'收支紀錄'!K""&amp;TO_TEXT(ROW()-$C$72))"),"")</f>
        <v/>
      </c>
      <c r="L1904" s="61" t="str">
        <f>IFERROR(__xludf.DUMMYFUNCTION("INDIRECT(""'收支紀錄'!L""&amp;TO_TEXT(ROW()-$C$72))"),"")</f>
        <v/>
      </c>
      <c r="M1904" s="61" t="str">
        <f>IFERROR(__xludf.DUMMYFUNCTION("INDIRECT(""'收支紀錄'!M""&amp;TO_TEXT(ROW()-$C$72))"),"")</f>
        <v/>
      </c>
      <c r="N1904" s="61" t="str">
        <f>IFERROR(__xludf.DUMMYFUNCTION("INDIRECT(""'收支紀錄'!N""&amp;TO_TEXT(ROW()-$C$72))"),"")</f>
        <v/>
      </c>
      <c r="O1904" s="61" t="str">
        <f>IFERROR(__xludf.DUMMYFUNCTION("INDIRECT(""'收支紀錄'!O""&amp;TO_TEXT(ROW()-$C$72))"),"")</f>
        <v/>
      </c>
      <c r="P1904" s="61" t="str">
        <f>IFERROR(__xludf.DUMMYFUNCTION("INDIRECT(""'收支紀錄'!P""&amp;TO_TEXT(ROW()-$C$72))"),"")</f>
        <v/>
      </c>
      <c r="Q1904" s="61" t="str">
        <f>IFERROR(__xludf.DUMMYFUNCTION("INDIRECT(""'收支紀錄'!Q""&amp;TO_TEXT(ROW()-$C$72))"),"")</f>
        <v/>
      </c>
      <c r="R1904" s="61" t="str">
        <f>IFERROR(__xludf.DUMMYFUNCTION("INDIRECT(""'收支紀錄'!R""&amp;TO_TEXT(ROW()-$C$72))"),"")</f>
        <v/>
      </c>
      <c r="S1904" s="61" t="str">
        <f>IFERROR(__xludf.DUMMYFUNCTION("INDIRECT(""'收支紀錄'!S""&amp;TO_TEXT(ROW()-$C$72))"),"")</f>
        <v/>
      </c>
      <c r="T1904" s="61" t="str">
        <f>IFERROR(__xludf.DUMMYFUNCTION("INDIRECT(""'收支紀錄'!T""&amp;TO_TEXT(ROW()-$C$72))"),"")</f>
        <v/>
      </c>
      <c r="U1904" s="62" t="str">
        <f>IFERROR(__xludf.DUMMYFUNCTION("IF(T1904=""是"",TEXTJOIN("""", TRUE, ""$"", TO_TEXT(C1904), S1904),"""")"),"")</f>
        <v/>
      </c>
    </row>
    <row r="1905">
      <c r="A1905" s="58" t="str">
        <f>IFERROR(__xludf.DUMMYFUNCTION("INDIRECT(""'收支紀錄'!A""&amp;TO_TEXT(ROW()-$C$72))"),"")</f>
        <v/>
      </c>
      <c r="B1905" s="59" t="str">
        <f>IFERROR(__xludf.DUMMYFUNCTION("IF(ISBLANK(D1905), """", IF(ISDATE(D1905), D1905, IF(D1905=""今天"", A1905, IF(D1905=""昨天 (-1 day)"", A1905-1, IF(D1905=""前天 (-2 days)"", A1905-2, IF(D1905=""明天 (+1 day)"", A1905+1, DATE(LEFT(D1905,4), MID(D1905,5,2), RIGHT(D1905,2))))))))"),"")</f>
        <v/>
      </c>
      <c r="C1905" s="60" t="str">
        <f>IFERROR(__xludf.DUMMYFUNCTION("INDIRECT(""'收支紀錄'!C""&amp;TO_TEXT(ROW()-$C$72))"),"")</f>
        <v/>
      </c>
      <c r="D1905" s="63" t="str">
        <f>IFERROR(__xludf.DUMMYFUNCTION("INDIRECT(""'收支紀錄'!D""&amp;TO_TEXT(ROW()-$C$72))"),"")</f>
        <v/>
      </c>
      <c r="E1905" s="61" t="str">
        <f>IFERROR(__xludf.DUMMYFUNCTION("INDIRECT(""'收支紀錄'!E""&amp;TO_TEXT(ROW()-$C$72))"),"")</f>
        <v/>
      </c>
      <c r="F1905" s="61" t="str">
        <f>IFERROR(__xludf.DUMMYFUNCTION("INDIRECT(""'收支紀錄'!F""&amp;TO_TEXT(ROW()-$C$72))"),"")</f>
        <v/>
      </c>
      <c r="G1905" s="61" t="str">
        <f>IFERROR(__xludf.DUMMYFUNCTION("INDIRECT(""'收支紀錄'!G""&amp;TO_TEXT(ROW()-$C$72))"),"")</f>
        <v/>
      </c>
      <c r="H1905" s="61" t="str">
        <f>IFERROR(__xludf.DUMMYFUNCTION("INDIRECT(""'收支紀錄'!H""&amp;TO_TEXT(ROW()-$C$72))"),"")</f>
        <v/>
      </c>
      <c r="I1905" s="61" t="str">
        <f>IFERROR(__xludf.DUMMYFUNCTION("INDIRECT(""'收支紀錄'!I""&amp;TO_TEXT(ROW()-$C$72))"),"")</f>
        <v/>
      </c>
      <c r="J1905" s="61" t="str">
        <f>IFERROR(__xludf.DUMMYFUNCTION("INDIRECT(""'收支紀錄'!J""&amp;TO_TEXT(ROW()-$C$72))"),"")</f>
        <v/>
      </c>
      <c r="K1905" s="61" t="str">
        <f>IFERROR(__xludf.DUMMYFUNCTION("INDIRECT(""'收支紀錄'!K""&amp;TO_TEXT(ROW()-$C$72))"),"")</f>
        <v/>
      </c>
      <c r="L1905" s="61" t="str">
        <f>IFERROR(__xludf.DUMMYFUNCTION("INDIRECT(""'收支紀錄'!L""&amp;TO_TEXT(ROW()-$C$72))"),"")</f>
        <v/>
      </c>
      <c r="M1905" s="61" t="str">
        <f>IFERROR(__xludf.DUMMYFUNCTION("INDIRECT(""'收支紀錄'!M""&amp;TO_TEXT(ROW()-$C$72))"),"")</f>
        <v/>
      </c>
      <c r="N1905" s="61" t="str">
        <f>IFERROR(__xludf.DUMMYFUNCTION("INDIRECT(""'收支紀錄'!N""&amp;TO_TEXT(ROW()-$C$72))"),"")</f>
        <v/>
      </c>
      <c r="O1905" s="61" t="str">
        <f>IFERROR(__xludf.DUMMYFUNCTION("INDIRECT(""'收支紀錄'!O""&amp;TO_TEXT(ROW()-$C$72))"),"")</f>
        <v/>
      </c>
      <c r="P1905" s="61" t="str">
        <f>IFERROR(__xludf.DUMMYFUNCTION("INDIRECT(""'收支紀錄'!P""&amp;TO_TEXT(ROW()-$C$72))"),"")</f>
        <v/>
      </c>
      <c r="Q1905" s="61" t="str">
        <f>IFERROR(__xludf.DUMMYFUNCTION("INDIRECT(""'收支紀錄'!Q""&amp;TO_TEXT(ROW()-$C$72))"),"")</f>
        <v/>
      </c>
      <c r="R1905" s="61" t="str">
        <f>IFERROR(__xludf.DUMMYFUNCTION("INDIRECT(""'收支紀錄'!R""&amp;TO_TEXT(ROW()-$C$72))"),"")</f>
        <v/>
      </c>
      <c r="S1905" s="61" t="str">
        <f>IFERROR(__xludf.DUMMYFUNCTION("INDIRECT(""'收支紀錄'!S""&amp;TO_TEXT(ROW()-$C$72))"),"")</f>
        <v/>
      </c>
      <c r="T1905" s="61" t="str">
        <f>IFERROR(__xludf.DUMMYFUNCTION("INDIRECT(""'收支紀錄'!T""&amp;TO_TEXT(ROW()-$C$72))"),"")</f>
        <v/>
      </c>
      <c r="U1905" s="62" t="str">
        <f>IFERROR(__xludf.DUMMYFUNCTION("IF(T1905=""是"",TEXTJOIN("""", TRUE, ""$"", TO_TEXT(C1905), S1905),"""")"),"")</f>
        <v/>
      </c>
    </row>
    <row r="1906">
      <c r="A1906" s="58" t="str">
        <f>IFERROR(__xludf.DUMMYFUNCTION("INDIRECT(""'收支紀錄'!A""&amp;TO_TEXT(ROW()-$C$72))"),"")</f>
        <v/>
      </c>
      <c r="B1906" s="59" t="str">
        <f>IFERROR(__xludf.DUMMYFUNCTION("IF(ISBLANK(D1906), """", IF(ISDATE(D1906), D1906, IF(D1906=""今天"", A1906, IF(D1906=""昨天 (-1 day)"", A1906-1, IF(D1906=""前天 (-2 days)"", A1906-2, IF(D1906=""明天 (+1 day)"", A1906+1, DATE(LEFT(D1906,4), MID(D1906,5,2), RIGHT(D1906,2))))))))"),"")</f>
        <v/>
      </c>
      <c r="C1906" s="60" t="str">
        <f>IFERROR(__xludf.DUMMYFUNCTION("INDIRECT(""'收支紀錄'!C""&amp;TO_TEXT(ROW()-$C$72))"),"")</f>
        <v/>
      </c>
      <c r="D1906" s="63" t="str">
        <f>IFERROR(__xludf.DUMMYFUNCTION("INDIRECT(""'收支紀錄'!D""&amp;TO_TEXT(ROW()-$C$72))"),"")</f>
        <v/>
      </c>
      <c r="E1906" s="61" t="str">
        <f>IFERROR(__xludf.DUMMYFUNCTION("INDIRECT(""'收支紀錄'!E""&amp;TO_TEXT(ROW()-$C$72))"),"")</f>
        <v/>
      </c>
      <c r="F1906" s="61" t="str">
        <f>IFERROR(__xludf.DUMMYFUNCTION("INDIRECT(""'收支紀錄'!F""&amp;TO_TEXT(ROW()-$C$72))"),"")</f>
        <v/>
      </c>
      <c r="G1906" s="61" t="str">
        <f>IFERROR(__xludf.DUMMYFUNCTION("INDIRECT(""'收支紀錄'!G""&amp;TO_TEXT(ROW()-$C$72))"),"")</f>
        <v/>
      </c>
      <c r="H1906" s="61" t="str">
        <f>IFERROR(__xludf.DUMMYFUNCTION("INDIRECT(""'收支紀錄'!H""&amp;TO_TEXT(ROW()-$C$72))"),"")</f>
        <v/>
      </c>
      <c r="I1906" s="61" t="str">
        <f>IFERROR(__xludf.DUMMYFUNCTION("INDIRECT(""'收支紀錄'!I""&amp;TO_TEXT(ROW()-$C$72))"),"")</f>
        <v/>
      </c>
      <c r="J1906" s="61" t="str">
        <f>IFERROR(__xludf.DUMMYFUNCTION("INDIRECT(""'收支紀錄'!J""&amp;TO_TEXT(ROW()-$C$72))"),"")</f>
        <v/>
      </c>
      <c r="K1906" s="61" t="str">
        <f>IFERROR(__xludf.DUMMYFUNCTION("INDIRECT(""'收支紀錄'!K""&amp;TO_TEXT(ROW()-$C$72))"),"")</f>
        <v/>
      </c>
      <c r="L1906" s="61" t="str">
        <f>IFERROR(__xludf.DUMMYFUNCTION("INDIRECT(""'收支紀錄'!L""&amp;TO_TEXT(ROW()-$C$72))"),"")</f>
        <v/>
      </c>
      <c r="M1906" s="61" t="str">
        <f>IFERROR(__xludf.DUMMYFUNCTION("INDIRECT(""'收支紀錄'!M""&amp;TO_TEXT(ROW()-$C$72))"),"")</f>
        <v/>
      </c>
      <c r="N1906" s="61" t="str">
        <f>IFERROR(__xludf.DUMMYFUNCTION("INDIRECT(""'收支紀錄'!N""&amp;TO_TEXT(ROW()-$C$72))"),"")</f>
        <v/>
      </c>
      <c r="O1906" s="61" t="str">
        <f>IFERROR(__xludf.DUMMYFUNCTION("INDIRECT(""'收支紀錄'!O""&amp;TO_TEXT(ROW()-$C$72))"),"")</f>
        <v/>
      </c>
      <c r="P1906" s="61" t="str">
        <f>IFERROR(__xludf.DUMMYFUNCTION("INDIRECT(""'收支紀錄'!P""&amp;TO_TEXT(ROW()-$C$72))"),"")</f>
        <v/>
      </c>
      <c r="Q1906" s="61" t="str">
        <f>IFERROR(__xludf.DUMMYFUNCTION("INDIRECT(""'收支紀錄'!Q""&amp;TO_TEXT(ROW()-$C$72))"),"")</f>
        <v/>
      </c>
      <c r="R1906" s="61" t="str">
        <f>IFERROR(__xludf.DUMMYFUNCTION("INDIRECT(""'收支紀錄'!R""&amp;TO_TEXT(ROW()-$C$72))"),"")</f>
        <v/>
      </c>
      <c r="S1906" s="61" t="str">
        <f>IFERROR(__xludf.DUMMYFUNCTION("INDIRECT(""'收支紀錄'!S""&amp;TO_TEXT(ROW()-$C$72))"),"")</f>
        <v/>
      </c>
      <c r="T1906" s="61" t="str">
        <f>IFERROR(__xludf.DUMMYFUNCTION("INDIRECT(""'收支紀錄'!T""&amp;TO_TEXT(ROW()-$C$72))"),"")</f>
        <v/>
      </c>
      <c r="U1906" s="62" t="str">
        <f>IFERROR(__xludf.DUMMYFUNCTION("IF(T1906=""是"",TEXTJOIN("""", TRUE, ""$"", TO_TEXT(C1906), S1906),"""")"),"")</f>
        <v/>
      </c>
    </row>
    <row r="1907">
      <c r="A1907" s="58" t="str">
        <f>IFERROR(__xludf.DUMMYFUNCTION("INDIRECT(""'收支紀錄'!A""&amp;TO_TEXT(ROW()-$C$72))"),"")</f>
        <v/>
      </c>
      <c r="B1907" s="59" t="str">
        <f>IFERROR(__xludf.DUMMYFUNCTION("IF(ISBLANK(D1907), """", IF(ISDATE(D1907), D1907, IF(D1907=""今天"", A1907, IF(D1907=""昨天 (-1 day)"", A1907-1, IF(D1907=""前天 (-2 days)"", A1907-2, IF(D1907=""明天 (+1 day)"", A1907+1, DATE(LEFT(D1907,4), MID(D1907,5,2), RIGHT(D1907,2))))))))"),"")</f>
        <v/>
      </c>
      <c r="C1907" s="60" t="str">
        <f>IFERROR(__xludf.DUMMYFUNCTION("INDIRECT(""'收支紀錄'!C""&amp;TO_TEXT(ROW()-$C$72))"),"")</f>
        <v/>
      </c>
      <c r="D1907" s="63" t="str">
        <f>IFERROR(__xludf.DUMMYFUNCTION("INDIRECT(""'收支紀錄'!D""&amp;TO_TEXT(ROW()-$C$72))"),"")</f>
        <v/>
      </c>
      <c r="E1907" s="61" t="str">
        <f>IFERROR(__xludf.DUMMYFUNCTION("INDIRECT(""'收支紀錄'!E""&amp;TO_TEXT(ROW()-$C$72))"),"")</f>
        <v/>
      </c>
      <c r="F1907" s="61" t="str">
        <f>IFERROR(__xludf.DUMMYFUNCTION("INDIRECT(""'收支紀錄'!F""&amp;TO_TEXT(ROW()-$C$72))"),"")</f>
        <v/>
      </c>
      <c r="G1907" s="61" t="str">
        <f>IFERROR(__xludf.DUMMYFUNCTION("INDIRECT(""'收支紀錄'!G""&amp;TO_TEXT(ROW()-$C$72))"),"")</f>
        <v/>
      </c>
      <c r="H1907" s="61" t="str">
        <f>IFERROR(__xludf.DUMMYFUNCTION("INDIRECT(""'收支紀錄'!H""&amp;TO_TEXT(ROW()-$C$72))"),"")</f>
        <v/>
      </c>
      <c r="I1907" s="61" t="str">
        <f>IFERROR(__xludf.DUMMYFUNCTION("INDIRECT(""'收支紀錄'!I""&amp;TO_TEXT(ROW()-$C$72))"),"")</f>
        <v/>
      </c>
      <c r="J1907" s="61" t="str">
        <f>IFERROR(__xludf.DUMMYFUNCTION("INDIRECT(""'收支紀錄'!J""&amp;TO_TEXT(ROW()-$C$72))"),"")</f>
        <v/>
      </c>
      <c r="K1907" s="61" t="str">
        <f>IFERROR(__xludf.DUMMYFUNCTION("INDIRECT(""'收支紀錄'!K""&amp;TO_TEXT(ROW()-$C$72))"),"")</f>
        <v/>
      </c>
      <c r="L1907" s="61" t="str">
        <f>IFERROR(__xludf.DUMMYFUNCTION("INDIRECT(""'收支紀錄'!L""&amp;TO_TEXT(ROW()-$C$72))"),"")</f>
        <v/>
      </c>
      <c r="M1907" s="61" t="str">
        <f>IFERROR(__xludf.DUMMYFUNCTION("INDIRECT(""'收支紀錄'!M""&amp;TO_TEXT(ROW()-$C$72))"),"")</f>
        <v/>
      </c>
      <c r="N1907" s="61" t="str">
        <f>IFERROR(__xludf.DUMMYFUNCTION("INDIRECT(""'收支紀錄'!N""&amp;TO_TEXT(ROW()-$C$72))"),"")</f>
        <v/>
      </c>
      <c r="O1907" s="61" t="str">
        <f>IFERROR(__xludf.DUMMYFUNCTION("INDIRECT(""'收支紀錄'!O""&amp;TO_TEXT(ROW()-$C$72))"),"")</f>
        <v/>
      </c>
      <c r="P1907" s="61" t="str">
        <f>IFERROR(__xludf.DUMMYFUNCTION("INDIRECT(""'收支紀錄'!P""&amp;TO_TEXT(ROW()-$C$72))"),"")</f>
        <v/>
      </c>
      <c r="Q1907" s="61" t="str">
        <f>IFERROR(__xludf.DUMMYFUNCTION("INDIRECT(""'收支紀錄'!Q""&amp;TO_TEXT(ROW()-$C$72))"),"")</f>
        <v/>
      </c>
      <c r="R1907" s="61" t="str">
        <f>IFERROR(__xludf.DUMMYFUNCTION("INDIRECT(""'收支紀錄'!R""&amp;TO_TEXT(ROW()-$C$72))"),"")</f>
        <v/>
      </c>
      <c r="S1907" s="61" t="str">
        <f>IFERROR(__xludf.DUMMYFUNCTION("INDIRECT(""'收支紀錄'!S""&amp;TO_TEXT(ROW()-$C$72))"),"")</f>
        <v/>
      </c>
      <c r="T1907" s="61" t="str">
        <f>IFERROR(__xludf.DUMMYFUNCTION("INDIRECT(""'收支紀錄'!T""&amp;TO_TEXT(ROW()-$C$72))"),"")</f>
        <v/>
      </c>
      <c r="U1907" s="62" t="str">
        <f>IFERROR(__xludf.DUMMYFUNCTION("IF(T1907=""是"",TEXTJOIN("""", TRUE, ""$"", TO_TEXT(C1907), S1907),"""")"),"")</f>
        <v/>
      </c>
    </row>
    <row r="1908">
      <c r="A1908" s="58" t="str">
        <f>IFERROR(__xludf.DUMMYFUNCTION("INDIRECT(""'收支紀錄'!A""&amp;TO_TEXT(ROW()-$C$72))"),"")</f>
        <v/>
      </c>
      <c r="B1908" s="59" t="str">
        <f>IFERROR(__xludf.DUMMYFUNCTION("IF(ISBLANK(D1908), """", IF(ISDATE(D1908), D1908, IF(D1908=""今天"", A1908, IF(D1908=""昨天 (-1 day)"", A1908-1, IF(D1908=""前天 (-2 days)"", A1908-2, IF(D1908=""明天 (+1 day)"", A1908+1, DATE(LEFT(D1908,4), MID(D1908,5,2), RIGHT(D1908,2))))))))"),"")</f>
        <v/>
      </c>
      <c r="C1908" s="60" t="str">
        <f>IFERROR(__xludf.DUMMYFUNCTION("INDIRECT(""'收支紀錄'!C""&amp;TO_TEXT(ROW()-$C$72))"),"")</f>
        <v/>
      </c>
      <c r="D1908" s="63" t="str">
        <f>IFERROR(__xludf.DUMMYFUNCTION("INDIRECT(""'收支紀錄'!D""&amp;TO_TEXT(ROW()-$C$72))"),"")</f>
        <v/>
      </c>
      <c r="E1908" s="61" t="str">
        <f>IFERROR(__xludf.DUMMYFUNCTION("INDIRECT(""'收支紀錄'!E""&amp;TO_TEXT(ROW()-$C$72))"),"")</f>
        <v/>
      </c>
      <c r="F1908" s="61" t="str">
        <f>IFERROR(__xludf.DUMMYFUNCTION("INDIRECT(""'收支紀錄'!F""&amp;TO_TEXT(ROW()-$C$72))"),"")</f>
        <v/>
      </c>
      <c r="G1908" s="61" t="str">
        <f>IFERROR(__xludf.DUMMYFUNCTION("INDIRECT(""'收支紀錄'!G""&amp;TO_TEXT(ROW()-$C$72))"),"")</f>
        <v/>
      </c>
      <c r="H1908" s="61" t="str">
        <f>IFERROR(__xludf.DUMMYFUNCTION("INDIRECT(""'收支紀錄'!H""&amp;TO_TEXT(ROW()-$C$72))"),"")</f>
        <v/>
      </c>
      <c r="I1908" s="61" t="str">
        <f>IFERROR(__xludf.DUMMYFUNCTION("INDIRECT(""'收支紀錄'!I""&amp;TO_TEXT(ROW()-$C$72))"),"")</f>
        <v/>
      </c>
      <c r="J1908" s="61" t="str">
        <f>IFERROR(__xludf.DUMMYFUNCTION("INDIRECT(""'收支紀錄'!J""&amp;TO_TEXT(ROW()-$C$72))"),"")</f>
        <v/>
      </c>
      <c r="K1908" s="61" t="str">
        <f>IFERROR(__xludf.DUMMYFUNCTION("INDIRECT(""'收支紀錄'!K""&amp;TO_TEXT(ROW()-$C$72))"),"")</f>
        <v/>
      </c>
      <c r="L1908" s="61" t="str">
        <f>IFERROR(__xludf.DUMMYFUNCTION("INDIRECT(""'收支紀錄'!L""&amp;TO_TEXT(ROW()-$C$72))"),"")</f>
        <v/>
      </c>
      <c r="M1908" s="61" t="str">
        <f>IFERROR(__xludf.DUMMYFUNCTION("INDIRECT(""'收支紀錄'!M""&amp;TO_TEXT(ROW()-$C$72))"),"")</f>
        <v/>
      </c>
      <c r="N1908" s="61" t="str">
        <f>IFERROR(__xludf.DUMMYFUNCTION("INDIRECT(""'收支紀錄'!N""&amp;TO_TEXT(ROW()-$C$72))"),"")</f>
        <v/>
      </c>
      <c r="O1908" s="61" t="str">
        <f>IFERROR(__xludf.DUMMYFUNCTION("INDIRECT(""'收支紀錄'!O""&amp;TO_TEXT(ROW()-$C$72))"),"")</f>
        <v/>
      </c>
      <c r="P1908" s="61" t="str">
        <f>IFERROR(__xludf.DUMMYFUNCTION("INDIRECT(""'收支紀錄'!P""&amp;TO_TEXT(ROW()-$C$72))"),"")</f>
        <v/>
      </c>
      <c r="Q1908" s="61" t="str">
        <f>IFERROR(__xludf.DUMMYFUNCTION("INDIRECT(""'收支紀錄'!Q""&amp;TO_TEXT(ROW()-$C$72))"),"")</f>
        <v/>
      </c>
      <c r="R1908" s="61" t="str">
        <f>IFERROR(__xludf.DUMMYFUNCTION("INDIRECT(""'收支紀錄'!R""&amp;TO_TEXT(ROW()-$C$72))"),"")</f>
        <v/>
      </c>
      <c r="S1908" s="61" t="str">
        <f>IFERROR(__xludf.DUMMYFUNCTION("INDIRECT(""'收支紀錄'!S""&amp;TO_TEXT(ROW()-$C$72))"),"")</f>
        <v/>
      </c>
      <c r="T1908" s="61" t="str">
        <f>IFERROR(__xludf.DUMMYFUNCTION("INDIRECT(""'收支紀錄'!T""&amp;TO_TEXT(ROW()-$C$72))"),"")</f>
        <v/>
      </c>
      <c r="U1908" s="62" t="str">
        <f>IFERROR(__xludf.DUMMYFUNCTION("IF(T1908=""是"",TEXTJOIN("""", TRUE, ""$"", TO_TEXT(C1908), S1908),"""")"),"")</f>
        <v/>
      </c>
    </row>
    <row r="1909">
      <c r="A1909" s="58" t="str">
        <f>IFERROR(__xludf.DUMMYFUNCTION("INDIRECT(""'收支紀錄'!A""&amp;TO_TEXT(ROW()-$C$72))"),"")</f>
        <v/>
      </c>
      <c r="B1909" s="59" t="str">
        <f>IFERROR(__xludf.DUMMYFUNCTION("IF(ISBLANK(D1909), """", IF(ISDATE(D1909), D1909, IF(D1909=""今天"", A1909, IF(D1909=""昨天 (-1 day)"", A1909-1, IF(D1909=""前天 (-2 days)"", A1909-2, IF(D1909=""明天 (+1 day)"", A1909+1, DATE(LEFT(D1909,4), MID(D1909,5,2), RIGHT(D1909,2))))))))"),"")</f>
        <v/>
      </c>
      <c r="C1909" s="60" t="str">
        <f>IFERROR(__xludf.DUMMYFUNCTION("INDIRECT(""'收支紀錄'!C""&amp;TO_TEXT(ROW()-$C$72))"),"")</f>
        <v/>
      </c>
      <c r="D1909" s="63" t="str">
        <f>IFERROR(__xludf.DUMMYFUNCTION("INDIRECT(""'收支紀錄'!D""&amp;TO_TEXT(ROW()-$C$72))"),"")</f>
        <v/>
      </c>
      <c r="E1909" s="61" t="str">
        <f>IFERROR(__xludf.DUMMYFUNCTION("INDIRECT(""'收支紀錄'!E""&amp;TO_TEXT(ROW()-$C$72))"),"")</f>
        <v/>
      </c>
      <c r="F1909" s="61" t="str">
        <f>IFERROR(__xludf.DUMMYFUNCTION("INDIRECT(""'收支紀錄'!F""&amp;TO_TEXT(ROW()-$C$72))"),"")</f>
        <v/>
      </c>
      <c r="G1909" s="61" t="str">
        <f>IFERROR(__xludf.DUMMYFUNCTION("INDIRECT(""'收支紀錄'!G""&amp;TO_TEXT(ROW()-$C$72))"),"")</f>
        <v/>
      </c>
      <c r="H1909" s="61" t="str">
        <f>IFERROR(__xludf.DUMMYFUNCTION("INDIRECT(""'收支紀錄'!H""&amp;TO_TEXT(ROW()-$C$72))"),"")</f>
        <v/>
      </c>
      <c r="I1909" s="61" t="str">
        <f>IFERROR(__xludf.DUMMYFUNCTION("INDIRECT(""'收支紀錄'!I""&amp;TO_TEXT(ROW()-$C$72))"),"")</f>
        <v/>
      </c>
      <c r="J1909" s="61" t="str">
        <f>IFERROR(__xludf.DUMMYFUNCTION("INDIRECT(""'收支紀錄'!J""&amp;TO_TEXT(ROW()-$C$72))"),"")</f>
        <v/>
      </c>
      <c r="K1909" s="61" t="str">
        <f>IFERROR(__xludf.DUMMYFUNCTION("INDIRECT(""'收支紀錄'!K""&amp;TO_TEXT(ROW()-$C$72))"),"")</f>
        <v/>
      </c>
      <c r="L1909" s="61" t="str">
        <f>IFERROR(__xludf.DUMMYFUNCTION("INDIRECT(""'收支紀錄'!L""&amp;TO_TEXT(ROW()-$C$72))"),"")</f>
        <v/>
      </c>
      <c r="M1909" s="61" t="str">
        <f>IFERROR(__xludf.DUMMYFUNCTION("INDIRECT(""'收支紀錄'!M""&amp;TO_TEXT(ROW()-$C$72))"),"")</f>
        <v/>
      </c>
      <c r="N1909" s="61" t="str">
        <f>IFERROR(__xludf.DUMMYFUNCTION("INDIRECT(""'收支紀錄'!N""&amp;TO_TEXT(ROW()-$C$72))"),"")</f>
        <v/>
      </c>
      <c r="O1909" s="61" t="str">
        <f>IFERROR(__xludf.DUMMYFUNCTION("INDIRECT(""'收支紀錄'!O""&amp;TO_TEXT(ROW()-$C$72))"),"")</f>
        <v/>
      </c>
      <c r="P1909" s="61" t="str">
        <f>IFERROR(__xludf.DUMMYFUNCTION("INDIRECT(""'收支紀錄'!P""&amp;TO_TEXT(ROW()-$C$72))"),"")</f>
        <v/>
      </c>
      <c r="Q1909" s="61" t="str">
        <f>IFERROR(__xludf.DUMMYFUNCTION("INDIRECT(""'收支紀錄'!Q""&amp;TO_TEXT(ROW()-$C$72))"),"")</f>
        <v/>
      </c>
      <c r="R1909" s="61" t="str">
        <f>IFERROR(__xludf.DUMMYFUNCTION("INDIRECT(""'收支紀錄'!R""&amp;TO_TEXT(ROW()-$C$72))"),"")</f>
        <v/>
      </c>
      <c r="S1909" s="61" t="str">
        <f>IFERROR(__xludf.DUMMYFUNCTION("INDIRECT(""'收支紀錄'!S""&amp;TO_TEXT(ROW()-$C$72))"),"")</f>
        <v/>
      </c>
      <c r="T1909" s="61" t="str">
        <f>IFERROR(__xludf.DUMMYFUNCTION("INDIRECT(""'收支紀錄'!T""&amp;TO_TEXT(ROW()-$C$72))"),"")</f>
        <v/>
      </c>
      <c r="U1909" s="62" t="str">
        <f>IFERROR(__xludf.DUMMYFUNCTION("IF(T1909=""是"",TEXTJOIN("""", TRUE, ""$"", TO_TEXT(C1909), S1909),"""")"),"")</f>
        <v/>
      </c>
    </row>
    <row r="1910">
      <c r="A1910" s="58" t="str">
        <f>IFERROR(__xludf.DUMMYFUNCTION("INDIRECT(""'收支紀錄'!A""&amp;TO_TEXT(ROW()-$C$72))"),"")</f>
        <v/>
      </c>
      <c r="B1910" s="59" t="str">
        <f>IFERROR(__xludf.DUMMYFUNCTION("IF(ISBLANK(D1910), """", IF(ISDATE(D1910), D1910, IF(D1910=""今天"", A1910, IF(D1910=""昨天 (-1 day)"", A1910-1, IF(D1910=""前天 (-2 days)"", A1910-2, IF(D1910=""明天 (+1 day)"", A1910+1, DATE(LEFT(D1910,4), MID(D1910,5,2), RIGHT(D1910,2))))))))"),"")</f>
        <v/>
      </c>
      <c r="C1910" s="60" t="str">
        <f>IFERROR(__xludf.DUMMYFUNCTION("INDIRECT(""'收支紀錄'!C""&amp;TO_TEXT(ROW()-$C$72))"),"")</f>
        <v/>
      </c>
      <c r="D1910" s="63" t="str">
        <f>IFERROR(__xludf.DUMMYFUNCTION("INDIRECT(""'收支紀錄'!D""&amp;TO_TEXT(ROW()-$C$72))"),"")</f>
        <v/>
      </c>
      <c r="E1910" s="61" t="str">
        <f>IFERROR(__xludf.DUMMYFUNCTION("INDIRECT(""'收支紀錄'!E""&amp;TO_TEXT(ROW()-$C$72))"),"")</f>
        <v/>
      </c>
      <c r="F1910" s="61" t="str">
        <f>IFERROR(__xludf.DUMMYFUNCTION("INDIRECT(""'收支紀錄'!F""&amp;TO_TEXT(ROW()-$C$72))"),"")</f>
        <v/>
      </c>
      <c r="G1910" s="61" t="str">
        <f>IFERROR(__xludf.DUMMYFUNCTION("INDIRECT(""'收支紀錄'!G""&amp;TO_TEXT(ROW()-$C$72))"),"")</f>
        <v/>
      </c>
      <c r="H1910" s="61" t="str">
        <f>IFERROR(__xludf.DUMMYFUNCTION("INDIRECT(""'收支紀錄'!H""&amp;TO_TEXT(ROW()-$C$72))"),"")</f>
        <v/>
      </c>
      <c r="I1910" s="61" t="str">
        <f>IFERROR(__xludf.DUMMYFUNCTION("INDIRECT(""'收支紀錄'!I""&amp;TO_TEXT(ROW()-$C$72))"),"")</f>
        <v/>
      </c>
      <c r="J1910" s="61" t="str">
        <f>IFERROR(__xludf.DUMMYFUNCTION("INDIRECT(""'收支紀錄'!J""&amp;TO_TEXT(ROW()-$C$72))"),"")</f>
        <v/>
      </c>
      <c r="K1910" s="61" t="str">
        <f>IFERROR(__xludf.DUMMYFUNCTION("INDIRECT(""'收支紀錄'!K""&amp;TO_TEXT(ROW()-$C$72))"),"")</f>
        <v/>
      </c>
      <c r="L1910" s="61" t="str">
        <f>IFERROR(__xludf.DUMMYFUNCTION("INDIRECT(""'收支紀錄'!L""&amp;TO_TEXT(ROW()-$C$72))"),"")</f>
        <v/>
      </c>
      <c r="M1910" s="61" t="str">
        <f>IFERROR(__xludf.DUMMYFUNCTION("INDIRECT(""'收支紀錄'!M""&amp;TO_TEXT(ROW()-$C$72))"),"")</f>
        <v/>
      </c>
      <c r="N1910" s="61" t="str">
        <f>IFERROR(__xludf.DUMMYFUNCTION("INDIRECT(""'收支紀錄'!N""&amp;TO_TEXT(ROW()-$C$72))"),"")</f>
        <v/>
      </c>
      <c r="O1910" s="61" t="str">
        <f>IFERROR(__xludf.DUMMYFUNCTION("INDIRECT(""'收支紀錄'!O""&amp;TO_TEXT(ROW()-$C$72))"),"")</f>
        <v/>
      </c>
      <c r="P1910" s="61" t="str">
        <f>IFERROR(__xludf.DUMMYFUNCTION("INDIRECT(""'收支紀錄'!P""&amp;TO_TEXT(ROW()-$C$72))"),"")</f>
        <v/>
      </c>
      <c r="Q1910" s="61" t="str">
        <f>IFERROR(__xludf.DUMMYFUNCTION("INDIRECT(""'收支紀錄'!Q""&amp;TO_TEXT(ROW()-$C$72))"),"")</f>
        <v/>
      </c>
      <c r="R1910" s="61" t="str">
        <f>IFERROR(__xludf.DUMMYFUNCTION("INDIRECT(""'收支紀錄'!R""&amp;TO_TEXT(ROW()-$C$72))"),"")</f>
        <v/>
      </c>
      <c r="S1910" s="61" t="str">
        <f>IFERROR(__xludf.DUMMYFUNCTION("INDIRECT(""'收支紀錄'!S""&amp;TO_TEXT(ROW()-$C$72))"),"")</f>
        <v/>
      </c>
      <c r="T1910" s="61" t="str">
        <f>IFERROR(__xludf.DUMMYFUNCTION("INDIRECT(""'收支紀錄'!T""&amp;TO_TEXT(ROW()-$C$72))"),"")</f>
        <v/>
      </c>
      <c r="U1910" s="62" t="str">
        <f>IFERROR(__xludf.DUMMYFUNCTION("IF(T1910=""是"",TEXTJOIN("""", TRUE, ""$"", TO_TEXT(C1910), S1910),"""")"),"")</f>
        <v/>
      </c>
    </row>
    <row r="1911">
      <c r="A1911" s="58" t="str">
        <f>IFERROR(__xludf.DUMMYFUNCTION("INDIRECT(""'收支紀錄'!A""&amp;TO_TEXT(ROW()-$C$72))"),"")</f>
        <v/>
      </c>
      <c r="B1911" s="59" t="str">
        <f>IFERROR(__xludf.DUMMYFUNCTION("IF(ISBLANK(D1911), """", IF(ISDATE(D1911), D1911, IF(D1911=""今天"", A1911, IF(D1911=""昨天 (-1 day)"", A1911-1, IF(D1911=""前天 (-2 days)"", A1911-2, IF(D1911=""明天 (+1 day)"", A1911+1, DATE(LEFT(D1911,4), MID(D1911,5,2), RIGHT(D1911,2))))))))"),"")</f>
        <v/>
      </c>
      <c r="C1911" s="60" t="str">
        <f>IFERROR(__xludf.DUMMYFUNCTION("INDIRECT(""'收支紀錄'!C""&amp;TO_TEXT(ROW()-$C$72))"),"")</f>
        <v/>
      </c>
      <c r="D1911" s="63" t="str">
        <f>IFERROR(__xludf.DUMMYFUNCTION("INDIRECT(""'收支紀錄'!D""&amp;TO_TEXT(ROW()-$C$72))"),"")</f>
        <v/>
      </c>
      <c r="E1911" s="61" t="str">
        <f>IFERROR(__xludf.DUMMYFUNCTION("INDIRECT(""'收支紀錄'!E""&amp;TO_TEXT(ROW()-$C$72))"),"")</f>
        <v/>
      </c>
      <c r="F1911" s="61" t="str">
        <f>IFERROR(__xludf.DUMMYFUNCTION("INDIRECT(""'收支紀錄'!F""&amp;TO_TEXT(ROW()-$C$72))"),"")</f>
        <v/>
      </c>
      <c r="G1911" s="61" t="str">
        <f>IFERROR(__xludf.DUMMYFUNCTION("INDIRECT(""'收支紀錄'!G""&amp;TO_TEXT(ROW()-$C$72))"),"")</f>
        <v/>
      </c>
      <c r="H1911" s="61" t="str">
        <f>IFERROR(__xludf.DUMMYFUNCTION("INDIRECT(""'收支紀錄'!H""&amp;TO_TEXT(ROW()-$C$72))"),"")</f>
        <v/>
      </c>
      <c r="I1911" s="61" t="str">
        <f>IFERROR(__xludf.DUMMYFUNCTION("INDIRECT(""'收支紀錄'!I""&amp;TO_TEXT(ROW()-$C$72))"),"")</f>
        <v/>
      </c>
      <c r="J1911" s="61" t="str">
        <f>IFERROR(__xludf.DUMMYFUNCTION("INDIRECT(""'收支紀錄'!J""&amp;TO_TEXT(ROW()-$C$72))"),"")</f>
        <v/>
      </c>
      <c r="K1911" s="61" t="str">
        <f>IFERROR(__xludf.DUMMYFUNCTION("INDIRECT(""'收支紀錄'!K""&amp;TO_TEXT(ROW()-$C$72))"),"")</f>
        <v/>
      </c>
      <c r="L1911" s="61" t="str">
        <f>IFERROR(__xludf.DUMMYFUNCTION("INDIRECT(""'收支紀錄'!L""&amp;TO_TEXT(ROW()-$C$72))"),"")</f>
        <v/>
      </c>
      <c r="M1911" s="61" t="str">
        <f>IFERROR(__xludf.DUMMYFUNCTION("INDIRECT(""'收支紀錄'!M""&amp;TO_TEXT(ROW()-$C$72))"),"")</f>
        <v/>
      </c>
      <c r="N1911" s="61" t="str">
        <f>IFERROR(__xludf.DUMMYFUNCTION("INDIRECT(""'收支紀錄'!N""&amp;TO_TEXT(ROW()-$C$72))"),"")</f>
        <v/>
      </c>
      <c r="O1911" s="61" t="str">
        <f>IFERROR(__xludf.DUMMYFUNCTION("INDIRECT(""'收支紀錄'!O""&amp;TO_TEXT(ROW()-$C$72))"),"")</f>
        <v/>
      </c>
      <c r="P1911" s="61" t="str">
        <f>IFERROR(__xludf.DUMMYFUNCTION("INDIRECT(""'收支紀錄'!P""&amp;TO_TEXT(ROW()-$C$72))"),"")</f>
        <v/>
      </c>
      <c r="Q1911" s="61" t="str">
        <f>IFERROR(__xludf.DUMMYFUNCTION("INDIRECT(""'收支紀錄'!Q""&amp;TO_TEXT(ROW()-$C$72))"),"")</f>
        <v/>
      </c>
      <c r="R1911" s="61" t="str">
        <f>IFERROR(__xludf.DUMMYFUNCTION("INDIRECT(""'收支紀錄'!R""&amp;TO_TEXT(ROW()-$C$72))"),"")</f>
        <v/>
      </c>
      <c r="S1911" s="61" t="str">
        <f>IFERROR(__xludf.DUMMYFUNCTION("INDIRECT(""'收支紀錄'!S""&amp;TO_TEXT(ROW()-$C$72))"),"")</f>
        <v/>
      </c>
      <c r="T1911" s="61" t="str">
        <f>IFERROR(__xludf.DUMMYFUNCTION("INDIRECT(""'收支紀錄'!T""&amp;TO_TEXT(ROW()-$C$72))"),"")</f>
        <v/>
      </c>
      <c r="U1911" s="62" t="str">
        <f>IFERROR(__xludf.DUMMYFUNCTION("IF(T1911=""是"",TEXTJOIN("""", TRUE, ""$"", TO_TEXT(C1911), S1911),"""")"),"")</f>
        <v/>
      </c>
    </row>
    <row r="1912">
      <c r="A1912" s="58" t="str">
        <f>IFERROR(__xludf.DUMMYFUNCTION("INDIRECT(""'收支紀錄'!A""&amp;TO_TEXT(ROW()-$C$72))"),"")</f>
        <v/>
      </c>
      <c r="B1912" s="59" t="str">
        <f>IFERROR(__xludf.DUMMYFUNCTION("IF(ISBLANK(D1912), """", IF(ISDATE(D1912), D1912, IF(D1912=""今天"", A1912, IF(D1912=""昨天 (-1 day)"", A1912-1, IF(D1912=""前天 (-2 days)"", A1912-2, IF(D1912=""明天 (+1 day)"", A1912+1, DATE(LEFT(D1912,4), MID(D1912,5,2), RIGHT(D1912,2))))))))"),"")</f>
        <v/>
      </c>
      <c r="C1912" s="60" t="str">
        <f>IFERROR(__xludf.DUMMYFUNCTION("INDIRECT(""'收支紀錄'!C""&amp;TO_TEXT(ROW()-$C$72))"),"")</f>
        <v/>
      </c>
      <c r="D1912" s="63" t="str">
        <f>IFERROR(__xludf.DUMMYFUNCTION("INDIRECT(""'收支紀錄'!D""&amp;TO_TEXT(ROW()-$C$72))"),"")</f>
        <v/>
      </c>
      <c r="E1912" s="61" t="str">
        <f>IFERROR(__xludf.DUMMYFUNCTION("INDIRECT(""'收支紀錄'!E""&amp;TO_TEXT(ROW()-$C$72))"),"")</f>
        <v/>
      </c>
      <c r="F1912" s="61" t="str">
        <f>IFERROR(__xludf.DUMMYFUNCTION("INDIRECT(""'收支紀錄'!F""&amp;TO_TEXT(ROW()-$C$72))"),"")</f>
        <v/>
      </c>
      <c r="G1912" s="61" t="str">
        <f>IFERROR(__xludf.DUMMYFUNCTION("INDIRECT(""'收支紀錄'!G""&amp;TO_TEXT(ROW()-$C$72))"),"")</f>
        <v/>
      </c>
      <c r="H1912" s="61" t="str">
        <f>IFERROR(__xludf.DUMMYFUNCTION("INDIRECT(""'收支紀錄'!H""&amp;TO_TEXT(ROW()-$C$72))"),"")</f>
        <v/>
      </c>
      <c r="I1912" s="61" t="str">
        <f>IFERROR(__xludf.DUMMYFUNCTION("INDIRECT(""'收支紀錄'!I""&amp;TO_TEXT(ROW()-$C$72))"),"")</f>
        <v/>
      </c>
      <c r="J1912" s="61" t="str">
        <f>IFERROR(__xludf.DUMMYFUNCTION("INDIRECT(""'收支紀錄'!J""&amp;TO_TEXT(ROW()-$C$72))"),"")</f>
        <v/>
      </c>
      <c r="K1912" s="61" t="str">
        <f>IFERROR(__xludf.DUMMYFUNCTION("INDIRECT(""'收支紀錄'!K""&amp;TO_TEXT(ROW()-$C$72))"),"")</f>
        <v/>
      </c>
      <c r="L1912" s="61" t="str">
        <f>IFERROR(__xludf.DUMMYFUNCTION("INDIRECT(""'收支紀錄'!L""&amp;TO_TEXT(ROW()-$C$72))"),"")</f>
        <v/>
      </c>
      <c r="M1912" s="61" t="str">
        <f>IFERROR(__xludf.DUMMYFUNCTION("INDIRECT(""'收支紀錄'!M""&amp;TO_TEXT(ROW()-$C$72))"),"")</f>
        <v/>
      </c>
      <c r="N1912" s="61" t="str">
        <f>IFERROR(__xludf.DUMMYFUNCTION("INDIRECT(""'收支紀錄'!N""&amp;TO_TEXT(ROW()-$C$72))"),"")</f>
        <v/>
      </c>
      <c r="O1912" s="61" t="str">
        <f>IFERROR(__xludf.DUMMYFUNCTION("INDIRECT(""'收支紀錄'!O""&amp;TO_TEXT(ROW()-$C$72))"),"")</f>
        <v/>
      </c>
      <c r="P1912" s="61" t="str">
        <f>IFERROR(__xludf.DUMMYFUNCTION("INDIRECT(""'收支紀錄'!P""&amp;TO_TEXT(ROW()-$C$72))"),"")</f>
        <v/>
      </c>
      <c r="Q1912" s="61" t="str">
        <f>IFERROR(__xludf.DUMMYFUNCTION("INDIRECT(""'收支紀錄'!Q""&amp;TO_TEXT(ROW()-$C$72))"),"")</f>
        <v/>
      </c>
      <c r="R1912" s="61" t="str">
        <f>IFERROR(__xludf.DUMMYFUNCTION("INDIRECT(""'收支紀錄'!R""&amp;TO_TEXT(ROW()-$C$72))"),"")</f>
        <v/>
      </c>
      <c r="S1912" s="61" t="str">
        <f>IFERROR(__xludf.DUMMYFUNCTION("INDIRECT(""'收支紀錄'!S""&amp;TO_TEXT(ROW()-$C$72))"),"")</f>
        <v/>
      </c>
      <c r="T1912" s="61" t="str">
        <f>IFERROR(__xludf.DUMMYFUNCTION("INDIRECT(""'收支紀錄'!T""&amp;TO_TEXT(ROW()-$C$72))"),"")</f>
        <v/>
      </c>
      <c r="U1912" s="62" t="str">
        <f>IFERROR(__xludf.DUMMYFUNCTION("IF(T1912=""是"",TEXTJOIN("""", TRUE, ""$"", TO_TEXT(C1912), S1912),"""")"),"")</f>
        <v/>
      </c>
    </row>
    <row r="1913">
      <c r="A1913" s="58" t="str">
        <f>IFERROR(__xludf.DUMMYFUNCTION("INDIRECT(""'收支紀錄'!A""&amp;TO_TEXT(ROW()-$C$72))"),"")</f>
        <v/>
      </c>
      <c r="B1913" s="59" t="str">
        <f>IFERROR(__xludf.DUMMYFUNCTION("IF(ISBLANK(D1913), """", IF(ISDATE(D1913), D1913, IF(D1913=""今天"", A1913, IF(D1913=""昨天 (-1 day)"", A1913-1, IF(D1913=""前天 (-2 days)"", A1913-2, IF(D1913=""明天 (+1 day)"", A1913+1, DATE(LEFT(D1913,4), MID(D1913,5,2), RIGHT(D1913,2))))))))"),"")</f>
        <v/>
      </c>
      <c r="C1913" s="60" t="str">
        <f>IFERROR(__xludf.DUMMYFUNCTION("INDIRECT(""'收支紀錄'!C""&amp;TO_TEXT(ROW()-$C$72))"),"")</f>
        <v/>
      </c>
      <c r="D1913" s="63" t="str">
        <f>IFERROR(__xludf.DUMMYFUNCTION("INDIRECT(""'收支紀錄'!D""&amp;TO_TEXT(ROW()-$C$72))"),"")</f>
        <v/>
      </c>
      <c r="E1913" s="61" t="str">
        <f>IFERROR(__xludf.DUMMYFUNCTION("INDIRECT(""'收支紀錄'!E""&amp;TO_TEXT(ROW()-$C$72))"),"")</f>
        <v/>
      </c>
      <c r="F1913" s="61" t="str">
        <f>IFERROR(__xludf.DUMMYFUNCTION("INDIRECT(""'收支紀錄'!F""&amp;TO_TEXT(ROW()-$C$72))"),"")</f>
        <v/>
      </c>
      <c r="G1913" s="61" t="str">
        <f>IFERROR(__xludf.DUMMYFUNCTION("INDIRECT(""'收支紀錄'!G""&amp;TO_TEXT(ROW()-$C$72))"),"")</f>
        <v/>
      </c>
      <c r="H1913" s="61" t="str">
        <f>IFERROR(__xludf.DUMMYFUNCTION("INDIRECT(""'收支紀錄'!H""&amp;TO_TEXT(ROW()-$C$72))"),"")</f>
        <v/>
      </c>
      <c r="I1913" s="61" t="str">
        <f>IFERROR(__xludf.DUMMYFUNCTION("INDIRECT(""'收支紀錄'!I""&amp;TO_TEXT(ROW()-$C$72))"),"")</f>
        <v/>
      </c>
      <c r="J1913" s="61" t="str">
        <f>IFERROR(__xludf.DUMMYFUNCTION("INDIRECT(""'收支紀錄'!J""&amp;TO_TEXT(ROW()-$C$72))"),"")</f>
        <v/>
      </c>
      <c r="K1913" s="61" t="str">
        <f>IFERROR(__xludf.DUMMYFUNCTION("INDIRECT(""'收支紀錄'!K""&amp;TO_TEXT(ROW()-$C$72))"),"")</f>
        <v/>
      </c>
      <c r="L1913" s="61" t="str">
        <f>IFERROR(__xludf.DUMMYFUNCTION("INDIRECT(""'收支紀錄'!L""&amp;TO_TEXT(ROW()-$C$72))"),"")</f>
        <v/>
      </c>
      <c r="M1913" s="61" t="str">
        <f>IFERROR(__xludf.DUMMYFUNCTION("INDIRECT(""'收支紀錄'!M""&amp;TO_TEXT(ROW()-$C$72))"),"")</f>
        <v/>
      </c>
      <c r="N1913" s="61" t="str">
        <f>IFERROR(__xludf.DUMMYFUNCTION("INDIRECT(""'收支紀錄'!N""&amp;TO_TEXT(ROW()-$C$72))"),"")</f>
        <v/>
      </c>
      <c r="O1913" s="61" t="str">
        <f>IFERROR(__xludf.DUMMYFUNCTION("INDIRECT(""'收支紀錄'!O""&amp;TO_TEXT(ROW()-$C$72))"),"")</f>
        <v/>
      </c>
      <c r="P1913" s="61" t="str">
        <f>IFERROR(__xludf.DUMMYFUNCTION("INDIRECT(""'收支紀錄'!P""&amp;TO_TEXT(ROW()-$C$72))"),"")</f>
        <v/>
      </c>
      <c r="Q1913" s="61" t="str">
        <f>IFERROR(__xludf.DUMMYFUNCTION("INDIRECT(""'收支紀錄'!Q""&amp;TO_TEXT(ROW()-$C$72))"),"")</f>
        <v/>
      </c>
      <c r="R1913" s="61" t="str">
        <f>IFERROR(__xludf.DUMMYFUNCTION("INDIRECT(""'收支紀錄'!R""&amp;TO_TEXT(ROW()-$C$72))"),"")</f>
        <v/>
      </c>
      <c r="S1913" s="61" t="str">
        <f>IFERROR(__xludf.DUMMYFUNCTION("INDIRECT(""'收支紀錄'!S""&amp;TO_TEXT(ROW()-$C$72))"),"")</f>
        <v/>
      </c>
      <c r="T1913" s="61" t="str">
        <f>IFERROR(__xludf.DUMMYFUNCTION("INDIRECT(""'收支紀錄'!T""&amp;TO_TEXT(ROW()-$C$72))"),"")</f>
        <v/>
      </c>
      <c r="U1913" s="62" t="str">
        <f>IFERROR(__xludf.DUMMYFUNCTION("IF(T1913=""是"",TEXTJOIN("""", TRUE, ""$"", TO_TEXT(C1913), S1913),"""")"),"")</f>
        <v/>
      </c>
    </row>
    <row r="1914">
      <c r="A1914" s="58" t="str">
        <f>IFERROR(__xludf.DUMMYFUNCTION("INDIRECT(""'收支紀錄'!A""&amp;TO_TEXT(ROW()-$C$72))"),"")</f>
        <v/>
      </c>
      <c r="B1914" s="59" t="str">
        <f>IFERROR(__xludf.DUMMYFUNCTION("IF(ISBLANK(D1914), """", IF(ISDATE(D1914), D1914, IF(D1914=""今天"", A1914, IF(D1914=""昨天 (-1 day)"", A1914-1, IF(D1914=""前天 (-2 days)"", A1914-2, IF(D1914=""明天 (+1 day)"", A1914+1, DATE(LEFT(D1914,4), MID(D1914,5,2), RIGHT(D1914,2))))))))"),"")</f>
        <v/>
      </c>
      <c r="C1914" s="60" t="str">
        <f>IFERROR(__xludf.DUMMYFUNCTION("INDIRECT(""'收支紀錄'!C""&amp;TO_TEXT(ROW()-$C$72))"),"")</f>
        <v/>
      </c>
      <c r="D1914" s="63" t="str">
        <f>IFERROR(__xludf.DUMMYFUNCTION("INDIRECT(""'收支紀錄'!D""&amp;TO_TEXT(ROW()-$C$72))"),"")</f>
        <v/>
      </c>
      <c r="E1914" s="61" t="str">
        <f>IFERROR(__xludf.DUMMYFUNCTION("INDIRECT(""'收支紀錄'!E""&amp;TO_TEXT(ROW()-$C$72))"),"")</f>
        <v/>
      </c>
      <c r="F1914" s="61" t="str">
        <f>IFERROR(__xludf.DUMMYFUNCTION("INDIRECT(""'收支紀錄'!F""&amp;TO_TEXT(ROW()-$C$72))"),"")</f>
        <v/>
      </c>
      <c r="G1914" s="61" t="str">
        <f>IFERROR(__xludf.DUMMYFUNCTION("INDIRECT(""'收支紀錄'!G""&amp;TO_TEXT(ROW()-$C$72))"),"")</f>
        <v/>
      </c>
      <c r="H1914" s="61" t="str">
        <f>IFERROR(__xludf.DUMMYFUNCTION("INDIRECT(""'收支紀錄'!H""&amp;TO_TEXT(ROW()-$C$72))"),"")</f>
        <v/>
      </c>
      <c r="I1914" s="61" t="str">
        <f>IFERROR(__xludf.DUMMYFUNCTION("INDIRECT(""'收支紀錄'!I""&amp;TO_TEXT(ROW()-$C$72))"),"")</f>
        <v/>
      </c>
      <c r="J1914" s="61" t="str">
        <f>IFERROR(__xludf.DUMMYFUNCTION("INDIRECT(""'收支紀錄'!J""&amp;TO_TEXT(ROW()-$C$72))"),"")</f>
        <v/>
      </c>
      <c r="K1914" s="61" t="str">
        <f>IFERROR(__xludf.DUMMYFUNCTION("INDIRECT(""'收支紀錄'!K""&amp;TO_TEXT(ROW()-$C$72))"),"")</f>
        <v/>
      </c>
      <c r="L1914" s="61" t="str">
        <f>IFERROR(__xludf.DUMMYFUNCTION("INDIRECT(""'收支紀錄'!L""&amp;TO_TEXT(ROW()-$C$72))"),"")</f>
        <v/>
      </c>
      <c r="M1914" s="61" t="str">
        <f>IFERROR(__xludf.DUMMYFUNCTION("INDIRECT(""'收支紀錄'!M""&amp;TO_TEXT(ROW()-$C$72))"),"")</f>
        <v/>
      </c>
      <c r="N1914" s="61" t="str">
        <f>IFERROR(__xludf.DUMMYFUNCTION("INDIRECT(""'收支紀錄'!N""&amp;TO_TEXT(ROW()-$C$72))"),"")</f>
        <v/>
      </c>
      <c r="O1914" s="61" t="str">
        <f>IFERROR(__xludf.DUMMYFUNCTION("INDIRECT(""'收支紀錄'!O""&amp;TO_TEXT(ROW()-$C$72))"),"")</f>
        <v/>
      </c>
      <c r="P1914" s="61" t="str">
        <f>IFERROR(__xludf.DUMMYFUNCTION("INDIRECT(""'收支紀錄'!P""&amp;TO_TEXT(ROW()-$C$72))"),"")</f>
        <v/>
      </c>
      <c r="Q1914" s="61" t="str">
        <f>IFERROR(__xludf.DUMMYFUNCTION("INDIRECT(""'收支紀錄'!Q""&amp;TO_TEXT(ROW()-$C$72))"),"")</f>
        <v/>
      </c>
      <c r="R1914" s="61" t="str">
        <f>IFERROR(__xludf.DUMMYFUNCTION("INDIRECT(""'收支紀錄'!R""&amp;TO_TEXT(ROW()-$C$72))"),"")</f>
        <v/>
      </c>
      <c r="S1914" s="61" t="str">
        <f>IFERROR(__xludf.DUMMYFUNCTION("INDIRECT(""'收支紀錄'!S""&amp;TO_TEXT(ROW()-$C$72))"),"")</f>
        <v/>
      </c>
      <c r="T1914" s="61" t="str">
        <f>IFERROR(__xludf.DUMMYFUNCTION("INDIRECT(""'收支紀錄'!T""&amp;TO_TEXT(ROW()-$C$72))"),"")</f>
        <v/>
      </c>
      <c r="U1914" s="62" t="str">
        <f>IFERROR(__xludf.DUMMYFUNCTION("IF(T1914=""是"",TEXTJOIN("""", TRUE, ""$"", TO_TEXT(C1914), S1914),"""")"),"")</f>
        <v/>
      </c>
    </row>
    <row r="1915">
      <c r="A1915" s="58" t="str">
        <f>IFERROR(__xludf.DUMMYFUNCTION("INDIRECT(""'收支紀錄'!A""&amp;TO_TEXT(ROW()-$C$72))"),"")</f>
        <v/>
      </c>
      <c r="B1915" s="59" t="str">
        <f>IFERROR(__xludf.DUMMYFUNCTION("IF(ISBLANK(D1915), """", IF(ISDATE(D1915), D1915, IF(D1915=""今天"", A1915, IF(D1915=""昨天 (-1 day)"", A1915-1, IF(D1915=""前天 (-2 days)"", A1915-2, IF(D1915=""明天 (+1 day)"", A1915+1, DATE(LEFT(D1915,4), MID(D1915,5,2), RIGHT(D1915,2))))))))"),"")</f>
        <v/>
      </c>
      <c r="C1915" s="60" t="str">
        <f>IFERROR(__xludf.DUMMYFUNCTION("INDIRECT(""'收支紀錄'!C""&amp;TO_TEXT(ROW()-$C$72))"),"")</f>
        <v/>
      </c>
      <c r="D1915" s="63" t="str">
        <f>IFERROR(__xludf.DUMMYFUNCTION("INDIRECT(""'收支紀錄'!D""&amp;TO_TEXT(ROW()-$C$72))"),"")</f>
        <v/>
      </c>
      <c r="E1915" s="61" t="str">
        <f>IFERROR(__xludf.DUMMYFUNCTION("INDIRECT(""'收支紀錄'!E""&amp;TO_TEXT(ROW()-$C$72))"),"")</f>
        <v/>
      </c>
      <c r="F1915" s="61" t="str">
        <f>IFERROR(__xludf.DUMMYFUNCTION("INDIRECT(""'收支紀錄'!F""&amp;TO_TEXT(ROW()-$C$72))"),"")</f>
        <v/>
      </c>
      <c r="G1915" s="61" t="str">
        <f>IFERROR(__xludf.DUMMYFUNCTION("INDIRECT(""'收支紀錄'!G""&amp;TO_TEXT(ROW()-$C$72))"),"")</f>
        <v/>
      </c>
      <c r="H1915" s="61" t="str">
        <f>IFERROR(__xludf.DUMMYFUNCTION("INDIRECT(""'收支紀錄'!H""&amp;TO_TEXT(ROW()-$C$72))"),"")</f>
        <v/>
      </c>
      <c r="I1915" s="61" t="str">
        <f>IFERROR(__xludf.DUMMYFUNCTION("INDIRECT(""'收支紀錄'!I""&amp;TO_TEXT(ROW()-$C$72))"),"")</f>
        <v/>
      </c>
      <c r="J1915" s="61" t="str">
        <f>IFERROR(__xludf.DUMMYFUNCTION("INDIRECT(""'收支紀錄'!J""&amp;TO_TEXT(ROW()-$C$72))"),"")</f>
        <v/>
      </c>
      <c r="K1915" s="61" t="str">
        <f>IFERROR(__xludf.DUMMYFUNCTION("INDIRECT(""'收支紀錄'!K""&amp;TO_TEXT(ROW()-$C$72))"),"")</f>
        <v/>
      </c>
      <c r="L1915" s="61" t="str">
        <f>IFERROR(__xludf.DUMMYFUNCTION("INDIRECT(""'收支紀錄'!L""&amp;TO_TEXT(ROW()-$C$72))"),"")</f>
        <v/>
      </c>
      <c r="M1915" s="61" t="str">
        <f>IFERROR(__xludf.DUMMYFUNCTION("INDIRECT(""'收支紀錄'!M""&amp;TO_TEXT(ROW()-$C$72))"),"")</f>
        <v/>
      </c>
      <c r="N1915" s="61" t="str">
        <f>IFERROR(__xludf.DUMMYFUNCTION("INDIRECT(""'收支紀錄'!N""&amp;TO_TEXT(ROW()-$C$72))"),"")</f>
        <v/>
      </c>
      <c r="O1915" s="61" t="str">
        <f>IFERROR(__xludf.DUMMYFUNCTION("INDIRECT(""'收支紀錄'!O""&amp;TO_TEXT(ROW()-$C$72))"),"")</f>
        <v/>
      </c>
      <c r="P1915" s="61" t="str">
        <f>IFERROR(__xludf.DUMMYFUNCTION("INDIRECT(""'收支紀錄'!P""&amp;TO_TEXT(ROW()-$C$72))"),"")</f>
        <v/>
      </c>
      <c r="Q1915" s="61" t="str">
        <f>IFERROR(__xludf.DUMMYFUNCTION("INDIRECT(""'收支紀錄'!Q""&amp;TO_TEXT(ROW()-$C$72))"),"")</f>
        <v/>
      </c>
      <c r="R1915" s="61" t="str">
        <f>IFERROR(__xludf.DUMMYFUNCTION("INDIRECT(""'收支紀錄'!R""&amp;TO_TEXT(ROW()-$C$72))"),"")</f>
        <v/>
      </c>
      <c r="S1915" s="61" t="str">
        <f>IFERROR(__xludf.DUMMYFUNCTION("INDIRECT(""'收支紀錄'!S""&amp;TO_TEXT(ROW()-$C$72))"),"")</f>
        <v/>
      </c>
      <c r="T1915" s="61" t="str">
        <f>IFERROR(__xludf.DUMMYFUNCTION("INDIRECT(""'收支紀錄'!T""&amp;TO_TEXT(ROW()-$C$72))"),"")</f>
        <v/>
      </c>
      <c r="U1915" s="62" t="str">
        <f>IFERROR(__xludf.DUMMYFUNCTION("IF(T1915=""是"",TEXTJOIN("""", TRUE, ""$"", TO_TEXT(C1915), S1915),"""")"),"")</f>
        <v/>
      </c>
    </row>
    <row r="1916">
      <c r="A1916" s="58" t="str">
        <f>IFERROR(__xludf.DUMMYFUNCTION("INDIRECT(""'收支紀錄'!A""&amp;TO_TEXT(ROW()-$C$72))"),"")</f>
        <v/>
      </c>
      <c r="B1916" s="59" t="str">
        <f>IFERROR(__xludf.DUMMYFUNCTION("IF(ISBLANK(D1916), """", IF(ISDATE(D1916), D1916, IF(D1916=""今天"", A1916, IF(D1916=""昨天 (-1 day)"", A1916-1, IF(D1916=""前天 (-2 days)"", A1916-2, IF(D1916=""明天 (+1 day)"", A1916+1, DATE(LEFT(D1916,4), MID(D1916,5,2), RIGHT(D1916,2))))))))"),"")</f>
        <v/>
      </c>
      <c r="C1916" s="60" t="str">
        <f>IFERROR(__xludf.DUMMYFUNCTION("INDIRECT(""'收支紀錄'!C""&amp;TO_TEXT(ROW()-$C$72))"),"")</f>
        <v/>
      </c>
      <c r="D1916" s="63" t="str">
        <f>IFERROR(__xludf.DUMMYFUNCTION("INDIRECT(""'收支紀錄'!D""&amp;TO_TEXT(ROW()-$C$72))"),"")</f>
        <v/>
      </c>
      <c r="E1916" s="61" t="str">
        <f>IFERROR(__xludf.DUMMYFUNCTION("INDIRECT(""'收支紀錄'!E""&amp;TO_TEXT(ROW()-$C$72))"),"")</f>
        <v/>
      </c>
      <c r="F1916" s="61" t="str">
        <f>IFERROR(__xludf.DUMMYFUNCTION("INDIRECT(""'收支紀錄'!F""&amp;TO_TEXT(ROW()-$C$72))"),"")</f>
        <v/>
      </c>
      <c r="G1916" s="61" t="str">
        <f>IFERROR(__xludf.DUMMYFUNCTION("INDIRECT(""'收支紀錄'!G""&amp;TO_TEXT(ROW()-$C$72))"),"")</f>
        <v/>
      </c>
      <c r="H1916" s="61" t="str">
        <f>IFERROR(__xludf.DUMMYFUNCTION("INDIRECT(""'收支紀錄'!H""&amp;TO_TEXT(ROW()-$C$72))"),"")</f>
        <v/>
      </c>
      <c r="I1916" s="61" t="str">
        <f>IFERROR(__xludf.DUMMYFUNCTION("INDIRECT(""'收支紀錄'!I""&amp;TO_TEXT(ROW()-$C$72))"),"")</f>
        <v/>
      </c>
      <c r="J1916" s="61" t="str">
        <f>IFERROR(__xludf.DUMMYFUNCTION("INDIRECT(""'收支紀錄'!J""&amp;TO_TEXT(ROW()-$C$72))"),"")</f>
        <v/>
      </c>
      <c r="K1916" s="61" t="str">
        <f>IFERROR(__xludf.DUMMYFUNCTION("INDIRECT(""'收支紀錄'!K""&amp;TO_TEXT(ROW()-$C$72))"),"")</f>
        <v/>
      </c>
      <c r="L1916" s="61" t="str">
        <f>IFERROR(__xludf.DUMMYFUNCTION("INDIRECT(""'收支紀錄'!L""&amp;TO_TEXT(ROW()-$C$72))"),"")</f>
        <v/>
      </c>
      <c r="M1916" s="61" t="str">
        <f>IFERROR(__xludf.DUMMYFUNCTION("INDIRECT(""'收支紀錄'!M""&amp;TO_TEXT(ROW()-$C$72))"),"")</f>
        <v/>
      </c>
      <c r="N1916" s="61" t="str">
        <f>IFERROR(__xludf.DUMMYFUNCTION("INDIRECT(""'收支紀錄'!N""&amp;TO_TEXT(ROW()-$C$72))"),"")</f>
        <v/>
      </c>
      <c r="O1916" s="61" t="str">
        <f>IFERROR(__xludf.DUMMYFUNCTION("INDIRECT(""'收支紀錄'!O""&amp;TO_TEXT(ROW()-$C$72))"),"")</f>
        <v/>
      </c>
      <c r="P1916" s="61" t="str">
        <f>IFERROR(__xludf.DUMMYFUNCTION("INDIRECT(""'收支紀錄'!P""&amp;TO_TEXT(ROW()-$C$72))"),"")</f>
        <v/>
      </c>
      <c r="Q1916" s="61" t="str">
        <f>IFERROR(__xludf.DUMMYFUNCTION("INDIRECT(""'收支紀錄'!Q""&amp;TO_TEXT(ROW()-$C$72))"),"")</f>
        <v/>
      </c>
      <c r="R1916" s="61" t="str">
        <f>IFERROR(__xludf.DUMMYFUNCTION("INDIRECT(""'收支紀錄'!R""&amp;TO_TEXT(ROW()-$C$72))"),"")</f>
        <v/>
      </c>
      <c r="S1916" s="61" t="str">
        <f>IFERROR(__xludf.DUMMYFUNCTION("INDIRECT(""'收支紀錄'!S""&amp;TO_TEXT(ROW()-$C$72))"),"")</f>
        <v/>
      </c>
      <c r="T1916" s="61" t="str">
        <f>IFERROR(__xludf.DUMMYFUNCTION("INDIRECT(""'收支紀錄'!T""&amp;TO_TEXT(ROW()-$C$72))"),"")</f>
        <v/>
      </c>
      <c r="U1916" s="62" t="str">
        <f>IFERROR(__xludf.DUMMYFUNCTION("IF(T1916=""是"",TEXTJOIN("""", TRUE, ""$"", TO_TEXT(C1916), S1916),"""")"),"")</f>
        <v/>
      </c>
    </row>
    <row r="1917">
      <c r="A1917" s="58" t="str">
        <f>IFERROR(__xludf.DUMMYFUNCTION("INDIRECT(""'收支紀錄'!A""&amp;TO_TEXT(ROW()-$C$72))"),"")</f>
        <v/>
      </c>
      <c r="B1917" s="59" t="str">
        <f>IFERROR(__xludf.DUMMYFUNCTION("IF(ISBLANK(D1917), """", IF(ISDATE(D1917), D1917, IF(D1917=""今天"", A1917, IF(D1917=""昨天 (-1 day)"", A1917-1, IF(D1917=""前天 (-2 days)"", A1917-2, IF(D1917=""明天 (+1 day)"", A1917+1, DATE(LEFT(D1917,4), MID(D1917,5,2), RIGHT(D1917,2))))))))"),"")</f>
        <v/>
      </c>
      <c r="C1917" s="60" t="str">
        <f>IFERROR(__xludf.DUMMYFUNCTION("INDIRECT(""'收支紀錄'!C""&amp;TO_TEXT(ROW()-$C$72))"),"")</f>
        <v/>
      </c>
      <c r="D1917" s="63" t="str">
        <f>IFERROR(__xludf.DUMMYFUNCTION("INDIRECT(""'收支紀錄'!D""&amp;TO_TEXT(ROW()-$C$72))"),"")</f>
        <v/>
      </c>
      <c r="E1917" s="61" t="str">
        <f>IFERROR(__xludf.DUMMYFUNCTION("INDIRECT(""'收支紀錄'!E""&amp;TO_TEXT(ROW()-$C$72))"),"")</f>
        <v/>
      </c>
      <c r="F1917" s="61" t="str">
        <f>IFERROR(__xludf.DUMMYFUNCTION("INDIRECT(""'收支紀錄'!F""&amp;TO_TEXT(ROW()-$C$72))"),"")</f>
        <v/>
      </c>
      <c r="G1917" s="61" t="str">
        <f>IFERROR(__xludf.DUMMYFUNCTION("INDIRECT(""'收支紀錄'!G""&amp;TO_TEXT(ROW()-$C$72))"),"")</f>
        <v/>
      </c>
      <c r="H1917" s="61" t="str">
        <f>IFERROR(__xludf.DUMMYFUNCTION("INDIRECT(""'收支紀錄'!H""&amp;TO_TEXT(ROW()-$C$72))"),"")</f>
        <v/>
      </c>
      <c r="I1917" s="61" t="str">
        <f>IFERROR(__xludf.DUMMYFUNCTION("INDIRECT(""'收支紀錄'!I""&amp;TO_TEXT(ROW()-$C$72))"),"")</f>
        <v/>
      </c>
      <c r="J1917" s="61" t="str">
        <f>IFERROR(__xludf.DUMMYFUNCTION("INDIRECT(""'收支紀錄'!J""&amp;TO_TEXT(ROW()-$C$72))"),"")</f>
        <v/>
      </c>
      <c r="K1917" s="61" t="str">
        <f>IFERROR(__xludf.DUMMYFUNCTION("INDIRECT(""'收支紀錄'!K""&amp;TO_TEXT(ROW()-$C$72))"),"")</f>
        <v/>
      </c>
      <c r="L1917" s="61" t="str">
        <f>IFERROR(__xludf.DUMMYFUNCTION("INDIRECT(""'收支紀錄'!L""&amp;TO_TEXT(ROW()-$C$72))"),"")</f>
        <v/>
      </c>
      <c r="M1917" s="61" t="str">
        <f>IFERROR(__xludf.DUMMYFUNCTION("INDIRECT(""'收支紀錄'!M""&amp;TO_TEXT(ROW()-$C$72))"),"")</f>
        <v/>
      </c>
      <c r="N1917" s="61" t="str">
        <f>IFERROR(__xludf.DUMMYFUNCTION("INDIRECT(""'收支紀錄'!N""&amp;TO_TEXT(ROW()-$C$72))"),"")</f>
        <v/>
      </c>
      <c r="O1917" s="61" t="str">
        <f>IFERROR(__xludf.DUMMYFUNCTION("INDIRECT(""'收支紀錄'!O""&amp;TO_TEXT(ROW()-$C$72))"),"")</f>
        <v/>
      </c>
      <c r="P1917" s="61" t="str">
        <f>IFERROR(__xludf.DUMMYFUNCTION("INDIRECT(""'收支紀錄'!P""&amp;TO_TEXT(ROW()-$C$72))"),"")</f>
        <v/>
      </c>
      <c r="Q1917" s="61" t="str">
        <f>IFERROR(__xludf.DUMMYFUNCTION("INDIRECT(""'收支紀錄'!Q""&amp;TO_TEXT(ROW()-$C$72))"),"")</f>
        <v/>
      </c>
      <c r="R1917" s="61" t="str">
        <f>IFERROR(__xludf.DUMMYFUNCTION("INDIRECT(""'收支紀錄'!R""&amp;TO_TEXT(ROW()-$C$72))"),"")</f>
        <v/>
      </c>
      <c r="S1917" s="61" t="str">
        <f>IFERROR(__xludf.DUMMYFUNCTION("INDIRECT(""'收支紀錄'!S""&amp;TO_TEXT(ROW()-$C$72))"),"")</f>
        <v/>
      </c>
      <c r="T1917" s="61" t="str">
        <f>IFERROR(__xludf.DUMMYFUNCTION("INDIRECT(""'收支紀錄'!T""&amp;TO_TEXT(ROW()-$C$72))"),"")</f>
        <v/>
      </c>
      <c r="U1917" s="62" t="str">
        <f>IFERROR(__xludf.DUMMYFUNCTION("IF(T1917=""是"",TEXTJOIN("""", TRUE, ""$"", TO_TEXT(C1917), S1917),"""")"),"")</f>
        <v/>
      </c>
    </row>
    <row r="1918">
      <c r="A1918" s="58" t="str">
        <f>IFERROR(__xludf.DUMMYFUNCTION("INDIRECT(""'收支紀錄'!A""&amp;TO_TEXT(ROW()-$C$72))"),"")</f>
        <v/>
      </c>
      <c r="B1918" s="59" t="str">
        <f>IFERROR(__xludf.DUMMYFUNCTION("IF(ISBLANK(D1918), """", IF(ISDATE(D1918), D1918, IF(D1918=""今天"", A1918, IF(D1918=""昨天 (-1 day)"", A1918-1, IF(D1918=""前天 (-2 days)"", A1918-2, IF(D1918=""明天 (+1 day)"", A1918+1, DATE(LEFT(D1918,4), MID(D1918,5,2), RIGHT(D1918,2))))))))"),"")</f>
        <v/>
      </c>
      <c r="C1918" s="60" t="str">
        <f>IFERROR(__xludf.DUMMYFUNCTION("INDIRECT(""'收支紀錄'!C""&amp;TO_TEXT(ROW()-$C$72))"),"")</f>
        <v/>
      </c>
      <c r="D1918" s="63" t="str">
        <f>IFERROR(__xludf.DUMMYFUNCTION("INDIRECT(""'收支紀錄'!D""&amp;TO_TEXT(ROW()-$C$72))"),"")</f>
        <v/>
      </c>
      <c r="E1918" s="61" t="str">
        <f>IFERROR(__xludf.DUMMYFUNCTION("INDIRECT(""'收支紀錄'!E""&amp;TO_TEXT(ROW()-$C$72))"),"")</f>
        <v/>
      </c>
      <c r="F1918" s="61" t="str">
        <f>IFERROR(__xludf.DUMMYFUNCTION("INDIRECT(""'收支紀錄'!F""&amp;TO_TEXT(ROW()-$C$72))"),"")</f>
        <v/>
      </c>
      <c r="G1918" s="61" t="str">
        <f>IFERROR(__xludf.DUMMYFUNCTION("INDIRECT(""'收支紀錄'!G""&amp;TO_TEXT(ROW()-$C$72))"),"")</f>
        <v/>
      </c>
      <c r="H1918" s="61" t="str">
        <f>IFERROR(__xludf.DUMMYFUNCTION("INDIRECT(""'收支紀錄'!H""&amp;TO_TEXT(ROW()-$C$72))"),"")</f>
        <v/>
      </c>
      <c r="I1918" s="61" t="str">
        <f>IFERROR(__xludf.DUMMYFUNCTION("INDIRECT(""'收支紀錄'!I""&amp;TO_TEXT(ROW()-$C$72))"),"")</f>
        <v/>
      </c>
      <c r="J1918" s="61" t="str">
        <f>IFERROR(__xludf.DUMMYFUNCTION("INDIRECT(""'收支紀錄'!J""&amp;TO_TEXT(ROW()-$C$72))"),"")</f>
        <v/>
      </c>
      <c r="K1918" s="61" t="str">
        <f>IFERROR(__xludf.DUMMYFUNCTION("INDIRECT(""'收支紀錄'!K""&amp;TO_TEXT(ROW()-$C$72))"),"")</f>
        <v/>
      </c>
      <c r="L1918" s="61" t="str">
        <f>IFERROR(__xludf.DUMMYFUNCTION("INDIRECT(""'收支紀錄'!L""&amp;TO_TEXT(ROW()-$C$72))"),"")</f>
        <v/>
      </c>
      <c r="M1918" s="61" t="str">
        <f>IFERROR(__xludf.DUMMYFUNCTION("INDIRECT(""'收支紀錄'!M""&amp;TO_TEXT(ROW()-$C$72))"),"")</f>
        <v/>
      </c>
      <c r="N1918" s="61" t="str">
        <f>IFERROR(__xludf.DUMMYFUNCTION("INDIRECT(""'收支紀錄'!N""&amp;TO_TEXT(ROW()-$C$72))"),"")</f>
        <v/>
      </c>
      <c r="O1918" s="61" t="str">
        <f>IFERROR(__xludf.DUMMYFUNCTION("INDIRECT(""'收支紀錄'!O""&amp;TO_TEXT(ROW()-$C$72))"),"")</f>
        <v/>
      </c>
      <c r="P1918" s="61" t="str">
        <f>IFERROR(__xludf.DUMMYFUNCTION("INDIRECT(""'收支紀錄'!P""&amp;TO_TEXT(ROW()-$C$72))"),"")</f>
        <v/>
      </c>
      <c r="Q1918" s="61" t="str">
        <f>IFERROR(__xludf.DUMMYFUNCTION("INDIRECT(""'收支紀錄'!Q""&amp;TO_TEXT(ROW()-$C$72))"),"")</f>
        <v/>
      </c>
      <c r="R1918" s="61" t="str">
        <f>IFERROR(__xludf.DUMMYFUNCTION("INDIRECT(""'收支紀錄'!R""&amp;TO_TEXT(ROW()-$C$72))"),"")</f>
        <v/>
      </c>
      <c r="S1918" s="61" t="str">
        <f>IFERROR(__xludf.DUMMYFUNCTION("INDIRECT(""'收支紀錄'!S""&amp;TO_TEXT(ROW()-$C$72))"),"")</f>
        <v/>
      </c>
      <c r="T1918" s="61" t="str">
        <f>IFERROR(__xludf.DUMMYFUNCTION("INDIRECT(""'收支紀錄'!T""&amp;TO_TEXT(ROW()-$C$72))"),"")</f>
        <v/>
      </c>
      <c r="U1918" s="62" t="str">
        <f>IFERROR(__xludf.DUMMYFUNCTION("IF(T1918=""是"",TEXTJOIN("""", TRUE, ""$"", TO_TEXT(C1918), S1918),"""")"),"")</f>
        <v/>
      </c>
    </row>
    <row r="1919">
      <c r="A1919" s="58" t="str">
        <f>IFERROR(__xludf.DUMMYFUNCTION("INDIRECT(""'收支紀錄'!A""&amp;TO_TEXT(ROW()-$C$72))"),"")</f>
        <v/>
      </c>
      <c r="B1919" s="59" t="str">
        <f>IFERROR(__xludf.DUMMYFUNCTION("IF(ISBLANK(D1919), """", IF(ISDATE(D1919), D1919, IF(D1919=""今天"", A1919, IF(D1919=""昨天 (-1 day)"", A1919-1, IF(D1919=""前天 (-2 days)"", A1919-2, IF(D1919=""明天 (+1 day)"", A1919+1, DATE(LEFT(D1919,4), MID(D1919,5,2), RIGHT(D1919,2))))))))"),"")</f>
        <v/>
      </c>
      <c r="C1919" s="60" t="str">
        <f>IFERROR(__xludf.DUMMYFUNCTION("INDIRECT(""'收支紀錄'!C""&amp;TO_TEXT(ROW()-$C$72))"),"")</f>
        <v/>
      </c>
      <c r="D1919" s="63" t="str">
        <f>IFERROR(__xludf.DUMMYFUNCTION("INDIRECT(""'收支紀錄'!D""&amp;TO_TEXT(ROW()-$C$72))"),"")</f>
        <v/>
      </c>
      <c r="E1919" s="61" t="str">
        <f>IFERROR(__xludf.DUMMYFUNCTION("INDIRECT(""'收支紀錄'!E""&amp;TO_TEXT(ROW()-$C$72))"),"")</f>
        <v/>
      </c>
      <c r="F1919" s="61" t="str">
        <f>IFERROR(__xludf.DUMMYFUNCTION("INDIRECT(""'收支紀錄'!F""&amp;TO_TEXT(ROW()-$C$72))"),"")</f>
        <v/>
      </c>
      <c r="G1919" s="61" t="str">
        <f>IFERROR(__xludf.DUMMYFUNCTION("INDIRECT(""'收支紀錄'!G""&amp;TO_TEXT(ROW()-$C$72))"),"")</f>
        <v/>
      </c>
      <c r="H1919" s="61" t="str">
        <f>IFERROR(__xludf.DUMMYFUNCTION("INDIRECT(""'收支紀錄'!H""&amp;TO_TEXT(ROW()-$C$72))"),"")</f>
        <v/>
      </c>
      <c r="I1919" s="61" t="str">
        <f>IFERROR(__xludf.DUMMYFUNCTION("INDIRECT(""'收支紀錄'!I""&amp;TO_TEXT(ROW()-$C$72))"),"")</f>
        <v/>
      </c>
      <c r="J1919" s="61" t="str">
        <f>IFERROR(__xludf.DUMMYFUNCTION("INDIRECT(""'收支紀錄'!J""&amp;TO_TEXT(ROW()-$C$72))"),"")</f>
        <v/>
      </c>
      <c r="K1919" s="61" t="str">
        <f>IFERROR(__xludf.DUMMYFUNCTION("INDIRECT(""'收支紀錄'!K""&amp;TO_TEXT(ROW()-$C$72))"),"")</f>
        <v/>
      </c>
      <c r="L1919" s="61" t="str">
        <f>IFERROR(__xludf.DUMMYFUNCTION("INDIRECT(""'收支紀錄'!L""&amp;TO_TEXT(ROW()-$C$72))"),"")</f>
        <v/>
      </c>
      <c r="M1919" s="61" t="str">
        <f>IFERROR(__xludf.DUMMYFUNCTION("INDIRECT(""'收支紀錄'!M""&amp;TO_TEXT(ROW()-$C$72))"),"")</f>
        <v/>
      </c>
      <c r="N1919" s="61" t="str">
        <f>IFERROR(__xludf.DUMMYFUNCTION("INDIRECT(""'收支紀錄'!N""&amp;TO_TEXT(ROW()-$C$72))"),"")</f>
        <v/>
      </c>
      <c r="O1919" s="61" t="str">
        <f>IFERROR(__xludf.DUMMYFUNCTION("INDIRECT(""'收支紀錄'!O""&amp;TO_TEXT(ROW()-$C$72))"),"")</f>
        <v/>
      </c>
      <c r="P1919" s="61" t="str">
        <f>IFERROR(__xludf.DUMMYFUNCTION("INDIRECT(""'收支紀錄'!P""&amp;TO_TEXT(ROW()-$C$72))"),"")</f>
        <v/>
      </c>
      <c r="Q1919" s="61" t="str">
        <f>IFERROR(__xludf.DUMMYFUNCTION("INDIRECT(""'收支紀錄'!Q""&amp;TO_TEXT(ROW()-$C$72))"),"")</f>
        <v/>
      </c>
      <c r="R1919" s="61" t="str">
        <f>IFERROR(__xludf.DUMMYFUNCTION("INDIRECT(""'收支紀錄'!R""&amp;TO_TEXT(ROW()-$C$72))"),"")</f>
        <v/>
      </c>
      <c r="S1919" s="61" t="str">
        <f>IFERROR(__xludf.DUMMYFUNCTION("INDIRECT(""'收支紀錄'!S""&amp;TO_TEXT(ROW()-$C$72))"),"")</f>
        <v/>
      </c>
      <c r="T1919" s="61" t="str">
        <f>IFERROR(__xludf.DUMMYFUNCTION("INDIRECT(""'收支紀錄'!T""&amp;TO_TEXT(ROW()-$C$72))"),"")</f>
        <v/>
      </c>
      <c r="U1919" s="62" t="str">
        <f>IFERROR(__xludf.DUMMYFUNCTION("IF(T1919=""是"",TEXTJOIN("""", TRUE, ""$"", TO_TEXT(C1919), S1919),"""")"),"")</f>
        <v/>
      </c>
    </row>
    <row r="1920">
      <c r="A1920" s="58" t="str">
        <f>IFERROR(__xludf.DUMMYFUNCTION("INDIRECT(""'收支紀錄'!A""&amp;TO_TEXT(ROW()-$C$72))"),"")</f>
        <v/>
      </c>
      <c r="B1920" s="59" t="str">
        <f>IFERROR(__xludf.DUMMYFUNCTION("IF(ISBLANK(D1920), """", IF(ISDATE(D1920), D1920, IF(D1920=""今天"", A1920, IF(D1920=""昨天 (-1 day)"", A1920-1, IF(D1920=""前天 (-2 days)"", A1920-2, IF(D1920=""明天 (+1 day)"", A1920+1, DATE(LEFT(D1920,4), MID(D1920,5,2), RIGHT(D1920,2))))))))"),"")</f>
        <v/>
      </c>
      <c r="C1920" s="60" t="str">
        <f>IFERROR(__xludf.DUMMYFUNCTION("INDIRECT(""'收支紀錄'!C""&amp;TO_TEXT(ROW()-$C$72))"),"")</f>
        <v/>
      </c>
      <c r="D1920" s="63" t="str">
        <f>IFERROR(__xludf.DUMMYFUNCTION("INDIRECT(""'收支紀錄'!D""&amp;TO_TEXT(ROW()-$C$72))"),"")</f>
        <v/>
      </c>
      <c r="E1920" s="61" t="str">
        <f>IFERROR(__xludf.DUMMYFUNCTION("INDIRECT(""'收支紀錄'!E""&amp;TO_TEXT(ROW()-$C$72))"),"")</f>
        <v/>
      </c>
      <c r="F1920" s="61" t="str">
        <f>IFERROR(__xludf.DUMMYFUNCTION("INDIRECT(""'收支紀錄'!F""&amp;TO_TEXT(ROW()-$C$72))"),"")</f>
        <v/>
      </c>
      <c r="G1920" s="61" t="str">
        <f>IFERROR(__xludf.DUMMYFUNCTION("INDIRECT(""'收支紀錄'!G""&amp;TO_TEXT(ROW()-$C$72))"),"")</f>
        <v/>
      </c>
      <c r="H1920" s="61" t="str">
        <f>IFERROR(__xludf.DUMMYFUNCTION("INDIRECT(""'收支紀錄'!H""&amp;TO_TEXT(ROW()-$C$72))"),"")</f>
        <v/>
      </c>
      <c r="I1920" s="61" t="str">
        <f>IFERROR(__xludf.DUMMYFUNCTION("INDIRECT(""'收支紀錄'!I""&amp;TO_TEXT(ROW()-$C$72))"),"")</f>
        <v/>
      </c>
      <c r="J1920" s="61" t="str">
        <f>IFERROR(__xludf.DUMMYFUNCTION("INDIRECT(""'收支紀錄'!J""&amp;TO_TEXT(ROW()-$C$72))"),"")</f>
        <v/>
      </c>
      <c r="K1920" s="61" t="str">
        <f>IFERROR(__xludf.DUMMYFUNCTION("INDIRECT(""'收支紀錄'!K""&amp;TO_TEXT(ROW()-$C$72))"),"")</f>
        <v/>
      </c>
      <c r="L1920" s="61" t="str">
        <f>IFERROR(__xludf.DUMMYFUNCTION("INDIRECT(""'收支紀錄'!L""&amp;TO_TEXT(ROW()-$C$72))"),"")</f>
        <v/>
      </c>
      <c r="M1920" s="61" t="str">
        <f>IFERROR(__xludf.DUMMYFUNCTION("INDIRECT(""'收支紀錄'!M""&amp;TO_TEXT(ROW()-$C$72))"),"")</f>
        <v/>
      </c>
      <c r="N1920" s="61" t="str">
        <f>IFERROR(__xludf.DUMMYFUNCTION("INDIRECT(""'收支紀錄'!N""&amp;TO_TEXT(ROW()-$C$72))"),"")</f>
        <v/>
      </c>
      <c r="O1920" s="61" t="str">
        <f>IFERROR(__xludf.DUMMYFUNCTION("INDIRECT(""'收支紀錄'!O""&amp;TO_TEXT(ROW()-$C$72))"),"")</f>
        <v/>
      </c>
      <c r="P1920" s="61" t="str">
        <f>IFERROR(__xludf.DUMMYFUNCTION("INDIRECT(""'收支紀錄'!P""&amp;TO_TEXT(ROW()-$C$72))"),"")</f>
        <v/>
      </c>
      <c r="Q1920" s="61" t="str">
        <f>IFERROR(__xludf.DUMMYFUNCTION("INDIRECT(""'收支紀錄'!Q""&amp;TO_TEXT(ROW()-$C$72))"),"")</f>
        <v/>
      </c>
      <c r="R1920" s="61" t="str">
        <f>IFERROR(__xludf.DUMMYFUNCTION("INDIRECT(""'收支紀錄'!R""&amp;TO_TEXT(ROW()-$C$72))"),"")</f>
        <v/>
      </c>
      <c r="S1920" s="61" t="str">
        <f>IFERROR(__xludf.DUMMYFUNCTION("INDIRECT(""'收支紀錄'!S""&amp;TO_TEXT(ROW()-$C$72))"),"")</f>
        <v/>
      </c>
      <c r="T1920" s="61" t="str">
        <f>IFERROR(__xludf.DUMMYFUNCTION("INDIRECT(""'收支紀錄'!T""&amp;TO_TEXT(ROW()-$C$72))"),"")</f>
        <v/>
      </c>
      <c r="U1920" s="62" t="str">
        <f>IFERROR(__xludf.DUMMYFUNCTION("IF(T1920=""是"",TEXTJOIN("""", TRUE, ""$"", TO_TEXT(C1920), S1920),"""")"),"")</f>
        <v/>
      </c>
    </row>
    <row r="1921">
      <c r="A1921" s="58" t="str">
        <f>IFERROR(__xludf.DUMMYFUNCTION("INDIRECT(""'收支紀錄'!A""&amp;TO_TEXT(ROW()-$C$72))"),"")</f>
        <v/>
      </c>
      <c r="B1921" s="59" t="str">
        <f>IFERROR(__xludf.DUMMYFUNCTION("IF(ISBLANK(D1921), """", IF(ISDATE(D1921), D1921, IF(D1921=""今天"", A1921, IF(D1921=""昨天 (-1 day)"", A1921-1, IF(D1921=""前天 (-2 days)"", A1921-2, IF(D1921=""明天 (+1 day)"", A1921+1, DATE(LEFT(D1921,4), MID(D1921,5,2), RIGHT(D1921,2))))))))"),"")</f>
        <v/>
      </c>
      <c r="C1921" s="60" t="str">
        <f>IFERROR(__xludf.DUMMYFUNCTION("INDIRECT(""'收支紀錄'!C""&amp;TO_TEXT(ROW()-$C$72))"),"")</f>
        <v/>
      </c>
      <c r="D1921" s="63" t="str">
        <f>IFERROR(__xludf.DUMMYFUNCTION("INDIRECT(""'收支紀錄'!D""&amp;TO_TEXT(ROW()-$C$72))"),"")</f>
        <v/>
      </c>
      <c r="E1921" s="61" t="str">
        <f>IFERROR(__xludf.DUMMYFUNCTION("INDIRECT(""'收支紀錄'!E""&amp;TO_TEXT(ROW()-$C$72))"),"")</f>
        <v/>
      </c>
      <c r="F1921" s="61" t="str">
        <f>IFERROR(__xludf.DUMMYFUNCTION("INDIRECT(""'收支紀錄'!F""&amp;TO_TEXT(ROW()-$C$72))"),"")</f>
        <v/>
      </c>
      <c r="G1921" s="61" t="str">
        <f>IFERROR(__xludf.DUMMYFUNCTION("INDIRECT(""'收支紀錄'!G""&amp;TO_TEXT(ROW()-$C$72))"),"")</f>
        <v/>
      </c>
      <c r="H1921" s="61" t="str">
        <f>IFERROR(__xludf.DUMMYFUNCTION("INDIRECT(""'收支紀錄'!H""&amp;TO_TEXT(ROW()-$C$72))"),"")</f>
        <v/>
      </c>
      <c r="I1921" s="61" t="str">
        <f>IFERROR(__xludf.DUMMYFUNCTION("INDIRECT(""'收支紀錄'!I""&amp;TO_TEXT(ROW()-$C$72))"),"")</f>
        <v/>
      </c>
      <c r="J1921" s="61" t="str">
        <f>IFERROR(__xludf.DUMMYFUNCTION("INDIRECT(""'收支紀錄'!J""&amp;TO_TEXT(ROW()-$C$72))"),"")</f>
        <v/>
      </c>
      <c r="K1921" s="61" t="str">
        <f>IFERROR(__xludf.DUMMYFUNCTION("INDIRECT(""'收支紀錄'!K""&amp;TO_TEXT(ROW()-$C$72))"),"")</f>
        <v/>
      </c>
      <c r="L1921" s="61" t="str">
        <f>IFERROR(__xludf.DUMMYFUNCTION("INDIRECT(""'收支紀錄'!L""&amp;TO_TEXT(ROW()-$C$72))"),"")</f>
        <v/>
      </c>
      <c r="M1921" s="61" t="str">
        <f>IFERROR(__xludf.DUMMYFUNCTION("INDIRECT(""'收支紀錄'!M""&amp;TO_TEXT(ROW()-$C$72))"),"")</f>
        <v/>
      </c>
      <c r="N1921" s="61" t="str">
        <f>IFERROR(__xludf.DUMMYFUNCTION("INDIRECT(""'收支紀錄'!N""&amp;TO_TEXT(ROW()-$C$72))"),"")</f>
        <v/>
      </c>
      <c r="O1921" s="61" t="str">
        <f>IFERROR(__xludf.DUMMYFUNCTION("INDIRECT(""'收支紀錄'!O""&amp;TO_TEXT(ROW()-$C$72))"),"")</f>
        <v/>
      </c>
      <c r="P1921" s="61" t="str">
        <f>IFERROR(__xludf.DUMMYFUNCTION("INDIRECT(""'收支紀錄'!P""&amp;TO_TEXT(ROW()-$C$72))"),"")</f>
        <v/>
      </c>
      <c r="Q1921" s="61" t="str">
        <f>IFERROR(__xludf.DUMMYFUNCTION("INDIRECT(""'收支紀錄'!Q""&amp;TO_TEXT(ROW()-$C$72))"),"")</f>
        <v/>
      </c>
      <c r="R1921" s="61" t="str">
        <f>IFERROR(__xludf.DUMMYFUNCTION("INDIRECT(""'收支紀錄'!R""&amp;TO_TEXT(ROW()-$C$72))"),"")</f>
        <v/>
      </c>
      <c r="S1921" s="61" t="str">
        <f>IFERROR(__xludf.DUMMYFUNCTION("INDIRECT(""'收支紀錄'!S""&amp;TO_TEXT(ROW()-$C$72))"),"")</f>
        <v/>
      </c>
      <c r="T1921" s="61" t="str">
        <f>IFERROR(__xludf.DUMMYFUNCTION("INDIRECT(""'收支紀錄'!T""&amp;TO_TEXT(ROW()-$C$72))"),"")</f>
        <v/>
      </c>
      <c r="U1921" s="62" t="str">
        <f>IFERROR(__xludf.DUMMYFUNCTION("IF(T1921=""是"",TEXTJOIN("""", TRUE, ""$"", TO_TEXT(C1921), S1921),"""")"),"")</f>
        <v/>
      </c>
    </row>
    <row r="1922">
      <c r="A1922" s="58" t="str">
        <f>IFERROR(__xludf.DUMMYFUNCTION("INDIRECT(""'收支紀錄'!A""&amp;TO_TEXT(ROW()-$C$72))"),"")</f>
        <v/>
      </c>
      <c r="B1922" s="59" t="str">
        <f>IFERROR(__xludf.DUMMYFUNCTION("IF(ISBLANK(D1922), """", IF(ISDATE(D1922), D1922, IF(D1922=""今天"", A1922, IF(D1922=""昨天 (-1 day)"", A1922-1, IF(D1922=""前天 (-2 days)"", A1922-2, IF(D1922=""明天 (+1 day)"", A1922+1, DATE(LEFT(D1922,4), MID(D1922,5,2), RIGHT(D1922,2))))))))"),"")</f>
        <v/>
      </c>
      <c r="C1922" s="60" t="str">
        <f>IFERROR(__xludf.DUMMYFUNCTION("INDIRECT(""'收支紀錄'!C""&amp;TO_TEXT(ROW()-$C$72))"),"")</f>
        <v/>
      </c>
      <c r="D1922" s="63" t="str">
        <f>IFERROR(__xludf.DUMMYFUNCTION("INDIRECT(""'收支紀錄'!D""&amp;TO_TEXT(ROW()-$C$72))"),"")</f>
        <v/>
      </c>
      <c r="E1922" s="61" t="str">
        <f>IFERROR(__xludf.DUMMYFUNCTION("INDIRECT(""'收支紀錄'!E""&amp;TO_TEXT(ROW()-$C$72))"),"")</f>
        <v/>
      </c>
      <c r="F1922" s="61" t="str">
        <f>IFERROR(__xludf.DUMMYFUNCTION("INDIRECT(""'收支紀錄'!F""&amp;TO_TEXT(ROW()-$C$72))"),"")</f>
        <v/>
      </c>
      <c r="G1922" s="61" t="str">
        <f>IFERROR(__xludf.DUMMYFUNCTION("INDIRECT(""'收支紀錄'!G""&amp;TO_TEXT(ROW()-$C$72))"),"")</f>
        <v/>
      </c>
      <c r="H1922" s="61" t="str">
        <f>IFERROR(__xludf.DUMMYFUNCTION("INDIRECT(""'收支紀錄'!H""&amp;TO_TEXT(ROW()-$C$72))"),"")</f>
        <v/>
      </c>
      <c r="I1922" s="61" t="str">
        <f>IFERROR(__xludf.DUMMYFUNCTION("INDIRECT(""'收支紀錄'!I""&amp;TO_TEXT(ROW()-$C$72))"),"")</f>
        <v/>
      </c>
      <c r="J1922" s="61" t="str">
        <f>IFERROR(__xludf.DUMMYFUNCTION("INDIRECT(""'收支紀錄'!J""&amp;TO_TEXT(ROW()-$C$72))"),"")</f>
        <v/>
      </c>
      <c r="K1922" s="61" t="str">
        <f>IFERROR(__xludf.DUMMYFUNCTION("INDIRECT(""'收支紀錄'!K""&amp;TO_TEXT(ROW()-$C$72))"),"")</f>
        <v/>
      </c>
      <c r="L1922" s="61" t="str">
        <f>IFERROR(__xludf.DUMMYFUNCTION("INDIRECT(""'收支紀錄'!L""&amp;TO_TEXT(ROW()-$C$72))"),"")</f>
        <v/>
      </c>
      <c r="M1922" s="61" t="str">
        <f>IFERROR(__xludf.DUMMYFUNCTION("INDIRECT(""'收支紀錄'!M""&amp;TO_TEXT(ROW()-$C$72))"),"")</f>
        <v/>
      </c>
      <c r="N1922" s="61" t="str">
        <f>IFERROR(__xludf.DUMMYFUNCTION("INDIRECT(""'收支紀錄'!N""&amp;TO_TEXT(ROW()-$C$72))"),"")</f>
        <v/>
      </c>
      <c r="O1922" s="61" t="str">
        <f>IFERROR(__xludf.DUMMYFUNCTION("INDIRECT(""'收支紀錄'!O""&amp;TO_TEXT(ROW()-$C$72))"),"")</f>
        <v/>
      </c>
      <c r="P1922" s="61" t="str">
        <f>IFERROR(__xludf.DUMMYFUNCTION("INDIRECT(""'收支紀錄'!P""&amp;TO_TEXT(ROW()-$C$72))"),"")</f>
        <v/>
      </c>
      <c r="Q1922" s="61" t="str">
        <f>IFERROR(__xludf.DUMMYFUNCTION("INDIRECT(""'收支紀錄'!Q""&amp;TO_TEXT(ROW()-$C$72))"),"")</f>
        <v/>
      </c>
      <c r="R1922" s="61" t="str">
        <f>IFERROR(__xludf.DUMMYFUNCTION("INDIRECT(""'收支紀錄'!R""&amp;TO_TEXT(ROW()-$C$72))"),"")</f>
        <v/>
      </c>
      <c r="S1922" s="61" t="str">
        <f>IFERROR(__xludf.DUMMYFUNCTION("INDIRECT(""'收支紀錄'!S""&amp;TO_TEXT(ROW()-$C$72))"),"")</f>
        <v/>
      </c>
      <c r="T1922" s="61" t="str">
        <f>IFERROR(__xludf.DUMMYFUNCTION("INDIRECT(""'收支紀錄'!T""&amp;TO_TEXT(ROW()-$C$72))"),"")</f>
        <v/>
      </c>
      <c r="U1922" s="62" t="str">
        <f>IFERROR(__xludf.DUMMYFUNCTION("IF(T1922=""是"",TEXTJOIN("""", TRUE, ""$"", TO_TEXT(C1922), S1922),"""")"),"")</f>
        <v/>
      </c>
    </row>
    <row r="1923">
      <c r="A1923" s="58" t="str">
        <f>IFERROR(__xludf.DUMMYFUNCTION("INDIRECT(""'收支紀錄'!A""&amp;TO_TEXT(ROW()-$C$72))"),"")</f>
        <v/>
      </c>
      <c r="B1923" s="59" t="str">
        <f>IFERROR(__xludf.DUMMYFUNCTION("IF(ISBLANK(D1923), """", IF(ISDATE(D1923), D1923, IF(D1923=""今天"", A1923, IF(D1923=""昨天 (-1 day)"", A1923-1, IF(D1923=""前天 (-2 days)"", A1923-2, IF(D1923=""明天 (+1 day)"", A1923+1, DATE(LEFT(D1923,4), MID(D1923,5,2), RIGHT(D1923,2))))))))"),"")</f>
        <v/>
      </c>
      <c r="C1923" s="60" t="str">
        <f>IFERROR(__xludf.DUMMYFUNCTION("INDIRECT(""'收支紀錄'!C""&amp;TO_TEXT(ROW()-$C$72))"),"")</f>
        <v/>
      </c>
      <c r="D1923" s="63" t="str">
        <f>IFERROR(__xludf.DUMMYFUNCTION("INDIRECT(""'收支紀錄'!D""&amp;TO_TEXT(ROW()-$C$72))"),"")</f>
        <v/>
      </c>
      <c r="E1923" s="61" t="str">
        <f>IFERROR(__xludf.DUMMYFUNCTION("INDIRECT(""'收支紀錄'!E""&amp;TO_TEXT(ROW()-$C$72))"),"")</f>
        <v/>
      </c>
      <c r="F1923" s="61" t="str">
        <f>IFERROR(__xludf.DUMMYFUNCTION("INDIRECT(""'收支紀錄'!F""&amp;TO_TEXT(ROW()-$C$72))"),"")</f>
        <v/>
      </c>
      <c r="G1923" s="61" t="str">
        <f>IFERROR(__xludf.DUMMYFUNCTION("INDIRECT(""'收支紀錄'!G""&amp;TO_TEXT(ROW()-$C$72))"),"")</f>
        <v/>
      </c>
      <c r="H1923" s="61" t="str">
        <f>IFERROR(__xludf.DUMMYFUNCTION("INDIRECT(""'收支紀錄'!H""&amp;TO_TEXT(ROW()-$C$72))"),"")</f>
        <v/>
      </c>
      <c r="I1923" s="61" t="str">
        <f>IFERROR(__xludf.DUMMYFUNCTION("INDIRECT(""'收支紀錄'!I""&amp;TO_TEXT(ROW()-$C$72))"),"")</f>
        <v/>
      </c>
      <c r="J1923" s="61" t="str">
        <f>IFERROR(__xludf.DUMMYFUNCTION("INDIRECT(""'收支紀錄'!J""&amp;TO_TEXT(ROW()-$C$72))"),"")</f>
        <v/>
      </c>
      <c r="K1923" s="61" t="str">
        <f>IFERROR(__xludf.DUMMYFUNCTION("INDIRECT(""'收支紀錄'!K""&amp;TO_TEXT(ROW()-$C$72))"),"")</f>
        <v/>
      </c>
      <c r="L1923" s="61" t="str">
        <f>IFERROR(__xludf.DUMMYFUNCTION("INDIRECT(""'收支紀錄'!L""&amp;TO_TEXT(ROW()-$C$72))"),"")</f>
        <v/>
      </c>
      <c r="M1923" s="61" t="str">
        <f>IFERROR(__xludf.DUMMYFUNCTION("INDIRECT(""'收支紀錄'!M""&amp;TO_TEXT(ROW()-$C$72))"),"")</f>
        <v/>
      </c>
      <c r="N1923" s="61" t="str">
        <f>IFERROR(__xludf.DUMMYFUNCTION("INDIRECT(""'收支紀錄'!N""&amp;TO_TEXT(ROW()-$C$72))"),"")</f>
        <v/>
      </c>
      <c r="O1923" s="61" t="str">
        <f>IFERROR(__xludf.DUMMYFUNCTION("INDIRECT(""'收支紀錄'!O""&amp;TO_TEXT(ROW()-$C$72))"),"")</f>
        <v/>
      </c>
      <c r="P1923" s="61" t="str">
        <f>IFERROR(__xludf.DUMMYFUNCTION("INDIRECT(""'收支紀錄'!P""&amp;TO_TEXT(ROW()-$C$72))"),"")</f>
        <v/>
      </c>
      <c r="Q1923" s="61" t="str">
        <f>IFERROR(__xludf.DUMMYFUNCTION("INDIRECT(""'收支紀錄'!Q""&amp;TO_TEXT(ROW()-$C$72))"),"")</f>
        <v/>
      </c>
      <c r="R1923" s="61" t="str">
        <f>IFERROR(__xludf.DUMMYFUNCTION("INDIRECT(""'收支紀錄'!R""&amp;TO_TEXT(ROW()-$C$72))"),"")</f>
        <v/>
      </c>
      <c r="S1923" s="61" t="str">
        <f>IFERROR(__xludf.DUMMYFUNCTION("INDIRECT(""'收支紀錄'!S""&amp;TO_TEXT(ROW()-$C$72))"),"")</f>
        <v/>
      </c>
      <c r="T1923" s="61" t="str">
        <f>IFERROR(__xludf.DUMMYFUNCTION("INDIRECT(""'收支紀錄'!T""&amp;TO_TEXT(ROW()-$C$72))"),"")</f>
        <v/>
      </c>
      <c r="U1923" s="62" t="str">
        <f>IFERROR(__xludf.DUMMYFUNCTION("IF(T1923=""是"",TEXTJOIN("""", TRUE, ""$"", TO_TEXT(C1923), S1923),"""")"),"")</f>
        <v/>
      </c>
    </row>
    <row r="1924">
      <c r="A1924" s="58" t="str">
        <f>IFERROR(__xludf.DUMMYFUNCTION("INDIRECT(""'收支紀錄'!A""&amp;TO_TEXT(ROW()-$C$72))"),"")</f>
        <v/>
      </c>
      <c r="B1924" s="59" t="str">
        <f>IFERROR(__xludf.DUMMYFUNCTION("IF(ISBLANK(D1924), """", IF(ISDATE(D1924), D1924, IF(D1924=""今天"", A1924, IF(D1924=""昨天 (-1 day)"", A1924-1, IF(D1924=""前天 (-2 days)"", A1924-2, IF(D1924=""明天 (+1 day)"", A1924+1, DATE(LEFT(D1924,4), MID(D1924,5,2), RIGHT(D1924,2))))))))"),"")</f>
        <v/>
      </c>
      <c r="C1924" s="60" t="str">
        <f>IFERROR(__xludf.DUMMYFUNCTION("INDIRECT(""'收支紀錄'!C""&amp;TO_TEXT(ROW()-$C$72))"),"")</f>
        <v/>
      </c>
      <c r="D1924" s="63" t="str">
        <f>IFERROR(__xludf.DUMMYFUNCTION("INDIRECT(""'收支紀錄'!D""&amp;TO_TEXT(ROW()-$C$72))"),"")</f>
        <v/>
      </c>
      <c r="E1924" s="61" t="str">
        <f>IFERROR(__xludf.DUMMYFUNCTION("INDIRECT(""'收支紀錄'!E""&amp;TO_TEXT(ROW()-$C$72))"),"")</f>
        <v/>
      </c>
      <c r="F1924" s="61" t="str">
        <f>IFERROR(__xludf.DUMMYFUNCTION("INDIRECT(""'收支紀錄'!F""&amp;TO_TEXT(ROW()-$C$72))"),"")</f>
        <v/>
      </c>
      <c r="G1924" s="61" t="str">
        <f>IFERROR(__xludf.DUMMYFUNCTION("INDIRECT(""'收支紀錄'!G""&amp;TO_TEXT(ROW()-$C$72))"),"")</f>
        <v/>
      </c>
      <c r="H1924" s="61" t="str">
        <f>IFERROR(__xludf.DUMMYFUNCTION("INDIRECT(""'收支紀錄'!H""&amp;TO_TEXT(ROW()-$C$72))"),"")</f>
        <v/>
      </c>
      <c r="I1924" s="61" t="str">
        <f>IFERROR(__xludf.DUMMYFUNCTION("INDIRECT(""'收支紀錄'!I""&amp;TO_TEXT(ROW()-$C$72))"),"")</f>
        <v/>
      </c>
      <c r="J1924" s="61" t="str">
        <f>IFERROR(__xludf.DUMMYFUNCTION("INDIRECT(""'收支紀錄'!J""&amp;TO_TEXT(ROW()-$C$72))"),"")</f>
        <v/>
      </c>
      <c r="K1924" s="61" t="str">
        <f>IFERROR(__xludf.DUMMYFUNCTION("INDIRECT(""'收支紀錄'!K""&amp;TO_TEXT(ROW()-$C$72))"),"")</f>
        <v/>
      </c>
      <c r="L1924" s="61" t="str">
        <f>IFERROR(__xludf.DUMMYFUNCTION("INDIRECT(""'收支紀錄'!L""&amp;TO_TEXT(ROW()-$C$72))"),"")</f>
        <v/>
      </c>
      <c r="M1924" s="61" t="str">
        <f>IFERROR(__xludf.DUMMYFUNCTION("INDIRECT(""'收支紀錄'!M""&amp;TO_TEXT(ROW()-$C$72))"),"")</f>
        <v/>
      </c>
      <c r="N1924" s="61" t="str">
        <f>IFERROR(__xludf.DUMMYFUNCTION("INDIRECT(""'收支紀錄'!N""&amp;TO_TEXT(ROW()-$C$72))"),"")</f>
        <v/>
      </c>
      <c r="O1924" s="61" t="str">
        <f>IFERROR(__xludf.DUMMYFUNCTION("INDIRECT(""'收支紀錄'!O""&amp;TO_TEXT(ROW()-$C$72))"),"")</f>
        <v/>
      </c>
      <c r="P1924" s="61" t="str">
        <f>IFERROR(__xludf.DUMMYFUNCTION("INDIRECT(""'收支紀錄'!P""&amp;TO_TEXT(ROW()-$C$72))"),"")</f>
        <v/>
      </c>
      <c r="Q1924" s="61" t="str">
        <f>IFERROR(__xludf.DUMMYFUNCTION("INDIRECT(""'收支紀錄'!Q""&amp;TO_TEXT(ROW()-$C$72))"),"")</f>
        <v/>
      </c>
      <c r="R1924" s="61" t="str">
        <f>IFERROR(__xludf.DUMMYFUNCTION("INDIRECT(""'收支紀錄'!R""&amp;TO_TEXT(ROW()-$C$72))"),"")</f>
        <v/>
      </c>
      <c r="S1924" s="61" t="str">
        <f>IFERROR(__xludf.DUMMYFUNCTION("INDIRECT(""'收支紀錄'!S""&amp;TO_TEXT(ROW()-$C$72))"),"")</f>
        <v/>
      </c>
      <c r="T1924" s="61" t="str">
        <f>IFERROR(__xludf.DUMMYFUNCTION("INDIRECT(""'收支紀錄'!T""&amp;TO_TEXT(ROW()-$C$72))"),"")</f>
        <v/>
      </c>
      <c r="U1924" s="62" t="str">
        <f>IFERROR(__xludf.DUMMYFUNCTION("IF(T1924=""是"",TEXTJOIN("""", TRUE, ""$"", TO_TEXT(C1924), S1924),"""")"),"")</f>
        <v/>
      </c>
    </row>
    <row r="1925">
      <c r="A1925" s="58" t="str">
        <f>IFERROR(__xludf.DUMMYFUNCTION("INDIRECT(""'收支紀錄'!A""&amp;TO_TEXT(ROW()-$C$72))"),"")</f>
        <v/>
      </c>
      <c r="B1925" s="59" t="str">
        <f>IFERROR(__xludf.DUMMYFUNCTION("IF(ISBLANK(D1925), """", IF(ISDATE(D1925), D1925, IF(D1925=""今天"", A1925, IF(D1925=""昨天 (-1 day)"", A1925-1, IF(D1925=""前天 (-2 days)"", A1925-2, IF(D1925=""明天 (+1 day)"", A1925+1, DATE(LEFT(D1925,4), MID(D1925,5,2), RIGHT(D1925,2))))))))"),"")</f>
        <v/>
      </c>
      <c r="C1925" s="60" t="str">
        <f>IFERROR(__xludf.DUMMYFUNCTION("INDIRECT(""'收支紀錄'!C""&amp;TO_TEXT(ROW()-$C$72))"),"")</f>
        <v/>
      </c>
      <c r="D1925" s="63" t="str">
        <f>IFERROR(__xludf.DUMMYFUNCTION("INDIRECT(""'收支紀錄'!D""&amp;TO_TEXT(ROW()-$C$72))"),"")</f>
        <v/>
      </c>
      <c r="E1925" s="61" t="str">
        <f>IFERROR(__xludf.DUMMYFUNCTION("INDIRECT(""'收支紀錄'!E""&amp;TO_TEXT(ROW()-$C$72))"),"")</f>
        <v/>
      </c>
      <c r="F1925" s="61" t="str">
        <f>IFERROR(__xludf.DUMMYFUNCTION("INDIRECT(""'收支紀錄'!F""&amp;TO_TEXT(ROW()-$C$72))"),"")</f>
        <v/>
      </c>
      <c r="G1925" s="61" t="str">
        <f>IFERROR(__xludf.DUMMYFUNCTION("INDIRECT(""'收支紀錄'!G""&amp;TO_TEXT(ROW()-$C$72))"),"")</f>
        <v/>
      </c>
      <c r="H1925" s="61" t="str">
        <f>IFERROR(__xludf.DUMMYFUNCTION("INDIRECT(""'收支紀錄'!H""&amp;TO_TEXT(ROW()-$C$72))"),"")</f>
        <v/>
      </c>
      <c r="I1925" s="61" t="str">
        <f>IFERROR(__xludf.DUMMYFUNCTION("INDIRECT(""'收支紀錄'!I""&amp;TO_TEXT(ROW()-$C$72))"),"")</f>
        <v/>
      </c>
      <c r="J1925" s="61" t="str">
        <f>IFERROR(__xludf.DUMMYFUNCTION("INDIRECT(""'收支紀錄'!J""&amp;TO_TEXT(ROW()-$C$72))"),"")</f>
        <v/>
      </c>
      <c r="K1925" s="61" t="str">
        <f>IFERROR(__xludf.DUMMYFUNCTION("INDIRECT(""'收支紀錄'!K""&amp;TO_TEXT(ROW()-$C$72))"),"")</f>
        <v/>
      </c>
      <c r="L1925" s="61" t="str">
        <f>IFERROR(__xludf.DUMMYFUNCTION("INDIRECT(""'收支紀錄'!L""&amp;TO_TEXT(ROW()-$C$72))"),"")</f>
        <v/>
      </c>
      <c r="M1925" s="61" t="str">
        <f>IFERROR(__xludf.DUMMYFUNCTION("INDIRECT(""'收支紀錄'!M""&amp;TO_TEXT(ROW()-$C$72))"),"")</f>
        <v/>
      </c>
      <c r="N1925" s="61" t="str">
        <f>IFERROR(__xludf.DUMMYFUNCTION("INDIRECT(""'收支紀錄'!N""&amp;TO_TEXT(ROW()-$C$72))"),"")</f>
        <v/>
      </c>
      <c r="O1925" s="61" t="str">
        <f>IFERROR(__xludf.DUMMYFUNCTION("INDIRECT(""'收支紀錄'!O""&amp;TO_TEXT(ROW()-$C$72))"),"")</f>
        <v/>
      </c>
      <c r="P1925" s="61" t="str">
        <f>IFERROR(__xludf.DUMMYFUNCTION("INDIRECT(""'收支紀錄'!P""&amp;TO_TEXT(ROW()-$C$72))"),"")</f>
        <v/>
      </c>
      <c r="Q1925" s="61" t="str">
        <f>IFERROR(__xludf.DUMMYFUNCTION("INDIRECT(""'收支紀錄'!Q""&amp;TO_TEXT(ROW()-$C$72))"),"")</f>
        <v/>
      </c>
      <c r="R1925" s="61" t="str">
        <f>IFERROR(__xludf.DUMMYFUNCTION("INDIRECT(""'收支紀錄'!R""&amp;TO_TEXT(ROW()-$C$72))"),"")</f>
        <v/>
      </c>
      <c r="S1925" s="61" t="str">
        <f>IFERROR(__xludf.DUMMYFUNCTION("INDIRECT(""'收支紀錄'!S""&amp;TO_TEXT(ROW()-$C$72))"),"")</f>
        <v/>
      </c>
      <c r="T1925" s="61" t="str">
        <f>IFERROR(__xludf.DUMMYFUNCTION("INDIRECT(""'收支紀錄'!T""&amp;TO_TEXT(ROW()-$C$72))"),"")</f>
        <v/>
      </c>
      <c r="U1925" s="62" t="str">
        <f>IFERROR(__xludf.DUMMYFUNCTION("IF(T1925=""是"",TEXTJOIN("""", TRUE, ""$"", TO_TEXT(C1925), S1925),"""")"),"")</f>
        <v/>
      </c>
    </row>
    <row r="1926">
      <c r="A1926" s="58" t="str">
        <f>IFERROR(__xludf.DUMMYFUNCTION("INDIRECT(""'收支紀錄'!A""&amp;TO_TEXT(ROW()-$C$72))"),"")</f>
        <v/>
      </c>
      <c r="B1926" s="59" t="str">
        <f>IFERROR(__xludf.DUMMYFUNCTION("IF(ISBLANK(D1926), """", IF(ISDATE(D1926), D1926, IF(D1926=""今天"", A1926, IF(D1926=""昨天 (-1 day)"", A1926-1, IF(D1926=""前天 (-2 days)"", A1926-2, IF(D1926=""明天 (+1 day)"", A1926+1, DATE(LEFT(D1926,4), MID(D1926,5,2), RIGHT(D1926,2))))))))"),"")</f>
        <v/>
      </c>
      <c r="C1926" s="60" t="str">
        <f>IFERROR(__xludf.DUMMYFUNCTION("INDIRECT(""'收支紀錄'!C""&amp;TO_TEXT(ROW()-$C$72))"),"")</f>
        <v/>
      </c>
      <c r="D1926" s="63" t="str">
        <f>IFERROR(__xludf.DUMMYFUNCTION("INDIRECT(""'收支紀錄'!D""&amp;TO_TEXT(ROW()-$C$72))"),"")</f>
        <v/>
      </c>
      <c r="E1926" s="61" t="str">
        <f>IFERROR(__xludf.DUMMYFUNCTION("INDIRECT(""'收支紀錄'!E""&amp;TO_TEXT(ROW()-$C$72))"),"")</f>
        <v/>
      </c>
      <c r="F1926" s="61" t="str">
        <f>IFERROR(__xludf.DUMMYFUNCTION("INDIRECT(""'收支紀錄'!F""&amp;TO_TEXT(ROW()-$C$72))"),"")</f>
        <v/>
      </c>
      <c r="G1926" s="61" t="str">
        <f>IFERROR(__xludf.DUMMYFUNCTION("INDIRECT(""'收支紀錄'!G""&amp;TO_TEXT(ROW()-$C$72))"),"")</f>
        <v/>
      </c>
      <c r="H1926" s="61" t="str">
        <f>IFERROR(__xludf.DUMMYFUNCTION("INDIRECT(""'收支紀錄'!H""&amp;TO_TEXT(ROW()-$C$72))"),"")</f>
        <v/>
      </c>
      <c r="I1926" s="61" t="str">
        <f>IFERROR(__xludf.DUMMYFUNCTION("INDIRECT(""'收支紀錄'!I""&amp;TO_TEXT(ROW()-$C$72))"),"")</f>
        <v/>
      </c>
      <c r="J1926" s="61" t="str">
        <f>IFERROR(__xludf.DUMMYFUNCTION("INDIRECT(""'收支紀錄'!J""&amp;TO_TEXT(ROW()-$C$72))"),"")</f>
        <v/>
      </c>
      <c r="K1926" s="61" t="str">
        <f>IFERROR(__xludf.DUMMYFUNCTION("INDIRECT(""'收支紀錄'!K""&amp;TO_TEXT(ROW()-$C$72))"),"")</f>
        <v/>
      </c>
      <c r="L1926" s="61" t="str">
        <f>IFERROR(__xludf.DUMMYFUNCTION("INDIRECT(""'收支紀錄'!L""&amp;TO_TEXT(ROW()-$C$72))"),"")</f>
        <v/>
      </c>
      <c r="M1926" s="61" t="str">
        <f>IFERROR(__xludf.DUMMYFUNCTION("INDIRECT(""'收支紀錄'!M""&amp;TO_TEXT(ROW()-$C$72))"),"")</f>
        <v/>
      </c>
      <c r="N1926" s="61" t="str">
        <f>IFERROR(__xludf.DUMMYFUNCTION("INDIRECT(""'收支紀錄'!N""&amp;TO_TEXT(ROW()-$C$72))"),"")</f>
        <v/>
      </c>
      <c r="O1926" s="61" t="str">
        <f>IFERROR(__xludf.DUMMYFUNCTION("INDIRECT(""'收支紀錄'!O""&amp;TO_TEXT(ROW()-$C$72))"),"")</f>
        <v/>
      </c>
      <c r="P1926" s="61" t="str">
        <f>IFERROR(__xludf.DUMMYFUNCTION("INDIRECT(""'收支紀錄'!P""&amp;TO_TEXT(ROW()-$C$72))"),"")</f>
        <v/>
      </c>
      <c r="Q1926" s="61" t="str">
        <f>IFERROR(__xludf.DUMMYFUNCTION("INDIRECT(""'收支紀錄'!Q""&amp;TO_TEXT(ROW()-$C$72))"),"")</f>
        <v/>
      </c>
      <c r="R1926" s="61" t="str">
        <f>IFERROR(__xludf.DUMMYFUNCTION("INDIRECT(""'收支紀錄'!R""&amp;TO_TEXT(ROW()-$C$72))"),"")</f>
        <v/>
      </c>
      <c r="S1926" s="61" t="str">
        <f>IFERROR(__xludf.DUMMYFUNCTION("INDIRECT(""'收支紀錄'!S""&amp;TO_TEXT(ROW()-$C$72))"),"")</f>
        <v/>
      </c>
      <c r="T1926" s="61" t="str">
        <f>IFERROR(__xludf.DUMMYFUNCTION("INDIRECT(""'收支紀錄'!T""&amp;TO_TEXT(ROW()-$C$72))"),"")</f>
        <v/>
      </c>
      <c r="U1926" s="62" t="str">
        <f>IFERROR(__xludf.DUMMYFUNCTION("IF(T1926=""是"",TEXTJOIN("""", TRUE, ""$"", TO_TEXT(C1926), S1926),"""")"),"")</f>
        <v/>
      </c>
    </row>
    <row r="1927">
      <c r="A1927" s="58" t="str">
        <f>IFERROR(__xludf.DUMMYFUNCTION("INDIRECT(""'收支紀錄'!A""&amp;TO_TEXT(ROW()-$C$72))"),"")</f>
        <v/>
      </c>
      <c r="B1927" s="59" t="str">
        <f>IFERROR(__xludf.DUMMYFUNCTION("IF(ISBLANK(D1927), """", IF(ISDATE(D1927), D1927, IF(D1927=""今天"", A1927, IF(D1927=""昨天 (-1 day)"", A1927-1, IF(D1927=""前天 (-2 days)"", A1927-2, IF(D1927=""明天 (+1 day)"", A1927+1, DATE(LEFT(D1927,4), MID(D1927,5,2), RIGHT(D1927,2))))))))"),"")</f>
        <v/>
      </c>
      <c r="C1927" s="60" t="str">
        <f>IFERROR(__xludf.DUMMYFUNCTION("INDIRECT(""'收支紀錄'!C""&amp;TO_TEXT(ROW()-$C$72))"),"")</f>
        <v/>
      </c>
      <c r="D1927" s="63" t="str">
        <f>IFERROR(__xludf.DUMMYFUNCTION("INDIRECT(""'收支紀錄'!D""&amp;TO_TEXT(ROW()-$C$72))"),"")</f>
        <v/>
      </c>
      <c r="E1927" s="61" t="str">
        <f>IFERROR(__xludf.DUMMYFUNCTION("INDIRECT(""'收支紀錄'!E""&amp;TO_TEXT(ROW()-$C$72))"),"")</f>
        <v/>
      </c>
      <c r="F1927" s="61" t="str">
        <f>IFERROR(__xludf.DUMMYFUNCTION("INDIRECT(""'收支紀錄'!F""&amp;TO_TEXT(ROW()-$C$72))"),"")</f>
        <v/>
      </c>
      <c r="G1927" s="61" t="str">
        <f>IFERROR(__xludf.DUMMYFUNCTION("INDIRECT(""'收支紀錄'!G""&amp;TO_TEXT(ROW()-$C$72))"),"")</f>
        <v/>
      </c>
      <c r="H1927" s="61" t="str">
        <f>IFERROR(__xludf.DUMMYFUNCTION("INDIRECT(""'收支紀錄'!H""&amp;TO_TEXT(ROW()-$C$72))"),"")</f>
        <v/>
      </c>
      <c r="I1927" s="61" t="str">
        <f>IFERROR(__xludf.DUMMYFUNCTION("INDIRECT(""'收支紀錄'!I""&amp;TO_TEXT(ROW()-$C$72))"),"")</f>
        <v/>
      </c>
      <c r="J1927" s="61" t="str">
        <f>IFERROR(__xludf.DUMMYFUNCTION("INDIRECT(""'收支紀錄'!J""&amp;TO_TEXT(ROW()-$C$72))"),"")</f>
        <v/>
      </c>
      <c r="K1927" s="61" t="str">
        <f>IFERROR(__xludf.DUMMYFUNCTION("INDIRECT(""'收支紀錄'!K""&amp;TO_TEXT(ROW()-$C$72))"),"")</f>
        <v/>
      </c>
      <c r="L1927" s="61" t="str">
        <f>IFERROR(__xludf.DUMMYFUNCTION("INDIRECT(""'收支紀錄'!L""&amp;TO_TEXT(ROW()-$C$72))"),"")</f>
        <v/>
      </c>
      <c r="M1927" s="61" t="str">
        <f>IFERROR(__xludf.DUMMYFUNCTION("INDIRECT(""'收支紀錄'!M""&amp;TO_TEXT(ROW()-$C$72))"),"")</f>
        <v/>
      </c>
      <c r="N1927" s="61" t="str">
        <f>IFERROR(__xludf.DUMMYFUNCTION("INDIRECT(""'收支紀錄'!N""&amp;TO_TEXT(ROW()-$C$72))"),"")</f>
        <v/>
      </c>
      <c r="O1927" s="61" t="str">
        <f>IFERROR(__xludf.DUMMYFUNCTION("INDIRECT(""'收支紀錄'!O""&amp;TO_TEXT(ROW()-$C$72))"),"")</f>
        <v/>
      </c>
      <c r="P1927" s="61" t="str">
        <f>IFERROR(__xludf.DUMMYFUNCTION("INDIRECT(""'收支紀錄'!P""&amp;TO_TEXT(ROW()-$C$72))"),"")</f>
        <v/>
      </c>
      <c r="Q1927" s="61" t="str">
        <f>IFERROR(__xludf.DUMMYFUNCTION("INDIRECT(""'收支紀錄'!Q""&amp;TO_TEXT(ROW()-$C$72))"),"")</f>
        <v/>
      </c>
      <c r="R1927" s="61" t="str">
        <f>IFERROR(__xludf.DUMMYFUNCTION("INDIRECT(""'收支紀錄'!R""&amp;TO_TEXT(ROW()-$C$72))"),"")</f>
        <v/>
      </c>
      <c r="S1927" s="61" t="str">
        <f>IFERROR(__xludf.DUMMYFUNCTION("INDIRECT(""'收支紀錄'!S""&amp;TO_TEXT(ROW()-$C$72))"),"")</f>
        <v/>
      </c>
      <c r="T1927" s="61" t="str">
        <f>IFERROR(__xludf.DUMMYFUNCTION("INDIRECT(""'收支紀錄'!T""&amp;TO_TEXT(ROW()-$C$72))"),"")</f>
        <v/>
      </c>
      <c r="U1927" s="62" t="str">
        <f>IFERROR(__xludf.DUMMYFUNCTION("IF(T1927=""是"",TEXTJOIN("""", TRUE, ""$"", TO_TEXT(C1927), S1927),"""")"),"")</f>
        <v/>
      </c>
    </row>
    <row r="1928">
      <c r="A1928" s="58" t="str">
        <f>IFERROR(__xludf.DUMMYFUNCTION("INDIRECT(""'收支紀錄'!A""&amp;TO_TEXT(ROW()-$C$72))"),"")</f>
        <v/>
      </c>
      <c r="B1928" s="59" t="str">
        <f>IFERROR(__xludf.DUMMYFUNCTION("IF(ISBLANK(D1928), """", IF(ISDATE(D1928), D1928, IF(D1928=""今天"", A1928, IF(D1928=""昨天 (-1 day)"", A1928-1, IF(D1928=""前天 (-2 days)"", A1928-2, IF(D1928=""明天 (+1 day)"", A1928+1, DATE(LEFT(D1928,4), MID(D1928,5,2), RIGHT(D1928,2))))))))"),"")</f>
        <v/>
      </c>
      <c r="C1928" s="60" t="str">
        <f>IFERROR(__xludf.DUMMYFUNCTION("INDIRECT(""'收支紀錄'!C""&amp;TO_TEXT(ROW()-$C$72))"),"")</f>
        <v/>
      </c>
      <c r="D1928" s="63" t="str">
        <f>IFERROR(__xludf.DUMMYFUNCTION("INDIRECT(""'收支紀錄'!D""&amp;TO_TEXT(ROW()-$C$72))"),"")</f>
        <v/>
      </c>
      <c r="E1928" s="61" t="str">
        <f>IFERROR(__xludf.DUMMYFUNCTION("INDIRECT(""'收支紀錄'!E""&amp;TO_TEXT(ROW()-$C$72))"),"")</f>
        <v/>
      </c>
      <c r="F1928" s="61" t="str">
        <f>IFERROR(__xludf.DUMMYFUNCTION("INDIRECT(""'收支紀錄'!F""&amp;TO_TEXT(ROW()-$C$72))"),"")</f>
        <v/>
      </c>
      <c r="G1928" s="61" t="str">
        <f>IFERROR(__xludf.DUMMYFUNCTION("INDIRECT(""'收支紀錄'!G""&amp;TO_TEXT(ROW()-$C$72))"),"")</f>
        <v/>
      </c>
      <c r="H1928" s="61" t="str">
        <f>IFERROR(__xludf.DUMMYFUNCTION("INDIRECT(""'收支紀錄'!H""&amp;TO_TEXT(ROW()-$C$72))"),"")</f>
        <v/>
      </c>
      <c r="I1928" s="61" t="str">
        <f>IFERROR(__xludf.DUMMYFUNCTION("INDIRECT(""'收支紀錄'!I""&amp;TO_TEXT(ROW()-$C$72))"),"")</f>
        <v/>
      </c>
      <c r="J1928" s="61" t="str">
        <f>IFERROR(__xludf.DUMMYFUNCTION("INDIRECT(""'收支紀錄'!J""&amp;TO_TEXT(ROW()-$C$72))"),"")</f>
        <v/>
      </c>
      <c r="K1928" s="61" t="str">
        <f>IFERROR(__xludf.DUMMYFUNCTION("INDIRECT(""'收支紀錄'!K""&amp;TO_TEXT(ROW()-$C$72))"),"")</f>
        <v/>
      </c>
      <c r="L1928" s="61" t="str">
        <f>IFERROR(__xludf.DUMMYFUNCTION("INDIRECT(""'收支紀錄'!L""&amp;TO_TEXT(ROW()-$C$72))"),"")</f>
        <v/>
      </c>
      <c r="M1928" s="61" t="str">
        <f>IFERROR(__xludf.DUMMYFUNCTION("INDIRECT(""'收支紀錄'!M""&amp;TO_TEXT(ROW()-$C$72))"),"")</f>
        <v/>
      </c>
      <c r="N1928" s="61" t="str">
        <f>IFERROR(__xludf.DUMMYFUNCTION("INDIRECT(""'收支紀錄'!N""&amp;TO_TEXT(ROW()-$C$72))"),"")</f>
        <v/>
      </c>
      <c r="O1928" s="61" t="str">
        <f>IFERROR(__xludf.DUMMYFUNCTION("INDIRECT(""'收支紀錄'!O""&amp;TO_TEXT(ROW()-$C$72))"),"")</f>
        <v/>
      </c>
      <c r="P1928" s="61" t="str">
        <f>IFERROR(__xludf.DUMMYFUNCTION("INDIRECT(""'收支紀錄'!P""&amp;TO_TEXT(ROW()-$C$72))"),"")</f>
        <v/>
      </c>
      <c r="Q1928" s="61" t="str">
        <f>IFERROR(__xludf.DUMMYFUNCTION("INDIRECT(""'收支紀錄'!Q""&amp;TO_TEXT(ROW()-$C$72))"),"")</f>
        <v/>
      </c>
      <c r="R1928" s="61" t="str">
        <f>IFERROR(__xludf.DUMMYFUNCTION("INDIRECT(""'收支紀錄'!R""&amp;TO_TEXT(ROW()-$C$72))"),"")</f>
        <v/>
      </c>
      <c r="S1928" s="61" t="str">
        <f>IFERROR(__xludf.DUMMYFUNCTION("INDIRECT(""'收支紀錄'!S""&amp;TO_TEXT(ROW()-$C$72))"),"")</f>
        <v/>
      </c>
      <c r="T1928" s="61" t="str">
        <f>IFERROR(__xludf.DUMMYFUNCTION("INDIRECT(""'收支紀錄'!T""&amp;TO_TEXT(ROW()-$C$72))"),"")</f>
        <v/>
      </c>
      <c r="U1928" s="62" t="str">
        <f>IFERROR(__xludf.DUMMYFUNCTION("IF(T1928=""是"",TEXTJOIN("""", TRUE, ""$"", TO_TEXT(C1928), S1928),"""")"),"")</f>
        <v/>
      </c>
    </row>
    <row r="1929">
      <c r="A1929" s="58" t="str">
        <f>IFERROR(__xludf.DUMMYFUNCTION("INDIRECT(""'收支紀錄'!A""&amp;TO_TEXT(ROW()-$C$72))"),"")</f>
        <v/>
      </c>
      <c r="B1929" s="59" t="str">
        <f>IFERROR(__xludf.DUMMYFUNCTION("IF(ISBLANK(D1929), """", IF(ISDATE(D1929), D1929, IF(D1929=""今天"", A1929, IF(D1929=""昨天 (-1 day)"", A1929-1, IF(D1929=""前天 (-2 days)"", A1929-2, IF(D1929=""明天 (+1 day)"", A1929+1, DATE(LEFT(D1929,4), MID(D1929,5,2), RIGHT(D1929,2))))))))"),"")</f>
        <v/>
      </c>
      <c r="C1929" s="60" t="str">
        <f>IFERROR(__xludf.DUMMYFUNCTION("INDIRECT(""'收支紀錄'!C""&amp;TO_TEXT(ROW()-$C$72))"),"")</f>
        <v/>
      </c>
      <c r="D1929" s="63" t="str">
        <f>IFERROR(__xludf.DUMMYFUNCTION("INDIRECT(""'收支紀錄'!D""&amp;TO_TEXT(ROW()-$C$72))"),"")</f>
        <v/>
      </c>
      <c r="E1929" s="61" t="str">
        <f>IFERROR(__xludf.DUMMYFUNCTION("INDIRECT(""'收支紀錄'!E""&amp;TO_TEXT(ROW()-$C$72))"),"")</f>
        <v/>
      </c>
      <c r="F1929" s="61" t="str">
        <f>IFERROR(__xludf.DUMMYFUNCTION("INDIRECT(""'收支紀錄'!F""&amp;TO_TEXT(ROW()-$C$72))"),"")</f>
        <v/>
      </c>
      <c r="G1929" s="61" t="str">
        <f>IFERROR(__xludf.DUMMYFUNCTION("INDIRECT(""'收支紀錄'!G""&amp;TO_TEXT(ROW()-$C$72))"),"")</f>
        <v/>
      </c>
      <c r="H1929" s="61" t="str">
        <f>IFERROR(__xludf.DUMMYFUNCTION("INDIRECT(""'收支紀錄'!H""&amp;TO_TEXT(ROW()-$C$72))"),"")</f>
        <v/>
      </c>
      <c r="I1929" s="61" t="str">
        <f>IFERROR(__xludf.DUMMYFUNCTION("INDIRECT(""'收支紀錄'!I""&amp;TO_TEXT(ROW()-$C$72))"),"")</f>
        <v/>
      </c>
      <c r="J1929" s="61" t="str">
        <f>IFERROR(__xludf.DUMMYFUNCTION("INDIRECT(""'收支紀錄'!J""&amp;TO_TEXT(ROW()-$C$72))"),"")</f>
        <v/>
      </c>
      <c r="K1929" s="61" t="str">
        <f>IFERROR(__xludf.DUMMYFUNCTION("INDIRECT(""'收支紀錄'!K""&amp;TO_TEXT(ROW()-$C$72))"),"")</f>
        <v/>
      </c>
      <c r="L1929" s="61" t="str">
        <f>IFERROR(__xludf.DUMMYFUNCTION("INDIRECT(""'收支紀錄'!L""&amp;TO_TEXT(ROW()-$C$72))"),"")</f>
        <v/>
      </c>
      <c r="M1929" s="61" t="str">
        <f>IFERROR(__xludf.DUMMYFUNCTION("INDIRECT(""'收支紀錄'!M""&amp;TO_TEXT(ROW()-$C$72))"),"")</f>
        <v/>
      </c>
      <c r="N1929" s="61" t="str">
        <f>IFERROR(__xludf.DUMMYFUNCTION("INDIRECT(""'收支紀錄'!N""&amp;TO_TEXT(ROW()-$C$72))"),"")</f>
        <v/>
      </c>
      <c r="O1929" s="61" t="str">
        <f>IFERROR(__xludf.DUMMYFUNCTION("INDIRECT(""'收支紀錄'!O""&amp;TO_TEXT(ROW()-$C$72))"),"")</f>
        <v/>
      </c>
      <c r="P1929" s="61" t="str">
        <f>IFERROR(__xludf.DUMMYFUNCTION("INDIRECT(""'收支紀錄'!P""&amp;TO_TEXT(ROW()-$C$72))"),"")</f>
        <v/>
      </c>
      <c r="Q1929" s="61" t="str">
        <f>IFERROR(__xludf.DUMMYFUNCTION("INDIRECT(""'收支紀錄'!Q""&amp;TO_TEXT(ROW()-$C$72))"),"")</f>
        <v/>
      </c>
      <c r="R1929" s="61" t="str">
        <f>IFERROR(__xludf.DUMMYFUNCTION("INDIRECT(""'收支紀錄'!R""&amp;TO_TEXT(ROW()-$C$72))"),"")</f>
        <v/>
      </c>
      <c r="S1929" s="61" t="str">
        <f>IFERROR(__xludf.DUMMYFUNCTION("INDIRECT(""'收支紀錄'!S""&amp;TO_TEXT(ROW()-$C$72))"),"")</f>
        <v/>
      </c>
      <c r="T1929" s="61" t="str">
        <f>IFERROR(__xludf.DUMMYFUNCTION("INDIRECT(""'收支紀錄'!T""&amp;TO_TEXT(ROW()-$C$72))"),"")</f>
        <v/>
      </c>
      <c r="U1929" s="62" t="str">
        <f>IFERROR(__xludf.DUMMYFUNCTION("IF(T1929=""是"",TEXTJOIN("""", TRUE, ""$"", TO_TEXT(C1929), S1929),"""")"),"")</f>
        <v/>
      </c>
    </row>
    <row r="1930">
      <c r="A1930" s="58" t="str">
        <f>IFERROR(__xludf.DUMMYFUNCTION("INDIRECT(""'收支紀錄'!A""&amp;TO_TEXT(ROW()-$C$72))"),"")</f>
        <v/>
      </c>
      <c r="B1930" s="59" t="str">
        <f>IFERROR(__xludf.DUMMYFUNCTION("IF(ISBLANK(D1930), """", IF(ISDATE(D1930), D1930, IF(D1930=""今天"", A1930, IF(D1930=""昨天 (-1 day)"", A1930-1, IF(D1930=""前天 (-2 days)"", A1930-2, IF(D1930=""明天 (+1 day)"", A1930+1, DATE(LEFT(D1930,4), MID(D1930,5,2), RIGHT(D1930,2))))))))"),"")</f>
        <v/>
      </c>
      <c r="C1930" s="60" t="str">
        <f>IFERROR(__xludf.DUMMYFUNCTION("INDIRECT(""'收支紀錄'!C""&amp;TO_TEXT(ROW()-$C$72))"),"")</f>
        <v/>
      </c>
      <c r="D1930" s="63" t="str">
        <f>IFERROR(__xludf.DUMMYFUNCTION("INDIRECT(""'收支紀錄'!D""&amp;TO_TEXT(ROW()-$C$72))"),"")</f>
        <v/>
      </c>
      <c r="E1930" s="61" t="str">
        <f>IFERROR(__xludf.DUMMYFUNCTION("INDIRECT(""'收支紀錄'!E""&amp;TO_TEXT(ROW()-$C$72))"),"")</f>
        <v/>
      </c>
      <c r="F1930" s="61" t="str">
        <f>IFERROR(__xludf.DUMMYFUNCTION("INDIRECT(""'收支紀錄'!F""&amp;TO_TEXT(ROW()-$C$72))"),"")</f>
        <v/>
      </c>
      <c r="G1930" s="61" t="str">
        <f>IFERROR(__xludf.DUMMYFUNCTION("INDIRECT(""'收支紀錄'!G""&amp;TO_TEXT(ROW()-$C$72))"),"")</f>
        <v/>
      </c>
      <c r="H1930" s="61" t="str">
        <f>IFERROR(__xludf.DUMMYFUNCTION("INDIRECT(""'收支紀錄'!H""&amp;TO_TEXT(ROW()-$C$72))"),"")</f>
        <v/>
      </c>
      <c r="I1930" s="61" t="str">
        <f>IFERROR(__xludf.DUMMYFUNCTION("INDIRECT(""'收支紀錄'!I""&amp;TO_TEXT(ROW()-$C$72))"),"")</f>
        <v/>
      </c>
      <c r="J1930" s="61" t="str">
        <f>IFERROR(__xludf.DUMMYFUNCTION("INDIRECT(""'收支紀錄'!J""&amp;TO_TEXT(ROW()-$C$72))"),"")</f>
        <v/>
      </c>
      <c r="K1930" s="61" t="str">
        <f>IFERROR(__xludf.DUMMYFUNCTION("INDIRECT(""'收支紀錄'!K""&amp;TO_TEXT(ROW()-$C$72))"),"")</f>
        <v/>
      </c>
      <c r="L1930" s="61" t="str">
        <f>IFERROR(__xludf.DUMMYFUNCTION("INDIRECT(""'收支紀錄'!L""&amp;TO_TEXT(ROW()-$C$72))"),"")</f>
        <v/>
      </c>
      <c r="M1930" s="61" t="str">
        <f>IFERROR(__xludf.DUMMYFUNCTION("INDIRECT(""'收支紀錄'!M""&amp;TO_TEXT(ROW()-$C$72))"),"")</f>
        <v/>
      </c>
      <c r="N1930" s="61" t="str">
        <f>IFERROR(__xludf.DUMMYFUNCTION("INDIRECT(""'收支紀錄'!N""&amp;TO_TEXT(ROW()-$C$72))"),"")</f>
        <v/>
      </c>
      <c r="O1930" s="61" t="str">
        <f>IFERROR(__xludf.DUMMYFUNCTION("INDIRECT(""'收支紀錄'!O""&amp;TO_TEXT(ROW()-$C$72))"),"")</f>
        <v/>
      </c>
      <c r="P1930" s="61" t="str">
        <f>IFERROR(__xludf.DUMMYFUNCTION("INDIRECT(""'收支紀錄'!P""&amp;TO_TEXT(ROW()-$C$72))"),"")</f>
        <v/>
      </c>
      <c r="Q1930" s="61" t="str">
        <f>IFERROR(__xludf.DUMMYFUNCTION("INDIRECT(""'收支紀錄'!Q""&amp;TO_TEXT(ROW()-$C$72))"),"")</f>
        <v/>
      </c>
      <c r="R1930" s="61" t="str">
        <f>IFERROR(__xludf.DUMMYFUNCTION("INDIRECT(""'收支紀錄'!R""&amp;TO_TEXT(ROW()-$C$72))"),"")</f>
        <v/>
      </c>
      <c r="S1930" s="61" t="str">
        <f>IFERROR(__xludf.DUMMYFUNCTION("INDIRECT(""'收支紀錄'!S""&amp;TO_TEXT(ROW()-$C$72))"),"")</f>
        <v/>
      </c>
      <c r="T1930" s="61" t="str">
        <f>IFERROR(__xludf.DUMMYFUNCTION("INDIRECT(""'收支紀錄'!T""&amp;TO_TEXT(ROW()-$C$72))"),"")</f>
        <v/>
      </c>
      <c r="U1930" s="62" t="str">
        <f>IFERROR(__xludf.DUMMYFUNCTION("IF(T1930=""是"",TEXTJOIN("""", TRUE, ""$"", TO_TEXT(C1930), S1930),"""")"),"")</f>
        <v/>
      </c>
    </row>
    <row r="1931">
      <c r="A1931" s="58" t="str">
        <f>IFERROR(__xludf.DUMMYFUNCTION("INDIRECT(""'收支紀錄'!A""&amp;TO_TEXT(ROW()-$C$72))"),"")</f>
        <v/>
      </c>
      <c r="B1931" s="59" t="str">
        <f>IFERROR(__xludf.DUMMYFUNCTION("IF(ISBLANK(D1931), """", IF(ISDATE(D1931), D1931, IF(D1931=""今天"", A1931, IF(D1931=""昨天 (-1 day)"", A1931-1, IF(D1931=""前天 (-2 days)"", A1931-2, IF(D1931=""明天 (+1 day)"", A1931+1, DATE(LEFT(D1931,4), MID(D1931,5,2), RIGHT(D1931,2))))))))"),"")</f>
        <v/>
      </c>
      <c r="C1931" s="60" t="str">
        <f>IFERROR(__xludf.DUMMYFUNCTION("INDIRECT(""'收支紀錄'!C""&amp;TO_TEXT(ROW()-$C$72))"),"")</f>
        <v/>
      </c>
      <c r="D1931" s="63" t="str">
        <f>IFERROR(__xludf.DUMMYFUNCTION("INDIRECT(""'收支紀錄'!D""&amp;TO_TEXT(ROW()-$C$72))"),"")</f>
        <v/>
      </c>
      <c r="E1931" s="61" t="str">
        <f>IFERROR(__xludf.DUMMYFUNCTION("INDIRECT(""'收支紀錄'!E""&amp;TO_TEXT(ROW()-$C$72))"),"")</f>
        <v/>
      </c>
      <c r="F1931" s="61" t="str">
        <f>IFERROR(__xludf.DUMMYFUNCTION("INDIRECT(""'收支紀錄'!F""&amp;TO_TEXT(ROW()-$C$72))"),"")</f>
        <v/>
      </c>
      <c r="G1931" s="61" t="str">
        <f>IFERROR(__xludf.DUMMYFUNCTION("INDIRECT(""'收支紀錄'!G""&amp;TO_TEXT(ROW()-$C$72))"),"")</f>
        <v/>
      </c>
      <c r="H1931" s="61" t="str">
        <f>IFERROR(__xludf.DUMMYFUNCTION("INDIRECT(""'收支紀錄'!H""&amp;TO_TEXT(ROW()-$C$72))"),"")</f>
        <v/>
      </c>
      <c r="I1931" s="61" t="str">
        <f>IFERROR(__xludf.DUMMYFUNCTION("INDIRECT(""'收支紀錄'!I""&amp;TO_TEXT(ROW()-$C$72))"),"")</f>
        <v/>
      </c>
      <c r="J1931" s="61" t="str">
        <f>IFERROR(__xludf.DUMMYFUNCTION("INDIRECT(""'收支紀錄'!J""&amp;TO_TEXT(ROW()-$C$72))"),"")</f>
        <v/>
      </c>
      <c r="K1931" s="61" t="str">
        <f>IFERROR(__xludf.DUMMYFUNCTION("INDIRECT(""'收支紀錄'!K""&amp;TO_TEXT(ROW()-$C$72))"),"")</f>
        <v/>
      </c>
      <c r="L1931" s="61" t="str">
        <f>IFERROR(__xludf.DUMMYFUNCTION("INDIRECT(""'收支紀錄'!L""&amp;TO_TEXT(ROW()-$C$72))"),"")</f>
        <v/>
      </c>
      <c r="M1931" s="61" t="str">
        <f>IFERROR(__xludf.DUMMYFUNCTION("INDIRECT(""'收支紀錄'!M""&amp;TO_TEXT(ROW()-$C$72))"),"")</f>
        <v/>
      </c>
      <c r="N1931" s="61" t="str">
        <f>IFERROR(__xludf.DUMMYFUNCTION("INDIRECT(""'收支紀錄'!N""&amp;TO_TEXT(ROW()-$C$72))"),"")</f>
        <v/>
      </c>
      <c r="O1931" s="61" t="str">
        <f>IFERROR(__xludf.DUMMYFUNCTION("INDIRECT(""'收支紀錄'!O""&amp;TO_TEXT(ROW()-$C$72))"),"")</f>
        <v/>
      </c>
      <c r="P1931" s="61" t="str">
        <f>IFERROR(__xludf.DUMMYFUNCTION("INDIRECT(""'收支紀錄'!P""&amp;TO_TEXT(ROW()-$C$72))"),"")</f>
        <v/>
      </c>
      <c r="Q1931" s="61" t="str">
        <f>IFERROR(__xludf.DUMMYFUNCTION("INDIRECT(""'收支紀錄'!Q""&amp;TO_TEXT(ROW()-$C$72))"),"")</f>
        <v/>
      </c>
      <c r="R1931" s="61" t="str">
        <f>IFERROR(__xludf.DUMMYFUNCTION("INDIRECT(""'收支紀錄'!R""&amp;TO_TEXT(ROW()-$C$72))"),"")</f>
        <v/>
      </c>
      <c r="S1931" s="61" t="str">
        <f>IFERROR(__xludf.DUMMYFUNCTION("INDIRECT(""'收支紀錄'!S""&amp;TO_TEXT(ROW()-$C$72))"),"")</f>
        <v/>
      </c>
      <c r="T1931" s="61" t="str">
        <f>IFERROR(__xludf.DUMMYFUNCTION("INDIRECT(""'收支紀錄'!T""&amp;TO_TEXT(ROW()-$C$72))"),"")</f>
        <v/>
      </c>
      <c r="U1931" s="62" t="str">
        <f>IFERROR(__xludf.DUMMYFUNCTION("IF(T1931=""是"",TEXTJOIN("""", TRUE, ""$"", TO_TEXT(C1931), S1931),"""")"),"")</f>
        <v/>
      </c>
    </row>
    <row r="1932">
      <c r="A1932" s="58" t="str">
        <f>IFERROR(__xludf.DUMMYFUNCTION("INDIRECT(""'收支紀錄'!A""&amp;TO_TEXT(ROW()-$C$72))"),"")</f>
        <v/>
      </c>
      <c r="B1932" s="59" t="str">
        <f>IFERROR(__xludf.DUMMYFUNCTION("IF(ISBLANK(D1932), """", IF(ISDATE(D1932), D1932, IF(D1932=""今天"", A1932, IF(D1932=""昨天 (-1 day)"", A1932-1, IF(D1932=""前天 (-2 days)"", A1932-2, IF(D1932=""明天 (+1 day)"", A1932+1, DATE(LEFT(D1932,4), MID(D1932,5,2), RIGHT(D1932,2))))))))"),"")</f>
        <v/>
      </c>
      <c r="C1932" s="60" t="str">
        <f>IFERROR(__xludf.DUMMYFUNCTION("INDIRECT(""'收支紀錄'!C""&amp;TO_TEXT(ROW()-$C$72))"),"")</f>
        <v/>
      </c>
      <c r="D1932" s="63" t="str">
        <f>IFERROR(__xludf.DUMMYFUNCTION("INDIRECT(""'收支紀錄'!D""&amp;TO_TEXT(ROW()-$C$72))"),"")</f>
        <v/>
      </c>
      <c r="E1932" s="61" t="str">
        <f>IFERROR(__xludf.DUMMYFUNCTION("INDIRECT(""'收支紀錄'!E""&amp;TO_TEXT(ROW()-$C$72))"),"")</f>
        <v/>
      </c>
      <c r="F1932" s="61" t="str">
        <f>IFERROR(__xludf.DUMMYFUNCTION("INDIRECT(""'收支紀錄'!F""&amp;TO_TEXT(ROW()-$C$72))"),"")</f>
        <v/>
      </c>
      <c r="G1932" s="61" t="str">
        <f>IFERROR(__xludf.DUMMYFUNCTION("INDIRECT(""'收支紀錄'!G""&amp;TO_TEXT(ROW()-$C$72))"),"")</f>
        <v/>
      </c>
      <c r="H1932" s="61" t="str">
        <f>IFERROR(__xludf.DUMMYFUNCTION("INDIRECT(""'收支紀錄'!H""&amp;TO_TEXT(ROW()-$C$72))"),"")</f>
        <v/>
      </c>
      <c r="I1932" s="61" t="str">
        <f>IFERROR(__xludf.DUMMYFUNCTION("INDIRECT(""'收支紀錄'!I""&amp;TO_TEXT(ROW()-$C$72))"),"")</f>
        <v/>
      </c>
      <c r="J1932" s="61" t="str">
        <f>IFERROR(__xludf.DUMMYFUNCTION("INDIRECT(""'收支紀錄'!J""&amp;TO_TEXT(ROW()-$C$72))"),"")</f>
        <v/>
      </c>
      <c r="K1932" s="61" t="str">
        <f>IFERROR(__xludf.DUMMYFUNCTION("INDIRECT(""'收支紀錄'!K""&amp;TO_TEXT(ROW()-$C$72))"),"")</f>
        <v/>
      </c>
      <c r="L1932" s="61" t="str">
        <f>IFERROR(__xludf.DUMMYFUNCTION("INDIRECT(""'收支紀錄'!L""&amp;TO_TEXT(ROW()-$C$72))"),"")</f>
        <v/>
      </c>
      <c r="M1932" s="61" t="str">
        <f>IFERROR(__xludf.DUMMYFUNCTION("INDIRECT(""'收支紀錄'!M""&amp;TO_TEXT(ROW()-$C$72))"),"")</f>
        <v/>
      </c>
      <c r="N1932" s="61" t="str">
        <f>IFERROR(__xludf.DUMMYFUNCTION("INDIRECT(""'收支紀錄'!N""&amp;TO_TEXT(ROW()-$C$72))"),"")</f>
        <v/>
      </c>
      <c r="O1932" s="61" t="str">
        <f>IFERROR(__xludf.DUMMYFUNCTION("INDIRECT(""'收支紀錄'!O""&amp;TO_TEXT(ROW()-$C$72))"),"")</f>
        <v/>
      </c>
      <c r="P1932" s="61" t="str">
        <f>IFERROR(__xludf.DUMMYFUNCTION("INDIRECT(""'收支紀錄'!P""&amp;TO_TEXT(ROW()-$C$72))"),"")</f>
        <v/>
      </c>
      <c r="Q1932" s="61" t="str">
        <f>IFERROR(__xludf.DUMMYFUNCTION("INDIRECT(""'收支紀錄'!Q""&amp;TO_TEXT(ROW()-$C$72))"),"")</f>
        <v/>
      </c>
      <c r="R1932" s="61" t="str">
        <f>IFERROR(__xludf.DUMMYFUNCTION("INDIRECT(""'收支紀錄'!R""&amp;TO_TEXT(ROW()-$C$72))"),"")</f>
        <v/>
      </c>
      <c r="S1932" s="61" t="str">
        <f>IFERROR(__xludf.DUMMYFUNCTION("INDIRECT(""'收支紀錄'!S""&amp;TO_TEXT(ROW()-$C$72))"),"")</f>
        <v/>
      </c>
      <c r="T1932" s="61" t="str">
        <f>IFERROR(__xludf.DUMMYFUNCTION("INDIRECT(""'收支紀錄'!T""&amp;TO_TEXT(ROW()-$C$72))"),"")</f>
        <v/>
      </c>
      <c r="U1932" s="62" t="str">
        <f>IFERROR(__xludf.DUMMYFUNCTION("IF(T1932=""是"",TEXTJOIN("""", TRUE, ""$"", TO_TEXT(C1932), S1932),"""")"),"")</f>
        <v/>
      </c>
    </row>
    <row r="1933">
      <c r="A1933" s="58" t="str">
        <f>IFERROR(__xludf.DUMMYFUNCTION("INDIRECT(""'收支紀錄'!A""&amp;TO_TEXT(ROW()-$C$72))"),"")</f>
        <v/>
      </c>
      <c r="B1933" s="59" t="str">
        <f>IFERROR(__xludf.DUMMYFUNCTION("IF(ISBLANK(D1933), """", IF(ISDATE(D1933), D1933, IF(D1933=""今天"", A1933, IF(D1933=""昨天 (-1 day)"", A1933-1, IF(D1933=""前天 (-2 days)"", A1933-2, IF(D1933=""明天 (+1 day)"", A1933+1, DATE(LEFT(D1933,4), MID(D1933,5,2), RIGHT(D1933,2))))))))"),"")</f>
        <v/>
      </c>
      <c r="C1933" s="60" t="str">
        <f>IFERROR(__xludf.DUMMYFUNCTION("INDIRECT(""'收支紀錄'!C""&amp;TO_TEXT(ROW()-$C$72))"),"")</f>
        <v/>
      </c>
      <c r="D1933" s="63" t="str">
        <f>IFERROR(__xludf.DUMMYFUNCTION("INDIRECT(""'收支紀錄'!D""&amp;TO_TEXT(ROW()-$C$72))"),"")</f>
        <v/>
      </c>
      <c r="E1933" s="61" t="str">
        <f>IFERROR(__xludf.DUMMYFUNCTION("INDIRECT(""'收支紀錄'!E""&amp;TO_TEXT(ROW()-$C$72))"),"")</f>
        <v/>
      </c>
      <c r="F1933" s="61" t="str">
        <f>IFERROR(__xludf.DUMMYFUNCTION("INDIRECT(""'收支紀錄'!F""&amp;TO_TEXT(ROW()-$C$72))"),"")</f>
        <v/>
      </c>
      <c r="G1933" s="61" t="str">
        <f>IFERROR(__xludf.DUMMYFUNCTION("INDIRECT(""'收支紀錄'!G""&amp;TO_TEXT(ROW()-$C$72))"),"")</f>
        <v/>
      </c>
      <c r="H1933" s="61" t="str">
        <f>IFERROR(__xludf.DUMMYFUNCTION("INDIRECT(""'收支紀錄'!H""&amp;TO_TEXT(ROW()-$C$72))"),"")</f>
        <v/>
      </c>
      <c r="I1933" s="61" t="str">
        <f>IFERROR(__xludf.DUMMYFUNCTION("INDIRECT(""'收支紀錄'!I""&amp;TO_TEXT(ROW()-$C$72))"),"")</f>
        <v/>
      </c>
      <c r="J1933" s="61" t="str">
        <f>IFERROR(__xludf.DUMMYFUNCTION("INDIRECT(""'收支紀錄'!J""&amp;TO_TEXT(ROW()-$C$72))"),"")</f>
        <v/>
      </c>
      <c r="K1933" s="61" t="str">
        <f>IFERROR(__xludf.DUMMYFUNCTION("INDIRECT(""'收支紀錄'!K""&amp;TO_TEXT(ROW()-$C$72))"),"")</f>
        <v/>
      </c>
      <c r="L1933" s="61" t="str">
        <f>IFERROR(__xludf.DUMMYFUNCTION("INDIRECT(""'收支紀錄'!L""&amp;TO_TEXT(ROW()-$C$72))"),"")</f>
        <v/>
      </c>
      <c r="M1933" s="61" t="str">
        <f>IFERROR(__xludf.DUMMYFUNCTION("INDIRECT(""'收支紀錄'!M""&amp;TO_TEXT(ROW()-$C$72))"),"")</f>
        <v/>
      </c>
      <c r="N1933" s="61" t="str">
        <f>IFERROR(__xludf.DUMMYFUNCTION("INDIRECT(""'收支紀錄'!N""&amp;TO_TEXT(ROW()-$C$72))"),"")</f>
        <v/>
      </c>
      <c r="O1933" s="61" t="str">
        <f>IFERROR(__xludf.DUMMYFUNCTION("INDIRECT(""'收支紀錄'!O""&amp;TO_TEXT(ROW()-$C$72))"),"")</f>
        <v/>
      </c>
      <c r="P1933" s="61" t="str">
        <f>IFERROR(__xludf.DUMMYFUNCTION("INDIRECT(""'收支紀錄'!P""&amp;TO_TEXT(ROW()-$C$72))"),"")</f>
        <v/>
      </c>
      <c r="Q1933" s="61" t="str">
        <f>IFERROR(__xludf.DUMMYFUNCTION("INDIRECT(""'收支紀錄'!Q""&amp;TO_TEXT(ROW()-$C$72))"),"")</f>
        <v/>
      </c>
      <c r="R1933" s="61" t="str">
        <f>IFERROR(__xludf.DUMMYFUNCTION("INDIRECT(""'收支紀錄'!R""&amp;TO_TEXT(ROW()-$C$72))"),"")</f>
        <v/>
      </c>
      <c r="S1933" s="61" t="str">
        <f>IFERROR(__xludf.DUMMYFUNCTION("INDIRECT(""'收支紀錄'!S""&amp;TO_TEXT(ROW()-$C$72))"),"")</f>
        <v/>
      </c>
      <c r="T1933" s="61" t="str">
        <f>IFERROR(__xludf.DUMMYFUNCTION("INDIRECT(""'收支紀錄'!T""&amp;TO_TEXT(ROW()-$C$72))"),"")</f>
        <v/>
      </c>
      <c r="U1933" s="62" t="str">
        <f>IFERROR(__xludf.DUMMYFUNCTION("IF(T1933=""是"",TEXTJOIN("""", TRUE, ""$"", TO_TEXT(C1933), S1933),"""")"),"")</f>
        <v/>
      </c>
    </row>
    <row r="1934">
      <c r="A1934" s="58" t="str">
        <f>IFERROR(__xludf.DUMMYFUNCTION("INDIRECT(""'收支紀錄'!A""&amp;TO_TEXT(ROW()-$C$72))"),"")</f>
        <v/>
      </c>
      <c r="B1934" s="59" t="str">
        <f>IFERROR(__xludf.DUMMYFUNCTION("IF(ISBLANK(D1934), """", IF(ISDATE(D1934), D1934, IF(D1934=""今天"", A1934, IF(D1934=""昨天 (-1 day)"", A1934-1, IF(D1934=""前天 (-2 days)"", A1934-2, IF(D1934=""明天 (+1 day)"", A1934+1, DATE(LEFT(D1934,4), MID(D1934,5,2), RIGHT(D1934,2))))))))"),"")</f>
        <v/>
      </c>
      <c r="C1934" s="60" t="str">
        <f>IFERROR(__xludf.DUMMYFUNCTION("INDIRECT(""'收支紀錄'!C""&amp;TO_TEXT(ROW()-$C$72))"),"")</f>
        <v/>
      </c>
      <c r="D1934" s="63" t="str">
        <f>IFERROR(__xludf.DUMMYFUNCTION("INDIRECT(""'收支紀錄'!D""&amp;TO_TEXT(ROW()-$C$72))"),"")</f>
        <v/>
      </c>
      <c r="E1934" s="61" t="str">
        <f>IFERROR(__xludf.DUMMYFUNCTION("INDIRECT(""'收支紀錄'!E""&amp;TO_TEXT(ROW()-$C$72))"),"")</f>
        <v/>
      </c>
      <c r="F1934" s="61" t="str">
        <f>IFERROR(__xludf.DUMMYFUNCTION("INDIRECT(""'收支紀錄'!F""&amp;TO_TEXT(ROW()-$C$72))"),"")</f>
        <v/>
      </c>
      <c r="G1934" s="61" t="str">
        <f>IFERROR(__xludf.DUMMYFUNCTION("INDIRECT(""'收支紀錄'!G""&amp;TO_TEXT(ROW()-$C$72))"),"")</f>
        <v/>
      </c>
      <c r="H1934" s="61" t="str">
        <f>IFERROR(__xludf.DUMMYFUNCTION("INDIRECT(""'收支紀錄'!H""&amp;TO_TEXT(ROW()-$C$72))"),"")</f>
        <v/>
      </c>
      <c r="I1934" s="61" t="str">
        <f>IFERROR(__xludf.DUMMYFUNCTION("INDIRECT(""'收支紀錄'!I""&amp;TO_TEXT(ROW()-$C$72))"),"")</f>
        <v/>
      </c>
      <c r="J1934" s="61" t="str">
        <f>IFERROR(__xludf.DUMMYFUNCTION("INDIRECT(""'收支紀錄'!J""&amp;TO_TEXT(ROW()-$C$72))"),"")</f>
        <v/>
      </c>
      <c r="K1934" s="61" t="str">
        <f>IFERROR(__xludf.DUMMYFUNCTION("INDIRECT(""'收支紀錄'!K""&amp;TO_TEXT(ROW()-$C$72))"),"")</f>
        <v/>
      </c>
      <c r="L1934" s="61" t="str">
        <f>IFERROR(__xludf.DUMMYFUNCTION("INDIRECT(""'收支紀錄'!L""&amp;TO_TEXT(ROW()-$C$72))"),"")</f>
        <v/>
      </c>
      <c r="M1934" s="61" t="str">
        <f>IFERROR(__xludf.DUMMYFUNCTION("INDIRECT(""'收支紀錄'!M""&amp;TO_TEXT(ROW()-$C$72))"),"")</f>
        <v/>
      </c>
      <c r="N1934" s="61" t="str">
        <f>IFERROR(__xludf.DUMMYFUNCTION("INDIRECT(""'收支紀錄'!N""&amp;TO_TEXT(ROW()-$C$72))"),"")</f>
        <v/>
      </c>
      <c r="O1934" s="61" t="str">
        <f>IFERROR(__xludf.DUMMYFUNCTION("INDIRECT(""'收支紀錄'!O""&amp;TO_TEXT(ROW()-$C$72))"),"")</f>
        <v/>
      </c>
      <c r="P1934" s="61" t="str">
        <f>IFERROR(__xludf.DUMMYFUNCTION("INDIRECT(""'收支紀錄'!P""&amp;TO_TEXT(ROW()-$C$72))"),"")</f>
        <v/>
      </c>
      <c r="Q1934" s="61" t="str">
        <f>IFERROR(__xludf.DUMMYFUNCTION("INDIRECT(""'收支紀錄'!Q""&amp;TO_TEXT(ROW()-$C$72))"),"")</f>
        <v/>
      </c>
      <c r="R1934" s="61" t="str">
        <f>IFERROR(__xludf.DUMMYFUNCTION("INDIRECT(""'收支紀錄'!R""&amp;TO_TEXT(ROW()-$C$72))"),"")</f>
        <v/>
      </c>
      <c r="S1934" s="61" t="str">
        <f>IFERROR(__xludf.DUMMYFUNCTION("INDIRECT(""'收支紀錄'!S""&amp;TO_TEXT(ROW()-$C$72))"),"")</f>
        <v/>
      </c>
      <c r="T1934" s="61" t="str">
        <f>IFERROR(__xludf.DUMMYFUNCTION("INDIRECT(""'收支紀錄'!T""&amp;TO_TEXT(ROW()-$C$72))"),"")</f>
        <v/>
      </c>
      <c r="U1934" s="62" t="str">
        <f>IFERROR(__xludf.DUMMYFUNCTION("IF(T1934=""是"",TEXTJOIN("""", TRUE, ""$"", TO_TEXT(C1934), S1934),"""")"),"")</f>
        <v/>
      </c>
    </row>
    <row r="1935">
      <c r="A1935" s="58" t="str">
        <f>IFERROR(__xludf.DUMMYFUNCTION("INDIRECT(""'收支紀錄'!A""&amp;TO_TEXT(ROW()-$C$72))"),"")</f>
        <v/>
      </c>
      <c r="B1935" s="59" t="str">
        <f>IFERROR(__xludf.DUMMYFUNCTION("IF(ISBLANK(D1935), """", IF(ISDATE(D1935), D1935, IF(D1935=""今天"", A1935, IF(D1935=""昨天 (-1 day)"", A1935-1, IF(D1935=""前天 (-2 days)"", A1935-2, IF(D1935=""明天 (+1 day)"", A1935+1, DATE(LEFT(D1935,4), MID(D1935,5,2), RIGHT(D1935,2))))))))"),"")</f>
        <v/>
      </c>
      <c r="C1935" s="60" t="str">
        <f>IFERROR(__xludf.DUMMYFUNCTION("INDIRECT(""'收支紀錄'!C""&amp;TO_TEXT(ROW()-$C$72))"),"")</f>
        <v/>
      </c>
      <c r="D1935" s="63" t="str">
        <f>IFERROR(__xludf.DUMMYFUNCTION("INDIRECT(""'收支紀錄'!D""&amp;TO_TEXT(ROW()-$C$72))"),"")</f>
        <v/>
      </c>
      <c r="E1935" s="61" t="str">
        <f>IFERROR(__xludf.DUMMYFUNCTION("INDIRECT(""'收支紀錄'!E""&amp;TO_TEXT(ROW()-$C$72))"),"")</f>
        <v/>
      </c>
      <c r="F1935" s="61" t="str">
        <f>IFERROR(__xludf.DUMMYFUNCTION("INDIRECT(""'收支紀錄'!F""&amp;TO_TEXT(ROW()-$C$72))"),"")</f>
        <v/>
      </c>
      <c r="G1935" s="61" t="str">
        <f>IFERROR(__xludf.DUMMYFUNCTION("INDIRECT(""'收支紀錄'!G""&amp;TO_TEXT(ROW()-$C$72))"),"")</f>
        <v/>
      </c>
      <c r="H1935" s="61" t="str">
        <f>IFERROR(__xludf.DUMMYFUNCTION("INDIRECT(""'收支紀錄'!H""&amp;TO_TEXT(ROW()-$C$72))"),"")</f>
        <v/>
      </c>
      <c r="I1935" s="61" t="str">
        <f>IFERROR(__xludf.DUMMYFUNCTION("INDIRECT(""'收支紀錄'!I""&amp;TO_TEXT(ROW()-$C$72))"),"")</f>
        <v/>
      </c>
      <c r="J1935" s="61" t="str">
        <f>IFERROR(__xludf.DUMMYFUNCTION("INDIRECT(""'收支紀錄'!J""&amp;TO_TEXT(ROW()-$C$72))"),"")</f>
        <v/>
      </c>
      <c r="K1935" s="61" t="str">
        <f>IFERROR(__xludf.DUMMYFUNCTION("INDIRECT(""'收支紀錄'!K""&amp;TO_TEXT(ROW()-$C$72))"),"")</f>
        <v/>
      </c>
      <c r="L1935" s="61" t="str">
        <f>IFERROR(__xludf.DUMMYFUNCTION("INDIRECT(""'收支紀錄'!L""&amp;TO_TEXT(ROW()-$C$72))"),"")</f>
        <v/>
      </c>
      <c r="M1935" s="61" t="str">
        <f>IFERROR(__xludf.DUMMYFUNCTION("INDIRECT(""'收支紀錄'!M""&amp;TO_TEXT(ROW()-$C$72))"),"")</f>
        <v/>
      </c>
      <c r="N1935" s="61" t="str">
        <f>IFERROR(__xludf.DUMMYFUNCTION("INDIRECT(""'收支紀錄'!N""&amp;TO_TEXT(ROW()-$C$72))"),"")</f>
        <v/>
      </c>
      <c r="O1935" s="61" t="str">
        <f>IFERROR(__xludf.DUMMYFUNCTION("INDIRECT(""'收支紀錄'!O""&amp;TO_TEXT(ROW()-$C$72))"),"")</f>
        <v/>
      </c>
      <c r="P1935" s="61" t="str">
        <f>IFERROR(__xludf.DUMMYFUNCTION("INDIRECT(""'收支紀錄'!P""&amp;TO_TEXT(ROW()-$C$72))"),"")</f>
        <v/>
      </c>
      <c r="Q1935" s="61" t="str">
        <f>IFERROR(__xludf.DUMMYFUNCTION("INDIRECT(""'收支紀錄'!Q""&amp;TO_TEXT(ROW()-$C$72))"),"")</f>
        <v/>
      </c>
      <c r="R1935" s="61" t="str">
        <f>IFERROR(__xludf.DUMMYFUNCTION("INDIRECT(""'收支紀錄'!R""&amp;TO_TEXT(ROW()-$C$72))"),"")</f>
        <v/>
      </c>
      <c r="S1935" s="61" t="str">
        <f>IFERROR(__xludf.DUMMYFUNCTION("INDIRECT(""'收支紀錄'!S""&amp;TO_TEXT(ROW()-$C$72))"),"")</f>
        <v/>
      </c>
      <c r="T1935" s="61" t="str">
        <f>IFERROR(__xludf.DUMMYFUNCTION("INDIRECT(""'收支紀錄'!T""&amp;TO_TEXT(ROW()-$C$72))"),"")</f>
        <v/>
      </c>
      <c r="U1935" s="62" t="str">
        <f>IFERROR(__xludf.DUMMYFUNCTION("IF(T1935=""是"",TEXTJOIN("""", TRUE, ""$"", TO_TEXT(C1935), S1935),"""")"),"")</f>
        <v/>
      </c>
    </row>
    <row r="1936">
      <c r="A1936" s="58" t="str">
        <f>IFERROR(__xludf.DUMMYFUNCTION("INDIRECT(""'收支紀錄'!A""&amp;TO_TEXT(ROW()-$C$72))"),"")</f>
        <v/>
      </c>
      <c r="B1936" s="59" t="str">
        <f>IFERROR(__xludf.DUMMYFUNCTION("IF(ISBLANK(D1936), """", IF(ISDATE(D1936), D1936, IF(D1936=""今天"", A1936, IF(D1936=""昨天 (-1 day)"", A1936-1, IF(D1936=""前天 (-2 days)"", A1936-2, IF(D1936=""明天 (+1 day)"", A1936+1, DATE(LEFT(D1936,4), MID(D1936,5,2), RIGHT(D1936,2))))))))"),"")</f>
        <v/>
      </c>
      <c r="C1936" s="60" t="str">
        <f>IFERROR(__xludf.DUMMYFUNCTION("INDIRECT(""'收支紀錄'!C""&amp;TO_TEXT(ROW()-$C$72))"),"")</f>
        <v/>
      </c>
      <c r="D1936" s="63" t="str">
        <f>IFERROR(__xludf.DUMMYFUNCTION("INDIRECT(""'收支紀錄'!D""&amp;TO_TEXT(ROW()-$C$72))"),"")</f>
        <v/>
      </c>
      <c r="E1936" s="61" t="str">
        <f>IFERROR(__xludf.DUMMYFUNCTION("INDIRECT(""'收支紀錄'!E""&amp;TO_TEXT(ROW()-$C$72))"),"")</f>
        <v/>
      </c>
      <c r="F1936" s="61" t="str">
        <f>IFERROR(__xludf.DUMMYFUNCTION("INDIRECT(""'收支紀錄'!F""&amp;TO_TEXT(ROW()-$C$72))"),"")</f>
        <v/>
      </c>
      <c r="G1936" s="61" t="str">
        <f>IFERROR(__xludf.DUMMYFUNCTION("INDIRECT(""'收支紀錄'!G""&amp;TO_TEXT(ROW()-$C$72))"),"")</f>
        <v/>
      </c>
      <c r="H1936" s="61" t="str">
        <f>IFERROR(__xludf.DUMMYFUNCTION("INDIRECT(""'收支紀錄'!H""&amp;TO_TEXT(ROW()-$C$72))"),"")</f>
        <v/>
      </c>
      <c r="I1936" s="61" t="str">
        <f>IFERROR(__xludf.DUMMYFUNCTION("INDIRECT(""'收支紀錄'!I""&amp;TO_TEXT(ROW()-$C$72))"),"")</f>
        <v/>
      </c>
      <c r="J1936" s="61" t="str">
        <f>IFERROR(__xludf.DUMMYFUNCTION("INDIRECT(""'收支紀錄'!J""&amp;TO_TEXT(ROW()-$C$72))"),"")</f>
        <v/>
      </c>
      <c r="K1936" s="61" t="str">
        <f>IFERROR(__xludf.DUMMYFUNCTION("INDIRECT(""'收支紀錄'!K""&amp;TO_TEXT(ROW()-$C$72))"),"")</f>
        <v/>
      </c>
      <c r="L1936" s="61" t="str">
        <f>IFERROR(__xludf.DUMMYFUNCTION("INDIRECT(""'收支紀錄'!L""&amp;TO_TEXT(ROW()-$C$72))"),"")</f>
        <v/>
      </c>
      <c r="M1936" s="61" t="str">
        <f>IFERROR(__xludf.DUMMYFUNCTION("INDIRECT(""'收支紀錄'!M""&amp;TO_TEXT(ROW()-$C$72))"),"")</f>
        <v/>
      </c>
      <c r="N1936" s="61" t="str">
        <f>IFERROR(__xludf.DUMMYFUNCTION("INDIRECT(""'收支紀錄'!N""&amp;TO_TEXT(ROW()-$C$72))"),"")</f>
        <v/>
      </c>
      <c r="O1936" s="61" t="str">
        <f>IFERROR(__xludf.DUMMYFUNCTION("INDIRECT(""'收支紀錄'!O""&amp;TO_TEXT(ROW()-$C$72))"),"")</f>
        <v/>
      </c>
      <c r="P1936" s="61" t="str">
        <f>IFERROR(__xludf.DUMMYFUNCTION("INDIRECT(""'收支紀錄'!P""&amp;TO_TEXT(ROW()-$C$72))"),"")</f>
        <v/>
      </c>
      <c r="Q1936" s="61" t="str">
        <f>IFERROR(__xludf.DUMMYFUNCTION("INDIRECT(""'收支紀錄'!Q""&amp;TO_TEXT(ROW()-$C$72))"),"")</f>
        <v/>
      </c>
      <c r="R1936" s="61" t="str">
        <f>IFERROR(__xludf.DUMMYFUNCTION("INDIRECT(""'收支紀錄'!R""&amp;TO_TEXT(ROW()-$C$72))"),"")</f>
        <v/>
      </c>
      <c r="S1936" s="61" t="str">
        <f>IFERROR(__xludf.DUMMYFUNCTION("INDIRECT(""'收支紀錄'!S""&amp;TO_TEXT(ROW()-$C$72))"),"")</f>
        <v/>
      </c>
      <c r="T1936" s="61" t="str">
        <f>IFERROR(__xludf.DUMMYFUNCTION("INDIRECT(""'收支紀錄'!T""&amp;TO_TEXT(ROW()-$C$72))"),"")</f>
        <v/>
      </c>
      <c r="U1936" s="62" t="str">
        <f>IFERROR(__xludf.DUMMYFUNCTION("IF(T1936=""是"",TEXTJOIN("""", TRUE, ""$"", TO_TEXT(C1936), S1936),"""")"),"")</f>
        <v/>
      </c>
    </row>
    <row r="1937">
      <c r="A1937" s="58" t="str">
        <f>IFERROR(__xludf.DUMMYFUNCTION("INDIRECT(""'收支紀錄'!A""&amp;TO_TEXT(ROW()-$C$72))"),"")</f>
        <v/>
      </c>
      <c r="B1937" s="59" t="str">
        <f>IFERROR(__xludf.DUMMYFUNCTION("IF(ISBLANK(D1937), """", IF(ISDATE(D1937), D1937, IF(D1937=""今天"", A1937, IF(D1937=""昨天 (-1 day)"", A1937-1, IF(D1937=""前天 (-2 days)"", A1937-2, IF(D1937=""明天 (+1 day)"", A1937+1, DATE(LEFT(D1937,4), MID(D1937,5,2), RIGHT(D1937,2))))))))"),"")</f>
        <v/>
      </c>
      <c r="C1937" s="60" t="str">
        <f>IFERROR(__xludf.DUMMYFUNCTION("INDIRECT(""'收支紀錄'!C""&amp;TO_TEXT(ROW()-$C$72))"),"")</f>
        <v/>
      </c>
      <c r="D1937" s="63" t="str">
        <f>IFERROR(__xludf.DUMMYFUNCTION("INDIRECT(""'收支紀錄'!D""&amp;TO_TEXT(ROW()-$C$72))"),"")</f>
        <v/>
      </c>
      <c r="E1937" s="61" t="str">
        <f>IFERROR(__xludf.DUMMYFUNCTION("INDIRECT(""'收支紀錄'!E""&amp;TO_TEXT(ROW()-$C$72))"),"")</f>
        <v/>
      </c>
      <c r="F1937" s="61" t="str">
        <f>IFERROR(__xludf.DUMMYFUNCTION("INDIRECT(""'收支紀錄'!F""&amp;TO_TEXT(ROW()-$C$72))"),"")</f>
        <v/>
      </c>
      <c r="G1937" s="61" t="str">
        <f>IFERROR(__xludf.DUMMYFUNCTION("INDIRECT(""'收支紀錄'!G""&amp;TO_TEXT(ROW()-$C$72))"),"")</f>
        <v/>
      </c>
      <c r="H1937" s="61" t="str">
        <f>IFERROR(__xludf.DUMMYFUNCTION("INDIRECT(""'收支紀錄'!H""&amp;TO_TEXT(ROW()-$C$72))"),"")</f>
        <v/>
      </c>
      <c r="I1937" s="61" t="str">
        <f>IFERROR(__xludf.DUMMYFUNCTION("INDIRECT(""'收支紀錄'!I""&amp;TO_TEXT(ROW()-$C$72))"),"")</f>
        <v/>
      </c>
      <c r="J1937" s="61" t="str">
        <f>IFERROR(__xludf.DUMMYFUNCTION("INDIRECT(""'收支紀錄'!J""&amp;TO_TEXT(ROW()-$C$72))"),"")</f>
        <v/>
      </c>
      <c r="K1937" s="61" t="str">
        <f>IFERROR(__xludf.DUMMYFUNCTION("INDIRECT(""'收支紀錄'!K""&amp;TO_TEXT(ROW()-$C$72))"),"")</f>
        <v/>
      </c>
      <c r="L1937" s="61" t="str">
        <f>IFERROR(__xludf.DUMMYFUNCTION("INDIRECT(""'收支紀錄'!L""&amp;TO_TEXT(ROW()-$C$72))"),"")</f>
        <v/>
      </c>
      <c r="M1937" s="61" t="str">
        <f>IFERROR(__xludf.DUMMYFUNCTION("INDIRECT(""'收支紀錄'!M""&amp;TO_TEXT(ROW()-$C$72))"),"")</f>
        <v/>
      </c>
      <c r="N1937" s="61" t="str">
        <f>IFERROR(__xludf.DUMMYFUNCTION("INDIRECT(""'收支紀錄'!N""&amp;TO_TEXT(ROW()-$C$72))"),"")</f>
        <v/>
      </c>
      <c r="O1937" s="61" t="str">
        <f>IFERROR(__xludf.DUMMYFUNCTION("INDIRECT(""'收支紀錄'!O""&amp;TO_TEXT(ROW()-$C$72))"),"")</f>
        <v/>
      </c>
      <c r="P1937" s="61" t="str">
        <f>IFERROR(__xludf.DUMMYFUNCTION("INDIRECT(""'收支紀錄'!P""&amp;TO_TEXT(ROW()-$C$72))"),"")</f>
        <v/>
      </c>
      <c r="Q1937" s="61" t="str">
        <f>IFERROR(__xludf.DUMMYFUNCTION("INDIRECT(""'收支紀錄'!Q""&amp;TO_TEXT(ROW()-$C$72))"),"")</f>
        <v/>
      </c>
      <c r="R1937" s="61" t="str">
        <f>IFERROR(__xludf.DUMMYFUNCTION("INDIRECT(""'收支紀錄'!R""&amp;TO_TEXT(ROW()-$C$72))"),"")</f>
        <v/>
      </c>
      <c r="S1937" s="61" t="str">
        <f>IFERROR(__xludf.DUMMYFUNCTION("INDIRECT(""'收支紀錄'!S""&amp;TO_TEXT(ROW()-$C$72))"),"")</f>
        <v/>
      </c>
      <c r="T1937" s="61" t="str">
        <f>IFERROR(__xludf.DUMMYFUNCTION("INDIRECT(""'收支紀錄'!T""&amp;TO_TEXT(ROW()-$C$72))"),"")</f>
        <v/>
      </c>
      <c r="U1937" s="62" t="str">
        <f>IFERROR(__xludf.DUMMYFUNCTION("IF(T1937=""是"",TEXTJOIN("""", TRUE, ""$"", TO_TEXT(C1937), S1937),"""")"),"")</f>
        <v/>
      </c>
    </row>
    <row r="1938">
      <c r="A1938" s="58" t="str">
        <f>IFERROR(__xludf.DUMMYFUNCTION("INDIRECT(""'收支紀錄'!A""&amp;TO_TEXT(ROW()-$C$72))"),"")</f>
        <v/>
      </c>
      <c r="B1938" s="59" t="str">
        <f>IFERROR(__xludf.DUMMYFUNCTION("IF(ISBLANK(D1938), """", IF(ISDATE(D1938), D1938, IF(D1938=""今天"", A1938, IF(D1938=""昨天 (-1 day)"", A1938-1, IF(D1938=""前天 (-2 days)"", A1938-2, IF(D1938=""明天 (+1 day)"", A1938+1, DATE(LEFT(D1938,4), MID(D1938,5,2), RIGHT(D1938,2))))))))"),"")</f>
        <v/>
      </c>
      <c r="C1938" s="60" t="str">
        <f>IFERROR(__xludf.DUMMYFUNCTION("INDIRECT(""'收支紀錄'!C""&amp;TO_TEXT(ROW()-$C$72))"),"")</f>
        <v/>
      </c>
      <c r="D1938" s="63" t="str">
        <f>IFERROR(__xludf.DUMMYFUNCTION("INDIRECT(""'收支紀錄'!D""&amp;TO_TEXT(ROW()-$C$72))"),"")</f>
        <v/>
      </c>
      <c r="E1938" s="61" t="str">
        <f>IFERROR(__xludf.DUMMYFUNCTION("INDIRECT(""'收支紀錄'!E""&amp;TO_TEXT(ROW()-$C$72))"),"")</f>
        <v/>
      </c>
      <c r="F1938" s="61" t="str">
        <f>IFERROR(__xludf.DUMMYFUNCTION("INDIRECT(""'收支紀錄'!F""&amp;TO_TEXT(ROW()-$C$72))"),"")</f>
        <v/>
      </c>
      <c r="G1938" s="61" t="str">
        <f>IFERROR(__xludf.DUMMYFUNCTION("INDIRECT(""'收支紀錄'!G""&amp;TO_TEXT(ROW()-$C$72))"),"")</f>
        <v/>
      </c>
      <c r="H1938" s="61" t="str">
        <f>IFERROR(__xludf.DUMMYFUNCTION("INDIRECT(""'收支紀錄'!H""&amp;TO_TEXT(ROW()-$C$72))"),"")</f>
        <v/>
      </c>
      <c r="I1938" s="61" t="str">
        <f>IFERROR(__xludf.DUMMYFUNCTION("INDIRECT(""'收支紀錄'!I""&amp;TO_TEXT(ROW()-$C$72))"),"")</f>
        <v/>
      </c>
      <c r="J1938" s="61" t="str">
        <f>IFERROR(__xludf.DUMMYFUNCTION("INDIRECT(""'收支紀錄'!J""&amp;TO_TEXT(ROW()-$C$72))"),"")</f>
        <v/>
      </c>
      <c r="K1938" s="61" t="str">
        <f>IFERROR(__xludf.DUMMYFUNCTION("INDIRECT(""'收支紀錄'!K""&amp;TO_TEXT(ROW()-$C$72))"),"")</f>
        <v/>
      </c>
      <c r="L1938" s="61" t="str">
        <f>IFERROR(__xludf.DUMMYFUNCTION("INDIRECT(""'收支紀錄'!L""&amp;TO_TEXT(ROW()-$C$72))"),"")</f>
        <v/>
      </c>
      <c r="M1938" s="61" t="str">
        <f>IFERROR(__xludf.DUMMYFUNCTION("INDIRECT(""'收支紀錄'!M""&amp;TO_TEXT(ROW()-$C$72))"),"")</f>
        <v/>
      </c>
      <c r="N1938" s="61" t="str">
        <f>IFERROR(__xludf.DUMMYFUNCTION("INDIRECT(""'收支紀錄'!N""&amp;TO_TEXT(ROW()-$C$72))"),"")</f>
        <v/>
      </c>
      <c r="O1938" s="61" t="str">
        <f>IFERROR(__xludf.DUMMYFUNCTION("INDIRECT(""'收支紀錄'!O""&amp;TO_TEXT(ROW()-$C$72))"),"")</f>
        <v/>
      </c>
      <c r="P1938" s="61" t="str">
        <f>IFERROR(__xludf.DUMMYFUNCTION("INDIRECT(""'收支紀錄'!P""&amp;TO_TEXT(ROW()-$C$72))"),"")</f>
        <v/>
      </c>
      <c r="Q1938" s="61" t="str">
        <f>IFERROR(__xludf.DUMMYFUNCTION("INDIRECT(""'收支紀錄'!Q""&amp;TO_TEXT(ROW()-$C$72))"),"")</f>
        <v/>
      </c>
      <c r="R1938" s="61" t="str">
        <f>IFERROR(__xludf.DUMMYFUNCTION("INDIRECT(""'收支紀錄'!R""&amp;TO_TEXT(ROW()-$C$72))"),"")</f>
        <v/>
      </c>
      <c r="S1938" s="61" t="str">
        <f>IFERROR(__xludf.DUMMYFUNCTION("INDIRECT(""'收支紀錄'!S""&amp;TO_TEXT(ROW()-$C$72))"),"")</f>
        <v/>
      </c>
      <c r="T1938" s="61" t="str">
        <f>IFERROR(__xludf.DUMMYFUNCTION("INDIRECT(""'收支紀錄'!T""&amp;TO_TEXT(ROW()-$C$72))"),"")</f>
        <v/>
      </c>
      <c r="U1938" s="62" t="str">
        <f>IFERROR(__xludf.DUMMYFUNCTION("IF(T1938=""是"",TEXTJOIN("""", TRUE, ""$"", TO_TEXT(C1938), S1938),"""")"),"")</f>
        <v/>
      </c>
    </row>
    <row r="1939">
      <c r="A1939" s="58" t="str">
        <f>IFERROR(__xludf.DUMMYFUNCTION("INDIRECT(""'收支紀錄'!A""&amp;TO_TEXT(ROW()-$C$72))"),"")</f>
        <v/>
      </c>
      <c r="B1939" s="59" t="str">
        <f>IFERROR(__xludf.DUMMYFUNCTION("IF(ISBLANK(D1939), """", IF(ISDATE(D1939), D1939, IF(D1939=""今天"", A1939, IF(D1939=""昨天 (-1 day)"", A1939-1, IF(D1939=""前天 (-2 days)"", A1939-2, IF(D1939=""明天 (+1 day)"", A1939+1, DATE(LEFT(D1939,4), MID(D1939,5,2), RIGHT(D1939,2))))))))"),"")</f>
        <v/>
      </c>
      <c r="C1939" s="60" t="str">
        <f>IFERROR(__xludf.DUMMYFUNCTION("INDIRECT(""'收支紀錄'!C""&amp;TO_TEXT(ROW()-$C$72))"),"")</f>
        <v/>
      </c>
      <c r="D1939" s="63" t="str">
        <f>IFERROR(__xludf.DUMMYFUNCTION("INDIRECT(""'收支紀錄'!D""&amp;TO_TEXT(ROW()-$C$72))"),"")</f>
        <v/>
      </c>
      <c r="E1939" s="61" t="str">
        <f>IFERROR(__xludf.DUMMYFUNCTION("INDIRECT(""'收支紀錄'!E""&amp;TO_TEXT(ROW()-$C$72))"),"")</f>
        <v/>
      </c>
      <c r="F1939" s="61" t="str">
        <f>IFERROR(__xludf.DUMMYFUNCTION("INDIRECT(""'收支紀錄'!F""&amp;TO_TEXT(ROW()-$C$72))"),"")</f>
        <v/>
      </c>
      <c r="G1939" s="61" t="str">
        <f>IFERROR(__xludf.DUMMYFUNCTION("INDIRECT(""'收支紀錄'!G""&amp;TO_TEXT(ROW()-$C$72))"),"")</f>
        <v/>
      </c>
      <c r="H1939" s="61" t="str">
        <f>IFERROR(__xludf.DUMMYFUNCTION("INDIRECT(""'收支紀錄'!H""&amp;TO_TEXT(ROW()-$C$72))"),"")</f>
        <v/>
      </c>
      <c r="I1939" s="61" t="str">
        <f>IFERROR(__xludf.DUMMYFUNCTION("INDIRECT(""'收支紀錄'!I""&amp;TO_TEXT(ROW()-$C$72))"),"")</f>
        <v/>
      </c>
      <c r="J1939" s="61" t="str">
        <f>IFERROR(__xludf.DUMMYFUNCTION("INDIRECT(""'收支紀錄'!J""&amp;TO_TEXT(ROW()-$C$72))"),"")</f>
        <v/>
      </c>
      <c r="K1939" s="61" t="str">
        <f>IFERROR(__xludf.DUMMYFUNCTION("INDIRECT(""'收支紀錄'!K""&amp;TO_TEXT(ROW()-$C$72))"),"")</f>
        <v/>
      </c>
      <c r="L1939" s="61" t="str">
        <f>IFERROR(__xludf.DUMMYFUNCTION("INDIRECT(""'收支紀錄'!L""&amp;TO_TEXT(ROW()-$C$72))"),"")</f>
        <v/>
      </c>
      <c r="M1939" s="61" t="str">
        <f>IFERROR(__xludf.DUMMYFUNCTION("INDIRECT(""'收支紀錄'!M""&amp;TO_TEXT(ROW()-$C$72))"),"")</f>
        <v/>
      </c>
      <c r="N1939" s="61" t="str">
        <f>IFERROR(__xludf.DUMMYFUNCTION("INDIRECT(""'收支紀錄'!N""&amp;TO_TEXT(ROW()-$C$72))"),"")</f>
        <v/>
      </c>
      <c r="O1939" s="61" t="str">
        <f>IFERROR(__xludf.DUMMYFUNCTION("INDIRECT(""'收支紀錄'!O""&amp;TO_TEXT(ROW()-$C$72))"),"")</f>
        <v/>
      </c>
      <c r="P1939" s="61" t="str">
        <f>IFERROR(__xludf.DUMMYFUNCTION("INDIRECT(""'收支紀錄'!P""&amp;TO_TEXT(ROW()-$C$72))"),"")</f>
        <v/>
      </c>
      <c r="Q1939" s="61" t="str">
        <f>IFERROR(__xludf.DUMMYFUNCTION("INDIRECT(""'收支紀錄'!Q""&amp;TO_TEXT(ROW()-$C$72))"),"")</f>
        <v/>
      </c>
      <c r="R1939" s="61" t="str">
        <f>IFERROR(__xludf.DUMMYFUNCTION("INDIRECT(""'收支紀錄'!R""&amp;TO_TEXT(ROW()-$C$72))"),"")</f>
        <v/>
      </c>
      <c r="S1939" s="61" t="str">
        <f>IFERROR(__xludf.DUMMYFUNCTION("INDIRECT(""'收支紀錄'!S""&amp;TO_TEXT(ROW()-$C$72))"),"")</f>
        <v/>
      </c>
      <c r="T1939" s="61" t="str">
        <f>IFERROR(__xludf.DUMMYFUNCTION("INDIRECT(""'收支紀錄'!T""&amp;TO_TEXT(ROW()-$C$72))"),"")</f>
        <v/>
      </c>
      <c r="U1939" s="62" t="str">
        <f>IFERROR(__xludf.DUMMYFUNCTION("IF(T1939=""是"",TEXTJOIN("""", TRUE, ""$"", TO_TEXT(C1939), S1939),"""")"),"")</f>
        <v/>
      </c>
    </row>
    <row r="1940">
      <c r="A1940" s="58" t="str">
        <f>IFERROR(__xludf.DUMMYFUNCTION("INDIRECT(""'收支紀錄'!A""&amp;TO_TEXT(ROW()-$C$72))"),"")</f>
        <v/>
      </c>
      <c r="B1940" s="59" t="str">
        <f>IFERROR(__xludf.DUMMYFUNCTION("IF(ISBLANK(D1940), """", IF(ISDATE(D1940), D1940, IF(D1940=""今天"", A1940, IF(D1940=""昨天 (-1 day)"", A1940-1, IF(D1940=""前天 (-2 days)"", A1940-2, IF(D1940=""明天 (+1 day)"", A1940+1, DATE(LEFT(D1940,4), MID(D1940,5,2), RIGHT(D1940,2))))))))"),"")</f>
        <v/>
      </c>
      <c r="C1940" s="60" t="str">
        <f>IFERROR(__xludf.DUMMYFUNCTION("INDIRECT(""'收支紀錄'!C""&amp;TO_TEXT(ROW()-$C$72))"),"")</f>
        <v/>
      </c>
      <c r="D1940" s="63" t="str">
        <f>IFERROR(__xludf.DUMMYFUNCTION("INDIRECT(""'收支紀錄'!D""&amp;TO_TEXT(ROW()-$C$72))"),"")</f>
        <v/>
      </c>
      <c r="E1940" s="61" t="str">
        <f>IFERROR(__xludf.DUMMYFUNCTION("INDIRECT(""'收支紀錄'!E""&amp;TO_TEXT(ROW()-$C$72))"),"")</f>
        <v/>
      </c>
      <c r="F1940" s="61" t="str">
        <f>IFERROR(__xludf.DUMMYFUNCTION("INDIRECT(""'收支紀錄'!F""&amp;TO_TEXT(ROW()-$C$72))"),"")</f>
        <v/>
      </c>
      <c r="G1940" s="61" t="str">
        <f>IFERROR(__xludf.DUMMYFUNCTION("INDIRECT(""'收支紀錄'!G""&amp;TO_TEXT(ROW()-$C$72))"),"")</f>
        <v/>
      </c>
      <c r="H1940" s="61" t="str">
        <f>IFERROR(__xludf.DUMMYFUNCTION("INDIRECT(""'收支紀錄'!H""&amp;TO_TEXT(ROW()-$C$72))"),"")</f>
        <v/>
      </c>
      <c r="I1940" s="61" t="str">
        <f>IFERROR(__xludf.DUMMYFUNCTION("INDIRECT(""'收支紀錄'!I""&amp;TO_TEXT(ROW()-$C$72))"),"")</f>
        <v/>
      </c>
      <c r="J1940" s="61" t="str">
        <f>IFERROR(__xludf.DUMMYFUNCTION("INDIRECT(""'收支紀錄'!J""&amp;TO_TEXT(ROW()-$C$72))"),"")</f>
        <v/>
      </c>
      <c r="K1940" s="61" t="str">
        <f>IFERROR(__xludf.DUMMYFUNCTION("INDIRECT(""'收支紀錄'!K""&amp;TO_TEXT(ROW()-$C$72))"),"")</f>
        <v/>
      </c>
      <c r="L1940" s="61" t="str">
        <f>IFERROR(__xludf.DUMMYFUNCTION("INDIRECT(""'收支紀錄'!L""&amp;TO_TEXT(ROW()-$C$72))"),"")</f>
        <v/>
      </c>
      <c r="M1940" s="61" t="str">
        <f>IFERROR(__xludf.DUMMYFUNCTION("INDIRECT(""'收支紀錄'!M""&amp;TO_TEXT(ROW()-$C$72))"),"")</f>
        <v/>
      </c>
      <c r="N1940" s="61" t="str">
        <f>IFERROR(__xludf.DUMMYFUNCTION("INDIRECT(""'收支紀錄'!N""&amp;TO_TEXT(ROW()-$C$72))"),"")</f>
        <v/>
      </c>
      <c r="O1940" s="61" t="str">
        <f>IFERROR(__xludf.DUMMYFUNCTION("INDIRECT(""'收支紀錄'!O""&amp;TO_TEXT(ROW()-$C$72))"),"")</f>
        <v/>
      </c>
      <c r="P1940" s="61" t="str">
        <f>IFERROR(__xludf.DUMMYFUNCTION("INDIRECT(""'收支紀錄'!P""&amp;TO_TEXT(ROW()-$C$72))"),"")</f>
        <v/>
      </c>
      <c r="Q1940" s="61" t="str">
        <f>IFERROR(__xludf.DUMMYFUNCTION("INDIRECT(""'收支紀錄'!Q""&amp;TO_TEXT(ROW()-$C$72))"),"")</f>
        <v/>
      </c>
      <c r="R1940" s="61" t="str">
        <f>IFERROR(__xludf.DUMMYFUNCTION("INDIRECT(""'收支紀錄'!R""&amp;TO_TEXT(ROW()-$C$72))"),"")</f>
        <v/>
      </c>
      <c r="S1940" s="61" t="str">
        <f>IFERROR(__xludf.DUMMYFUNCTION("INDIRECT(""'收支紀錄'!S""&amp;TO_TEXT(ROW()-$C$72))"),"")</f>
        <v/>
      </c>
      <c r="T1940" s="61" t="str">
        <f>IFERROR(__xludf.DUMMYFUNCTION("INDIRECT(""'收支紀錄'!T""&amp;TO_TEXT(ROW()-$C$72))"),"")</f>
        <v/>
      </c>
      <c r="U1940" s="62" t="str">
        <f>IFERROR(__xludf.DUMMYFUNCTION("IF(T1940=""是"",TEXTJOIN("""", TRUE, ""$"", TO_TEXT(C1940), S1940),"""")"),"")</f>
        <v/>
      </c>
    </row>
    <row r="1941">
      <c r="A1941" s="58" t="str">
        <f>IFERROR(__xludf.DUMMYFUNCTION("INDIRECT(""'收支紀錄'!A""&amp;TO_TEXT(ROW()-$C$72))"),"")</f>
        <v/>
      </c>
      <c r="B1941" s="59" t="str">
        <f>IFERROR(__xludf.DUMMYFUNCTION("IF(ISBLANK(D1941), """", IF(ISDATE(D1941), D1941, IF(D1941=""今天"", A1941, IF(D1941=""昨天 (-1 day)"", A1941-1, IF(D1941=""前天 (-2 days)"", A1941-2, IF(D1941=""明天 (+1 day)"", A1941+1, DATE(LEFT(D1941,4), MID(D1941,5,2), RIGHT(D1941,2))))))))"),"")</f>
        <v/>
      </c>
      <c r="C1941" s="60" t="str">
        <f>IFERROR(__xludf.DUMMYFUNCTION("INDIRECT(""'收支紀錄'!C""&amp;TO_TEXT(ROW()-$C$72))"),"")</f>
        <v/>
      </c>
      <c r="D1941" s="63" t="str">
        <f>IFERROR(__xludf.DUMMYFUNCTION("INDIRECT(""'收支紀錄'!D""&amp;TO_TEXT(ROW()-$C$72))"),"")</f>
        <v/>
      </c>
      <c r="E1941" s="61" t="str">
        <f>IFERROR(__xludf.DUMMYFUNCTION("INDIRECT(""'收支紀錄'!E""&amp;TO_TEXT(ROW()-$C$72))"),"")</f>
        <v/>
      </c>
      <c r="F1941" s="61" t="str">
        <f>IFERROR(__xludf.DUMMYFUNCTION("INDIRECT(""'收支紀錄'!F""&amp;TO_TEXT(ROW()-$C$72))"),"")</f>
        <v/>
      </c>
      <c r="G1941" s="61" t="str">
        <f>IFERROR(__xludf.DUMMYFUNCTION("INDIRECT(""'收支紀錄'!G""&amp;TO_TEXT(ROW()-$C$72))"),"")</f>
        <v/>
      </c>
      <c r="H1941" s="61" t="str">
        <f>IFERROR(__xludf.DUMMYFUNCTION("INDIRECT(""'收支紀錄'!H""&amp;TO_TEXT(ROW()-$C$72))"),"")</f>
        <v/>
      </c>
      <c r="I1941" s="61" t="str">
        <f>IFERROR(__xludf.DUMMYFUNCTION("INDIRECT(""'收支紀錄'!I""&amp;TO_TEXT(ROW()-$C$72))"),"")</f>
        <v/>
      </c>
      <c r="J1941" s="61" t="str">
        <f>IFERROR(__xludf.DUMMYFUNCTION("INDIRECT(""'收支紀錄'!J""&amp;TO_TEXT(ROW()-$C$72))"),"")</f>
        <v/>
      </c>
      <c r="K1941" s="61" t="str">
        <f>IFERROR(__xludf.DUMMYFUNCTION("INDIRECT(""'收支紀錄'!K""&amp;TO_TEXT(ROW()-$C$72))"),"")</f>
        <v/>
      </c>
      <c r="L1941" s="61" t="str">
        <f>IFERROR(__xludf.DUMMYFUNCTION("INDIRECT(""'收支紀錄'!L""&amp;TO_TEXT(ROW()-$C$72))"),"")</f>
        <v/>
      </c>
      <c r="M1941" s="61" t="str">
        <f>IFERROR(__xludf.DUMMYFUNCTION("INDIRECT(""'收支紀錄'!M""&amp;TO_TEXT(ROW()-$C$72))"),"")</f>
        <v/>
      </c>
      <c r="N1941" s="61" t="str">
        <f>IFERROR(__xludf.DUMMYFUNCTION("INDIRECT(""'收支紀錄'!N""&amp;TO_TEXT(ROW()-$C$72))"),"")</f>
        <v/>
      </c>
      <c r="O1941" s="61" t="str">
        <f>IFERROR(__xludf.DUMMYFUNCTION("INDIRECT(""'收支紀錄'!O""&amp;TO_TEXT(ROW()-$C$72))"),"")</f>
        <v/>
      </c>
      <c r="P1941" s="61" t="str">
        <f>IFERROR(__xludf.DUMMYFUNCTION("INDIRECT(""'收支紀錄'!P""&amp;TO_TEXT(ROW()-$C$72))"),"")</f>
        <v/>
      </c>
      <c r="Q1941" s="61" t="str">
        <f>IFERROR(__xludf.DUMMYFUNCTION("INDIRECT(""'收支紀錄'!Q""&amp;TO_TEXT(ROW()-$C$72))"),"")</f>
        <v/>
      </c>
      <c r="R1941" s="61" t="str">
        <f>IFERROR(__xludf.DUMMYFUNCTION("INDIRECT(""'收支紀錄'!R""&amp;TO_TEXT(ROW()-$C$72))"),"")</f>
        <v/>
      </c>
      <c r="S1941" s="61" t="str">
        <f>IFERROR(__xludf.DUMMYFUNCTION("INDIRECT(""'收支紀錄'!S""&amp;TO_TEXT(ROW()-$C$72))"),"")</f>
        <v/>
      </c>
      <c r="T1941" s="61" t="str">
        <f>IFERROR(__xludf.DUMMYFUNCTION("INDIRECT(""'收支紀錄'!T""&amp;TO_TEXT(ROW()-$C$72))"),"")</f>
        <v/>
      </c>
      <c r="U1941" s="62" t="str">
        <f>IFERROR(__xludf.DUMMYFUNCTION("IF(T1941=""是"",TEXTJOIN("""", TRUE, ""$"", TO_TEXT(C1941), S1941),"""")"),"")</f>
        <v/>
      </c>
    </row>
    <row r="1942">
      <c r="A1942" s="58" t="str">
        <f>IFERROR(__xludf.DUMMYFUNCTION("INDIRECT(""'收支紀錄'!A""&amp;TO_TEXT(ROW()-$C$72))"),"")</f>
        <v/>
      </c>
      <c r="B1942" s="59" t="str">
        <f>IFERROR(__xludf.DUMMYFUNCTION("IF(ISBLANK(D1942), """", IF(ISDATE(D1942), D1942, IF(D1942=""今天"", A1942, IF(D1942=""昨天 (-1 day)"", A1942-1, IF(D1942=""前天 (-2 days)"", A1942-2, IF(D1942=""明天 (+1 day)"", A1942+1, DATE(LEFT(D1942,4), MID(D1942,5,2), RIGHT(D1942,2))))))))"),"")</f>
        <v/>
      </c>
      <c r="C1942" s="60" t="str">
        <f>IFERROR(__xludf.DUMMYFUNCTION("INDIRECT(""'收支紀錄'!C""&amp;TO_TEXT(ROW()-$C$72))"),"")</f>
        <v/>
      </c>
      <c r="D1942" s="63" t="str">
        <f>IFERROR(__xludf.DUMMYFUNCTION("INDIRECT(""'收支紀錄'!D""&amp;TO_TEXT(ROW()-$C$72))"),"")</f>
        <v/>
      </c>
      <c r="E1942" s="61" t="str">
        <f>IFERROR(__xludf.DUMMYFUNCTION("INDIRECT(""'收支紀錄'!E""&amp;TO_TEXT(ROW()-$C$72))"),"")</f>
        <v/>
      </c>
      <c r="F1942" s="61" t="str">
        <f>IFERROR(__xludf.DUMMYFUNCTION("INDIRECT(""'收支紀錄'!F""&amp;TO_TEXT(ROW()-$C$72))"),"")</f>
        <v/>
      </c>
      <c r="G1942" s="61" t="str">
        <f>IFERROR(__xludf.DUMMYFUNCTION("INDIRECT(""'收支紀錄'!G""&amp;TO_TEXT(ROW()-$C$72))"),"")</f>
        <v/>
      </c>
      <c r="H1942" s="61" t="str">
        <f>IFERROR(__xludf.DUMMYFUNCTION("INDIRECT(""'收支紀錄'!H""&amp;TO_TEXT(ROW()-$C$72))"),"")</f>
        <v/>
      </c>
      <c r="I1942" s="61" t="str">
        <f>IFERROR(__xludf.DUMMYFUNCTION("INDIRECT(""'收支紀錄'!I""&amp;TO_TEXT(ROW()-$C$72))"),"")</f>
        <v/>
      </c>
      <c r="J1942" s="61" t="str">
        <f>IFERROR(__xludf.DUMMYFUNCTION("INDIRECT(""'收支紀錄'!J""&amp;TO_TEXT(ROW()-$C$72))"),"")</f>
        <v/>
      </c>
      <c r="K1942" s="61" t="str">
        <f>IFERROR(__xludf.DUMMYFUNCTION("INDIRECT(""'收支紀錄'!K""&amp;TO_TEXT(ROW()-$C$72))"),"")</f>
        <v/>
      </c>
      <c r="L1942" s="61" t="str">
        <f>IFERROR(__xludf.DUMMYFUNCTION("INDIRECT(""'收支紀錄'!L""&amp;TO_TEXT(ROW()-$C$72))"),"")</f>
        <v/>
      </c>
      <c r="M1942" s="61" t="str">
        <f>IFERROR(__xludf.DUMMYFUNCTION("INDIRECT(""'收支紀錄'!M""&amp;TO_TEXT(ROW()-$C$72))"),"")</f>
        <v/>
      </c>
      <c r="N1942" s="61" t="str">
        <f>IFERROR(__xludf.DUMMYFUNCTION("INDIRECT(""'收支紀錄'!N""&amp;TO_TEXT(ROW()-$C$72))"),"")</f>
        <v/>
      </c>
      <c r="O1942" s="61" t="str">
        <f>IFERROR(__xludf.DUMMYFUNCTION("INDIRECT(""'收支紀錄'!O""&amp;TO_TEXT(ROW()-$C$72))"),"")</f>
        <v/>
      </c>
      <c r="P1942" s="61" t="str">
        <f>IFERROR(__xludf.DUMMYFUNCTION("INDIRECT(""'收支紀錄'!P""&amp;TO_TEXT(ROW()-$C$72))"),"")</f>
        <v/>
      </c>
      <c r="Q1942" s="61" t="str">
        <f>IFERROR(__xludf.DUMMYFUNCTION("INDIRECT(""'收支紀錄'!Q""&amp;TO_TEXT(ROW()-$C$72))"),"")</f>
        <v/>
      </c>
      <c r="R1942" s="61" t="str">
        <f>IFERROR(__xludf.DUMMYFUNCTION("INDIRECT(""'收支紀錄'!R""&amp;TO_TEXT(ROW()-$C$72))"),"")</f>
        <v/>
      </c>
      <c r="S1942" s="61" t="str">
        <f>IFERROR(__xludf.DUMMYFUNCTION("INDIRECT(""'收支紀錄'!S""&amp;TO_TEXT(ROW()-$C$72))"),"")</f>
        <v/>
      </c>
      <c r="T1942" s="61" t="str">
        <f>IFERROR(__xludf.DUMMYFUNCTION("INDIRECT(""'收支紀錄'!T""&amp;TO_TEXT(ROW()-$C$72))"),"")</f>
        <v/>
      </c>
      <c r="U1942" s="62" t="str">
        <f>IFERROR(__xludf.DUMMYFUNCTION("IF(T1942=""是"",TEXTJOIN("""", TRUE, ""$"", TO_TEXT(C1942), S1942),"""")"),"")</f>
        <v/>
      </c>
    </row>
    <row r="1943">
      <c r="A1943" s="58" t="str">
        <f>IFERROR(__xludf.DUMMYFUNCTION("INDIRECT(""'收支紀錄'!A""&amp;TO_TEXT(ROW()-$C$72))"),"")</f>
        <v/>
      </c>
      <c r="B1943" s="59" t="str">
        <f>IFERROR(__xludf.DUMMYFUNCTION("IF(ISBLANK(D1943), """", IF(ISDATE(D1943), D1943, IF(D1943=""今天"", A1943, IF(D1943=""昨天 (-1 day)"", A1943-1, IF(D1943=""前天 (-2 days)"", A1943-2, IF(D1943=""明天 (+1 day)"", A1943+1, DATE(LEFT(D1943,4), MID(D1943,5,2), RIGHT(D1943,2))))))))"),"")</f>
        <v/>
      </c>
      <c r="C1943" s="60" t="str">
        <f>IFERROR(__xludf.DUMMYFUNCTION("INDIRECT(""'收支紀錄'!C""&amp;TO_TEXT(ROW()-$C$72))"),"")</f>
        <v/>
      </c>
      <c r="D1943" s="63" t="str">
        <f>IFERROR(__xludf.DUMMYFUNCTION("INDIRECT(""'收支紀錄'!D""&amp;TO_TEXT(ROW()-$C$72))"),"")</f>
        <v/>
      </c>
      <c r="E1943" s="61" t="str">
        <f>IFERROR(__xludf.DUMMYFUNCTION("INDIRECT(""'收支紀錄'!E""&amp;TO_TEXT(ROW()-$C$72))"),"")</f>
        <v/>
      </c>
      <c r="F1943" s="61" t="str">
        <f>IFERROR(__xludf.DUMMYFUNCTION("INDIRECT(""'收支紀錄'!F""&amp;TO_TEXT(ROW()-$C$72))"),"")</f>
        <v/>
      </c>
      <c r="G1943" s="61" t="str">
        <f>IFERROR(__xludf.DUMMYFUNCTION("INDIRECT(""'收支紀錄'!G""&amp;TO_TEXT(ROW()-$C$72))"),"")</f>
        <v/>
      </c>
      <c r="H1943" s="61" t="str">
        <f>IFERROR(__xludf.DUMMYFUNCTION("INDIRECT(""'收支紀錄'!H""&amp;TO_TEXT(ROW()-$C$72))"),"")</f>
        <v/>
      </c>
      <c r="I1943" s="61" t="str">
        <f>IFERROR(__xludf.DUMMYFUNCTION("INDIRECT(""'收支紀錄'!I""&amp;TO_TEXT(ROW()-$C$72))"),"")</f>
        <v/>
      </c>
      <c r="J1943" s="61" t="str">
        <f>IFERROR(__xludf.DUMMYFUNCTION("INDIRECT(""'收支紀錄'!J""&amp;TO_TEXT(ROW()-$C$72))"),"")</f>
        <v/>
      </c>
      <c r="K1943" s="61" t="str">
        <f>IFERROR(__xludf.DUMMYFUNCTION("INDIRECT(""'收支紀錄'!K""&amp;TO_TEXT(ROW()-$C$72))"),"")</f>
        <v/>
      </c>
      <c r="L1943" s="61" t="str">
        <f>IFERROR(__xludf.DUMMYFUNCTION("INDIRECT(""'收支紀錄'!L""&amp;TO_TEXT(ROW()-$C$72))"),"")</f>
        <v/>
      </c>
      <c r="M1943" s="61" t="str">
        <f>IFERROR(__xludf.DUMMYFUNCTION("INDIRECT(""'收支紀錄'!M""&amp;TO_TEXT(ROW()-$C$72))"),"")</f>
        <v/>
      </c>
      <c r="N1943" s="61" t="str">
        <f>IFERROR(__xludf.DUMMYFUNCTION("INDIRECT(""'收支紀錄'!N""&amp;TO_TEXT(ROW()-$C$72))"),"")</f>
        <v/>
      </c>
      <c r="O1943" s="61" t="str">
        <f>IFERROR(__xludf.DUMMYFUNCTION("INDIRECT(""'收支紀錄'!O""&amp;TO_TEXT(ROW()-$C$72))"),"")</f>
        <v/>
      </c>
      <c r="P1943" s="61" t="str">
        <f>IFERROR(__xludf.DUMMYFUNCTION("INDIRECT(""'收支紀錄'!P""&amp;TO_TEXT(ROW()-$C$72))"),"")</f>
        <v/>
      </c>
      <c r="Q1943" s="61" t="str">
        <f>IFERROR(__xludf.DUMMYFUNCTION("INDIRECT(""'收支紀錄'!Q""&amp;TO_TEXT(ROW()-$C$72))"),"")</f>
        <v/>
      </c>
      <c r="R1943" s="61" t="str">
        <f>IFERROR(__xludf.DUMMYFUNCTION("INDIRECT(""'收支紀錄'!R""&amp;TO_TEXT(ROW()-$C$72))"),"")</f>
        <v/>
      </c>
      <c r="S1943" s="61" t="str">
        <f>IFERROR(__xludf.DUMMYFUNCTION("INDIRECT(""'收支紀錄'!S""&amp;TO_TEXT(ROW()-$C$72))"),"")</f>
        <v/>
      </c>
      <c r="T1943" s="61" t="str">
        <f>IFERROR(__xludf.DUMMYFUNCTION("INDIRECT(""'收支紀錄'!T""&amp;TO_TEXT(ROW()-$C$72))"),"")</f>
        <v/>
      </c>
      <c r="U1943" s="62" t="str">
        <f>IFERROR(__xludf.DUMMYFUNCTION("IF(T1943=""是"",TEXTJOIN("""", TRUE, ""$"", TO_TEXT(C1943), S1943),"""")"),"")</f>
        <v/>
      </c>
    </row>
    <row r="1944">
      <c r="A1944" s="58" t="str">
        <f>IFERROR(__xludf.DUMMYFUNCTION("INDIRECT(""'收支紀錄'!A""&amp;TO_TEXT(ROW()-$C$72))"),"")</f>
        <v/>
      </c>
      <c r="B1944" s="59" t="str">
        <f>IFERROR(__xludf.DUMMYFUNCTION("IF(ISBLANK(D1944), """", IF(ISDATE(D1944), D1944, IF(D1944=""今天"", A1944, IF(D1944=""昨天 (-1 day)"", A1944-1, IF(D1944=""前天 (-2 days)"", A1944-2, IF(D1944=""明天 (+1 day)"", A1944+1, DATE(LEFT(D1944,4), MID(D1944,5,2), RIGHT(D1944,2))))))))"),"")</f>
        <v/>
      </c>
      <c r="C1944" s="60" t="str">
        <f>IFERROR(__xludf.DUMMYFUNCTION("INDIRECT(""'收支紀錄'!C""&amp;TO_TEXT(ROW()-$C$72))"),"")</f>
        <v/>
      </c>
      <c r="D1944" s="63" t="str">
        <f>IFERROR(__xludf.DUMMYFUNCTION("INDIRECT(""'收支紀錄'!D""&amp;TO_TEXT(ROW()-$C$72))"),"")</f>
        <v/>
      </c>
      <c r="E1944" s="61" t="str">
        <f>IFERROR(__xludf.DUMMYFUNCTION("INDIRECT(""'收支紀錄'!E""&amp;TO_TEXT(ROW()-$C$72))"),"")</f>
        <v/>
      </c>
      <c r="F1944" s="61" t="str">
        <f>IFERROR(__xludf.DUMMYFUNCTION("INDIRECT(""'收支紀錄'!F""&amp;TO_TEXT(ROW()-$C$72))"),"")</f>
        <v/>
      </c>
      <c r="G1944" s="61" t="str">
        <f>IFERROR(__xludf.DUMMYFUNCTION("INDIRECT(""'收支紀錄'!G""&amp;TO_TEXT(ROW()-$C$72))"),"")</f>
        <v/>
      </c>
      <c r="H1944" s="61" t="str">
        <f>IFERROR(__xludf.DUMMYFUNCTION("INDIRECT(""'收支紀錄'!H""&amp;TO_TEXT(ROW()-$C$72))"),"")</f>
        <v/>
      </c>
      <c r="I1944" s="61" t="str">
        <f>IFERROR(__xludf.DUMMYFUNCTION("INDIRECT(""'收支紀錄'!I""&amp;TO_TEXT(ROW()-$C$72))"),"")</f>
        <v/>
      </c>
      <c r="J1944" s="61" t="str">
        <f>IFERROR(__xludf.DUMMYFUNCTION("INDIRECT(""'收支紀錄'!J""&amp;TO_TEXT(ROW()-$C$72))"),"")</f>
        <v/>
      </c>
      <c r="K1944" s="61" t="str">
        <f>IFERROR(__xludf.DUMMYFUNCTION("INDIRECT(""'收支紀錄'!K""&amp;TO_TEXT(ROW()-$C$72))"),"")</f>
        <v/>
      </c>
      <c r="L1944" s="61" t="str">
        <f>IFERROR(__xludf.DUMMYFUNCTION("INDIRECT(""'收支紀錄'!L""&amp;TO_TEXT(ROW()-$C$72))"),"")</f>
        <v/>
      </c>
      <c r="M1944" s="61" t="str">
        <f>IFERROR(__xludf.DUMMYFUNCTION("INDIRECT(""'收支紀錄'!M""&amp;TO_TEXT(ROW()-$C$72))"),"")</f>
        <v/>
      </c>
      <c r="N1944" s="61" t="str">
        <f>IFERROR(__xludf.DUMMYFUNCTION("INDIRECT(""'收支紀錄'!N""&amp;TO_TEXT(ROW()-$C$72))"),"")</f>
        <v/>
      </c>
      <c r="O1944" s="61" t="str">
        <f>IFERROR(__xludf.DUMMYFUNCTION("INDIRECT(""'收支紀錄'!O""&amp;TO_TEXT(ROW()-$C$72))"),"")</f>
        <v/>
      </c>
      <c r="P1944" s="61" t="str">
        <f>IFERROR(__xludf.DUMMYFUNCTION("INDIRECT(""'收支紀錄'!P""&amp;TO_TEXT(ROW()-$C$72))"),"")</f>
        <v/>
      </c>
      <c r="Q1944" s="61" t="str">
        <f>IFERROR(__xludf.DUMMYFUNCTION("INDIRECT(""'收支紀錄'!Q""&amp;TO_TEXT(ROW()-$C$72))"),"")</f>
        <v/>
      </c>
      <c r="R1944" s="61" t="str">
        <f>IFERROR(__xludf.DUMMYFUNCTION("INDIRECT(""'收支紀錄'!R""&amp;TO_TEXT(ROW()-$C$72))"),"")</f>
        <v/>
      </c>
      <c r="S1944" s="61" t="str">
        <f>IFERROR(__xludf.DUMMYFUNCTION("INDIRECT(""'收支紀錄'!S""&amp;TO_TEXT(ROW()-$C$72))"),"")</f>
        <v/>
      </c>
      <c r="T1944" s="61" t="str">
        <f>IFERROR(__xludf.DUMMYFUNCTION("INDIRECT(""'收支紀錄'!T""&amp;TO_TEXT(ROW()-$C$72))"),"")</f>
        <v/>
      </c>
      <c r="U1944" s="62" t="str">
        <f>IFERROR(__xludf.DUMMYFUNCTION("IF(T1944=""是"",TEXTJOIN("""", TRUE, ""$"", TO_TEXT(C1944), S1944),"""")"),"")</f>
        <v/>
      </c>
    </row>
    <row r="1945">
      <c r="A1945" s="58" t="str">
        <f>IFERROR(__xludf.DUMMYFUNCTION("INDIRECT(""'收支紀錄'!A""&amp;TO_TEXT(ROW()-$C$72))"),"")</f>
        <v/>
      </c>
      <c r="B1945" s="59" t="str">
        <f>IFERROR(__xludf.DUMMYFUNCTION("IF(ISBLANK(D1945), """", IF(ISDATE(D1945), D1945, IF(D1945=""今天"", A1945, IF(D1945=""昨天 (-1 day)"", A1945-1, IF(D1945=""前天 (-2 days)"", A1945-2, IF(D1945=""明天 (+1 day)"", A1945+1, DATE(LEFT(D1945,4), MID(D1945,5,2), RIGHT(D1945,2))))))))"),"")</f>
        <v/>
      </c>
      <c r="C1945" s="60" t="str">
        <f>IFERROR(__xludf.DUMMYFUNCTION("INDIRECT(""'收支紀錄'!C""&amp;TO_TEXT(ROW()-$C$72))"),"")</f>
        <v/>
      </c>
      <c r="D1945" s="63" t="str">
        <f>IFERROR(__xludf.DUMMYFUNCTION("INDIRECT(""'收支紀錄'!D""&amp;TO_TEXT(ROW()-$C$72))"),"")</f>
        <v/>
      </c>
      <c r="E1945" s="61" t="str">
        <f>IFERROR(__xludf.DUMMYFUNCTION("INDIRECT(""'收支紀錄'!E""&amp;TO_TEXT(ROW()-$C$72))"),"")</f>
        <v/>
      </c>
      <c r="F1945" s="61" t="str">
        <f>IFERROR(__xludf.DUMMYFUNCTION("INDIRECT(""'收支紀錄'!F""&amp;TO_TEXT(ROW()-$C$72))"),"")</f>
        <v/>
      </c>
      <c r="G1945" s="61" t="str">
        <f>IFERROR(__xludf.DUMMYFUNCTION("INDIRECT(""'收支紀錄'!G""&amp;TO_TEXT(ROW()-$C$72))"),"")</f>
        <v/>
      </c>
      <c r="H1945" s="61" t="str">
        <f>IFERROR(__xludf.DUMMYFUNCTION("INDIRECT(""'收支紀錄'!H""&amp;TO_TEXT(ROW()-$C$72))"),"")</f>
        <v/>
      </c>
      <c r="I1945" s="61" t="str">
        <f>IFERROR(__xludf.DUMMYFUNCTION("INDIRECT(""'收支紀錄'!I""&amp;TO_TEXT(ROW()-$C$72))"),"")</f>
        <v/>
      </c>
      <c r="J1945" s="61" t="str">
        <f>IFERROR(__xludf.DUMMYFUNCTION("INDIRECT(""'收支紀錄'!J""&amp;TO_TEXT(ROW()-$C$72))"),"")</f>
        <v/>
      </c>
      <c r="K1945" s="61" t="str">
        <f>IFERROR(__xludf.DUMMYFUNCTION("INDIRECT(""'收支紀錄'!K""&amp;TO_TEXT(ROW()-$C$72))"),"")</f>
        <v/>
      </c>
      <c r="L1945" s="61" t="str">
        <f>IFERROR(__xludf.DUMMYFUNCTION("INDIRECT(""'收支紀錄'!L""&amp;TO_TEXT(ROW()-$C$72))"),"")</f>
        <v/>
      </c>
      <c r="M1945" s="61" t="str">
        <f>IFERROR(__xludf.DUMMYFUNCTION("INDIRECT(""'收支紀錄'!M""&amp;TO_TEXT(ROW()-$C$72))"),"")</f>
        <v/>
      </c>
      <c r="N1945" s="61" t="str">
        <f>IFERROR(__xludf.DUMMYFUNCTION("INDIRECT(""'收支紀錄'!N""&amp;TO_TEXT(ROW()-$C$72))"),"")</f>
        <v/>
      </c>
      <c r="O1945" s="61" t="str">
        <f>IFERROR(__xludf.DUMMYFUNCTION("INDIRECT(""'收支紀錄'!O""&amp;TO_TEXT(ROW()-$C$72))"),"")</f>
        <v/>
      </c>
      <c r="P1945" s="61" t="str">
        <f>IFERROR(__xludf.DUMMYFUNCTION("INDIRECT(""'收支紀錄'!P""&amp;TO_TEXT(ROW()-$C$72))"),"")</f>
        <v/>
      </c>
      <c r="Q1945" s="61" t="str">
        <f>IFERROR(__xludf.DUMMYFUNCTION("INDIRECT(""'收支紀錄'!Q""&amp;TO_TEXT(ROW()-$C$72))"),"")</f>
        <v/>
      </c>
      <c r="R1945" s="61" t="str">
        <f>IFERROR(__xludf.DUMMYFUNCTION("INDIRECT(""'收支紀錄'!R""&amp;TO_TEXT(ROW()-$C$72))"),"")</f>
        <v/>
      </c>
      <c r="S1945" s="61" t="str">
        <f>IFERROR(__xludf.DUMMYFUNCTION("INDIRECT(""'收支紀錄'!S""&amp;TO_TEXT(ROW()-$C$72))"),"")</f>
        <v/>
      </c>
      <c r="T1945" s="61" t="str">
        <f>IFERROR(__xludf.DUMMYFUNCTION("INDIRECT(""'收支紀錄'!T""&amp;TO_TEXT(ROW()-$C$72))"),"")</f>
        <v/>
      </c>
      <c r="U1945" s="62" t="str">
        <f>IFERROR(__xludf.DUMMYFUNCTION("IF(T1945=""是"",TEXTJOIN("""", TRUE, ""$"", TO_TEXT(C1945), S1945),"""")"),"")</f>
        <v/>
      </c>
    </row>
    <row r="1946">
      <c r="A1946" s="58" t="str">
        <f>IFERROR(__xludf.DUMMYFUNCTION("INDIRECT(""'收支紀錄'!A""&amp;TO_TEXT(ROW()-$C$72))"),"")</f>
        <v/>
      </c>
      <c r="B1946" s="59" t="str">
        <f>IFERROR(__xludf.DUMMYFUNCTION("IF(ISBLANK(D1946), """", IF(ISDATE(D1946), D1946, IF(D1946=""今天"", A1946, IF(D1946=""昨天 (-1 day)"", A1946-1, IF(D1946=""前天 (-2 days)"", A1946-2, IF(D1946=""明天 (+1 day)"", A1946+1, DATE(LEFT(D1946,4), MID(D1946,5,2), RIGHT(D1946,2))))))))"),"")</f>
        <v/>
      </c>
      <c r="C1946" s="60" t="str">
        <f>IFERROR(__xludf.DUMMYFUNCTION("INDIRECT(""'收支紀錄'!C""&amp;TO_TEXT(ROW()-$C$72))"),"")</f>
        <v/>
      </c>
      <c r="D1946" s="63" t="str">
        <f>IFERROR(__xludf.DUMMYFUNCTION("INDIRECT(""'收支紀錄'!D""&amp;TO_TEXT(ROW()-$C$72))"),"")</f>
        <v/>
      </c>
      <c r="E1946" s="61" t="str">
        <f>IFERROR(__xludf.DUMMYFUNCTION("INDIRECT(""'收支紀錄'!E""&amp;TO_TEXT(ROW()-$C$72))"),"")</f>
        <v/>
      </c>
      <c r="F1946" s="61" t="str">
        <f>IFERROR(__xludf.DUMMYFUNCTION("INDIRECT(""'收支紀錄'!F""&amp;TO_TEXT(ROW()-$C$72))"),"")</f>
        <v/>
      </c>
      <c r="G1946" s="61" t="str">
        <f>IFERROR(__xludf.DUMMYFUNCTION("INDIRECT(""'收支紀錄'!G""&amp;TO_TEXT(ROW()-$C$72))"),"")</f>
        <v/>
      </c>
      <c r="H1946" s="61" t="str">
        <f>IFERROR(__xludf.DUMMYFUNCTION("INDIRECT(""'收支紀錄'!H""&amp;TO_TEXT(ROW()-$C$72))"),"")</f>
        <v/>
      </c>
      <c r="I1946" s="61" t="str">
        <f>IFERROR(__xludf.DUMMYFUNCTION("INDIRECT(""'收支紀錄'!I""&amp;TO_TEXT(ROW()-$C$72))"),"")</f>
        <v/>
      </c>
      <c r="J1946" s="61" t="str">
        <f>IFERROR(__xludf.DUMMYFUNCTION("INDIRECT(""'收支紀錄'!J""&amp;TO_TEXT(ROW()-$C$72))"),"")</f>
        <v/>
      </c>
      <c r="K1946" s="61" t="str">
        <f>IFERROR(__xludf.DUMMYFUNCTION("INDIRECT(""'收支紀錄'!K""&amp;TO_TEXT(ROW()-$C$72))"),"")</f>
        <v/>
      </c>
      <c r="L1946" s="61" t="str">
        <f>IFERROR(__xludf.DUMMYFUNCTION("INDIRECT(""'收支紀錄'!L""&amp;TO_TEXT(ROW()-$C$72))"),"")</f>
        <v/>
      </c>
      <c r="M1946" s="61" t="str">
        <f>IFERROR(__xludf.DUMMYFUNCTION("INDIRECT(""'收支紀錄'!M""&amp;TO_TEXT(ROW()-$C$72))"),"")</f>
        <v/>
      </c>
      <c r="N1946" s="61" t="str">
        <f>IFERROR(__xludf.DUMMYFUNCTION("INDIRECT(""'收支紀錄'!N""&amp;TO_TEXT(ROW()-$C$72))"),"")</f>
        <v/>
      </c>
      <c r="O1946" s="61" t="str">
        <f>IFERROR(__xludf.DUMMYFUNCTION("INDIRECT(""'收支紀錄'!O""&amp;TO_TEXT(ROW()-$C$72))"),"")</f>
        <v/>
      </c>
      <c r="P1946" s="61" t="str">
        <f>IFERROR(__xludf.DUMMYFUNCTION("INDIRECT(""'收支紀錄'!P""&amp;TO_TEXT(ROW()-$C$72))"),"")</f>
        <v/>
      </c>
      <c r="Q1946" s="61" t="str">
        <f>IFERROR(__xludf.DUMMYFUNCTION("INDIRECT(""'收支紀錄'!Q""&amp;TO_TEXT(ROW()-$C$72))"),"")</f>
        <v/>
      </c>
      <c r="R1946" s="61" t="str">
        <f>IFERROR(__xludf.DUMMYFUNCTION("INDIRECT(""'收支紀錄'!R""&amp;TO_TEXT(ROW()-$C$72))"),"")</f>
        <v/>
      </c>
      <c r="S1946" s="61" t="str">
        <f>IFERROR(__xludf.DUMMYFUNCTION("INDIRECT(""'收支紀錄'!S""&amp;TO_TEXT(ROW()-$C$72))"),"")</f>
        <v/>
      </c>
      <c r="T1946" s="61" t="str">
        <f>IFERROR(__xludf.DUMMYFUNCTION("INDIRECT(""'收支紀錄'!T""&amp;TO_TEXT(ROW()-$C$72))"),"")</f>
        <v/>
      </c>
      <c r="U1946" s="62" t="str">
        <f>IFERROR(__xludf.DUMMYFUNCTION("IF(T1946=""是"",TEXTJOIN("""", TRUE, ""$"", TO_TEXT(C1946), S1946),"""")"),"")</f>
        <v/>
      </c>
    </row>
    <row r="1947">
      <c r="A1947" s="58" t="str">
        <f>IFERROR(__xludf.DUMMYFUNCTION("INDIRECT(""'收支紀錄'!A""&amp;TO_TEXT(ROW()-$C$72))"),"")</f>
        <v/>
      </c>
      <c r="B1947" s="59" t="str">
        <f>IFERROR(__xludf.DUMMYFUNCTION("IF(ISBLANK(D1947), """", IF(ISDATE(D1947), D1947, IF(D1947=""今天"", A1947, IF(D1947=""昨天 (-1 day)"", A1947-1, IF(D1947=""前天 (-2 days)"", A1947-2, IF(D1947=""明天 (+1 day)"", A1947+1, DATE(LEFT(D1947,4), MID(D1947,5,2), RIGHT(D1947,2))))))))"),"")</f>
        <v/>
      </c>
      <c r="C1947" s="60" t="str">
        <f>IFERROR(__xludf.DUMMYFUNCTION("INDIRECT(""'收支紀錄'!C""&amp;TO_TEXT(ROW()-$C$72))"),"")</f>
        <v/>
      </c>
      <c r="D1947" s="63" t="str">
        <f>IFERROR(__xludf.DUMMYFUNCTION("INDIRECT(""'收支紀錄'!D""&amp;TO_TEXT(ROW()-$C$72))"),"")</f>
        <v/>
      </c>
      <c r="E1947" s="61" t="str">
        <f>IFERROR(__xludf.DUMMYFUNCTION("INDIRECT(""'收支紀錄'!E""&amp;TO_TEXT(ROW()-$C$72))"),"")</f>
        <v/>
      </c>
      <c r="F1947" s="61" t="str">
        <f>IFERROR(__xludf.DUMMYFUNCTION("INDIRECT(""'收支紀錄'!F""&amp;TO_TEXT(ROW()-$C$72))"),"")</f>
        <v/>
      </c>
      <c r="G1947" s="61" t="str">
        <f>IFERROR(__xludf.DUMMYFUNCTION("INDIRECT(""'收支紀錄'!G""&amp;TO_TEXT(ROW()-$C$72))"),"")</f>
        <v/>
      </c>
      <c r="H1947" s="61" t="str">
        <f>IFERROR(__xludf.DUMMYFUNCTION("INDIRECT(""'收支紀錄'!H""&amp;TO_TEXT(ROW()-$C$72))"),"")</f>
        <v/>
      </c>
      <c r="I1947" s="61" t="str">
        <f>IFERROR(__xludf.DUMMYFUNCTION("INDIRECT(""'收支紀錄'!I""&amp;TO_TEXT(ROW()-$C$72))"),"")</f>
        <v/>
      </c>
      <c r="J1947" s="61" t="str">
        <f>IFERROR(__xludf.DUMMYFUNCTION("INDIRECT(""'收支紀錄'!J""&amp;TO_TEXT(ROW()-$C$72))"),"")</f>
        <v/>
      </c>
      <c r="K1947" s="61" t="str">
        <f>IFERROR(__xludf.DUMMYFUNCTION("INDIRECT(""'收支紀錄'!K""&amp;TO_TEXT(ROW()-$C$72))"),"")</f>
        <v/>
      </c>
      <c r="L1947" s="61" t="str">
        <f>IFERROR(__xludf.DUMMYFUNCTION("INDIRECT(""'收支紀錄'!L""&amp;TO_TEXT(ROW()-$C$72))"),"")</f>
        <v/>
      </c>
      <c r="M1947" s="61" t="str">
        <f>IFERROR(__xludf.DUMMYFUNCTION("INDIRECT(""'收支紀錄'!M""&amp;TO_TEXT(ROW()-$C$72))"),"")</f>
        <v/>
      </c>
      <c r="N1947" s="61" t="str">
        <f>IFERROR(__xludf.DUMMYFUNCTION("INDIRECT(""'收支紀錄'!N""&amp;TO_TEXT(ROW()-$C$72))"),"")</f>
        <v/>
      </c>
      <c r="O1947" s="61" t="str">
        <f>IFERROR(__xludf.DUMMYFUNCTION("INDIRECT(""'收支紀錄'!O""&amp;TO_TEXT(ROW()-$C$72))"),"")</f>
        <v/>
      </c>
      <c r="P1947" s="61" t="str">
        <f>IFERROR(__xludf.DUMMYFUNCTION("INDIRECT(""'收支紀錄'!P""&amp;TO_TEXT(ROW()-$C$72))"),"")</f>
        <v/>
      </c>
      <c r="Q1947" s="61" t="str">
        <f>IFERROR(__xludf.DUMMYFUNCTION("INDIRECT(""'收支紀錄'!Q""&amp;TO_TEXT(ROW()-$C$72))"),"")</f>
        <v/>
      </c>
      <c r="R1947" s="61" t="str">
        <f>IFERROR(__xludf.DUMMYFUNCTION("INDIRECT(""'收支紀錄'!R""&amp;TO_TEXT(ROW()-$C$72))"),"")</f>
        <v/>
      </c>
      <c r="S1947" s="61" t="str">
        <f>IFERROR(__xludf.DUMMYFUNCTION("INDIRECT(""'收支紀錄'!S""&amp;TO_TEXT(ROW()-$C$72))"),"")</f>
        <v/>
      </c>
      <c r="T1947" s="61" t="str">
        <f>IFERROR(__xludf.DUMMYFUNCTION("INDIRECT(""'收支紀錄'!T""&amp;TO_TEXT(ROW()-$C$72))"),"")</f>
        <v/>
      </c>
      <c r="U1947" s="62" t="str">
        <f>IFERROR(__xludf.DUMMYFUNCTION("IF(T1947=""是"",TEXTJOIN("""", TRUE, ""$"", TO_TEXT(C1947), S1947),"""")"),"")</f>
        <v/>
      </c>
    </row>
    <row r="1948">
      <c r="A1948" s="58" t="str">
        <f>IFERROR(__xludf.DUMMYFUNCTION("INDIRECT(""'收支紀錄'!A""&amp;TO_TEXT(ROW()-$C$72))"),"")</f>
        <v/>
      </c>
      <c r="B1948" s="59" t="str">
        <f>IFERROR(__xludf.DUMMYFUNCTION("IF(ISBLANK(D1948), """", IF(ISDATE(D1948), D1948, IF(D1948=""今天"", A1948, IF(D1948=""昨天 (-1 day)"", A1948-1, IF(D1948=""前天 (-2 days)"", A1948-2, IF(D1948=""明天 (+1 day)"", A1948+1, DATE(LEFT(D1948,4), MID(D1948,5,2), RIGHT(D1948,2))))))))"),"")</f>
        <v/>
      </c>
      <c r="C1948" s="60" t="str">
        <f>IFERROR(__xludf.DUMMYFUNCTION("INDIRECT(""'收支紀錄'!C""&amp;TO_TEXT(ROW()-$C$72))"),"")</f>
        <v/>
      </c>
      <c r="D1948" s="63" t="str">
        <f>IFERROR(__xludf.DUMMYFUNCTION("INDIRECT(""'收支紀錄'!D""&amp;TO_TEXT(ROW()-$C$72))"),"")</f>
        <v/>
      </c>
      <c r="E1948" s="61" t="str">
        <f>IFERROR(__xludf.DUMMYFUNCTION("INDIRECT(""'收支紀錄'!E""&amp;TO_TEXT(ROW()-$C$72))"),"")</f>
        <v/>
      </c>
      <c r="F1948" s="61" t="str">
        <f>IFERROR(__xludf.DUMMYFUNCTION("INDIRECT(""'收支紀錄'!F""&amp;TO_TEXT(ROW()-$C$72))"),"")</f>
        <v/>
      </c>
      <c r="G1948" s="61" t="str">
        <f>IFERROR(__xludf.DUMMYFUNCTION("INDIRECT(""'收支紀錄'!G""&amp;TO_TEXT(ROW()-$C$72))"),"")</f>
        <v/>
      </c>
      <c r="H1948" s="61" t="str">
        <f>IFERROR(__xludf.DUMMYFUNCTION("INDIRECT(""'收支紀錄'!H""&amp;TO_TEXT(ROW()-$C$72))"),"")</f>
        <v/>
      </c>
      <c r="I1948" s="61" t="str">
        <f>IFERROR(__xludf.DUMMYFUNCTION("INDIRECT(""'收支紀錄'!I""&amp;TO_TEXT(ROW()-$C$72))"),"")</f>
        <v/>
      </c>
      <c r="J1948" s="61" t="str">
        <f>IFERROR(__xludf.DUMMYFUNCTION("INDIRECT(""'收支紀錄'!J""&amp;TO_TEXT(ROW()-$C$72))"),"")</f>
        <v/>
      </c>
      <c r="K1948" s="61" t="str">
        <f>IFERROR(__xludf.DUMMYFUNCTION("INDIRECT(""'收支紀錄'!K""&amp;TO_TEXT(ROW()-$C$72))"),"")</f>
        <v/>
      </c>
      <c r="L1948" s="61" t="str">
        <f>IFERROR(__xludf.DUMMYFUNCTION("INDIRECT(""'收支紀錄'!L""&amp;TO_TEXT(ROW()-$C$72))"),"")</f>
        <v/>
      </c>
      <c r="M1948" s="61" t="str">
        <f>IFERROR(__xludf.DUMMYFUNCTION("INDIRECT(""'收支紀錄'!M""&amp;TO_TEXT(ROW()-$C$72))"),"")</f>
        <v/>
      </c>
      <c r="N1948" s="61" t="str">
        <f>IFERROR(__xludf.DUMMYFUNCTION("INDIRECT(""'收支紀錄'!N""&amp;TO_TEXT(ROW()-$C$72))"),"")</f>
        <v/>
      </c>
      <c r="O1948" s="61" t="str">
        <f>IFERROR(__xludf.DUMMYFUNCTION("INDIRECT(""'收支紀錄'!O""&amp;TO_TEXT(ROW()-$C$72))"),"")</f>
        <v/>
      </c>
      <c r="P1948" s="61" t="str">
        <f>IFERROR(__xludf.DUMMYFUNCTION("INDIRECT(""'收支紀錄'!P""&amp;TO_TEXT(ROW()-$C$72))"),"")</f>
        <v/>
      </c>
      <c r="Q1948" s="61" t="str">
        <f>IFERROR(__xludf.DUMMYFUNCTION("INDIRECT(""'收支紀錄'!Q""&amp;TO_TEXT(ROW()-$C$72))"),"")</f>
        <v/>
      </c>
      <c r="R1948" s="61" t="str">
        <f>IFERROR(__xludf.DUMMYFUNCTION("INDIRECT(""'收支紀錄'!R""&amp;TO_TEXT(ROW()-$C$72))"),"")</f>
        <v/>
      </c>
      <c r="S1948" s="61" t="str">
        <f>IFERROR(__xludf.DUMMYFUNCTION("INDIRECT(""'收支紀錄'!S""&amp;TO_TEXT(ROW()-$C$72))"),"")</f>
        <v/>
      </c>
      <c r="T1948" s="61" t="str">
        <f>IFERROR(__xludf.DUMMYFUNCTION("INDIRECT(""'收支紀錄'!T""&amp;TO_TEXT(ROW()-$C$72))"),"")</f>
        <v/>
      </c>
      <c r="U1948" s="62" t="str">
        <f>IFERROR(__xludf.DUMMYFUNCTION("IF(T1948=""是"",TEXTJOIN("""", TRUE, ""$"", TO_TEXT(C1948), S1948),"""")"),"")</f>
        <v/>
      </c>
    </row>
    <row r="1949">
      <c r="A1949" s="58" t="str">
        <f>IFERROR(__xludf.DUMMYFUNCTION("INDIRECT(""'收支紀錄'!A""&amp;TO_TEXT(ROW()-$C$72))"),"")</f>
        <v/>
      </c>
      <c r="B1949" s="59" t="str">
        <f>IFERROR(__xludf.DUMMYFUNCTION("IF(ISBLANK(D1949), """", IF(ISDATE(D1949), D1949, IF(D1949=""今天"", A1949, IF(D1949=""昨天 (-1 day)"", A1949-1, IF(D1949=""前天 (-2 days)"", A1949-2, IF(D1949=""明天 (+1 day)"", A1949+1, DATE(LEFT(D1949,4), MID(D1949,5,2), RIGHT(D1949,2))))))))"),"")</f>
        <v/>
      </c>
      <c r="C1949" s="60" t="str">
        <f>IFERROR(__xludf.DUMMYFUNCTION("INDIRECT(""'收支紀錄'!C""&amp;TO_TEXT(ROW()-$C$72))"),"")</f>
        <v/>
      </c>
      <c r="D1949" s="63" t="str">
        <f>IFERROR(__xludf.DUMMYFUNCTION("INDIRECT(""'收支紀錄'!D""&amp;TO_TEXT(ROW()-$C$72))"),"")</f>
        <v/>
      </c>
      <c r="E1949" s="61" t="str">
        <f>IFERROR(__xludf.DUMMYFUNCTION("INDIRECT(""'收支紀錄'!E""&amp;TO_TEXT(ROW()-$C$72))"),"")</f>
        <v/>
      </c>
      <c r="F1949" s="61" t="str">
        <f>IFERROR(__xludf.DUMMYFUNCTION("INDIRECT(""'收支紀錄'!F""&amp;TO_TEXT(ROW()-$C$72))"),"")</f>
        <v/>
      </c>
      <c r="G1949" s="61" t="str">
        <f>IFERROR(__xludf.DUMMYFUNCTION("INDIRECT(""'收支紀錄'!G""&amp;TO_TEXT(ROW()-$C$72))"),"")</f>
        <v/>
      </c>
      <c r="H1949" s="61" t="str">
        <f>IFERROR(__xludf.DUMMYFUNCTION("INDIRECT(""'收支紀錄'!H""&amp;TO_TEXT(ROW()-$C$72))"),"")</f>
        <v/>
      </c>
      <c r="I1949" s="61" t="str">
        <f>IFERROR(__xludf.DUMMYFUNCTION("INDIRECT(""'收支紀錄'!I""&amp;TO_TEXT(ROW()-$C$72))"),"")</f>
        <v/>
      </c>
      <c r="J1949" s="61" t="str">
        <f>IFERROR(__xludf.DUMMYFUNCTION("INDIRECT(""'收支紀錄'!J""&amp;TO_TEXT(ROW()-$C$72))"),"")</f>
        <v/>
      </c>
      <c r="K1949" s="61" t="str">
        <f>IFERROR(__xludf.DUMMYFUNCTION("INDIRECT(""'收支紀錄'!K""&amp;TO_TEXT(ROW()-$C$72))"),"")</f>
        <v/>
      </c>
      <c r="L1949" s="61" t="str">
        <f>IFERROR(__xludf.DUMMYFUNCTION("INDIRECT(""'收支紀錄'!L""&amp;TO_TEXT(ROW()-$C$72))"),"")</f>
        <v/>
      </c>
      <c r="M1949" s="61" t="str">
        <f>IFERROR(__xludf.DUMMYFUNCTION("INDIRECT(""'收支紀錄'!M""&amp;TO_TEXT(ROW()-$C$72))"),"")</f>
        <v/>
      </c>
      <c r="N1949" s="61" t="str">
        <f>IFERROR(__xludf.DUMMYFUNCTION("INDIRECT(""'收支紀錄'!N""&amp;TO_TEXT(ROW()-$C$72))"),"")</f>
        <v/>
      </c>
      <c r="O1949" s="61" t="str">
        <f>IFERROR(__xludf.DUMMYFUNCTION("INDIRECT(""'收支紀錄'!O""&amp;TO_TEXT(ROW()-$C$72))"),"")</f>
        <v/>
      </c>
      <c r="P1949" s="61" t="str">
        <f>IFERROR(__xludf.DUMMYFUNCTION("INDIRECT(""'收支紀錄'!P""&amp;TO_TEXT(ROW()-$C$72))"),"")</f>
        <v/>
      </c>
      <c r="Q1949" s="61" t="str">
        <f>IFERROR(__xludf.DUMMYFUNCTION("INDIRECT(""'收支紀錄'!Q""&amp;TO_TEXT(ROW()-$C$72))"),"")</f>
        <v/>
      </c>
      <c r="R1949" s="61" t="str">
        <f>IFERROR(__xludf.DUMMYFUNCTION("INDIRECT(""'收支紀錄'!R""&amp;TO_TEXT(ROW()-$C$72))"),"")</f>
        <v/>
      </c>
      <c r="S1949" s="61" t="str">
        <f>IFERROR(__xludf.DUMMYFUNCTION("INDIRECT(""'收支紀錄'!S""&amp;TO_TEXT(ROW()-$C$72))"),"")</f>
        <v/>
      </c>
      <c r="T1949" s="61" t="str">
        <f>IFERROR(__xludf.DUMMYFUNCTION("INDIRECT(""'收支紀錄'!T""&amp;TO_TEXT(ROW()-$C$72))"),"")</f>
        <v/>
      </c>
      <c r="U1949" s="62" t="str">
        <f>IFERROR(__xludf.DUMMYFUNCTION("IF(T1949=""是"",TEXTJOIN("""", TRUE, ""$"", TO_TEXT(C1949), S1949),"""")"),"")</f>
        <v/>
      </c>
    </row>
    <row r="1950">
      <c r="A1950" s="58" t="str">
        <f>IFERROR(__xludf.DUMMYFUNCTION("INDIRECT(""'收支紀錄'!A""&amp;TO_TEXT(ROW()-$C$72))"),"")</f>
        <v/>
      </c>
      <c r="B1950" s="59" t="str">
        <f>IFERROR(__xludf.DUMMYFUNCTION("IF(ISBLANK(D1950), """", IF(ISDATE(D1950), D1950, IF(D1950=""今天"", A1950, IF(D1950=""昨天 (-1 day)"", A1950-1, IF(D1950=""前天 (-2 days)"", A1950-2, IF(D1950=""明天 (+1 day)"", A1950+1, DATE(LEFT(D1950,4), MID(D1950,5,2), RIGHT(D1950,2))))))))"),"")</f>
        <v/>
      </c>
      <c r="C1950" s="60" t="str">
        <f>IFERROR(__xludf.DUMMYFUNCTION("INDIRECT(""'收支紀錄'!C""&amp;TO_TEXT(ROW()-$C$72))"),"")</f>
        <v/>
      </c>
      <c r="D1950" s="63" t="str">
        <f>IFERROR(__xludf.DUMMYFUNCTION("INDIRECT(""'收支紀錄'!D""&amp;TO_TEXT(ROW()-$C$72))"),"")</f>
        <v/>
      </c>
      <c r="E1950" s="61" t="str">
        <f>IFERROR(__xludf.DUMMYFUNCTION("INDIRECT(""'收支紀錄'!E""&amp;TO_TEXT(ROW()-$C$72))"),"")</f>
        <v/>
      </c>
      <c r="F1950" s="61" t="str">
        <f>IFERROR(__xludf.DUMMYFUNCTION("INDIRECT(""'收支紀錄'!F""&amp;TO_TEXT(ROW()-$C$72))"),"")</f>
        <v/>
      </c>
      <c r="G1950" s="61" t="str">
        <f>IFERROR(__xludf.DUMMYFUNCTION("INDIRECT(""'收支紀錄'!G""&amp;TO_TEXT(ROW()-$C$72))"),"")</f>
        <v/>
      </c>
      <c r="H1950" s="61" t="str">
        <f>IFERROR(__xludf.DUMMYFUNCTION("INDIRECT(""'收支紀錄'!H""&amp;TO_TEXT(ROW()-$C$72))"),"")</f>
        <v/>
      </c>
      <c r="I1950" s="61" t="str">
        <f>IFERROR(__xludf.DUMMYFUNCTION("INDIRECT(""'收支紀錄'!I""&amp;TO_TEXT(ROW()-$C$72))"),"")</f>
        <v/>
      </c>
      <c r="J1950" s="61" t="str">
        <f>IFERROR(__xludf.DUMMYFUNCTION("INDIRECT(""'收支紀錄'!J""&amp;TO_TEXT(ROW()-$C$72))"),"")</f>
        <v/>
      </c>
      <c r="K1950" s="61" t="str">
        <f>IFERROR(__xludf.DUMMYFUNCTION("INDIRECT(""'收支紀錄'!K""&amp;TO_TEXT(ROW()-$C$72))"),"")</f>
        <v/>
      </c>
      <c r="L1950" s="61" t="str">
        <f>IFERROR(__xludf.DUMMYFUNCTION("INDIRECT(""'收支紀錄'!L""&amp;TO_TEXT(ROW()-$C$72))"),"")</f>
        <v/>
      </c>
      <c r="M1950" s="61" t="str">
        <f>IFERROR(__xludf.DUMMYFUNCTION("INDIRECT(""'收支紀錄'!M""&amp;TO_TEXT(ROW()-$C$72))"),"")</f>
        <v/>
      </c>
      <c r="N1950" s="61" t="str">
        <f>IFERROR(__xludf.DUMMYFUNCTION("INDIRECT(""'收支紀錄'!N""&amp;TO_TEXT(ROW()-$C$72))"),"")</f>
        <v/>
      </c>
      <c r="O1950" s="61" t="str">
        <f>IFERROR(__xludf.DUMMYFUNCTION("INDIRECT(""'收支紀錄'!O""&amp;TO_TEXT(ROW()-$C$72))"),"")</f>
        <v/>
      </c>
      <c r="P1950" s="61" t="str">
        <f>IFERROR(__xludf.DUMMYFUNCTION("INDIRECT(""'收支紀錄'!P""&amp;TO_TEXT(ROW()-$C$72))"),"")</f>
        <v/>
      </c>
      <c r="Q1950" s="61" t="str">
        <f>IFERROR(__xludf.DUMMYFUNCTION("INDIRECT(""'收支紀錄'!Q""&amp;TO_TEXT(ROW()-$C$72))"),"")</f>
        <v/>
      </c>
      <c r="R1950" s="61" t="str">
        <f>IFERROR(__xludf.DUMMYFUNCTION("INDIRECT(""'收支紀錄'!R""&amp;TO_TEXT(ROW()-$C$72))"),"")</f>
        <v/>
      </c>
      <c r="S1950" s="61" t="str">
        <f>IFERROR(__xludf.DUMMYFUNCTION("INDIRECT(""'收支紀錄'!S""&amp;TO_TEXT(ROW()-$C$72))"),"")</f>
        <v/>
      </c>
      <c r="T1950" s="61" t="str">
        <f>IFERROR(__xludf.DUMMYFUNCTION("INDIRECT(""'收支紀錄'!T""&amp;TO_TEXT(ROW()-$C$72))"),"")</f>
        <v/>
      </c>
      <c r="U1950" s="62" t="str">
        <f>IFERROR(__xludf.DUMMYFUNCTION("IF(T1950=""是"",TEXTJOIN("""", TRUE, ""$"", TO_TEXT(C1950), S1950),"""")"),"")</f>
        <v/>
      </c>
    </row>
    <row r="1951">
      <c r="A1951" s="58" t="str">
        <f>IFERROR(__xludf.DUMMYFUNCTION("INDIRECT(""'收支紀錄'!A""&amp;TO_TEXT(ROW()-$C$72))"),"")</f>
        <v/>
      </c>
      <c r="B1951" s="59" t="str">
        <f>IFERROR(__xludf.DUMMYFUNCTION("IF(ISBLANK(D1951), """", IF(ISDATE(D1951), D1951, IF(D1951=""今天"", A1951, IF(D1951=""昨天 (-1 day)"", A1951-1, IF(D1951=""前天 (-2 days)"", A1951-2, IF(D1951=""明天 (+1 day)"", A1951+1, DATE(LEFT(D1951,4), MID(D1951,5,2), RIGHT(D1951,2))))))))"),"")</f>
        <v/>
      </c>
      <c r="C1951" s="60" t="str">
        <f>IFERROR(__xludf.DUMMYFUNCTION("INDIRECT(""'收支紀錄'!C""&amp;TO_TEXT(ROW()-$C$72))"),"")</f>
        <v/>
      </c>
      <c r="D1951" s="63" t="str">
        <f>IFERROR(__xludf.DUMMYFUNCTION("INDIRECT(""'收支紀錄'!D""&amp;TO_TEXT(ROW()-$C$72))"),"")</f>
        <v/>
      </c>
      <c r="E1951" s="61" t="str">
        <f>IFERROR(__xludf.DUMMYFUNCTION("INDIRECT(""'收支紀錄'!E""&amp;TO_TEXT(ROW()-$C$72))"),"")</f>
        <v/>
      </c>
      <c r="F1951" s="61" t="str">
        <f>IFERROR(__xludf.DUMMYFUNCTION("INDIRECT(""'收支紀錄'!F""&amp;TO_TEXT(ROW()-$C$72))"),"")</f>
        <v/>
      </c>
      <c r="G1951" s="61" t="str">
        <f>IFERROR(__xludf.DUMMYFUNCTION("INDIRECT(""'收支紀錄'!G""&amp;TO_TEXT(ROW()-$C$72))"),"")</f>
        <v/>
      </c>
      <c r="H1951" s="61" t="str">
        <f>IFERROR(__xludf.DUMMYFUNCTION("INDIRECT(""'收支紀錄'!H""&amp;TO_TEXT(ROW()-$C$72))"),"")</f>
        <v/>
      </c>
      <c r="I1951" s="61" t="str">
        <f>IFERROR(__xludf.DUMMYFUNCTION("INDIRECT(""'收支紀錄'!I""&amp;TO_TEXT(ROW()-$C$72))"),"")</f>
        <v/>
      </c>
      <c r="J1951" s="61" t="str">
        <f>IFERROR(__xludf.DUMMYFUNCTION("INDIRECT(""'收支紀錄'!J""&amp;TO_TEXT(ROW()-$C$72))"),"")</f>
        <v/>
      </c>
      <c r="K1951" s="61" t="str">
        <f>IFERROR(__xludf.DUMMYFUNCTION("INDIRECT(""'收支紀錄'!K""&amp;TO_TEXT(ROW()-$C$72))"),"")</f>
        <v/>
      </c>
      <c r="L1951" s="61" t="str">
        <f>IFERROR(__xludf.DUMMYFUNCTION("INDIRECT(""'收支紀錄'!L""&amp;TO_TEXT(ROW()-$C$72))"),"")</f>
        <v/>
      </c>
      <c r="M1951" s="61" t="str">
        <f>IFERROR(__xludf.DUMMYFUNCTION("INDIRECT(""'收支紀錄'!M""&amp;TO_TEXT(ROW()-$C$72))"),"")</f>
        <v/>
      </c>
      <c r="N1951" s="61" t="str">
        <f>IFERROR(__xludf.DUMMYFUNCTION("INDIRECT(""'收支紀錄'!N""&amp;TO_TEXT(ROW()-$C$72))"),"")</f>
        <v/>
      </c>
      <c r="O1951" s="61" t="str">
        <f>IFERROR(__xludf.DUMMYFUNCTION("INDIRECT(""'收支紀錄'!O""&amp;TO_TEXT(ROW()-$C$72))"),"")</f>
        <v/>
      </c>
      <c r="P1951" s="61" t="str">
        <f>IFERROR(__xludf.DUMMYFUNCTION("INDIRECT(""'收支紀錄'!P""&amp;TO_TEXT(ROW()-$C$72))"),"")</f>
        <v/>
      </c>
      <c r="Q1951" s="61" t="str">
        <f>IFERROR(__xludf.DUMMYFUNCTION("INDIRECT(""'收支紀錄'!Q""&amp;TO_TEXT(ROW()-$C$72))"),"")</f>
        <v/>
      </c>
      <c r="R1951" s="61" t="str">
        <f>IFERROR(__xludf.DUMMYFUNCTION("INDIRECT(""'收支紀錄'!R""&amp;TO_TEXT(ROW()-$C$72))"),"")</f>
        <v/>
      </c>
      <c r="S1951" s="61" t="str">
        <f>IFERROR(__xludf.DUMMYFUNCTION("INDIRECT(""'收支紀錄'!S""&amp;TO_TEXT(ROW()-$C$72))"),"")</f>
        <v/>
      </c>
      <c r="T1951" s="61" t="str">
        <f>IFERROR(__xludf.DUMMYFUNCTION("INDIRECT(""'收支紀錄'!T""&amp;TO_TEXT(ROW()-$C$72))"),"")</f>
        <v/>
      </c>
      <c r="U1951" s="62" t="str">
        <f>IFERROR(__xludf.DUMMYFUNCTION("IF(T1951=""是"",TEXTJOIN("""", TRUE, ""$"", TO_TEXT(C1951), S1951),"""")"),"")</f>
        <v/>
      </c>
    </row>
    <row r="1952">
      <c r="A1952" s="58" t="str">
        <f>IFERROR(__xludf.DUMMYFUNCTION("INDIRECT(""'收支紀錄'!A""&amp;TO_TEXT(ROW()-$C$72))"),"")</f>
        <v/>
      </c>
      <c r="B1952" s="59" t="str">
        <f>IFERROR(__xludf.DUMMYFUNCTION("IF(ISBLANK(D1952), """", IF(ISDATE(D1952), D1952, IF(D1952=""今天"", A1952, IF(D1952=""昨天 (-1 day)"", A1952-1, IF(D1952=""前天 (-2 days)"", A1952-2, IF(D1952=""明天 (+1 day)"", A1952+1, DATE(LEFT(D1952,4), MID(D1952,5,2), RIGHT(D1952,2))))))))"),"")</f>
        <v/>
      </c>
      <c r="C1952" s="60" t="str">
        <f>IFERROR(__xludf.DUMMYFUNCTION("INDIRECT(""'收支紀錄'!C""&amp;TO_TEXT(ROW()-$C$72))"),"")</f>
        <v/>
      </c>
      <c r="D1952" s="63" t="str">
        <f>IFERROR(__xludf.DUMMYFUNCTION("INDIRECT(""'收支紀錄'!D""&amp;TO_TEXT(ROW()-$C$72))"),"")</f>
        <v/>
      </c>
      <c r="E1952" s="61" t="str">
        <f>IFERROR(__xludf.DUMMYFUNCTION("INDIRECT(""'收支紀錄'!E""&amp;TO_TEXT(ROW()-$C$72))"),"")</f>
        <v/>
      </c>
      <c r="F1952" s="61" t="str">
        <f>IFERROR(__xludf.DUMMYFUNCTION("INDIRECT(""'收支紀錄'!F""&amp;TO_TEXT(ROW()-$C$72))"),"")</f>
        <v/>
      </c>
      <c r="G1952" s="61" t="str">
        <f>IFERROR(__xludf.DUMMYFUNCTION("INDIRECT(""'收支紀錄'!G""&amp;TO_TEXT(ROW()-$C$72))"),"")</f>
        <v/>
      </c>
      <c r="H1952" s="61" t="str">
        <f>IFERROR(__xludf.DUMMYFUNCTION("INDIRECT(""'收支紀錄'!H""&amp;TO_TEXT(ROW()-$C$72))"),"")</f>
        <v/>
      </c>
      <c r="I1952" s="61" t="str">
        <f>IFERROR(__xludf.DUMMYFUNCTION("INDIRECT(""'收支紀錄'!I""&amp;TO_TEXT(ROW()-$C$72))"),"")</f>
        <v/>
      </c>
      <c r="J1952" s="61" t="str">
        <f>IFERROR(__xludf.DUMMYFUNCTION("INDIRECT(""'收支紀錄'!J""&amp;TO_TEXT(ROW()-$C$72))"),"")</f>
        <v/>
      </c>
      <c r="K1952" s="61" t="str">
        <f>IFERROR(__xludf.DUMMYFUNCTION("INDIRECT(""'收支紀錄'!K""&amp;TO_TEXT(ROW()-$C$72))"),"")</f>
        <v/>
      </c>
      <c r="L1952" s="61" t="str">
        <f>IFERROR(__xludf.DUMMYFUNCTION("INDIRECT(""'收支紀錄'!L""&amp;TO_TEXT(ROW()-$C$72))"),"")</f>
        <v/>
      </c>
      <c r="M1952" s="61" t="str">
        <f>IFERROR(__xludf.DUMMYFUNCTION("INDIRECT(""'收支紀錄'!M""&amp;TO_TEXT(ROW()-$C$72))"),"")</f>
        <v/>
      </c>
      <c r="N1952" s="61" t="str">
        <f>IFERROR(__xludf.DUMMYFUNCTION("INDIRECT(""'收支紀錄'!N""&amp;TO_TEXT(ROW()-$C$72))"),"")</f>
        <v/>
      </c>
      <c r="O1952" s="61" t="str">
        <f>IFERROR(__xludf.DUMMYFUNCTION("INDIRECT(""'收支紀錄'!O""&amp;TO_TEXT(ROW()-$C$72))"),"")</f>
        <v/>
      </c>
      <c r="P1952" s="61" t="str">
        <f>IFERROR(__xludf.DUMMYFUNCTION("INDIRECT(""'收支紀錄'!P""&amp;TO_TEXT(ROW()-$C$72))"),"")</f>
        <v/>
      </c>
      <c r="Q1952" s="61" t="str">
        <f>IFERROR(__xludf.DUMMYFUNCTION("INDIRECT(""'收支紀錄'!Q""&amp;TO_TEXT(ROW()-$C$72))"),"")</f>
        <v/>
      </c>
      <c r="R1952" s="61" t="str">
        <f>IFERROR(__xludf.DUMMYFUNCTION("INDIRECT(""'收支紀錄'!R""&amp;TO_TEXT(ROW()-$C$72))"),"")</f>
        <v/>
      </c>
      <c r="S1952" s="61" t="str">
        <f>IFERROR(__xludf.DUMMYFUNCTION("INDIRECT(""'收支紀錄'!S""&amp;TO_TEXT(ROW()-$C$72))"),"")</f>
        <v/>
      </c>
      <c r="T1952" s="61" t="str">
        <f>IFERROR(__xludf.DUMMYFUNCTION("INDIRECT(""'收支紀錄'!T""&amp;TO_TEXT(ROW()-$C$72))"),"")</f>
        <v/>
      </c>
      <c r="U1952" s="62" t="str">
        <f>IFERROR(__xludf.DUMMYFUNCTION("IF(T1952=""是"",TEXTJOIN("""", TRUE, ""$"", TO_TEXT(C1952), S1952),"""")"),"")</f>
        <v/>
      </c>
    </row>
    <row r="1953">
      <c r="A1953" s="58" t="str">
        <f>IFERROR(__xludf.DUMMYFUNCTION("INDIRECT(""'收支紀錄'!A""&amp;TO_TEXT(ROW()-$C$72))"),"")</f>
        <v/>
      </c>
      <c r="B1953" s="59" t="str">
        <f>IFERROR(__xludf.DUMMYFUNCTION("IF(ISBLANK(D1953), """", IF(ISDATE(D1953), D1953, IF(D1953=""今天"", A1953, IF(D1953=""昨天 (-1 day)"", A1953-1, IF(D1953=""前天 (-2 days)"", A1953-2, IF(D1953=""明天 (+1 day)"", A1953+1, DATE(LEFT(D1953,4), MID(D1953,5,2), RIGHT(D1953,2))))))))"),"")</f>
        <v/>
      </c>
      <c r="C1953" s="60" t="str">
        <f>IFERROR(__xludf.DUMMYFUNCTION("INDIRECT(""'收支紀錄'!C""&amp;TO_TEXT(ROW()-$C$72))"),"")</f>
        <v/>
      </c>
      <c r="D1953" s="63" t="str">
        <f>IFERROR(__xludf.DUMMYFUNCTION("INDIRECT(""'收支紀錄'!D""&amp;TO_TEXT(ROW()-$C$72))"),"")</f>
        <v/>
      </c>
      <c r="E1953" s="61" t="str">
        <f>IFERROR(__xludf.DUMMYFUNCTION("INDIRECT(""'收支紀錄'!E""&amp;TO_TEXT(ROW()-$C$72))"),"")</f>
        <v/>
      </c>
      <c r="F1953" s="61" t="str">
        <f>IFERROR(__xludf.DUMMYFUNCTION("INDIRECT(""'收支紀錄'!F""&amp;TO_TEXT(ROW()-$C$72))"),"")</f>
        <v/>
      </c>
      <c r="G1953" s="61" t="str">
        <f>IFERROR(__xludf.DUMMYFUNCTION("INDIRECT(""'收支紀錄'!G""&amp;TO_TEXT(ROW()-$C$72))"),"")</f>
        <v/>
      </c>
      <c r="H1953" s="61" t="str">
        <f>IFERROR(__xludf.DUMMYFUNCTION("INDIRECT(""'收支紀錄'!H""&amp;TO_TEXT(ROW()-$C$72))"),"")</f>
        <v/>
      </c>
      <c r="I1953" s="61" t="str">
        <f>IFERROR(__xludf.DUMMYFUNCTION("INDIRECT(""'收支紀錄'!I""&amp;TO_TEXT(ROW()-$C$72))"),"")</f>
        <v/>
      </c>
      <c r="J1953" s="61" t="str">
        <f>IFERROR(__xludf.DUMMYFUNCTION("INDIRECT(""'收支紀錄'!J""&amp;TO_TEXT(ROW()-$C$72))"),"")</f>
        <v/>
      </c>
      <c r="K1953" s="61" t="str">
        <f>IFERROR(__xludf.DUMMYFUNCTION("INDIRECT(""'收支紀錄'!K""&amp;TO_TEXT(ROW()-$C$72))"),"")</f>
        <v/>
      </c>
      <c r="L1953" s="61" t="str">
        <f>IFERROR(__xludf.DUMMYFUNCTION("INDIRECT(""'收支紀錄'!L""&amp;TO_TEXT(ROW()-$C$72))"),"")</f>
        <v/>
      </c>
      <c r="M1953" s="61" t="str">
        <f>IFERROR(__xludf.DUMMYFUNCTION("INDIRECT(""'收支紀錄'!M""&amp;TO_TEXT(ROW()-$C$72))"),"")</f>
        <v/>
      </c>
      <c r="N1953" s="61" t="str">
        <f>IFERROR(__xludf.DUMMYFUNCTION("INDIRECT(""'收支紀錄'!N""&amp;TO_TEXT(ROW()-$C$72))"),"")</f>
        <v/>
      </c>
      <c r="O1953" s="61" t="str">
        <f>IFERROR(__xludf.DUMMYFUNCTION("INDIRECT(""'收支紀錄'!O""&amp;TO_TEXT(ROW()-$C$72))"),"")</f>
        <v/>
      </c>
      <c r="P1953" s="61" t="str">
        <f>IFERROR(__xludf.DUMMYFUNCTION("INDIRECT(""'收支紀錄'!P""&amp;TO_TEXT(ROW()-$C$72))"),"")</f>
        <v/>
      </c>
      <c r="Q1953" s="61" t="str">
        <f>IFERROR(__xludf.DUMMYFUNCTION("INDIRECT(""'收支紀錄'!Q""&amp;TO_TEXT(ROW()-$C$72))"),"")</f>
        <v/>
      </c>
      <c r="R1953" s="61" t="str">
        <f>IFERROR(__xludf.DUMMYFUNCTION("INDIRECT(""'收支紀錄'!R""&amp;TO_TEXT(ROW()-$C$72))"),"")</f>
        <v/>
      </c>
      <c r="S1953" s="61" t="str">
        <f>IFERROR(__xludf.DUMMYFUNCTION("INDIRECT(""'收支紀錄'!S""&amp;TO_TEXT(ROW()-$C$72))"),"")</f>
        <v/>
      </c>
      <c r="T1953" s="61" t="str">
        <f>IFERROR(__xludf.DUMMYFUNCTION("INDIRECT(""'收支紀錄'!T""&amp;TO_TEXT(ROW()-$C$72))"),"")</f>
        <v/>
      </c>
      <c r="U1953" s="62" t="str">
        <f>IFERROR(__xludf.DUMMYFUNCTION("IF(T1953=""是"",TEXTJOIN("""", TRUE, ""$"", TO_TEXT(C1953), S1953),"""")"),"")</f>
        <v/>
      </c>
    </row>
    <row r="1954">
      <c r="A1954" s="58" t="str">
        <f>IFERROR(__xludf.DUMMYFUNCTION("INDIRECT(""'收支紀錄'!A""&amp;TO_TEXT(ROW()-$C$72))"),"")</f>
        <v/>
      </c>
      <c r="B1954" s="59" t="str">
        <f>IFERROR(__xludf.DUMMYFUNCTION("IF(ISBLANK(D1954), """", IF(ISDATE(D1954), D1954, IF(D1954=""今天"", A1954, IF(D1954=""昨天 (-1 day)"", A1954-1, IF(D1954=""前天 (-2 days)"", A1954-2, IF(D1954=""明天 (+1 day)"", A1954+1, DATE(LEFT(D1954,4), MID(D1954,5,2), RIGHT(D1954,2))))))))"),"")</f>
        <v/>
      </c>
      <c r="C1954" s="60" t="str">
        <f>IFERROR(__xludf.DUMMYFUNCTION("INDIRECT(""'收支紀錄'!C""&amp;TO_TEXT(ROW()-$C$72))"),"")</f>
        <v/>
      </c>
      <c r="D1954" s="63" t="str">
        <f>IFERROR(__xludf.DUMMYFUNCTION("INDIRECT(""'收支紀錄'!D""&amp;TO_TEXT(ROW()-$C$72))"),"")</f>
        <v/>
      </c>
      <c r="E1954" s="61" t="str">
        <f>IFERROR(__xludf.DUMMYFUNCTION("INDIRECT(""'收支紀錄'!E""&amp;TO_TEXT(ROW()-$C$72))"),"")</f>
        <v/>
      </c>
      <c r="F1954" s="61" t="str">
        <f>IFERROR(__xludf.DUMMYFUNCTION("INDIRECT(""'收支紀錄'!F""&amp;TO_TEXT(ROW()-$C$72))"),"")</f>
        <v/>
      </c>
      <c r="G1954" s="61" t="str">
        <f>IFERROR(__xludf.DUMMYFUNCTION("INDIRECT(""'收支紀錄'!G""&amp;TO_TEXT(ROW()-$C$72))"),"")</f>
        <v/>
      </c>
      <c r="H1954" s="61" t="str">
        <f>IFERROR(__xludf.DUMMYFUNCTION("INDIRECT(""'收支紀錄'!H""&amp;TO_TEXT(ROW()-$C$72))"),"")</f>
        <v/>
      </c>
      <c r="I1954" s="61" t="str">
        <f>IFERROR(__xludf.DUMMYFUNCTION("INDIRECT(""'收支紀錄'!I""&amp;TO_TEXT(ROW()-$C$72))"),"")</f>
        <v/>
      </c>
      <c r="J1954" s="61" t="str">
        <f>IFERROR(__xludf.DUMMYFUNCTION("INDIRECT(""'收支紀錄'!J""&amp;TO_TEXT(ROW()-$C$72))"),"")</f>
        <v/>
      </c>
      <c r="K1954" s="61" t="str">
        <f>IFERROR(__xludf.DUMMYFUNCTION("INDIRECT(""'收支紀錄'!K""&amp;TO_TEXT(ROW()-$C$72))"),"")</f>
        <v/>
      </c>
      <c r="L1954" s="61" t="str">
        <f>IFERROR(__xludf.DUMMYFUNCTION("INDIRECT(""'收支紀錄'!L""&amp;TO_TEXT(ROW()-$C$72))"),"")</f>
        <v/>
      </c>
      <c r="M1954" s="61" t="str">
        <f>IFERROR(__xludf.DUMMYFUNCTION("INDIRECT(""'收支紀錄'!M""&amp;TO_TEXT(ROW()-$C$72))"),"")</f>
        <v/>
      </c>
      <c r="N1954" s="61" t="str">
        <f>IFERROR(__xludf.DUMMYFUNCTION("INDIRECT(""'收支紀錄'!N""&amp;TO_TEXT(ROW()-$C$72))"),"")</f>
        <v/>
      </c>
      <c r="O1954" s="61" t="str">
        <f>IFERROR(__xludf.DUMMYFUNCTION("INDIRECT(""'收支紀錄'!O""&amp;TO_TEXT(ROW()-$C$72))"),"")</f>
        <v/>
      </c>
      <c r="P1954" s="61" t="str">
        <f>IFERROR(__xludf.DUMMYFUNCTION("INDIRECT(""'收支紀錄'!P""&amp;TO_TEXT(ROW()-$C$72))"),"")</f>
        <v/>
      </c>
      <c r="Q1954" s="61" t="str">
        <f>IFERROR(__xludf.DUMMYFUNCTION("INDIRECT(""'收支紀錄'!Q""&amp;TO_TEXT(ROW()-$C$72))"),"")</f>
        <v/>
      </c>
      <c r="R1954" s="61" t="str">
        <f>IFERROR(__xludf.DUMMYFUNCTION("INDIRECT(""'收支紀錄'!R""&amp;TO_TEXT(ROW()-$C$72))"),"")</f>
        <v/>
      </c>
      <c r="S1954" s="61" t="str">
        <f>IFERROR(__xludf.DUMMYFUNCTION("INDIRECT(""'收支紀錄'!S""&amp;TO_TEXT(ROW()-$C$72))"),"")</f>
        <v/>
      </c>
      <c r="T1954" s="61" t="str">
        <f>IFERROR(__xludf.DUMMYFUNCTION("INDIRECT(""'收支紀錄'!T""&amp;TO_TEXT(ROW()-$C$72))"),"")</f>
        <v/>
      </c>
      <c r="U1954" s="62" t="str">
        <f>IFERROR(__xludf.DUMMYFUNCTION("IF(T1954=""是"",TEXTJOIN("""", TRUE, ""$"", TO_TEXT(C1954), S1954),"""")"),"")</f>
        <v/>
      </c>
    </row>
    <row r="1955">
      <c r="A1955" s="58" t="str">
        <f>IFERROR(__xludf.DUMMYFUNCTION("INDIRECT(""'收支紀錄'!A""&amp;TO_TEXT(ROW()-$C$72))"),"")</f>
        <v/>
      </c>
      <c r="B1955" s="59" t="str">
        <f>IFERROR(__xludf.DUMMYFUNCTION("IF(ISBLANK(D1955), """", IF(ISDATE(D1955), D1955, IF(D1955=""今天"", A1955, IF(D1955=""昨天 (-1 day)"", A1955-1, IF(D1955=""前天 (-2 days)"", A1955-2, IF(D1955=""明天 (+1 day)"", A1955+1, DATE(LEFT(D1955,4), MID(D1955,5,2), RIGHT(D1955,2))))))))"),"")</f>
        <v/>
      </c>
      <c r="C1955" s="60" t="str">
        <f>IFERROR(__xludf.DUMMYFUNCTION("INDIRECT(""'收支紀錄'!C""&amp;TO_TEXT(ROW()-$C$72))"),"")</f>
        <v/>
      </c>
      <c r="D1955" s="63" t="str">
        <f>IFERROR(__xludf.DUMMYFUNCTION("INDIRECT(""'收支紀錄'!D""&amp;TO_TEXT(ROW()-$C$72))"),"")</f>
        <v/>
      </c>
      <c r="E1955" s="61" t="str">
        <f>IFERROR(__xludf.DUMMYFUNCTION("INDIRECT(""'收支紀錄'!E""&amp;TO_TEXT(ROW()-$C$72))"),"")</f>
        <v/>
      </c>
      <c r="F1955" s="61" t="str">
        <f>IFERROR(__xludf.DUMMYFUNCTION("INDIRECT(""'收支紀錄'!F""&amp;TO_TEXT(ROW()-$C$72))"),"")</f>
        <v/>
      </c>
      <c r="G1955" s="61" t="str">
        <f>IFERROR(__xludf.DUMMYFUNCTION("INDIRECT(""'收支紀錄'!G""&amp;TO_TEXT(ROW()-$C$72))"),"")</f>
        <v/>
      </c>
      <c r="H1955" s="61" t="str">
        <f>IFERROR(__xludf.DUMMYFUNCTION("INDIRECT(""'收支紀錄'!H""&amp;TO_TEXT(ROW()-$C$72))"),"")</f>
        <v/>
      </c>
      <c r="I1955" s="61" t="str">
        <f>IFERROR(__xludf.DUMMYFUNCTION("INDIRECT(""'收支紀錄'!I""&amp;TO_TEXT(ROW()-$C$72))"),"")</f>
        <v/>
      </c>
      <c r="J1955" s="61" t="str">
        <f>IFERROR(__xludf.DUMMYFUNCTION("INDIRECT(""'收支紀錄'!J""&amp;TO_TEXT(ROW()-$C$72))"),"")</f>
        <v/>
      </c>
      <c r="K1955" s="61" t="str">
        <f>IFERROR(__xludf.DUMMYFUNCTION("INDIRECT(""'收支紀錄'!K""&amp;TO_TEXT(ROW()-$C$72))"),"")</f>
        <v/>
      </c>
      <c r="L1955" s="61" t="str">
        <f>IFERROR(__xludf.DUMMYFUNCTION("INDIRECT(""'收支紀錄'!L""&amp;TO_TEXT(ROW()-$C$72))"),"")</f>
        <v/>
      </c>
      <c r="M1955" s="61" t="str">
        <f>IFERROR(__xludf.DUMMYFUNCTION("INDIRECT(""'收支紀錄'!M""&amp;TO_TEXT(ROW()-$C$72))"),"")</f>
        <v/>
      </c>
      <c r="N1955" s="61" t="str">
        <f>IFERROR(__xludf.DUMMYFUNCTION("INDIRECT(""'收支紀錄'!N""&amp;TO_TEXT(ROW()-$C$72))"),"")</f>
        <v/>
      </c>
      <c r="O1955" s="61" t="str">
        <f>IFERROR(__xludf.DUMMYFUNCTION("INDIRECT(""'收支紀錄'!O""&amp;TO_TEXT(ROW()-$C$72))"),"")</f>
        <v/>
      </c>
      <c r="P1955" s="61" t="str">
        <f>IFERROR(__xludf.DUMMYFUNCTION("INDIRECT(""'收支紀錄'!P""&amp;TO_TEXT(ROW()-$C$72))"),"")</f>
        <v/>
      </c>
      <c r="Q1955" s="61" t="str">
        <f>IFERROR(__xludf.DUMMYFUNCTION("INDIRECT(""'收支紀錄'!Q""&amp;TO_TEXT(ROW()-$C$72))"),"")</f>
        <v/>
      </c>
      <c r="R1955" s="61" t="str">
        <f>IFERROR(__xludf.DUMMYFUNCTION("INDIRECT(""'收支紀錄'!R""&amp;TO_TEXT(ROW()-$C$72))"),"")</f>
        <v/>
      </c>
      <c r="S1955" s="61" t="str">
        <f>IFERROR(__xludf.DUMMYFUNCTION("INDIRECT(""'收支紀錄'!S""&amp;TO_TEXT(ROW()-$C$72))"),"")</f>
        <v/>
      </c>
      <c r="T1955" s="61" t="str">
        <f>IFERROR(__xludf.DUMMYFUNCTION("INDIRECT(""'收支紀錄'!T""&amp;TO_TEXT(ROW()-$C$72))"),"")</f>
        <v/>
      </c>
      <c r="U1955" s="62" t="str">
        <f>IFERROR(__xludf.DUMMYFUNCTION("IF(T1955=""是"",TEXTJOIN("""", TRUE, ""$"", TO_TEXT(C1955), S1955),"""")"),"")</f>
        <v/>
      </c>
    </row>
    <row r="1956">
      <c r="A1956" s="58" t="str">
        <f>IFERROR(__xludf.DUMMYFUNCTION("INDIRECT(""'收支紀錄'!A""&amp;TO_TEXT(ROW()-$C$72))"),"")</f>
        <v/>
      </c>
      <c r="B1956" s="59" t="str">
        <f>IFERROR(__xludf.DUMMYFUNCTION("IF(ISBLANK(D1956), """", IF(ISDATE(D1956), D1956, IF(D1956=""今天"", A1956, IF(D1956=""昨天 (-1 day)"", A1956-1, IF(D1956=""前天 (-2 days)"", A1956-2, IF(D1956=""明天 (+1 day)"", A1956+1, DATE(LEFT(D1956,4), MID(D1956,5,2), RIGHT(D1956,2))))))))"),"")</f>
        <v/>
      </c>
      <c r="C1956" s="60" t="str">
        <f>IFERROR(__xludf.DUMMYFUNCTION("INDIRECT(""'收支紀錄'!C""&amp;TO_TEXT(ROW()-$C$72))"),"")</f>
        <v/>
      </c>
      <c r="D1956" s="63" t="str">
        <f>IFERROR(__xludf.DUMMYFUNCTION("INDIRECT(""'收支紀錄'!D""&amp;TO_TEXT(ROW()-$C$72))"),"")</f>
        <v/>
      </c>
      <c r="E1956" s="61" t="str">
        <f>IFERROR(__xludf.DUMMYFUNCTION("INDIRECT(""'收支紀錄'!E""&amp;TO_TEXT(ROW()-$C$72))"),"")</f>
        <v/>
      </c>
      <c r="F1956" s="61" t="str">
        <f>IFERROR(__xludf.DUMMYFUNCTION("INDIRECT(""'收支紀錄'!F""&amp;TO_TEXT(ROW()-$C$72))"),"")</f>
        <v/>
      </c>
      <c r="G1956" s="61" t="str">
        <f>IFERROR(__xludf.DUMMYFUNCTION("INDIRECT(""'收支紀錄'!G""&amp;TO_TEXT(ROW()-$C$72))"),"")</f>
        <v/>
      </c>
      <c r="H1956" s="61" t="str">
        <f>IFERROR(__xludf.DUMMYFUNCTION("INDIRECT(""'收支紀錄'!H""&amp;TO_TEXT(ROW()-$C$72))"),"")</f>
        <v/>
      </c>
      <c r="I1956" s="61" t="str">
        <f>IFERROR(__xludf.DUMMYFUNCTION("INDIRECT(""'收支紀錄'!I""&amp;TO_TEXT(ROW()-$C$72))"),"")</f>
        <v/>
      </c>
      <c r="J1956" s="61" t="str">
        <f>IFERROR(__xludf.DUMMYFUNCTION("INDIRECT(""'收支紀錄'!J""&amp;TO_TEXT(ROW()-$C$72))"),"")</f>
        <v/>
      </c>
      <c r="K1956" s="61" t="str">
        <f>IFERROR(__xludf.DUMMYFUNCTION("INDIRECT(""'收支紀錄'!K""&amp;TO_TEXT(ROW()-$C$72))"),"")</f>
        <v/>
      </c>
      <c r="L1956" s="61" t="str">
        <f>IFERROR(__xludf.DUMMYFUNCTION("INDIRECT(""'收支紀錄'!L""&amp;TO_TEXT(ROW()-$C$72))"),"")</f>
        <v/>
      </c>
      <c r="M1956" s="61" t="str">
        <f>IFERROR(__xludf.DUMMYFUNCTION("INDIRECT(""'收支紀錄'!M""&amp;TO_TEXT(ROW()-$C$72))"),"")</f>
        <v/>
      </c>
      <c r="N1956" s="61" t="str">
        <f>IFERROR(__xludf.DUMMYFUNCTION("INDIRECT(""'收支紀錄'!N""&amp;TO_TEXT(ROW()-$C$72))"),"")</f>
        <v/>
      </c>
      <c r="O1956" s="61" t="str">
        <f>IFERROR(__xludf.DUMMYFUNCTION("INDIRECT(""'收支紀錄'!O""&amp;TO_TEXT(ROW()-$C$72))"),"")</f>
        <v/>
      </c>
      <c r="P1956" s="61" t="str">
        <f>IFERROR(__xludf.DUMMYFUNCTION("INDIRECT(""'收支紀錄'!P""&amp;TO_TEXT(ROW()-$C$72))"),"")</f>
        <v/>
      </c>
      <c r="Q1956" s="61" t="str">
        <f>IFERROR(__xludf.DUMMYFUNCTION("INDIRECT(""'收支紀錄'!Q""&amp;TO_TEXT(ROW()-$C$72))"),"")</f>
        <v/>
      </c>
      <c r="R1956" s="61" t="str">
        <f>IFERROR(__xludf.DUMMYFUNCTION("INDIRECT(""'收支紀錄'!R""&amp;TO_TEXT(ROW()-$C$72))"),"")</f>
        <v/>
      </c>
      <c r="S1956" s="61" t="str">
        <f>IFERROR(__xludf.DUMMYFUNCTION("INDIRECT(""'收支紀錄'!S""&amp;TO_TEXT(ROW()-$C$72))"),"")</f>
        <v/>
      </c>
      <c r="T1956" s="61" t="str">
        <f>IFERROR(__xludf.DUMMYFUNCTION("INDIRECT(""'收支紀錄'!T""&amp;TO_TEXT(ROW()-$C$72))"),"")</f>
        <v/>
      </c>
      <c r="U1956" s="62" t="str">
        <f>IFERROR(__xludf.DUMMYFUNCTION("IF(T1956=""是"",TEXTJOIN("""", TRUE, ""$"", TO_TEXT(C1956), S1956),"""")"),"")</f>
        <v/>
      </c>
    </row>
    <row r="1957">
      <c r="A1957" s="58" t="str">
        <f>IFERROR(__xludf.DUMMYFUNCTION("INDIRECT(""'收支紀錄'!A""&amp;TO_TEXT(ROW()-$C$72))"),"")</f>
        <v/>
      </c>
      <c r="B1957" s="59" t="str">
        <f>IFERROR(__xludf.DUMMYFUNCTION("IF(ISBLANK(D1957), """", IF(ISDATE(D1957), D1957, IF(D1957=""今天"", A1957, IF(D1957=""昨天 (-1 day)"", A1957-1, IF(D1957=""前天 (-2 days)"", A1957-2, IF(D1957=""明天 (+1 day)"", A1957+1, DATE(LEFT(D1957,4), MID(D1957,5,2), RIGHT(D1957,2))))))))"),"")</f>
        <v/>
      </c>
      <c r="C1957" s="60" t="str">
        <f>IFERROR(__xludf.DUMMYFUNCTION("INDIRECT(""'收支紀錄'!C""&amp;TO_TEXT(ROW()-$C$72))"),"")</f>
        <v/>
      </c>
      <c r="D1957" s="63" t="str">
        <f>IFERROR(__xludf.DUMMYFUNCTION("INDIRECT(""'收支紀錄'!D""&amp;TO_TEXT(ROW()-$C$72))"),"")</f>
        <v/>
      </c>
      <c r="E1957" s="61" t="str">
        <f>IFERROR(__xludf.DUMMYFUNCTION("INDIRECT(""'收支紀錄'!E""&amp;TO_TEXT(ROW()-$C$72))"),"")</f>
        <v/>
      </c>
      <c r="F1957" s="61" t="str">
        <f>IFERROR(__xludf.DUMMYFUNCTION("INDIRECT(""'收支紀錄'!F""&amp;TO_TEXT(ROW()-$C$72))"),"")</f>
        <v/>
      </c>
      <c r="G1957" s="61" t="str">
        <f>IFERROR(__xludf.DUMMYFUNCTION("INDIRECT(""'收支紀錄'!G""&amp;TO_TEXT(ROW()-$C$72))"),"")</f>
        <v/>
      </c>
      <c r="H1957" s="61" t="str">
        <f>IFERROR(__xludf.DUMMYFUNCTION("INDIRECT(""'收支紀錄'!H""&amp;TO_TEXT(ROW()-$C$72))"),"")</f>
        <v/>
      </c>
      <c r="I1957" s="61" t="str">
        <f>IFERROR(__xludf.DUMMYFUNCTION("INDIRECT(""'收支紀錄'!I""&amp;TO_TEXT(ROW()-$C$72))"),"")</f>
        <v/>
      </c>
      <c r="J1957" s="61" t="str">
        <f>IFERROR(__xludf.DUMMYFUNCTION("INDIRECT(""'收支紀錄'!J""&amp;TO_TEXT(ROW()-$C$72))"),"")</f>
        <v/>
      </c>
      <c r="K1957" s="61" t="str">
        <f>IFERROR(__xludf.DUMMYFUNCTION("INDIRECT(""'收支紀錄'!K""&amp;TO_TEXT(ROW()-$C$72))"),"")</f>
        <v/>
      </c>
      <c r="L1957" s="61" t="str">
        <f>IFERROR(__xludf.DUMMYFUNCTION("INDIRECT(""'收支紀錄'!L""&amp;TO_TEXT(ROW()-$C$72))"),"")</f>
        <v/>
      </c>
      <c r="M1957" s="61" t="str">
        <f>IFERROR(__xludf.DUMMYFUNCTION("INDIRECT(""'收支紀錄'!M""&amp;TO_TEXT(ROW()-$C$72))"),"")</f>
        <v/>
      </c>
      <c r="N1957" s="61" t="str">
        <f>IFERROR(__xludf.DUMMYFUNCTION("INDIRECT(""'收支紀錄'!N""&amp;TO_TEXT(ROW()-$C$72))"),"")</f>
        <v/>
      </c>
      <c r="O1957" s="61" t="str">
        <f>IFERROR(__xludf.DUMMYFUNCTION("INDIRECT(""'收支紀錄'!O""&amp;TO_TEXT(ROW()-$C$72))"),"")</f>
        <v/>
      </c>
      <c r="P1957" s="61" t="str">
        <f>IFERROR(__xludf.DUMMYFUNCTION("INDIRECT(""'收支紀錄'!P""&amp;TO_TEXT(ROW()-$C$72))"),"")</f>
        <v/>
      </c>
      <c r="Q1957" s="61" t="str">
        <f>IFERROR(__xludf.DUMMYFUNCTION("INDIRECT(""'收支紀錄'!Q""&amp;TO_TEXT(ROW()-$C$72))"),"")</f>
        <v/>
      </c>
      <c r="R1957" s="61" t="str">
        <f>IFERROR(__xludf.DUMMYFUNCTION("INDIRECT(""'收支紀錄'!R""&amp;TO_TEXT(ROW()-$C$72))"),"")</f>
        <v/>
      </c>
      <c r="S1957" s="61" t="str">
        <f>IFERROR(__xludf.DUMMYFUNCTION("INDIRECT(""'收支紀錄'!S""&amp;TO_TEXT(ROW()-$C$72))"),"")</f>
        <v/>
      </c>
      <c r="T1957" s="61" t="str">
        <f>IFERROR(__xludf.DUMMYFUNCTION("INDIRECT(""'收支紀錄'!T""&amp;TO_TEXT(ROW()-$C$72))"),"")</f>
        <v/>
      </c>
      <c r="U1957" s="62" t="str">
        <f>IFERROR(__xludf.DUMMYFUNCTION("IF(T1957=""是"",TEXTJOIN("""", TRUE, ""$"", TO_TEXT(C1957), S1957),"""")"),"")</f>
        <v/>
      </c>
    </row>
    <row r="1958">
      <c r="A1958" s="58" t="str">
        <f>IFERROR(__xludf.DUMMYFUNCTION("INDIRECT(""'收支紀錄'!A""&amp;TO_TEXT(ROW()-$C$72))"),"")</f>
        <v/>
      </c>
      <c r="B1958" s="59" t="str">
        <f>IFERROR(__xludf.DUMMYFUNCTION("IF(ISBLANK(D1958), """", IF(ISDATE(D1958), D1958, IF(D1958=""今天"", A1958, IF(D1958=""昨天 (-1 day)"", A1958-1, IF(D1958=""前天 (-2 days)"", A1958-2, IF(D1958=""明天 (+1 day)"", A1958+1, DATE(LEFT(D1958,4), MID(D1958,5,2), RIGHT(D1958,2))))))))"),"")</f>
        <v/>
      </c>
      <c r="C1958" s="60" t="str">
        <f>IFERROR(__xludf.DUMMYFUNCTION("INDIRECT(""'收支紀錄'!C""&amp;TO_TEXT(ROW()-$C$72))"),"")</f>
        <v/>
      </c>
      <c r="D1958" s="63" t="str">
        <f>IFERROR(__xludf.DUMMYFUNCTION("INDIRECT(""'收支紀錄'!D""&amp;TO_TEXT(ROW()-$C$72))"),"")</f>
        <v/>
      </c>
      <c r="E1958" s="61" t="str">
        <f>IFERROR(__xludf.DUMMYFUNCTION("INDIRECT(""'收支紀錄'!E""&amp;TO_TEXT(ROW()-$C$72))"),"")</f>
        <v/>
      </c>
      <c r="F1958" s="61" t="str">
        <f>IFERROR(__xludf.DUMMYFUNCTION("INDIRECT(""'收支紀錄'!F""&amp;TO_TEXT(ROW()-$C$72))"),"")</f>
        <v/>
      </c>
      <c r="G1958" s="61" t="str">
        <f>IFERROR(__xludf.DUMMYFUNCTION("INDIRECT(""'收支紀錄'!G""&amp;TO_TEXT(ROW()-$C$72))"),"")</f>
        <v/>
      </c>
      <c r="H1958" s="61" t="str">
        <f>IFERROR(__xludf.DUMMYFUNCTION("INDIRECT(""'收支紀錄'!H""&amp;TO_TEXT(ROW()-$C$72))"),"")</f>
        <v/>
      </c>
      <c r="I1958" s="61" t="str">
        <f>IFERROR(__xludf.DUMMYFUNCTION("INDIRECT(""'收支紀錄'!I""&amp;TO_TEXT(ROW()-$C$72))"),"")</f>
        <v/>
      </c>
      <c r="J1958" s="61" t="str">
        <f>IFERROR(__xludf.DUMMYFUNCTION("INDIRECT(""'收支紀錄'!J""&amp;TO_TEXT(ROW()-$C$72))"),"")</f>
        <v/>
      </c>
      <c r="K1958" s="61" t="str">
        <f>IFERROR(__xludf.DUMMYFUNCTION("INDIRECT(""'收支紀錄'!K""&amp;TO_TEXT(ROW()-$C$72))"),"")</f>
        <v/>
      </c>
      <c r="L1958" s="61" t="str">
        <f>IFERROR(__xludf.DUMMYFUNCTION("INDIRECT(""'收支紀錄'!L""&amp;TO_TEXT(ROW()-$C$72))"),"")</f>
        <v/>
      </c>
      <c r="M1958" s="61" t="str">
        <f>IFERROR(__xludf.DUMMYFUNCTION("INDIRECT(""'收支紀錄'!M""&amp;TO_TEXT(ROW()-$C$72))"),"")</f>
        <v/>
      </c>
      <c r="N1958" s="61" t="str">
        <f>IFERROR(__xludf.DUMMYFUNCTION("INDIRECT(""'收支紀錄'!N""&amp;TO_TEXT(ROW()-$C$72))"),"")</f>
        <v/>
      </c>
      <c r="O1958" s="61" t="str">
        <f>IFERROR(__xludf.DUMMYFUNCTION("INDIRECT(""'收支紀錄'!O""&amp;TO_TEXT(ROW()-$C$72))"),"")</f>
        <v/>
      </c>
      <c r="P1958" s="61" t="str">
        <f>IFERROR(__xludf.DUMMYFUNCTION("INDIRECT(""'收支紀錄'!P""&amp;TO_TEXT(ROW()-$C$72))"),"")</f>
        <v/>
      </c>
      <c r="Q1958" s="61" t="str">
        <f>IFERROR(__xludf.DUMMYFUNCTION("INDIRECT(""'收支紀錄'!Q""&amp;TO_TEXT(ROW()-$C$72))"),"")</f>
        <v/>
      </c>
      <c r="R1958" s="61" t="str">
        <f>IFERROR(__xludf.DUMMYFUNCTION("INDIRECT(""'收支紀錄'!R""&amp;TO_TEXT(ROW()-$C$72))"),"")</f>
        <v/>
      </c>
      <c r="S1958" s="61" t="str">
        <f>IFERROR(__xludf.DUMMYFUNCTION("INDIRECT(""'收支紀錄'!S""&amp;TO_TEXT(ROW()-$C$72))"),"")</f>
        <v/>
      </c>
      <c r="T1958" s="61" t="str">
        <f>IFERROR(__xludf.DUMMYFUNCTION("INDIRECT(""'收支紀錄'!T""&amp;TO_TEXT(ROW()-$C$72))"),"")</f>
        <v/>
      </c>
      <c r="U1958" s="62" t="str">
        <f>IFERROR(__xludf.DUMMYFUNCTION("IF(T1958=""是"",TEXTJOIN("""", TRUE, ""$"", TO_TEXT(C1958), S1958),"""")"),"")</f>
        <v/>
      </c>
    </row>
    <row r="1959">
      <c r="A1959" s="58" t="str">
        <f>IFERROR(__xludf.DUMMYFUNCTION("INDIRECT(""'收支紀錄'!A""&amp;TO_TEXT(ROW()-$C$72))"),"")</f>
        <v/>
      </c>
      <c r="B1959" s="59" t="str">
        <f>IFERROR(__xludf.DUMMYFUNCTION("IF(ISBLANK(D1959), """", IF(ISDATE(D1959), D1959, IF(D1959=""今天"", A1959, IF(D1959=""昨天 (-1 day)"", A1959-1, IF(D1959=""前天 (-2 days)"", A1959-2, IF(D1959=""明天 (+1 day)"", A1959+1, DATE(LEFT(D1959,4), MID(D1959,5,2), RIGHT(D1959,2))))))))"),"")</f>
        <v/>
      </c>
      <c r="C1959" s="60" t="str">
        <f>IFERROR(__xludf.DUMMYFUNCTION("INDIRECT(""'收支紀錄'!C""&amp;TO_TEXT(ROW()-$C$72))"),"")</f>
        <v/>
      </c>
      <c r="D1959" s="63" t="str">
        <f>IFERROR(__xludf.DUMMYFUNCTION("INDIRECT(""'收支紀錄'!D""&amp;TO_TEXT(ROW()-$C$72))"),"")</f>
        <v/>
      </c>
      <c r="E1959" s="61" t="str">
        <f>IFERROR(__xludf.DUMMYFUNCTION("INDIRECT(""'收支紀錄'!E""&amp;TO_TEXT(ROW()-$C$72))"),"")</f>
        <v/>
      </c>
      <c r="F1959" s="61" t="str">
        <f>IFERROR(__xludf.DUMMYFUNCTION("INDIRECT(""'收支紀錄'!F""&amp;TO_TEXT(ROW()-$C$72))"),"")</f>
        <v/>
      </c>
      <c r="G1959" s="61" t="str">
        <f>IFERROR(__xludf.DUMMYFUNCTION("INDIRECT(""'收支紀錄'!G""&amp;TO_TEXT(ROW()-$C$72))"),"")</f>
        <v/>
      </c>
      <c r="H1959" s="61" t="str">
        <f>IFERROR(__xludf.DUMMYFUNCTION("INDIRECT(""'收支紀錄'!H""&amp;TO_TEXT(ROW()-$C$72))"),"")</f>
        <v/>
      </c>
      <c r="I1959" s="61" t="str">
        <f>IFERROR(__xludf.DUMMYFUNCTION("INDIRECT(""'收支紀錄'!I""&amp;TO_TEXT(ROW()-$C$72))"),"")</f>
        <v/>
      </c>
      <c r="J1959" s="61" t="str">
        <f>IFERROR(__xludf.DUMMYFUNCTION("INDIRECT(""'收支紀錄'!J""&amp;TO_TEXT(ROW()-$C$72))"),"")</f>
        <v/>
      </c>
      <c r="K1959" s="61" t="str">
        <f>IFERROR(__xludf.DUMMYFUNCTION("INDIRECT(""'收支紀錄'!K""&amp;TO_TEXT(ROW()-$C$72))"),"")</f>
        <v/>
      </c>
      <c r="L1959" s="61" t="str">
        <f>IFERROR(__xludf.DUMMYFUNCTION("INDIRECT(""'收支紀錄'!L""&amp;TO_TEXT(ROW()-$C$72))"),"")</f>
        <v/>
      </c>
      <c r="M1959" s="61" t="str">
        <f>IFERROR(__xludf.DUMMYFUNCTION("INDIRECT(""'收支紀錄'!M""&amp;TO_TEXT(ROW()-$C$72))"),"")</f>
        <v/>
      </c>
      <c r="N1959" s="61" t="str">
        <f>IFERROR(__xludf.DUMMYFUNCTION("INDIRECT(""'收支紀錄'!N""&amp;TO_TEXT(ROW()-$C$72))"),"")</f>
        <v/>
      </c>
      <c r="O1959" s="61" t="str">
        <f>IFERROR(__xludf.DUMMYFUNCTION("INDIRECT(""'收支紀錄'!O""&amp;TO_TEXT(ROW()-$C$72))"),"")</f>
        <v/>
      </c>
      <c r="P1959" s="61" t="str">
        <f>IFERROR(__xludf.DUMMYFUNCTION("INDIRECT(""'收支紀錄'!P""&amp;TO_TEXT(ROW()-$C$72))"),"")</f>
        <v/>
      </c>
      <c r="Q1959" s="61" t="str">
        <f>IFERROR(__xludf.DUMMYFUNCTION("INDIRECT(""'收支紀錄'!Q""&amp;TO_TEXT(ROW()-$C$72))"),"")</f>
        <v/>
      </c>
      <c r="R1959" s="61" t="str">
        <f>IFERROR(__xludf.DUMMYFUNCTION("INDIRECT(""'收支紀錄'!R""&amp;TO_TEXT(ROW()-$C$72))"),"")</f>
        <v/>
      </c>
      <c r="S1959" s="61" t="str">
        <f>IFERROR(__xludf.DUMMYFUNCTION("INDIRECT(""'收支紀錄'!S""&amp;TO_TEXT(ROW()-$C$72))"),"")</f>
        <v/>
      </c>
      <c r="T1959" s="61" t="str">
        <f>IFERROR(__xludf.DUMMYFUNCTION("INDIRECT(""'收支紀錄'!T""&amp;TO_TEXT(ROW()-$C$72))"),"")</f>
        <v/>
      </c>
      <c r="U1959" s="62" t="str">
        <f>IFERROR(__xludf.DUMMYFUNCTION("IF(T1959=""是"",TEXTJOIN("""", TRUE, ""$"", TO_TEXT(C1959), S1959),"""")"),"")</f>
        <v/>
      </c>
    </row>
    <row r="1960">
      <c r="A1960" s="58" t="str">
        <f>IFERROR(__xludf.DUMMYFUNCTION("INDIRECT(""'收支紀錄'!A""&amp;TO_TEXT(ROW()-$C$72))"),"")</f>
        <v/>
      </c>
      <c r="B1960" s="59" t="str">
        <f>IFERROR(__xludf.DUMMYFUNCTION("IF(ISBLANK(D1960), """", IF(ISDATE(D1960), D1960, IF(D1960=""今天"", A1960, IF(D1960=""昨天 (-1 day)"", A1960-1, IF(D1960=""前天 (-2 days)"", A1960-2, IF(D1960=""明天 (+1 day)"", A1960+1, DATE(LEFT(D1960,4), MID(D1960,5,2), RIGHT(D1960,2))))))))"),"")</f>
        <v/>
      </c>
      <c r="C1960" s="60" t="str">
        <f>IFERROR(__xludf.DUMMYFUNCTION("INDIRECT(""'收支紀錄'!C""&amp;TO_TEXT(ROW()-$C$72))"),"")</f>
        <v/>
      </c>
      <c r="D1960" s="63" t="str">
        <f>IFERROR(__xludf.DUMMYFUNCTION("INDIRECT(""'收支紀錄'!D""&amp;TO_TEXT(ROW()-$C$72))"),"")</f>
        <v/>
      </c>
      <c r="E1960" s="61" t="str">
        <f>IFERROR(__xludf.DUMMYFUNCTION("INDIRECT(""'收支紀錄'!E""&amp;TO_TEXT(ROW()-$C$72))"),"")</f>
        <v/>
      </c>
      <c r="F1960" s="61" t="str">
        <f>IFERROR(__xludf.DUMMYFUNCTION("INDIRECT(""'收支紀錄'!F""&amp;TO_TEXT(ROW()-$C$72))"),"")</f>
        <v/>
      </c>
      <c r="G1960" s="61" t="str">
        <f>IFERROR(__xludf.DUMMYFUNCTION("INDIRECT(""'收支紀錄'!G""&amp;TO_TEXT(ROW()-$C$72))"),"")</f>
        <v/>
      </c>
      <c r="H1960" s="61" t="str">
        <f>IFERROR(__xludf.DUMMYFUNCTION("INDIRECT(""'收支紀錄'!H""&amp;TO_TEXT(ROW()-$C$72))"),"")</f>
        <v/>
      </c>
      <c r="I1960" s="61" t="str">
        <f>IFERROR(__xludf.DUMMYFUNCTION("INDIRECT(""'收支紀錄'!I""&amp;TO_TEXT(ROW()-$C$72))"),"")</f>
        <v/>
      </c>
      <c r="J1960" s="61" t="str">
        <f>IFERROR(__xludf.DUMMYFUNCTION("INDIRECT(""'收支紀錄'!J""&amp;TO_TEXT(ROW()-$C$72))"),"")</f>
        <v/>
      </c>
      <c r="K1960" s="61" t="str">
        <f>IFERROR(__xludf.DUMMYFUNCTION("INDIRECT(""'收支紀錄'!K""&amp;TO_TEXT(ROW()-$C$72))"),"")</f>
        <v/>
      </c>
      <c r="L1960" s="61" t="str">
        <f>IFERROR(__xludf.DUMMYFUNCTION("INDIRECT(""'收支紀錄'!L""&amp;TO_TEXT(ROW()-$C$72))"),"")</f>
        <v/>
      </c>
      <c r="M1960" s="61" t="str">
        <f>IFERROR(__xludf.DUMMYFUNCTION("INDIRECT(""'收支紀錄'!M""&amp;TO_TEXT(ROW()-$C$72))"),"")</f>
        <v/>
      </c>
      <c r="N1960" s="61" t="str">
        <f>IFERROR(__xludf.DUMMYFUNCTION("INDIRECT(""'收支紀錄'!N""&amp;TO_TEXT(ROW()-$C$72))"),"")</f>
        <v/>
      </c>
      <c r="O1960" s="61" t="str">
        <f>IFERROR(__xludf.DUMMYFUNCTION("INDIRECT(""'收支紀錄'!O""&amp;TO_TEXT(ROW()-$C$72))"),"")</f>
        <v/>
      </c>
      <c r="P1960" s="61" t="str">
        <f>IFERROR(__xludf.DUMMYFUNCTION("INDIRECT(""'收支紀錄'!P""&amp;TO_TEXT(ROW()-$C$72))"),"")</f>
        <v/>
      </c>
      <c r="Q1960" s="61" t="str">
        <f>IFERROR(__xludf.DUMMYFUNCTION("INDIRECT(""'收支紀錄'!Q""&amp;TO_TEXT(ROW()-$C$72))"),"")</f>
        <v/>
      </c>
      <c r="R1960" s="61" t="str">
        <f>IFERROR(__xludf.DUMMYFUNCTION("INDIRECT(""'收支紀錄'!R""&amp;TO_TEXT(ROW()-$C$72))"),"")</f>
        <v/>
      </c>
      <c r="S1960" s="61" t="str">
        <f>IFERROR(__xludf.DUMMYFUNCTION("INDIRECT(""'收支紀錄'!S""&amp;TO_TEXT(ROW()-$C$72))"),"")</f>
        <v/>
      </c>
      <c r="T1960" s="61" t="str">
        <f>IFERROR(__xludf.DUMMYFUNCTION("INDIRECT(""'收支紀錄'!T""&amp;TO_TEXT(ROW()-$C$72))"),"")</f>
        <v/>
      </c>
      <c r="U1960" s="62" t="str">
        <f>IFERROR(__xludf.DUMMYFUNCTION("IF(T1960=""是"",TEXTJOIN("""", TRUE, ""$"", TO_TEXT(C1960), S1960),"""")"),"")</f>
        <v/>
      </c>
    </row>
    <row r="1961">
      <c r="A1961" s="58" t="str">
        <f>IFERROR(__xludf.DUMMYFUNCTION("INDIRECT(""'收支紀錄'!A""&amp;TO_TEXT(ROW()-$C$72))"),"")</f>
        <v/>
      </c>
      <c r="B1961" s="59" t="str">
        <f>IFERROR(__xludf.DUMMYFUNCTION("IF(ISBLANK(D1961), """", IF(ISDATE(D1961), D1961, IF(D1961=""今天"", A1961, IF(D1961=""昨天 (-1 day)"", A1961-1, IF(D1961=""前天 (-2 days)"", A1961-2, IF(D1961=""明天 (+1 day)"", A1961+1, DATE(LEFT(D1961,4), MID(D1961,5,2), RIGHT(D1961,2))))))))"),"")</f>
        <v/>
      </c>
      <c r="C1961" s="60" t="str">
        <f>IFERROR(__xludf.DUMMYFUNCTION("INDIRECT(""'收支紀錄'!C""&amp;TO_TEXT(ROW()-$C$72))"),"")</f>
        <v/>
      </c>
      <c r="D1961" s="63" t="str">
        <f>IFERROR(__xludf.DUMMYFUNCTION("INDIRECT(""'收支紀錄'!D""&amp;TO_TEXT(ROW()-$C$72))"),"")</f>
        <v/>
      </c>
      <c r="E1961" s="61" t="str">
        <f>IFERROR(__xludf.DUMMYFUNCTION("INDIRECT(""'收支紀錄'!E""&amp;TO_TEXT(ROW()-$C$72))"),"")</f>
        <v/>
      </c>
      <c r="F1961" s="61" t="str">
        <f>IFERROR(__xludf.DUMMYFUNCTION("INDIRECT(""'收支紀錄'!F""&amp;TO_TEXT(ROW()-$C$72))"),"")</f>
        <v/>
      </c>
      <c r="G1961" s="61" t="str">
        <f>IFERROR(__xludf.DUMMYFUNCTION("INDIRECT(""'收支紀錄'!G""&amp;TO_TEXT(ROW()-$C$72))"),"")</f>
        <v/>
      </c>
      <c r="H1961" s="61" t="str">
        <f>IFERROR(__xludf.DUMMYFUNCTION("INDIRECT(""'收支紀錄'!H""&amp;TO_TEXT(ROW()-$C$72))"),"")</f>
        <v/>
      </c>
      <c r="I1961" s="61" t="str">
        <f>IFERROR(__xludf.DUMMYFUNCTION("INDIRECT(""'收支紀錄'!I""&amp;TO_TEXT(ROW()-$C$72))"),"")</f>
        <v/>
      </c>
      <c r="J1961" s="61" t="str">
        <f>IFERROR(__xludf.DUMMYFUNCTION("INDIRECT(""'收支紀錄'!J""&amp;TO_TEXT(ROW()-$C$72))"),"")</f>
        <v/>
      </c>
      <c r="K1961" s="61" t="str">
        <f>IFERROR(__xludf.DUMMYFUNCTION("INDIRECT(""'收支紀錄'!K""&amp;TO_TEXT(ROW()-$C$72))"),"")</f>
        <v/>
      </c>
      <c r="L1961" s="61" t="str">
        <f>IFERROR(__xludf.DUMMYFUNCTION("INDIRECT(""'收支紀錄'!L""&amp;TO_TEXT(ROW()-$C$72))"),"")</f>
        <v/>
      </c>
      <c r="M1961" s="61" t="str">
        <f>IFERROR(__xludf.DUMMYFUNCTION("INDIRECT(""'收支紀錄'!M""&amp;TO_TEXT(ROW()-$C$72))"),"")</f>
        <v/>
      </c>
      <c r="N1961" s="61" t="str">
        <f>IFERROR(__xludf.DUMMYFUNCTION("INDIRECT(""'收支紀錄'!N""&amp;TO_TEXT(ROW()-$C$72))"),"")</f>
        <v/>
      </c>
      <c r="O1961" s="61" t="str">
        <f>IFERROR(__xludf.DUMMYFUNCTION("INDIRECT(""'收支紀錄'!O""&amp;TO_TEXT(ROW()-$C$72))"),"")</f>
        <v/>
      </c>
      <c r="P1961" s="61" t="str">
        <f>IFERROR(__xludf.DUMMYFUNCTION("INDIRECT(""'收支紀錄'!P""&amp;TO_TEXT(ROW()-$C$72))"),"")</f>
        <v/>
      </c>
      <c r="Q1961" s="61" t="str">
        <f>IFERROR(__xludf.DUMMYFUNCTION("INDIRECT(""'收支紀錄'!Q""&amp;TO_TEXT(ROW()-$C$72))"),"")</f>
        <v/>
      </c>
      <c r="R1961" s="61" t="str">
        <f>IFERROR(__xludf.DUMMYFUNCTION("INDIRECT(""'收支紀錄'!R""&amp;TO_TEXT(ROW()-$C$72))"),"")</f>
        <v/>
      </c>
      <c r="S1961" s="61" t="str">
        <f>IFERROR(__xludf.DUMMYFUNCTION("INDIRECT(""'收支紀錄'!S""&amp;TO_TEXT(ROW()-$C$72))"),"")</f>
        <v/>
      </c>
      <c r="T1961" s="61" t="str">
        <f>IFERROR(__xludf.DUMMYFUNCTION("INDIRECT(""'收支紀錄'!T""&amp;TO_TEXT(ROW()-$C$72))"),"")</f>
        <v/>
      </c>
      <c r="U1961" s="62" t="str">
        <f>IFERROR(__xludf.DUMMYFUNCTION("IF(T1961=""是"",TEXTJOIN("""", TRUE, ""$"", TO_TEXT(C1961), S1961),"""")"),"")</f>
        <v/>
      </c>
    </row>
    <row r="1962">
      <c r="A1962" s="58" t="str">
        <f>IFERROR(__xludf.DUMMYFUNCTION("INDIRECT(""'收支紀錄'!A""&amp;TO_TEXT(ROW()-$C$72))"),"")</f>
        <v/>
      </c>
      <c r="B1962" s="59" t="str">
        <f>IFERROR(__xludf.DUMMYFUNCTION("IF(ISBLANK(D1962), """", IF(ISDATE(D1962), D1962, IF(D1962=""今天"", A1962, IF(D1962=""昨天 (-1 day)"", A1962-1, IF(D1962=""前天 (-2 days)"", A1962-2, IF(D1962=""明天 (+1 day)"", A1962+1, DATE(LEFT(D1962,4), MID(D1962,5,2), RIGHT(D1962,2))))))))"),"")</f>
        <v/>
      </c>
      <c r="C1962" s="60" t="str">
        <f>IFERROR(__xludf.DUMMYFUNCTION("INDIRECT(""'收支紀錄'!C""&amp;TO_TEXT(ROW()-$C$72))"),"")</f>
        <v/>
      </c>
      <c r="D1962" s="63" t="str">
        <f>IFERROR(__xludf.DUMMYFUNCTION("INDIRECT(""'收支紀錄'!D""&amp;TO_TEXT(ROW()-$C$72))"),"")</f>
        <v/>
      </c>
      <c r="E1962" s="61" t="str">
        <f>IFERROR(__xludf.DUMMYFUNCTION("INDIRECT(""'收支紀錄'!E""&amp;TO_TEXT(ROW()-$C$72))"),"")</f>
        <v/>
      </c>
      <c r="F1962" s="61" t="str">
        <f>IFERROR(__xludf.DUMMYFUNCTION("INDIRECT(""'收支紀錄'!F""&amp;TO_TEXT(ROW()-$C$72))"),"")</f>
        <v/>
      </c>
      <c r="G1962" s="61" t="str">
        <f>IFERROR(__xludf.DUMMYFUNCTION("INDIRECT(""'收支紀錄'!G""&amp;TO_TEXT(ROW()-$C$72))"),"")</f>
        <v/>
      </c>
      <c r="H1962" s="61" t="str">
        <f>IFERROR(__xludf.DUMMYFUNCTION("INDIRECT(""'收支紀錄'!H""&amp;TO_TEXT(ROW()-$C$72))"),"")</f>
        <v/>
      </c>
      <c r="I1962" s="61" t="str">
        <f>IFERROR(__xludf.DUMMYFUNCTION("INDIRECT(""'收支紀錄'!I""&amp;TO_TEXT(ROW()-$C$72))"),"")</f>
        <v/>
      </c>
      <c r="J1962" s="61" t="str">
        <f>IFERROR(__xludf.DUMMYFUNCTION("INDIRECT(""'收支紀錄'!J""&amp;TO_TEXT(ROW()-$C$72))"),"")</f>
        <v/>
      </c>
      <c r="K1962" s="61" t="str">
        <f>IFERROR(__xludf.DUMMYFUNCTION("INDIRECT(""'收支紀錄'!K""&amp;TO_TEXT(ROW()-$C$72))"),"")</f>
        <v/>
      </c>
      <c r="L1962" s="61" t="str">
        <f>IFERROR(__xludf.DUMMYFUNCTION("INDIRECT(""'收支紀錄'!L""&amp;TO_TEXT(ROW()-$C$72))"),"")</f>
        <v/>
      </c>
      <c r="M1962" s="61" t="str">
        <f>IFERROR(__xludf.DUMMYFUNCTION("INDIRECT(""'收支紀錄'!M""&amp;TO_TEXT(ROW()-$C$72))"),"")</f>
        <v/>
      </c>
      <c r="N1962" s="61" t="str">
        <f>IFERROR(__xludf.DUMMYFUNCTION("INDIRECT(""'收支紀錄'!N""&amp;TO_TEXT(ROW()-$C$72))"),"")</f>
        <v/>
      </c>
      <c r="O1962" s="61" t="str">
        <f>IFERROR(__xludf.DUMMYFUNCTION("INDIRECT(""'收支紀錄'!O""&amp;TO_TEXT(ROW()-$C$72))"),"")</f>
        <v/>
      </c>
      <c r="P1962" s="61" t="str">
        <f>IFERROR(__xludf.DUMMYFUNCTION("INDIRECT(""'收支紀錄'!P""&amp;TO_TEXT(ROW()-$C$72))"),"")</f>
        <v/>
      </c>
      <c r="Q1962" s="61" t="str">
        <f>IFERROR(__xludf.DUMMYFUNCTION("INDIRECT(""'收支紀錄'!Q""&amp;TO_TEXT(ROW()-$C$72))"),"")</f>
        <v/>
      </c>
      <c r="R1962" s="61" t="str">
        <f>IFERROR(__xludf.DUMMYFUNCTION("INDIRECT(""'收支紀錄'!R""&amp;TO_TEXT(ROW()-$C$72))"),"")</f>
        <v/>
      </c>
      <c r="S1962" s="61" t="str">
        <f>IFERROR(__xludf.DUMMYFUNCTION("INDIRECT(""'收支紀錄'!S""&amp;TO_TEXT(ROW()-$C$72))"),"")</f>
        <v/>
      </c>
      <c r="T1962" s="61" t="str">
        <f>IFERROR(__xludf.DUMMYFUNCTION("INDIRECT(""'收支紀錄'!T""&amp;TO_TEXT(ROW()-$C$72))"),"")</f>
        <v/>
      </c>
      <c r="U1962" s="62" t="str">
        <f>IFERROR(__xludf.DUMMYFUNCTION("IF(T1962=""是"",TEXTJOIN("""", TRUE, ""$"", TO_TEXT(C1962), S1962),"""")"),"")</f>
        <v/>
      </c>
    </row>
    <row r="1963">
      <c r="A1963" s="58" t="str">
        <f>IFERROR(__xludf.DUMMYFUNCTION("INDIRECT(""'收支紀錄'!A""&amp;TO_TEXT(ROW()-$C$72))"),"")</f>
        <v/>
      </c>
      <c r="B1963" s="59" t="str">
        <f>IFERROR(__xludf.DUMMYFUNCTION("IF(ISBLANK(D1963), """", IF(ISDATE(D1963), D1963, IF(D1963=""今天"", A1963, IF(D1963=""昨天 (-1 day)"", A1963-1, IF(D1963=""前天 (-2 days)"", A1963-2, IF(D1963=""明天 (+1 day)"", A1963+1, DATE(LEFT(D1963,4), MID(D1963,5,2), RIGHT(D1963,2))))))))"),"")</f>
        <v/>
      </c>
      <c r="C1963" s="60" t="str">
        <f>IFERROR(__xludf.DUMMYFUNCTION("INDIRECT(""'收支紀錄'!C""&amp;TO_TEXT(ROW()-$C$72))"),"")</f>
        <v/>
      </c>
      <c r="D1963" s="63" t="str">
        <f>IFERROR(__xludf.DUMMYFUNCTION("INDIRECT(""'收支紀錄'!D""&amp;TO_TEXT(ROW()-$C$72))"),"")</f>
        <v/>
      </c>
      <c r="E1963" s="61" t="str">
        <f>IFERROR(__xludf.DUMMYFUNCTION("INDIRECT(""'收支紀錄'!E""&amp;TO_TEXT(ROW()-$C$72))"),"")</f>
        <v/>
      </c>
      <c r="F1963" s="61" t="str">
        <f>IFERROR(__xludf.DUMMYFUNCTION("INDIRECT(""'收支紀錄'!F""&amp;TO_TEXT(ROW()-$C$72))"),"")</f>
        <v/>
      </c>
      <c r="G1963" s="61" t="str">
        <f>IFERROR(__xludf.DUMMYFUNCTION("INDIRECT(""'收支紀錄'!G""&amp;TO_TEXT(ROW()-$C$72))"),"")</f>
        <v/>
      </c>
      <c r="H1963" s="61" t="str">
        <f>IFERROR(__xludf.DUMMYFUNCTION("INDIRECT(""'收支紀錄'!H""&amp;TO_TEXT(ROW()-$C$72))"),"")</f>
        <v/>
      </c>
      <c r="I1963" s="61" t="str">
        <f>IFERROR(__xludf.DUMMYFUNCTION("INDIRECT(""'收支紀錄'!I""&amp;TO_TEXT(ROW()-$C$72))"),"")</f>
        <v/>
      </c>
      <c r="J1963" s="61" t="str">
        <f>IFERROR(__xludf.DUMMYFUNCTION("INDIRECT(""'收支紀錄'!J""&amp;TO_TEXT(ROW()-$C$72))"),"")</f>
        <v/>
      </c>
      <c r="K1963" s="61" t="str">
        <f>IFERROR(__xludf.DUMMYFUNCTION("INDIRECT(""'收支紀錄'!K""&amp;TO_TEXT(ROW()-$C$72))"),"")</f>
        <v/>
      </c>
      <c r="L1963" s="61" t="str">
        <f>IFERROR(__xludf.DUMMYFUNCTION("INDIRECT(""'收支紀錄'!L""&amp;TO_TEXT(ROW()-$C$72))"),"")</f>
        <v/>
      </c>
      <c r="M1963" s="61" t="str">
        <f>IFERROR(__xludf.DUMMYFUNCTION("INDIRECT(""'收支紀錄'!M""&amp;TO_TEXT(ROW()-$C$72))"),"")</f>
        <v/>
      </c>
      <c r="N1963" s="61" t="str">
        <f>IFERROR(__xludf.DUMMYFUNCTION("INDIRECT(""'收支紀錄'!N""&amp;TO_TEXT(ROW()-$C$72))"),"")</f>
        <v/>
      </c>
      <c r="O1963" s="61" t="str">
        <f>IFERROR(__xludf.DUMMYFUNCTION("INDIRECT(""'收支紀錄'!O""&amp;TO_TEXT(ROW()-$C$72))"),"")</f>
        <v/>
      </c>
      <c r="P1963" s="61" t="str">
        <f>IFERROR(__xludf.DUMMYFUNCTION("INDIRECT(""'收支紀錄'!P""&amp;TO_TEXT(ROW()-$C$72))"),"")</f>
        <v/>
      </c>
      <c r="Q1963" s="61" t="str">
        <f>IFERROR(__xludf.DUMMYFUNCTION("INDIRECT(""'收支紀錄'!Q""&amp;TO_TEXT(ROW()-$C$72))"),"")</f>
        <v/>
      </c>
      <c r="R1963" s="61" t="str">
        <f>IFERROR(__xludf.DUMMYFUNCTION("INDIRECT(""'收支紀錄'!R""&amp;TO_TEXT(ROW()-$C$72))"),"")</f>
        <v/>
      </c>
      <c r="S1963" s="61" t="str">
        <f>IFERROR(__xludf.DUMMYFUNCTION("INDIRECT(""'收支紀錄'!S""&amp;TO_TEXT(ROW()-$C$72))"),"")</f>
        <v/>
      </c>
      <c r="T1963" s="61" t="str">
        <f>IFERROR(__xludf.DUMMYFUNCTION("INDIRECT(""'收支紀錄'!T""&amp;TO_TEXT(ROW()-$C$72))"),"")</f>
        <v/>
      </c>
      <c r="U1963" s="62" t="str">
        <f>IFERROR(__xludf.DUMMYFUNCTION("IF(T1963=""是"",TEXTJOIN("""", TRUE, ""$"", TO_TEXT(C1963), S1963),"""")"),"")</f>
        <v/>
      </c>
    </row>
    <row r="1964">
      <c r="A1964" s="58" t="str">
        <f>IFERROR(__xludf.DUMMYFUNCTION("INDIRECT(""'收支紀錄'!A""&amp;TO_TEXT(ROW()-$C$72))"),"")</f>
        <v/>
      </c>
      <c r="B1964" s="59" t="str">
        <f>IFERROR(__xludf.DUMMYFUNCTION("IF(ISBLANK(D1964), """", IF(ISDATE(D1964), D1964, IF(D1964=""今天"", A1964, IF(D1964=""昨天 (-1 day)"", A1964-1, IF(D1964=""前天 (-2 days)"", A1964-2, IF(D1964=""明天 (+1 day)"", A1964+1, DATE(LEFT(D1964,4), MID(D1964,5,2), RIGHT(D1964,2))))))))"),"")</f>
        <v/>
      </c>
      <c r="C1964" s="60" t="str">
        <f>IFERROR(__xludf.DUMMYFUNCTION("INDIRECT(""'收支紀錄'!C""&amp;TO_TEXT(ROW()-$C$72))"),"")</f>
        <v/>
      </c>
      <c r="D1964" s="63" t="str">
        <f>IFERROR(__xludf.DUMMYFUNCTION("INDIRECT(""'收支紀錄'!D""&amp;TO_TEXT(ROW()-$C$72))"),"")</f>
        <v/>
      </c>
      <c r="E1964" s="61" t="str">
        <f>IFERROR(__xludf.DUMMYFUNCTION("INDIRECT(""'收支紀錄'!E""&amp;TO_TEXT(ROW()-$C$72))"),"")</f>
        <v/>
      </c>
      <c r="F1964" s="61" t="str">
        <f>IFERROR(__xludf.DUMMYFUNCTION("INDIRECT(""'收支紀錄'!F""&amp;TO_TEXT(ROW()-$C$72))"),"")</f>
        <v/>
      </c>
      <c r="G1964" s="61" t="str">
        <f>IFERROR(__xludf.DUMMYFUNCTION("INDIRECT(""'收支紀錄'!G""&amp;TO_TEXT(ROW()-$C$72))"),"")</f>
        <v/>
      </c>
      <c r="H1964" s="61" t="str">
        <f>IFERROR(__xludf.DUMMYFUNCTION("INDIRECT(""'收支紀錄'!H""&amp;TO_TEXT(ROW()-$C$72))"),"")</f>
        <v/>
      </c>
      <c r="I1964" s="61" t="str">
        <f>IFERROR(__xludf.DUMMYFUNCTION("INDIRECT(""'收支紀錄'!I""&amp;TO_TEXT(ROW()-$C$72))"),"")</f>
        <v/>
      </c>
      <c r="J1964" s="61" t="str">
        <f>IFERROR(__xludf.DUMMYFUNCTION("INDIRECT(""'收支紀錄'!J""&amp;TO_TEXT(ROW()-$C$72))"),"")</f>
        <v/>
      </c>
      <c r="K1964" s="61" t="str">
        <f>IFERROR(__xludf.DUMMYFUNCTION("INDIRECT(""'收支紀錄'!K""&amp;TO_TEXT(ROW()-$C$72))"),"")</f>
        <v/>
      </c>
      <c r="L1964" s="61" t="str">
        <f>IFERROR(__xludf.DUMMYFUNCTION("INDIRECT(""'收支紀錄'!L""&amp;TO_TEXT(ROW()-$C$72))"),"")</f>
        <v/>
      </c>
      <c r="M1964" s="61" t="str">
        <f>IFERROR(__xludf.DUMMYFUNCTION("INDIRECT(""'收支紀錄'!M""&amp;TO_TEXT(ROW()-$C$72))"),"")</f>
        <v/>
      </c>
      <c r="N1964" s="61" t="str">
        <f>IFERROR(__xludf.DUMMYFUNCTION("INDIRECT(""'收支紀錄'!N""&amp;TO_TEXT(ROW()-$C$72))"),"")</f>
        <v/>
      </c>
      <c r="O1964" s="61" t="str">
        <f>IFERROR(__xludf.DUMMYFUNCTION("INDIRECT(""'收支紀錄'!O""&amp;TO_TEXT(ROW()-$C$72))"),"")</f>
        <v/>
      </c>
      <c r="P1964" s="61" t="str">
        <f>IFERROR(__xludf.DUMMYFUNCTION("INDIRECT(""'收支紀錄'!P""&amp;TO_TEXT(ROW()-$C$72))"),"")</f>
        <v/>
      </c>
      <c r="Q1964" s="61" t="str">
        <f>IFERROR(__xludf.DUMMYFUNCTION("INDIRECT(""'收支紀錄'!Q""&amp;TO_TEXT(ROW()-$C$72))"),"")</f>
        <v/>
      </c>
      <c r="R1964" s="61" t="str">
        <f>IFERROR(__xludf.DUMMYFUNCTION("INDIRECT(""'收支紀錄'!R""&amp;TO_TEXT(ROW()-$C$72))"),"")</f>
        <v/>
      </c>
      <c r="S1964" s="61" t="str">
        <f>IFERROR(__xludf.DUMMYFUNCTION("INDIRECT(""'收支紀錄'!S""&amp;TO_TEXT(ROW()-$C$72))"),"")</f>
        <v/>
      </c>
      <c r="T1964" s="61" t="str">
        <f>IFERROR(__xludf.DUMMYFUNCTION("INDIRECT(""'收支紀錄'!T""&amp;TO_TEXT(ROW()-$C$72))"),"")</f>
        <v/>
      </c>
      <c r="U1964" s="62" t="str">
        <f>IFERROR(__xludf.DUMMYFUNCTION("IF(T1964=""是"",TEXTJOIN("""", TRUE, ""$"", TO_TEXT(C1964), S1964),"""")"),"")</f>
        <v/>
      </c>
    </row>
    <row r="1965">
      <c r="A1965" s="58" t="str">
        <f>IFERROR(__xludf.DUMMYFUNCTION("INDIRECT(""'收支紀錄'!A""&amp;TO_TEXT(ROW()-$C$72))"),"")</f>
        <v/>
      </c>
      <c r="B1965" s="59" t="str">
        <f>IFERROR(__xludf.DUMMYFUNCTION("IF(ISBLANK(D1965), """", IF(ISDATE(D1965), D1965, IF(D1965=""今天"", A1965, IF(D1965=""昨天 (-1 day)"", A1965-1, IF(D1965=""前天 (-2 days)"", A1965-2, IF(D1965=""明天 (+1 day)"", A1965+1, DATE(LEFT(D1965,4), MID(D1965,5,2), RIGHT(D1965,2))))))))"),"")</f>
        <v/>
      </c>
      <c r="C1965" s="60" t="str">
        <f>IFERROR(__xludf.DUMMYFUNCTION("INDIRECT(""'收支紀錄'!C""&amp;TO_TEXT(ROW()-$C$72))"),"")</f>
        <v/>
      </c>
      <c r="D1965" s="63" t="str">
        <f>IFERROR(__xludf.DUMMYFUNCTION("INDIRECT(""'收支紀錄'!D""&amp;TO_TEXT(ROW()-$C$72))"),"")</f>
        <v/>
      </c>
      <c r="E1965" s="61" t="str">
        <f>IFERROR(__xludf.DUMMYFUNCTION("INDIRECT(""'收支紀錄'!E""&amp;TO_TEXT(ROW()-$C$72))"),"")</f>
        <v/>
      </c>
      <c r="F1965" s="61" t="str">
        <f>IFERROR(__xludf.DUMMYFUNCTION("INDIRECT(""'收支紀錄'!F""&amp;TO_TEXT(ROW()-$C$72))"),"")</f>
        <v/>
      </c>
      <c r="G1965" s="61" t="str">
        <f>IFERROR(__xludf.DUMMYFUNCTION("INDIRECT(""'收支紀錄'!G""&amp;TO_TEXT(ROW()-$C$72))"),"")</f>
        <v/>
      </c>
      <c r="H1965" s="61" t="str">
        <f>IFERROR(__xludf.DUMMYFUNCTION("INDIRECT(""'收支紀錄'!H""&amp;TO_TEXT(ROW()-$C$72))"),"")</f>
        <v/>
      </c>
      <c r="I1965" s="61" t="str">
        <f>IFERROR(__xludf.DUMMYFUNCTION("INDIRECT(""'收支紀錄'!I""&amp;TO_TEXT(ROW()-$C$72))"),"")</f>
        <v/>
      </c>
      <c r="J1965" s="61" t="str">
        <f>IFERROR(__xludf.DUMMYFUNCTION("INDIRECT(""'收支紀錄'!J""&amp;TO_TEXT(ROW()-$C$72))"),"")</f>
        <v/>
      </c>
      <c r="K1965" s="61" t="str">
        <f>IFERROR(__xludf.DUMMYFUNCTION("INDIRECT(""'收支紀錄'!K""&amp;TO_TEXT(ROW()-$C$72))"),"")</f>
        <v/>
      </c>
      <c r="L1965" s="61" t="str">
        <f>IFERROR(__xludf.DUMMYFUNCTION("INDIRECT(""'收支紀錄'!L""&amp;TO_TEXT(ROW()-$C$72))"),"")</f>
        <v/>
      </c>
      <c r="M1965" s="61" t="str">
        <f>IFERROR(__xludf.DUMMYFUNCTION("INDIRECT(""'收支紀錄'!M""&amp;TO_TEXT(ROW()-$C$72))"),"")</f>
        <v/>
      </c>
      <c r="N1965" s="61" t="str">
        <f>IFERROR(__xludf.DUMMYFUNCTION("INDIRECT(""'收支紀錄'!N""&amp;TO_TEXT(ROW()-$C$72))"),"")</f>
        <v/>
      </c>
      <c r="O1965" s="61" t="str">
        <f>IFERROR(__xludf.DUMMYFUNCTION("INDIRECT(""'收支紀錄'!O""&amp;TO_TEXT(ROW()-$C$72))"),"")</f>
        <v/>
      </c>
      <c r="P1965" s="61" t="str">
        <f>IFERROR(__xludf.DUMMYFUNCTION("INDIRECT(""'收支紀錄'!P""&amp;TO_TEXT(ROW()-$C$72))"),"")</f>
        <v/>
      </c>
      <c r="Q1965" s="61" t="str">
        <f>IFERROR(__xludf.DUMMYFUNCTION("INDIRECT(""'收支紀錄'!Q""&amp;TO_TEXT(ROW()-$C$72))"),"")</f>
        <v/>
      </c>
      <c r="R1965" s="61" t="str">
        <f>IFERROR(__xludf.DUMMYFUNCTION("INDIRECT(""'收支紀錄'!R""&amp;TO_TEXT(ROW()-$C$72))"),"")</f>
        <v/>
      </c>
      <c r="S1965" s="61" t="str">
        <f>IFERROR(__xludf.DUMMYFUNCTION("INDIRECT(""'收支紀錄'!S""&amp;TO_TEXT(ROW()-$C$72))"),"")</f>
        <v/>
      </c>
      <c r="T1965" s="61" t="str">
        <f>IFERROR(__xludf.DUMMYFUNCTION("INDIRECT(""'收支紀錄'!T""&amp;TO_TEXT(ROW()-$C$72))"),"")</f>
        <v/>
      </c>
      <c r="U1965" s="62" t="str">
        <f>IFERROR(__xludf.DUMMYFUNCTION("IF(T1965=""是"",TEXTJOIN("""", TRUE, ""$"", TO_TEXT(C1965), S1965),"""")"),"")</f>
        <v/>
      </c>
    </row>
    <row r="1966">
      <c r="A1966" s="58" t="str">
        <f>IFERROR(__xludf.DUMMYFUNCTION("INDIRECT(""'收支紀錄'!A""&amp;TO_TEXT(ROW()-$C$72))"),"")</f>
        <v/>
      </c>
      <c r="B1966" s="59" t="str">
        <f>IFERROR(__xludf.DUMMYFUNCTION("IF(ISBLANK(D1966), """", IF(ISDATE(D1966), D1966, IF(D1966=""今天"", A1966, IF(D1966=""昨天 (-1 day)"", A1966-1, IF(D1966=""前天 (-2 days)"", A1966-2, IF(D1966=""明天 (+1 day)"", A1966+1, DATE(LEFT(D1966,4), MID(D1966,5,2), RIGHT(D1966,2))))))))"),"")</f>
        <v/>
      </c>
      <c r="C1966" s="60" t="str">
        <f>IFERROR(__xludf.DUMMYFUNCTION("INDIRECT(""'收支紀錄'!C""&amp;TO_TEXT(ROW()-$C$72))"),"")</f>
        <v/>
      </c>
      <c r="D1966" s="63" t="str">
        <f>IFERROR(__xludf.DUMMYFUNCTION("INDIRECT(""'收支紀錄'!D""&amp;TO_TEXT(ROW()-$C$72))"),"")</f>
        <v/>
      </c>
      <c r="E1966" s="61" t="str">
        <f>IFERROR(__xludf.DUMMYFUNCTION("INDIRECT(""'收支紀錄'!E""&amp;TO_TEXT(ROW()-$C$72))"),"")</f>
        <v/>
      </c>
      <c r="F1966" s="61" t="str">
        <f>IFERROR(__xludf.DUMMYFUNCTION("INDIRECT(""'收支紀錄'!F""&amp;TO_TEXT(ROW()-$C$72))"),"")</f>
        <v/>
      </c>
      <c r="G1966" s="61" t="str">
        <f>IFERROR(__xludf.DUMMYFUNCTION("INDIRECT(""'收支紀錄'!G""&amp;TO_TEXT(ROW()-$C$72))"),"")</f>
        <v/>
      </c>
      <c r="H1966" s="61" t="str">
        <f>IFERROR(__xludf.DUMMYFUNCTION("INDIRECT(""'收支紀錄'!H""&amp;TO_TEXT(ROW()-$C$72))"),"")</f>
        <v/>
      </c>
      <c r="I1966" s="61" t="str">
        <f>IFERROR(__xludf.DUMMYFUNCTION("INDIRECT(""'收支紀錄'!I""&amp;TO_TEXT(ROW()-$C$72))"),"")</f>
        <v/>
      </c>
      <c r="J1966" s="61" t="str">
        <f>IFERROR(__xludf.DUMMYFUNCTION("INDIRECT(""'收支紀錄'!J""&amp;TO_TEXT(ROW()-$C$72))"),"")</f>
        <v/>
      </c>
      <c r="K1966" s="61" t="str">
        <f>IFERROR(__xludf.DUMMYFUNCTION("INDIRECT(""'收支紀錄'!K""&amp;TO_TEXT(ROW()-$C$72))"),"")</f>
        <v/>
      </c>
      <c r="L1966" s="61" t="str">
        <f>IFERROR(__xludf.DUMMYFUNCTION("INDIRECT(""'收支紀錄'!L""&amp;TO_TEXT(ROW()-$C$72))"),"")</f>
        <v/>
      </c>
      <c r="M1966" s="61" t="str">
        <f>IFERROR(__xludf.DUMMYFUNCTION("INDIRECT(""'收支紀錄'!M""&amp;TO_TEXT(ROW()-$C$72))"),"")</f>
        <v/>
      </c>
      <c r="N1966" s="61" t="str">
        <f>IFERROR(__xludf.DUMMYFUNCTION("INDIRECT(""'收支紀錄'!N""&amp;TO_TEXT(ROW()-$C$72))"),"")</f>
        <v/>
      </c>
      <c r="O1966" s="61" t="str">
        <f>IFERROR(__xludf.DUMMYFUNCTION("INDIRECT(""'收支紀錄'!O""&amp;TO_TEXT(ROW()-$C$72))"),"")</f>
        <v/>
      </c>
      <c r="P1966" s="61" t="str">
        <f>IFERROR(__xludf.DUMMYFUNCTION("INDIRECT(""'收支紀錄'!P""&amp;TO_TEXT(ROW()-$C$72))"),"")</f>
        <v/>
      </c>
      <c r="Q1966" s="61" t="str">
        <f>IFERROR(__xludf.DUMMYFUNCTION("INDIRECT(""'收支紀錄'!Q""&amp;TO_TEXT(ROW()-$C$72))"),"")</f>
        <v/>
      </c>
      <c r="R1966" s="61" t="str">
        <f>IFERROR(__xludf.DUMMYFUNCTION("INDIRECT(""'收支紀錄'!R""&amp;TO_TEXT(ROW()-$C$72))"),"")</f>
        <v/>
      </c>
      <c r="S1966" s="61" t="str">
        <f>IFERROR(__xludf.DUMMYFUNCTION("INDIRECT(""'收支紀錄'!S""&amp;TO_TEXT(ROW()-$C$72))"),"")</f>
        <v/>
      </c>
      <c r="T1966" s="61" t="str">
        <f>IFERROR(__xludf.DUMMYFUNCTION("INDIRECT(""'收支紀錄'!T""&amp;TO_TEXT(ROW()-$C$72))"),"")</f>
        <v/>
      </c>
      <c r="U1966" s="62" t="str">
        <f>IFERROR(__xludf.DUMMYFUNCTION("IF(T1966=""是"",TEXTJOIN("""", TRUE, ""$"", TO_TEXT(C1966), S1966),"""")"),"")</f>
        <v/>
      </c>
    </row>
    <row r="1967">
      <c r="A1967" s="58" t="str">
        <f>IFERROR(__xludf.DUMMYFUNCTION("INDIRECT(""'收支紀錄'!A""&amp;TO_TEXT(ROW()-$C$72))"),"")</f>
        <v/>
      </c>
      <c r="B1967" s="59" t="str">
        <f>IFERROR(__xludf.DUMMYFUNCTION("IF(ISBLANK(D1967), """", IF(ISDATE(D1967), D1967, IF(D1967=""今天"", A1967, IF(D1967=""昨天 (-1 day)"", A1967-1, IF(D1967=""前天 (-2 days)"", A1967-2, IF(D1967=""明天 (+1 day)"", A1967+1, DATE(LEFT(D1967,4), MID(D1967,5,2), RIGHT(D1967,2))))))))"),"")</f>
        <v/>
      </c>
      <c r="C1967" s="60" t="str">
        <f>IFERROR(__xludf.DUMMYFUNCTION("INDIRECT(""'收支紀錄'!C""&amp;TO_TEXT(ROW()-$C$72))"),"")</f>
        <v/>
      </c>
      <c r="D1967" s="63" t="str">
        <f>IFERROR(__xludf.DUMMYFUNCTION("INDIRECT(""'收支紀錄'!D""&amp;TO_TEXT(ROW()-$C$72))"),"")</f>
        <v/>
      </c>
      <c r="E1967" s="61" t="str">
        <f>IFERROR(__xludf.DUMMYFUNCTION("INDIRECT(""'收支紀錄'!E""&amp;TO_TEXT(ROW()-$C$72))"),"")</f>
        <v/>
      </c>
      <c r="F1967" s="61" t="str">
        <f>IFERROR(__xludf.DUMMYFUNCTION("INDIRECT(""'收支紀錄'!F""&amp;TO_TEXT(ROW()-$C$72))"),"")</f>
        <v/>
      </c>
      <c r="G1967" s="61" t="str">
        <f>IFERROR(__xludf.DUMMYFUNCTION("INDIRECT(""'收支紀錄'!G""&amp;TO_TEXT(ROW()-$C$72))"),"")</f>
        <v/>
      </c>
      <c r="H1967" s="61" t="str">
        <f>IFERROR(__xludf.DUMMYFUNCTION("INDIRECT(""'收支紀錄'!H""&amp;TO_TEXT(ROW()-$C$72))"),"")</f>
        <v/>
      </c>
      <c r="I1967" s="61" t="str">
        <f>IFERROR(__xludf.DUMMYFUNCTION("INDIRECT(""'收支紀錄'!I""&amp;TO_TEXT(ROW()-$C$72))"),"")</f>
        <v/>
      </c>
      <c r="J1967" s="61" t="str">
        <f>IFERROR(__xludf.DUMMYFUNCTION("INDIRECT(""'收支紀錄'!J""&amp;TO_TEXT(ROW()-$C$72))"),"")</f>
        <v/>
      </c>
      <c r="K1967" s="61" t="str">
        <f>IFERROR(__xludf.DUMMYFUNCTION("INDIRECT(""'收支紀錄'!K""&amp;TO_TEXT(ROW()-$C$72))"),"")</f>
        <v/>
      </c>
      <c r="L1967" s="61" t="str">
        <f>IFERROR(__xludf.DUMMYFUNCTION("INDIRECT(""'收支紀錄'!L""&amp;TO_TEXT(ROW()-$C$72))"),"")</f>
        <v/>
      </c>
      <c r="M1967" s="61" t="str">
        <f>IFERROR(__xludf.DUMMYFUNCTION("INDIRECT(""'收支紀錄'!M""&amp;TO_TEXT(ROW()-$C$72))"),"")</f>
        <v/>
      </c>
      <c r="N1967" s="61" t="str">
        <f>IFERROR(__xludf.DUMMYFUNCTION("INDIRECT(""'收支紀錄'!N""&amp;TO_TEXT(ROW()-$C$72))"),"")</f>
        <v/>
      </c>
      <c r="O1967" s="61" t="str">
        <f>IFERROR(__xludf.DUMMYFUNCTION("INDIRECT(""'收支紀錄'!O""&amp;TO_TEXT(ROW()-$C$72))"),"")</f>
        <v/>
      </c>
      <c r="P1967" s="61" t="str">
        <f>IFERROR(__xludf.DUMMYFUNCTION("INDIRECT(""'收支紀錄'!P""&amp;TO_TEXT(ROW()-$C$72))"),"")</f>
        <v/>
      </c>
      <c r="Q1967" s="61" t="str">
        <f>IFERROR(__xludf.DUMMYFUNCTION("INDIRECT(""'收支紀錄'!Q""&amp;TO_TEXT(ROW()-$C$72))"),"")</f>
        <v/>
      </c>
      <c r="R1967" s="61" t="str">
        <f>IFERROR(__xludf.DUMMYFUNCTION("INDIRECT(""'收支紀錄'!R""&amp;TO_TEXT(ROW()-$C$72))"),"")</f>
        <v/>
      </c>
      <c r="S1967" s="61" t="str">
        <f>IFERROR(__xludf.DUMMYFUNCTION("INDIRECT(""'收支紀錄'!S""&amp;TO_TEXT(ROW()-$C$72))"),"")</f>
        <v/>
      </c>
      <c r="T1967" s="61" t="str">
        <f>IFERROR(__xludf.DUMMYFUNCTION("INDIRECT(""'收支紀錄'!T""&amp;TO_TEXT(ROW()-$C$72))"),"")</f>
        <v/>
      </c>
      <c r="U1967" s="62" t="str">
        <f>IFERROR(__xludf.DUMMYFUNCTION("IF(T1967=""是"",TEXTJOIN("""", TRUE, ""$"", TO_TEXT(C1967), S1967),"""")"),"")</f>
        <v/>
      </c>
    </row>
    <row r="1968">
      <c r="A1968" s="58" t="str">
        <f>IFERROR(__xludf.DUMMYFUNCTION("INDIRECT(""'收支紀錄'!A""&amp;TO_TEXT(ROW()-$C$72))"),"")</f>
        <v/>
      </c>
      <c r="B1968" s="59" t="str">
        <f>IFERROR(__xludf.DUMMYFUNCTION("IF(ISBLANK(D1968), """", IF(ISDATE(D1968), D1968, IF(D1968=""今天"", A1968, IF(D1968=""昨天 (-1 day)"", A1968-1, IF(D1968=""前天 (-2 days)"", A1968-2, IF(D1968=""明天 (+1 day)"", A1968+1, DATE(LEFT(D1968,4), MID(D1968,5,2), RIGHT(D1968,2))))))))"),"")</f>
        <v/>
      </c>
      <c r="C1968" s="60" t="str">
        <f>IFERROR(__xludf.DUMMYFUNCTION("INDIRECT(""'收支紀錄'!C""&amp;TO_TEXT(ROW()-$C$72))"),"")</f>
        <v/>
      </c>
      <c r="D1968" s="63" t="str">
        <f>IFERROR(__xludf.DUMMYFUNCTION("INDIRECT(""'收支紀錄'!D""&amp;TO_TEXT(ROW()-$C$72))"),"")</f>
        <v/>
      </c>
      <c r="E1968" s="61" t="str">
        <f>IFERROR(__xludf.DUMMYFUNCTION("INDIRECT(""'收支紀錄'!E""&amp;TO_TEXT(ROW()-$C$72))"),"")</f>
        <v/>
      </c>
      <c r="F1968" s="61" t="str">
        <f>IFERROR(__xludf.DUMMYFUNCTION("INDIRECT(""'收支紀錄'!F""&amp;TO_TEXT(ROW()-$C$72))"),"")</f>
        <v/>
      </c>
      <c r="G1968" s="61" t="str">
        <f>IFERROR(__xludf.DUMMYFUNCTION("INDIRECT(""'收支紀錄'!G""&amp;TO_TEXT(ROW()-$C$72))"),"")</f>
        <v/>
      </c>
      <c r="H1968" s="61" t="str">
        <f>IFERROR(__xludf.DUMMYFUNCTION("INDIRECT(""'收支紀錄'!H""&amp;TO_TEXT(ROW()-$C$72))"),"")</f>
        <v/>
      </c>
      <c r="I1968" s="61" t="str">
        <f>IFERROR(__xludf.DUMMYFUNCTION("INDIRECT(""'收支紀錄'!I""&amp;TO_TEXT(ROW()-$C$72))"),"")</f>
        <v/>
      </c>
      <c r="J1968" s="61" t="str">
        <f>IFERROR(__xludf.DUMMYFUNCTION("INDIRECT(""'收支紀錄'!J""&amp;TO_TEXT(ROW()-$C$72))"),"")</f>
        <v/>
      </c>
      <c r="K1968" s="61" t="str">
        <f>IFERROR(__xludf.DUMMYFUNCTION("INDIRECT(""'收支紀錄'!K""&amp;TO_TEXT(ROW()-$C$72))"),"")</f>
        <v/>
      </c>
      <c r="L1968" s="61" t="str">
        <f>IFERROR(__xludf.DUMMYFUNCTION("INDIRECT(""'收支紀錄'!L""&amp;TO_TEXT(ROW()-$C$72))"),"")</f>
        <v/>
      </c>
      <c r="M1968" s="61" t="str">
        <f>IFERROR(__xludf.DUMMYFUNCTION("INDIRECT(""'收支紀錄'!M""&amp;TO_TEXT(ROW()-$C$72))"),"")</f>
        <v/>
      </c>
      <c r="N1968" s="61" t="str">
        <f>IFERROR(__xludf.DUMMYFUNCTION("INDIRECT(""'收支紀錄'!N""&amp;TO_TEXT(ROW()-$C$72))"),"")</f>
        <v/>
      </c>
      <c r="O1968" s="61" t="str">
        <f>IFERROR(__xludf.DUMMYFUNCTION("INDIRECT(""'收支紀錄'!O""&amp;TO_TEXT(ROW()-$C$72))"),"")</f>
        <v/>
      </c>
      <c r="P1968" s="61" t="str">
        <f>IFERROR(__xludf.DUMMYFUNCTION("INDIRECT(""'收支紀錄'!P""&amp;TO_TEXT(ROW()-$C$72))"),"")</f>
        <v/>
      </c>
      <c r="Q1968" s="61" t="str">
        <f>IFERROR(__xludf.DUMMYFUNCTION("INDIRECT(""'收支紀錄'!Q""&amp;TO_TEXT(ROW()-$C$72))"),"")</f>
        <v/>
      </c>
      <c r="R1968" s="61" t="str">
        <f>IFERROR(__xludf.DUMMYFUNCTION("INDIRECT(""'收支紀錄'!R""&amp;TO_TEXT(ROW()-$C$72))"),"")</f>
        <v/>
      </c>
      <c r="S1968" s="61" t="str">
        <f>IFERROR(__xludf.DUMMYFUNCTION("INDIRECT(""'收支紀錄'!S""&amp;TO_TEXT(ROW()-$C$72))"),"")</f>
        <v/>
      </c>
      <c r="T1968" s="61" t="str">
        <f>IFERROR(__xludf.DUMMYFUNCTION("INDIRECT(""'收支紀錄'!T""&amp;TO_TEXT(ROW()-$C$72))"),"")</f>
        <v/>
      </c>
      <c r="U1968" s="62" t="str">
        <f>IFERROR(__xludf.DUMMYFUNCTION("IF(T1968=""是"",TEXTJOIN("""", TRUE, ""$"", TO_TEXT(C1968), S1968),"""")"),"")</f>
        <v/>
      </c>
    </row>
    <row r="1969">
      <c r="A1969" s="58" t="str">
        <f>IFERROR(__xludf.DUMMYFUNCTION("INDIRECT(""'收支紀錄'!A""&amp;TO_TEXT(ROW()-$C$72))"),"")</f>
        <v/>
      </c>
      <c r="B1969" s="59" t="str">
        <f>IFERROR(__xludf.DUMMYFUNCTION("IF(ISBLANK(D1969), """", IF(ISDATE(D1969), D1969, IF(D1969=""今天"", A1969, IF(D1969=""昨天 (-1 day)"", A1969-1, IF(D1969=""前天 (-2 days)"", A1969-2, IF(D1969=""明天 (+1 day)"", A1969+1, DATE(LEFT(D1969,4), MID(D1969,5,2), RIGHT(D1969,2))))))))"),"")</f>
        <v/>
      </c>
      <c r="C1969" s="60" t="str">
        <f>IFERROR(__xludf.DUMMYFUNCTION("INDIRECT(""'收支紀錄'!C""&amp;TO_TEXT(ROW()-$C$72))"),"")</f>
        <v/>
      </c>
      <c r="D1969" s="63" t="str">
        <f>IFERROR(__xludf.DUMMYFUNCTION("INDIRECT(""'收支紀錄'!D""&amp;TO_TEXT(ROW()-$C$72))"),"")</f>
        <v/>
      </c>
      <c r="E1969" s="61" t="str">
        <f>IFERROR(__xludf.DUMMYFUNCTION("INDIRECT(""'收支紀錄'!E""&amp;TO_TEXT(ROW()-$C$72))"),"")</f>
        <v/>
      </c>
      <c r="F1969" s="61" t="str">
        <f>IFERROR(__xludf.DUMMYFUNCTION("INDIRECT(""'收支紀錄'!F""&amp;TO_TEXT(ROW()-$C$72))"),"")</f>
        <v/>
      </c>
      <c r="G1969" s="61" t="str">
        <f>IFERROR(__xludf.DUMMYFUNCTION("INDIRECT(""'收支紀錄'!G""&amp;TO_TEXT(ROW()-$C$72))"),"")</f>
        <v/>
      </c>
      <c r="H1969" s="61" t="str">
        <f>IFERROR(__xludf.DUMMYFUNCTION("INDIRECT(""'收支紀錄'!H""&amp;TO_TEXT(ROW()-$C$72))"),"")</f>
        <v/>
      </c>
      <c r="I1969" s="61" t="str">
        <f>IFERROR(__xludf.DUMMYFUNCTION("INDIRECT(""'收支紀錄'!I""&amp;TO_TEXT(ROW()-$C$72))"),"")</f>
        <v/>
      </c>
      <c r="J1969" s="61" t="str">
        <f>IFERROR(__xludf.DUMMYFUNCTION("INDIRECT(""'收支紀錄'!J""&amp;TO_TEXT(ROW()-$C$72))"),"")</f>
        <v/>
      </c>
      <c r="K1969" s="61" t="str">
        <f>IFERROR(__xludf.DUMMYFUNCTION("INDIRECT(""'收支紀錄'!K""&amp;TO_TEXT(ROW()-$C$72))"),"")</f>
        <v/>
      </c>
      <c r="L1969" s="61" t="str">
        <f>IFERROR(__xludf.DUMMYFUNCTION("INDIRECT(""'收支紀錄'!L""&amp;TO_TEXT(ROW()-$C$72))"),"")</f>
        <v/>
      </c>
      <c r="M1969" s="61" t="str">
        <f>IFERROR(__xludf.DUMMYFUNCTION("INDIRECT(""'收支紀錄'!M""&amp;TO_TEXT(ROW()-$C$72))"),"")</f>
        <v/>
      </c>
      <c r="N1969" s="61" t="str">
        <f>IFERROR(__xludf.DUMMYFUNCTION("INDIRECT(""'收支紀錄'!N""&amp;TO_TEXT(ROW()-$C$72))"),"")</f>
        <v/>
      </c>
      <c r="O1969" s="61" t="str">
        <f>IFERROR(__xludf.DUMMYFUNCTION("INDIRECT(""'收支紀錄'!O""&amp;TO_TEXT(ROW()-$C$72))"),"")</f>
        <v/>
      </c>
      <c r="P1969" s="61" t="str">
        <f>IFERROR(__xludf.DUMMYFUNCTION("INDIRECT(""'收支紀錄'!P""&amp;TO_TEXT(ROW()-$C$72))"),"")</f>
        <v/>
      </c>
      <c r="Q1969" s="61" t="str">
        <f>IFERROR(__xludf.DUMMYFUNCTION("INDIRECT(""'收支紀錄'!Q""&amp;TO_TEXT(ROW()-$C$72))"),"")</f>
        <v/>
      </c>
      <c r="R1969" s="61" t="str">
        <f>IFERROR(__xludf.DUMMYFUNCTION("INDIRECT(""'收支紀錄'!R""&amp;TO_TEXT(ROW()-$C$72))"),"")</f>
        <v/>
      </c>
      <c r="S1969" s="61" t="str">
        <f>IFERROR(__xludf.DUMMYFUNCTION("INDIRECT(""'收支紀錄'!S""&amp;TO_TEXT(ROW()-$C$72))"),"")</f>
        <v/>
      </c>
      <c r="T1969" s="61" t="str">
        <f>IFERROR(__xludf.DUMMYFUNCTION("INDIRECT(""'收支紀錄'!T""&amp;TO_TEXT(ROW()-$C$72))"),"")</f>
        <v/>
      </c>
      <c r="U1969" s="62" t="str">
        <f>IFERROR(__xludf.DUMMYFUNCTION("IF(T1969=""是"",TEXTJOIN("""", TRUE, ""$"", TO_TEXT(C1969), S1969),"""")"),"")</f>
        <v/>
      </c>
    </row>
    <row r="1970">
      <c r="A1970" s="58" t="str">
        <f>IFERROR(__xludf.DUMMYFUNCTION("INDIRECT(""'收支紀錄'!A""&amp;TO_TEXT(ROW()-$C$72))"),"")</f>
        <v/>
      </c>
      <c r="B1970" s="59" t="str">
        <f>IFERROR(__xludf.DUMMYFUNCTION("IF(ISBLANK(D1970), """", IF(ISDATE(D1970), D1970, IF(D1970=""今天"", A1970, IF(D1970=""昨天 (-1 day)"", A1970-1, IF(D1970=""前天 (-2 days)"", A1970-2, IF(D1970=""明天 (+1 day)"", A1970+1, DATE(LEFT(D1970,4), MID(D1970,5,2), RIGHT(D1970,2))))))))"),"")</f>
        <v/>
      </c>
      <c r="C1970" s="60" t="str">
        <f>IFERROR(__xludf.DUMMYFUNCTION("INDIRECT(""'收支紀錄'!C""&amp;TO_TEXT(ROW()-$C$72))"),"")</f>
        <v/>
      </c>
      <c r="D1970" s="63" t="str">
        <f>IFERROR(__xludf.DUMMYFUNCTION("INDIRECT(""'收支紀錄'!D""&amp;TO_TEXT(ROW()-$C$72))"),"")</f>
        <v/>
      </c>
      <c r="E1970" s="61" t="str">
        <f>IFERROR(__xludf.DUMMYFUNCTION("INDIRECT(""'收支紀錄'!E""&amp;TO_TEXT(ROW()-$C$72))"),"")</f>
        <v/>
      </c>
      <c r="F1970" s="61" t="str">
        <f>IFERROR(__xludf.DUMMYFUNCTION("INDIRECT(""'收支紀錄'!F""&amp;TO_TEXT(ROW()-$C$72))"),"")</f>
        <v/>
      </c>
      <c r="G1970" s="61" t="str">
        <f>IFERROR(__xludf.DUMMYFUNCTION("INDIRECT(""'收支紀錄'!G""&amp;TO_TEXT(ROW()-$C$72))"),"")</f>
        <v/>
      </c>
      <c r="H1970" s="61" t="str">
        <f>IFERROR(__xludf.DUMMYFUNCTION("INDIRECT(""'收支紀錄'!H""&amp;TO_TEXT(ROW()-$C$72))"),"")</f>
        <v/>
      </c>
      <c r="I1970" s="61" t="str">
        <f>IFERROR(__xludf.DUMMYFUNCTION("INDIRECT(""'收支紀錄'!I""&amp;TO_TEXT(ROW()-$C$72))"),"")</f>
        <v/>
      </c>
      <c r="J1970" s="61" t="str">
        <f>IFERROR(__xludf.DUMMYFUNCTION("INDIRECT(""'收支紀錄'!J""&amp;TO_TEXT(ROW()-$C$72))"),"")</f>
        <v/>
      </c>
      <c r="K1970" s="61" t="str">
        <f>IFERROR(__xludf.DUMMYFUNCTION("INDIRECT(""'收支紀錄'!K""&amp;TO_TEXT(ROW()-$C$72))"),"")</f>
        <v/>
      </c>
      <c r="L1970" s="61" t="str">
        <f>IFERROR(__xludf.DUMMYFUNCTION("INDIRECT(""'收支紀錄'!L""&amp;TO_TEXT(ROW()-$C$72))"),"")</f>
        <v/>
      </c>
      <c r="M1970" s="61" t="str">
        <f>IFERROR(__xludf.DUMMYFUNCTION("INDIRECT(""'收支紀錄'!M""&amp;TO_TEXT(ROW()-$C$72))"),"")</f>
        <v/>
      </c>
      <c r="N1970" s="61" t="str">
        <f>IFERROR(__xludf.DUMMYFUNCTION("INDIRECT(""'收支紀錄'!N""&amp;TO_TEXT(ROW()-$C$72))"),"")</f>
        <v/>
      </c>
      <c r="O1970" s="61" t="str">
        <f>IFERROR(__xludf.DUMMYFUNCTION("INDIRECT(""'收支紀錄'!O""&amp;TO_TEXT(ROW()-$C$72))"),"")</f>
        <v/>
      </c>
      <c r="P1970" s="61" t="str">
        <f>IFERROR(__xludf.DUMMYFUNCTION("INDIRECT(""'收支紀錄'!P""&amp;TO_TEXT(ROW()-$C$72))"),"")</f>
        <v/>
      </c>
      <c r="Q1970" s="61" t="str">
        <f>IFERROR(__xludf.DUMMYFUNCTION("INDIRECT(""'收支紀錄'!Q""&amp;TO_TEXT(ROW()-$C$72))"),"")</f>
        <v/>
      </c>
      <c r="R1970" s="61" t="str">
        <f>IFERROR(__xludf.DUMMYFUNCTION("INDIRECT(""'收支紀錄'!R""&amp;TO_TEXT(ROW()-$C$72))"),"")</f>
        <v/>
      </c>
      <c r="S1970" s="61" t="str">
        <f>IFERROR(__xludf.DUMMYFUNCTION("INDIRECT(""'收支紀錄'!S""&amp;TO_TEXT(ROW()-$C$72))"),"")</f>
        <v/>
      </c>
      <c r="T1970" s="61" t="str">
        <f>IFERROR(__xludf.DUMMYFUNCTION("INDIRECT(""'收支紀錄'!T""&amp;TO_TEXT(ROW()-$C$72))"),"")</f>
        <v/>
      </c>
      <c r="U1970" s="62" t="str">
        <f>IFERROR(__xludf.DUMMYFUNCTION("IF(T1970=""是"",TEXTJOIN("""", TRUE, ""$"", TO_TEXT(C1970), S1970),"""")"),"")</f>
        <v/>
      </c>
    </row>
    <row r="1971">
      <c r="A1971" s="58" t="str">
        <f>IFERROR(__xludf.DUMMYFUNCTION("INDIRECT(""'收支紀錄'!A""&amp;TO_TEXT(ROW()-$C$72))"),"")</f>
        <v/>
      </c>
      <c r="B1971" s="59" t="str">
        <f>IFERROR(__xludf.DUMMYFUNCTION("IF(ISBLANK(D1971), """", IF(ISDATE(D1971), D1971, IF(D1971=""今天"", A1971, IF(D1971=""昨天 (-1 day)"", A1971-1, IF(D1971=""前天 (-2 days)"", A1971-2, IF(D1971=""明天 (+1 day)"", A1971+1, DATE(LEFT(D1971,4), MID(D1971,5,2), RIGHT(D1971,2))))))))"),"")</f>
        <v/>
      </c>
      <c r="C1971" s="60" t="str">
        <f>IFERROR(__xludf.DUMMYFUNCTION("INDIRECT(""'收支紀錄'!C""&amp;TO_TEXT(ROW()-$C$72))"),"")</f>
        <v/>
      </c>
      <c r="D1971" s="63" t="str">
        <f>IFERROR(__xludf.DUMMYFUNCTION("INDIRECT(""'收支紀錄'!D""&amp;TO_TEXT(ROW()-$C$72))"),"")</f>
        <v/>
      </c>
      <c r="E1971" s="61" t="str">
        <f>IFERROR(__xludf.DUMMYFUNCTION("INDIRECT(""'收支紀錄'!E""&amp;TO_TEXT(ROW()-$C$72))"),"")</f>
        <v/>
      </c>
      <c r="F1971" s="61" t="str">
        <f>IFERROR(__xludf.DUMMYFUNCTION("INDIRECT(""'收支紀錄'!F""&amp;TO_TEXT(ROW()-$C$72))"),"")</f>
        <v/>
      </c>
      <c r="G1971" s="61" t="str">
        <f>IFERROR(__xludf.DUMMYFUNCTION("INDIRECT(""'收支紀錄'!G""&amp;TO_TEXT(ROW()-$C$72))"),"")</f>
        <v/>
      </c>
      <c r="H1971" s="61" t="str">
        <f>IFERROR(__xludf.DUMMYFUNCTION("INDIRECT(""'收支紀錄'!H""&amp;TO_TEXT(ROW()-$C$72))"),"")</f>
        <v/>
      </c>
      <c r="I1971" s="61" t="str">
        <f>IFERROR(__xludf.DUMMYFUNCTION("INDIRECT(""'收支紀錄'!I""&amp;TO_TEXT(ROW()-$C$72))"),"")</f>
        <v/>
      </c>
      <c r="J1971" s="61" t="str">
        <f>IFERROR(__xludf.DUMMYFUNCTION("INDIRECT(""'收支紀錄'!J""&amp;TO_TEXT(ROW()-$C$72))"),"")</f>
        <v/>
      </c>
      <c r="K1971" s="61" t="str">
        <f>IFERROR(__xludf.DUMMYFUNCTION("INDIRECT(""'收支紀錄'!K""&amp;TO_TEXT(ROW()-$C$72))"),"")</f>
        <v/>
      </c>
      <c r="L1971" s="61" t="str">
        <f>IFERROR(__xludf.DUMMYFUNCTION("INDIRECT(""'收支紀錄'!L""&amp;TO_TEXT(ROW()-$C$72))"),"")</f>
        <v/>
      </c>
      <c r="M1971" s="61" t="str">
        <f>IFERROR(__xludf.DUMMYFUNCTION("INDIRECT(""'收支紀錄'!M""&amp;TO_TEXT(ROW()-$C$72))"),"")</f>
        <v/>
      </c>
      <c r="N1971" s="61" t="str">
        <f>IFERROR(__xludf.DUMMYFUNCTION("INDIRECT(""'收支紀錄'!N""&amp;TO_TEXT(ROW()-$C$72))"),"")</f>
        <v/>
      </c>
      <c r="O1971" s="61" t="str">
        <f>IFERROR(__xludf.DUMMYFUNCTION("INDIRECT(""'收支紀錄'!O""&amp;TO_TEXT(ROW()-$C$72))"),"")</f>
        <v/>
      </c>
      <c r="P1971" s="61" t="str">
        <f>IFERROR(__xludf.DUMMYFUNCTION("INDIRECT(""'收支紀錄'!P""&amp;TO_TEXT(ROW()-$C$72))"),"")</f>
        <v/>
      </c>
      <c r="Q1971" s="61" t="str">
        <f>IFERROR(__xludf.DUMMYFUNCTION("INDIRECT(""'收支紀錄'!Q""&amp;TO_TEXT(ROW()-$C$72))"),"")</f>
        <v/>
      </c>
      <c r="R1971" s="61" t="str">
        <f>IFERROR(__xludf.DUMMYFUNCTION("INDIRECT(""'收支紀錄'!R""&amp;TO_TEXT(ROW()-$C$72))"),"")</f>
        <v/>
      </c>
      <c r="S1971" s="61" t="str">
        <f>IFERROR(__xludf.DUMMYFUNCTION("INDIRECT(""'收支紀錄'!S""&amp;TO_TEXT(ROW()-$C$72))"),"")</f>
        <v/>
      </c>
      <c r="T1971" s="61" t="str">
        <f>IFERROR(__xludf.DUMMYFUNCTION("INDIRECT(""'收支紀錄'!T""&amp;TO_TEXT(ROW()-$C$72))"),"")</f>
        <v/>
      </c>
      <c r="U1971" s="62" t="str">
        <f>IFERROR(__xludf.DUMMYFUNCTION("IF(T1971=""是"",TEXTJOIN("""", TRUE, ""$"", TO_TEXT(C1971), S1971),"""")"),"")</f>
        <v/>
      </c>
    </row>
    <row r="1972">
      <c r="A1972" s="58" t="str">
        <f>IFERROR(__xludf.DUMMYFUNCTION("INDIRECT(""'收支紀錄'!A""&amp;TO_TEXT(ROW()-$C$72))"),"")</f>
        <v/>
      </c>
      <c r="B1972" s="59" t="str">
        <f>IFERROR(__xludf.DUMMYFUNCTION("IF(ISBLANK(D1972), """", IF(ISDATE(D1972), D1972, IF(D1972=""今天"", A1972, IF(D1972=""昨天 (-1 day)"", A1972-1, IF(D1972=""前天 (-2 days)"", A1972-2, IF(D1972=""明天 (+1 day)"", A1972+1, DATE(LEFT(D1972,4), MID(D1972,5,2), RIGHT(D1972,2))))))))"),"")</f>
        <v/>
      </c>
      <c r="C1972" s="60" t="str">
        <f>IFERROR(__xludf.DUMMYFUNCTION("INDIRECT(""'收支紀錄'!C""&amp;TO_TEXT(ROW()-$C$72))"),"")</f>
        <v/>
      </c>
      <c r="D1972" s="63" t="str">
        <f>IFERROR(__xludf.DUMMYFUNCTION("INDIRECT(""'收支紀錄'!D""&amp;TO_TEXT(ROW()-$C$72))"),"")</f>
        <v/>
      </c>
      <c r="E1972" s="61" t="str">
        <f>IFERROR(__xludf.DUMMYFUNCTION("INDIRECT(""'收支紀錄'!E""&amp;TO_TEXT(ROW()-$C$72))"),"")</f>
        <v/>
      </c>
      <c r="F1972" s="61" t="str">
        <f>IFERROR(__xludf.DUMMYFUNCTION("INDIRECT(""'收支紀錄'!F""&amp;TO_TEXT(ROW()-$C$72))"),"")</f>
        <v/>
      </c>
      <c r="G1972" s="61" t="str">
        <f>IFERROR(__xludf.DUMMYFUNCTION("INDIRECT(""'收支紀錄'!G""&amp;TO_TEXT(ROW()-$C$72))"),"")</f>
        <v/>
      </c>
      <c r="H1972" s="61" t="str">
        <f>IFERROR(__xludf.DUMMYFUNCTION("INDIRECT(""'收支紀錄'!H""&amp;TO_TEXT(ROW()-$C$72))"),"")</f>
        <v/>
      </c>
      <c r="I1972" s="61" t="str">
        <f>IFERROR(__xludf.DUMMYFUNCTION("INDIRECT(""'收支紀錄'!I""&amp;TO_TEXT(ROW()-$C$72))"),"")</f>
        <v/>
      </c>
      <c r="J1972" s="61" t="str">
        <f>IFERROR(__xludf.DUMMYFUNCTION("INDIRECT(""'收支紀錄'!J""&amp;TO_TEXT(ROW()-$C$72))"),"")</f>
        <v/>
      </c>
      <c r="K1972" s="61" t="str">
        <f>IFERROR(__xludf.DUMMYFUNCTION("INDIRECT(""'收支紀錄'!K""&amp;TO_TEXT(ROW()-$C$72))"),"")</f>
        <v/>
      </c>
      <c r="L1972" s="61" t="str">
        <f>IFERROR(__xludf.DUMMYFUNCTION("INDIRECT(""'收支紀錄'!L""&amp;TO_TEXT(ROW()-$C$72))"),"")</f>
        <v/>
      </c>
      <c r="M1972" s="61" t="str">
        <f>IFERROR(__xludf.DUMMYFUNCTION("INDIRECT(""'收支紀錄'!M""&amp;TO_TEXT(ROW()-$C$72))"),"")</f>
        <v/>
      </c>
      <c r="N1972" s="61" t="str">
        <f>IFERROR(__xludf.DUMMYFUNCTION("INDIRECT(""'收支紀錄'!N""&amp;TO_TEXT(ROW()-$C$72))"),"")</f>
        <v/>
      </c>
      <c r="O1972" s="61" t="str">
        <f>IFERROR(__xludf.DUMMYFUNCTION("INDIRECT(""'收支紀錄'!O""&amp;TO_TEXT(ROW()-$C$72))"),"")</f>
        <v/>
      </c>
      <c r="P1972" s="61" t="str">
        <f>IFERROR(__xludf.DUMMYFUNCTION("INDIRECT(""'收支紀錄'!P""&amp;TO_TEXT(ROW()-$C$72))"),"")</f>
        <v/>
      </c>
      <c r="Q1972" s="61" t="str">
        <f>IFERROR(__xludf.DUMMYFUNCTION("INDIRECT(""'收支紀錄'!Q""&amp;TO_TEXT(ROW()-$C$72))"),"")</f>
        <v/>
      </c>
      <c r="R1972" s="61" t="str">
        <f>IFERROR(__xludf.DUMMYFUNCTION("INDIRECT(""'收支紀錄'!R""&amp;TO_TEXT(ROW()-$C$72))"),"")</f>
        <v/>
      </c>
      <c r="S1972" s="61" t="str">
        <f>IFERROR(__xludf.DUMMYFUNCTION("INDIRECT(""'收支紀錄'!S""&amp;TO_TEXT(ROW()-$C$72))"),"")</f>
        <v/>
      </c>
      <c r="T1972" s="61" t="str">
        <f>IFERROR(__xludf.DUMMYFUNCTION("INDIRECT(""'收支紀錄'!T""&amp;TO_TEXT(ROW()-$C$72))"),"")</f>
        <v/>
      </c>
      <c r="U1972" s="62" t="str">
        <f>IFERROR(__xludf.DUMMYFUNCTION("IF(T1972=""是"",TEXTJOIN("""", TRUE, ""$"", TO_TEXT(C1972), S1972),"""")"),"")</f>
        <v/>
      </c>
    </row>
    <row r="1973">
      <c r="A1973" s="58" t="str">
        <f>IFERROR(__xludf.DUMMYFUNCTION("INDIRECT(""'收支紀錄'!A""&amp;TO_TEXT(ROW()-$C$72))"),"")</f>
        <v/>
      </c>
      <c r="B1973" s="59" t="str">
        <f>IFERROR(__xludf.DUMMYFUNCTION("IF(ISBLANK(D1973), """", IF(ISDATE(D1973), D1973, IF(D1973=""今天"", A1973, IF(D1973=""昨天 (-1 day)"", A1973-1, IF(D1973=""前天 (-2 days)"", A1973-2, IF(D1973=""明天 (+1 day)"", A1973+1, DATE(LEFT(D1973,4), MID(D1973,5,2), RIGHT(D1973,2))))))))"),"")</f>
        <v/>
      </c>
      <c r="C1973" s="60" t="str">
        <f>IFERROR(__xludf.DUMMYFUNCTION("INDIRECT(""'收支紀錄'!C""&amp;TO_TEXT(ROW()-$C$72))"),"")</f>
        <v/>
      </c>
      <c r="D1973" s="63" t="str">
        <f>IFERROR(__xludf.DUMMYFUNCTION("INDIRECT(""'收支紀錄'!D""&amp;TO_TEXT(ROW()-$C$72))"),"")</f>
        <v/>
      </c>
      <c r="E1973" s="61" t="str">
        <f>IFERROR(__xludf.DUMMYFUNCTION("INDIRECT(""'收支紀錄'!E""&amp;TO_TEXT(ROW()-$C$72))"),"")</f>
        <v/>
      </c>
      <c r="F1973" s="61" t="str">
        <f>IFERROR(__xludf.DUMMYFUNCTION("INDIRECT(""'收支紀錄'!F""&amp;TO_TEXT(ROW()-$C$72))"),"")</f>
        <v/>
      </c>
      <c r="G1973" s="61" t="str">
        <f>IFERROR(__xludf.DUMMYFUNCTION("INDIRECT(""'收支紀錄'!G""&amp;TO_TEXT(ROW()-$C$72))"),"")</f>
        <v/>
      </c>
      <c r="H1973" s="61" t="str">
        <f>IFERROR(__xludf.DUMMYFUNCTION("INDIRECT(""'收支紀錄'!H""&amp;TO_TEXT(ROW()-$C$72))"),"")</f>
        <v/>
      </c>
      <c r="I1973" s="61" t="str">
        <f>IFERROR(__xludf.DUMMYFUNCTION("INDIRECT(""'收支紀錄'!I""&amp;TO_TEXT(ROW()-$C$72))"),"")</f>
        <v/>
      </c>
      <c r="J1973" s="61" t="str">
        <f>IFERROR(__xludf.DUMMYFUNCTION("INDIRECT(""'收支紀錄'!J""&amp;TO_TEXT(ROW()-$C$72))"),"")</f>
        <v/>
      </c>
      <c r="K1973" s="61" t="str">
        <f>IFERROR(__xludf.DUMMYFUNCTION("INDIRECT(""'收支紀錄'!K""&amp;TO_TEXT(ROW()-$C$72))"),"")</f>
        <v/>
      </c>
      <c r="L1973" s="61" t="str">
        <f>IFERROR(__xludf.DUMMYFUNCTION("INDIRECT(""'收支紀錄'!L""&amp;TO_TEXT(ROW()-$C$72))"),"")</f>
        <v/>
      </c>
      <c r="M1973" s="61" t="str">
        <f>IFERROR(__xludf.DUMMYFUNCTION("INDIRECT(""'收支紀錄'!M""&amp;TO_TEXT(ROW()-$C$72))"),"")</f>
        <v/>
      </c>
      <c r="N1973" s="61" t="str">
        <f>IFERROR(__xludf.DUMMYFUNCTION("INDIRECT(""'收支紀錄'!N""&amp;TO_TEXT(ROW()-$C$72))"),"")</f>
        <v/>
      </c>
      <c r="O1973" s="61" t="str">
        <f>IFERROR(__xludf.DUMMYFUNCTION("INDIRECT(""'收支紀錄'!O""&amp;TO_TEXT(ROW()-$C$72))"),"")</f>
        <v/>
      </c>
      <c r="P1973" s="61" t="str">
        <f>IFERROR(__xludf.DUMMYFUNCTION("INDIRECT(""'收支紀錄'!P""&amp;TO_TEXT(ROW()-$C$72))"),"")</f>
        <v/>
      </c>
      <c r="Q1973" s="61" t="str">
        <f>IFERROR(__xludf.DUMMYFUNCTION("INDIRECT(""'收支紀錄'!Q""&amp;TO_TEXT(ROW()-$C$72))"),"")</f>
        <v/>
      </c>
      <c r="R1973" s="61" t="str">
        <f>IFERROR(__xludf.DUMMYFUNCTION("INDIRECT(""'收支紀錄'!R""&amp;TO_TEXT(ROW()-$C$72))"),"")</f>
        <v/>
      </c>
      <c r="S1973" s="61" t="str">
        <f>IFERROR(__xludf.DUMMYFUNCTION("INDIRECT(""'收支紀錄'!S""&amp;TO_TEXT(ROW()-$C$72))"),"")</f>
        <v/>
      </c>
      <c r="T1973" s="61" t="str">
        <f>IFERROR(__xludf.DUMMYFUNCTION("INDIRECT(""'收支紀錄'!T""&amp;TO_TEXT(ROW()-$C$72))"),"")</f>
        <v/>
      </c>
      <c r="U1973" s="62" t="str">
        <f>IFERROR(__xludf.DUMMYFUNCTION("IF(T1973=""是"",TEXTJOIN("""", TRUE, ""$"", TO_TEXT(C1973), S1973),"""")"),"")</f>
        <v/>
      </c>
    </row>
    <row r="1974">
      <c r="A1974" s="58" t="str">
        <f>IFERROR(__xludf.DUMMYFUNCTION("INDIRECT(""'收支紀錄'!A""&amp;TO_TEXT(ROW()-$C$72))"),"")</f>
        <v/>
      </c>
      <c r="B1974" s="59" t="str">
        <f>IFERROR(__xludf.DUMMYFUNCTION("IF(ISBLANK(D1974), """", IF(ISDATE(D1974), D1974, IF(D1974=""今天"", A1974, IF(D1974=""昨天 (-1 day)"", A1974-1, IF(D1974=""前天 (-2 days)"", A1974-2, IF(D1974=""明天 (+1 day)"", A1974+1, DATE(LEFT(D1974,4), MID(D1974,5,2), RIGHT(D1974,2))))))))"),"")</f>
        <v/>
      </c>
      <c r="C1974" s="60" t="str">
        <f>IFERROR(__xludf.DUMMYFUNCTION("INDIRECT(""'收支紀錄'!C""&amp;TO_TEXT(ROW()-$C$72))"),"")</f>
        <v/>
      </c>
      <c r="D1974" s="63" t="str">
        <f>IFERROR(__xludf.DUMMYFUNCTION("INDIRECT(""'收支紀錄'!D""&amp;TO_TEXT(ROW()-$C$72))"),"")</f>
        <v/>
      </c>
      <c r="E1974" s="61" t="str">
        <f>IFERROR(__xludf.DUMMYFUNCTION("INDIRECT(""'收支紀錄'!E""&amp;TO_TEXT(ROW()-$C$72))"),"")</f>
        <v/>
      </c>
      <c r="F1974" s="61" t="str">
        <f>IFERROR(__xludf.DUMMYFUNCTION("INDIRECT(""'收支紀錄'!F""&amp;TO_TEXT(ROW()-$C$72))"),"")</f>
        <v/>
      </c>
      <c r="G1974" s="61" t="str">
        <f>IFERROR(__xludf.DUMMYFUNCTION("INDIRECT(""'收支紀錄'!G""&amp;TO_TEXT(ROW()-$C$72))"),"")</f>
        <v/>
      </c>
      <c r="H1974" s="61" t="str">
        <f>IFERROR(__xludf.DUMMYFUNCTION("INDIRECT(""'收支紀錄'!H""&amp;TO_TEXT(ROW()-$C$72))"),"")</f>
        <v/>
      </c>
      <c r="I1974" s="61" t="str">
        <f>IFERROR(__xludf.DUMMYFUNCTION("INDIRECT(""'收支紀錄'!I""&amp;TO_TEXT(ROW()-$C$72))"),"")</f>
        <v/>
      </c>
      <c r="J1974" s="61" t="str">
        <f>IFERROR(__xludf.DUMMYFUNCTION("INDIRECT(""'收支紀錄'!J""&amp;TO_TEXT(ROW()-$C$72))"),"")</f>
        <v/>
      </c>
      <c r="K1974" s="61" t="str">
        <f>IFERROR(__xludf.DUMMYFUNCTION("INDIRECT(""'收支紀錄'!K""&amp;TO_TEXT(ROW()-$C$72))"),"")</f>
        <v/>
      </c>
      <c r="L1974" s="61" t="str">
        <f>IFERROR(__xludf.DUMMYFUNCTION("INDIRECT(""'收支紀錄'!L""&amp;TO_TEXT(ROW()-$C$72))"),"")</f>
        <v/>
      </c>
      <c r="M1974" s="61" t="str">
        <f>IFERROR(__xludf.DUMMYFUNCTION("INDIRECT(""'收支紀錄'!M""&amp;TO_TEXT(ROW()-$C$72))"),"")</f>
        <v/>
      </c>
      <c r="N1974" s="61" t="str">
        <f>IFERROR(__xludf.DUMMYFUNCTION("INDIRECT(""'收支紀錄'!N""&amp;TO_TEXT(ROW()-$C$72))"),"")</f>
        <v/>
      </c>
      <c r="O1974" s="61" t="str">
        <f>IFERROR(__xludf.DUMMYFUNCTION("INDIRECT(""'收支紀錄'!O""&amp;TO_TEXT(ROW()-$C$72))"),"")</f>
        <v/>
      </c>
      <c r="P1974" s="61" t="str">
        <f>IFERROR(__xludf.DUMMYFUNCTION("INDIRECT(""'收支紀錄'!P""&amp;TO_TEXT(ROW()-$C$72))"),"")</f>
        <v/>
      </c>
      <c r="Q1974" s="61" t="str">
        <f>IFERROR(__xludf.DUMMYFUNCTION("INDIRECT(""'收支紀錄'!Q""&amp;TO_TEXT(ROW()-$C$72))"),"")</f>
        <v/>
      </c>
      <c r="R1974" s="61" t="str">
        <f>IFERROR(__xludf.DUMMYFUNCTION("INDIRECT(""'收支紀錄'!R""&amp;TO_TEXT(ROW()-$C$72))"),"")</f>
        <v/>
      </c>
      <c r="S1974" s="61" t="str">
        <f>IFERROR(__xludf.DUMMYFUNCTION("INDIRECT(""'收支紀錄'!S""&amp;TO_TEXT(ROW()-$C$72))"),"")</f>
        <v/>
      </c>
      <c r="T1974" s="61" t="str">
        <f>IFERROR(__xludf.DUMMYFUNCTION("INDIRECT(""'收支紀錄'!T""&amp;TO_TEXT(ROW()-$C$72))"),"")</f>
        <v/>
      </c>
      <c r="U1974" s="62" t="str">
        <f>IFERROR(__xludf.DUMMYFUNCTION("IF(T1974=""是"",TEXTJOIN("""", TRUE, ""$"", TO_TEXT(C1974), S1974),"""")"),"")</f>
        <v/>
      </c>
    </row>
    <row r="1975">
      <c r="A1975" s="58" t="str">
        <f>IFERROR(__xludf.DUMMYFUNCTION("INDIRECT(""'收支紀錄'!A""&amp;TO_TEXT(ROW()-$C$72))"),"")</f>
        <v/>
      </c>
      <c r="B1975" s="59" t="str">
        <f>IFERROR(__xludf.DUMMYFUNCTION("IF(ISBLANK(D1975), """", IF(ISDATE(D1975), D1975, IF(D1975=""今天"", A1975, IF(D1975=""昨天 (-1 day)"", A1975-1, IF(D1975=""前天 (-2 days)"", A1975-2, IF(D1975=""明天 (+1 day)"", A1975+1, DATE(LEFT(D1975,4), MID(D1975,5,2), RIGHT(D1975,2))))))))"),"")</f>
        <v/>
      </c>
      <c r="C1975" s="60" t="str">
        <f>IFERROR(__xludf.DUMMYFUNCTION("INDIRECT(""'收支紀錄'!C""&amp;TO_TEXT(ROW()-$C$72))"),"")</f>
        <v/>
      </c>
      <c r="D1975" s="63" t="str">
        <f>IFERROR(__xludf.DUMMYFUNCTION("INDIRECT(""'收支紀錄'!D""&amp;TO_TEXT(ROW()-$C$72))"),"")</f>
        <v/>
      </c>
      <c r="E1975" s="61" t="str">
        <f>IFERROR(__xludf.DUMMYFUNCTION("INDIRECT(""'收支紀錄'!E""&amp;TO_TEXT(ROW()-$C$72))"),"")</f>
        <v/>
      </c>
      <c r="F1975" s="61" t="str">
        <f>IFERROR(__xludf.DUMMYFUNCTION("INDIRECT(""'收支紀錄'!F""&amp;TO_TEXT(ROW()-$C$72))"),"")</f>
        <v/>
      </c>
      <c r="G1975" s="61" t="str">
        <f>IFERROR(__xludf.DUMMYFUNCTION("INDIRECT(""'收支紀錄'!G""&amp;TO_TEXT(ROW()-$C$72))"),"")</f>
        <v/>
      </c>
      <c r="H1975" s="61" t="str">
        <f>IFERROR(__xludf.DUMMYFUNCTION("INDIRECT(""'收支紀錄'!H""&amp;TO_TEXT(ROW()-$C$72))"),"")</f>
        <v/>
      </c>
      <c r="I1975" s="61" t="str">
        <f>IFERROR(__xludf.DUMMYFUNCTION("INDIRECT(""'收支紀錄'!I""&amp;TO_TEXT(ROW()-$C$72))"),"")</f>
        <v/>
      </c>
      <c r="J1975" s="61" t="str">
        <f>IFERROR(__xludf.DUMMYFUNCTION("INDIRECT(""'收支紀錄'!J""&amp;TO_TEXT(ROW()-$C$72))"),"")</f>
        <v/>
      </c>
      <c r="K1975" s="61" t="str">
        <f>IFERROR(__xludf.DUMMYFUNCTION("INDIRECT(""'收支紀錄'!K""&amp;TO_TEXT(ROW()-$C$72))"),"")</f>
        <v/>
      </c>
      <c r="L1975" s="61" t="str">
        <f>IFERROR(__xludf.DUMMYFUNCTION("INDIRECT(""'收支紀錄'!L""&amp;TO_TEXT(ROW()-$C$72))"),"")</f>
        <v/>
      </c>
      <c r="M1975" s="61" t="str">
        <f>IFERROR(__xludf.DUMMYFUNCTION("INDIRECT(""'收支紀錄'!M""&amp;TO_TEXT(ROW()-$C$72))"),"")</f>
        <v/>
      </c>
      <c r="N1975" s="61" t="str">
        <f>IFERROR(__xludf.DUMMYFUNCTION("INDIRECT(""'收支紀錄'!N""&amp;TO_TEXT(ROW()-$C$72))"),"")</f>
        <v/>
      </c>
      <c r="O1975" s="61" t="str">
        <f>IFERROR(__xludf.DUMMYFUNCTION("INDIRECT(""'收支紀錄'!O""&amp;TO_TEXT(ROW()-$C$72))"),"")</f>
        <v/>
      </c>
      <c r="P1975" s="61" t="str">
        <f>IFERROR(__xludf.DUMMYFUNCTION("INDIRECT(""'收支紀錄'!P""&amp;TO_TEXT(ROW()-$C$72))"),"")</f>
        <v/>
      </c>
      <c r="Q1975" s="61" t="str">
        <f>IFERROR(__xludf.DUMMYFUNCTION("INDIRECT(""'收支紀錄'!Q""&amp;TO_TEXT(ROW()-$C$72))"),"")</f>
        <v/>
      </c>
      <c r="R1975" s="61" t="str">
        <f>IFERROR(__xludf.DUMMYFUNCTION("INDIRECT(""'收支紀錄'!R""&amp;TO_TEXT(ROW()-$C$72))"),"")</f>
        <v/>
      </c>
      <c r="S1975" s="61" t="str">
        <f>IFERROR(__xludf.DUMMYFUNCTION("INDIRECT(""'收支紀錄'!S""&amp;TO_TEXT(ROW()-$C$72))"),"")</f>
        <v/>
      </c>
      <c r="T1975" s="61" t="str">
        <f>IFERROR(__xludf.DUMMYFUNCTION("INDIRECT(""'收支紀錄'!T""&amp;TO_TEXT(ROW()-$C$72))"),"")</f>
        <v/>
      </c>
      <c r="U1975" s="62" t="str">
        <f>IFERROR(__xludf.DUMMYFUNCTION("IF(T1975=""是"",TEXTJOIN("""", TRUE, ""$"", TO_TEXT(C1975), S1975),"""")"),"")</f>
        <v/>
      </c>
    </row>
    <row r="1976">
      <c r="A1976" s="58" t="str">
        <f>IFERROR(__xludf.DUMMYFUNCTION("INDIRECT(""'收支紀錄'!A""&amp;TO_TEXT(ROW()-$C$72))"),"")</f>
        <v/>
      </c>
      <c r="B1976" s="59" t="str">
        <f>IFERROR(__xludf.DUMMYFUNCTION("IF(ISBLANK(D1976), """", IF(ISDATE(D1976), D1976, IF(D1976=""今天"", A1976, IF(D1976=""昨天 (-1 day)"", A1976-1, IF(D1976=""前天 (-2 days)"", A1976-2, IF(D1976=""明天 (+1 day)"", A1976+1, DATE(LEFT(D1976,4), MID(D1976,5,2), RIGHT(D1976,2))))))))"),"")</f>
        <v/>
      </c>
      <c r="C1976" s="60" t="str">
        <f>IFERROR(__xludf.DUMMYFUNCTION("INDIRECT(""'收支紀錄'!C""&amp;TO_TEXT(ROW()-$C$72))"),"")</f>
        <v/>
      </c>
      <c r="D1976" s="63" t="str">
        <f>IFERROR(__xludf.DUMMYFUNCTION("INDIRECT(""'收支紀錄'!D""&amp;TO_TEXT(ROW()-$C$72))"),"")</f>
        <v/>
      </c>
      <c r="E1976" s="61" t="str">
        <f>IFERROR(__xludf.DUMMYFUNCTION("INDIRECT(""'收支紀錄'!E""&amp;TO_TEXT(ROW()-$C$72))"),"")</f>
        <v/>
      </c>
      <c r="F1976" s="61" t="str">
        <f>IFERROR(__xludf.DUMMYFUNCTION("INDIRECT(""'收支紀錄'!F""&amp;TO_TEXT(ROW()-$C$72))"),"")</f>
        <v/>
      </c>
      <c r="G1976" s="61" t="str">
        <f>IFERROR(__xludf.DUMMYFUNCTION("INDIRECT(""'收支紀錄'!G""&amp;TO_TEXT(ROW()-$C$72))"),"")</f>
        <v/>
      </c>
      <c r="H1976" s="61" t="str">
        <f>IFERROR(__xludf.DUMMYFUNCTION("INDIRECT(""'收支紀錄'!H""&amp;TO_TEXT(ROW()-$C$72))"),"")</f>
        <v/>
      </c>
      <c r="I1976" s="61" t="str">
        <f>IFERROR(__xludf.DUMMYFUNCTION("INDIRECT(""'收支紀錄'!I""&amp;TO_TEXT(ROW()-$C$72))"),"")</f>
        <v/>
      </c>
      <c r="J1976" s="61" t="str">
        <f>IFERROR(__xludf.DUMMYFUNCTION("INDIRECT(""'收支紀錄'!J""&amp;TO_TEXT(ROW()-$C$72))"),"")</f>
        <v/>
      </c>
      <c r="K1976" s="61" t="str">
        <f>IFERROR(__xludf.DUMMYFUNCTION("INDIRECT(""'收支紀錄'!K""&amp;TO_TEXT(ROW()-$C$72))"),"")</f>
        <v/>
      </c>
      <c r="L1976" s="61" t="str">
        <f>IFERROR(__xludf.DUMMYFUNCTION("INDIRECT(""'收支紀錄'!L""&amp;TO_TEXT(ROW()-$C$72))"),"")</f>
        <v/>
      </c>
      <c r="M1976" s="61" t="str">
        <f>IFERROR(__xludf.DUMMYFUNCTION("INDIRECT(""'收支紀錄'!M""&amp;TO_TEXT(ROW()-$C$72))"),"")</f>
        <v/>
      </c>
      <c r="N1976" s="61" t="str">
        <f>IFERROR(__xludf.DUMMYFUNCTION("INDIRECT(""'收支紀錄'!N""&amp;TO_TEXT(ROW()-$C$72))"),"")</f>
        <v/>
      </c>
      <c r="O1976" s="61" t="str">
        <f>IFERROR(__xludf.DUMMYFUNCTION("INDIRECT(""'收支紀錄'!O""&amp;TO_TEXT(ROW()-$C$72))"),"")</f>
        <v/>
      </c>
      <c r="P1976" s="61" t="str">
        <f>IFERROR(__xludf.DUMMYFUNCTION("INDIRECT(""'收支紀錄'!P""&amp;TO_TEXT(ROW()-$C$72))"),"")</f>
        <v/>
      </c>
      <c r="Q1976" s="61" t="str">
        <f>IFERROR(__xludf.DUMMYFUNCTION("INDIRECT(""'收支紀錄'!Q""&amp;TO_TEXT(ROW()-$C$72))"),"")</f>
        <v/>
      </c>
      <c r="R1976" s="61" t="str">
        <f>IFERROR(__xludf.DUMMYFUNCTION("INDIRECT(""'收支紀錄'!R""&amp;TO_TEXT(ROW()-$C$72))"),"")</f>
        <v/>
      </c>
      <c r="S1976" s="61" t="str">
        <f>IFERROR(__xludf.DUMMYFUNCTION("INDIRECT(""'收支紀錄'!S""&amp;TO_TEXT(ROW()-$C$72))"),"")</f>
        <v/>
      </c>
      <c r="T1976" s="61" t="str">
        <f>IFERROR(__xludf.DUMMYFUNCTION("INDIRECT(""'收支紀錄'!T""&amp;TO_TEXT(ROW()-$C$72))"),"")</f>
        <v/>
      </c>
      <c r="U1976" s="62" t="str">
        <f>IFERROR(__xludf.DUMMYFUNCTION("IF(T1976=""是"",TEXTJOIN("""", TRUE, ""$"", TO_TEXT(C1976), S1976),"""")"),"")</f>
        <v/>
      </c>
    </row>
    <row r="1977">
      <c r="A1977" s="58" t="str">
        <f>IFERROR(__xludf.DUMMYFUNCTION("INDIRECT(""'收支紀錄'!A""&amp;TO_TEXT(ROW()-$C$72))"),"")</f>
        <v/>
      </c>
      <c r="B1977" s="59" t="str">
        <f>IFERROR(__xludf.DUMMYFUNCTION("IF(ISBLANK(D1977), """", IF(ISDATE(D1977), D1977, IF(D1977=""今天"", A1977, IF(D1977=""昨天 (-1 day)"", A1977-1, IF(D1977=""前天 (-2 days)"", A1977-2, IF(D1977=""明天 (+1 day)"", A1977+1, DATE(LEFT(D1977,4), MID(D1977,5,2), RIGHT(D1977,2))))))))"),"")</f>
        <v/>
      </c>
      <c r="C1977" s="60" t="str">
        <f>IFERROR(__xludf.DUMMYFUNCTION("INDIRECT(""'收支紀錄'!C""&amp;TO_TEXT(ROW()-$C$72))"),"")</f>
        <v/>
      </c>
      <c r="D1977" s="63" t="str">
        <f>IFERROR(__xludf.DUMMYFUNCTION("INDIRECT(""'收支紀錄'!D""&amp;TO_TEXT(ROW()-$C$72))"),"")</f>
        <v/>
      </c>
      <c r="E1977" s="61" t="str">
        <f>IFERROR(__xludf.DUMMYFUNCTION("INDIRECT(""'收支紀錄'!E""&amp;TO_TEXT(ROW()-$C$72))"),"")</f>
        <v/>
      </c>
      <c r="F1977" s="61" t="str">
        <f>IFERROR(__xludf.DUMMYFUNCTION("INDIRECT(""'收支紀錄'!F""&amp;TO_TEXT(ROW()-$C$72))"),"")</f>
        <v/>
      </c>
      <c r="G1977" s="61" t="str">
        <f>IFERROR(__xludf.DUMMYFUNCTION("INDIRECT(""'收支紀錄'!G""&amp;TO_TEXT(ROW()-$C$72))"),"")</f>
        <v/>
      </c>
      <c r="H1977" s="61" t="str">
        <f>IFERROR(__xludf.DUMMYFUNCTION("INDIRECT(""'收支紀錄'!H""&amp;TO_TEXT(ROW()-$C$72))"),"")</f>
        <v/>
      </c>
      <c r="I1977" s="61" t="str">
        <f>IFERROR(__xludf.DUMMYFUNCTION("INDIRECT(""'收支紀錄'!I""&amp;TO_TEXT(ROW()-$C$72))"),"")</f>
        <v/>
      </c>
      <c r="J1977" s="61" t="str">
        <f>IFERROR(__xludf.DUMMYFUNCTION("INDIRECT(""'收支紀錄'!J""&amp;TO_TEXT(ROW()-$C$72))"),"")</f>
        <v/>
      </c>
      <c r="K1977" s="61" t="str">
        <f>IFERROR(__xludf.DUMMYFUNCTION("INDIRECT(""'收支紀錄'!K""&amp;TO_TEXT(ROW()-$C$72))"),"")</f>
        <v/>
      </c>
      <c r="L1977" s="61" t="str">
        <f>IFERROR(__xludf.DUMMYFUNCTION("INDIRECT(""'收支紀錄'!L""&amp;TO_TEXT(ROW()-$C$72))"),"")</f>
        <v/>
      </c>
      <c r="M1977" s="61" t="str">
        <f>IFERROR(__xludf.DUMMYFUNCTION("INDIRECT(""'收支紀錄'!M""&amp;TO_TEXT(ROW()-$C$72))"),"")</f>
        <v/>
      </c>
      <c r="N1977" s="61" t="str">
        <f>IFERROR(__xludf.DUMMYFUNCTION("INDIRECT(""'收支紀錄'!N""&amp;TO_TEXT(ROW()-$C$72))"),"")</f>
        <v/>
      </c>
      <c r="O1977" s="61" t="str">
        <f>IFERROR(__xludf.DUMMYFUNCTION("INDIRECT(""'收支紀錄'!O""&amp;TO_TEXT(ROW()-$C$72))"),"")</f>
        <v/>
      </c>
      <c r="P1977" s="61" t="str">
        <f>IFERROR(__xludf.DUMMYFUNCTION("INDIRECT(""'收支紀錄'!P""&amp;TO_TEXT(ROW()-$C$72))"),"")</f>
        <v/>
      </c>
      <c r="Q1977" s="61" t="str">
        <f>IFERROR(__xludf.DUMMYFUNCTION("INDIRECT(""'收支紀錄'!Q""&amp;TO_TEXT(ROW()-$C$72))"),"")</f>
        <v/>
      </c>
      <c r="R1977" s="61" t="str">
        <f>IFERROR(__xludf.DUMMYFUNCTION("INDIRECT(""'收支紀錄'!R""&amp;TO_TEXT(ROW()-$C$72))"),"")</f>
        <v/>
      </c>
      <c r="S1977" s="61" t="str">
        <f>IFERROR(__xludf.DUMMYFUNCTION("INDIRECT(""'收支紀錄'!S""&amp;TO_TEXT(ROW()-$C$72))"),"")</f>
        <v/>
      </c>
      <c r="T1977" s="61" t="str">
        <f>IFERROR(__xludf.DUMMYFUNCTION("INDIRECT(""'收支紀錄'!T""&amp;TO_TEXT(ROW()-$C$72))"),"")</f>
        <v/>
      </c>
      <c r="U1977" s="62" t="str">
        <f>IFERROR(__xludf.DUMMYFUNCTION("IF(T1977=""是"",TEXTJOIN("""", TRUE, ""$"", TO_TEXT(C1977), S1977),"""")"),"")</f>
        <v/>
      </c>
    </row>
    <row r="1978">
      <c r="A1978" s="58" t="str">
        <f>IFERROR(__xludf.DUMMYFUNCTION("INDIRECT(""'收支紀錄'!A""&amp;TO_TEXT(ROW()-$C$72))"),"")</f>
        <v/>
      </c>
      <c r="B1978" s="59" t="str">
        <f>IFERROR(__xludf.DUMMYFUNCTION("IF(ISBLANK(D1978), """", IF(ISDATE(D1978), D1978, IF(D1978=""今天"", A1978, IF(D1978=""昨天 (-1 day)"", A1978-1, IF(D1978=""前天 (-2 days)"", A1978-2, IF(D1978=""明天 (+1 day)"", A1978+1, DATE(LEFT(D1978,4), MID(D1978,5,2), RIGHT(D1978,2))))))))"),"")</f>
        <v/>
      </c>
      <c r="C1978" s="60" t="str">
        <f>IFERROR(__xludf.DUMMYFUNCTION("INDIRECT(""'收支紀錄'!C""&amp;TO_TEXT(ROW()-$C$72))"),"")</f>
        <v/>
      </c>
      <c r="D1978" s="63" t="str">
        <f>IFERROR(__xludf.DUMMYFUNCTION("INDIRECT(""'收支紀錄'!D""&amp;TO_TEXT(ROW()-$C$72))"),"")</f>
        <v/>
      </c>
      <c r="E1978" s="61" t="str">
        <f>IFERROR(__xludf.DUMMYFUNCTION("INDIRECT(""'收支紀錄'!E""&amp;TO_TEXT(ROW()-$C$72))"),"")</f>
        <v/>
      </c>
      <c r="F1978" s="61" t="str">
        <f>IFERROR(__xludf.DUMMYFUNCTION("INDIRECT(""'收支紀錄'!F""&amp;TO_TEXT(ROW()-$C$72))"),"")</f>
        <v/>
      </c>
      <c r="G1978" s="61" t="str">
        <f>IFERROR(__xludf.DUMMYFUNCTION("INDIRECT(""'收支紀錄'!G""&amp;TO_TEXT(ROW()-$C$72))"),"")</f>
        <v/>
      </c>
      <c r="H1978" s="61" t="str">
        <f>IFERROR(__xludf.DUMMYFUNCTION("INDIRECT(""'收支紀錄'!H""&amp;TO_TEXT(ROW()-$C$72))"),"")</f>
        <v/>
      </c>
      <c r="I1978" s="61" t="str">
        <f>IFERROR(__xludf.DUMMYFUNCTION("INDIRECT(""'收支紀錄'!I""&amp;TO_TEXT(ROW()-$C$72))"),"")</f>
        <v/>
      </c>
      <c r="J1978" s="61" t="str">
        <f>IFERROR(__xludf.DUMMYFUNCTION("INDIRECT(""'收支紀錄'!J""&amp;TO_TEXT(ROW()-$C$72))"),"")</f>
        <v/>
      </c>
      <c r="K1978" s="61" t="str">
        <f>IFERROR(__xludf.DUMMYFUNCTION("INDIRECT(""'收支紀錄'!K""&amp;TO_TEXT(ROW()-$C$72))"),"")</f>
        <v/>
      </c>
      <c r="L1978" s="61" t="str">
        <f>IFERROR(__xludf.DUMMYFUNCTION("INDIRECT(""'收支紀錄'!L""&amp;TO_TEXT(ROW()-$C$72))"),"")</f>
        <v/>
      </c>
      <c r="M1978" s="61" t="str">
        <f>IFERROR(__xludf.DUMMYFUNCTION("INDIRECT(""'收支紀錄'!M""&amp;TO_TEXT(ROW()-$C$72))"),"")</f>
        <v/>
      </c>
      <c r="N1978" s="61" t="str">
        <f>IFERROR(__xludf.DUMMYFUNCTION("INDIRECT(""'收支紀錄'!N""&amp;TO_TEXT(ROW()-$C$72))"),"")</f>
        <v/>
      </c>
      <c r="O1978" s="61" t="str">
        <f>IFERROR(__xludf.DUMMYFUNCTION("INDIRECT(""'收支紀錄'!O""&amp;TO_TEXT(ROW()-$C$72))"),"")</f>
        <v/>
      </c>
      <c r="P1978" s="61" t="str">
        <f>IFERROR(__xludf.DUMMYFUNCTION("INDIRECT(""'收支紀錄'!P""&amp;TO_TEXT(ROW()-$C$72))"),"")</f>
        <v/>
      </c>
      <c r="Q1978" s="61" t="str">
        <f>IFERROR(__xludf.DUMMYFUNCTION("INDIRECT(""'收支紀錄'!Q""&amp;TO_TEXT(ROW()-$C$72))"),"")</f>
        <v/>
      </c>
      <c r="R1978" s="61" t="str">
        <f>IFERROR(__xludf.DUMMYFUNCTION("INDIRECT(""'收支紀錄'!R""&amp;TO_TEXT(ROW()-$C$72))"),"")</f>
        <v/>
      </c>
      <c r="S1978" s="61" t="str">
        <f>IFERROR(__xludf.DUMMYFUNCTION("INDIRECT(""'收支紀錄'!S""&amp;TO_TEXT(ROW()-$C$72))"),"")</f>
        <v/>
      </c>
      <c r="T1978" s="61" t="str">
        <f>IFERROR(__xludf.DUMMYFUNCTION("INDIRECT(""'收支紀錄'!T""&amp;TO_TEXT(ROW()-$C$72))"),"")</f>
        <v/>
      </c>
      <c r="U1978" s="62" t="str">
        <f>IFERROR(__xludf.DUMMYFUNCTION("IF(T1978=""是"",TEXTJOIN("""", TRUE, ""$"", TO_TEXT(C1978), S1978),"""")"),"")</f>
        <v/>
      </c>
    </row>
    <row r="1979">
      <c r="A1979" s="58" t="str">
        <f>IFERROR(__xludf.DUMMYFUNCTION("INDIRECT(""'收支紀錄'!A""&amp;TO_TEXT(ROW()-$C$72))"),"")</f>
        <v/>
      </c>
      <c r="B1979" s="59" t="str">
        <f>IFERROR(__xludf.DUMMYFUNCTION("IF(ISBLANK(D1979), """", IF(ISDATE(D1979), D1979, IF(D1979=""今天"", A1979, IF(D1979=""昨天 (-1 day)"", A1979-1, IF(D1979=""前天 (-2 days)"", A1979-2, IF(D1979=""明天 (+1 day)"", A1979+1, DATE(LEFT(D1979,4), MID(D1979,5,2), RIGHT(D1979,2))))))))"),"")</f>
        <v/>
      </c>
      <c r="C1979" s="60" t="str">
        <f>IFERROR(__xludf.DUMMYFUNCTION("INDIRECT(""'收支紀錄'!C""&amp;TO_TEXT(ROW()-$C$72))"),"")</f>
        <v/>
      </c>
      <c r="D1979" s="63" t="str">
        <f>IFERROR(__xludf.DUMMYFUNCTION("INDIRECT(""'收支紀錄'!D""&amp;TO_TEXT(ROW()-$C$72))"),"")</f>
        <v/>
      </c>
      <c r="E1979" s="61" t="str">
        <f>IFERROR(__xludf.DUMMYFUNCTION("INDIRECT(""'收支紀錄'!E""&amp;TO_TEXT(ROW()-$C$72))"),"")</f>
        <v/>
      </c>
      <c r="F1979" s="61" t="str">
        <f>IFERROR(__xludf.DUMMYFUNCTION("INDIRECT(""'收支紀錄'!F""&amp;TO_TEXT(ROW()-$C$72))"),"")</f>
        <v/>
      </c>
      <c r="G1979" s="61" t="str">
        <f>IFERROR(__xludf.DUMMYFUNCTION("INDIRECT(""'收支紀錄'!G""&amp;TO_TEXT(ROW()-$C$72))"),"")</f>
        <v/>
      </c>
      <c r="H1979" s="61" t="str">
        <f>IFERROR(__xludf.DUMMYFUNCTION("INDIRECT(""'收支紀錄'!H""&amp;TO_TEXT(ROW()-$C$72))"),"")</f>
        <v/>
      </c>
      <c r="I1979" s="61" t="str">
        <f>IFERROR(__xludf.DUMMYFUNCTION("INDIRECT(""'收支紀錄'!I""&amp;TO_TEXT(ROW()-$C$72))"),"")</f>
        <v/>
      </c>
      <c r="J1979" s="61" t="str">
        <f>IFERROR(__xludf.DUMMYFUNCTION("INDIRECT(""'收支紀錄'!J""&amp;TO_TEXT(ROW()-$C$72))"),"")</f>
        <v/>
      </c>
      <c r="K1979" s="61" t="str">
        <f>IFERROR(__xludf.DUMMYFUNCTION("INDIRECT(""'收支紀錄'!K""&amp;TO_TEXT(ROW()-$C$72))"),"")</f>
        <v/>
      </c>
      <c r="L1979" s="61" t="str">
        <f>IFERROR(__xludf.DUMMYFUNCTION("INDIRECT(""'收支紀錄'!L""&amp;TO_TEXT(ROW()-$C$72))"),"")</f>
        <v/>
      </c>
      <c r="M1979" s="61" t="str">
        <f>IFERROR(__xludf.DUMMYFUNCTION("INDIRECT(""'收支紀錄'!M""&amp;TO_TEXT(ROW()-$C$72))"),"")</f>
        <v/>
      </c>
      <c r="N1979" s="61" t="str">
        <f>IFERROR(__xludf.DUMMYFUNCTION("INDIRECT(""'收支紀錄'!N""&amp;TO_TEXT(ROW()-$C$72))"),"")</f>
        <v/>
      </c>
      <c r="O1979" s="61" t="str">
        <f>IFERROR(__xludf.DUMMYFUNCTION("INDIRECT(""'收支紀錄'!O""&amp;TO_TEXT(ROW()-$C$72))"),"")</f>
        <v/>
      </c>
      <c r="P1979" s="61" t="str">
        <f>IFERROR(__xludf.DUMMYFUNCTION("INDIRECT(""'收支紀錄'!P""&amp;TO_TEXT(ROW()-$C$72))"),"")</f>
        <v/>
      </c>
      <c r="Q1979" s="61" t="str">
        <f>IFERROR(__xludf.DUMMYFUNCTION("INDIRECT(""'收支紀錄'!Q""&amp;TO_TEXT(ROW()-$C$72))"),"")</f>
        <v/>
      </c>
      <c r="R1979" s="61" t="str">
        <f>IFERROR(__xludf.DUMMYFUNCTION("INDIRECT(""'收支紀錄'!R""&amp;TO_TEXT(ROW()-$C$72))"),"")</f>
        <v/>
      </c>
      <c r="S1979" s="61" t="str">
        <f>IFERROR(__xludf.DUMMYFUNCTION("INDIRECT(""'收支紀錄'!S""&amp;TO_TEXT(ROW()-$C$72))"),"")</f>
        <v/>
      </c>
      <c r="T1979" s="61" t="str">
        <f>IFERROR(__xludf.DUMMYFUNCTION("INDIRECT(""'收支紀錄'!T""&amp;TO_TEXT(ROW()-$C$72))"),"")</f>
        <v/>
      </c>
      <c r="U1979" s="62" t="str">
        <f>IFERROR(__xludf.DUMMYFUNCTION("IF(T1979=""是"",TEXTJOIN("""", TRUE, ""$"", TO_TEXT(C1979), S1979),"""")"),"")</f>
        <v/>
      </c>
    </row>
    <row r="1980">
      <c r="A1980" s="58" t="str">
        <f>IFERROR(__xludf.DUMMYFUNCTION("INDIRECT(""'收支紀錄'!A""&amp;TO_TEXT(ROW()-$C$72))"),"")</f>
        <v/>
      </c>
      <c r="B1980" s="59" t="str">
        <f>IFERROR(__xludf.DUMMYFUNCTION("IF(ISBLANK(D1980), """", IF(ISDATE(D1980), D1980, IF(D1980=""今天"", A1980, IF(D1980=""昨天 (-1 day)"", A1980-1, IF(D1980=""前天 (-2 days)"", A1980-2, IF(D1980=""明天 (+1 day)"", A1980+1, DATE(LEFT(D1980,4), MID(D1980,5,2), RIGHT(D1980,2))))))))"),"")</f>
        <v/>
      </c>
      <c r="C1980" s="60" t="str">
        <f>IFERROR(__xludf.DUMMYFUNCTION("INDIRECT(""'收支紀錄'!C""&amp;TO_TEXT(ROW()-$C$72))"),"")</f>
        <v/>
      </c>
      <c r="D1980" s="63" t="str">
        <f>IFERROR(__xludf.DUMMYFUNCTION("INDIRECT(""'收支紀錄'!D""&amp;TO_TEXT(ROW()-$C$72))"),"")</f>
        <v/>
      </c>
      <c r="E1980" s="61" t="str">
        <f>IFERROR(__xludf.DUMMYFUNCTION("INDIRECT(""'收支紀錄'!E""&amp;TO_TEXT(ROW()-$C$72))"),"")</f>
        <v/>
      </c>
      <c r="F1980" s="61" t="str">
        <f>IFERROR(__xludf.DUMMYFUNCTION("INDIRECT(""'收支紀錄'!F""&amp;TO_TEXT(ROW()-$C$72))"),"")</f>
        <v/>
      </c>
      <c r="G1980" s="61" t="str">
        <f>IFERROR(__xludf.DUMMYFUNCTION("INDIRECT(""'收支紀錄'!G""&amp;TO_TEXT(ROW()-$C$72))"),"")</f>
        <v/>
      </c>
      <c r="H1980" s="61" t="str">
        <f>IFERROR(__xludf.DUMMYFUNCTION("INDIRECT(""'收支紀錄'!H""&amp;TO_TEXT(ROW()-$C$72))"),"")</f>
        <v/>
      </c>
      <c r="I1980" s="61" t="str">
        <f>IFERROR(__xludf.DUMMYFUNCTION("INDIRECT(""'收支紀錄'!I""&amp;TO_TEXT(ROW()-$C$72))"),"")</f>
        <v/>
      </c>
      <c r="J1980" s="61" t="str">
        <f>IFERROR(__xludf.DUMMYFUNCTION("INDIRECT(""'收支紀錄'!J""&amp;TO_TEXT(ROW()-$C$72))"),"")</f>
        <v/>
      </c>
      <c r="K1980" s="61" t="str">
        <f>IFERROR(__xludf.DUMMYFUNCTION("INDIRECT(""'收支紀錄'!K""&amp;TO_TEXT(ROW()-$C$72))"),"")</f>
        <v/>
      </c>
      <c r="L1980" s="61" t="str">
        <f>IFERROR(__xludf.DUMMYFUNCTION("INDIRECT(""'收支紀錄'!L""&amp;TO_TEXT(ROW()-$C$72))"),"")</f>
        <v/>
      </c>
      <c r="M1980" s="61" t="str">
        <f>IFERROR(__xludf.DUMMYFUNCTION("INDIRECT(""'收支紀錄'!M""&amp;TO_TEXT(ROW()-$C$72))"),"")</f>
        <v/>
      </c>
      <c r="N1980" s="61" t="str">
        <f>IFERROR(__xludf.DUMMYFUNCTION("INDIRECT(""'收支紀錄'!N""&amp;TO_TEXT(ROW()-$C$72))"),"")</f>
        <v/>
      </c>
      <c r="O1980" s="61" t="str">
        <f>IFERROR(__xludf.DUMMYFUNCTION("INDIRECT(""'收支紀錄'!O""&amp;TO_TEXT(ROW()-$C$72))"),"")</f>
        <v/>
      </c>
      <c r="P1980" s="61" t="str">
        <f>IFERROR(__xludf.DUMMYFUNCTION("INDIRECT(""'收支紀錄'!P""&amp;TO_TEXT(ROW()-$C$72))"),"")</f>
        <v/>
      </c>
      <c r="Q1980" s="61" t="str">
        <f>IFERROR(__xludf.DUMMYFUNCTION("INDIRECT(""'收支紀錄'!Q""&amp;TO_TEXT(ROW()-$C$72))"),"")</f>
        <v/>
      </c>
      <c r="R1980" s="61" t="str">
        <f>IFERROR(__xludf.DUMMYFUNCTION("INDIRECT(""'收支紀錄'!R""&amp;TO_TEXT(ROW()-$C$72))"),"")</f>
        <v/>
      </c>
      <c r="S1980" s="61" t="str">
        <f>IFERROR(__xludf.DUMMYFUNCTION("INDIRECT(""'收支紀錄'!S""&amp;TO_TEXT(ROW()-$C$72))"),"")</f>
        <v/>
      </c>
      <c r="T1980" s="61" t="str">
        <f>IFERROR(__xludf.DUMMYFUNCTION("INDIRECT(""'收支紀錄'!T""&amp;TO_TEXT(ROW()-$C$72))"),"")</f>
        <v/>
      </c>
      <c r="U1980" s="62" t="str">
        <f>IFERROR(__xludf.DUMMYFUNCTION("IF(T1980=""是"",TEXTJOIN("""", TRUE, ""$"", TO_TEXT(C1980), S1980),"""")"),"")</f>
        <v/>
      </c>
    </row>
    <row r="1981">
      <c r="A1981" s="58" t="str">
        <f>IFERROR(__xludf.DUMMYFUNCTION("INDIRECT(""'收支紀錄'!A""&amp;TO_TEXT(ROW()-$C$72))"),"")</f>
        <v/>
      </c>
      <c r="B1981" s="59" t="str">
        <f>IFERROR(__xludf.DUMMYFUNCTION("IF(ISBLANK(D1981), """", IF(ISDATE(D1981), D1981, IF(D1981=""今天"", A1981, IF(D1981=""昨天 (-1 day)"", A1981-1, IF(D1981=""前天 (-2 days)"", A1981-2, IF(D1981=""明天 (+1 day)"", A1981+1, DATE(LEFT(D1981,4), MID(D1981,5,2), RIGHT(D1981,2))))))))"),"")</f>
        <v/>
      </c>
      <c r="C1981" s="60" t="str">
        <f>IFERROR(__xludf.DUMMYFUNCTION("INDIRECT(""'收支紀錄'!C""&amp;TO_TEXT(ROW()-$C$72))"),"")</f>
        <v/>
      </c>
      <c r="D1981" s="63" t="str">
        <f>IFERROR(__xludf.DUMMYFUNCTION("INDIRECT(""'收支紀錄'!D""&amp;TO_TEXT(ROW()-$C$72))"),"")</f>
        <v/>
      </c>
      <c r="E1981" s="61" t="str">
        <f>IFERROR(__xludf.DUMMYFUNCTION("INDIRECT(""'收支紀錄'!E""&amp;TO_TEXT(ROW()-$C$72))"),"")</f>
        <v/>
      </c>
      <c r="F1981" s="61" t="str">
        <f>IFERROR(__xludf.DUMMYFUNCTION("INDIRECT(""'收支紀錄'!F""&amp;TO_TEXT(ROW()-$C$72))"),"")</f>
        <v/>
      </c>
      <c r="G1981" s="61" t="str">
        <f>IFERROR(__xludf.DUMMYFUNCTION("INDIRECT(""'收支紀錄'!G""&amp;TO_TEXT(ROW()-$C$72))"),"")</f>
        <v/>
      </c>
      <c r="H1981" s="61" t="str">
        <f>IFERROR(__xludf.DUMMYFUNCTION("INDIRECT(""'收支紀錄'!H""&amp;TO_TEXT(ROW()-$C$72))"),"")</f>
        <v/>
      </c>
      <c r="I1981" s="61" t="str">
        <f>IFERROR(__xludf.DUMMYFUNCTION("INDIRECT(""'收支紀錄'!I""&amp;TO_TEXT(ROW()-$C$72))"),"")</f>
        <v/>
      </c>
      <c r="J1981" s="61" t="str">
        <f>IFERROR(__xludf.DUMMYFUNCTION("INDIRECT(""'收支紀錄'!J""&amp;TO_TEXT(ROW()-$C$72))"),"")</f>
        <v/>
      </c>
      <c r="K1981" s="61" t="str">
        <f>IFERROR(__xludf.DUMMYFUNCTION("INDIRECT(""'收支紀錄'!K""&amp;TO_TEXT(ROW()-$C$72))"),"")</f>
        <v/>
      </c>
      <c r="L1981" s="61" t="str">
        <f>IFERROR(__xludf.DUMMYFUNCTION("INDIRECT(""'收支紀錄'!L""&amp;TO_TEXT(ROW()-$C$72))"),"")</f>
        <v/>
      </c>
      <c r="M1981" s="61" t="str">
        <f>IFERROR(__xludf.DUMMYFUNCTION("INDIRECT(""'收支紀錄'!M""&amp;TO_TEXT(ROW()-$C$72))"),"")</f>
        <v/>
      </c>
      <c r="N1981" s="61" t="str">
        <f>IFERROR(__xludf.DUMMYFUNCTION("INDIRECT(""'收支紀錄'!N""&amp;TO_TEXT(ROW()-$C$72))"),"")</f>
        <v/>
      </c>
      <c r="O1981" s="61" t="str">
        <f>IFERROR(__xludf.DUMMYFUNCTION("INDIRECT(""'收支紀錄'!O""&amp;TO_TEXT(ROW()-$C$72))"),"")</f>
        <v/>
      </c>
      <c r="P1981" s="61" t="str">
        <f>IFERROR(__xludf.DUMMYFUNCTION("INDIRECT(""'收支紀錄'!P""&amp;TO_TEXT(ROW()-$C$72))"),"")</f>
        <v/>
      </c>
      <c r="Q1981" s="61" t="str">
        <f>IFERROR(__xludf.DUMMYFUNCTION("INDIRECT(""'收支紀錄'!Q""&amp;TO_TEXT(ROW()-$C$72))"),"")</f>
        <v/>
      </c>
      <c r="R1981" s="61" t="str">
        <f>IFERROR(__xludf.DUMMYFUNCTION("INDIRECT(""'收支紀錄'!R""&amp;TO_TEXT(ROW()-$C$72))"),"")</f>
        <v/>
      </c>
      <c r="S1981" s="61" t="str">
        <f>IFERROR(__xludf.DUMMYFUNCTION("INDIRECT(""'收支紀錄'!S""&amp;TO_TEXT(ROW()-$C$72))"),"")</f>
        <v/>
      </c>
      <c r="T1981" s="61" t="str">
        <f>IFERROR(__xludf.DUMMYFUNCTION("INDIRECT(""'收支紀錄'!T""&amp;TO_TEXT(ROW()-$C$72))"),"")</f>
        <v/>
      </c>
      <c r="U1981" s="62" t="str">
        <f>IFERROR(__xludf.DUMMYFUNCTION("IF(T1981=""是"",TEXTJOIN("""", TRUE, ""$"", TO_TEXT(C1981), S1981),"""")"),"")</f>
        <v/>
      </c>
    </row>
    <row r="1982">
      <c r="A1982" s="58" t="str">
        <f>IFERROR(__xludf.DUMMYFUNCTION("INDIRECT(""'收支紀錄'!A""&amp;TO_TEXT(ROW()-$C$72))"),"")</f>
        <v/>
      </c>
      <c r="B1982" s="59" t="str">
        <f>IFERROR(__xludf.DUMMYFUNCTION("IF(ISBLANK(D1982), """", IF(ISDATE(D1982), D1982, IF(D1982=""今天"", A1982, IF(D1982=""昨天 (-1 day)"", A1982-1, IF(D1982=""前天 (-2 days)"", A1982-2, IF(D1982=""明天 (+1 day)"", A1982+1, DATE(LEFT(D1982,4), MID(D1982,5,2), RIGHT(D1982,2))))))))"),"")</f>
        <v/>
      </c>
      <c r="C1982" s="60" t="str">
        <f>IFERROR(__xludf.DUMMYFUNCTION("INDIRECT(""'收支紀錄'!C""&amp;TO_TEXT(ROW()-$C$72))"),"")</f>
        <v/>
      </c>
      <c r="D1982" s="63" t="str">
        <f>IFERROR(__xludf.DUMMYFUNCTION("INDIRECT(""'收支紀錄'!D""&amp;TO_TEXT(ROW()-$C$72))"),"")</f>
        <v/>
      </c>
      <c r="E1982" s="61" t="str">
        <f>IFERROR(__xludf.DUMMYFUNCTION("INDIRECT(""'收支紀錄'!E""&amp;TO_TEXT(ROW()-$C$72))"),"")</f>
        <v/>
      </c>
      <c r="F1982" s="61" t="str">
        <f>IFERROR(__xludf.DUMMYFUNCTION("INDIRECT(""'收支紀錄'!F""&amp;TO_TEXT(ROW()-$C$72))"),"")</f>
        <v/>
      </c>
      <c r="G1982" s="61" t="str">
        <f>IFERROR(__xludf.DUMMYFUNCTION("INDIRECT(""'收支紀錄'!G""&amp;TO_TEXT(ROW()-$C$72))"),"")</f>
        <v/>
      </c>
      <c r="H1982" s="61" t="str">
        <f>IFERROR(__xludf.DUMMYFUNCTION("INDIRECT(""'收支紀錄'!H""&amp;TO_TEXT(ROW()-$C$72))"),"")</f>
        <v/>
      </c>
      <c r="I1982" s="61" t="str">
        <f>IFERROR(__xludf.DUMMYFUNCTION("INDIRECT(""'收支紀錄'!I""&amp;TO_TEXT(ROW()-$C$72))"),"")</f>
        <v/>
      </c>
      <c r="J1982" s="61" t="str">
        <f>IFERROR(__xludf.DUMMYFUNCTION("INDIRECT(""'收支紀錄'!J""&amp;TO_TEXT(ROW()-$C$72))"),"")</f>
        <v/>
      </c>
      <c r="K1982" s="61" t="str">
        <f>IFERROR(__xludf.DUMMYFUNCTION("INDIRECT(""'收支紀錄'!K""&amp;TO_TEXT(ROW()-$C$72))"),"")</f>
        <v/>
      </c>
      <c r="L1982" s="61" t="str">
        <f>IFERROR(__xludf.DUMMYFUNCTION("INDIRECT(""'收支紀錄'!L""&amp;TO_TEXT(ROW()-$C$72))"),"")</f>
        <v/>
      </c>
      <c r="M1982" s="61" t="str">
        <f>IFERROR(__xludf.DUMMYFUNCTION("INDIRECT(""'收支紀錄'!M""&amp;TO_TEXT(ROW()-$C$72))"),"")</f>
        <v/>
      </c>
      <c r="N1982" s="61" t="str">
        <f>IFERROR(__xludf.DUMMYFUNCTION("INDIRECT(""'收支紀錄'!N""&amp;TO_TEXT(ROW()-$C$72))"),"")</f>
        <v/>
      </c>
      <c r="O1982" s="61" t="str">
        <f>IFERROR(__xludf.DUMMYFUNCTION("INDIRECT(""'收支紀錄'!O""&amp;TO_TEXT(ROW()-$C$72))"),"")</f>
        <v/>
      </c>
      <c r="P1982" s="61" t="str">
        <f>IFERROR(__xludf.DUMMYFUNCTION("INDIRECT(""'收支紀錄'!P""&amp;TO_TEXT(ROW()-$C$72))"),"")</f>
        <v/>
      </c>
      <c r="Q1982" s="61" t="str">
        <f>IFERROR(__xludf.DUMMYFUNCTION("INDIRECT(""'收支紀錄'!Q""&amp;TO_TEXT(ROW()-$C$72))"),"")</f>
        <v/>
      </c>
      <c r="R1982" s="61" t="str">
        <f>IFERROR(__xludf.DUMMYFUNCTION("INDIRECT(""'收支紀錄'!R""&amp;TO_TEXT(ROW()-$C$72))"),"")</f>
        <v/>
      </c>
      <c r="S1982" s="61" t="str">
        <f>IFERROR(__xludf.DUMMYFUNCTION("INDIRECT(""'收支紀錄'!S""&amp;TO_TEXT(ROW()-$C$72))"),"")</f>
        <v/>
      </c>
      <c r="T1982" s="61" t="str">
        <f>IFERROR(__xludf.DUMMYFUNCTION("INDIRECT(""'收支紀錄'!T""&amp;TO_TEXT(ROW()-$C$72))"),"")</f>
        <v/>
      </c>
      <c r="U1982" s="62" t="str">
        <f>IFERROR(__xludf.DUMMYFUNCTION("IF(T1982=""是"",TEXTJOIN("""", TRUE, ""$"", TO_TEXT(C1982), S1982),"""")"),"")</f>
        <v/>
      </c>
    </row>
    <row r="1983">
      <c r="A1983" s="58" t="str">
        <f>IFERROR(__xludf.DUMMYFUNCTION("INDIRECT(""'收支紀錄'!A""&amp;TO_TEXT(ROW()-$C$72))"),"")</f>
        <v/>
      </c>
      <c r="B1983" s="59" t="str">
        <f>IFERROR(__xludf.DUMMYFUNCTION("IF(ISBLANK(D1983), """", IF(ISDATE(D1983), D1983, IF(D1983=""今天"", A1983, IF(D1983=""昨天 (-1 day)"", A1983-1, IF(D1983=""前天 (-2 days)"", A1983-2, IF(D1983=""明天 (+1 day)"", A1983+1, DATE(LEFT(D1983,4), MID(D1983,5,2), RIGHT(D1983,2))))))))"),"")</f>
        <v/>
      </c>
      <c r="C1983" s="60" t="str">
        <f>IFERROR(__xludf.DUMMYFUNCTION("INDIRECT(""'收支紀錄'!C""&amp;TO_TEXT(ROW()-$C$72))"),"")</f>
        <v/>
      </c>
      <c r="D1983" s="63" t="str">
        <f>IFERROR(__xludf.DUMMYFUNCTION("INDIRECT(""'收支紀錄'!D""&amp;TO_TEXT(ROW()-$C$72))"),"")</f>
        <v/>
      </c>
      <c r="E1983" s="61" t="str">
        <f>IFERROR(__xludf.DUMMYFUNCTION("INDIRECT(""'收支紀錄'!E""&amp;TO_TEXT(ROW()-$C$72))"),"")</f>
        <v/>
      </c>
      <c r="F1983" s="61" t="str">
        <f>IFERROR(__xludf.DUMMYFUNCTION("INDIRECT(""'收支紀錄'!F""&amp;TO_TEXT(ROW()-$C$72))"),"")</f>
        <v/>
      </c>
      <c r="G1983" s="61" t="str">
        <f>IFERROR(__xludf.DUMMYFUNCTION("INDIRECT(""'收支紀錄'!G""&amp;TO_TEXT(ROW()-$C$72))"),"")</f>
        <v/>
      </c>
      <c r="H1983" s="61" t="str">
        <f>IFERROR(__xludf.DUMMYFUNCTION("INDIRECT(""'收支紀錄'!H""&amp;TO_TEXT(ROW()-$C$72))"),"")</f>
        <v/>
      </c>
      <c r="I1983" s="61" t="str">
        <f>IFERROR(__xludf.DUMMYFUNCTION("INDIRECT(""'收支紀錄'!I""&amp;TO_TEXT(ROW()-$C$72))"),"")</f>
        <v/>
      </c>
      <c r="J1983" s="61" t="str">
        <f>IFERROR(__xludf.DUMMYFUNCTION("INDIRECT(""'收支紀錄'!J""&amp;TO_TEXT(ROW()-$C$72))"),"")</f>
        <v/>
      </c>
      <c r="K1983" s="61" t="str">
        <f>IFERROR(__xludf.DUMMYFUNCTION("INDIRECT(""'收支紀錄'!K""&amp;TO_TEXT(ROW()-$C$72))"),"")</f>
        <v/>
      </c>
      <c r="L1983" s="61" t="str">
        <f>IFERROR(__xludf.DUMMYFUNCTION("INDIRECT(""'收支紀錄'!L""&amp;TO_TEXT(ROW()-$C$72))"),"")</f>
        <v/>
      </c>
      <c r="M1983" s="61" t="str">
        <f>IFERROR(__xludf.DUMMYFUNCTION("INDIRECT(""'收支紀錄'!M""&amp;TO_TEXT(ROW()-$C$72))"),"")</f>
        <v/>
      </c>
      <c r="N1983" s="61" t="str">
        <f>IFERROR(__xludf.DUMMYFUNCTION("INDIRECT(""'收支紀錄'!N""&amp;TO_TEXT(ROW()-$C$72))"),"")</f>
        <v/>
      </c>
      <c r="O1983" s="61" t="str">
        <f>IFERROR(__xludf.DUMMYFUNCTION("INDIRECT(""'收支紀錄'!O""&amp;TO_TEXT(ROW()-$C$72))"),"")</f>
        <v/>
      </c>
      <c r="P1983" s="61" t="str">
        <f>IFERROR(__xludf.DUMMYFUNCTION("INDIRECT(""'收支紀錄'!P""&amp;TO_TEXT(ROW()-$C$72))"),"")</f>
        <v/>
      </c>
      <c r="Q1983" s="61" t="str">
        <f>IFERROR(__xludf.DUMMYFUNCTION("INDIRECT(""'收支紀錄'!Q""&amp;TO_TEXT(ROW()-$C$72))"),"")</f>
        <v/>
      </c>
      <c r="R1983" s="61" t="str">
        <f>IFERROR(__xludf.DUMMYFUNCTION("INDIRECT(""'收支紀錄'!R""&amp;TO_TEXT(ROW()-$C$72))"),"")</f>
        <v/>
      </c>
      <c r="S1983" s="61" t="str">
        <f>IFERROR(__xludf.DUMMYFUNCTION("INDIRECT(""'收支紀錄'!S""&amp;TO_TEXT(ROW()-$C$72))"),"")</f>
        <v/>
      </c>
      <c r="T1983" s="61" t="str">
        <f>IFERROR(__xludf.DUMMYFUNCTION("INDIRECT(""'收支紀錄'!T""&amp;TO_TEXT(ROW()-$C$72))"),"")</f>
        <v/>
      </c>
      <c r="U1983" s="62" t="str">
        <f>IFERROR(__xludf.DUMMYFUNCTION("IF(T1983=""是"",TEXTJOIN("""", TRUE, ""$"", TO_TEXT(C1983), S1983),"""")"),"")</f>
        <v/>
      </c>
    </row>
    <row r="1984">
      <c r="A1984" s="58" t="str">
        <f>IFERROR(__xludf.DUMMYFUNCTION("INDIRECT(""'收支紀錄'!A""&amp;TO_TEXT(ROW()-$C$72))"),"")</f>
        <v/>
      </c>
      <c r="B1984" s="59" t="str">
        <f>IFERROR(__xludf.DUMMYFUNCTION("IF(ISBLANK(D1984), """", IF(ISDATE(D1984), D1984, IF(D1984=""今天"", A1984, IF(D1984=""昨天 (-1 day)"", A1984-1, IF(D1984=""前天 (-2 days)"", A1984-2, IF(D1984=""明天 (+1 day)"", A1984+1, DATE(LEFT(D1984,4), MID(D1984,5,2), RIGHT(D1984,2))))))))"),"")</f>
        <v/>
      </c>
      <c r="C1984" s="60" t="str">
        <f>IFERROR(__xludf.DUMMYFUNCTION("INDIRECT(""'收支紀錄'!C""&amp;TO_TEXT(ROW()-$C$72))"),"")</f>
        <v/>
      </c>
      <c r="D1984" s="63" t="str">
        <f>IFERROR(__xludf.DUMMYFUNCTION("INDIRECT(""'收支紀錄'!D""&amp;TO_TEXT(ROW()-$C$72))"),"")</f>
        <v/>
      </c>
      <c r="E1984" s="61" t="str">
        <f>IFERROR(__xludf.DUMMYFUNCTION("INDIRECT(""'收支紀錄'!E""&amp;TO_TEXT(ROW()-$C$72))"),"")</f>
        <v/>
      </c>
      <c r="F1984" s="61" t="str">
        <f>IFERROR(__xludf.DUMMYFUNCTION("INDIRECT(""'收支紀錄'!F""&amp;TO_TEXT(ROW()-$C$72))"),"")</f>
        <v/>
      </c>
      <c r="G1984" s="61" t="str">
        <f>IFERROR(__xludf.DUMMYFUNCTION("INDIRECT(""'收支紀錄'!G""&amp;TO_TEXT(ROW()-$C$72))"),"")</f>
        <v/>
      </c>
      <c r="H1984" s="61" t="str">
        <f>IFERROR(__xludf.DUMMYFUNCTION("INDIRECT(""'收支紀錄'!H""&amp;TO_TEXT(ROW()-$C$72))"),"")</f>
        <v/>
      </c>
      <c r="I1984" s="61" t="str">
        <f>IFERROR(__xludf.DUMMYFUNCTION("INDIRECT(""'收支紀錄'!I""&amp;TO_TEXT(ROW()-$C$72))"),"")</f>
        <v/>
      </c>
      <c r="J1984" s="61" t="str">
        <f>IFERROR(__xludf.DUMMYFUNCTION("INDIRECT(""'收支紀錄'!J""&amp;TO_TEXT(ROW()-$C$72))"),"")</f>
        <v/>
      </c>
      <c r="K1984" s="61" t="str">
        <f>IFERROR(__xludf.DUMMYFUNCTION("INDIRECT(""'收支紀錄'!K""&amp;TO_TEXT(ROW()-$C$72))"),"")</f>
        <v/>
      </c>
      <c r="L1984" s="61" t="str">
        <f>IFERROR(__xludf.DUMMYFUNCTION("INDIRECT(""'收支紀錄'!L""&amp;TO_TEXT(ROW()-$C$72))"),"")</f>
        <v/>
      </c>
      <c r="M1984" s="61" t="str">
        <f>IFERROR(__xludf.DUMMYFUNCTION("INDIRECT(""'收支紀錄'!M""&amp;TO_TEXT(ROW()-$C$72))"),"")</f>
        <v/>
      </c>
      <c r="N1984" s="61" t="str">
        <f>IFERROR(__xludf.DUMMYFUNCTION("INDIRECT(""'收支紀錄'!N""&amp;TO_TEXT(ROW()-$C$72))"),"")</f>
        <v/>
      </c>
      <c r="O1984" s="61" t="str">
        <f>IFERROR(__xludf.DUMMYFUNCTION("INDIRECT(""'收支紀錄'!O""&amp;TO_TEXT(ROW()-$C$72))"),"")</f>
        <v/>
      </c>
      <c r="P1984" s="61" t="str">
        <f>IFERROR(__xludf.DUMMYFUNCTION("INDIRECT(""'收支紀錄'!P""&amp;TO_TEXT(ROW()-$C$72))"),"")</f>
        <v/>
      </c>
      <c r="Q1984" s="61" t="str">
        <f>IFERROR(__xludf.DUMMYFUNCTION("INDIRECT(""'收支紀錄'!Q""&amp;TO_TEXT(ROW()-$C$72))"),"")</f>
        <v/>
      </c>
      <c r="R1984" s="61" t="str">
        <f>IFERROR(__xludf.DUMMYFUNCTION("INDIRECT(""'收支紀錄'!R""&amp;TO_TEXT(ROW()-$C$72))"),"")</f>
        <v/>
      </c>
      <c r="S1984" s="61" t="str">
        <f>IFERROR(__xludf.DUMMYFUNCTION("INDIRECT(""'收支紀錄'!S""&amp;TO_TEXT(ROW()-$C$72))"),"")</f>
        <v/>
      </c>
      <c r="T1984" s="61" t="str">
        <f>IFERROR(__xludf.DUMMYFUNCTION("INDIRECT(""'收支紀錄'!T""&amp;TO_TEXT(ROW()-$C$72))"),"")</f>
        <v/>
      </c>
      <c r="U1984" s="62" t="str">
        <f>IFERROR(__xludf.DUMMYFUNCTION("IF(T1984=""是"",TEXTJOIN("""", TRUE, ""$"", TO_TEXT(C1984), S1984),"""")"),"")</f>
        <v/>
      </c>
    </row>
    <row r="1985">
      <c r="A1985" s="58" t="str">
        <f>IFERROR(__xludf.DUMMYFUNCTION("INDIRECT(""'收支紀錄'!A""&amp;TO_TEXT(ROW()-$C$72))"),"")</f>
        <v/>
      </c>
      <c r="B1985" s="59" t="str">
        <f>IFERROR(__xludf.DUMMYFUNCTION("IF(ISBLANK(D1985), """", IF(ISDATE(D1985), D1985, IF(D1985=""今天"", A1985, IF(D1985=""昨天 (-1 day)"", A1985-1, IF(D1985=""前天 (-2 days)"", A1985-2, IF(D1985=""明天 (+1 day)"", A1985+1, DATE(LEFT(D1985,4), MID(D1985,5,2), RIGHT(D1985,2))))))))"),"")</f>
        <v/>
      </c>
      <c r="C1985" s="60" t="str">
        <f>IFERROR(__xludf.DUMMYFUNCTION("INDIRECT(""'收支紀錄'!C""&amp;TO_TEXT(ROW()-$C$72))"),"")</f>
        <v/>
      </c>
      <c r="D1985" s="63" t="str">
        <f>IFERROR(__xludf.DUMMYFUNCTION("INDIRECT(""'收支紀錄'!D""&amp;TO_TEXT(ROW()-$C$72))"),"")</f>
        <v/>
      </c>
      <c r="E1985" s="61" t="str">
        <f>IFERROR(__xludf.DUMMYFUNCTION("INDIRECT(""'收支紀錄'!E""&amp;TO_TEXT(ROW()-$C$72))"),"")</f>
        <v/>
      </c>
      <c r="F1985" s="61" t="str">
        <f>IFERROR(__xludf.DUMMYFUNCTION("INDIRECT(""'收支紀錄'!F""&amp;TO_TEXT(ROW()-$C$72))"),"")</f>
        <v/>
      </c>
      <c r="G1985" s="61" t="str">
        <f>IFERROR(__xludf.DUMMYFUNCTION("INDIRECT(""'收支紀錄'!G""&amp;TO_TEXT(ROW()-$C$72))"),"")</f>
        <v/>
      </c>
      <c r="H1985" s="61" t="str">
        <f>IFERROR(__xludf.DUMMYFUNCTION("INDIRECT(""'收支紀錄'!H""&amp;TO_TEXT(ROW()-$C$72))"),"")</f>
        <v/>
      </c>
      <c r="I1985" s="61" t="str">
        <f>IFERROR(__xludf.DUMMYFUNCTION("INDIRECT(""'收支紀錄'!I""&amp;TO_TEXT(ROW()-$C$72))"),"")</f>
        <v/>
      </c>
      <c r="J1985" s="61" t="str">
        <f>IFERROR(__xludf.DUMMYFUNCTION("INDIRECT(""'收支紀錄'!J""&amp;TO_TEXT(ROW()-$C$72))"),"")</f>
        <v/>
      </c>
      <c r="K1985" s="61" t="str">
        <f>IFERROR(__xludf.DUMMYFUNCTION("INDIRECT(""'收支紀錄'!K""&amp;TO_TEXT(ROW()-$C$72))"),"")</f>
        <v/>
      </c>
      <c r="L1985" s="61" t="str">
        <f>IFERROR(__xludf.DUMMYFUNCTION("INDIRECT(""'收支紀錄'!L""&amp;TO_TEXT(ROW()-$C$72))"),"")</f>
        <v/>
      </c>
      <c r="M1985" s="61" t="str">
        <f>IFERROR(__xludf.DUMMYFUNCTION("INDIRECT(""'收支紀錄'!M""&amp;TO_TEXT(ROW()-$C$72))"),"")</f>
        <v/>
      </c>
      <c r="N1985" s="61" t="str">
        <f>IFERROR(__xludf.DUMMYFUNCTION("INDIRECT(""'收支紀錄'!N""&amp;TO_TEXT(ROW()-$C$72))"),"")</f>
        <v/>
      </c>
      <c r="O1985" s="61" t="str">
        <f>IFERROR(__xludf.DUMMYFUNCTION("INDIRECT(""'收支紀錄'!O""&amp;TO_TEXT(ROW()-$C$72))"),"")</f>
        <v/>
      </c>
      <c r="P1985" s="61" t="str">
        <f>IFERROR(__xludf.DUMMYFUNCTION("INDIRECT(""'收支紀錄'!P""&amp;TO_TEXT(ROW()-$C$72))"),"")</f>
        <v/>
      </c>
      <c r="Q1985" s="61" t="str">
        <f>IFERROR(__xludf.DUMMYFUNCTION("INDIRECT(""'收支紀錄'!Q""&amp;TO_TEXT(ROW()-$C$72))"),"")</f>
        <v/>
      </c>
      <c r="R1985" s="61" t="str">
        <f>IFERROR(__xludf.DUMMYFUNCTION("INDIRECT(""'收支紀錄'!R""&amp;TO_TEXT(ROW()-$C$72))"),"")</f>
        <v/>
      </c>
      <c r="S1985" s="61" t="str">
        <f>IFERROR(__xludf.DUMMYFUNCTION("INDIRECT(""'收支紀錄'!S""&amp;TO_TEXT(ROW()-$C$72))"),"")</f>
        <v/>
      </c>
      <c r="T1985" s="61" t="str">
        <f>IFERROR(__xludf.DUMMYFUNCTION("INDIRECT(""'收支紀錄'!T""&amp;TO_TEXT(ROW()-$C$72))"),"")</f>
        <v/>
      </c>
      <c r="U1985" s="62" t="str">
        <f>IFERROR(__xludf.DUMMYFUNCTION("IF(T1985=""是"",TEXTJOIN("""", TRUE, ""$"", TO_TEXT(C1985), S1985),"""")"),"")</f>
        <v/>
      </c>
    </row>
    <row r="1986">
      <c r="A1986" s="58" t="str">
        <f>IFERROR(__xludf.DUMMYFUNCTION("INDIRECT(""'收支紀錄'!A""&amp;TO_TEXT(ROW()-$C$72))"),"")</f>
        <v/>
      </c>
      <c r="B1986" s="59" t="str">
        <f>IFERROR(__xludf.DUMMYFUNCTION("IF(ISBLANK(D1986), """", IF(ISDATE(D1986), D1986, IF(D1986=""今天"", A1986, IF(D1986=""昨天 (-1 day)"", A1986-1, IF(D1986=""前天 (-2 days)"", A1986-2, IF(D1986=""明天 (+1 day)"", A1986+1, DATE(LEFT(D1986,4), MID(D1986,5,2), RIGHT(D1986,2))))))))"),"")</f>
        <v/>
      </c>
      <c r="C1986" s="60" t="str">
        <f>IFERROR(__xludf.DUMMYFUNCTION("INDIRECT(""'收支紀錄'!C""&amp;TO_TEXT(ROW()-$C$72))"),"")</f>
        <v/>
      </c>
      <c r="D1986" s="63" t="str">
        <f>IFERROR(__xludf.DUMMYFUNCTION("INDIRECT(""'收支紀錄'!D""&amp;TO_TEXT(ROW()-$C$72))"),"")</f>
        <v/>
      </c>
      <c r="E1986" s="61" t="str">
        <f>IFERROR(__xludf.DUMMYFUNCTION("INDIRECT(""'收支紀錄'!E""&amp;TO_TEXT(ROW()-$C$72))"),"")</f>
        <v/>
      </c>
      <c r="F1986" s="61" t="str">
        <f>IFERROR(__xludf.DUMMYFUNCTION("INDIRECT(""'收支紀錄'!F""&amp;TO_TEXT(ROW()-$C$72))"),"")</f>
        <v/>
      </c>
      <c r="G1986" s="61" t="str">
        <f>IFERROR(__xludf.DUMMYFUNCTION("INDIRECT(""'收支紀錄'!G""&amp;TO_TEXT(ROW()-$C$72))"),"")</f>
        <v/>
      </c>
      <c r="H1986" s="61" t="str">
        <f>IFERROR(__xludf.DUMMYFUNCTION("INDIRECT(""'收支紀錄'!H""&amp;TO_TEXT(ROW()-$C$72))"),"")</f>
        <v/>
      </c>
      <c r="I1986" s="61" t="str">
        <f>IFERROR(__xludf.DUMMYFUNCTION("INDIRECT(""'收支紀錄'!I""&amp;TO_TEXT(ROW()-$C$72))"),"")</f>
        <v/>
      </c>
      <c r="J1986" s="61" t="str">
        <f>IFERROR(__xludf.DUMMYFUNCTION("INDIRECT(""'收支紀錄'!J""&amp;TO_TEXT(ROW()-$C$72))"),"")</f>
        <v/>
      </c>
      <c r="K1986" s="61" t="str">
        <f>IFERROR(__xludf.DUMMYFUNCTION("INDIRECT(""'收支紀錄'!K""&amp;TO_TEXT(ROW()-$C$72))"),"")</f>
        <v/>
      </c>
      <c r="L1986" s="61" t="str">
        <f>IFERROR(__xludf.DUMMYFUNCTION("INDIRECT(""'收支紀錄'!L""&amp;TO_TEXT(ROW()-$C$72))"),"")</f>
        <v/>
      </c>
      <c r="M1986" s="61" t="str">
        <f>IFERROR(__xludf.DUMMYFUNCTION("INDIRECT(""'收支紀錄'!M""&amp;TO_TEXT(ROW()-$C$72))"),"")</f>
        <v/>
      </c>
      <c r="N1986" s="61" t="str">
        <f>IFERROR(__xludf.DUMMYFUNCTION("INDIRECT(""'收支紀錄'!N""&amp;TO_TEXT(ROW()-$C$72))"),"")</f>
        <v/>
      </c>
      <c r="O1986" s="61" t="str">
        <f>IFERROR(__xludf.DUMMYFUNCTION("INDIRECT(""'收支紀錄'!O""&amp;TO_TEXT(ROW()-$C$72))"),"")</f>
        <v/>
      </c>
      <c r="P1986" s="61" t="str">
        <f>IFERROR(__xludf.DUMMYFUNCTION("INDIRECT(""'收支紀錄'!P""&amp;TO_TEXT(ROW()-$C$72))"),"")</f>
        <v/>
      </c>
      <c r="Q1986" s="61" t="str">
        <f>IFERROR(__xludf.DUMMYFUNCTION("INDIRECT(""'收支紀錄'!Q""&amp;TO_TEXT(ROW()-$C$72))"),"")</f>
        <v/>
      </c>
      <c r="R1986" s="61" t="str">
        <f>IFERROR(__xludf.DUMMYFUNCTION("INDIRECT(""'收支紀錄'!R""&amp;TO_TEXT(ROW()-$C$72))"),"")</f>
        <v/>
      </c>
      <c r="S1986" s="61" t="str">
        <f>IFERROR(__xludf.DUMMYFUNCTION("INDIRECT(""'收支紀錄'!S""&amp;TO_TEXT(ROW()-$C$72))"),"")</f>
        <v/>
      </c>
      <c r="T1986" s="61" t="str">
        <f>IFERROR(__xludf.DUMMYFUNCTION("INDIRECT(""'收支紀錄'!T""&amp;TO_TEXT(ROW()-$C$72))"),"")</f>
        <v/>
      </c>
      <c r="U1986" s="62" t="str">
        <f>IFERROR(__xludf.DUMMYFUNCTION("IF(T1986=""是"",TEXTJOIN("""", TRUE, ""$"", TO_TEXT(C1986), S1986),"""")"),"")</f>
        <v/>
      </c>
    </row>
    <row r="1987">
      <c r="A1987" s="58" t="str">
        <f>IFERROR(__xludf.DUMMYFUNCTION("INDIRECT(""'收支紀錄'!A""&amp;TO_TEXT(ROW()-$C$72))"),"")</f>
        <v/>
      </c>
      <c r="B1987" s="59" t="str">
        <f>IFERROR(__xludf.DUMMYFUNCTION("IF(ISBLANK(D1987), """", IF(ISDATE(D1987), D1987, IF(D1987=""今天"", A1987, IF(D1987=""昨天 (-1 day)"", A1987-1, IF(D1987=""前天 (-2 days)"", A1987-2, IF(D1987=""明天 (+1 day)"", A1987+1, DATE(LEFT(D1987,4), MID(D1987,5,2), RIGHT(D1987,2))))))))"),"")</f>
        <v/>
      </c>
      <c r="C1987" s="60" t="str">
        <f>IFERROR(__xludf.DUMMYFUNCTION("INDIRECT(""'收支紀錄'!C""&amp;TO_TEXT(ROW()-$C$72))"),"")</f>
        <v/>
      </c>
      <c r="D1987" s="63" t="str">
        <f>IFERROR(__xludf.DUMMYFUNCTION("INDIRECT(""'收支紀錄'!D""&amp;TO_TEXT(ROW()-$C$72))"),"")</f>
        <v/>
      </c>
      <c r="E1987" s="61" t="str">
        <f>IFERROR(__xludf.DUMMYFUNCTION("INDIRECT(""'收支紀錄'!E""&amp;TO_TEXT(ROW()-$C$72))"),"")</f>
        <v/>
      </c>
      <c r="F1987" s="61" t="str">
        <f>IFERROR(__xludf.DUMMYFUNCTION("INDIRECT(""'收支紀錄'!F""&amp;TO_TEXT(ROW()-$C$72))"),"")</f>
        <v/>
      </c>
      <c r="G1987" s="61" t="str">
        <f>IFERROR(__xludf.DUMMYFUNCTION("INDIRECT(""'收支紀錄'!G""&amp;TO_TEXT(ROW()-$C$72))"),"")</f>
        <v/>
      </c>
      <c r="H1987" s="61" t="str">
        <f>IFERROR(__xludf.DUMMYFUNCTION("INDIRECT(""'收支紀錄'!H""&amp;TO_TEXT(ROW()-$C$72))"),"")</f>
        <v/>
      </c>
      <c r="I1987" s="61" t="str">
        <f>IFERROR(__xludf.DUMMYFUNCTION("INDIRECT(""'收支紀錄'!I""&amp;TO_TEXT(ROW()-$C$72))"),"")</f>
        <v/>
      </c>
      <c r="J1987" s="61" t="str">
        <f>IFERROR(__xludf.DUMMYFUNCTION("INDIRECT(""'收支紀錄'!J""&amp;TO_TEXT(ROW()-$C$72))"),"")</f>
        <v/>
      </c>
      <c r="K1987" s="61" t="str">
        <f>IFERROR(__xludf.DUMMYFUNCTION("INDIRECT(""'收支紀錄'!K""&amp;TO_TEXT(ROW()-$C$72))"),"")</f>
        <v/>
      </c>
      <c r="L1987" s="61" t="str">
        <f>IFERROR(__xludf.DUMMYFUNCTION("INDIRECT(""'收支紀錄'!L""&amp;TO_TEXT(ROW()-$C$72))"),"")</f>
        <v/>
      </c>
      <c r="M1987" s="61" t="str">
        <f>IFERROR(__xludf.DUMMYFUNCTION("INDIRECT(""'收支紀錄'!M""&amp;TO_TEXT(ROW()-$C$72))"),"")</f>
        <v/>
      </c>
      <c r="N1987" s="61" t="str">
        <f>IFERROR(__xludf.DUMMYFUNCTION("INDIRECT(""'收支紀錄'!N""&amp;TO_TEXT(ROW()-$C$72))"),"")</f>
        <v/>
      </c>
      <c r="O1987" s="61" t="str">
        <f>IFERROR(__xludf.DUMMYFUNCTION("INDIRECT(""'收支紀錄'!O""&amp;TO_TEXT(ROW()-$C$72))"),"")</f>
        <v/>
      </c>
      <c r="P1987" s="61" t="str">
        <f>IFERROR(__xludf.DUMMYFUNCTION("INDIRECT(""'收支紀錄'!P""&amp;TO_TEXT(ROW()-$C$72))"),"")</f>
        <v/>
      </c>
      <c r="Q1987" s="61" t="str">
        <f>IFERROR(__xludf.DUMMYFUNCTION("INDIRECT(""'收支紀錄'!Q""&amp;TO_TEXT(ROW()-$C$72))"),"")</f>
        <v/>
      </c>
      <c r="R1987" s="61" t="str">
        <f>IFERROR(__xludf.DUMMYFUNCTION("INDIRECT(""'收支紀錄'!R""&amp;TO_TEXT(ROW()-$C$72))"),"")</f>
        <v/>
      </c>
      <c r="S1987" s="61" t="str">
        <f>IFERROR(__xludf.DUMMYFUNCTION("INDIRECT(""'收支紀錄'!S""&amp;TO_TEXT(ROW()-$C$72))"),"")</f>
        <v/>
      </c>
      <c r="T1987" s="61" t="str">
        <f>IFERROR(__xludf.DUMMYFUNCTION("INDIRECT(""'收支紀錄'!T""&amp;TO_TEXT(ROW()-$C$72))"),"")</f>
        <v/>
      </c>
      <c r="U1987" s="62" t="str">
        <f>IFERROR(__xludf.DUMMYFUNCTION("IF(T1987=""是"",TEXTJOIN("""", TRUE, ""$"", TO_TEXT(C1987), S1987),"""")"),"")</f>
        <v/>
      </c>
    </row>
    <row r="1988">
      <c r="A1988" s="58" t="str">
        <f>IFERROR(__xludf.DUMMYFUNCTION("INDIRECT(""'收支紀錄'!A""&amp;TO_TEXT(ROW()-$C$72))"),"")</f>
        <v/>
      </c>
      <c r="B1988" s="59" t="str">
        <f>IFERROR(__xludf.DUMMYFUNCTION("IF(ISBLANK(D1988), """", IF(ISDATE(D1988), D1988, IF(D1988=""今天"", A1988, IF(D1988=""昨天 (-1 day)"", A1988-1, IF(D1988=""前天 (-2 days)"", A1988-2, IF(D1988=""明天 (+1 day)"", A1988+1, DATE(LEFT(D1988,4), MID(D1988,5,2), RIGHT(D1988,2))))))))"),"")</f>
        <v/>
      </c>
      <c r="C1988" s="60" t="str">
        <f>IFERROR(__xludf.DUMMYFUNCTION("INDIRECT(""'收支紀錄'!C""&amp;TO_TEXT(ROW()-$C$72))"),"")</f>
        <v/>
      </c>
      <c r="D1988" s="63" t="str">
        <f>IFERROR(__xludf.DUMMYFUNCTION("INDIRECT(""'收支紀錄'!D""&amp;TO_TEXT(ROW()-$C$72))"),"")</f>
        <v/>
      </c>
      <c r="E1988" s="61" t="str">
        <f>IFERROR(__xludf.DUMMYFUNCTION("INDIRECT(""'收支紀錄'!E""&amp;TO_TEXT(ROW()-$C$72))"),"")</f>
        <v/>
      </c>
      <c r="F1988" s="61" t="str">
        <f>IFERROR(__xludf.DUMMYFUNCTION("INDIRECT(""'收支紀錄'!F""&amp;TO_TEXT(ROW()-$C$72))"),"")</f>
        <v/>
      </c>
      <c r="G1988" s="61" t="str">
        <f>IFERROR(__xludf.DUMMYFUNCTION("INDIRECT(""'收支紀錄'!G""&amp;TO_TEXT(ROW()-$C$72))"),"")</f>
        <v/>
      </c>
      <c r="H1988" s="61" t="str">
        <f>IFERROR(__xludf.DUMMYFUNCTION("INDIRECT(""'收支紀錄'!H""&amp;TO_TEXT(ROW()-$C$72))"),"")</f>
        <v/>
      </c>
      <c r="I1988" s="61" t="str">
        <f>IFERROR(__xludf.DUMMYFUNCTION("INDIRECT(""'收支紀錄'!I""&amp;TO_TEXT(ROW()-$C$72))"),"")</f>
        <v/>
      </c>
      <c r="J1988" s="61" t="str">
        <f>IFERROR(__xludf.DUMMYFUNCTION("INDIRECT(""'收支紀錄'!J""&amp;TO_TEXT(ROW()-$C$72))"),"")</f>
        <v/>
      </c>
      <c r="K1988" s="61" t="str">
        <f>IFERROR(__xludf.DUMMYFUNCTION("INDIRECT(""'收支紀錄'!K""&amp;TO_TEXT(ROW()-$C$72))"),"")</f>
        <v/>
      </c>
      <c r="L1988" s="61" t="str">
        <f>IFERROR(__xludf.DUMMYFUNCTION("INDIRECT(""'收支紀錄'!L""&amp;TO_TEXT(ROW()-$C$72))"),"")</f>
        <v/>
      </c>
      <c r="M1988" s="61" t="str">
        <f>IFERROR(__xludf.DUMMYFUNCTION("INDIRECT(""'收支紀錄'!M""&amp;TO_TEXT(ROW()-$C$72))"),"")</f>
        <v/>
      </c>
      <c r="N1988" s="61" t="str">
        <f>IFERROR(__xludf.DUMMYFUNCTION("INDIRECT(""'收支紀錄'!N""&amp;TO_TEXT(ROW()-$C$72))"),"")</f>
        <v/>
      </c>
      <c r="O1988" s="61" t="str">
        <f>IFERROR(__xludf.DUMMYFUNCTION("INDIRECT(""'收支紀錄'!O""&amp;TO_TEXT(ROW()-$C$72))"),"")</f>
        <v/>
      </c>
      <c r="P1988" s="61" t="str">
        <f>IFERROR(__xludf.DUMMYFUNCTION("INDIRECT(""'收支紀錄'!P""&amp;TO_TEXT(ROW()-$C$72))"),"")</f>
        <v/>
      </c>
      <c r="Q1988" s="61" t="str">
        <f>IFERROR(__xludf.DUMMYFUNCTION("INDIRECT(""'收支紀錄'!Q""&amp;TO_TEXT(ROW()-$C$72))"),"")</f>
        <v/>
      </c>
      <c r="R1988" s="61" t="str">
        <f>IFERROR(__xludf.DUMMYFUNCTION("INDIRECT(""'收支紀錄'!R""&amp;TO_TEXT(ROW()-$C$72))"),"")</f>
        <v/>
      </c>
      <c r="S1988" s="61" t="str">
        <f>IFERROR(__xludf.DUMMYFUNCTION("INDIRECT(""'收支紀錄'!S""&amp;TO_TEXT(ROW()-$C$72))"),"")</f>
        <v/>
      </c>
      <c r="T1988" s="61" t="str">
        <f>IFERROR(__xludf.DUMMYFUNCTION("INDIRECT(""'收支紀錄'!T""&amp;TO_TEXT(ROW()-$C$72))"),"")</f>
        <v/>
      </c>
      <c r="U1988" s="62" t="str">
        <f>IFERROR(__xludf.DUMMYFUNCTION("IF(T1988=""是"",TEXTJOIN("""", TRUE, ""$"", TO_TEXT(C1988), S1988),"""")"),"")</f>
        <v/>
      </c>
    </row>
    <row r="1989">
      <c r="A1989" s="58" t="str">
        <f>IFERROR(__xludf.DUMMYFUNCTION("INDIRECT(""'收支紀錄'!A""&amp;TO_TEXT(ROW()-$C$72))"),"")</f>
        <v/>
      </c>
      <c r="B1989" s="59" t="str">
        <f>IFERROR(__xludf.DUMMYFUNCTION("IF(ISBLANK(D1989), """", IF(ISDATE(D1989), D1989, IF(D1989=""今天"", A1989, IF(D1989=""昨天 (-1 day)"", A1989-1, IF(D1989=""前天 (-2 days)"", A1989-2, IF(D1989=""明天 (+1 day)"", A1989+1, DATE(LEFT(D1989,4), MID(D1989,5,2), RIGHT(D1989,2))))))))"),"")</f>
        <v/>
      </c>
      <c r="C1989" s="60" t="str">
        <f>IFERROR(__xludf.DUMMYFUNCTION("INDIRECT(""'收支紀錄'!C""&amp;TO_TEXT(ROW()-$C$72))"),"")</f>
        <v/>
      </c>
      <c r="D1989" s="63" t="str">
        <f>IFERROR(__xludf.DUMMYFUNCTION("INDIRECT(""'收支紀錄'!D""&amp;TO_TEXT(ROW()-$C$72))"),"")</f>
        <v/>
      </c>
      <c r="E1989" s="61" t="str">
        <f>IFERROR(__xludf.DUMMYFUNCTION("INDIRECT(""'收支紀錄'!E""&amp;TO_TEXT(ROW()-$C$72))"),"")</f>
        <v/>
      </c>
      <c r="F1989" s="61" t="str">
        <f>IFERROR(__xludf.DUMMYFUNCTION("INDIRECT(""'收支紀錄'!F""&amp;TO_TEXT(ROW()-$C$72))"),"")</f>
        <v/>
      </c>
      <c r="G1989" s="61" t="str">
        <f>IFERROR(__xludf.DUMMYFUNCTION("INDIRECT(""'收支紀錄'!G""&amp;TO_TEXT(ROW()-$C$72))"),"")</f>
        <v/>
      </c>
      <c r="H1989" s="61" t="str">
        <f>IFERROR(__xludf.DUMMYFUNCTION("INDIRECT(""'收支紀錄'!H""&amp;TO_TEXT(ROW()-$C$72))"),"")</f>
        <v/>
      </c>
      <c r="I1989" s="61" t="str">
        <f>IFERROR(__xludf.DUMMYFUNCTION("INDIRECT(""'收支紀錄'!I""&amp;TO_TEXT(ROW()-$C$72))"),"")</f>
        <v/>
      </c>
      <c r="J1989" s="61" t="str">
        <f>IFERROR(__xludf.DUMMYFUNCTION("INDIRECT(""'收支紀錄'!J""&amp;TO_TEXT(ROW()-$C$72))"),"")</f>
        <v/>
      </c>
      <c r="K1989" s="61" t="str">
        <f>IFERROR(__xludf.DUMMYFUNCTION("INDIRECT(""'收支紀錄'!K""&amp;TO_TEXT(ROW()-$C$72))"),"")</f>
        <v/>
      </c>
      <c r="L1989" s="61" t="str">
        <f>IFERROR(__xludf.DUMMYFUNCTION("INDIRECT(""'收支紀錄'!L""&amp;TO_TEXT(ROW()-$C$72))"),"")</f>
        <v/>
      </c>
      <c r="M1989" s="61" t="str">
        <f>IFERROR(__xludf.DUMMYFUNCTION("INDIRECT(""'收支紀錄'!M""&amp;TO_TEXT(ROW()-$C$72))"),"")</f>
        <v/>
      </c>
      <c r="N1989" s="61" t="str">
        <f>IFERROR(__xludf.DUMMYFUNCTION("INDIRECT(""'收支紀錄'!N""&amp;TO_TEXT(ROW()-$C$72))"),"")</f>
        <v/>
      </c>
      <c r="O1989" s="61" t="str">
        <f>IFERROR(__xludf.DUMMYFUNCTION("INDIRECT(""'收支紀錄'!O""&amp;TO_TEXT(ROW()-$C$72))"),"")</f>
        <v/>
      </c>
      <c r="P1989" s="61" t="str">
        <f>IFERROR(__xludf.DUMMYFUNCTION("INDIRECT(""'收支紀錄'!P""&amp;TO_TEXT(ROW()-$C$72))"),"")</f>
        <v/>
      </c>
      <c r="Q1989" s="61" t="str">
        <f>IFERROR(__xludf.DUMMYFUNCTION("INDIRECT(""'收支紀錄'!Q""&amp;TO_TEXT(ROW()-$C$72))"),"")</f>
        <v/>
      </c>
      <c r="R1989" s="61" t="str">
        <f>IFERROR(__xludf.DUMMYFUNCTION("INDIRECT(""'收支紀錄'!R""&amp;TO_TEXT(ROW()-$C$72))"),"")</f>
        <v/>
      </c>
      <c r="S1989" s="61" t="str">
        <f>IFERROR(__xludf.DUMMYFUNCTION("INDIRECT(""'收支紀錄'!S""&amp;TO_TEXT(ROW()-$C$72))"),"")</f>
        <v/>
      </c>
      <c r="T1989" s="61" t="str">
        <f>IFERROR(__xludf.DUMMYFUNCTION("INDIRECT(""'收支紀錄'!T""&amp;TO_TEXT(ROW()-$C$72))"),"")</f>
        <v/>
      </c>
      <c r="U1989" s="62" t="str">
        <f>IFERROR(__xludf.DUMMYFUNCTION("IF(T1989=""是"",TEXTJOIN("""", TRUE, ""$"", TO_TEXT(C1989), S1989),"""")"),"")</f>
        <v/>
      </c>
    </row>
    <row r="1990">
      <c r="A1990" s="58" t="str">
        <f>IFERROR(__xludf.DUMMYFUNCTION("INDIRECT(""'收支紀錄'!A""&amp;TO_TEXT(ROW()-$C$72))"),"")</f>
        <v/>
      </c>
      <c r="B1990" s="59" t="str">
        <f>IFERROR(__xludf.DUMMYFUNCTION("IF(ISBLANK(D1990), """", IF(ISDATE(D1990), D1990, IF(D1990=""今天"", A1990, IF(D1990=""昨天 (-1 day)"", A1990-1, IF(D1990=""前天 (-2 days)"", A1990-2, IF(D1990=""明天 (+1 day)"", A1990+1, DATE(LEFT(D1990,4), MID(D1990,5,2), RIGHT(D1990,2))))))))"),"")</f>
        <v/>
      </c>
      <c r="C1990" s="60" t="str">
        <f>IFERROR(__xludf.DUMMYFUNCTION("INDIRECT(""'收支紀錄'!C""&amp;TO_TEXT(ROW()-$C$72))"),"")</f>
        <v/>
      </c>
      <c r="D1990" s="63" t="str">
        <f>IFERROR(__xludf.DUMMYFUNCTION("INDIRECT(""'收支紀錄'!D""&amp;TO_TEXT(ROW()-$C$72))"),"")</f>
        <v/>
      </c>
      <c r="E1990" s="61" t="str">
        <f>IFERROR(__xludf.DUMMYFUNCTION("INDIRECT(""'收支紀錄'!E""&amp;TO_TEXT(ROW()-$C$72))"),"")</f>
        <v/>
      </c>
      <c r="F1990" s="61" t="str">
        <f>IFERROR(__xludf.DUMMYFUNCTION("INDIRECT(""'收支紀錄'!F""&amp;TO_TEXT(ROW()-$C$72))"),"")</f>
        <v/>
      </c>
      <c r="G1990" s="61" t="str">
        <f>IFERROR(__xludf.DUMMYFUNCTION("INDIRECT(""'收支紀錄'!G""&amp;TO_TEXT(ROW()-$C$72))"),"")</f>
        <v/>
      </c>
      <c r="H1990" s="61" t="str">
        <f>IFERROR(__xludf.DUMMYFUNCTION("INDIRECT(""'收支紀錄'!H""&amp;TO_TEXT(ROW()-$C$72))"),"")</f>
        <v/>
      </c>
      <c r="I1990" s="61" t="str">
        <f>IFERROR(__xludf.DUMMYFUNCTION("INDIRECT(""'收支紀錄'!I""&amp;TO_TEXT(ROW()-$C$72))"),"")</f>
        <v/>
      </c>
      <c r="J1990" s="61" t="str">
        <f>IFERROR(__xludf.DUMMYFUNCTION("INDIRECT(""'收支紀錄'!J""&amp;TO_TEXT(ROW()-$C$72))"),"")</f>
        <v/>
      </c>
      <c r="K1990" s="61" t="str">
        <f>IFERROR(__xludf.DUMMYFUNCTION("INDIRECT(""'收支紀錄'!K""&amp;TO_TEXT(ROW()-$C$72))"),"")</f>
        <v/>
      </c>
      <c r="L1990" s="61" t="str">
        <f>IFERROR(__xludf.DUMMYFUNCTION("INDIRECT(""'收支紀錄'!L""&amp;TO_TEXT(ROW()-$C$72))"),"")</f>
        <v/>
      </c>
      <c r="M1990" s="61" t="str">
        <f>IFERROR(__xludf.DUMMYFUNCTION("INDIRECT(""'收支紀錄'!M""&amp;TO_TEXT(ROW()-$C$72))"),"")</f>
        <v/>
      </c>
      <c r="N1990" s="61" t="str">
        <f>IFERROR(__xludf.DUMMYFUNCTION("INDIRECT(""'收支紀錄'!N""&amp;TO_TEXT(ROW()-$C$72))"),"")</f>
        <v/>
      </c>
      <c r="O1990" s="61" t="str">
        <f>IFERROR(__xludf.DUMMYFUNCTION("INDIRECT(""'收支紀錄'!O""&amp;TO_TEXT(ROW()-$C$72))"),"")</f>
        <v/>
      </c>
      <c r="P1990" s="61" t="str">
        <f>IFERROR(__xludf.DUMMYFUNCTION("INDIRECT(""'收支紀錄'!P""&amp;TO_TEXT(ROW()-$C$72))"),"")</f>
        <v/>
      </c>
      <c r="Q1990" s="61" t="str">
        <f>IFERROR(__xludf.DUMMYFUNCTION("INDIRECT(""'收支紀錄'!Q""&amp;TO_TEXT(ROW()-$C$72))"),"")</f>
        <v/>
      </c>
      <c r="R1990" s="61" t="str">
        <f>IFERROR(__xludf.DUMMYFUNCTION("INDIRECT(""'收支紀錄'!R""&amp;TO_TEXT(ROW()-$C$72))"),"")</f>
        <v/>
      </c>
      <c r="S1990" s="61" t="str">
        <f>IFERROR(__xludf.DUMMYFUNCTION("INDIRECT(""'收支紀錄'!S""&amp;TO_TEXT(ROW()-$C$72))"),"")</f>
        <v/>
      </c>
      <c r="T1990" s="61" t="str">
        <f>IFERROR(__xludf.DUMMYFUNCTION("INDIRECT(""'收支紀錄'!T""&amp;TO_TEXT(ROW()-$C$72))"),"")</f>
        <v/>
      </c>
      <c r="U1990" s="62" t="str">
        <f>IFERROR(__xludf.DUMMYFUNCTION("IF(T1990=""是"",TEXTJOIN("""", TRUE, ""$"", TO_TEXT(C1990), S1990),"""")"),"")</f>
        <v/>
      </c>
    </row>
    <row r="1991">
      <c r="A1991" s="58" t="str">
        <f>IFERROR(__xludf.DUMMYFUNCTION("INDIRECT(""'收支紀錄'!A""&amp;TO_TEXT(ROW()-$C$72))"),"")</f>
        <v/>
      </c>
      <c r="B1991" s="59" t="str">
        <f>IFERROR(__xludf.DUMMYFUNCTION("IF(ISBLANK(D1991), """", IF(ISDATE(D1991), D1991, IF(D1991=""今天"", A1991, IF(D1991=""昨天 (-1 day)"", A1991-1, IF(D1991=""前天 (-2 days)"", A1991-2, IF(D1991=""明天 (+1 day)"", A1991+1, DATE(LEFT(D1991,4), MID(D1991,5,2), RIGHT(D1991,2))))))))"),"")</f>
        <v/>
      </c>
      <c r="C1991" s="60" t="str">
        <f>IFERROR(__xludf.DUMMYFUNCTION("INDIRECT(""'收支紀錄'!C""&amp;TO_TEXT(ROW()-$C$72))"),"")</f>
        <v/>
      </c>
      <c r="D1991" s="63" t="str">
        <f>IFERROR(__xludf.DUMMYFUNCTION("INDIRECT(""'收支紀錄'!D""&amp;TO_TEXT(ROW()-$C$72))"),"")</f>
        <v/>
      </c>
      <c r="E1991" s="61" t="str">
        <f>IFERROR(__xludf.DUMMYFUNCTION("INDIRECT(""'收支紀錄'!E""&amp;TO_TEXT(ROW()-$C$72))"),"")</f>
        <v/>
      </c>
      <c r="F1991" s="61" t="str">
        <f>IFERROR(__xludf.DUMMYFUNCTION("INDIRECT(""'收支紀錄'!F""&amp;TO_TEXT(ROW()-$C$72))"),"")</f>
        <v/>
      </c>
      <c r="G1991" s="61" t="str">
        <f>IFERROR(__xludf.DUMMYFUNCTION("INDIRECT(""'收支紀錄'!G""&amp;TO_TEXT(ROW()-$C$72))"),"")</f>
        <v/>
      </c>
      <c r="H1991" s="61" t="str">
        <f>IFERROR(__xludf.DUMMYFUNCTION("INDIRECT(""'收支紀錄'!H""&amp;TO_TEXT(ROW()-$C$72))"),"")</f>
        <v/>
      </c>
      <c r="I1991" s="61" t="str">
        <f>IFERROR(__xludf.DUMMYFUNCTION("INDIRECT(""'收支紀錄'!I""&amp;TO_TEXT(ROW()-$C$72))"),"")</f>
        <v/>
      </c>
      <c r="J1991" s="61" t="str">
        <f>IFERROR(__xludf.DUMMYFUNCTION("INDIRECT(""'收支紀錄'!J""&amp;TO_TEXT(ROW()-$C$72))"),"")</f>
        <v/>
      </c>
      <c r="K1991" s="61" t="str">
        <f>IFERROR(__xludf.DUMMYFUNCTION("INDIRECT(""'收支紀錄'!K""&amp;TO_TEXT(ROW()-$C$72))"),"")</f>
        <v/>
      </c>
      <c r="L1991" s="61" t="str">
        <f>IFERROR(__xludf.DUMMYFUNCTION("INDIRECT(""'收支紀錄'!L""&amp;TO_TEXT(ROW()-$C$72))"),"")</f>
        <v/>
      </c>
      <c r="M1991" s="61" t="str">
        <f>IFERROR(__xludf.DUMMYFUNCTION("INDIRECT(""'收支紀錄'!M""&amp;TO_TEXT(ROW()-$C$72))"),"")</f>
        <v/>
      </c>
      <c r="N1991" s="61" t="str">
        <f>IFERROR(__xludf.DUMMYFUNCTION("INDIRECT(""'收支紀錄'!N""&amp;TO_TEXT(ROW()-$C$72))"),"")</f>
        <v/>
      </c>
      <c r="O1991" s="61" t="str">
        <f>IFERROR(__xludf.DUMMYFUNCTION("INDIRECT(""'收支紀錄'!O""&amp;TO_TEXT(ROW()-$C$72))"),"")</f>
        <v/>
      </c>
      <c r="P1991" s="61" t="str">
        <f>IFERROR(__xludf.DUMMYFUNCTION("INDIRECT(""'收支紀錄'!P""&amp;TO_TEXT(ROW()-$C$72))"),"")</f>
        <v/>
      </c>
      <c r="Q1991" s="61" t="str">
        <f>IFERROR(__xludf.DUMMYFUNCTION("INDIRECT(""'收支紀錄'!Q""&amp;TO_TEXT(ROW()-$C$72))"),"")</f>
        <v/>
      </c>
      <c r="R1991" s="61" t="str">
        <f>IFERROR(__xludf.DUMMYFUNCTION("INDIRECT(""'收支紀錄'!R""&amp;TO_TEXT(ROW()-$C$72))"),"")</f>
        <v/>
      </c>
      <c r="S1991" s="61" t="str">
        <f>IFERROR(__xludf.DUMMYFUNCTION("INDIRECT(""'收支紀錄'!S""&amp;TO_TEXT(ROW()-$C$72))"),"")</f>
        <v/>
      </c>
      <c r="T1991" s="61" t="str">
        <f>IFERROR(__xludf.DUMMYFUNCTION("INDIRECT(""'收支紀錄'!T""&amp;TO_TEXT(ROW()-$C$72))"),"")</f>
        <v/>
      </c>
      <c r="U1991" s="62" t="str">
        <f>IFERROR(__xludf.DUMMYFUNCTION("IF(T1991=""是"",TEXTJOIN("""", TRUE, ""$"", TO_TEXT(C1991), S1991),"""")"),"")</f>
        <v/>
      </c>
    </row>
    <row r="1992">
      <c r="A1992" s="58" t="str">
        <f>IFERROR(__xludf.DUMMYFUNCTION("INDIRECT(""'收支紀錄'!A""&amp;TO_TEXT(ROW()-$C$72))"),"")</f>
        <v/>
      </c>
      <c r="B1992" s="59" t="str">
        <f>IFERROR(__xludf.DUMMYFUNCTION("IF(ISBLANK(D1992), """", IF(ISDATE(D1992), D1992, IF(D1992=""今天"", A1992, IF(D1992=""昨天 (-1 day)"", A1992-1, IF(D1992=""前天 (-2 days)"", A1992-2, IF(D1992=""明天 (+1 day)"", A1992+1, DATE(LEFT(D1992,4), MID(D1992,5,2), RIGHT(D1992,2))))))))"),"")</f>
        <v/>
      </c>
      <c r="C1992" s="60" t="str">
        <f>IFERROR(__xludf.DUMMYFUNCTION("INDIRECT(""'收支紀錄'!C""&amp;TO_TEXT(ROW()-$C$72))"),"")</f>
        <v/>
      </c>
      <c r="D1992" s="63" t="str">
        <f>IFERROR(__xludf.DUMMYFUNCTION("INDIRECT(""'收支紀錄'!D""&amp;TO_TEXT(ROW()-$C$72))"),"")</f>
        <v/>
      </c>
      <c r="E1992" s="61" t="str">
        <f>IFERROR(__xludf.DUMMYFUNCTION("INDIRECT(""'收支紀錄'!E""&amp;TO_TEXT(ROW()-$C$72))"),"")</f>
        <v/>
      </c>
      <c r="F1992" s="61" t="str">
        <f>IFERROR(__xludf.DUMMYFUNCTION("INDIRECT(""'收支紀錄'!F""&amp;TO_TEXT(ROW()-$C$72))"),"")</f>
        <v/>
      </c>
      <c r="G1992" s="61" t="str">
        <f>IFERROR(__xludf.DUMMYFUNCTION("INDIRECT(""'收支紀錄'!G""&amp;TO_TEXT(ROW()-$C$72))"),"")</f>
        <v/>
      </c>
      <c r="H1992" s="61" t="str">
        <f>IFERROR(__xludf.DUMMYFUNCTION("INDIRECT(""'收支紀錄'!H""&amp;TO_TEXT(ROW()-$C$72))"),"")</f>
        <v/>
      </c>
      <c r="I1992" s="61" t="str">
        <f>IFERROR(__xludf.DUMMYFUNCTION("INDIRECT(""'收支紀錄'!I""&amp;TO_TEXT(ROW()-$C$72))"),"")</f>
        <v/>
      </c>
      <c r="J1992" s="61" t="str">
        <f>IFERROR(__xludf.DUMMYFUNCTION("INDIRECT(""'收支紀錄'!J""&amp;TO_TEXT(ROW()-$C$72))"),"")</f>
        <v/>
      </c>
      <c r="K1992" s="61" t="str">
        <f>IFERROR(__xludf.DUMMYFUNCTION("INDIRECT(""'收支紀錄'!K""&amp;TO_TEXT(ROW()-$C$72))"),"")</f>
        <v/>
      </c>
      <c r="L1992" s="61" t="str">
        <f>IFERROR(__xludf.DUMMYFUNCTION("INDIRECT(""'收支紀錄'!L""&amp;TO_TEXT(ROW()-$C$72))"),"")</f>
        <v/>
      </c>
      <c r="M1992" s="61" t="str">
        <f>IFERROR(__xludf.DUMMYFUNCTION("INDIRECT(""'收支紀錄'!M""&amp;TO_TEXT(ROW()-$C$72))"),"")</f>
        <v/>
      </c>
      <c r="N1992" s="61" t="str">
        <f>IFERROR(__xludf.DUMMYFUNCTION("INDIRECT(""'收支紀錄'!N""&amp;TO_TEXT(ROW()-$C$72))"),"")</f>
        <v/>
      </c>
      <c r="O1992" s="61" t="str">
        <f>IFERROR(__xludf.DUMMYFUNCTION("INDIRECT(""'收支紀錄'!O""&amp;TO_TEXT(ROW()-$C$72))"),"")</f>
        <v/>
      </c>
      <c r="P1992" s="61" t="str">
        <f>IFERROR(__xludf.DUMMYFUNCTION("INDIRECT(""'收支紀錄'!P""&amp;TO_TEXT(ROW()-$C$72))"),"")</f>
        <v/>
      </c>
      <c r="Q1992" s="61" t="str">
        <f>IFERROR(__xludf.DUMMYFUNCTION("INDIRECT(""'收支紀錄'!Q""&amp;TO_TEXT(ROW()-$C$72))"),"")</f>
        <v/>
      </c>
      <c r="R1992" s="61" t="str">
        <f>IFERROR(__xludf.DUMMYFUNCTION("INDIRECT(""'收支紀錄'!R""&amp;TO_TEXT(ROW()-$C$72))"),"")</f>
        <v/>
      </c>
      <c r="S1992" s="61" t="str">
        <f>IFERROR(__xludf.DUMMYFUNCTION("INDIRECT(""'收支紀錄'!S""&amp;TO_TEXT(ROW()-$C$72))"),"")</f>
        <v/>
      </c>
      <c r="T1992" s="61" t="str">
        <f>IFERROR(__xludf.DUMMYFUNCTION("INDIRECT(""'收支紀錄'!T""&amp;TO_TEXT(ROW()-$C$72))"),"")</f>
        <v/>
      </c>
      <c r="U1992" s="62" t="str">
        <f>IFERROR(__xludf.DUMMYFUNCTION("IF(T1992=""是"",TEXTJOIN("""", TRUE, ""$"", TO_TEXT(C1992), S1992),"""")"),"")</f>
        <v/>
      </c>
    </row>
    <row r="1993">
      <c r="A1993" s="58" t="str">
        <f>IFERROR(__xludf.DUMMYFUNCTION("INDIRECT(""'收支紀錄'!A""&amp;TO_TEXT(ROW()-$C$72))"),"")</f>
        <v/>
      </c>
      <c r="B1993" s="59" t="str">
        <f>IFERROR(__xludf.DUMMYFUNCTION("IF(ISBLANK(D1993), """", IF(ISDATE(D1993), D1993, IF(D1993=""今天"", A1993, IF(D1993=""昨天 (-1 day)"", A1993-1, IF(D1993=""前天 (-2 days)"", A1993-2, IF(D1993=""明天 (+1 day)"", A1993+1, DATE(LEFT(D1993,4), MID(D1993,5,2), RIGHT(D1993,2))))))))"),"")</f>
        <v/>
      </c>
      <c r="C1993" s="60" t="str">
        <f>IFERROR(__xludf.DUMMYFUNCTION("INDIRECT(""'收支紀錄'!C""&amp;TO_TEXT(ROW()-$C$72))"),"")</f>
        <v/>
      </c>
      <c r="D1993" s="63" t="str">
        <f>IFERROR(__xludf.DUMMYFUNCTION("INDIRECT(""'收支紀錄'!D""&amp;TO_TEXT(ROW()-$C$72))"),"")</f>
        <v/>
      </c>
      <c r="E1993" s="61" t="str">
        <f>IFERROR(__xludf.DUMMYFUNCTION("INDIRECT(""'收支紀錄'!E""&amp;TO_TEXT(ROW()-$C$72))"),"")</f>
        <v/>
      </c>
      <c r="F1993" s="61" t="str">
        <f>IFERROR(__xludf.DUMMYFUNCTION("INDIRECT(""'收支紀錄'!F""&amp;TO_TEXT(ROW()-$C$72))"),"")</f>
        <v/>
      </c>
      <c r="G1993" s="61" t="str">
        <f>IFERROR(__xludf.DUMMYFUNCTION("INDIRECT(""'收支紀錄'!G""&amp;TO_TEXT(ROW()-$C$72))"),"")</f>
        <v/>
      </c>
      <c r="H1993" s="61" t="str">
        <f>IFERROR(__xludf.DUMMYFUNCTION("INDIRECT(""'收支紀錄'!H""&amp;TO_TEXT(ROW()-$C$72))"),"")</f>
        <v/>
      </c>
      <c r="I1993" s="61" t="str">
        <f>IFERROR(__xludf.DUMMYFUNCTION("INDIRECT(""'收支紀錄'!I""&amp;TO_TEXT(ROW()-$C$72))"),"")</f>
        <v/>
      </c>
      <c r="J1993" s="61" t="str">
        <f>IFERROR(__xludf.DUMMYFUNCTION("INDIRECT(""'收支紀錄'!J""&amp;TO_TEXT(ROW()-$C$72))"),"")</f>
        <v/>
      </c>
      <c r="K1993" s="61" t="str">
        <f>IFERROR(__xludf.DUMMYFUNCTION("INDIRECT(""'收支紀錄'!K""&amp;TO_TEXT(ROW()-$C$72))"),"")</f>
        <v/>
      </c>
      <c r="L1993" s="61" t="str">
        <f>IFERROR(__xludf.DUMMYFUNCTION("INDIRECT(""'收支紀錄'!L""&amp;TO_TEXT(ROW()-$C$72))"),"")</f>
        <v/>
      </c>
      <c r="M1993" s="61" t="str">
        <f>IFERROR(__xludf.DUMMYFUNCTION("INDIRECT(""'收支紀錄'!M""&amp;TO_TEXT(ROW()-$C$72))"),"")</f>
        <v/>
      </c>
      <c r="N1993" s="61" t="str">
        <f>IFERROR(__xludf.DUMMYFUNCTION("INDIRECT(""'收支紀錄'!N""&amp;TO_TEXT(ROW()-$C$72))"),"")</f>
        <v/>
      </c>
      <c r="O1993" s="61" t="str">
        <f>IFERROR(__xludf.DUMMYFUNCTION("INDIRECT(""'收支紀錄'!O""&amp;TO_TEXT(ROW()-$C$72))"),"")</f>
        <v/>
      </c>
      <c r="P1993" s="61" t="str">
        <f>IFERROR(__xludf.DUMMYFUNCTION("INDIRECT(""'收支紀錄'!P""&amp;TO_TEXT(ROW()-$C$72))"),"")</f>
        <v/>
      </c>
      <c r="Q1993" s="61" t="str">
        <f>IFERROR(__xludf.DUMMYFUNCTION("INDIRECT(""'收支紀錄'!Q""&amp;TO_TEXT(ROW()-$C$72))"),"")</f>
        <v/>
      </c>
      <c r="R1993" s="61" t="str">
        <f>IFERROR(__xludf.DUMMYFUNCTION("INDIRECT(""'收支紀錄'!R""&amp;TO_TEXT(ROW()-$C$72))"),"")</f>
        <v/>
      </c>
      <c r="S1993" s="61" t="str">
        <f>IFERROR(__xludf.DUMMYFUNCTION("INDIRECT(""'收支紀錄'!S""&amp;TO_TEXT(ROW()-$C$72))"),"")</f>
        <v/>
      </c>
      <c r="T1993" s="61" t="str">
        <f>IFERROR(__xludf.DUMMYFUNCTION("INDIRECT(""'收支紀錄'!T""&amp;TO_TEXT(ROW()-$C$72))"),"")</f>
        <v/>
      </c>
      <c r="U1993" s="62" t="str">
        <f>IFERROR(__xludf.DUMMYFUNCTION("IF(T1993=""是"",TEXTJOIN("""", TRUE, ""$"", TO_TEXT(C1993), S1993),"""")"),"")</f>
        <v/>
      </c>
    </row>
    <row r="1994">
      <c r="A1994" s="58" t="str">
        <f>IFERROR(__xludf.DUMMYFUNCTION("INDIRECT(""'收支紀錄'!A""&amp;TO_TEXT(ROW()-$C$72))"),"")</f>
        <v/>
      </c>
      <c r="B1994" s="59" t="str">
        <f>IFERROR(__xludf.DUMMYFUNCTION("IF(ISBLANK(D1994), """", IF(ISDATE(D1994), D1994, IF(D1994=""今天"", A1994, IF(D1994=""昨天 (-1 day)"", A1994-1, IF(D1994=""前天 (-2 days)"", A1994-2, IF(D1994=""明天 (+1 day)"", A1994+1, DATE(LEFT(D1994,4), MID(D1994,5,2), RIGHT(D1994,2))))))))"),"")</f>
        <v/>
      </c>
      <c r="C1994" s="60" t="str">
        <f>IFERROR(__xludf.DUMMYFUNCTION("INDIRECT(""'收支紀錄'!C""&amp;TO_TEXT(ROW()-$C$72))"),"")</f>
        <v/>
      </c>
      <c r="D1994" s="63" t="str">
        <f>IFERROR(__xludf.DUMMYFUNCTION("INDIRECT(""'收支紀錄'!D""&amp;TO_TEXT(ROW()-$C$72))"),"")</f>
        <v/>
      </c>
      <c r="E1994" s="61" t="str">
        <f>IFERROR(__xludf.DUMMYFUNCTION("INDIRECT(""'收支紀錄'!E""&amp;TO_TEXT(ROW()-$C$72))"),"")</f>
        <v/>
      </c>
      <c r="F1994" s="61" t="str">
        <f>IFERROR(__xludf.DUMMYFUNCTION("INDIRECT(""'收支紀錄'!F""&amp;TO_TEXT(ROW()-$C$72))"),"")</f>
        <v/>
      </c>
      <c r="G1994" s="61" t="str">
        <f>IFERROR(__xludf.DUMMYFUNCTION("INDIRECT(""'收支紀錄'!G""&amp;TO_TEXT(ROW()-$C$72))"),"")</f>
        <v/>
      </c>
      <c r="H1994" s="61" t="str">
        <f>IFERROR(__xludf.DUMMYFUNCTION("INDIRECT(""'收支紀錄'!H""&amp;TO_TEXT(ROW()-$C$72))"),"")</f>
        <v/>
      </c>
      <c r="I1994" s="61" t="str">
        <f>IFERROR(__xludf.DUMMYFUNCTION("INDIRECT(""'收支紀錄'!I""&amp;TO_TEXT(ROW()-$C$72))"),"")</f>
        <v/>
      </c>
      <c r="J1994" s="61" t="str">
        <f>IFERROR(__xludf.DUMMYFUNCTION("INDIRECT(""'收支紀錄'!J""&amp;TO_TEXT(ROW()-$C$72))"),"")</f>
        <v/>
      </c>
      <c r="K1994" s="61" t="str">
        <f>IFERROR(__xludf.DUMMYFUNCTION("INDIRECT(""'收支紀錄'!K""&amp;TO_TEXT(ROW()-$C$72))"),"")</f>
        <v/>
      </c>
      <c r="L1994" s="61" t="str">
        <f>IFERROR(__xludf.DUMMYFUNCTION("INDIRECT(""'收支紀錄'!L""&amp;TO_TEXT(ROW()-$C$72))"),"")</f>
        <v/>
      </c>
      <c r="M1994" s="61" t="str">
        <f>IFERROR(__xludf.DUMMYFUNCTION("INDIRECT(""'收支紀錄'!M""&amp;TO_TEXT(ROW()-$C$72))"),"")</f>
        <v/>
      </c>
      <c r="N1994" s="61" t="str">
        <f>IFERROR(__xludf.DUMMYFUNCTION("INDIRECT(""'收支紀錄'!N""&amp;TO_TEXT(ROW()-$C$72))"),"")</f>
        <v/>
      </c>
      <c r="O1994" s="61" t="str">
        <f>IFERROR(__xludf.DUMMYFUNCTION("INDIRECT(""'收支紀錄'!O""&amp;TO_TEXT(ROW()-$C$72))"),"")</f>
        <v/>
      </c>
      <c r="P1994" s="61" t="str">
        <f>IFERROR(__xludf.DUMMYFUNCTION("INDIRECT(""'收支紀錄'!P""&amp;TO_TEXT(ROW()-$C$72))"),"")</f>
        <v/>
      </c>
      <c r="Q1994" s="61" t="str">
        <f>IFERROR(__xludf.DUMMYFUNCTION("INDIRECT(""'收支紀錄'!Q""&amp;TO_TEXT(ROW()-$C$72))"),"")</f>
        <v/>
      </c>
      <c r="R1994" s="61" t="str">
        <f>IFERROR(__xludf.DUMMYFUNCTION("INDIRECT(""'收支紀錄'!R""&amp;TO_TEXT(ROW()-$C$72))"),"")</f>
        <v/>
      </c>
      <c r="S1994" s="61" t="str">
        <f>IFERROR(__xludf.DUMMYFUNCTION("INDIRECT(""'收支紀錄'!S""&amp;TO_TEXT(ROW()-$C$72))"),"")</f>
        <v/>
      </c>
      <c r="T1994" s="61" t="str">
        <f>IFERROR(__xludf.DUMMYFUNCTION("INDIRECT(""'收支紀錄'!T""&amp;TO_TEXT(ROW()-$C$72))"),"")</f>
        <v/>
      </c>
      <c r="U1994" s="62" t="str">
        <f>IFERROR(__xludf.DUMMYFUNCTION("IF(T1994=""是"",TEXTJOIN("""", TRUE, ""$"", TO_TEXT(C1994), S1994),"""")"),"")</f>
        <v/>
      </c>
    </row>
    <row r="1995">
      <c r="A1995" s="58" t="str">
        <f>IFERROR(__xludf.DUMMYFUNCTION("INDIRECT(""'收支紀錄'!A""&amp;TO_TEXT(ROW()-$C$72))"),"")</f>
        <v/>
      </c>
      <c r="B1995" s="59" t="str">
        <f>IFERROR(__xludf.DUMMYFUNCTION("IF(ISBLANK(D1995), """", IF(ISDATE(D1995), D1995, IF(D1995=""今天"", A1995, IF(D1995=""昨天 (-1 day)"", A1995-1, IF(D1995=""前天 (-2 days)"", A1995-2, IF(D1995=""明天 (+1 day)"", A1995+1, DATE(LEFT(D1995,4), MID(D1995,5,2), RIGHT(D1995,2))))))))"),"")</f>
        <v/>
      </c>
      <c r="C1995" s="60" t="str">
        <f>IFERROR(__xludf.DUMMYFUNCTION("INDIRECT(""'收支紀錄'!C""&amp;TO_TEXT(ROW()-$C$72))"),"")</f>
        <v/>
      </c>
      <c r="D1995" s="63" t="str">
        <f>IFERROR(__xludf.DUMMYFUNCTION("INDIRECT(""'收支紀錄'!D""&amp;TO_TEXT(ROW()-$C$72))"),"")</f>
        <v/>
      </c>
      <c r="E1995" s="61" t="str">
        <f>IFERROR(__xludf.DUMMYFUNCTION("INDIRECT(""'收支紀錄'!E""&amp;TO_TEXT(ROW()-$C$72))"),"")</f>
        <v/>
      </c>
      <c r="F1995" s="61" t="str">
        <f>IFERROR(__xludf.DUMMYFUNCTION("INDIRECT(""'收支紀錄'!F""&amp;TO_TEXT(ROW()-$C$72))"),"")</f>
        <v/>
      </c>
      <c r="G1995" s="61" t="str">
        <f>IFERROR(__xludf.DUMMYFUNCTION("INDIRECT(""'收支紀錄'!G""&amp;TO_TEXT(ROW()-$C$72))"),"")</f>
        <v/>
      </c>
      <c r="H1995" s="61" t="str">
        <f>IFERROR(__xludf.DUMMYFUNCTION("INDIRECT(""'收支紀錄'!H""&amp;TO_TEXT(ROW()-$C$72))"),"")</f>
        <v/>
      </c>
      <c r="I1995" s="61" t="str">
        <f>IFERROR(__xludf.DUMMYFUNCTION("INDIRECT(""'收支紀錄'!I""&amp;TO_TEXT(ROW()-$C$72))"),"")</f>
        <v/>
      </c>
      <c r="J1995" s="61" t="str">
        <f>IFERROR(__xludf.DUMMYFUNCTION("INDIRECT(""'收支紀錄'!J""&amp;TO_TEXT(ROW()-$C$72))"),"")</f>
        <v/>
      </c>
      <c r="K1995" s="61" t="str">
        <f>IFERROR(__xludf.DUMMYFUNCTION("INDIRECT(""'收支紀錄'!K""&amp;TO_TEXT(ROW()-$C$72))"),"")</f>
        <v/>
      </c>
      <c r="L1995" s="61" t="str">
        <f>IFERROR(__xludf.DUMMYFUNCTION("INDIRECT(""'收支紀錄'!L""&amp;TO_TEXT(ROW()-$C$72))"),"")</f>
        <v/>
      </c>
      <c r="M1995" s="61" t="str">
        <f>IFERROR(__xludf.DUMMYFUNCTION("INDIRECT(""'收支紀錄'!M""&amp;TO_TEXT(ROW()-$C$72))"),"")</f>
        <v/>
      </c>
      <c r="N1995" s="61" t="str">
        <f>IFERROR(__xludf.DUMMYFUNCTION("INDIRECT(""'收支紀錄'!N""&amp;TO_TEXT(ROW()-$C$72))"),"")</f>
        <v/>
      </c>
      <c r="O1995" s="61" t="str">
        <f>IFERROR(__xludf.DUMMYFUNCTION("INDIRECT(""'收支紀錄'!O""&amp;TO_TEXT(ROW()-$C$72))"),"")</f>
        <v/>
      </c>
      <c r="P1995" s="61" t="str">
        <f>IFERROR(__xludf.DUMMYFUNCTION("INDIRECT(""'收支紀錄'!P""&amp;TO_TEXT(ROW()-$C$72))"),"")</f>
        <v/>
      </c>
      <c r="Q1995" s="61" t="str">
        <f>IFERROR(__xludf.DUMMYFUNCTION("INDIRECT(""'收支紀錄'!Q""&amp;TO_TEXT(ROW()-$C$72))"),"")</f>
        <v/>
      </c>
      <c r="R1995" s="61" t="str">
        <f>IFERROR(__xludf.DUMMYFUNCTION("INDIRECT(""'收支紀錄'!R""&amp;TO_TEXT(ROW()-$C$72))"),"")</f>
        <v/>
      </c>
      <c r="S1995" s="61" t="str">
        <f>IFERROR(__xludf.DUMMYFUNCTION("INDIRECT(""'收支紀錄'!S""&amp;TO_TEXT(ROW()-$C$72))"),"")</f>
        <v/>
      </c>
      <c r="T1995" s="61" t="str">
        <f>IFERROR(__xludf.DUMMYFUNCTION("INDIRECT(""'收支紀錄'!T""&amp;TO_TEXT(ROW()-$C$72))"),"")</f>
        <v/>
      </c>
      <c r="U1995" s="62" t="str">
        <f>IFERROR(__xludf.DUMMYFUNCTION("IF(T1995=""是"",TEXTJOIN("""", TRUE, ""$"", TO_TEXT(C1995), S1995),"""")"),"")</f>
        <v/>
      </c>
    </row>
    <row r="1996">
      <c r="A1996" s="58" t="str">
        <f>IFERROR(__xludf.DUMMYFUNCTION("INDIRECT(""'收支紀錄'!A""&amp;TO_TEXT(ROW()-$C$72))"),"")</f>
        <v/>
      </c>
      <c r="B1996" s="59" t="str">
        <f>IFERROR(__xludf.DUMMYFUNCTION("IF(ISBLANK(D1996), """", IF(ISDATE(D1996), D1996, IF(D1996=""今天"", A1996, IF(D1996=""昨天 (-1 day)"", A1996-1, IF(D1996=""前天 (-2 days)"", A1996-2, IF(D1996=""明天 (+1 day)"", A1996+1, DATE(LEFT(D1996,4), MID(D1996,5,2), RIGHT(D1996,2))))))))"),"")</f>
        <v/>
      </c>
      <c r="C1996" s="60" t="str">
        <f>IFERROR(__xludf.DUMMYFUNCTION("INDIRECT(""'收支紀錄'!C""&amp;TO_TEXT(ROW()-$C$72))"),"")</f>
        <v/>
      </c>
      <c r="D1996" s="63" t="str">
        <f>IFERROR(__xludf.DUMMYFUNCTION("INDIRECT(""'收支紀錄'!D""&amp;TO_TEXT(ROW()-$C$72))"),"")</f>
        <v/>
      </c>
      <c r="E1996" s="61" t="str">
        <f>IFERROR(__xludf.DUMMYFUNCTION("INDIRECT(""'收支紀錄'!E""&amp;TO_TEXT(ROW()-$C$72))"),"")</f>
        <v/>
      </c>
      <c r="F1996" s="61" t="str">
        <f>IFERROR(__xludf.DUMMYFUNCTION("INDIRECT(""'收支紀錄'!F""&amp;TO_TEXT(ROW()-$C$72))"),"")</f>
        <v/>
      </c>
      <c r="G1996" s="61" t="str">
        <f>IFERROR(__xludf.DUMMYFUNCTION("INDIRECT(""'收支紀錄'!G""&amp;TO_TEXT(ROW()-$C$72))"),"")</f>
        <v/>
      </c>
      <c r="H1996" s="61" t="str">
        <f>IFERROR(__xludf.DUMMYFUNCTION("INDIRECT(""'收支紀錄'!H""&amp;TO_TEXT(ROW()-$C$72))"),"")</f>
        <v/>
      </c>
      <c r="I1996" s="61" t="str">
        <f>IFERROR(__xludf.DUMMYFUNCTION("INDIRECT(""'收支紀錄'!I""&amp;TO_TEXT(ROW()-$C$72))"),"")</f>
        <v/>
      </c>
      <c r="J1996" s="61" t="str">
        <f>IFERROR(__xludf.DUMMYFUNCTION("INDIRECT(""'收支紀錄'!J""&amp;TO_TEXT(ROW()-$C$72))"),"")</f>
        <v/>
      </c>
      <c r="K1996" s="61" t="str">
        <f>IFERROR(__xludf.DUMMYFUNCTION("INDIRECT(""'收支紀錄'!K""&amp;TO_TEXT(ROW()-$C$72))"),"")</f>
        <v/>
      </c>
      <c r="L1996" s="61" t="str">
        <f>IFERROR(__xludf.DUMMYFUNCTION("INDIRECT(""'收支紀錄'!L""&amp;TO_TEXT(ROW()-$C$72))"),"")</f>
        <v/>
      </c>
      <c r="M1996" s="61" t="str">
        <f>IFERROR(__xludf.DUMMYFUNCTION("INDIRECT(""'收支紀錄'!M""&amp;TO_TEXT(ROW()-$C$72))"),"")</f>
        <v/>
      </c>
      <c r="N1996" s="61" t="str">
        <f>IFERROR(__xludf.DUMMYFUNCTION("INDIRECT(""'收支紀錄'!N""&amp;TO_TEXT(ROW()-$C$72))"),"")</f>
        <v/>
      </c>
      <c r="O1996" s="61" t="str">
        <f>IFERROR(__xludf.DUMMYFUNCTION("INDIRECT(""'收支紀錄'!O""&amp;TO_TEXT(ROW()-$C$72))"),"")</f>
        <v/>
      </c>
      <c r="P1996" s="61" t="str">
        <f>IFERROR(__xludf.DUMMYFUNCTION("INDIRECT(""'收支紀錄'!P""&amp;TO_TEXT(ROW()-$C$72))"),"")</f>
        <v/>
      </c>
      <c r="Q1996" s="61" t="str">
        <f>IFERROR(__xludf.DUMMYFUNCTION("INDIRECT(""'收支紀錄'!Q""&amp;TO_TEXT(ROW()-$C$72))"),"")</f>
        <v/>
      </c>
      <c r="R1996" s="61" t="str">
        <f>IFERROR(__xludf.DUMMYFUNCTION("INDIRECT(""'收支紀錄'!R""&amp;TO_TEXT(ROW()-$C$72))"),"")</f>
        <v/>
      </c>
      <c r="S1996" s="61" t="str">
        <f>IFERROR(__xludf.DUMMYFUNCTION("INDIRECT(""'收支紀錄'!S""&amp;TO_TEXT(ROW()-$C$72))"),"")</f>
        <v/>
      </c>
      <c r="T1996" s="61" t="str">
        <f>IFERROR(__xludf.DUMMYFUNCTION("INDIRECT(""'收支紀錄'!T""&amp;TO_TEXT(ROW()-$C$72))"),"")</f>
        <v/>
      </c>
      <c r="U1996" s="62" t="str">
        <f>IFERROR(__xludf.DUMMYFUNCTION("IF(T1996=""是"",TEXTJOIN("""", TRUE, ""$"", TO_TEXT(C1996), S1996),"""")"),"")</f>
        <v/>
      </c>
    </row>
    <row r="1997">
      <c r="A1997" s="58" t="str">
        <f>IFERROR(__xludf.DUMMYFUNCTION("INDIRECT(""'收支紀錄'!A""&amp;TO_TEXT(ROW()-$C$72))"),"")</f>
        <v/>
      </c>
      <c r="B1997" s="59" t="str">
        <f>IFERROR(__xludf.DUMMYFUNCTION("IF(ISBLANK(D1997), """", IF(ISDATE(D1997), D1997, IF(D1997=""今天"", A1997, IF(D1997=""昨天 (-1 day)"", A1997-1, IF(D1997=""前天 (-2 days)"", A1997-2, IF(D1997=""明天 (+1 day)"", A1997+1, DATE(LEFT(D1997,4), MID(D1997,5,2), RIGHT(D1997,2))))))))"),"")</f>
        <v/>
      </c>
      <c r="C1997" s="60" t="str">
        <f>IFERROR(__xludf.DUMMYFUNCTION("INDIRECT(""'收支紀錄'!C""&amp;TO_TEXT(ROW()-$C$72))"),"")</f>
        <v/>
      </c>
      <c r="D1997" s="63" t="str">
        <f>IFERROR(__xludf.DUMMYFUNCTION("INDIRECT(""'收支紀錄'!D""&amp;TO_TEXT(ROW()-$C$72))"),"")</f>
        <v/>
      </c>
      <c r="E1997" s="61" t="str">
        <f>IFERROR(__xludf.DUMMYFUNCTION("INDIRECT(""'收支紀錄'!E""&amp;TO_TEXT(ROW()-$C$72))"),"")</f>
        <v/>
      </c>
      <c r="F1997" s="61" t="str">
        <f>IFERROR(__xludf.DUMMYFUNCTION("INDIRECT(""'收支紀錄'!F""&amp;TO_TEXT(ROW()-$C$72))"),"")</f>
        <v/>
      </c>
      <c r="G1997" s="61" t="str">
        <f>IFERROR(__xludf.DUMMYFUNCTION("INDIRECT(""'收支紀錄'!G""&amp;TO_TEXT(ROW()-$C$72))"),"")</f>
        <v/>
      </c>
      <c r="H1997" s="61" t="str">
        <f>IFERROR(__xludf.DUMMYFUNCTION("INDIRECT(""'收支紀錄'!H""&amp;TO_TEXT(ROW()-$C$72))"),"")</f>
        <v/>
      </c>
      <c r="I1997" s="61" t="str">
        <f>IFERROR(__xludf.DUMMYFUNCTION("INDIRECT(""'收支紀錄'!I""&amp;TO_TEXT(ROW()-$C$72))"),"")</f>
        <v/>
      </c>
      <c r="J1997" s="61" t="str">
        <f>IFERROR(__xludf.DUMMYFUNCTION("INDIRECT(""'收支紀錄'!J""&amp;TO_TEXT(ROW()-$C$72))"),"")</f>
        <v/>
      </c>
      <c r="K1997" s="61" t="str">
        <f>IFERROR(__xludf.DUMMYFUNCTION("INDIRECT(""'收支紀錄'!K""&amp;TO_TEXT(ROW()-$C$72))"),"")</f>
        <v/>
      </c>
      <c r="L1997" s="61" t="str">
        <f>IFERROR(__xludf.DUMMYFUNCTION("INDIRECT(""'收支紀錄'!L""&amp;TO_TEXT(ROW()-$C$72))"),"")</f>
        <v/>
      </c>
      <c r="M1997" s="61" t="str">
        <f>IFERROR(__xludf.DUMMYFUNCTION("INDIRECT(""'收支紀錄'!M""&amp;TO_TEXT(ROW()-$C$72))"),"")</f>
        <v/>
      </c>
      <c r="N1997" s="61" t="str">
        <f>IFERROR(__xludf.DUMMYFUNCTION("INDIRECT(""'收支紀錄'!N""&amp;TO_TEXT(ROW()-$C$72))"),"")</f>
        <v/>
      </c>
      <c r="O1997" s="61" t="str">
        <f>IFERROR(__xludf.DUMMYFUNCTION("INDIRECT(""'收支紀錄'!O""&amp;TO_TEXT(ROW()-$C$72))"),"")</f>
        <v/>
      </c>
      <c r="P1997" s="61" t="str">
        <f>IFERROR(__xludf.DUMMYFUNCTION("INDIRECT(""'收支紀錄'!P""&amp;TO_TEXT(ROW()-$C$72))"),"")</f>
        <v/>
      </c>
      <c r="Q1997" s="61" t="str">
        <f>IFERROR(__xludf.DUMMYFUNCTION("INDIRECT(""'收支紀錄'!Q""&amp;TO_TEXT(ROW()-$C$72))"),"")</f>
        <v/>
      </c>
      <c r="R1997" s="61" t="str">
        <f>IFERROR(__xludf.DUMMYFUNCTION("INDIRECT(""'收支紀錄'!R""&amp;TO_TEXT(ROW()-$C$72))"),"")</f>
        <v/>
      </c>
      <c r="S1997" s="61" t="str">
        <f>IFERROR(__xludf.DUMMYFUNCTION("INDIRECT(""'收支紀錄'!S""&amp;TO_TEXT(ROW()-$C$72))"),"")</f>
        <v/>
      </c>
      <c r="T1997" s="61" t="str">
        <f>IFERROR(__xludf.DUMMYFUNCTION("INDIRECT(""'收支紀錄'!T""&amp;TO_TEXT(ROW()-$C$72))"),"")</f>
        <v/>
      </c>
      <c r="U1997" s="62" t="str">
        <f>IFERROR(__xludf.DUMMYFUNCTION("IF(T1997=""是"",TEXTJOIN("""", TRUE, ""$"", TO_TEXT(C1997), S1997),"""")"),"")</f>
        <v/>
      </c>
    </row>
    <row r="1998">
      <c r="A1998" s="58" t="str">
        <f>IFERROR(__xludf.DUMMYFUNCTION("INDIRECT(""'收支紀錄'!A""&amp;TO_TEXT(ROW()-$C$72))"),"")</f>
        <v/>
      </c>
      <c r="B1998" s="59" t="str">
        <f>IFERROR(__xludf.DUMMYFUNCTION("IF(ISBLANK(D1998), """", IF(ISDATE(D1998), D1998, IF(D1998=""今天"", A1998, IF(D1998=""昨天 (-1 day)"", A1998-1, IF(D1998=""前天 (-2 days)"", A1998-2, IF(D1998=""明天 (+1 day)"", A1998+1, DATE(LEFT(D1998,4), MID(D1998,5,2), RIGHT(D1998,2))))))))"),"")</f>
        <v/>
      </c>
      <c r="C1998" s="60" t="str">
        <f>IFERROR(__xludf.DUMMYFUNCTION("INDIRECT(""'收支紀錄'!C""&amp;TO_TEXT(ROW()-$C$72))"),"")</f>
        <v/>
      </c>
      <c r="D1998" s="63" t="str">
        <f>IFERROR(__xludf.DUMMYFUNCTION("INDIRECT(""'收支紀錄'!D""&amp;TO_TEXT(ROW()-$C$72))"),"")</f>
        <v/>
      </c>
      <c r="E1998" s="61" t="str">
        <f>IFERROR(__xludf.DUMMYFUNCTION("INDIRECT(""'收支紀錄'!E""&amp;TO_TEXT(ROW()-$C$72))"),"")</f>
        <v/>
      </c>
      <c r="F1998" s="61" t="str">
        <f>IFERROR(__xludf.DUMMYFUNCTION("INDIRECT(""'收支紀錄'!F""&amp;TO_TEXT(ROW()-$C$72))"),"")</f>
        <v/>
      </c>
      <c r="G1998" s="61" t="str">
        <f>IFERROR(__xludf.DUMMYFUNCTION("INDIRECT(""'收支紀錄'!G""&amp;TO_TEXT(ROW()-$C$72))"),"")</f>
        <v/>
      </c>
      <c r="H1998" s="61" t="str">
        <f>IFERROR(__xludf.DUMMYFUNCTION("INDIRECT(""'收支紀錄'!H""&amp;TO_TEXT(ROW()-$C$72))"),"")</f>
        <v/>
      </c>
      <c r="I1998" s="61" t="str">
        <f>IFERROR(__xludf.DUMMYFUNCTION("INDIRECT(""'收支紀錄'!I""&amp;TO_TEXT(ROW()-$C$72))"),"")</f>
        <v/>
      </c>
      <c r="J1998" s="61" t="str">
        <f>IFERROR(__xludf.DUMMYFUNCTION("INDIRECT(""'收支紀錄'!J""&amp;TO_TEXT(ROW()-$C$72))"),"")</f>
        <v/>
      </c>
      <c r="K1998" s="61" t="str">
        <f>IFERROR(__xludf.DUMMYFUNCTION("INDIRECT(""'收支紀錄'!K""&amp;TO_TEXT(ROW()-$C$72))"),"")</f>
        <v/>
      </c>
      <c r="L1998" s="61" t="str">
        <f>IFERROR(__xludf.DUMMYFUNCTION("INDIRECT(""'收支紀錄'!L""&amp;TO_TEXT(ROW()-$C$72))"),"")</f>
        <v/>
      </c>
      <c r="M1998" s="61" t="str">
        <f>IFERROR(__xludf.DUMMYFUNCTION("INDIRECT(""'收支紀錄'!M""&amp;TO_TEXT(ROW()-$C$72))"),"")</f>
        <v/>
      </c>
      <c r="N1998" s="61" t="str">
        <f>IFERROR(__xludf.DUMMYFUNCTION("INDIRECT(""'收支紀錄'!N""&amp;TO_TEXT(ROW()-$C$72))"),"")</f>
        <v/>
      </c>
      <c r="O1998" s="61" t="str">
        <f>IFERROR(__xludf.DUMMYFUNCTION("INDIRECT(""'收支紀錄'!O""&amp;TO_TEXT(ROW()-$C$72))"),"")</f>
        <v/>
      </c>
      <c r="P1998" s="61" t="str">
        <f>IFERROR(__xludf.DUMMYFUNCTION("INDIRECT(""'收支紀錄'!P""&amp;TO_TEXT(ROW()-$C$72))"),"")</f>
        <v/>
      </c>
      <c r="Q1998" s="61" t="str">
        <f>IFERROR(__xludf.DUMMYFUNCTION("INDIRECT(""'收支紀錄'!Q""&amp;TO_TEXT(ROW()-$C$72))"),"")</f>
        <v/>
      </c>
      <c r="R1998" s="61" t="str">
        <f>IFERROR(__xludf.DUMMYFUNCTION("INDIRECT(""'收支紀錄'!R""&amp;TO_TEXT(ROW()-$C$72))"),"")</f>
        <v/>
      </c>
      <c r="S1998" s="61" t="str">
        <f>IFERROR(__xludf.DUMMYFUNCTION("INDIRECT(""'收支紀錄'!S""&amp;TO_TEXT(ROW()-$C$72))"),"")</f>
        <v/>
      </c>
      <c r="T1998" s="61" t="str">
        <f>IFERROR(__xludf.DUMMYFUNCTION("INDIRECT(""'收支紀錄'!T""&amp;TO_TEXT(ROW()-$C$72))"),"")</f>
        <v/>
      </c>
      <c r="U1998" s="62" t="str">
        <f>IFERROR(__xludf.DUMMYFUNCTION("IF(T1998=""是"",TEXTJOIN("""", TRUE, ""$"", TO_TEXT(C1998), S1998),"""")"),"")</f>
        <v/>
      </c>
    </row>
    <row r="1999">
      <c r="A1999" s="58" t="str">
        <f>IFERROR(__xludf.DUMMYFUNCTION("INDIRECT(""'收支紀錄'!A""&amp;TO_TEXT(ROW()-$C$72))"),"")</f>
        <v/>
      </c>
      <c r="B1999" s="59" t="str">
        <f>IFERROR(__xludf.DUMMYFUNCTION("IF(ISBLANK(D1999), """", IF(ISDATE(D1999), D1999, IF(D1999=""今天"", A1999, IF(D1999=""昨天 (-1 day)"", A1999-1, IF(D1999=""前天 (-2 days)"", A1999-2, IF(D1999=""明天 (+1 day)"", A1999+1, DATE(LEFT(D1999,4), MID(D1999,5,2), RIGHT(D1999,2))))))))"),"")</f>
        <v/>
      </c>
      <c r="C1999" s="60" t="str">
        <f>IFERROR(__xludf.DUMMYFUNCTION("INDIRECT(""'收支紀錄'!C""&amp;TO_TEXT(ROW()-$C$72))"),"")</f>
        <v/>
      </c>
      <c r="D1999" s="63" t="str">
        <f>IFERROR(__xludf.DUMMYFUNCTION("INDIRECT(""'收支紀錄'!D""&amp;TO_TEXT(ROW()-$C$72))"),"")</f>
        <v/>
      </c>
      <c r="E1999" s="61" t="str">
        <f>IFERROR(__xludf.DUMMYFUNCTION("INDIRECT(""'收支紀錄'!E""&amp;TO_TEXT(ROW()-$C$72))"),"")</f>
        <v/>
      </c>
      <c r="F1999" s="61" t="str">
        <f>IFERROR(__xludf.DUMMYFUNCTION("INDIRECT(""'收支紀錄'!F""&amp;TO_TEXT(ROW()-$C$72))"),"")</f>
        <v/>
      </c>
      <c r="G1999" s="61" t="str">
        <f>IFERROR(__xludf.DUMMYFUNCTION("INDIRECT(""'收支紀錄'!G""&amp;TO_TEXT(ROW()-$C$72))"),"")</f>
        <v/>
      </c>
      <c r="H1999" s="61" t="str">
        <f>IFERROR(__xludf.DUMMYFUNCTION("INDIRECT(""'收支紀錄'!H""&amp;TO_TEXT(ROW()-$C$72))"),"")</f>
        <v/>
      </c>
      <c r="I1999" s="61" t="str">
        <f>IFERROR(__xludf.DUMMYFUNCTION("INDIRECT(""'收支紀錄'!I""&amp;TO_TEXT(ROW()-$C$72))"),"")</f>
        <v/>
      </c>
      <c r="J1999" s="61" t="str">
        <f>IFERROR(__xludf.DUMMYFUNCTION("INDIRECT(""'收支紀錄'!J""&amp;TO_TEXT(ROW()-$C$72))"),"")</f>
        <v/>
      </c>
      <c r="K1999" s="61" t="str">
        <f>IFERROR(__xludf.DUMMYFUNCTION("INDIRECT(""'收支紀錄'!K""&amp;TO_TEXT(ROW()-$C$72))"),"")</f>
        <v/>
      </c>
      <c r="L1999" s="61" t="str">
        <f>IFERROR(__xludf.DUMMYFUNCTION("INDIRECT(""'收支紀錄'!L""&amp;TO_TEXT(ROW()-$C$72))"),"")</f>
        <v/>
      </c>
      <c r="M1999" s="61" t="str">
        <f>IFERROR(__xludf.DUMMYFUNCTION("INDIRECT(""'收支紀錄'!M""&amp;TO_TEXT(ROW()-$C$72))"),"")</f>
        <v/>
      </c>
      <c r="N1999" s="61" t="str">
        <f>IFERROR(__xludf.DUMMYFUNCTION("INDIRECT(""'收支紀錄'!N""&amp;TO_TEXT(ROW()-$C$72))"),"")</f>
        <v/>
      </c>
      <c r="O1999" s="61" t="str">
        <f>IFERROR(__xludf.DUMMYFUNCTION("INDIRECT(""'收支紀錄'!O""&amp;TO_TEXT(ROW()-$C$72))"),"")</f>
        <v/>
      </c>
      <c r="P1999" s="61" t="str">
        <f>IFERROR(__xludf.DUMMYFUNCTION("INDIRECT(""'收支紀錄'!P""&amp;TO_TEXT(ROW()-$C$72))"),"")</f>
        <v/>
      </c>
      <c r="Q1999" s="61" t="str">
        <f>IFERROR(__xludf.DUMMYFUNCTION("INDIRECT(""'收支紀錄'!Q""&amp;TO_TEXT(ROW()-$C$72))"),"")</f>
        <v/>
      </c>
      <c r="R1999" s="61" t="str">
        <f>IFERROR(__xludf.DUMMYFUNCTION("INDIRECT(""'收支紀錄'!R""&amp;TO_TEXT(ROW()-$C$72))"),"")</f>
        <v/>
      </c>
      <c r="S1999" s="61" t="str">
        <f>IFERROR(__xludf.DUMMYFUNCTION("INDIRECT(""'收支紀錄'!S""&amp;TO_TEXT(ROW()-$C$72))"),"")</f>
        <v/>
      </c>
      <c r="T1999" s="61" t="str">
        <f>IFERROR(__xludf.DUMMYFUNCTION("INDIRECT(""'收支紀錄'!T""&amp;TO_TEXT(ROW()-$C$72))"),"")</f>
        <v/>
      </c>
      <c r="U1999" s="62" t="str">
        <f>IFERROR(__xludf.DUMMYFUNCTION("IF(T1999=""是"",TEXTJOIN("""", TRUE, ""$"", TO_TEXT(C1999), S1999),"""")"),"")</f>
        <v/>
      </c>
    </row>
    <row r="2000">
      <c r="A2000" s="58" t="str">
        <f>IFERROR(__xludf.DUMMYFUNCTION("INDIRECT(""'收支紀錄'!A""&amp;TO_TEXT(ROW()-$C$72))"),"")</f>
        <v/>
      </c>
      <c r="B2000" s="59" t="str">
        <f>IFERROR(__xludf.DUMMYFUNCTION("IF(ISBLANK(D2000), """", IF(ISDATE(D2000), D2000, IF(D2000=""今天"", A2000, IF(D2000=""昨天 (-1 day)"", A2000-1, IF(D2000=""前天 (-2 days)"", A2000-2, IF(D2000=""明天 (+1 day)"", A2000+1, DATE(LEFT(D2000,4), MID(D2000,5,2), RIGHT(D2000,2))))))))"),"")</f>
        <v/>
      </c>
      <c r="C2000" s="60" t="str">
        <f>IFERROR(__xludf.DUMMYFUNCTION("INDIRECT(""'收支紀錄'!C""&amp;TO_TEXT(ROW()-$C$72))"),"")</f>
        <v/>
      </c>
      <c r="D2000" s="63" t="str">
        <f>IFERROR(__xludf.DUMMYFUNCTION("INDIRECT(""'收支紀錄'!D""&amp;TO_TEXT(ROW()-$C$72))"),"")</f>
        <v/>
      </c>
      <c r="E2000" s="61" t="str">
        <f>IFERROR(__xludf.DUMMYFUNCTION("INDIRECT(""'收支紀錄'!E""&amp;TO_TEXT(ROW()-$C$72))"),"")</f>
        <v/>
      </c>
      <c r="F2000" s="61" t="str">
        <f>IFERROR(__xludf.DUMMYFUNCTION("INDIRECT(""'收支紀錄'!F""&amp;TO_TEXT(ROW()-$C$72))"),"")</f>
        <v/>
      </c>
      <c r="G2000" s="61" t="str">
        <f>IFERROR(__xludf.DUMMYFUNCTION("INDIRECT(""'收支紀錄'!G""&amp;TO_TEXT(ROW()-$C$72))"),"")</f>
        <v/>
      </c>
      <c r="H2000" s="61" t="str">
        <f>IFERROR(__xludf.DUMMYFUNCTION("INDIRECT(""'收支紀錄'!H""&amp;TO_TEXT(ROW()-$C$72))"),"")</f>
        <v/>
      </c>
      <c r="I2000" s="61" t="str">
        <f>IFERROR(__xludf.DUMMYFUNCTION("INDIRECT(""'收支紀錄'!I""&amp;TO_TEXT(ROW()-$C$72))"),"")</f>
        <v/>
      </c>
      <c r="J2000" s="61" t="str">
        <f>IFERROR(__xludf.DUMMYFUNCTION("INDIRECT(""'收支紀錄'!J""&amp;TO_TEXT(ROW()-$C$72))"),"")</f>
        <v/>
      </c>
      <c r="K2000" s="61" t="str">
        <f>IFERROR(__xludf.DUMMYFUNCTION("INDIRECT(""'收支紀錄'!K""&amp;TO_TEXT(ROW()-$C$72))"),"")</f>
        <v/>
      </c>
      <c r="L2000" s="61" t="str">
        <f>IFERROR(__xludf.DUMMYFUNCTION("INDIRECT(""'收支紀錄'!L""&amp;TO_TEXT(ROW()-$C$72))"),"")</f>
        <v/>
      </c>
      <c r="M2000" s="61" t="str">
        <f>IFERROR(__xludf.DUMMYFUNCTION("INDIRECT(""'收支紀錄'!M""&amp;TO_TEXT(ROW()-$C$72))"),"")</f>
        <v/>
      </c>
      <c r="N2000" s="61" t="str">
        <f>IFERROR(__xludf.DUMMYFUNCTION("INDIRECT(""'收支紀錄'!N""&amp;TO_TEXT(ROW()-$C$72))"),"")</f>
        <v/>
      </c>
      <c r="O2000" s="61" t="str">
        <f>IFERROR(__xludf.DUMMYFUNCTION("INDIRECT(""'收支紀錄'!O""&amp;TO_TEXT(ROW()-$C$72))"),"")</f>
        <v/>
      </c>
      <c r="P2000" s="61" t="str">
        <f>IFERROR(__xludf.DUMMYFUNCTION("INDIRECT(""'收支紀錄'!P""&amp;TO_TEXT(ROW()-$C$72))"),"")</f>
        <v/>
      </c>
      <c r="Q2000" s="61" t="str">
        <f>IFERROR(__xludf.DUMMYFUNCTION("INDIRECT(""'收支紀錄'!Q""&amp;TO_TEXT(ROW()-$C$72))"),"")</f>
        <v/>
      </c>
      <c r="R2000" s="61" t="str">
        <f>IFERROR(__xludf.DUMMYFUNCTION("INDIRECT(""'收支紀錄'!R""&amp;TO_TEXT(ROW()-$C$72))"),"")</f>
        <v/>
      </c>
      <c r="S2000" s="61" t="str">
        <f>IFERROR(__xludf.DUMMYFUNCTION("INDIRECT(""'收支紀錄'!S""&amp;TO_TEXT(ROW()-$C$72))"),"")</f>
        <v/>
      </c>
      <c r="T2000" s="61" t="str">
        <f>IFERROR(__xludf.DUMMYFUNCTION("INDIRECT(""'收支紀錄'!T""&amp;TO_TEXT(ROW()-$C$72))"),"")</f>
        <v/>
      </c>
      <c r="U2000" s="62" t="str">
        <f>IFERROR(__xludf.DUMMYFUNCTION("IF(T2000=""是"",TEXTJOIN("""", TRUE, ""$"", TO_TEXT(C2000), S2000),"""")"),"")</f>
        <v/>
      </c>
    </row>
    <row r="2001">
      <c r="A2001" s="58" t="str">
        <f>IFERROR(__xludf.DUMMYFUNCTION("INDIRECT(""'收支紀錄'!A""&amp;TO_TEXT(ROW()-$C$72))"),"")</f>
        <v/>
      </c>
      <c r="B2001" s="59" t="str">
        <f>IFERROR(__xludf.DUMMYFUNCTION("IF(ISBLANK(D2001), """", IF(ISDATE(D2001), D2001, IF(D2001=""今天"", A2001, IF(D2001=""昨天 (-1 day)"", A2001-1, IF(D2001=""前天 (-2 days)"", A2001-2, IF(D2001=""明天 (+1 day)"", A2001+1, DATE(LEFT(D2001,4), MID(D2001,5,2), RIGHT(D2001,2))))))))"),"")</f>
        <v/>
      </c>
      <c r="C2001" s="60" t="str">
        <f>IFERROR(__xludf.DUMMYFUNCTION("INDIRECT(""'收支紀錄'!C""&amp;TO_TEXT(ROW()-$C$72))"),"")</f>
        <v/>
      </c>
      <c r="D2001" s="63" t="str">
        <f>IFERROR(__xludf.DUMMYFUNCTION("INDIRECT(""'收支紀錄'!D""&amp;TO_TEXT(ROW()-$C$72))"),"")</f>
        <v/>
      </c>
      <c r="E2001" s="61" t="str">
        <f>IFERROR(__xludf.DUMMYFUNCTION("INDIRECT(""'收支紀錄'!E""&amp;TO_TEXT(ROW()-$C$72))"),"")</f>
        <v/>
      </c>
      <c r="F2001" s="61" t="str">
        <f>IFERROR(__xludf.DUMMYFUNCTION("INDIRECT(""'收支紀錄'!F""&amp;TO_TEXT(ROW()-$C$72))"),"")</f>
        <v/>
      </c>
      <c r="G2001" s="61" t="str">
        <f>IFERROR(__xludf.DUMMYFUNCTION("INDIRECT(""'收支紀錄'!G""&amp;TO_TEXT(ROW()-$C$72))"),"")</f>
        <v/>
      </c>
      <c r="H2001" s="61" t="str">
        <f>IFERROR(__xludf.DUMMYFUNCTION("INDIRECT(""'收支紀錄'!H""&amp;TO_TEXT(ROW()-$C$72))"),"")</f>
        <v/>
      </c>
      <c r="I2001" s="61" t="str">
        <f>IFERROR(__xludf.DUMMYFUNCTION("INDIRECT(""'收支紀錄'!I""&amp;TO_TEXT(ROW()-$C$72))"),"")</f>
        <v/>
      </c>
      <c r="J2001" s="61" t="str">
        <f>IFERROR(__xludf.DUMMYFUNCTION("INDIRECT(""'收支紀錄'!J""&amp;TO_TEXT(ROW()-$C$72))"),"")</f>
        <v/>
      </c>
      <c r="K2001" s="61" t="str">
        <f>IFERROR(__xludf.DUMMYFUNCTION("INDIRECT(""'收支紀錄'!K""&amp;TO_TEXT(ROW()-$C$72))"),"")</f>
        <v/>
      </c>
      <c r="L2001" s="61" t="str">
        <f>IFERROR(__xludf.DUMMYFUNCTION("INDIRECT(""'收支紀錄'!L""&amp;TO_TEXT(ROW()-$C$72))"),"")</f>
        <v/>
      </c>
      <c r="M2001" s="61" t="str">
        <f>IFERROR(__xludf.DUMMYFUNCTION("INDIRECT(""'收支紀錄'!M""&amp;TO_TEXT(ROW()-$C$72))"),"")</f>
        <v/>
      </c>
      <c r="N2001" s="61" t="str">
        <f>IFERROR(__xludf.DUMMYFUNCTION("INDIRECT(""'收支紀錄'!N""&amp;TO_TEXT(ROW()-$C$72))"),"")</f>
        <v/>
      </c>
      <c r="O2001" s="61" t="str">
        <f>IFERROR(__xludf.DUMMYFUNCTION("INDIRECT(""'收支紀錄'!O""&amp;TO_TEXT(ROW()-$C$72))"),"")</f>
        <v/>
      </c>
      <c r="P2001" s="61" t="str">
        <f>IFERROR(__xludf.DUMMYFUNCTION("INDIRECT(""'收支紀錄'!P""&amp;TO_TEXT(ROW()-$C$72))"),"")</f>
        <v/>
      </c>
      <c r="Q2001" s="61" t="str">
        <f>IFERROR(__xludf.DUMMYFUNCTION("INDIRECT(""'收支紀錄'!Q""&amp;TO_TEXT(ROW()-$C$72))"),"")</f>
        <v/>
      </c>
      <c r="R2001" s="61" t="str">
        <f>IFERROR(__xludf.DUMMYFUNCTION("INDIRECT(""'收支紀錄'!R""&amp;TO_TEXT(ROW()-$C$72))"),"")</f>
        <v/>
      </c>
      <c r="S2001" s="61" t="str">
        <f>IFERROR(__xludf.DUMMYFUNCTION("INDIRECT(""'收支紀錄'!S""&amp;TO_TEXT(ROW()-$C$72))"),"")</f>
        <v/>
      </c>
      <c r="T2001" s="61" t="str">
        <f>IFERROR(__xludf.DUMMYFUNCTION("INDIRECT(""'收支紀錄'!T""&amp;TO_TEXT(ROW()-$C$72))"),"")</f>
        <v/>
      </c>
      <c r="U2001" s="62" t="str">
        <f>IFERROR(__xludf.DUMMYFUNCTION("IF(T2001=""是"",TEXTJOIN("""", TRUE, ""$"", TO_TEXT(C2001), S2001),"""")"),"")</f>
        <v/>
      </c>
    </row>
    <row r="2002">
      <c r="A2002" s="58" t="str">
        <f>IFERROR(__xludf.DUMMYFUNCTION("INDIRECT(""'收支紀錄'!A""&amp;TO_TEXT(ROW()-$C$72))"),"")</f>
        <v/>
      </c>
      <c r="B2002" s="59" t="str">
        <f>IFERROR(__xludf.DUMMYFUNCTION("IF(ISBLANK(D2002), """", IF(ISDATE(D2002), D2002, IF(D2002=""今天"", A2002, IF(D2002=""昨天 (-1 day)"", A2002-1, IF(D2002=""前天 (-2 days)"", A2002-2, IF(D2002=""明天 (+1 day)"", A2002+1, DATE(LEFT(D2002,4), MID(D2002,5,2), RIGHT(D2002,2))))))))"),"")</f>
        <v/>
      </c>
      <c r="C2002" s="60" t="str">
        <f>IFERROR(__xludf.DUMMYFUNCTION("INDIRECT(""'收支紀錄'!C""&amp;TO_TEXT(ROW()-$C$72))"),"")</f>
        <v/>
      </c>
      <c r="D2002" s="63" t="str">
        <f>IFERROR(__xludf.DUMMYFUNCTION("INDIRECT(""'收支紀錄'!D""&amp;TO_TEXT(ROW()-$C$72))"),"")</f>
        <v/>
      </c>
      <c r="E2002" s="61" t="str">
        <f>IFERROR(__xludf.DUMMYFUNCTION("INDIRECT(""'收支紀錄'!E""&amp;TO_TEXT(ROW()-$C$72))"),"")</f>
        <v/>
      </c>
      <c r="F2002" s="61" t="str">
        <f>IFERROR(__xludf.DUMMYFUNCTION("INDIRECT(""'收支紀錄'!F""&amp;TO_TEXT(ROW()-$C$72))"),"")</f>
        <v/>
      </c>
      <c r="G2002" s="61" t="str">
        <f>IFERROR(__xludf.DUMMYFUNCTION("INDIRECT(""'收支紀錄'!G""&amp;TO_TEXT(ROW()-$C$72))"),"")</f>
        <v/>
      </c>
      <c r="H2002" s="61" t="str">
        <f>IFERROR(__xludf.DUMMYFUNCTION("INDIRECT(""'收支紀錄'!H""&amp;TO_TEXT(ROW()-$C$72))"),"")</f>
        <v/>
      </c>
      <c r="I2002" s="61" t="str">
        <f>IFERROR(__xludf.DUMMYFUNCTION("INDIRECT(""'收支紀錄'!I""&amp;TO_TEXT(ROW()-$C$72))"),"")</f>
        <v/>
      </c>
      <c r="J2002" s="61" t="str">
        <f>IFERROR(__xludf.DUMMYFUNCTION("INDIRECT(""'收支紀錄'!J""&amp;TO_TEXT(ROW()-$C$72))"),"")</f>
        <v/>
      </c>
      <c r="K2002" s="61" t="str">
        <f>IFERROR(__xludf.DUMMYFUNCTION("INDIRECT(""'收支紀錄'!K""&amp;TO_TEXT(ROW()-$C$72))"),"")</f>
        <v/>
      </c>
      <c r="L2002" s="61" t="str">
        <f>IFERROR(__xludf.DUMMYFUNCTION("INDIRECT(""'收支紀錄'!L""&amp;TO_TEXT(ROW()-$C$72))"),"")</f>
        <v/>
      </c>
      <c r="M2002" s="61" t="str">
        <f>IFERROR(__xludf.DUMMYFUNCTION("INDIRECT(""'收支紀錄'!M""&amp;TO_TEXT(ROW()-$C$72))"),"")</f>
        <v/>
      </c>
      <c r="N2002" s="61" t="str">
        <f>IFERROR(__xludf.DUMMYFUNCTION("INDIRECT(""'收支紀錄'!N""&amp;TO_TEXT(ROW()-$C$72))"),"")</f>
        <v/>
      </c>
      <c r="O2002" s="61" t="str">
        <f>IFERROR(__xludf.DUMMYFUNCTION("INDIRECT(""'收支紀錄'!O""&amp;TO_TEXT(ROW()-$C$72))"),"")</f>
        <v/>
      </c>
      <c r="P2002" s="61" t="str">
        <f>IFERROR(__xludf.DUMMYFUNCTION("INDIRECT(""'收支紀錄'!P""&amp;TO_TEXT(ROW()-$C$72))"),"")</f>
        <v/>
      </c>
      <c r="Q2002" s="61" t="str">
        <f>IFERROR(__xludf.DUMMYFUNCTION("INDIRECT(""'收支紀錄'!Q""&amp;TO_TEXT(ROW()-$C$72))"),"")</f>
        <v/>
      </c>
      <c r="R2002" s="61" t="str">
        <f>IFERROR(__xludf.DUMMYFUNCTION("INDIRECT(""'收支紀錄'!R""&amp;TO_TEXT(ROW()-$C$72))"),"")</f>
        <v/>
      </c>
      <c r="S2002" s="61" t="str">
        <f>IFERROR(__xludf.DUMMYFUNCTION("INDIRECT(""'收支紀錄'!S""&amp;TO_TEXT(ROW()-$C$72))"),"")</f>
        <v/>
      </c>
      <c r="T2002" s="61" t="str">
        <f>IFERROR(__xludf.DUMMYFUNCTION("INDIRECT(""'收支紀錄'!T""&amp;TO_TEXT(ROW()-$C$72))"),"")</f>
        <v/>
      </c>
      <c r="U2002" s="62" t="str">
        <f>IFERROR(__xludf.DUMMYFUNCTION("IF(T2002=""是"",TEXTJOIN("""", TRUE, ""$"", TO_TEXT(C2002), S2002),"""")"),"")</f>
        <v/>
      </c>
    </row>
    <row r="2003">
      <c r="A2003" s="58" t="str">
        <f>IFERROR(__xludf.DUMMYFUNCTION("INDIRECT(""'收支紀錄'!A""&amp;TO_TEXT(ROW()-$C$72))"),"")</f>
        <v/>
      </c>
      <c r="B2003" s="59" t="str">
        <f>IFERROR(__xludf.DUMMYFUNCTION("IF(ISBLANK(D2003), """", IF(ISDATE(D2003), D2003, IF(D2003=""今天"", A2003, IF(D2003=""昨天 (-1 day)"", A2003-1, IF(D2003=""前天 (-2 days)"", A2003-2, IF(D2003=""明天 (+1 day)"", A2003+1, DATE(LEFT(D2003,4), MID(D2003,5,2), RIGHT(D2003,2))))))))"),"")</f>
        <v/>
      </c>
      <c r="C2003" s="60" t="str">
        <f>IFERROR(__xludf.DUMMYFUNCTION("INDIRECT(""'收支紀錄'!C""&amp;TO_TEXT(ROW()-$C$72))"),"")</f>
        <v/>
      </c>
      <c r="D2003" s="63" t="str">
        <f>IFERROR(__xludf.DUMMYFUNCTION("INDIRECT(""'收支紀錄'!D""&amp;TO_TEXT(ROW()-$C$72))"),"")</f>
        <v/>
      </c>
      <c r="E2003" s="61" t="str">
        <f>IFERROR(__xludf.DUMMYFUNCTION("INDIRECT(""'收支紀錄'!E""&amp;TO_TEXT(ROW()-$C$72))"),"")</f>
        <v/>
      </c>
      <c r="F2003" s="61" t="str">
        <f>IFERROR(__xludf.DUMMYFUNCTION("INDIRECT(""'收支紀錄'!F""&amp;TO_TEXT(ROW()-$C$72))"),"")</f>
        <v/>
      </c>
      <c r="G2003" s="61" t="str">
        <f>IFERROR(__xludf.DUMMYFUNCTION("INDIRECT(""'收支紀錄'!G""&amp;TO_TEXT(ROW()-$C$72))"),"")</f>
        <v/>
      </c>
      <c r="H2003" s="61" t="str">
        <f>IFERROR(__xludf.DUMMYFUNCTION("INDIRECT(""'收支紀錄'!H""&amp;TO_TEXT(ROW()-$C$72))"),"")</f>
        <v/>
      </c>
      <c r="I2003" s="61" t="str">
        <f>IFERROR(__xludf.DUMMYFUNCTION("INDIRECT(""'收支紀錄'!I""&amp;TO_TEXT(ROW()-$C$72))"),"")</f>
        <v/>
      </c>
      <c r="J2003" s="61" t="str">
        <f>IFERROR(__xludf.DUMMYFUNCTION("INDIRECT(""'收支紀錄'!J""&amp;TO_TEXT(ROW()-$C$72))"),"")</f>
        <v/>
      </c>
      <c r="K2003" s="61" t="str">
        <f>IFERROR(__xludf.DUMMYFUNCTION("INDIRECT(""'收支紀錄'!K""&amp;TO_TEXT(ROW()-$C$72))"),"")</f>
        <v/>
      </c>
      <c r="L2003" s="61" t="str">
        <f>IFERROR(__xludf.DUMMYFUNCTION("INDIRECT(""'收支紀錄'!L""&amp;TO_TEXT(ROW()-$C$72))"),"")</f>
        <v/>
      </c>
      <c r="M2003" s="61" t="str">
        <f>IFERROR(__xludf.DUMMYFUNCTION("INDIRECT(""'收支紀錄'!M""&amp;TO_TEXT(ROW()-$C$72))"),"")</f>
        <v/>
      </c>
      <c r="N2003" s="61" t="str">
        <f>IFERROR(__xludf.DUMMYFUNCTION("INDIRECT(""'收支紀錄'!N""&amp;TO_TEXT(ROW()-$C$72))"),"")</f>
        <v/>
      </c>
      <c r="O2003" s="61" t="str">
        <f>IFERROR(__xludf.DUMMYFUNCTION("INDIRECT(""'收支紀錄'!O""&amp;TO_TEXT(ROW()-$C$72))"),"")</f>
        <v/>
      </c>
      <c r="P2003" s="61" t="str">
        <f>IFERROR(__xludf.DUMMYFUNCTION("INDIRECT(""'收支紀錄'!P""&amp;TO_TEXT(ROW()-$C$72))"),"")</f>
        <v/>
      </c>
      <c r="Q2003" s="61" t="str">
        <f>IFERROR(__xludf.DUMMYFUNCTION("INDIRECT(""'收支紀錄'!Q""&amp;TO_TEXT(ROW()-$C$72))"),"")</f>
        <v/>
      </c>
      <c r="R2003" s="61" t="str">
        <f>IFERROR(__xludf.DUMMYFUNCTION("INDIRECT(""'收支紀錄'!R""&amp;TO_TEXT(ROW()-$C$72))"),"")</f>
        <v/>
      </c>
      <c r="S2003" s="61" t="str">
        <f>IFERROR(__xludf.DUMMYFUNCTION("INDIRECT(""'收支紀錄'!S""&amp;TO_TEXT(ROW()-$C$72))"),"")</f>
        <v/>
      </c>
      <c r="T2003" s="61" t="str">
        <f>IFERROR(__xludf.DUMMYFUNCTION("INDIRECT(""'收支紀錄'!T""&amp;TO_TEXT(ROW()-$C$72))"),"")</f>
        <v/>
      </c>
      <c r="U2003" s="62" t="str">
        <f>IFERROR(__xludf.DUMMYFUNCTION("IF(T2003=""是"",TEXTJOIN("""", TRUE, ""$"", TO_TEXT(C2003), S2003),"""")"),"")</f>
        <v/>
      </c>
    </row>
    <row r="2004">
      <c r="A2004" s="58" t="str">
        <f>IFERROR(__xludf.DUMMYFUNCTION("INDIRECT(""'收支紀錄'!A""&amp;TO_TEXT(ROW()-$C$72))"),"")</f>
        <v/>
      </c>
      <c r="B2004" s="59" t="str">
        <f>IFERROR(__xludf.DUMMYFUNCTION("IF(ISBLANK(D2004), """", IF(ISDATE(D2004), D2004, IF(D2004=""今天"", A2004, IF(D2004=""昨天 (-1 day)"", A2004-1, IF(D2004=""前天 (-2 days)"", A2004-2, IF(D2004=""明天 (+1 day)"", A2004+1, DATE(LEFT(D2004,4), MID(D2004,5,2), RIGHT(D2004,2))))))))"),"")</f>
        <v/>
      </c>
      <c r="C2004" s="60" t="str">
        <f>IFERROR(__xludf.DUMMYFUNCTION("INDIRECT(""'收支紀錄'!C""&amp;TO_TEXT(ROW()-$C$72))"),"")</f>
        <v/>
      </c>
      <c r="D2004" s="63" t="str">
        <f>IFERROR(__xludf.DUMMYFUNCTION("INDIRECT(""'收支紀錄'!D""&amp;TO_TEXT(ROW()-$C$72))"),"")</f>
        <v/>
      </c>
      <c r="E2004" s="61" t="str">
        <f>IFERROR(__xludf.DUMMYFUNCTION("INDIRECT(""'收支紀錄'!E""&amp;TO_TEXT(ROW()-$C$72))"),"")</f>
        <v/>
      </c>
      <c r="F2004" s="61" t="str">
        <f>IFERROR(__xludf.DUMMYFUNCTION("INDIRECT(""'收支紀錄'!F""&amp;TO_TEXT(ROW()-$C$72))"),"")</f>
        <v/>
      </c>
      <c r="G2004" s="61" t="str">
        <f>IFERROR(__xludf.DUMMYFUNCTION("INDIRECT(""'收支紀錄'!G""&amp;TO_TEXT(ROW()-$C$72))"),"")</f>
        <v/>
      </c>
      <c r="H2004" s="61" t="str">
        <f>IFERROR(__xludf.DUMMYFUNCTION("INDIRECT(""'收支紀錄'!H""&amp;TO_TEXT(ROW()-$C$72))"),"")</f>
        <v/>
      </c>
      <c r="I2004" s="61" t="str">
        <f>IFERROR(__xludf.DUMMYFUNCTION("INDIRECT(""'收支紀錄'!I""&amp;TO_TEXT(ROW()-$C$72))"),"")</f>
        <v/>
      </c>
      <c r="J2004" s="61" t="str">
        <f>IFERROR(__xludf.DUMMYFUNCTION("INDIRECT(""'收支紀錄'!J""&amp;TO_TEXT(ROW()-$C$72))"),"")</f>
        <v/>
      </c>
      <c r="K2004" s="61" t="str">
        <f>IFERROR(__xludf.DUMMYFUNCTION("INDIRECT(""'收支紀錄'!K""&amp;TO_TEXT(ROW()-$C$72))"),"")</f>
        <v/>
      </c>
      <c r="L2004" s="61" t="str">
        <f>IFERROR(__xludf.DUMMYFUNCTION("INDIRECT(""'收支紀錄'!L""&amp;TO_TEXT(ROW()-$C$72))"),"")</f>
        <v/>
      </c>
      <c r="M2004" s="61" t="str">
        <f>IFERROR(__xludf.DUMMYFUNCTION("INDIRECT(""'收支紀錄'!M""&amp;TO_TEXT(ROW()-$C$72))"),"")</f>
        <v/>
      </c>
      <c r="N2004" s="61" t="str">
        <f>IFERROR(__xludf.DUMMYFUNCTION("INDIRECT(""'收支紀錄'!N""&amp;TO_TEXT(ROW()-$C$72))"),"")</f>
        <v/>
      </c>
      <c r="O2004" s="61" t="str">
        <f>IFERROR(__xludf.DUMMYFUNCTION("INDIRECT(""'收支紀錄'!O""&amp;TO_TEXT(ROW()-$C$72))"),"")</f>
        <v/>
      </c>
      <c r="P2004" s="61" t="str">
        <f>IFERROR(__xludf.DUMMYFUNCTION("INDIRECT(""'收支紀錄'!P""&amp;TO_TEXT(ROW()-$C$72))"),"")</f>
        <v/>
      </c>
      <c r="Q2004" s="61" t="str">
        <f>IFERROR(__xludf.DUMMYFUNCTION("INDIRECT(""'收支紀錄'!Q""&amp;TO_TEXT(ROW()-$C$72))"),"")</f>
        <v/>
      </c>
      <c r="R2004" s="61" t="str">
        <f>IFERROR(__xludf.DUMMYFUNCTION("INDIRECT(""'收支紀錄'!R""&amp;TO_TEXT(ROW()-$C$72))"),"")</f>
        <v/>
      </c>
      <c r="S2004" s="61" t="str">
        <f>IFERROR(__xludf.DUMMYFUNCTION("INDIRECT(""'收支紀錄'!S""&amp;TO_TEXT(ROW()-$C$72))"),"")</f>
        <v/>
      </c>
      <c r="T2004" s="61" t="str">
        <f>IFERROR(__xludf.DUMMYFUNCTION("INDIRECT(""'收支紀錄'!T""&amp;TO_TEXT(ROW()-$C$72))"),"")</f>
        <v/>
      </c>
      <c r="U2004" s="62" t="str">
        <f>IFERROR(__xludf.DUMMYFUNCTION("IF(T2004=""是"",TEXTJOIN("""", TRUE, ""$"", TO_TEXT(C2004), S2004),"""")"),"")</f>
        <v/>
      </c>
    </row>
    <row r="2005">
      <c r="A2005" s="58" t="str">
        <f>IFERROR(__xludf.DUMMYFUNCTION("INDIRECT(""'收支紀錄'!A""&amp;TO_TEXT(ROW()-$C$72))"),"")</f>
        <v/>
      </c>
      <c r="B2005" s="59" t="str">
        <f>IFERROR(__xludf.DUMMYFUNCTION("IF(ISBLANK(D2005), """", IF(ISDATE(D2005), D2005, IF(D2005=""今天"", A2005, IF(D2005=""昨天 (-1 day)"", A2005-1, IF(D2005=""前天 (-2 days)"", A2005-2, IF(D2005=""明天 (+1 day)"", A2005+1, DATE(LEFT(D2005,4), MID(D2005,5,2), RIGHT(D2005,2))))))))"),"")</f>
        <v/>
      </c>
      <c r="C2005" s="60" t="str">
        <f>IFERROR(__xludf.DUMMYFUNCTION("INDIRECT(""'收支紀錄'!C""&amp;TO_TEXT(ROW()-$C$72))"),"")</f>
        <v/>
      </c>
      <c r="D2005" s="63" t="str">
        <f>IFERROR(__xludf.DUMMYFUNCTION("INDIRECT(""'收支紀錄'!D""&amp;TO_TEXT(ROW()-$C$72))"),"")</f>
        <v/>
      </c>
      <c r="E2005" s="61" t="str">
        <f>IFERROR(__xludf.DUMMYFUNCTION("INDIRECT(""'收支紀錄'!E""&amp;TO_TEXT(ROW()-$C$72))"),"")</f>
        <v/>
      </c>
      <c r="F2005" s="61" t="str">
        <f>IFERROR(__xludf.DUMMYFUNCTION("INDIRECT(""'收支紀錄'!F""&amp;TO_TEXT(ROW()-$C$72))"),"")</f>
        <v/>
      </c>
      <c r="G2005" s="61" t="str">
        <f>IFERROR(__xludf.DUMMYFUNCTION("INDIRECT(""'收支紀錄'!G""&amp;TO_TEXT(ROW()-$C$72))"),"")</f>
        <v/>
      </c>
      <c r="H2005" s="61" t="str">
        <f>IFERROR(__xludf.DUMMYFUNCTION("INDIRECT(""'收支紀錄'!H""&amp;TO_TEXT(ROW()-$C$72))"),"")</f>
        <v/>
      </c>
      <c r="I2005" s="61" t="str">
        <f>IFERROR(__xludf.DUMMYFUNCTION("INDIRECT(""'收支紀錄'!I""&amp;TO_TEXT(ROW()-$C$72))"),"")</f>
        <v/>
      </c>
      <c r="J2005" s="61" t="str">
        <f>IFERROR(__xludf.DUMMYFUNCTION("INDIRECT(""'收支紀錄'!J""&amp;TO_TEXT(ROW()-$C$72))"),"")</f>
        <v/>
      </c>
      <c r="K2005" s="61" t="str">
        <f>IFERROR(__xludf.DUMMYFUNCTION("INDIRECT(""'收支紀錄'!K""&amp;TO_TEXT(ROW()-$C$72))"),"")</f>
        <v/>
      </c>
      <c r="L2005" s="61" t="str">
        <f>IFERROR(__xludf.DUMMYFUNCTION("INDIRECT(""'收支紀錄'!L""&amp;TO_TEXT(ROW()-$C$72))"),"")</f>
        <v/>
      </c>
      <c r="M2005" s="61" t="str">
        <f>IFERROR(__xludf.DUMMYFUNCTION("INDIRECT(""'收支紀錄'!M""&amp;TO_TEXT(ROW()-$C$72))"),"")</f>
        <v/>
      </c>
      <c r="N2005" s="61" t="str">
        <f>IFERROR(__xludf.DUMMYFUNCTION("INDIRECT(""'收支紀錄'!N""&amp;TO_TEXT(ROW()-$C$72))"),"")</f>
        <v/>
      </c>
      <c r="O2005" s="61" t="str">
        <f>IFERROR(__xludf.DUMMYFUNCTION("INDIRECT(""'收支紀錄'!O""&amp;TO_TEXT(ROW()-$C$72))"),"")</f>
        <v/>
      </c>
      <c r="P2005" s="61" t="str">
        <f>IFERROR(__xludf.DUMMYFUNCTION("INDIRECT(""'收支紀錄'!P""&amp;TO_TEXT(ROW()-$C$72))"),"")</f>
        <v/>
      </c>
      <c r="Q2005" s="61" t="str">
        <f>IFERROR(__xludf.DUMMYFUNCTION("INDIRECT(""'收支紀錄'!Q""&amp;TO_TEXT(ROW()-$C$72))"),"")</f>
        <v/>
      </c>
      <c r="R2005" s="61" t="str">
        <f>IFERROR(__xludf.DUMMYFUNCTION("INDIRECT(""'收支紀錄'!R""&amp;TO_TEXT(ROW()-$C$72))"),"")</f>
        <v/>
      </c>
      <c r="S2005" s="61" t="str">
        <f>IFERROR(__xludf.DUMMYFUNCTION("INDIRECT(""'收支紀錄'!S""&amp;TO_TEXT(ROW()-$C$72))"),"")</f>
        <v/>
      </c>
      <c r="T2005" s="61" t="str">
        <f>IFERROR(__xludf.DUMMYFUNCTION("INDIRECT(""'收支紀錄'!T""&amp;TO_TEXT(ROW()-$C$72))"),"")</f>
        <v/>
      </c>
      <c r="U2005" s="62" t="str">
        <f>IFERROR(__xludf.DUMMYFUNCTION("IF(T2005=""是"",TEXTJOIN("""", TRUE, ""$"", TO_TEXT(C2005), S2005),"""")"),"")</f>
        <v/>
      </c>
    </row>
    <row r="2006">
      <c r="A2006" s="58" t="str">
        <f>IFERROR(__xludf.DUMMYFUNCTION("INDIRECT(""'收支紀錄'!A""&amp;TO_TEXT(ROW()-$C$72))"),"")</f>
        <v/>
      </c>
      <c r="B2006" s="59" t="str">
        <f>IFERROR(__xludf.DUMMYFUNCTION("IF(ISBLANK(D2006), """", IF(ISDATE(D2006), D2006, IF(D2006=""今天"", A2006, IF(D2006=""昨天 (-1 day)"", A2006-1, IF(D2006=""前天 (-2 days)"", A2006-2, IF(D2006=""明天 (+1 day)"", A2006+1, DATE(LEFT(D2006,4), MID(D2006,5,2), RIGHT(D2006,2))))))))"),"")</f>
        <v/>
      </c>
      <c r="C2006" s="60" t="str">
        <f>IFERROR(__xludf.DUMMYFUNCTION("INDIRECT(""'收支紀錄'!C""&amp;TO_TEXT(ROW()-$C$72))"),"")</f>
        <v/>
      </c>
      <c r="D2006" s="63" t="str">
        <f>IFERROR(__xludf.DUMMYFUNCTION("INDIRECT(""'收支紀錄'!D""&amp;TO_TEXT(ROW()-$C$72))"),"")</f>
        <v/>
      </c>
      <c r="E2006" s="61" t="str">
        <f>IFERROR(__xludf.DUMMYFUNCTION("INDIRECT(""'收支紀錄'!E""&amp;TO_TEXT(ROW()-$C$72))"),"")</f>
        <v/>
      </c>
      <c r="F2006" s="61" t="str">
        <f>IFERROR(__xludf.DUMMYFUNCTION("INDIRECT(""'收支紀錄'!F""&amp;TO_TEXT(ROW()-$C$72))"),"")</f>
        <v/>
      </c>
      <c r="G2006" s="61" t="str">
        <f>IFERROR(__xludf.DUMMYFUNCTION("INDIRECT(""'收支紀錄'!G""&amp;TO_TEXT(ROW()-$C$72))"),"")</f>
        <v/>
      </c>
      <c r="H2006" s="61" t="str">
        <f>IFERROR(__xludf.DUMMYFUNCTION("INDIRECT(""'收支紀錄'!H""&amp;TO_TEXT(ROW()-$C$72))"),"")</f>
        <v/>
      </c>
      <c r="I2006" s="61" t="str">
        <f>IFERROR(__xludf.DUMMYFUNCTION("INDIRECT(""'收支紀錄'!I""&amp;TO_TEXT(ROW()-$C$72))"),"")</f>
        <v/>
      </c>
      <c r="J2006" s="61" t="str">
        <f>IFERROR(__xludf.DUMMYFUNCTION("INDIRECT(""'收支紀錄'!J""&amp;TO_TEXT(ROW()-$C$72))"),"")</f>
        <v/>
      </c>
      <c r="K2006" s="61" t="str">
        <f>IFERROR(__xludf.DUMMYFUNCTION("INDIRECT(""'收支紀錄'!K""&amp;TO_TEXT(ROW()-$C$72))"),"")</f>
        <v/>
      </c>
      <c r="L2006" s="61" t="str">
        <f>IFERROR(__xludf.DUMMYFUNCTION("INDIRECT(""'收支紀錄'!L""&amp;TO_TEXT(ROW()-$C$72))"),"")</f>
        <v/>
      </c>
      <c r="M2006" s="61" t="str">
        <f>IFERROR(__xludf.DUMMYFUNCTION("INDIRECT(""'收支紀錄'!M""&amp;TO_TEXT(ROW()-$C$72))"),"")</f>
        <v/>
      </c>
      <c r="N2006" s="61" t="str">
        <f>IFERROR(__xludf.DUMMYFUNCTION("INDIRECT(""'收支紀錄'!N""&amp;TO_TEXT(ROW()-$C$72))"),"")</f>
        <v/>
      </c>
      <c r="O2006" s="61" t="str">
        <f>IFERROR(__xludf.DUMMYFUNCTION("INDIRECT(""'收支紀錄'!O""&amp;TO_TEXT(ROW()-$C$72))"),"")</f>
        <v/>
      </c>
      <c r="P2006" s="61" t="str">
        <f>IFERROR(__xludf.DUMMYFUNCTION("INDIRECT(""'收支紀錄'!P""&amp;TO_TEXT(ROW()-$C$72))"),"")</f>
        <v/>
      </c>
      <c r="Q2006" s="61" t="str">
        <f>IFERROR(__xludf.DUMMYFUNCTION("INDIRECT(""'收支紀錄'!Q""&amp;TO_TEXT(ROW()-$C$72))"),"")</f>
        <v/>
      </c>
      <c r="R2006" s="61" t="str">
        <f>IFERROR(__xludf.DUMMYFUNCTION("INDIRECT(""'收支紀錄'!R""&amp;TO_TEXT(ROW()-$C$72))"),"")</f>
        <v/>
      </c>
      <c r="S2006" s="61" t="str">
        <f>IFERROR(__xludf.DUMMYFUNCTION("INDIRECT(""'收支紀錄'!S""&amp;TO_TEXT(ROW()-$C$72))"),"")</f>
        <v/>
      </c>
      <c r="T2006" s="61" t="str">
        <f>IFERROR(__xludf.DUMMYFUNCTION("INDIRECT(""'收支紀錄'!T""&amp;TO_TEXT(ROW()-$C$72))"),"")</f>
        <v/>
      </c>
      <c r="U2006" s="62" t="str">
        <f>IFERROR(__xludf.DUMMYFUNCTION("IF(T2006=""是"",TEXTJOIN("""", TRUE, ""$"", TO_TEXT(C2006), S2006),"""")"),"")</f>
        <v/>
      </c>
    </row>
    <row r="2007">
      <c r="A2007" s="58" t="str">
        <f>IFERROR(__xludf.DUMMYFUNCTION("INDIRECT(""'收支紀錄'!A""&amp;TO_TEXT(ROW()-$C$72))"),"")</f>
        <v/>
      </c>
      <c r="B2007" s="59" t="str">
        <f>IFERROR(__xludf.DUMMYFUNCTION("IF(ISBLANK(D2007), """", IF(ISDATE(D2007), D2007, IF(D2007=""今天"", A2007, IF(D2007=""昨天 (-1 day)"", A2007-1, IF(D2007=""前天 (-2 days)"", A2007-2, IF(D2007=""明天 (+1 day)"", A2007+1, DATE(LEFT(D2007,4), MID(D2007,5,2), RIGHT(D2007,2))))))))"),"")</f>
        <v/>
      </c>
      <c r="C2007" s="60" t="str">
        <f>IFERROR(__xludf.DUMMYFUNCTION("INDIRECT(""'收支紀錄'!C""&amp;TO_TEXT(ROW()-$C$72))"),"")</f>
        <v/>
      </c>
      <c r="D2007" s="63" t="str">
        <f>IFERROR(__xludf.DUMMYFUNCTION("INDIRECT(""'收支紀錄'!D""&amp;TO_TEXT(ROW()-$C$72))"),"")</f>
        <v/>
      </c>
      <c r="E2007" s="61" t="str">
        <f>IFERROR(__xludf.DUMMYFUNCTION("INDIRECT(""'收支紀錄'!E""&amp;TO_TEXT(ROW()-$C$72))"),"")</f>
        <v/>
      </c>
      <c r="F2007" s="61" t="str">
        <f>IFERROR(__xludf.DUMMYFUNCTION("INDIRECT(""'收支紀錄'!F""&amp;TO_TEXT(ROW()-$C$72))"),"")</f>
        <v/>
      </c>
      <c r="G2007" s="61" t="str">
        <f>IFERROR(__xludf.DUMMYFUNCTION("INDIRECT(""'收支紀錄'!G""&amp;TO_TEXT(ROW()-$C$72))"),"")</f>
        <v/>
      </c>
      <c r="H2007" s="61" t="str">
        <f>IFERROR(__xludf.DUMMYFUNCTION("INDIRECT(""'收支紀錄'!H""&amp;TO_TEXT(ROW()-$C$72))"),"")</f>
        <v/>
      </c>
      <c r="I2007" s="61" t="str">
        <f>IFERROR(__xludf.DUMMYFUNCTION("INDIRECT(""'收支紀錄'!I""&amp;TO_TEXT(ROW()-$C$72))"),"")</f>
        <v/>
      </c>
      <c r="J2007" s="61" t="str">
        <f>IFERROR(__xludf.DUMMYFUNCTION("INDIRECT(""'收支紀錄'!J""&amp;TO_TEXT(ROW()-$C$72))"),"")</f>
        <v/>
      </c>
      <c r="K2007" s="61" t="str">
        <f>IFERROR(__xludf.DUMMYFUNCTION("INDIRECT(""'收支紀錄'!K""&amp;TO_TEXT(ROW()-$C$72))"),"")</f>
        <v/>
      </c>
      <c r="L2007" s="61" t="str">
        <f>IFERROR(__xludf.DUMMYFUNCTION("INDIRECT(""'收支紀錄'!L""&amp;TO_TEXT(ROW()-$C$72))"),"")</f>
        <v/>
      </c>
      <c r="M2007" s="61" t="str">
        <f>IFERROR(__xludf.DUMMYFUNCTION("INDIRECT(""'收支紀錄'!M""&amp;TO_TEXT(ROW()-$C$72))"),"")</f>
        <v/>
      </c>
      <c r="N2007" s="61" t="str">
        <f>IFERROR(__xludf.DUMMYFUNCTION("INDIRECT(""'收支紀錄'!N""&amp;TO_TEXT(ROW()-$C$72))"),"")</f>
        <v/>
      </c>
      <c r="O2007" s="61" t="str">
        <f>IFERROR(__xludf.DUMMYFUNCTION("INDIRECT(""'收支紀錄'!O""&amp;TO_TEXT(ROW()-$C$72))"),"")</f>
        <v/>
      </c>
      <c r="P2007" s="61" t="str">
        <f>IFERROR(__xludf.DUMMYFUNCTION("INDIRECT(""'收支紀錄'!P""&amp;TO_TEXT(ROW()-$C$72))"),"")</f>
        <v/>
      </c>
      <c r="Q2007" s="61" t="str">
        <f>IFERROR(__xludf.DUMMYFUNCTION("INDIRECT(""'收支紀錄'!Q""&amp;TO_TEXT(ROW()-$C$72))"),"")</f>
        <v/>
      </c>
      <c r="R2007" s="61" t="str">
        <f>IFERROR(__xludf.DUMMYFUNCTION("INDIRECT(""'收支紀錄'!R""&amp;TO_TEXT(ROW()-$C$72))"),"")</f>
        <v/>
      </c>
      <c r="S2007" s="61" t="str">
        <f>IFERROR(__xludf.DUMMYFUNCTION("INDIRECT(""'收支紀錄'!S""&amp;TO_TEXT(ROW()-$C$72))"),"")</f>
        <v/>
      </c>
      <c r="T2007" s="61" t="str">
        <f>IFERROR(__xludf.DUMMYFUNCTION("INDIRECT(""'收支紀錄'!T""&amp;TO_TEXT(ROW()-$C$72))"),"")</f>
        <v/>
      </c>
      <c r="U2007" s="62" t="str">
        <f>IFERROR(__xludf.DUMMYFUNCTION("IF(T2007=""是"",TEXTJOIN("""", TRUE, ""$"", TO_TEXT(C2007), S2007),"""")"),"")</f>
        <v/>
      </c>
    </row>
    <row r="2008">
      <c r="A2008" s="58" t="str">
        <f>IFERROR(__xludf.DUMMYFUNCTION("INDIRECT(""'收支紀錄'!A""&amp;TO_TEXT(ROW()-$C$72))"),"")</f>
        <v/>
      </c>
      <c r="B2008" s="59" t="str">
        <f>IFERROR(__xludf.DUMMYFUNCTION("IF(ISBLANK(D2008), """", IF(ISDATE(D2008), D2008, IF(D2008=""今天"", A2008, IF(D2008=""昨天 (-1 day)"", A2008-1, IF(D2008=""前天 (-2 days)"", A2008-2, IF(D2008=""明天 (+1 day)"", A2008+1, DATE(LEFT(D2008,4), MID(D2008,5,2), RIGHT(D2008,2))))))))"),"")</f>
        <v/>
      </c>
      <c r="C2008" s="60" t="str">
        <f>IFERROR(__xludf.DUMMYFUNCTION("INDIRECT(""'收支紀錄'!C""&amp;TO_TEXT(ROW()-$C$72))"),"")</f>
        <v/>
      </c>
      <c r="D2008" s="63" t="str">
        <f>IFERROR(__xludf.DUMMYFUNCTION("INDIRECT(""'收支紀錄'!D""&amp;TO_TEXT(ROW()-$C$72))"),"")</f>
        <v/>
      </c>
      <c r="E2008" s="61" t="str">
        <f>IFERROR(__xludf.DUMMYFUNCTION("INDIRECT(""'收支紀錄'!E""&amp;TO_TEXT(ROW()-$C$72))"),"")</f>
        <v/>
      </c>
      <c r="F2008" s="61" t="str">
        <f>IFERROR(__xludf.DUMMYFUNCTION("INDIRECT(""'收支紀錄'!F""&amp;TO_TEXT(ROW()-$C$72))"),"")</f>
        <v/>
      </c>
      <c r="G2008" s="61" t="str">
        <f>IFERROR(__xludf.DUMMYFUNCTION("INDIRECT(""'收支紀錄'!G""&amp;TO_TEXT(ROW()-$C$72))"),"")</f>
        <v/>
      </c>
      <c r="H2008" s="61" t="str">
        <f>IFERROR(__xludf.DUMMYFUNCTION("INDIRECT(""'收支紀錄'!H""&amp;TO_TEXT(ROW()-$C$72))"),"")</f>
        <v/>
      </c>
      <c r="I2008" s="61" t="str">
        <f>IFERROR(__xludf.DUMMYFUNCTION("INDIRECT(""'收支紀錄'!I""&amp;TO_TEXT(ROW()-$C$72))"),"")</f>
        <v/>
      </c>
      <c r="J2008" s="61" t="str">
        <f>IFERROR(__xludf.DUMMYFUNCTION("INDIRECT(""'收支紀錄'!J""&amp;TO_TEXT(ROW()-$C$72))"),"")</f>
        <v/>
      </c>
      <c r="K2008" s="61" t="str">
        <f>IFERROR(__xludf.DUMMYFUNCTION("INDIRECT(""'收支紀錄'!K""&amp;TO_TEXT(ROW()-$C$72))"),"")</f>
        <v/>
      </c>
      <c r="L2008" s="61" t="str">
        <f>IFERROR(__xludf.DUMMYFUNCTION("INDIRECT(""'收支紀錄'!L""&amp;TO_TEXT(ROW()-$C$72))"),"")</f>
        <v/>
      </c>
      <c r="M2008" s="61" t="str">
        <f>IFERROR(__xludf.DUMMYFUNCTION("INDIRECT(""'收支紀錄'!M""&amp;TO_TEXT(ROW()-$C$72))"),"")</f>
        <v/>
      </c>
      <c r="N2008" s="61" t="str">
        <f>IFERROR(__xludf.DUMMYFUNCTION("INDIRECT(""'收支紀錄'!N""&amp;TO_TEXT(ROW()-$C$72))"),"")</f>
        <v/>
      </c>
      <c r="O2008" s="61" t="str">
        <f>IFERROR(__xludf.DUMMYFUNCTION("INDIRECT(""'收支紀錄'!O""&amp;TO_TEXT(ROW()-$C$72))"),"")</f>
        <v/>
      </c>
      <c r="P2008" s="61" t="str">
        <f>IFERROR(__xludf.DUMMYFUNCTION("INDIRECT(""'收支紀錄'!P""&amp;TO_TEXT(ROW()-$C$72))"),"")</f>
        <v/>
      </c>
      <c r="Q2008" s="61" t="str">
        <f>IFERROR(__xludf.DUMMYFUNCTION("INDIRECT(""'收支紀錄'!Q""&amp;TO_TEXT(ROW()-$C$72))"),"")</f>
        <v/>
      </c>
      <c r="R2008" s="61" t="str">
        <f>IFERROR(__xludf.DUMMYFUNCTION("INDIRECT(""'收支紀錄'!R""&amp;TO_TEXT(ROW()-$C$72))"),"")</f>
        <v/>
      </c>
      <c r="S2008" s="61" t="str">
        <f>IFERROR(__xludf.DUMMYFUNCTION("INDIRECT(""'收支紀錄'!S""&amp;TO_TEXT(ROW()-$C$72))"),"")</f>
        <v/>
      </c>
      <c r="T2008" s="61" t="str">
        <f>IFERROR(__xludf.DUMMYFUNCTION("INDIRECT(""'收支紀錄'!T""&amp;TO_TEXT(ROW()-$C$72))"),"")</f>
        <v/>
      </c>
      <c r="U2008" s="62" t="str">
        <f>IFERROR(__xludf.DUMMYFUNCTION("IF(T2008=""是"",TEXTJOIN("""", TRUE, ""$"", TO_TEXT(C2008), S2008),"""")"),"")</f>
        <v/>
      </c>
    </row>
    <row r="2009">
      <c r="A2009" s="58" t="str">
        <f>IFERROR(__xludf.DUMMYFUNCTION("INDIRECT(""'收支紀錄'!A""&amp;TO_TEXT(ROW()-$C$72))"),"")</f>
        <v/>
      </c>
      <c r="B2009" s="59" t="str">
        <f>IFERROR(__xludf.DUMMYFUNCTION("IF(ISBLANK(D2009), """", IF(ISDATE(D2009), D2009, IF(D2009=""今天"", A2009, IF(D2009=""昨天 (-1 day)"", A2009-1, IF(D2009=""前天 (-2 days)"", A2009-2, IF(D2009=""明天 (+1 day)"", A2009+1, DATE(LEFT(D2009,4), MID(D2009,5,2), RIGHT(D2009,2))))))))"),"")</f>
        <v/>
      </c>
      <c r="C2009" s="60" t="str">
        <f>IFERROR(__xludf.DUMMYFUNCTION("INDIRECT(""'收支紀錄'!C""&amp;TO_TEXT(ROW()-$C$72))"),"")</f>
        <v/>
      </c>
      <c r="D2009" s="63" t="str">
        <f>IFERROR(__xludf.DUMMYFUNCTION("INDIRECT(""'收支紀錄'!D""&amp;TO_TEXT(ROW()-$C$72))"),"")</f>
        <v/>
      </c>
      <c r="E2009" s="61" t="str">
        <f>IFERROR(__xludf.DUMMYFUNCTION("INDIRECT(""'收支紀錄'!E""&amp;TO_TEXT(ROW()-$C$72))"),"")</f>
        <v/>
      </c>
      <c r="F2009" s="61" t="str">
        <f>IFERROR(__xludf.DUMMYFUNCTION("INDIRECT(""'收支紀錄'!F""&amp;TO_TEXT(ROW()-$C$72))"),"")</f>
        <v/>
      </c>
      <c r="G2009" s="61" t="str">
        <f>IFERROR(__xludf.DUMMYFUNCTION("INDIRECT(""'收支紀錄'!G""&amp;TO_TEXT(ROW()-$C$72))"),"")</f>
        <v/>
      </c>
      <c r="H2009" s="61" t="str">
        <f>IFERROR(__xludf.DUMMYFUNCTION("INDIRECT(""'收支紀錄'!H""&amp;TO_TEXT(ROW()-$C$72))"),"")</f>
        <v/>
      </c>
      <c r="I2009" s="61" t="str">
        <f>IFERROR(__xludf.DUMMYFUNCTION("INDIRECT(""'收支紀錄'!I""&amp;TO_TEXT(ROW()-$C$72))"),"")</f>
        <v/>
      </c>
      <c r="J2009" s="61" t="str">
        <f>IFERROR(__xludf.DUMMYFUNCTION("INDIRECT(""'收支紀錄'!J""&amp;TO_TEXT(ROW()-$C$72))"),"")</f>
        <v/>
      </c>
      <c r="K2009" s="61" t="str">
        <f>IFERROR(__xludf.DUMMYFUNCTION("INDIRECT(""'收支紀錄'!K""&amp;TO_TEXT(ROW()-$C$72))"),"")</f>
        <v/>
      </c>
      <c r="L2009" s="61" t="str">
        <f>IFERROR(__xludf.DUMMYFUNCTION("INDIRECT(""'收支紀錄'!L""&amp;TO_TEXT(ROW()-$C$72))"),"")</f>
        <v/>
      </c>
      <c r="M2009" s="61" t="str">
        <f>IFERROR(__xludf.DUMMYFUNCTION("INDIRECT(""'收支紀錄'!M""&amp;TO_TEXT(ROW()-$C$72))"),"")</f>
        <v/>
      </c>
      <c r="N2009" s="61" t="str">
        <f>IFERROR(__xludf.DUMMYFUNCTION("INDIRECT(""'收支紀錄'!N""&amp;TO_TEXT(ROW()-$C$72))"),"")</f>
        <v/>
      </c>
      <c r="O2009" s="61" t="str">
        <f>IFERROR(__xludf.DUMMYFUNCTION("INDIRECT(""'收支紀錄'!O""&amp;TO_TEXT(ROW()-$C$72))"),"")</f>
        <v/>
      </c>
      <c r="P2009" s="61" t="str">
        <f>IFERROR(__xludf.DUMMYFUNCTION("INDIRECT(""'收支紀錄'!P""&amp;TO_TEXT(ROW()-$C$72))"),"")</f>
        <v/>
      </c>
      <c r="Q2009" s="61" t="str">
        <f>IFERROR(__xludf.DUMMYFUNCTION("INDIRECT(""'收支紀錄'!Q""&amp;TO_TEXT(ROW()-$C$72))"),"")</f>
        <v/>
      </c>
      <c r="R2009" s="61" t="str">
        <f>IFERROR(__xludf.DUMMYFUNCTION("INDIRECT(""'收支紀錄'!R""&amp;TO_TEXT(ROW()-$C$72))"),"")</f>
        <v/>
      </c>
      <c r="S2009" s="61" t="str">
        <f>IFERROR(__xludf.DUMMYFUNCTION("INDIRECT(""'收支紀錄'!S""&amp;TO_TEXT(ROW()-$C$72))"),"")</f>
        <v/>
      </c>
      <c r="T2009" s="61" t="str">
        <f>IFERROR(__xludf.DUMMYFUNCTION("INDIRECT(""'收支紀錄'!T""&amp;TO_TEXT(ROW()-$C$72))"),"")</f>
        <v/>
      </c>
      <c r="U2009" s="62" t="str">
        <f>IFERROR(__xludf.DUMMYFUNCTION("IF(T2009=""是"",TEXTJOIN("""", TRUE, ""$"", TO_TEXT(C2009), S2009),"""")"),"")</f>
        <v/>
      </c>
    </row>
    <row r="2010">
      <c r="A2010" s="58" t="str">
        <f>IFERROR(__xludf.DUMMYFUNCTION("INDIRECT(""'收支紀錄'!A""&amp;TO_TEXT(ROW()-$C$72))"),"")</f>
        <v/>
      </c>
      <c r="B2010" s="59" t="str">
        <f>IFERROR(__xludf.DUMMYFUNCTION("IF(ISBLANK(D2010), """", IF(ISDATE(D2010), D2010, IF(D2010=""今天"", A2010, IF(D2010=""昨天 (-1 day)"", A2010-1, IF(D2010=""前天 (-2 days)"", A2010-2, IF(D2010=""明天 (+1 day)"", A2010+1, DATE(LEFT(D2010,4), MID(D2010,5,2), RIGHT(D2010,2))))))))"),"")</f>
        <v/>
      </c>
      <c r="C2010" s="60" t="str">
        <f>IFERROR(__xludf.DUMMYFUNCTION("INDIRECT(""'收支紀錄'!C""&amp;TO_TEXT(ROW()-$C$72))"),"")</f>
        <v/>
      </c>
      <c r="D2010" s="63" t="str">
        <f>IFERROR(__xludf.DUMMYFUNCTION("INDIRECT(""'收支紀錄'!D""&amp;TO_TEXT(ROW()-$C$72))"),"")</f>
        <v/>
      </c>
      <c r="E2010" s="61" t="str">
        <f>IFERROR(__xludf.DUMMYFUNCTION("INDIRECT(""'收支紀錄'!E""&amp;TO_TEXT(ROW()-$C$72))"),"")</f>
        <v/>
      </c>
      <c r="F2010" s="61" t="str">
        <f>IFERROR(__xludf.DUMMYFUNCTION("INDIRECT(""'收支紀錄'!F""&amp;TO_TEXT(ROW()-$C$72))"),"")</f>
        <v/>
      </c>
      <c r="G2010" s="61" t="str">
        <f>IFERROR(__xludf.DUMMYFUNCTION("INDIRECT(""'收支紀錄'!G""&amp;TO_TEXT(ROW()-$C$72))"),"")</f>
        <v/>
      </c>
      <c r="H2010" s="61" t="str">
        <f>IFERROR(__xludf.DUMMYFUNCTION("INDIRECT(""'收支紀錄'!H""&amp;TO_TEXT(ROW()-$C$72))"),"")</f>
        <v/>
      </c>
      <c r="I2010" s="61" t="str">
        <f>IFERROR(__xludf.DUMMYFUNCTION("INDIRECT(""'收支紀錄'!I""&amp;TO_TEXT(ROW()-$C$72))"),"")</f>
        <v/>
      </c>
      <c r="J2010" s="61" t="str">
        <f>IFERROR(__xludf.DUMMYFUNCTION("INDIRECT(""'收支紀錄'!J""&amp;TO_TEXT(ROW()-$C$72))"),"")</f>
        <v/>
      </c>
      <c r="K2010" s="61" t="str">
        <f>IFERROR(__xludf.DUMMYFUNCTION("INDIRECT(""'收支紀錄'!K""&amp;TO_TEXT(ROW()-$C$72))"),"")</f>
        <v/>
      </c>
      <c r="L2010" s="61" t="str">
        <f>IFERROR(__xludf.DUMMYFUNCTION("INDIRECT(""'收支紀錄'!L""&amp;TO_TEXT(ROW()-$C$72))"),"")</f>
        <v/>
      </c>
      <c r="M2010" s="61" t="str">
        <f>IFERROR(__xludf.DUMMYFUNCTION("INDIRECT(""'收支紀錄'!M""&amp;TO_TEXT(ROW()-$C$72))"),"")</f>
        <v/>
      </c>
      <c r="N2010" s="61" t="str">
        <f>IFERROR(__xludf.DUMMYFUNCTION("INDIRECT(""'收支紀錄'!N""&amp;TO_TEXT(ROW()-$C$72))"),"")</f>
        <v/>
      </c>
      <c r="O2010" s="61" t="str">
        <f>IFERROR(__xludf.DUMMYFUNCTION("INDIRECT(""'收支紀錄'!O""&amp;TO_TEXT(ROW()-$C$72))"),"")</f>
        <v/>
      </c>
      <c r="P2010" s="61" t="str">
        <f>IFERROR(__xludf.DUMMYFUNCTION("INDIRECT(""'收支紀錄'!P""&amp;TO_TEXT(ROW()-$C$72))"),"")</f>
        <v/>
      </c>
      <c r="Q2010" s="61" t="str">
        <f>IFERROR(__xludf.DUMMYFUNCTION("INDIRECT(""'收支紀錄'!Q""&amp;TO_TEXT(ROW()-$C$72))"),"")</f>
        <v/>
      </c>
      <c r="R2010" s="61" t="str">
        <f>IFERROR(__xludf.DUMMYFUNCTION("INDIRECT(""'收支紀錄'!R""&amp;TO_TEXT(ROW()-$C$72))"),"")</f>
        <v/>
      </c>
      <c r="S2010" s="61" t="str">
        <f>IFERROR(__xludf.DUMMYFUNCTION("INDIRECT(""'收支紀錄'!S""&amp;TO_TEXT(ROW()-$C$72))"),"")</f>
        <v/>
      </c>
      <c r="T2010" s="61" t="str">
        <f>IFERROR(__xludf.DUMMYFUNCTION("INDIRECT(""'收支紀錄'!T""&amp;TO_TEXT(ROW()-$C$72))"),"")</f>
        <v/>
      </c>
      <c r="U2010" s="62" t="str">
        <f>IFERROR(__xludf.DUMMYFUNCTION("IF(T2010=""是"",TEXTJOIN("""", TRUE, ""$"", TO_TEXT(C2010), S2010),"""")"),"")</f>
        <v/>
      </c>
    </row>
    <row r="2011">
      <c r="A2011" s="58" t="str">
        <f>IFERROR(__xludf.DUMMYFUNCTION("INDIRECT(""'收支紀錄'!A""&amp;TO_TEXT(ROW()-$C$72))"),"")</f>
        <v/>
      </c>
      <c r="B2011" s="59" t="str">
        <f>IFERROR(__xludf.DUMMYFUNCTION("IF(ISBLANK(D2011), """", IF(ISDATE(D2011), D2011, IF(D2011=""今天"", A2011, IF(D2011=""昨天 (-1 day)"", A2011-1, IF(D2011=""前天 (-2 days)"", A2011-2, IF(D2011=""明天 (+1 day)"", A2011+1, DATE(LEFT(D2011,4), MID(D2011,5,2), RIGHT(D2011,2))))))))"),"")</f>
        <v/>
      </c>
      <c r="C2011" s="60" t="str">
        <f>IFERROR(__xludf.DUMMYFUNCTION("INDIRECT(""'收支紀錄'!C""&amp;TO_TEXT(ROW()-$C$72))"),"")</f>
        <v/>
      </c>
      <c r="D2011" s="63" t="str">
        <f>IFERROR(__xludf.DUMMYFUNCTION("INDIRECT(""'收支紀錄'!D""&amp;TO_TEXT(ROW()-$C$72))"),"")</f>
        <v/>
      </c>
      <c r="E2011" s="61" t="str">
        <f>IFERROR(__xludf.DUMMYFUNCTION("INDIRECT(""'收支紀錄'!E""&amp;TO_TEXT(ROW()-$C$72))"),"")</f>
        <v/>
      </c>
      <c r="F2011" s="61" t="str">
        <f>IFERROR(__xludf.DUMMYFUNCTION("INDIRECT(""'收支紀錄'!F""&amp;TO_TEXT(ROW()-$C$72))"),"")</f>
        <v/>
      </c>
      <c r="G2011" s="61" t="str">
        <f>IFERROR(__xludf.DUMMYFUNCTION("INDIRECT(""'收支紀錄'!G""&amp;TO_TEXT(ROW()-$C$72))"),"")</f>
        <v/>
      </c>
      <c r="H2011" s="61" t="str">
        <f>IFERROR(__xludf.DUMMYFUNCTION("INDIRECT(""'收支紀錄'!H""&amp;TO_TEXT(ROW()-$C$72))"),"")</f>
        <v/>
      </c>
      <c r="I2011" s="61" t="str">
        <f>IFERROR(__xludf.DUMMYFUNCTION("INDIRECT(""'收支紀錄'!I""&amp;TO_TEXT(ROW()-$C$72))"),"")</f>
        <v/>
      </c>
      <c r="J2011" s="61" t="str">
        <f>IFERROR(__xludf.DUMMYFUNCTION("INDIRECT(""'收支紀錄'!J""&amp;TO_TEXT(ROW()-$C$72))"),"")</f>
        <v/>
      </c>
      <c r="K2011" s="61" t="str">
        <f>IFERROR(__xludf.DUMMYFUNCTION("INDIRECT(""'收支紀錄'!K""&amp;TO_TEXT(ROW()-$C$72))"),"")</f>
        <v/>
      </c>
      <c r="L2011" s="61" t="str">
        <f>IFERROR(__xludf.DUMMYFUNCTION("INDIRECT(""'收支紀錄'!L""&amp;TO_TEXT(ROW()-$C$72))"),"")</f>
        <v/>
      </c>
      <c r="M2011" s="61" t="str">
        <f>IFERROR(__xludf.DUMMYFUNCTION("INDIRECT(""'收支紀錄'!M""&amp;TO_TEXT(ROW()-$C$72))"),"")</f>
        <v/>
      </c>
      <c r="N2011" s="61" t="str">
        <f>IFERROR(__xludf.DUMMYFUNCTION("INDIRECT(""'收支紀錄'!N""&amp;TO_TEXT(ROW()-$C$72))"),"")</f>
        <v/>
      </c>
      <c r="O2011" s="61" t="str">
        <f>IFERROR(__xludf.DUMMYFUNCTION("INDIRECT(""'收支紀錄'!O""&amp;TO_TEXT(ROW()-$C$72))"),"")</f>
        <v/>
      </c>
      <c r="P2011" s="61" t="str">
        <f>IFERROR(__xludf.DUMMYFUNCTION("INDIRECT(""'收支紀錄'!P""&amp;TO_TEXT(ROW()-$C$72))"),"")</f>
        <v/>
      </c>
      <c r="Q2011" s="61" t="str">
        <f>IFERROR(__xludf.DUMMYFUNCTION("INDIRECT(""'收支紀錄'!Q""&amp;TO_TEXT(ROW()-$C$72))"),"")</f>
        <v/>
      </c>
      <c r="R2011" s="61" t="str">
        <f>IFERROR(__xludf.DUMMYFUNCTION("INDIRECT(""'收支紀錄'!R""&amp;TO_TEXT(ROW()-$C$72))"),"")</f>
        <v/>
      </c>
      <c r="S2011" s="61" t="str">
        <f>IFERROR(__xludf.DUMMYFUNCTION("INDIRECT(""'收支紀錄'!S""&amp;TO_TEXT(ROW()-$C$72))"),"")</f>
        <v/>
      </c>
      <c r="T2011" s="61" t="str">
        <f>IFERROR(__xludf.DUMMYFUNCTION("INDIRECT(""'收支紀錄'!T""&amp;TO_TEXT(ROW()-$C$72))"),"")</f>
        <v/>
      </c>
      <c r="U2011" s="62" t="str">
        <f>IFERROR(__xludf.DUMMYFUNCTION("IF(T2011=""是"",TEXTJOIN("""", TRUE, ""$"", TO_TEXT(C2011), S2011),"""")"),"")</f>
        <v/>
      </c>
    </row>
    <row r="2012">
      <c r="A2012" s="58" t="str">
        <f>IFERROR(__xludf.DUMMYFUNCTION("INDIRECT(""'收支紀錄'!A""&amp;TO_TEXT(ROW()-$C$72))"),"")</f>
        <v/>
      </c>
      <c r="B2012" s="59" t="str">
        <f>IFERROR(__xludf.DUMMYFUNCTION("IF(ISBLANK(D2012), """", IF(ISDATE(D2012), D2012, IF(D2012=""今天"", A2012, IF(D2012=""昨天 (-1 day)"", A2012-1, IF(D2012=""前天 (-2 days)"", A2012-2, IF(D2012=""明天 (+1 day)"", A2012+1, DATE(LEFT(D2012,4), MID(D2012,5,2), RIGHT(D2012,2))))))))"),"")</f>
        <v/>
      </c>
      <c r="C2012" s="60" t="str">
        <f>IFERROR(__xludf.DUMMYFUNCTION("INDIRECT(""'收支紀錄'!C""&amp;TO_TEXT(ROW()-$C$72))"),"")</f>
        <v/>
      </c>
      <c r="D2012" s="63" t="str">
        <f>IFERROR(__xludf.DUMMYFUNCTION("INDIRECT(""'收支紀錄'!D""&amp;TO_TEXT(ROW()-$C$72))"),"")</f>
        <v/>
      </c>
      <c r="E2012" s="61" t="str">
        <f>IFERROR(__xludf.DUMMYFUNCTION("INDIRECT(""'收支紀錄'!E""&amp;TO_TEXT(ROW()-$C$72))"),"")</f>
        <v/>
      </c>
      <c r="F2012" s="61" t="str">
        <f>IFERROR(__xludf.DUMMYFUNCTION("INDIRECT(""'收支紀錄'!F""&amp;TO_TEXT(ROW()-$C$72))"),"")</f>
        <v/>
      </c>
      <c r="G2012" s="61" t="str">
        <f>IFERROR(__xludf.DUMMYFUNCTION("INDIRECT(""'收支紀錄'!G""&amp;TO_TEXT(ROW()-$C$72))"),"")</f>
        <v/>
      </c>
      <c r="H2012" s="61" t="str">
        <f>IFERROR(__xludf.DUMMYFUNCTION("INDIRECT(""'收支紀錄'!H""&amp;TO_TEXT(ROW()-$C$72))"),"")</f>
        <v/>
      </c>
      <c r="I2012" s="61" t="str">
        <f>IFERROR(__xludf.DUMMYFUNCTION("INDIRECT(""'收支紀錄'!I""&amp;TO_TEXT(ROW()-$C$72))"),"")</f>
        <v/>
      </c>
      <c r="J2012" s="61" t="str">
        <f>IFERROR(__xludf.DUMMYFUNCTION("INDIRECT(""'收支紀錄'!J""&amp;TO_TEXT(ROW()-$C$72))"),"")</f>
        <v/>
      </c>
      <c r="K2012" s="61" t="str">
        <f>IFERROR(__xludf.DUMMYFUNCTION("INDIRECT(""'收支紀錄'!K""&amp;TO_TEXT(ROW()-$C$72))"),"")</f>
        <v/>
      </c>
      <c r="L2012" s="61" t="str">
        <f>IFERROR(__xludf.DUMMYFUNCTION("INDIRECT(""'收支紀錄'!L""&amp;TO_TEXT(ROW()-$C$72))"),"")</f>
        <v/>
      </c>
      <c r="M2012" s="61" t="str">
        <f>IFERROR(__xludf.DUMMYFUNCTION("INDIRECT(""'收支紀錄'!M""&amp;TO_TEXT(ROW()-$C$72))"),"")</f>
        <v/>
      </c>
      <c r="N2012" s="61" t="str">
        <f>IFERROR(__xludf.DUMMYFUNCTION("INDIRECT(""'收支紀錄'!N""&amp;TO_TEXT(ROW()-$C$72))"),"")</f>
        <v/>
      </c>
      <c r="O2012" s="61" t="str">
        <f>IFERROR(__xludf.DUMMYFUNCTION("INDIRECT(""'收支紀錄'!O""&amp;TO_TEXT(ROW()-$C$72))"),"")</f>
        <v/>
      </c>
      <c r="P2012" s="61" t="str">
        <f>IFERROR(__xludf.DUMMYFUNCTION("INDIRECT(""'收支紀錄'!P""&amp;TO_TEXT(ROW()-$C$72))"),"")</f>
        <v/>
      </c>
      <c r="Q2012" s="61" t="str">
        <f>IFERROR(__xludf.DUMMYFUNCTION("INDIRECT(""'收支紀錄'!Q""&amp;TO_TEXT(ROW()-$C$72))"),"")</f>
        <v/>
      </c>
      <c r="R2012" s="61" t="str">
        <f>IFERROR(__xludf.DUMMYFUNCTION("INDIRECT(""'收支紀錄'!R""&amp;TO_TEXT(ROW()-$C$72))"),"")</f>
        <v/>
      </c>
      <c r="S2012" s="61" t="str">
        <f>IFERROR(__xludf.DUMMYFUNCTION("INDIRECT(""'收支紀錄'!S""&amp;TO_TEXT(ROW()-$C$72))"),"")</f>
        <v/>
      </c>
      <c r="T2012" s="61" t="str">
        <f>IFERROR(__xludf.DUMMYFUNCTION("INDIRECT(""'收支紀錄'!T""&amp;TO_TEXT(ROW()-$C$72))"),"")</f>
        <v/>
      </c>
      <c r="U2012" s="62" t="str">
        <f>IFERROR(__xludf.DUMMYFUNCTION("IF(T2012=""是"",TEXTJOIN("""", TRUE, ""$"", TO_TEXT(C2012), S2012),"""")"),"")</f>
        <v/>
      </c>
    </row>
    <row r="2013">
      <c r="A2013" s="58" t="str">
        <f>IFERROR(__xludf.DUMMYFUNCTION("INDIRECT(""'收支紀錄'!A""&amp;TO_TEXT(ROW()-$C$72))"),"")</f>
        <v/>
      </c>
      <c r="B2013" s="59" t="str">
        <f>IFERROR(__xludf.DUMMYFUNCTION("IF(ISBLANK(D2013), """", IF(ISDATE(D2013), D2013, IF(D2013=""今天"", A2013, IF(D2013=""昨天 (-1 day)"", A2013-1, IF(D2013=""前天 (-2 days)"", A2013-2, IF(D2013=""明天 (+1 day)"", A2013+1, DATE(LEFT(D2013,4), MID(D2013,5,2), RIGHT(D2013,2))))))))"),"")</f>
        <v/>
      </c>
      <c r="C2013" s="60" t="str">
        <f>IFERROR(__xludf.DUMMYFUNCTION("INDIRECT(""'收支紀錄'!C""&amp;TO_TEXT(ROW()-$C$72))"),"")</f>
        <v/>
      </c>
      <c r="D2013" s="63" t="str">
        <f>IFERROR(__xludf.DUMMYFUNCTION("INDIRECT(""'收支紀錄'!D""&amp;TO_TEXT(ROW()-$C$72))"),"")</f>
        <v/>
      </c>
      <c r="E2013" s="61" t="str">
        <f>IFERROR(__xludf.DUMMYFUNCTION("INDIRECT(""'收支紀錄'!E""&amp;TO_TEXT(ROW()-$C$72))"),"")</f>
        <v/>
      </c>
      <c r="F2013" s="61" t="str">
        <f>IFERROR(__xludf.DUMMYFUNCTION("INDIRECT(""'收支紀錄'!F""&amp;TO_TEXT(ROW()-$C$72))"),"")</f>
        <v/>
      </c>
      <c r="G2013" s="61" t="str">
        <f>IFERROR(__xludf.DUMMYFUNCTION("INDIRECT(""'收支紀錄'!G""&amp;TO_TEXT(ROW()-$C$72))"),"")</f>
        <v/>
      </c>
      <c r="H2013" s="61" t="str">
        <f>IFERROR(__xludf.DUMMYFUNCTION("INDIRECT(""'收支紀錄'!H""&amp;TO_TEXT(ROW()-$C$72))"),"")</f>
        <v/>
      </c>
      <c r="I2013" s="61" t="str">
        <f>IFERROR(__xludf.DUMMYFUNCTION("INDIRECT(""'收支紀錄'!I""&amp;TO_TEXT(ROW()-$C$72))"),"")</f>
        <v/>
      </c>
      <c r="J2013" s="61" t="str">
        <f>IFERROR(__xludf.DUMMYFUNCTION("INDIRECT(""'收支紀錄'!J""&amp;TO_TEXT(ROW()-$C$72))"),"")</f>
        <v/>
      </c>
      <c r="K2013" s="61" t="str">
        <f>IFERROR(__xludf.DUMMYFUNCTION("INDIRECT(""'收支紀錄'!K""&amp;TO_TEXT(ROW()-$C$72))"),"")</f>
        <v/>
      </c>
      <c r="L2013" s="61" t="str">
        <f>IFERROR(__xludf.DUMMYFUNCTION("INDIRECT(""'收支紀錄'!L""&amp;TO_TEXT(ROW()-$C$72))"),"")</f>
        <v/>
      </c>
      <c r="M2013" s="61" t="str">
        <f>IFERROR(__xludf.DUMMYFUNCTION("INDIRECT(""'收支紀錄'!M""&amp;TO_TEXT(ROW()-$C$72))"),"")</f>
        <v/>
      </c>
      <c r="N2013" s="61" t="str">
        <f>IFERROR(__xludf.DUMMYFUNCTION("INDIRECT(""'收支紀錄'!N""&amp;TO_TEXT(ROW()-$C$72))"),"")</f>
        <v/>
      </c>
      <c r="O2013" s="61" t="str">
        <f>IFERROR(__xludf.DUMMYFUNCTION("INDIRECT(""'收支紀錄'!O""&amp;TO_TEXT(ROW()-$C$72))"),"")</f>
        <v/>
      </c>
      <c r="P2013" s="61" t="str">
        <f>IFERROR(__xludf.DUMMYFUNCTION("INDIRECT(""'收支紀錄'!P""&amp;TO_TEXT(ROW()-$C$72))"),"")</f>
        <v/>
      </c>
      <c r="Q2013" s="61" t="str">
        <f>IFERROR(__xludf.DUMMYFUNCTION("INDIRECT(""'收支紀錄'!Q""&amp;TO_TEXT(ROW()-$C$72))"),"")</f>
        <v/>
      </c>
      <c r="R2013" s="61" t="str">
        <f>IFERROR(__xludf.DUMMYFUNCTION("INDIRECT(""'收支紀錄'!R""&amp;TO_TEXT(ROW()-$C$72))"),"")</f>
        <v/>
      </c>
      <c r="S2013" s="61" t="str">
        <f>IFERROR(__xludf.DUMMYFUNCTION("INDIRECT(""'收支紀錄'!S""&amp;TO_TEXT(ROW()-$C$72))"),"")</f>
        <v/>
      </c>
      <c r="T2013" s="61" t="str">
        <f>IFERROR(__xludf.DUMMYFUNCTION("INDIRECT(""'收支紀錄'!T""&amp;TO_TEXT(ROW()-$C$72))"),"")</f>
        <v/>
      </c>
      <c r="U2013" s="62" t="str">
        <f>IFERROR(__xludf.DUMMYFUNCTION("IF(T2013=""是"",TEXTJOIN("""", TRUE, ""$"", TO_TEXT(C2013), S2013),"""")"),"")</f>
        <v/>
      </c>
    </row>
    <row r="2014">
      <c r="A2014" s="58" t="str">
        <f>IFERROR(__xludf.DUMMYFUNCTION("INDIRECT(""'收支紀錄'!A""&amp;TO_TEXT(ROW()-$C$72))"),"")</f>
        <v/>
      </c>
      <c r="B2014" s="59" t="str">
        <f>IFERROR(__xludf.DUMMYFUNCTION("IF(ISBLANK(D2014), """", IF(ISDATE(D2014), D2014, IF(D2014=""今天"", A2014, IF(D2014=""昨天 (-1 day)"", A2014-1, IF(D2014=""前天 (-2 days)"", A2014-2, IF(D2014=""明天 (+1 day)"", A2014+1, DATE(LEFT(D2014,4), MID(D2014,5,2), RIGHT(D2014,2))))))))"),"")</f>
        <v/>
      </c>
      <c r="C2014" s="60" t="str">
        <f>IFERROR(__xludf.DUMMYFUNCTION("INDIRECT(""'收支紀錄'!C""&amp;TO_TEXT(ROW()-$C$72))"),"")</f>
        <v/>
      </c>
      <c r="D2014" s="63" t="str">
        <f>IFERROR(__xludf.DUMMYFUNCTION("INDIRECT(""'收支紀錄'!D""&amp;TO_TEXT(ROW()-$C$72))"),"")</f>
        <v/>
      </c>
      <c r="E2014" s="61" t="str">
        <f>IFERROR(__xludf.DUMMYFUNCTION("INDIRECT(""'收支紀錄'!E""&amp;TO_TEXT(ROW()-$C$72))"),"")</f>
        <v/>
      </c>
      <c r="F2014" s="61" t="str">
        <f>IFERROR(__xludf.DUMMYFUNCTION("INDIRECT(""'收支紀錄'!F""&amp;TO_TEXT(ROW()-$C$72))"),"")</f>
        <v/>
      </c>
      <c r="G2014" s="61" t="str">
        <f>IFERROR(__xludf.DUMMYFUNCTION("INDIRECT(""'收支紀錄'!G""&amp;TO_TEXT(ROW()-$C$72))"),"")</f>
        <v/>
      </c>
      <c r="H2014" s="61" t="str">
        <f>IFERROR(__xludf.DUMMYFUNCTION("INDIRECT(""'收支紀錄'!H""&amp;TO_TEXT(ROW()-$C$72))"),"")</f>
        <v/>
      </c>
      <c r="I2014" s="61" t="str">
        <f>IFERROR(__xludf.DUMMYFUNCTION("INDIRECT(""'收支紀錄'!I""&amp;TO_TEXT(ROW()-$C$72))"),"")</f>
        <v/>
      </c>
      <c r="J2014" s="61" t="str">
        <f>IFERROR(__xludf.DUMMYFUNCTION("INDIRECT(""'收支紀錄'!J""&amp;TO_TEXT(ROW()-$C$72))"),"")</f>
        <v/>
      </c>
      <c r="K2014" s="61" t="str">
        <f>IFERROR(__xludf.DUMMYFUNCTION("INDIRECT(""'收支紀錄'!K""&amp;TO_TEXT(ROW()-$C$72))"),"")</f>
        <v/>
      </c>
      <c r="L2014" s="61" t="str">
        <f>IFERROR(__xludf.DUMMYFUNCTION("INDIRECT(""'收支紀錄'!L""&amp;TO_TEXT(ROW()-$C$72))"),"")</f>
        <v/>
      </c>
      <c r="M2014" s="61" t="str">
        <f>IFERROR(__xludf.DUMMYFUNCTION("INDIRECT(""'收支紀錄'!M""&amp;TO_TEXT(ROW()-$C$72))"),"")</f>
        <v/>
      </c>
      <c r="N2014" s="61" t="str">
        <f>IFERROR(__xludf.DUMMYFUNCTION("INDIRECT(""'收支紀錄'!N""&amp;TO_TEXT(ROW()-$C$72))"),"")</f>
        <v/>
      </c>
      <c r="O2014" s="61" t="str">
        <f>IFERROR(__xludf.DUMMYFUNCTION("INDIRECT(""'收支紀錄'!O""&amp;TO_TEXT(ROW()-$C$72))"),"")</f>
        <v/>
      </c>
      <c r="P2014" s="61" t="str">
        <f>IFERROR(__xludf.DUMMYFUNCTION("INDIRECT(""'收支紀錄'!P""&amp;TO_TEXT(ROW()-$C$72))"),"")</f>
        <v/>
      </c>
      <c r="Q2014" s="61" t="str">
        <f>IFERROR(__xludf.DUMMYFUNCTION("INDIRECT(""'收支紀錄'!Q""&amp;TO_TEXT(ROW()-$C$72))"),"")</f>
        <v/>
      </c>
      <c r="R2014" s="61" t="str">
        <f>IFERROR(__xludf.DUMMYFUNCTION("INDIRECT(""'收支紀錄'!R""&amp;TO_TEXT(ROW()-$C$72))"),"")</f>
        <v/>
      </c>
      <c r="S2014" s="61" t="str">
        <f>IFERROR(__xludf.DUMMYFUNCTION("INDIRECT(""'收支紀錄'!S""&amp;TO_TEXT(ROW()-$C$72))"),"")</f>
        <v/>
      </c>
      <c r="T2014" s="61" t="str">
        <f>IFERROR(__xludf.DUMMYFUNCTION("INDIRECT(""'收支紀錄'!T""&amp;TO_TEXT(ROW()-$C$72))"),"")</f>
        <v/>
      </c>
      <c r="U2014" s="62" t="str">
        <f>IFERROR(__xludf.DUMMYFUNCTION("IF(T2014=""是"",TEXTJOIN("""", TRUE, ""$"", TO_TEXT(C2014), S2014),"""")"),"")</f>
        <v/>
      </c>
    </row>
    <row r="2015">
      <c r="A2015" s="58" t="str">
        <f>IFERROR(__xludf.DUMMYFUNCTION("INDIRECT(""'收支紀錄'!A""&amp;TO_TEXT(ROW()-$C$72))"),"")</f>
        <v/>
      </c>
      <c r="B2015" s="59" t="str">
        <f>IFERROR(__xludf.DUMMYFUNCTION("IF(ISBLANK(D2015), """", IF(ISDATE(D2015), D2015, IF(D2015=""今天"", A2015, IF(D2015=""昨天 (-1 day)"", A2015-1, IF(D2015=""前天 (-2 days)"", A2015-2, IF(D2015=""明天 (+1 day)"", A2015+1, DATE(LEFT(D2015,4), MID(D2015,5,2), RIGHT(D2015,2))))))))"),"")</f>
        <v/>
      </c>
      <c r="C2015" s="60" t="str">
        <f>IFERROR(__xludf.DUMMYFUNCTION("INDIRECT(""'收支紀錄'!C""&amp;TO_TEXT(ROW()-$C$72))"),"")</f>
        <v/>
      </c>
      <c r="D2015" s="63" t="str">
        <f>IFERROR(__xludf.DUMMYFUNCTION("INDIRECT(""'收支紀錄'!D""&amp;TO_TEXT(ROW()-$C$72))"),"")</f>
        <v/>
      </c>
      <c r="E2015" s="61" t="str">
        <f>IFERROR(__xludf.DUMMYFUNCTION("INDIRECT(""'收支紀錄'!E""&amp;TO_TEXT(ROW()-$C$72))"),"")</f>
        <v/>
      </c>
      <c r="F2015" s="61" t="str">
        <f>IFERROR(__xludf.DUMMYFUNCTION("INDIRECT(""'收支紀錄'!F""&amp;TO_TEXT(ROW()-$C$72))"),"")</f>
        <v/>
      </c>
      <c r="G2015" s="61" t="str">
        <f>IFERROR(__xludf.DUMMYFUNCTION("INDIRECT(""'收支紀錄'!G""&amp;TO_TEXT(ROW()-$C$72))"),"")</f>
        <v/>
      </c>
      <c r="H2015" s="61" t="str">
        <f>IFERROR(__xludf.DUMMYFUNCTION("INDIRECT(""'收支紀錄'!H""&amp;TO_TEXT(ROW()-$C$72))"),"")</f>
        <v/>
      </c>
      <c r="I2015" s="61" t="str">
        <f>IFERROR(__xludf.DUMMYFUNCTION("INDIRECT(""'收支紀錄'!I""&amp;TO_TEXT(ROW()-$C$72))"),"")</f>
        <v/>
      </c>
      <c r="J2015" s="61" t="str">
        <f>IFERROR(__xludf.DUMMYFUNCTION("INDIRECT(""'收支紀錄'!J""&amp;TO_TEXT(ROW()-$C$72))"),"")</f>
        <v/>
      </c>
      <c r="K2015" s="61" t="str">
        <f>IFERROR(__xludf.DUMMYFUNCTION("INDIRECT(""'收支紀錄'!K""&amp;TO_TEXT(ROW()-$C$72))"),"")</f>
        <v/>
      </c>
      <c r="L2015" s="61" t="str">
        <f>IFERROR(__xludf.DUMMYFUNCTION("INDIRECT(""'收支紀錄'!L""&amp;TO_TEXT(ROW()-$C$72))"),"")</f>
        <v/>
      </c>
      <c r="M2015" s="61" t="str">
        <f>IFERROR(__xludf.DUMMYFUNCTION("INDIRECT(""'收支紀錄'!M""&amp;TO_TEXT(ROW()-$C$72))"),"")</f>
        <v/>
      </c>
      <c r="N2015" s="61" t="str">
        <f>IFERROR(__xludf.DUMMYFUNCTION("INDIRECT(""'收支紀錄'!N""&amp;TO_TEXT(ROW()-$C$72))"),"")</f>
        <v/>
      </c>
      <c r="O2015" s="61" t="str">
        <f>IFERROR(__xludf.DUMMYFUNCTION("INDIRECT(""'收支紀錄'!O""&amp;TO_TEXT(ROW()-$C$72))"),"")</f>
        <v/>
      </c>
      <c r="P2015" s="61" t="str">
        <f>IFERROR(__xludf.DUMMYFUNCTION("INDIRECT(""'收支紀錄'!P""&amp;TO_TEXT(ROW()-$C$72))"),"")</f>
        <v/>
      </c>
      <c r="Q2015" s="61" t="str">
        <f>IFERROR(__xludf.DUMMYFUNCTION("INDIRECT(""'收支紀錄'!Q""&amp;TO_TEXT(ROW()-$C$72))"),"")</f>
        <v/>
      </c>
      <c r="R2015" s="61" t="str">
        <f>IFERROR(__xludf.DUMMYFUNCTION("INDIRECT(""'收支紀錄'!R""&amp;TO_TEXT(ROW()-$C$72))"),"")</f>
        <v/>
      </c>
      <c r="S2015" s="61" t="str">
        <f>IFERROR(__xludf.DUMMYFUNCTION("INDIRECT(""'收支紀錄'!S""&amp;TO_TEXT(ROW()-$C$72))"),"")</f>
        <v/>
      </c>
      <c r="T2015" s="61" t="str">
        <f>IFERROR(__xludf.DUMMYFUNCTION("INDIRECT(""'收支紀錄'!T""&amp;TO_TEXT(ROW()-$C$72))"),"")</f>
        <v/>
      </c>
      <c r="U2015" s="62" t="str">
        <f>IFERROR(__xludf.DUMMYFUNCTION("IF(T2015=""是"",TEXTJOIN("""", TRUE, ""$"", TO_TEXT(C2015), S2015),"""")"),"")</f>
        <v/>
      </c>
    </row>
    <row r="2016">
      <c r="A2016" s="58" t="str">
        <f>IFERROR(__xludf.DUMMYFUNCTION("INDIRECT(""'收支紀錄'!A""&amp;TO_TEXT(ROW()-$C$72))"),"")</f>
        <v/>
      </c>
      <c r="B2016" s="59" t="str">
        <f>IFERROR(__xludf.DUMMYFUNCTION("IF(ISBLANK(D2016), """", IF(ISDATE(D2016), D2016, IF(D2016=""今天"", A2016, IF(D2016=""昨天 (-1 day)"", A2016-1, IF(D2016=""前天 (-2 days)"", A2016-2, IF(D2016=""明天 (+1 day)"", A2016+1, DATE(LEFT(D2016,4), MID(D2016,5,2), RIGHT(D2016,2))))))))"),"")</f>
        <v/>
      </c>
      <c r="C2016" s="60" t="str">
        <f>IFERROR(__xludf.DUMMYFUNCTION("INDIRECT(""'收支紀錄'!C""&amp;TO_TEXT(ROW()-$C$72))"),"")</f>
        <v/>
      </c>
      <c r="D2016" s="63" t="str">
        <f>IFERROR(__xludf.DUMMYFUNCTION("INDIRECT(""'收支紀錄'!D""&amp;TO_TEXT(ROW()-$C$72))"),"")</f>
        <v/>
      </c>
      <c r="E2016" s="61" t="str">
        <f>IFERROR(__xludf.DUMMYFUNCTION("INDIRECT(""'收支紀錄'!E""&amp;TO_TEXT(ROW()-$C$72))"),"")</f>
        <v/>
      </c>
      <c r="F2016" s="61" t="str">
        <f>IFERROR(__xludf.DUMMYFUNCTION("INDIRECT(""'收支紀錄'!F""&amp;TO_TEXT(ROW()-$C$72))"),"")</f>
        <v/>
      </c>
      <c r="G2016" s="61" t="str">
        <f>IFERROR(__xludf.DUMMYFUNCTION("INDIRECT(""'收支紀錄'!G""&amp;TO_TEXT(ROW()-$C$72))"),"")</f>
        <v/>
      </c>
      <c r="H2016" s="61" t="str">
        <f>IFERROR(__xludf.DUMMYFUNCTION("INDIRECT(""'收支紀錄'!H""&amp;TO_TEXT(ROW()-$C$72))"),"")</f>
        <v/>
      </c>
      <c r="I2016" s="61" t="str">
        <f>IFERROR(__xludf.DUMMYFUNCTION("INDIRECT(""'收支紀錄'!I""&amp;TO_TEXT(ROW()-$C$72))"),"")</f>
        <v/>
      </c>
      <c r="J2016" s="61" t="str">
        <f>IFERROR(__xludf.DUMMYFUNCTION("INDIRECT(""'收支紀錄'!J""&amp;TO_TEXT(ROW()-$C$72))"),"")</f>
        <v/>
      </c>
      <c r="K2016" s="61" t="str">
        <f>IFERROR(__xludf.DUMMYFUNCTION("INDIRECT(""'收支紀錄'!K""&amp;TO_TEXT(ROW()-$C$72))"),"")</f>
        <v/>
      </c>
      <c r="L2016" s="61" t="str">
        <f>IFERROR(__xludf.DUMMYFUNCTION("INDIRECT(""'收支紀錄'!L""&amp;TO_TEXT(ROW()-$C$72))"),"")</f>
        <v/>
      </c>
      <c r="M2016" s="61" t="str">
        <f>IFERROR(__xludf.DUMMYFUNCTION("INDIRECT(""'收支紀錄'!M""&amp;TO_TEXT(ROW()-$C$72))"),"")</f>
        <v/>
      </c>
      <c r="N2016" s="61" t="str">
        <f>IFERROR(__xludf.DUMMYFUNCTION("INDIRECT(""'收支紀錄'!N""&amp;TO_TEXT(ROW()-$C$72))"),"")</f>
        <v/>
      </c>
      <c r="O2016" s="61" t="str">
        <f>IFERROR(__xludf.DUMMYFUNCTION("INDIRECT(""'收支紀錄'!O""&amp;TO_TEXT(ROW()-$C$72))"),"")</f>
        <v/>
      </c>
      <c r="P2016" s="61" t="str">
        <f>IFERROR(__xludf.DUMMYFUNCTION("INDIRECT(""'收支紀錄'!P""&amp;TO_TEXT(ROW()-$C$72))"),"")</f>
        <v/>
      </c>
      <c r="Q2016" s="61" t="str">
        <f>IFERROR(__xludf.DUMMYFUNCTION("INDIRECT(""'收支紀錄'!Q""&amp;TO_TEXT(ROW()-$C$72))"),"")</f>
        <v/>
      </c>
      <c r="R2016" s="61" t="str">
        <f>IFERROR(__xludf.DUMMYFUNCTION("INDIRECT(""'收支紀錄'!R""&amp;TO_TEXT(ROW()-$C$72))"),"")</f>
        <v/>
      </c>
      <c r="S2016" s="61" t="str">
        <f>IFERROR(__xludf.DUMMYFUNCTION("INDIRECT(""'收支紀錄'!S""&amp;TO_TEXT(ROW()-$C$72))"),"")</f>
        <v/>
      </c>
      <c r="T2016" s="61" t="str">
        <f>IFERROR(__xludf.DUMMYFUNCTION("INDIRECT(""'收支紀錄'!T""&amp;TO_TEXT(ROW()-$C$72))"),"")</f>
        <v/>
      </c>
      <c r="U2016" s="62" t="str">
        <f>IFERROR(__xludf.DUMMYFUNCTION("IF(T2016=""是"",TEXTJOIN("""", TRUE, ""$"", TO_TEXT(C2016), S2016),"""")"),"")</f>
        <v/>
      </c>
    </row>
    <row r="2017">
      <c r="A2017" s="58" t="str">
        <f>IFERROR(__xludf.DUMMYFUNCTION("INDIRECT(""'收支紀錄'!A""&amp;TO_TEXT(ROW()-$C$72))"),"")</f>
        <v/>
      </c>
      <c r="B2017" s="59" t="str">
        <f>IFERROR(__xludf.DUMMYFUNCTION("IF(ISBLANK(D2017), """", IF(ISDATE(D2017), D2017, IF(D2017=""今天"", A2017, IF(D2017=""昨天 (-1 day)"", A2017-1, IF(D2017=""前天 (-2 days)"", A2017-2, IF(D2017=""明天 (+1 day)"", A2017+1, DATE(LEFT(D2017,4), MID(D2017,5,2), RIGHT(D2017,2))))))))"),"")</f>
        <v/>
      </c>
      <c r="C2017" s="60" t="str">
        <f>IFERROR(__xludf.DUMMYFUNCTION("INDIRECT(""'收支紀錄'!C""&amp;TO_TEXT(ROW()-$C$72))"),"")</f>
        <v/>
      </c>
      <c r="D2017" s="63" t="str">
        <f>IFERROR(__xludf.DUMMYFUNCTION("INDIRECT(""'收支紀錄'!D""&amp;TO_TEXT(ROW()-$C$72))"),"")</f>
        <v/>
      </c>
      <c r="E2017" s="61" t="str">
        <f>IFERROR(__xludf.DUMMYFUNCTION("INDIRECT(""'收支紀錄'!E""&amp;TO_TEXT(ROW()-$C$72))"),"")</f>
        <v/>
      </c>
      <c r="F2017" s="61" t="str">
        <f>IFERROR(__xludf.DUMMYFUNCTION("INDIRECT(""'收支紀錄'!F""&amp;TO_TEXT(ROW()-$C$72))"),"")</f>
        <v/>
      </c>
      <c r="G2017" s="61" t="str">
        <f>IFERROR(__xludf.DUMMYFUNCTION("INDIRECT(""'收支紀錄'!G""&amp;TO_TEXT(ROW()-$C$72))"),"")</f>
        <v/>
      </c>
      <c r="H2017" s="61" t="str">
        <f>IFERROR(__xludf.DUMMYFUNCTION("INDIRECT(""'收支紀錄'!H""&amp;TO_TEXT(ROW()-$C$72))"),"")</f>
        <v/>
      </c>
      <c r="I2017" s="61" t="str">
        <f>IFERROR(__xludf.DUMMYFUNCTION("INDIRECT(""'收支紀錄'!I""&amp;TO_TEXT(ROW()-$C$72))"),"")</f>
        <v/>
      </c>
      <c r="J2017" s="61" t="str">
        <f>IFERROR(__xludf.DUMMYFUNCTION("INDIRECT(""'收支紀錄'!J""&amp;TO_TEXT(ROW()-$C$72))"),"")</f>
        <v/>
      </c>
      <c r="K2017" s="61" t="str">
        <f>IFERROR(__xludf.DUMMYFUNCTION("INDIRECT(""'收支紀錄'!K""&amp;TO_TEXT(ROW()-$C$72))"),"")</f>
        <v/>
      </c>
      <c r="L2017" s="61" t="str">
        <f>IFERROR(__xludf.DUMMYFUNCTION("INDIRECT(""'收支紀錄'!L""&amp;TO_TEXT(ROW()-$C$72))"),"")</f>
        <v/>
      </c>
      <c r="M2017" s="61" t="str">
        <f>IFERROR(__xludf.DUMMYFUNCTION("INDIRECT(""'收支紀錄'!M""&amp;TO_TEXT(ROW()-$C$72))"),"")</f>
        <v/>
      </c>
      <c r="N2017" s="61" t="str">
        <f>IFERROR(__xludf.DUMMYFUNCTION("INDIRECT(""'收支紀錄'!N""&amp;TO_TEXT(ROW()-$C$72))"),"")</f>
        <v/>
      </c>
      <c r="O2017" s="61" t="str">
        <f>IFERROR(__xludf.DUMMYFUNCTION("INDIRECT(""'收支紀錄'!O""&amp;TO_TEXT(ROW()-$C$72))"),"")</f>
        <v/>
      </c>
      <c r="P2017" s="61" t="str">
        <f>IFERROR(__xludf.DUMMYFUNCTION("INDIRECT(""'收支紀錄'!P""&amp;TO_TEXT(ROW()-$C$72))"),"")</f>
        <v/>
      </c>
      <c r="Q2017" s="61" t="str">
        <f>IFERROR(__xludf.DUMMYFUNCTION("INDIRECT(""'收支紀錄'!Q""&amp;TO_TEXT(ROW()-$C$72))"),"")</f>
        <v/>
      </c>
      <c r="R2017" s="61" t="str">
        <f>IFERROR(__xludf.DUMMYFUNCTION("INDIRECT(""'收支紀錄'!R""&amp;TO_TEXT(ROW()-$C$72))"),"")</f>
        <v/>
      </c>
      <c r="S2017" s="61" t="str">
        <f>IFERROR(__xludf.DUMMYFUNCTION("INDIRECT(""'收支紀錄'!S""&amp;TO_TEXT(ROW()-$C$72))"),"")</f>
        <v/>
      </c>
      <c r="T2017" s="61" t="str">
        <f>IFERROR(__xludf.DUMMYFUNCTION("INDIRECT(""'收支紀錄'!T""&amp;TO_TEXT(ROW()-$C$72))"),"")</f>
        <v/>
      </c>
      <c r="U2017" s="62" t="str">
        <f>IFERROR(__xludf.DUMMYFUNCTION("IF(T2017=""是"",TEXTJOIN("""", TRUE, ""$"", TO_TEXT(C2017), S2017),"""")"),"")</f>
        <v/>
      </c>
    </row>
    <row r="2018">
      <c r="A2018" s="58" t="str">
        <f>IFERROR(__xludf.DUMMYFUNCTION("INDIRECT(""'收支紀錄'!A""&amp;TO_TEXT(ROW()-$C$72))"),"")</f>
        <v/>
      </c>
      <c r="B2018" s="59" t="str">
        <f>IFERROR(__xludf.DUMMYFUNCTION("IF(ISBLANK(D2018), """", IF(ISDATE(D2018), D2018, IF(D2018=""今天"", A2018, IF(D2018=""昨天 (-1 day)"", A2018-1, IF(D2018=""前天 (-2 days)"", A2018-2, IF(D2018=""明天 (+1 day)"", A2018+1, DATE(LEFT(D2018,4), MID(D2018,5,2), RIGHT(D2018,2))))))))"),"")</f>
        <v/>
      </c>
      <c r="C2018" s="60" t="str">
        <f>IFERROR(__xludf.DUMMYFUNCTION("INDIRECT(""'收支紀錄'!C""&amp;TO_TEXT(ROW()-$C$72))"),"")</f>
        <v/>
      </c>
      <c r="D2018" s="63" t="str">
        <f>IFERROR(__xludf.DUMMYFUNCTION("INDIRECT(""'收支紀錄'!D""&amp;TO_TEXT(ROW()-$C$72))"),"")</f>
        <v/>
      </c>
      <c r="E2018" s="61" t="str">
        <f>IFERROR(__xludf.DUMMYFUNCTION("INDIRECT(""'收支紀錄'!E""&amp;TO_TEXT(ROW()-$C$72))"),"")</f>
        <v/>
      </c>
      <c r="F2018" s="61" t="str">
        <f>IFERROR(__xludf.DUMMYFUNCTION("INDIRECT(""'收支紀錄'!F""&amp;TO_TEXT(ROW()-$C$72))"),"")</f>
        <v/>
      </c>
      <c r="G2018" s="61" t="str">
        <f>IFERROR(__xludf.DUMMYFUNCTION("INDIRECT(""'收支紀錄'!G""&amp;TO_TEXT(ROW()-$C$72))"),"")</f>
        <v/>
      </c>
      <c r="H2018" s="61" t="str">
        <f>IFERROR(__xludf.DUMMYFUNCTION("INDIRECT(""'收支紀錄'!H""&amp;TO_TEXT(ROW()-$C$72))"),"")</f>
        <v/>
      </c>
      <c r="I2018" s="61" t="str">
        <f>IFERROR(__xludf.DUMMYFUNCTION("INDIRECT(""'收支紀錄'!I""&amp;TO_TEXT(ROW()-$C$72))"),"")</f>
        <v/>
      </c>
      <c r="J2018" s="61" t="str">
        <f>IFERROR(__xludf.DUMMYFUNCTION("INDIRECT(""'收支紀錄'!J""&amp;TO_TEXT(ROW()-$C$72))"),"")</f>
        <v/>
      </c>
      <c r="K2018" s="61" t="str">
        <f>IFERROR(__xludf.DUMMYFUNCTION("INDIRECT(""'收支紀錄'!K""&amp;TO_TEXT(ROW()-$C$72))"),"")</f>
        <v/>
      </c>
      <c r="L2018" s="61" t="str">
        <f>IFERROR(__xludf.DUMMYFUNCTION("INDIRECT(""'收支紀錄'!L""&amp;TO_TEXT(ROW()-$C$72))"),"")</f>
        <v/>
      </c>
      <c r="M2018" s="61" t="str">
        <f>IFERROR(__xludf.DUMMYFUNCTION("INDIRECT(""'收支紀錄'!M""&amp;TO_TEXT(ROW()-$C$72))"),"")</f>
        <v/>
      </c>
      <c r="N2018" s="61" t="str">
        <f>IFERROR(__xludf.DUMMYFUNCTION("INDIRECT(""'收支紀錄'!N""&amp;TO_TEXT(ROW()-$C$72))"),"")</f>
        <v/>
      </c>
      <c r="O2018" s="61" t="str">
        <f>IFERROR(__xludf.DUMMYFUNCTION("INDIRECT(""'收支紀錄'!O""&amp;TO_TEXT(ROW()-$C$72))"),"")</f>
        <v/>
      </c>
      <c r="P2018" s="61" t="str">
        <f>IFERROR(__xludf.DUMMYFUNCTION("INDIRECT(""'收支紀錄'!P""&amp;TO_TEXT(ROW()-$C$72))"),"")</f>
        <v/>
      </c>
      <c r="Q2018" s="61" t="str">
        <f>IFERROR(__xludf.DUMMYFUNCTION("INDIRECT(""'收支紀錄'!Q""&amp;TO_TEXT(ROW()-$C$72))"),"")</f>
        <v/>
      </c>
      <c r="R2018" s="61" t="str">
        <f>IFERROR(__xludf.DUMMYFUNCTION("INDIRECT(""'收支紀錄'!R""&amp;TO_TEXT(ROW()-$C$72))"),"")</f>
        <v/>
      </c>
      <c r="S2018" s="61" t="str">
        <f>IFERROR(__xludf.DUMMYFUNCTION("INDIRECT(""'收支紀錄'!S""&amp;TO_TEXT(ROW()-$C$72))"),"")</f>
        <v/>
      </c>
      <c r="T2018" s="61" t="str">
        <f>IFERROR(__xludf.DUMMYFUNCTION("INDIRECT(""'收支紀錄'!T""&amp;TO_TEXT(ROW()-$C$72))"),"")</f>
        <v/>
      </c>
      <c r="U2018" s="62" t="str">
        <f>IFERROR(__xludf.DUMMYFUNCTION("IF(T2018=""是"",TEXTJOIN("""", TRUE, ""$"", TO_TEXT(C2018), S2018),"""")"),"")</f>
        <v/>
      </c>
    </row>
    <row r="2019">
      <c r="A2019" s="58" t="str">
        <f>IFERROR(__xludf.DUMMYFUNCTION("INDIRECT(""'收支紀錄'!A""&amp;TO_TEXT(ROW()-$C$72))"),"")</f>
        <v/>
      </c>
      <c r="B2019" s="59" t="str">
        <f>IFERROR(__xludf.DUMMYFUNCTION("IF(ISBLANK(D2019), """", IF(ISDATE(D2019), D2019, IF(D2019=""今天"", A2019, IF(D2019=""昨天 (-1 day)"", A2019-1, IF(D2019=""前天 (-2 days)"", A2019-2, IF(D2019=""明天 (+1 day)"", A2019+1, DATE(LEFT(D2019,4), MID(D2019,5,2), RIGHT(D2019,2))))))))"),"")</f>
        <v/>
      </c>
      <c r="C2019" s="60" t="str">
        <f>IFERROR(__xludf.DUMMYFUNCTION("INDIRECT(""'收支紀錄'!C""&amp;TO_TEXT(ROW()-$C$72))"),"")</f>
        <v/>
      </c>
      <c r="D2019" s="63" t="str">
        <f>IFERROR(__xludf.DUMMYFUNCTION("INDIRECT(""'收支紀錄'!D""&amp;TO_TEXT(ROW()-$C$72))"),"")</f>
        <v/>
      </c>
      <c r="E2019" s="61" t="str">
        <f>IFERROR(__xludf.DUMMYFUNCTION("INDIRECT(""'收支紀錄'!E""&amp;TO_TEXT(ROW()-$C$72))"),"")</f>
        <v/>
      </c>
      <c r="F2019" s="61" t="str">
        <f>IFERROR(__xludf.DUMMYFUNCTION("INDIRECT(""'收支紀錄'!F""&amp;TO_TEXT(ROW()-$C$72))"),"")</f>
        <v/>
      </c>
      <c r="G2019" s="61" t="str">
        <f>IFERROR(__xludf.DUMMYFUNCTION("INDIRECT(""'收支紀錄'!G""&amp;TO_TEXT(ROW()-$C$72))"),"")</f>
        <v/>
      </c>
      <c r="H2019" s="61" t="str">
        <f>IFERROR(__xludf.DUMMYFUNCTION("INDIRECT(""'收支紀錄'!H""&amp;TO_TEXT(ROW()-$C$72))"),"")</f>
        <v/>
      </c>
      <c r="I2019" s="61" t="str">
        <f>IFERROR(__xludf.DUMMYFUNCTION("INDIRECT(""'收支紀錄'!I""&amp;TO_TEXT(ROW()-$C$72))"),"")</f>
        <v/>
      </c>
      <c r="J2019" s="61" t="str">
        <f>IFERROR(__xludf.DUMMYFUNCTION("INDIRECT(""'收支紀錄'!J""&amp;TO_TEXT(ROW()-$C$72))"),"")</f>
        <v/>
      </c>
      <c r="K2019" s="61" t="str">
        <f>IFERROR(__xludf.DUMMYFUNCTION("INDIRECT(""'收支紀錄'!K""&amp;TO_TEXT(ROW()-$C$72))"),"")</f>
        <v/>
      </c>
      <c r="L2019" s="61" t="str">
        <f>IFERROR(__xludf.DUMMYFUNCTION("INDIRECT(""'收支紀錄'!L""&amp;TO_TEXT(ROW()-$C$72))"),"")</f>
        <v/>
      </c>
      <c r="M2019" s="61" t="str">
        <f>IFERROR(__xludf.DUMMYFUNCTION("INDIRECT(""'收支紀錄'!M""&amp;TO_TEXT(ROW()-$C$72))"),"")</f>
        <v/>
      </c>
      <c r="N2019" s="61" t="str">
        <f>IFERROR(__xludf.DUMMYFUNCTION("INDIRECT(""'收支紀錄'!N""&amp;TO_TEXT(ROW()-$C$72))"),"")</f>
        <v/>
      </c>
      <c r="O2019" s="61" t="str">
        <f>IFERROR(__xludf.DUMMYFUNCTION("INDIRECT(""'收支紀錄'!O""&amp;TO_TEXT(ROW()-$C$72))"),"")</f>
        <v/>
      </c>
      <c r="P2019" s="61" t="str">
        <f>IFERROR(__xludf.DUMMYFUNCTION("INDIRECT(""'收支紀錄'!P""&amp;TO_TEXT(ROW()-$C$72))"),"")</f>
        <v/>
      </c>
      <c r="Q2019" s="61" t="str">
        <f>IFERROR(__xludf.DUMMYFUNCTION("INDIRECT(""'收支紀錄'!Q""&amp;TO_TEXT(ROW()-$C$72))"),"")</f>
        <v/>
      </c>
      <c r="R2019" s="61" t="str">
        <f>IFERROR(__xludf.DUMMYFUNCTION("INDIRECT(""'收支紀錄'!R""&amp;TO_TEXT(ROW()-$C$72))"),"")</f>
        <v/>
      </c>
      <c r="S2019" s="61" t="str">
        <f>IFERROR(__xludf.DUMMYFUNCTION("INDIRECT(""'收支紀錄'!S""&amp;TO_TEXT(ROW()-$C$72))"),"")</f>
        <v/>
      </c>
      <c r="T2019" s="61" t="str">
        <f>IFERROR(__xludf.DUMMYFUNCTION("INDIRECT(""'收支紀錄'!T""&amp;TO_TEXT(ROW()-$C$72))"),"")</f>
        <v/>
      </c>
      <c r="U2019" s="62" t="str">
        <f>IFERROR(__xludf.DUMMYFUNCTION("IF(T2019=""是"",TEXTJOIN("""", TRUE, ""$"", TO_TEXT(C2019), S2019),"""")"),"")</f>
        <v/>
      </c>
    </row>
    <row r="2020">
      <c r="A2020" s="58" t="str">
        <f>IFERROR(__xludf.DUMMYFUNCTION("INDIRECT(""'收支紀錄'!A""&amp;TO_TEXT(ROW()-$C$72))"),"")</f>
        <v/>
      </c>
      <c r="B2020" s="59" t="str">
        <f>IFERROR(__xludf.DUMMYFUNCTION("IF(ISBLANK(D2020), """", IF(ISDATE(D2020), D2020, IF(D2020=""今天"", A2020, IF(D2020=""昨天 (-1 day)"", A2020-1, IF(D2020=""前天 (-2 days)"", A2020-2, IF(D2020=""明天 (+1 day)"", A2020+1, DATE(LEFT(D2020,4), MID(D2020,5,2), RIGHT(D2020,2))))))))"),"")</f>
        <v/>
      </c>
      <c r="C2020" s="60" t="str">
        <f>IFERROR(__xludf.DUMMYFUNCTION("INDIRECT(""'收支紀錄'!C""&amp;TO_TEXT(ROW()-$C$72))"),"")</f>
        <v/>
      </c>
      <c r="D2020" s="63" t="str">
        <f>IFERROR(__xludf.DUMMYFUNCTION("INDIRECT(""'收支紀錄'!D""&amp;TO_TEXT(ROW()-$C$72))"),"")</f>
        <v/>
      </c>
      <c r="E2020" s="61" t="str">
        <f>IFERROR(__xludf.DUMMYFUNCTION("INDIRECT(""'收支紀錄'!E""&amp;TO_TEXT(ROW()-$C$72))"),"")</f>
        <v/>
      </c>
      <c r="F2020" s="61" t="str">
        <f>IFERROR(__xludf.DUMMYFUNCTION("INDIRECT(""'收支紀錄'!F""&amp;TO_TEXT(ROW()-$C$72))"),"")</f>
        <v/>
      </c>
      <c r="G2020" s="61" t="str">
        <f>IFERROR(__xludf.DUMMYFUNCTION("INDIRECT(""'收支紀錄'!G""&amp;TO_TEXT(ROW()-$C$72))"),"")</f>
        <v/>
      </c>
      <c r="H2020" s="61" t="str">
        <f>IFERROR(__xludf.DUMMYFUNCTION("INDIRECT(""'收支紀錄'!H""&amp;TO_TEXT(ROW()-$C$72))"),"")</f>
        <v/>
      </c>
      <c r="I2020" s="61" t="str">
        <f>IFERROR(__xludf.DUMMYFUNCTION("INDIRECT(""'收支紀錄'!I""&amp;TO_TEXT(ROW()-$C$72))"),"")</f>
        <v/>
      </c>
      <c r="J2020" s="61" t="str">
        <f>IFERROR(__xludf.DUMMYFUNCTION("INDIRECT(""'收支紀錄'!J""&amp;TO_TEXT(ROW()-$C$72))"),"")</f>
        <v/>
      </c>
      <c r="K2020" s="61" t="str">
        <f>IFERROR(__xludf.DUMMYFUNCTION("INDIRECT(""'收支紀錄'!K""&amp;TO_TEXT(ROW()-$C$72))"),"")</f>
        <v/>
      </c>
      <c r="L2020" s="61" t="str">
        <f>IFERROR(__xludf.DUMMYFUNCTION("INDIRECT(""'收支紀錄'!L""&amp;TO_TEXT(ROW()-$C$72))"),"")</f>
        <v/>
      </c>
      <c r="M2020" s="61" t="str">
        <f>IFERROR(__xludf.DUMMYFUNCTION("INDIRECT(""'收支紀錄'!M""&amp;TO_TEXT(ROW()-$C$72))"),"")</f>
        <v/>
      </c>
      <c r="N2020" s="61" t="str">
        <f>IFERROR(__xludf.DUMMYFUNCTION("INDIRECT(""'收支紀錄'!N""&amp;TO_TEXT(ROW()-$C$72))"),"")</f>
        <v/>
      </c>
      <c r="O2020" s="61" t="str">
        <f>IFERROR(__xludf.DUMMYFUNCTION("INDIRECT(""'收支紀錄'!O""&amp;TO_TEXT(ROW()-$C$72))"),"")</f>
        <v/>
      </c>
      <c r="P2020" s="61" t="str">
        <f>IFERROR(__xludf.DUMMYFUNCTION("INDIRECT(""'收支紀錄'!P""&amp;TO_TEXT(ROW()-$C$72))"),"")</f>
        <v/>
      </c>
      <c r="Q2020" s="61" t="str">
        <f>IFERROR(__xludf.DUMMYFUNCTION("INDIRECT(""'收支紀錄'!Q""&amp;TO_TEXT(ROW()-$C$72))"),"")</f>
        <v/>
      </c>
      <c r="R2020" s="61" t="str">
        <f>IFERROR(__xludf.DUMMYFUNCTION("INDIRECT(""'收支紀錄'!R""&amp;TO_TEXT(ROW()-$C$72))"),"")</f>
        <v/>
      </c>
      <c r="S2020" s="61" t="str">
        <f>IFERROR(__xludf.DUMMYFUNCTION("INDIRECT(""'收支紀錄'!S""&amp;TO_TEXT(ROW()-$C$72))"),"")</f>
        <v/>
      </c>
      <c r="T2020" s="61" t="str">
        <f>IFERROR(__xludf.DUMMYFUNCTION("INDIRECT(""'收支紀錄'!T""&amp;TO_TEXT(ROW()-$C$72))"),"")</f>
        <v/>
      </c>
      <c r="U2020" s="62" t="str">
        <f>IFERROR(__xludf.DUMMYFUNCTION("IF(T2020=""是"",TEXTJOIN("""", TRUE, ""$"", TO_TEXT(C2020), S2020),"""")"),"")</f>
        <v/>
      </c>
    </row>
    <row r="2021">
      <c r="A2021" s="58" t="str">
        <f>IFERROR(__xludf.DUMMYFUNCTION("INDIRECT(""'收支紀錄'!A""&amp;TO_TEXT(ROW()-$C$72))"),"")</f>
        <v/>
      </c>
      <c r="B2021" s="59" t="str">
        <f>IFERROR(__xludf.DUMMYFUNCTION("IF(ISBLANK(D2021), """", IF(ISDATE(D2021), D2021, IF(D2021=""今天"", A2021, IF(D2021=""昨天 (-1 day)"", A2021-1, IF(D2021=""前天 (-2 days)"", A2021-2, IF(D2021=""明天 (+1 day)"", A2021+1, DATE(LEFT(D2021,4), MID(D2021,5,2), RIGHT(D2021,2))))))))"),"")</f>
        <v/>
      </c>
      <c r="C2021" s="60" t="str">
        <f>IFERROR(__xludf.DUMMYFUNCTION("INDIRECT(""'收支紀錄'!C""&amp;TO_TEXT(ROW()-$C$72))"),"")</f>
        <v/>
      </c>
      <c r="D2021" s="63" t="str">
        <f>IFERROR(__xludf.DUMMYFUNCTION("INDIRECT(""'收支紀錄'!D""&amp;TO_TEXT(ROW()-$C$72))"),"")</f>
        <v/>
      </c>
      <c r="E2021" s="61" t="str">
        <f>IFERROR(__xludf.DUMMYFUNCTION("INDIRECT(""'收支紀錄'!E""&amp;TO_TEXT(ROW()-$C$72))"),"")</f>
        <v/>
      </c>
      <c r="F2021" s="61" t="str">
        <f>IFERROR(__xludf.DUMMYFUNCTION("INDIRECT(""'收支紀錄'!F""&amp;TO_TEXT(ROW()-$C$72))"),"")</f>
        <v/>
      </c>
      <c r="G2021" s="61" t="str">
        <f>IFERROR(__xludf.DUMMYFUNCTION("INDIRECT(""'收支紀錄'!G""&amp;TO_TEXT(ROW()-$C$72))"),"")</f>
        <v/>
      </c>
      <c r="H2021" s="61" t="str">
        <f>IFERROR(__xludf.DUMMYFUNCTION("INDIRECT(""'收支紀錄'!H""&amp;TO_TEXT(ROW()-$C$72))"),"")</f>
        <v/>
      </c>
      <c r="I2021" s="61" t="str">
        <f>IFERROR(__xludf.DUMMYFUNCTION("INDIRECT(""'收支紀錄'!I""&amp;TO_TEXT(ROW()-$C$72))"),"")</f>
        <v/>
      </c>
      <c r="J2021" s="61" t="str">
        <f>IFERROR(__xludf.DUMMYFUNCTION("INDIRECT(""'收支紀錄'!J""&amp;TO_TEXT(ROW()-$C$72))"),"")</f>
        <v/>
      </c>
      <c r="K2021" s="61" t="str">
        <f>IFERROR(__xludf.DUMMYFUNCTION("INDIRECT(""'收支紀錄'!K""&amp;TO_TEXT(ROW()-$C$72))"),"")</f>
        <v/>
      </c>
      <c r="L2021" s="61" t="str">
        <f>IFERROR(__xludf.DUMMYFUNCTION("INDIRECT(""'收支紀錄'!L""&amp;TO_TEXT(ROW()-$C$72))"),"")</f>
        <v/>
      </c>
      <c r="M2021" s="61" t="str">
        <f>IFERROR(__xludf.DUMMYFUNCTION("INDIRECT(""'收支紀錄'!M""&amp;TO_TEXT(ROW()-$C$72))"),"")</f>
        <v/>
      </c>
      <c r="N2021" s="61" t="str">
        <f>IFERROR(__xludf.DUMMYFUNCTION("INDIRECT(""'收支紀錄'!N""&amp;TO_TEXT(ROW()-$C$72))"),"")</f>
        <v/>
      </c>
      <c r="O2021" s="61" t="str">
        <f>IFERROR(__xludf.DUMMYFUNCTION("INDIRECT(""'收支紀錄'!O""&amp;TO_TEXT(ROW()-$C$72))"),"")</f>
        <v/>
      </c>
      <c r="P2021" s="61" t="str">
        <f>IFERROR(__xludf.DUMMYFUNCTION("INDIRECT(""'收支紀錄'!P""&amp;TO_TEXT(ROW()-$C$72))"),"")</f>
        <v/>
      </c>
      <c r="Q2021" s="61" t="str">
        <f>IFERROR(__xludf.DUMMYFUNCTION("INDIRECT(""'收支紀錄'!Q""&amp;TO_TEXT(ROW()-$C$72))"),"")</f>
        <v/>
      </c>
      <c r="R2021" s="61" t="str">
        <f>IFERROR(__xludf.DUMMYFUNCTION("INDIRECT(""'收支紀錄'!R""&amp;TO_TEXT(ROW()-$C$72))"),"")</f>
        <v/>
      </c>
      <c r="S2021" s="61" t="str">
        <f>IFERROR(__xludf.DUMMYFUNCTION("INDIRECT(""'收支紀錄'!S""&amp;TO_TEXT(ROW()-$C$72))"),"")</f>
        <v/>
      </c>
      <c r="T2021" s="61" t="str">
        <f>IFERROR(__xludf.DUMMYFUNCTION("INDIRECT(""'收支紀錄'!T""&amp;TO_TEXT(ROW()-$C$72))"),"")</f>
        <v/>
      </c>
      <c r="U2021" s="62" t="str">
        <f>IFERROR(__xludf.DUMMYFUNCTION("IF(T2021=""是"",TEXTJOIN("""", TRUE, ""$"", TO_TEXT(C2021), S2021),"""")"),"")</f>
        <v/>
      </c>
    </row>
    <row r="2022">
      <c r="A2022" s="58" t="str">
        <f>IFERROR(__xludf.DUMMYFUNCTION("INDIRECT(""'收支紀錄'!A""&amp;TO_TEXT(ROW()-$C$72))"),"")</f>
        <v/>
      </c>
      <c r="B2022" s="59" t="str">
        <f>IFERROR(__xludf.DUMMYFUNCTION("IF(ISBLANK(D2022), """", IF(ISDATE(D2022), D2022, IF(D2022=""今天"", A2022, IF(D2022=""昨天 (-1 day)"", A2022-1, IF(D2022=""前天 (-2 days)"", A2022-2, IF(D2022=""明天 (+1 day)"", A2022+1, DATE(LEFT(D2022,4), MID(D2022,5,2), RIGHT(D2022,2))))))))"),"")</f>
        <v/>
      </c>
      <c r="C2022" s="60" t="str">
        <f>IFERROR(__xludf.DUMMYFUNCTION("INDIRECT(""'收支紀錄'!C""&amp;TO_TEXT(ROW()-$C$72))"),"")</f>
        <v/>
      </c>
      <c r="D2022" s="63" t="str">
        <f>IFERROR(__xludf.DUMMYFUNCTION("INDIRECT(""'收支紀錄'!D""&amp;TO_TEXT(ROW()-$C$72))"),"")</f>
        <v/>
      </c>
      <c r="E2022" s="61" t="str">
        <f>IFERROR(__xludf.DUMMYFUNCTION("INDIRECT(""'收支紀錄'!E""&amp;TO_TEXT(ROW()-$C$72))"),"")</f>
        <v/>
      </c>
      <c r="F2022" s="61" t="str">
        <f>IFERROR(__xludf.DUMMYFUNCTION("INDIRECT(""'收支紀錄'!F""&amp;TO_TEXT(ROW()-$C$72))"),"")</f>
        <v/>
      </c>
      <c r="G2022" s="61" t="str">
        <f>IFERROR(__xludf.DUMMYFUNCTION("INDIRECT(""'收支紀錄'!G""&amp;TO_TEXT(ROW()-$C$72))"),"")</f>
        <v/>
      </c>
      <c r="H2022" s="61" t="str">
        <f>IFERROR(__xludf.DUMMYFUNCTION("INDIRECT(""'收支紀錄'!H""&amp;TO_TEXT(ROW()-$C$72))"),"")</f>
        <v/>
      </c>
      <c r="I2022" s="61" t="str">
        <f>IFERROR(__xludf.DUMMYFUNCTION("INDIRECT(""'收支紀錄'!I""&amp;TO_TEXT(ROW()-$C$72))"),"")</f>
        <v/>
      </c>
      <c r="J2022" s="61" t="str">
        <f>IFERROR(__xludf.DUMMYFUNCTION("INDIRECT(""'收支紀錄'!J""&amp;TO_TEXT(ROW()-$C$72))"),"")</f>
        <v/>
      </c>
      <c r="K2022" s="61" t="str">
        <f>IFERROR(__xludf.DUMMYFUNCTION("INDIRECT(""'收支紀錄'!K""&amp;TO_TEXT(ROW()-$C$72))"),"")</f>
        <v/>
      </c>
      <c r="L2022" s="61" t="str">
        <f>IFERROR(__xludf.DUMMYFUNCTION("INDIRECT(""'收支紀錄'!L""&amp;TO_TEXT(ROW()-$C$72))"),"")</f>
        <v/>
      </c>
      <c r="M2022" s="61" t="str">
        <f>IFERROR(__xludf.DUMMYFUNCTION("INDIRECT(""'收支紀錄'!M""&amp;TO_TEXT(ROW()-$C$72))"),"")</f>
        <v/>
      </c>
      <c r="N2022" s="61" t="str">
        <f>IFERROR(__xludf.DUMMYFUNCTION("INDIRECT(""'收支紀錄'!N""&amp;TO_TEXT(ROW()-$C$72))"),"")</f>
        <v/>
      </c>
      <c r="O2022" s="61" t="str">
        <f>IFERROR(__xludf.DUMMYFUNCTION("INDIRECT(""'收支紀錄'!O""&amp;TO_TEXT(ROW()-$C$72))"),"")</f>
        <v/>
      </c>
      <c r="P2022" s="61" t="str">
        <f>IFERROR(__xludf.DUMMYFUNCTION("INDIRECT(""'收支紀錄'!P""&amp;TO_TEXT(ROW()-$C$72))"),"")</f>
        <v/>
      </c>
      <c r="Q2022" s="61" t="str">
        <f>IFERROR(__xludf.DUMMYFUNCTION("INDIRECT(""'收支紀錄'!Q""&amp;TO_TEXT(ROW()-$C$72))"),"")</f>
        <v/>
      </c>
      <c r="R2022" s="61" t="str">
        <f>IFERROR(__xludf.DUMMYFUNCTION("INDIRECT(""'收支紀錄'!R""&amp;TO_TEXT(ROW()-$C$72))"),"")</f>
        <v/>
      </c>
      <c r="S2022" s="61" t="str">
        <f>IFERROR(__xludf.DUMMYFUNCTION("INDIRECT(""'收支紀錄'!S""&amp;TO_TEXT(ROW()-$C$72))"),"")</f>
        <v/>
      </c>
      <c r="T2022" s="61" t="str">
        <f>IFERROR(__xludf.DUMMYFUNCTION("INDIRECT(""'收支紀錄'!T""&amp;TO_TEXT(ROW()-$C$72))"),"")</f>
        <v/>
      </c>
      <c r="U2022" s="62" t="str">
        <f>IFERROR(__xludf.DUMMYFUNCTION("IF(T2022=""是"",TEXTJOIN("""", TRUE, ""$"", TO_TEXT(C2022), S2022),"""")"),"")</f>
        <v/>
      </c>
    </row>
    <row r="2023">
      <c r="A2023" s="58" t="str">
        <f>IFERROR(__xludf.DUMMYFUNCTION("INDIRECT(""'收支紀錄'!A""&amp;TO_TEXT(ROW()-$C$72))"),"")</f>
        <v/>
      </c>
      <c r="B2023" s="59" t="str">
        <f>IFERROR(__xludf.DUMMYFUNCTION("IF(ISBLANK(D2023), """", IF(ISDATE(D2023), D2023, IF(D2023=""今天"", A2023, IF(D2023=""昨天 (-1 day)"", A2023-1, IF(D2023=""前天 (-2 days)"", A2023-2, IF(D2023=""明天 (+1 day)"", A2023+1, DATE(LEFT(D2023,4), MID(D2023,5,2), RIGHT(D2023,2))))))))"),"")</f>
        <v/>
      </c>
      <c r="C2023" s="60" t="str">
        <f>IFERROR(__xludf.DUMMYFUNCTION("INDIRECT(""'收支紀錄'!C""&amp;TO_TEXT(ROW()-$C$72))"),"")</f>
        <v/>
      </c>
      <c r="D2023" s="63" t="str">
        <f>IFERROR(__xludf.DUMMYFUNCTION("INDIRECT(""'收支紀錄'!D""&amp;TO_TEXT(ROW()-$C$72))"),"")</f>
        <v/>
      </c>
      <c r="E2023" s="61" t="str">
        <f>IFERROR(__xludf.DUMMYFUNCTION("INDIRECT(""'收支紀錄'!E""&amp;TO_TEXT(ROW()-$C$72))"),"")</f>
        <v/>
      </c>
      <c r="F2023" s="61" t="str">
        <f>IFERROR(__xludf.DUMMYFUNCTION("INDIRECT(""'收支紀錄'!F""&amp;TO_TEXT(ROW()-$C$72))"),"")</f>
        <v/>
      </c>
      <c r="G2023" s="61" t="str">
        <f>IFERROR(__xludf.DUMMYFUNCTION("INDIRECT(""'收支紀錄'!G""&amp;TO_TEXT(ROW()-$C$72))"),"")</f>
        <v/>
      </c>
      <c r="H2023" s="61" t="str">
        <f>IFERROR(__xludf.DUMMYFUNCTION("INDIRECT(""'收支紀錄'!H""&amp;TO_TEXT(ROW()-$C$72))"),"")</f>
        <v/>
      </c>
      <c r="I2023" s="61" t="str">
        <f>IFERROR(__xludf.DUMMYFUNCTION("INDIRECT(""'收支紀錄'!I""&amp;TO_TEXT(ROW()-$C$72))"),"")</f>
        <v/>
      </c>
      <c r="J2023" s="61" t="str">
        <f>IFERROR(__xludf.DUMMYFUNCTION("INDIRECT(""'收支紀錄'!J""&amp;TO_TEXT(ROW()-$C$72))"),"")</f>
        <v/>
      </c>
      <c r="K2023" s="61" t="str">
        <f>IFERROR(__xludf.DUMMYFUNCTION("INDIRECT(""'收支紀錄'!K""&amp;TO_TEXT(ROW()-$C$72))"),"")</f>
        <v/>
      </c>
      <c r="L2023" s="61" t="str">
        <f>IFERROR(__xludf.DUMMYFUNCTION("INDIRECT(""'收支紀錄'!L""&amp;TO_TEXT(ROW()-$C$72))"),"")</f>
        <v/>
      </c>
      <c r="M2023" s="61" t="str">
        <f>IFERROR(__xludf.DUMMYFUNCTION("INDIRECT(""'收支紀錄'!M""&amp;TO_TEXT(ROW()-$C$72))"),"")</f>
        <v/>
      </c>
      <c r="N2023" s="61" t="str">
        <f>IFERROR(__xludf.DUMMYFUNCTION("INDIRECT(""'收支紀錄'!N""&amp;TO_TEXT(ROW()-$C$72))"),"")</f>
        <v/>
      </c>
      <c r="O2023" s="61" t="str">
        <f>IFERROR(__xludf.DUMMYFUNCTION("INDIRECT(""'收支紀錄'!O""&amp;TO_TEXT(ROW()-$C$72))"),"")</f>
        <v/>
      </c>
      <c r="P2023" s="61" t="str">
        <f>IFERROR(__xludf.DUMMYFUNCTION("INDIRECT(""'收支紀錄'!P""&amp;TO_TEXT(ROW()-$C$72))"),"")</f>
        <v/>
      </c>
      <c r="Q2023" s="61" t="str">
        <f>IFERROR(__xludf.DUMMYFUNCTION("INDIRECT(""'收支紀錄'!Q""&amp;TO_TEXT(ROW()-$C$72))"),"")</f>
        <v/>
      </c>
      <c r="R2023" s="61" t="str">
        <f>IFERROR(__xludf.DUMMYFUNCTION("INDIRECT(""'收支紀錄'!R""&amp;TO_TEXT(ROW()-$C$72))"),"")</f>
        <v/>
      </c>
      <c r="S2023" s="61" t="str">
        <f>IFERROR(__xludf.DUMMYFUNCTION("INDIRECT(""'收支紀錄'!S""&amp;TO_TEXT(ROW()-$C$72))"),"")</f>
        <v/>
      </c>
      <c r="T2023" s="61" t="str">
        <f>IFERROR(__xludf.DUMMYFUNCTION("INDIRECT(""'收支紀錄'!T""&amp;TO_TEXT(ROW()-$C$72))"),"")</f>
        <v/>
      </c>
      <c r="U2023" s="62" t="str">
        <f>IFERROR(__xludf.DUMMYFUNCTION("IF(T2023=""是"",TEXTJOIN("""", TRUE, ""$"", TO_TEXT(C2023), S2023),"""")"),"")</f>
        <v/>
      </c>
    </row>
    <row r="2024">
      <c r="A2024" s="58" t="str">
        <f>IFERROR(__xludf.DUMMYFUNCTION("INDIRECT(""'收支紀錄'!A""&amp;TO_TEXT(ROW()-$C$72))"),"")</f>
        <v/>
      </c>
      <c r="B2024" s="59" t="str">
        <f>IFERROR(__xludf.DUMMYFUNCTION("IF(ISBLANK(D2024), """", IF(ISDATE(D2024), D2024, IF(D2024=""今天"", A2024, IF(D2024=""昨天 (-1 day)"", A2024-1, IF(D2024=""前天 (-2 days)"", A2024-2, IF(D2024=""明天 (+1 day)"", A2024+1, DATE(LEFT(D2024,4), MID(D2024,5,2), RIGHT(D2024,2))))))))"),"")</f>
        <v/>
      </c>
      <c r="C2024" s="60" t="str">
        <f>IFERROR(__xludf.DUMMYFUNCTION("INDIRECT(""'收支紀錄'!C""&amp;TO_TEXT(ROW()-$C$72))"),"")</f>
        <v/>
      </c>
      <c r="D2024" s="63" t="str">
        <f>IFERROR(__xludf.DUMMYFUNCTION("INDIRECT(""'收支紀錄'!D""&amp;TO_TEXT(ROW()-$C$72))"),"")</f>
        <v/>
      </c>
      <c r="E2024" s="61" t="str">
        <f>IFERROR(__xludf.DUMMYFUNCTION("INDIRECT(""'收支紀錄'!E""&amp;TO_TEXT(ROW()-$C$72))"),"")</f>
        <v/>
      </c>
      <c r="F2024" s="61" t="str">
        <f>IFERROR(__xludf.DUMMYFUNCTION("INDIRECT(""'收支紀錄'!F""&amp;TO_TEXT(ROW()-$C$72))"),"")</f>
        <v/>
      </c>
      <c r="G2024" s="61" t="str">
        <f>IFERROR(__xludf.DUMMYFUNCTION("INDIRECT(""'收支紀錄'!G""&amp;TO_TEXT(ROW()-$C$72))"),"")</f>
        <v/>
      </c>
      <c r="H2024" s="61" t="str">
        <f>IFERROR(__xludf.DUMMYFUNCTION("INDIRECT(""'收支紀錄'!H""&amp;TO_TEXT(ROW()-$C$72))"),"")</f>
        <v/>
      </c>
      <c r="I2024" s="61" t="str">
        <f>IFERROR(__xludf.DUMMYFUNCTION("INDIRECT(""'收支紀錄'!I""&amp;TO_TEXT(ROW()-$C$72))"),"")</f>
        <v/>
      </c>
      <c r="J2024" s="61" t="str">
        <f>IFERROR(__xludf.DUMMYFUNCTION("INDIRECT(""'收支紀錄'!J""&amp;TO_TEXT(ROW()-$C$72))"),"")</f>
        <v/>
      </c>
      <c r="K2024" s="61" t="str">
        <f>IFERROR(__xludf.DUMMYFUNCTION("INDIRECT(""'收支紀錄'!K""&amp;TO_TEXT(ROW()-$C$72))"),"")</f>
        <v/>
      </c>
      <c r="L2024" s="61" t="str">
        <f>IFERROR(__xludf.DUMMYFUNCTION("INDIRECT(""'收支紀錄'!L""&amp;TO_TEXT(ROW()-$C$72))"),"")</f>
        <v/>
      </c>
      <c r="M2024" s="61" t="str">
        <f>IFERROR(__xludf.DUMMYFUNCTION("INDIRECT(""'收支紀錄'!M""&amp;TO_TEXT(ROW()-$C$72))"),"")</f>
        <v/>
      </c>
      <c r="N2024" s="61" t="str">
        <f>IFERROR(__xludf.DUMMYFUNCTION("INDIRECT(""'收支紀錄'!N""&amp;TO_TEXT(ROW()-$C$72))"),"")</f>
        <v/>
      </c>
      <c r="O2024" s="61" t="str">
        <f>IFERROR(__xludf.DUMMYFUNCTION("INDIRECT(""'收支紀錄'!O""&amp;TO_TEXT(ROW()-$C$72))"),"")</f>
        <v/>
      </c>
      <c r="P2024" s="61" t="str">
        <f>IFERROR(__xludf.DUMMYFUNCTION("INDIRECT(""'收支紀錄'!P""&amp;TO_TEXT(ROW()-$C$72))"),"")</f>
        <v/>
      </c>
      <c r="Q2024" s="61" t="str">
        <f>IFERROR(__xludf.DUMMYFUNCTION("INDIRECT(""'收支紀錄'!Q""&amp;TO_TEXT(ROW()-$C$72))"),"")</f>
        <v/>
      </c>
      <c r="R2024" s="61" t="str">
        <f>IFERROR(__xludf.DUMMYFUNCTION("INDIRECT(""'收支紀錄'!R""&amp;TO_TEXT(ROW()-$C$72))"),"")</f>
        <v/>
      </c>
      <c r="S2024" s="61" t="str">
        <f>IFERROR(__xludf.DUMMYFUNCTION("INDIRECT(""'收支紀錄'!S""&amp;TO_TEXT(ROW()-$C$72))"),"")</f>
        <v/>
      </c>
      <c r="T2024" s="61" t="str">
        <f>IFERROR(__xludf.DUMMYFUNCTION("INDIRECT(""'收支紀錄'!T""&amp;TO_TEXT(ROW()-$C$72))"),"")</f>
        <v/>
      </c>
      <c r="U2024" s="62" t="str">
        <f>IFERROR(__xludf.DUMMYFUNCTION("IF(T2024=""是"",TEXTJOIN("""", TRUE, ""$"", TO_TEXT(C2024), S2024),"""")"),"")</f>
        <v/>
      </c>
    </row>
    <row r="2025">
      <c r="A2025" s="58" t="str">
        <f>IFERROR(__xludf.DUMMYFUNCTION("INDIRECT(""'收支紀錄'!A""&amp;TO_TEXT(ROW()-$C$72))"),"")</f>
        <v/>
      </c>
      <c r="B2025" s="59" t="str">
        <f>IFERROR(__xludf.DUMMYFUNCTION("IF(ISBLANK(D2025), """", IF(ISDATE(D2025), D2025, IF(D2025=""今天"", A2025, IF(D2025=""昨天 (-1 day)"", A2025-1, IF(D2025=""前天 (-2 days)"", A2025-2, IF(D2025=""明天 (+1 day)"", A2025+1, DATE(LEFT(D2025,4), MID(D2025,5,2), RIGHT(D2025,2))))))))"),"")</f>
        <v/>
      </c>
      <c r="C2025" s="60" t="str">
        <f>IFERROR(__xludf.DUMMYFUNCTION("INDIRECT(""'收支紀錄'!C""&amp;TO_TEXT(ROW()-$C$72))"),"")</f>
        <v/>
      </c>
      <c r="D2025" s="63" t="str">
        <f>IFERROR(__xludf.DUMMYFUNCTION("INDIRECT(""'收支紀錄'!D""&amp;TO_TEXT(ROW()-$C$72))"),"")</f>
        <v/>
      </c>
      <c r="E2025" s="61" t="str">
        <f>IFERROR(__xludf.DUMMYFUNCTION("INDIRECT(""'收支紀錄'!E""&amp;TO_TEXT(ROW()-$C$72))"),"")</f>
        <v/>
      </c>
      <c r="F2025" s="61" t="str">
        <f>IFERROR(__xludf.DUMMYFUNCTION("INDIRECT(""'收支紀錄'!F""&amp;TO_TEXT(ROW()-$C$72))"),"")</f>
        <v/>
      </c>
      <c r="G2025" s="61" t="str">
        <f>IFERROR(__xludf.DUMMYFUNCTION("INDIRECT(""'收支紀錄'!G""&amp;TO_TEXT(ROW()-$C$72))"),"")</f>
        <v/>
      </c>
      <c r="H2025" s="61" t="str">
        <f>IFERROR(__xludf.DUMMYFUNCTION("INDIRECT(""'收支紀錄'!H""&amp;TO_TEXT(ROW()-$C$72))"),"")</f>
        <v/>
      </c>
      <c r="I2025" s="61" t="str">
        <f>IFERROR(__xludf.DUMMYFUNCTION("INDIRECT(""'收支紀錄'!I""&amp;TO_TEXT(ROW()-$C$72))"),"")</f>
        <v/>
      </c>
      <c r="J2025" s="61" t="str">
        <f>IFERROR(__xludf.DUMMYFUNCTION("INDIRECT(""'收支紀錄'!J""&amp;TO_TEXT(ROW()-$C$72))"),"")</f>
        <v/>
      </c>
      <c r="K2025" s="61" t="str">
        <f>IFERROR(__xludf.DUMMYFUNCTION("INDIRECT(""'收支紀錄'!K""&amp;TO_TEXT(ROW()-$C$72))"),"")</f>
        <v/>
      </c>
      <c r="L2025" s="61" t="str">
        <f>IFERROR(__xludf.DUMMYFUNCTION("INDIRECT(""'收支紀錄'!L""&amp;TO_TEXT(ROW()-$C$72))"),"")</f>
        <v/>
      </c>
      <c r="M2025" s="61" t="str">
        <f>IFERROR(__xludf.DUMMYFUNCTION("INDIRECT(""'收支紀錄'!M""&amp;TO_TEXT(ROW()-$C$72))"),"")</f>
        <v/>
      </c>
      <c r="N2025" s="61" t="str">
        <f>IFERROR(__xludf.DUMMYFUNCTION("INDIRECT(""'收支紀錄'!N""&amp;TO_TEXT(ROW()-$C$72))"),"")</f>
        <v/>
      </c>
      <c r="O2025" s="61" t="str">
        <f>IFERROR(__xludf.DUMMYFUNCTION("INDIRECT(""'收支紀錄'!O""&amp;TO_TEXT(ROW()-$C$72))"),"")</f>
        <v/>
      </c>
      <c r="P2025" s="61" t="str">
        <f>IFERROR(__xludf.DUMMYFUNCTION("INDIRECT(""'收支紀錄'!P""&amp;TO_TEXT(ROW()-$C$72))"),"")</f>
        <v/>
      </c>
      <c r="Q2025" s="61" t="str">
        <f>IFERROR(__xludf.DUMMYFUNCTION("INDIRECT(""'收支紀錄'!Q""&amp;TO_TEXT(ROW()-$C$72))"),"")</f>
        <v/>
      </c>
      <c r="R2025" s="61" t="str">
        <f>IFERROR(__xludf.DUMMYFUNCTION("INDIRECT(""'收支紀錄'!R""&amp;TO_TEXT(ROW()-$C$72))"),"")</f>
        <v/>
      </c>
      <c r="S2025" s="61" t="str">
        <f>IFERROR(__xludf.DUMMYFUNCTION("INDIRECT(""'收支紀錄'!S""&amp;TO_TEXT(ROW()-$C$72))"),"")</f>
        <v/>
      </c>
      <c r="T2025" s="61" t="str">
        <f>IFERROR(__xludf.DUMMYFUNCTION("INDIRECT(""'收支紀錄'!T""&amp;TO_TEXT(ROW()-$C$72))"),"")</f>
        <v/>
      </c>
      <c r="U2025" s="62" t="str">
        <f>IFERROR(__xludf.DUMMYFUNCTION("IF(T2025=""是"",TEXTJOIN("""", TRUE, ""$"", TO_TEXT(C2025), S2025),"""")"),"")</f>
        <v/>
      </c>
    </row>
    <row r="2026">
      <c r="A2026" s="58" t="str">
        <f>IFERROR(__xludf.DUMMYFUNCTION("INDIRECT(""'收支紀錄'!A""&amp;TO_TEXT(ROW()-$C$72))"),"")</f>
        <v/>
      </c>
      <c r="B2026" s="59" t="str">
        <f>IFERROR(__xludf.DUMMYFUNCTION("IF(ISBLANK(D2026), """", IF(ISDATE(D2026), D2026, IF(D2026=""今天"", A2026, IF(D2026=""昨天 (-1 day)"", A2026-1, IF(D2026=""前天 (-2 days)"", A2026-2, IF(D2026=""明天 (+1 day)"", A2026+1, DATE(LEFT(D2026,4), MID(D2026,5,2), RIGHT(D2026,2))))))))"),"")</f>
        <v/>
      </c>
      <c r="C2026" s="60" t="str">
        <f>IFERROR(__xludf.DUMMYFUNCTION("INDIRECT(""'收支紀錄'!C""&amp;TO_TEXT(ROW()-$C$72))"),"")</f>
        <v/>
      </c>
      <c r="D2026" s="63" t="str">
        <f>IFERROR(__xludf.DUMMYFUNCTION("INDIRECT(""'收支紀錄'!D""&amp;TO_TEXT(ROW()-$C$72))"),"")</f>
        <v/>
      </c>
      <c r="E2026" s="61" t="str">
        <f>IFERROR(__xludf.DUMMYFUNCTION("INDIRECT(""'收支紀錄'!E""&amp;TO_TEXT(ROW()-$C$72))"),"")</f>
        <v/>
      </c>
      <c r="F2026" s="61" t="str">
        <f>IFERROR(__xludf.DUMMYFUNCTION("INDIRECT(""'收支紀錄'!F""&amp;TO_TEXT(ROW()-$C$72))"),"")</f>
        <v/>
      </c>
      <c r="G2026" s="61" t="str">
        <f>IFERROR(__xludf.DUMMYFUNCTION("INDIRECT(""'收支紀錄'!G""&amp;TO_TEXT(ROW()-$C$72))"),"")</f>
        <v/>
      </c>
      <c r="H2026" s="61" t="str">
        <f>IFERROR(__xludf.DUMMYFUNCTION("INDIRECT(""'收支紀錄'!H""&amp;TO_TEXT(ROW()-$C$72))"),"")</f>
        <v/>
      </c>
      <c r="I2026" s="61" t="str">
        <f>IFERROR(__xludf.DUMMYFUNCTION("INDIRECT(""'收支紀錄'!I""&amp;TO_TEXT(ROW()-$C$72))"),"")</f>
        <v/>
      </c>
      <c r="J2026" s="61" t="str">
        <f>IFERROR(__xludf.DUMMYFUNCTION("INDIRECT(""'收支紀錄'!J""&amp;TO_TEXT(ROW()-$C$72))"),"")</f>
        <v/>
      </c>
      <c r="K2026" s="61" t="str">
        <f>IFERROR(__xludf.DUMMYFUNCTION("INDIRECT(""'收支紀錄'!K""&amp;TO_TEXT(ROW()-$C$72))"),"")</f>
        <v/>
      </c>
      <c r="L2026" s="61" t="str">
        <f>IFERROR(__xludf.DUMMYFUNCTION("INDIRECT(""'收支紀錄'!L""&amp;TO_TEXT(ROW()-$C$72))"),"")</f>
        <v/>
      </c>
      <c r="M2026" s="61" t="str">
        <f>IFERROR(__xludf.DUMMYFUNCTION("INDIRECT(""'收支紀錄'!M""&amp;TO_TEXT(ROW()-$C$72))"),"")</f>
        <v/>
      </c>
      <c r="N2026" s="61" t="str">
        <f>IFERROR(__xludf.DUMMYFUNCTION("INDIRECT(""'收支紀錄'!N""&amp;TO_TEXT(ROW()-$C$72))"),"")</f>
        <v/>
      </c>
      <c r="O2026" s="61" t="str">
        <f>IFERROR(__xludf.DUMMYFUNCTION("INDIRECT(""'收支紀錄'!O""&amp;TO_TEXT(ROW()-$C$72))"),"")</f>
        <v/>
      </c>
      <c r="P2026" s="61" t="str">
        <f>IFERROR(__xludf.DUMMYFUNCTION("INDIRECT(""'收支紀錄'!P""&amp;TO_TEXT(ROW()-$C$72))"),"")</f>
        <v/>
      </c>
      <c r="Q2026" s="61" t="str">
        <f>IFERROR(__xludf.DUMMYFUNCTION("INDIRECT(""'收支紀錄'!Q""&amp;TO_TEXT(ROW()-$C$72))"),"")</f>
        <v/>
      </c>
      <c r="R2026" s="61" t="str">
        <f>IFERROR(__xludf.DUMMYFUNCTION("INDIRECT(""'收支紀錄'!R""&amp;TO_TEXT(ROW()-$C$72))"),"")</f>
        <v/>
      </c>
      <c r="S2026" s="61" t="str">
        <f>IFERROR(__xludf.DUMMYFUNCTION("INDIRECT(""'收支紀錄'!S""&amp;TO_TEXT(ROW()-$C$72))"),"")</f>
        <v/>
      </c>
      <c r="T2026" s="61" t="str">
        <f>IFERROR(__xludf.DUMMYFUNCTION("INDIRECT(""'收支紀錄'!T""&amp;TO_TEXT(ROW()-$C$72))"),"")</f>
        <v/>
      </c>
      <c r="U2026" s="62" t="str">
        <f>IFERROR(__xludf.DUMMYFUNCTION("IF(T2026=""是"",TEXTJOIN("""", TRUE, ""$"", TO_TEXT(C2026), S2026),"""")"),"")</f>
        <v/>
      </c>
    </row>
    <row r="2027">
      <c r="A2027" s="58" t="str">
        <f>IFERROR(__xludf.DUMMYFUNCTION("INDIRECT(""'收支紀錄'!A""&amp;TO_TEXT(ROW()-$C$72))"),"")</f>
        <v/>
      </c>
      <c r="B2027" s="59" t="str">
        <f>IFERROR(__xludf.DUMMYFUNCTION("IF(ISBLANK(D2027), """", IF(ISDATE(D2027), D2027, IF(D2027=""今天"", A2027, IF(D2027=""昨天 (-1 day)"", A2027-1, IF(D2027=""前天 (-2 days)"", A2027-2, IF(D2027=""明天 (+1 day)"", A2027+1, DATE(LEFT(D2027,4), MID(D2027,5,2), RIGHT(D2027,2))))))))"),"")</f>
        <v/>
      </c>
      <c r="C2027" s="60" t="str">
        <f>IFERROR(__xludf.DUMMYFUNCTION("INDIRECT(""'收支紀錄'!C""&amp;TO_TEXT(ROW()-$C$72))"),"")</f>
        <v/>
      </c>
      <c r="D2027" s="63" t="str">
        <f>IFERROR(__xludf.DUMMYFUNCTION("INDIRECT(""'收支紀錄'!D""&amp;TO_TEXT(ROW()-$C$72))"),"")</f>
        <v/>
      </c>
      <c r="E2027" s="61" t="str">
        <f>IFERROR(__xludf.DUMMYFUNCTION("INDIRECT(""'收支紀錄'!E""&amp;TO_TEXT(ROW()-$C$72))"),"")</f>
        <v/>
      </c>
      <c r="F2027" s="61" t="str">
        <f>IFERROR(__xludf.DUMMYFUNCTION("INDIRECT(""'收支紀錄'!F""&amp;TO_TEXT(ROW()-$C$72))"),"")</f>
        <v/>
      </c>
      <c r="G2027" s="61" t="str">
        <f>IFERROR(__xludf.DUMMYFUNCTION("INDIRECT(""'收支紀錄'!G""&amp;TO_TEXT(ROW()-$C$72))"),"")</f>
        <v/>
      </c>
      <c r="H2027" s="61" t="str">
        <f>IFERROR(__xludf.DUMMYFUNCTION("INDIRECT(""'收支紀錄'!H""&amp;TO_TEXT(ROW()-$C$72))"),"")</f>
        <v/>
      </c>
      <c r="I2027" s="61" t="str">
        <f>IFERROR(__xludf.DUMMYFUNCTION("INDIRECT(""'收支紀錄'!I""&amp;TO_TEXT(ROW()-$C$72))"),"")</f>
        <v/>
      </c>
      <c r="J2027" s="61" t="str">
        <f>IFERROR(__xludf.DUMMYFUNCTION("INDIRECT(""'收支紀錄'!J""&amp;TO_TEXT(ROW()-$C$72))"),"")</f>
        <v/>
      </c>
      <c r="K2027" s="61" t="str">
        <f>IFERROR(__xludf.DUMMYFUNCTION("INDIRECT(""'收支紀錄'!K""&amp;TO_TEXT(ROW()-$C$72))"),"")</f>
        <v/>
      </c>
      <c r="L2027" s="61" t="str">
        <f>IFERROR(__xludf.DUMMYFUNCTION("INDIRECT(""'收支紀錄'!L""&amp;TO_TEXT(ROW()-$C$72))"),"")</f>
        <v/>
      </c>
      <c r="M2027" s="61" t="str">
        <f>IFERROR(__xludf.DUMMYFUNCTION("INDIRECT(""'收支紀錄'!M""&amp;TO_TEXT(ROW()-$C$72))"),"")</f>
        <v/>
      </c>
      <c r="N2027" s="61" t="str">
        <f>IFERROR(__xludf.DUMMYFUNCTION("INDIRECT(""'收支紀錄'!N""&amp;TO_TEXT(ROW()-$C$72))"),"")</f>
        <v/>
      </c>
      <c r="O2027" s="61" t="str">
        <f>IFERROR(__xludf.DUMMYFUNCTION("INDIRECT(""'收支紀錄'!O""&amp;TO_TEXT(ROW()-$C$72))"),"")</f>
        <v/>
      </c>
      <c r="P2027" s="61" t="str">
        <f>IFERROR(__xludf.DUMMYFUNCTION("INDIRECT(""'收支紀錄'!P""&amp;TO_TEXT(ROW()-$C$72))"),"")</f>
        <v/>
      </c>
      <c r="Q2027" s="61" t="str">
        <f>IFERROR(__xludf.DUMMYFUNCTION("INDIRECT(""'收支紀錄'!Q""&amp;TO_TEXT(ROW()-$C$72))"),"")</f>
        <v/>
      </c>
      <c r="R2027" s="61" t="str">
        <f>IFERROR(__xludf.DUMMYFUNCTION("INDIRECT(""'收支紀錄'!R""&amp;TO_TEXT(ROW()-$C$72))"),"")</f>
        <v/>
      </c>
      <c r="S2027" s="61" t="str">
        <f>IFERROR(__xludf.DUMMYFUNCTION("INDIRECT(""'收支紀錄'!S""&amp;TO_TEXT(ROW()-$C$72))"),"")</f>
        <v/>
      </c>
      <c r="T2027" s="61" t="str">
        <f>IFERROR(__xludf.DUMMYFUNCTION("INDIRECT(""'收支紀錄'!T""&amp;TO_TEXT(ROW()-$C$72))"),"")</f>
        <v/>
      </c>
      <c r="U2027" s="62" t="str">
        <f>IFERROR(__xludf.DUMMYFUNCTION("IF(T2027=""是"",TEXTJOIN("""", TRUE, ""$"", TO_TEXT(C2027), S2027),"""")"),"")</f>
        <v/>
      </c>
    </row>
    <row r="2028">
      <c r="A2028" s="58" t="str">
        <f>IFERROR(__xludf.DUMMYFUNCTION("INDIRECT(""'收支紀錄'!A""&amp;TO_TEXT(ROW()-$C$72))"),"")</f>
        <v/>
      </c>
      <c r="B2028" s="59" t="str">
        <f>IFERROR(__xludf.DUMMYFUNCTION("IF(ISBLANK(D2028), """", IF(ISDATE(D2028), D2028, IF(D2028=""今天"", A2028, IF(D2028=""昨天 (-1 day)"", A2028-1, IF(D2028=""前天 (-2 days)"", A2028-2, IF(D2028=""明天 (+1 day)"", A2028+1, DATE(LEFT(D2028,4), MID(D2028,5,2), RIGHT(D2028,2))))))))"),"")</f>
        <v/>
      </c>
      <c r="C2028" s="60" t="str">
        <f>IFERROR(__xludf.DUMMYFUNCTION("INDIRECT(""'收支紀錄'!C""&amp;TO_TEXT(ROW()-$C$72))"),"")</f>
        <v/>
      </c>
      <c r="D2028" s="63" t="str">
        <f>IFERROR(__xludf.DUMMYFUNCTION("INDIRECT(""'收支紀錄'!D""&amp;TO_TEXT(ROW()-$C$72))"),"")</f>
        <v/>
      </c>
      <c r="E2028" s="61" t="str">
        <f>IFERROR(__xludf.DUMMYFUNCTION("INDIRECT(""'收支紀錄'!E""&amp;TO_TEXT(ROW()-$C$72))"),"")</f>
        <v/>
      </c>
      <c r="F2028" s="61" t="str">
        <f>IFERROR(__xludf.DUMMYFUNCTION("INDIRECT(""'收支紀錄'!F""&amp;TO_TEXT(ROW()-$C$72))"),"")</f>
        <v/>
      </c>
      <c r="G2028" s="61" t="str">
        <f>IFERROR(__xludf.DUMMYFUNCTION("INDIRECT(""'收支紀錄'!G""&amp;TO_TEXT(ROW()-$C$72))"),"")</f>
        <v/>
      </c>
      <c r="H2028" s="61" t="str">
        <f>IFERROR(__xludf.DUMMYFUNCTION("INDIRECT(""'收支紀錄'!H""&amp;TO_TEXT(ROW()-$C$72))"),"")</f>
        <v/>
      </c>
      <c r="I2028" s="61" t="str">
        <f>IFERROR(__xludf.DUMMYFUNCTION("INDIRECT(""'收支紀錄'!I""&amp;TO_TEXT(ROW()-$C$72))"),"")</f>
        <v/>
      </c>
      <c r="J2028" s="61" t="str">
        <f>IFERROR(__xludf.DUMMYFUNCTION("INDIRECT(""'收支紀錄'!J""&amp;TO_TEXT(ROW()-$C$72))"),"")</f>
        <v/>
      </c>
      <c r="K2028" s="61" t="str">
        <f>IFERROR(__xludf.DUMMYFUNCTION("INDIRECT(""'收支紀錄'!K""&amp;TO_TEXT(ROW()-$C$72))"),"")</f>
        <v/>
      </c>
      <c r="L2028" s="61" t="str">
        <f>IFERROR(__xludf.DUMMYFUNCTION("INDIRECT(""'收支紀錄'!L""&amp;TO_TEXT(ROW()-$C$72))"),"")</f>
        <v/>
      </c>
      <c r="M2028" s="61" t="str">
        <f>IFERROR(__xludf.DUMMYFUNCTION("INDIRECT(""'收支紀錄'!M""&amp;TO_TEXT(ROW()-$C$72))"),"")</f>
        <v/>
      </c>
      <c r="N2028" s="61" t="str">
        <f>IFERROR(__xludf.DUMMYFUNCTION("INDIRECT(""'收支紀錄'!N""&amp;TO_TEXT(ROW()-$C$72))"),"")</f>
        <v/>
      </c>
      <c r="O2028" s="61" t="str">
        <f>IFERROR(__xludf.DUMMYFUNCTION("INDIRECT(""'收支紀錄'!O""&amp;TO_TEXT(ROW()-$C$72))"),"")</f>
        <v/>
      </c>
      <c r="P2028" s="61" t="str">
        <f>IFERROR(__xludf.DUMMYFUNCTION("INDIRECT(""'收支紀錄'!P""&amp;TO_TEXT(ROW()-$C$72))"),"")</f>
        <v/>
      </c>
      <c r="Q2028" s="61" t="str">
        <f>IFERROR(__xludf.DUMMYFUNCTION("INDIRECT(""'收支紀錄'!Q""&amp;TO_TEXT(ROW()-$C$72))"),"")</f>
        <v/>
      </c>
      <c r="R2028" s="61" t="str">
        <f>IFERROR(__xludf.DUMMYFUNCTION("INDIRECT(""'收支紀錄'!R""&amp;TO_TEXT(ROW()-$C$72))"),"")</f>
        <v/>
      </c>
      <c r="S2028" s="61" t="str">
        <f>IFERROR(__xludf.DUMMYFUNCTION("INDIRECT(""'收支紀錄'!S""&amp;TO_TEXT(ROW()-$C$72))"),"")</f>
        <v/>
      </c>
      <c r="T2028" s="61" t="str">
        <f>IFERROR(__xludf.DUMMYFUNCTION("INDIRECT(""'收支紀錄'!T""&amp;TO_TEXT(ROW()-$C$72))"),"")</f>
        <v/>
      </c>
      <c r="U2028" s="62" t="str">
        <f>IFERROR(__xludf.DUMMYFUNCTION("IF(T2028=""是"",TEXTJOIN("""", TRUE, ""$"", TO_TEXT(C2028), S2028),"""")"),"")</f>
        <v/>
      </c>
    </row>
    <row r="2029">
      <c r="A2029" s="58" t="str">
        <f>IFERROR(__xludf.DUMMYFUNCTION("INDIRECT(""'收支紀錄'!A""&amp;TO_TEXT(ROW()-$C$72))"),"")</f>
        <v/>
      </c>
      <c r="B2029" s="59" t="str">
        <f>IFERROR(__xludf.DUMMYFUNCTION("IF(ISBLANK(D2029), """", IF(ISDATE(D2029), D2029, IF(D2029=""今天"", A2029, IF(D2029=""昨天 (-1 day)"", A2029-1, IF(D2029=""前天 (-2 days)"", A2029-2, IF(D2029=""明天 (+1 day)"", A2029+1, DATE(LEFT(D2029,4), MID(D2029,5,2), RIGHT(D2029,2))))))))"),"")</f>
        <v/>
      </c>
      <c r="C2029" s="60" t="str">
        <f>IFERROR(__xludf.DUMMYFUNCTION("INDIRECT(""'收支紀錄'!C""&amp;TO_TEXT(ROW()-$C$72))"),"")</f>
        <v/>
      </c>
      <c r="D2029" s="63" t="str">
        <f>IFERROR(__xludf.DUMMYFUNCTION("INDIRECT(""'收支紀錄'!D""&amp;TO_TEXT(ROW()-$C$72))"),"")</f>
        <v/>
      </c>
      <c r="E2029" s="61" t="str">
        <f>IFERROR(__xludf.DUMMYFUNCTION("INDIRECT(""'收支紀錄'!E""&amp;TO_TEXT(ROW()-$C$72))"),"")</f>
        <v/>
      </c>
      <c r="F2029" s="61" t="str">
        <f>IFERROR(__xludf.DUMMYFUNCTION("INDIRECT(""'收支紀錄'!F""&amp;TO_TEXT(ROW()-$C$72))"),"")</f>
        <v/>
      </c>
      <c r="G2029" s="61" t="str">
        <f>IFERROR(__xludf.DUMMYFUNCTION("INDIRECT(""'收支紀錄'!G""&amp;TO_TEXT(ROW()-$C$72))"),"")</f>
        <v/>
      </c>
      <c r="H2029" s="61" t="str">
        <f>IFERROR(__xludf.DUMMYFUNCTION("INDIRECT(""'收支紀錄'!H""&amp;TO_TEXT(ROW()-$C$72))"),"")</f>
        <v/>
      </c>
      <c r="I2029" s="61" t="str">
        <f>IFERROR(__xludf.DUMMYFUNCTION("INDIRECT(""'收支紀錄'!I""&amp;TO_TEXT(ROW()-$C$72))"),"")</f>
        <v/>
      </c>
      <c r="J2029" s="61" t="str">
        <f>IFERROR(__xludf.DUMMYFUNCTION("INDIRECT(""'收支紀錄'!J""&amp;TO_TEXT(ROW()-$C$72))"),"")</f>
        <v/>
      </c>
      <c r="K2029" s="61" t="str">
        <f>IFERROR(__xludf.DUMMYFUNCTION("INDIRECT(""'收支紀錄'!K""&amp;TO_TEXT(ROW()-$C$72))"),"")</f>
        <v/>
      </c>
      <c r="L2029" s="61" t="str">
        <f>IFERROR(__xludf.DUMMYFUNCTION("INDIRECT(""'收支紀錄'!L""&amp;TO_TEXT(ROW()-$C$72))"),"")</f>
        <v/>
      </c>
      <c r="M2029" s="61" t="str">
        <f>IFERROR(__xludf.DUMMYFUNCTION("INDIRECT(""'收支紀錄'!M""&amp;TO_TEXT(ROW()-$C$72))"),"")</f>
        <v/>
      </c>
      <c r="N2029" s="61" t="str">
        <f>IFERROR(__xludf.DUMMYFUNCTION("INDIRECT(""'收支紀錄'!N""&amp;TO_TEXT(ROW()-$C$72))"),"")</f>
        <v/>
      </c>
      <c r="O2029" s="61" t="str">
        <f>IFERROR(__xludf.DUMMYFUNCTION("INDIRECT(""'收支紀錄'!O""&amp;TO_TEXT(ROW()-$C$72))"),"")</f>
        <v/>
      </c>
      <c r="P2029" s="61" t="str">
        <f>IFERROR(__xludf.DUMMYFUNCTION("INDIRECT(""'收支紀錄'!P""&amp;TO_TEXT(ROW()-$C$72))"),"")</f>
        <v/>
      </c>
      <c r="Q2029" s="61" t="str">
        <f>IFERROR(__xludf.DUMMYFUNCTION("INDIRECT(""'收支紀錄'!Q""&amp;TO_TEXT(ROW()-$C$72))"),"")</f>
        <v/>
      </c>
      <c r="R2029" s="61" t="str">
        <f>IFERROR(__xludf.DUMMYFUNCTION("INDIRECT(""'收支紀錄'!R""&amp;TO_TEXT(ROW()-$C$72))"),"")</f>
        <v/>
      </c>
      <c r="S2029" s="61" t="str">
        <f>IFERROR(__xludf.DUMMYFUNCTION("INDIRECT(""'收支紀錄'!S""&amp;TO_TEXT(ROW()-$C$72))"),"")</f>
        <v/>
      </c>
      <c r="T2029" s="61" t="str">
        <f>IFERROR(__xludf.DUMMYFUNCTION("INDIRECT(""'收支紀錄'!T""&amp;TO_TEXT(ROW()-$C$72))"),"")</f>
        <v/>
      </c>
      <c r="U2029" s="62" t="str">
        <f>IFERROR(__xludf.DUMMYFUNCTION("IF(T2029=""是"",TEXTJOIN("""", TRUE, ""$"", TO_TEXT(C2029), S2029),"""")"),"")</f>
        <v/>
      </c>
    </row>
    <row r="2030">
      <c r="A2030" s="58" t="str">
        <f>IFERROR(__xludf.DUMMYFUNCTION("INDIRECT(""'收支紀錄'!A""&amp;TO_TEXT(ROW()-$C$72))"),"")</f>
        <v/>
      </c>
      <c r="B2030" s="59" t="str">
        <f>IFERROR(__xludf.DUMMYFUNCTION("IF(ISBLANK(D2030), """", IF(ISDATE(D2030), D2030, IF(D2030=""今天"", A2030, IF(D2030=""昨天 (-1 day)"", A2030-1, IF(D2030=""前天 (-2 days)"", A2030-2, IF(D2030=""明天 (+1 day)"", A2030+1, DATE(LEFT(D2030,4), MID(D2030,5,2), RIGHT(D2030,2))))))))"),"")</f>
        <v/>
      </c>
      <c r="C2030" s="60" t="str">
        <f>IFERROR(__xludf.DUMMYFUNCTION("INDIRECT(""'收支紀錄'!C""&amp;TO_TEXT(ROW()-$C$72))"),"")</f>
        <v/>
      </c>
      <c r="D2030" s="63" t="str">
        <f>IFERROR(__xludf.DUMMYFUNCTION("INDIRECT(""'收支紀錄'!D""&amp;TO_TEXT(ROW()-$C$72))"),"")</f>
        <v/>
      </c>
      <c r="E2030" s="61" t="str">
        <f>IFERROR(__xludf.DUMMYFUNCTION("INDIRECT(""'收支紀錄'!E""&amp;TO_TEXT(ROW()-$C$72))"),"")</f>
        <v/>
      </c>
      <c r="F2030" s="61" t="str">
        <f>IFERROR(__xludf.DUMMYFUNCTION("INDIRECT(""'收支紀錄'!F""&amp;TO_TEXT(ROW()-$C$72))"),"")</f>
        <v/>
      </c>
      <c r="G2030" s="61" t="str">
        <f>IFERROR(__xludf.DUMMYFUNCTION("INDIRECT(""'收支紀錄'!G""&amp;TO_TEXT(ROW()-$C$72))"),"")</f>
        <v/>
      </c>
      <c r="H2030" s="61" t="str">
        <f>IFERROR(__xludf.DUMMYFUNCTION("INDIRECT(""'收支紀錄'!H""&amp;TO_TEXT(ROW()-$C$72))"),"")</f>
        <v/>
      </c>
      <c r="I2030" s="61" t="str">
        <f>IFERROR(__xludf.DUMMYFUNCTION("INDIRECT(""'收支紀錄'!I""&amp;TO_TEXT(ROW()-$C$72))"),"")</f>
        <v/>
      </c>
      <c r="J2030" s="61" t="str">
        <f>IFERROR(__xludf.DUMMYFUNCTION("INDIRECT(""'收支紀錄'!J""&amp;TO_TEXT(ROW()-$C$72))"),"")</f>
        <v/>
      </c>
      <c r="K2030" s="61" t="str">
        <f>IFERROR(__xludf.DUMMYFUNCTION("INDIRECT(""'收支紀錄'!K""&amp;TO_TEXT(ROW()-$C$72))"),"")</f>
        <v/>
      </c>
      <c r="L2030" s="61" t="str">
        <f>IFERROR(__xludf.DUMMYFUNCTION("INDIRECT(""'收支紀錄'!L""&amp;TO_TEXT(ROW()-$C$72))"),"")</f>
        <v/>
      </c>
      <c r="M2030" s="61" t="str">
        <f>IFERROR(__xludf.DUMMYFUNCTION("INDIRECT(""'收支紀錄'!M""&amp;TO_TEXT(ROW()-$C$72))"),"")</f>
        <v/>
      </c>
      <c r="N2030" s="61" t="str">
        <f>IFERROR(__xludf.DUMMYFUNCTION("INDIRECT(""'收支紀錄'!N""&amp;TO_TEXT(ROW()-$C$72))"),"")</f>
        <v/>
      </c>
      <c r="O2030" s="61" t="str">
        <f>IFERROR(__xludf.DUMMYFUNCTION("INDIRECT(""'收支紀錄'!O""&amp;TO_TEXT(ROW()-$C$72))"),"")</f>
        <v/>
      </c>
      <c r="P2030" s="61" t="str">
        <f>IFERROR(__xludf.DUMMYFUNCTION("INDIRECT(""'收支紀錄'!P""&amp;TO_TEXT(ROW()-$C$72))"),"")</f>
        <v/>
      </c>
      <c r="Q2030" s="61" t="str">
        <f>IFERROR(__xludf.DUMMYFUNCTION("INDIRECT(""'收支紀錄'!Q""&amp;TO_TEXT(ROW()-$C$72))"),"")</f>
        <v/>
      </c>
      <c r="R2030" s="61" t="str">
        <f>IFERROR(__xludf.DUMMYFUNCTION("INDIRECT(""'收支紀錄'!R""&amp;TO_TEXT(ROW()-$C$72))"),"")</f>
        <v/>
      </c>
      <c r="S2030" s="61" t="str">
        <f>IFERROR(__xludf.DUMMYFUNCTION("INDIRECT(""'收支紀錄'!S""&amp;TO_TEXT(ROW()-$C$72))"),"")</f>
        <v/>
      </c>
      <c r="T2030" s="61" t="str">
        <f>IFERROR(__xludf.DUMMYFUNCTION("INDIRECT(""'收支紀錄'!T""&amp;TO_TEXT(ROW()-$C$72))"),"")</f>
        <v/>
      </c>
      <c r="U2030" s="62" t="str">
        <f>IFERROR(__xludf.DUMMYFUNCTION("IF(T2030=""是"",TEXTJOIN("""", TRUE, ""$"", TO_TEXT(C2030), S2030),"""")"),"")</f>
        <v/>
      </c>
    </row>
    <row r="2031">
      <c r="A2031" s="58" t="str">
        <f>IFERROR(__xludf.DUMMYFUNCTION("INDIRECT(""'收支紀錄'!A""&amp;TO_TEXT(ROW()-$C$72))"),"")</f>
        <v/>
      </c>
      <c r="B2031" s="59" t="str">
        <f>IFERROR(__xludf.DUMMYFUNCTION("IF(ISBLANK(D2031), """", IF(ISDATE(D2031), D2031, IF(D2031=""今天"", A2031, IF(D2031=""昨天 (-1 day)"", A2031-1, IF(D2031=""前天 (-2 days)"", A2031-2, IF(D2031=""明天 (+1 day)"", A2031+1, DATE(LEFT(D2031,4), MID(D2031,5,2), RIGHT(D2031,2))))))))"),"")</f>
        <v/>
      </c>
      <c r="C2031" s="60" t="str">
        <f>IFERROR(__xludf.DUMMYFUNCTION("INDIRECT(""'收支紀錄'!C""&amp;TO_TEXT(ROW()-$C$72))"),"")</f>
        <v/>
      </c>
      <c r="D2031" s="63" t="str">
        <f>IFERROR(__xludf.DUMMYFUNCTION("INDIRECT(""'收支紀錄'!D""&amp;TO_TEXT(ROW()-$C$72))"),"")</f>
        <v/>
      </c>
      <c r="E2031" s="61" t="str">
        <f>IFERROR(__xludf.DUMMYFUNCTION("INDIRECT(""'收支紀錄'!E""&amp;TO_TEXT(ROW()-$C$72))"),"")</f>
        <v/>
      </c>
      <c r="F2031" s="61" t="str">
        <f>IFERROR(__xludf.DUMMYFUNCTION("INDIRECT(""'收支紀錄'!F""&amp;TO_TEXT(ROW()-$C$72))"),"")</f>
        <v/>
      </c>
      <c r="G2031" s="61" t="str">
        <f>IFERROR(__xludf.DUMMYFUNCTION("INDIRECT(""'收支紀錄'!G""&amp;TO_TEXT(ROW()-$C$72))"),"")</f>
        <v/>
      </c>
      <c r="H2031" s="61" t="str">
        <f>IFERROR(__xludf.DUMMYFUNCTION("INDIRECT(""'收支紀錄'!H""&amp;TO_TEXT(ROW()-$C$72))"),"")</f>
        <v/>
      </c>
      <c r="I2031" s="61" t="str">
        <f>IFERROR(__xludf.DUMMYFUNCTION("INDIRECT(""'收支紀錄'!I""&amp;TO_TEXT(ROW()-$C$72))"),"")</f>
        <v/>
      </c>
      <c r="J2031" s="61" t="str">
        <f>IFERROR(__xludf.DUMMYFUNCTION("INDIRECT(""'收支紀錄'!J""&amp;TO_TEXT(ROW()-$C$72))"),"")</f>
        <v/>
      </c>
      <c r="K2031" s="61" t="str">
        <f>IFERROR(__xludf.DUMMYFUNCTION("INDIRECT(""'收支紀錄'!K""&amp;TO_TEXT(ROW()-$C$72))"),"")</f>
        <v/>
      </c>
      <c r="L2031" s="61" t="str">
        <f>IFERROR(__xludf.DUMMYFUNCTION("INDIRECT(""'收支紀錄'!L""&amp;TO_TEXT(ROW()-$C$72))"),"")</f>
        <v/>
      </c>
      <c r="M2031" s="61" t="str">
        <f>IFERROR(__xludf.DUMMYFUNCTION("INDIRECT(""'收支紀錄'!M""&amp;TO_TEXT(ROW()-$C$72))"),"")</f>
        <v/>
      </c>
      <c r="N2031" s="61" t="str">
        <f>IFERROR(__xludf.DUMMYFUNCTION("INDIRECT(""'收支紀錄'!N""&amp;TO_TEXT(ROW()-$C$72))"),"")</f>
        <v/>
      </c>
      <c r="O2031" s="61" t="str">
        <f>IFERROR(__xludf.DUMMYFUNCTION("INDIRECT(""'收支紀錄'!O""&amp;TO_TEXT(ROW()-$C$72))"),"")</f>
        <v/>
      </c>
      <c r="P2031" s="61" t="str">
        <f>IFERROR(__xludf.DUMMYFUNCTION("INDIRECT(""'收支紀錄'!P""&amp;TO_TEXT(ROW()-$C$72))"),"")</f>
        <v/>
      </c>
      <c r="Q2031" s="61" t="str">
        <f>IFERROR(__xludf.DUMMYFUNCTION("INDIRECT(""'收支紀錄'!Q""&amp;TO_TEXT(ROW()-$C$72))"),"")</f>
        <v/>
      </c>
      <c r="R2031" s="61" t="str">
        <f>IFERROR(__xludf.DUMMYFUNCTION("INDIRECT(""'收支紀錄'!R""&amp;TO_TEXT(ROW()-$C$72))"),"")</f>
        <v/>
      </c>
      <c r="S2031" s="61" t="str">
        <f>IFERROR(__xludf.DUMMYFUNCTION("INDIRECT(""'收支紀錄'!S""&amp;TO_TEXT(ROW()-$C$72))"),"")</f>
        <v/>
      </c>
      <c r="T2031" s="61" t="str">
        <f>IFERROR(__xludf.DUMMYFUNCTION("INDIRECT(""'收支紀錄'!T""&amp;TO_TEXT(ROW()-$C$72))"),"")</f>
        <v/>
      </c>
      <c r="U2031" s="62" t="str">
        <f>IFERROR(__xludf.DUMMYFUNCTION("IF(T2031=""是"",TEXTJOIN("""", TRUE, ""$"", TO_TEXT(C2031), S2031),"""")"),"")</f>
        <v/>
      </c>
    </row>
    <row r="2032">
      <c r="A2032" s="58" t="str">
        <f>IFERROR(__xludf.DUMMYFUNCTION("INDIRECT(""'收支紀錄'!A""&amp;TO_TEXT(ROW()-$C$72))"),"")</f>
        <v/>
      </c>
      <c r="B2032" s="59" t="str">
        <f>IFERROR(__xludf.DUMMYFUNCTION("IF(ISBLANK(D2032), """", IF(ISDATE(D2032), D2032, IF(D2032=""今天"", A2032, IF(D2032=""昨天 (-1 day)"", A2032-1, IF(D2032=""前天 (-2 days)"", A2032-2, IF(D2032=""明天 (+1 day)"", A2032+1, DATE(LEFT(D2032,4), MID(D2032,5,2), RIGHT(D2032,2))))))))"),"")</f>
        <v/>
      </c>
      <c r="C2032" s="60" t="str">
        <f>IFERROR(__xludf.DUMMYFUNCTION("INDIRECT(""'收支紀錄'!C""&amp;TO_TEXT(ROW()-$C$72))"),"")</f>
        <v/>
      </c>
      <c r="D2032" s="63" t="str">
        <f>IFERROR(__xludf.DUMMYFUNCTION("INDIRECT(""'收支紀錄'!D""&amp;TO_TEXT(ROW()-$C$72))"),"")</f>
        <v/>
      </c>
      <c r="E2032" s="61" t="str">
        <f>IFERROR(__xludf.DUMMYFUNCTION("INDIRECT(""'收支紀錄'!E""&amp;TO_TEXT(ROW()-$C$72))"),"")</f>
        <v/>
      </c>
      <c r="F2032" s="61" t="str">
        <f>IFERROR(__xludf.DUMMYFUNCTION("INDIRECT(""'收支紀錄'!F""&amp;TO_TEXT(ROW()-$C$72))"),"")</f>
        <v/>
      </c>
      <c r="G2032" s="61" t="str">
        <f>IFERROR(__xludf.DUMMYFUNCTION("INDIRECT(""'收支紀錄'!G""&amp;TO_TEXT(ROW()-$C$72))"),"")</f>
        <v/>
      </c>
      <c r="H2032" s="61" t="str">
        <f>IFERROR(__xludf.DUMMYFUNCTION("INDIRECT(""'收支紀錄'!H""&amp;TO_TEXT(ROW()-$C$72))"),"")</f>
        <v/>
      </c>
      <c r="I2032" s="61" t="str">
        <f>IFERROR(__xludf.DUMMYFUNCTION("INDIRECT(""'收支紀錄'!I""&amp;TO_TEXT(ROW()-$C$72))"),"")</f>
        <v/>
      </c>
      <c r="J2032" s="61" t="str">
        <f>IFERROR(__xludf.DUMMYFUNCTION("INDIRECT(""'收支紀錄'!J""&amp;TO_TEXT(ROW()-$C$72))"),"")</f>
        <v/>
      </c>
      <c r="K2032" s="61" t="str">
        <f>IFERROR(__xludf.DUMMYFUNCTION("INDIRECT(""'收支紀錄'!K""&amp;TO_TEXT(ROW()-$C$72))"),"")</f>
        <v/>
      </c>
      <c r="L2032" s="61" t="str">
        <f>IFERROR(__xludf.DUMMYFUNCTION("INDIRECT(""'收支紀錄'!L""&amp;TO_TEXT(ROW()-$C$72))"),"")</f>
        <v/>
      </c>
      <c r="M2032" s="61" t="str">
        <f>IFERROR(__xludf.DUMMYFUNCTION("INDIRECT(""'收支紀錄'!M""&amp;TO_TEXT(ROW()-$C$72))"),"")</f>
        <v/>
      </c>
      <c r="N2032" s="61" t="str">
        <f>IFERROR(__xludf.DUMMYFUNCTION("INDIRECT(""'收支紀錄'!N""&amp;TO_TEXT(ROW()-$C$72))"),"")</f>
        <v/>
      </c>
      <c r="O2032" s="61" t="str">
        <f>IFERROR(__xludf.DUMMYFUNCTION("INDIRECT(""'收支紀錄'!O""&amp;TO_TEXT(ROW()-$C$72))"),"")</f>
        <v/>
      </c>
      <c r="P2032" s="61" t="str">
        <f>IFERROR(__xludf.DUMMYFUNCTION("INDIRECT(""'收支紀錄'!P""&amp;TO_TEXT(ROW()-$C$72))"),"")</f>
        <v/>
      </c>
      <c r="Q2032" s="61" t="str">
        <f>IFERROR(__xludf.DUMMYFUNCTION("INDIRECT(""'收支紀錄'!Q""&amp;TO_TEXT(ROW()-$C$72))"),"")</f>
        <v/>
      </c>
      <c r="R2032" s="61" t="str">
        <f>IFERROR(__xludf.DUMMYFUNCTION("INDIRECT(""'收支紀錄'!R""&amp;TO_TEXT(ROW()-$C$72))"),"")</f>
        <v/>
      </c>
      <c r="S2032" s="61" t="str">
        <f>IFERROR(__xludf.DUMMYFUNCTION("INDIRECT(""'收支紀錄'!S""&amp;TO_TEXT(ROW()-$C$72))"),"")</f>
        <v/>
      </c>
      <c r="T2032" s="61" t="str">
        <f>IFERROR(__xludf.DUMMYFUNCTION("INDIRECT(""'收支紀錄'!T""&amp;TO_TEXT(ROW()-$C$72))"),"")</f>
        <v/>
      </c>
      <c r="U2032" s="62" t="str">
        <f>IFERROR(__xludf.DUMMYFUNCTION("IF(T2032=""是"",TEXTJOIN("""", TRUE, ""$"", TO_TEXT(C2032), S2032),"""")"),"")</f>
        <v/>
      </c>
    </row>
    <row r="2033">
      <c r="A2033" s="58" t="str">
        <f>IFERROR(__xludf.DUMMYFUNCTION("INDIRECT(""'收支紀錄'!A""&amp;TO_TEXT(ROW()-$C$72))"),"")</f>
        <v/>
      </c>
      <c r="B2033" s="59" t="str">
        <f>IFERROR(__xludf.DUMMYFUNCTION("IF(ISBLANK(D2033), """", IF(ISDATE(D2033), D2033, IF(D2033=""今天"", A2033, IF(D2033=""昨天 (-1 day)"", A2033-1, IF(D2033=""前天 (-2 days)"", A2033-2, IF(D2033=""明天 (+1 day)"", A2033+1, DATE(LEFT(D2033,4), MID(D2033,5,2), RIGHT(D2033,2))))))))"),"")</f>
        <v/>
      </c>
      <c r="C2033" s="60" t="str">
        <f>IFERROR(__xludf.DUMMYFUNCTION("INDIRECT(""'收支紀錄'!C""&amp;TO_TEXT(ROW()-$C$72))"),"")</f>
        <v/>
      </c>
      <c r="D2033" s="63" t="str">
        <f>IFERROR(__xludf.DUMMYFUNCTION("INDIRECT(""'收支紀錄'!D""&amp;TO_TEXT(ROW()-$C$72))"),"")</f>
        <v/>
      </c>
      <c r="E2033" s="61" t="str">
        <f>IFERROR(__xludf.DUMMYFUNCTION("INDIRECT(""'收支紀錄'!E""&amp;TO_TEXT(ROW()-$C$72))"),"")</f>
        <v/>
      </c>
      <c r="F2033" s="61" t="str">
        <f>IFERROR(__xludf.DUMMYFUNCTION("INDIRECT(""'收支紀錄'!F""&amp;TO_TEXT(ROW()-$C$72))"),"")</f>
        <v/>
      </c>
      <c r="G2033" s="61" t="str">
        <f>IFERROR(__xludf.DUMMYFUNCTION("INDIRECT(""'收支紀錄'!G""&amp;TO_TEXT(ROW()-$C$72))"),"")</f>
        <v/>
      </c>
      <c r="H2033" s="61" t="str">
        <f>IFERROR(__xludf.DUMMYFUNCTION("INDIRECT(""'收支紀錄'!H""&amp;TO_TEXT(ROW()-$C$72))"),"")</f>
        <v/>
      </c>
      <c r="I2033" s="61" t="str">
        <f>IFERROR(__xludf.DUMMYFUNCTION("INDIRECT(""'收支紀錄'!I""&amp;TO_TEXT(ROW()-$C$72))"),"")</f>
        <v/>
      </c>
      <c r="J2033" s="61" t="str">
        <f>IFERROR(__xludf.DUMMYFUNCTION("INDIRECT(""'收支紀錄'!J""&amp;TO_TEXT(ROW()-$C$72))"),"")</f>
        <v/>
      </c>
      <c r="K2033" s="61" t="str">
        <f>IFERROR(__xludf.DUMMYFUNCTION("INDIRECT(""'收支紀錄'!K""&amp;TO_TEXT(ROW()-$C$72))"),"")</f>
        <v/>
      </c>
      <c r="L2033" s="61" t="str">
        <f>IFERROR(__xludf.DUMMYFUNCTION("INDIRECT(""'收支紀錄'!L""&amp;TO_TEXT(ROW()-$C$72))"),"")</f>
        <v/>
      </c>
      <c r="M2033" s="61" t="str">
        <f>IFERROR(__xludf.DUMMYFUNCTION("INDIRECT(""'收支紀錄'!M""&amp;TO_TEXT(ROW()-$C$72))"),"")</f>
        <v/>
      </c>
      <c r="N2033" s="61" t="str">
        <f>IFERROR(__xludf.DUMMYFUNCTION("INDIRECT(""'收支紀錄'!N""&amp;TO_TEXT(ROW()-$C$72))"),"")</f>
        <v/>
      </c>
      <c r="O2033" s="61" t="str">
        <f>IFERROR(__xludf.DUMMYFUNCTION("INDIRECT(""'收支紀錄'!O""&amp;TO_TEXT(ROW()-$C$72))"),"")</f>
        <v/>
      </c>
      <c r="P2033" s="61" t="str">
        <f>IFERROR(__xludf.DUMMYFUNCTION("INDIRECT(""'收支紀錄'!P""&amp;TO_TEXT(ROW()-$C$72))"),"")</f>
        <v/>
      </c>
      <c r="Q2033" s="61" t="str">
        <f>IFERROR(__xludf.DUMMYFUNCTION("INDIRECT(""'收支紀錄'!Q""&amp;TO_TEXT(ROW()-$C$72))"),"")</f>
        <v/>
      </c>
      <c r="R2033" s="61" t="str">
        <f>IFERROR(__xludf.DUMMYFUNCTION("INDIRECT(""'收支紀錄'!R""&amp;TO_TEXT(ROW()-$C$72))"),"")</f>
        <v/>
      </c>
      <c r="S2033" s="61" t="str">
        <f>IFERROR(__xludf.DUMMYFUNCTION("INDIRECT(""'收支紀錄'!S""&amp;TO_TEXT(ROW()-$C$72))"),"")</f>
        <v/>
      </c>
      <c r="T2033" s="61" t="str">
        <f>IFERROR(__xludf.DUMMYFUNCTION("INDIRECT(""'收支紀錄'!T""&amp;TO_TEXT(ROW()-$C$72))"),"")</f>
        <v/>
      </c>
      <c r="U2033" s="62" t="str">
        <f>IFERROR(__xludf.DUMMYFUNCTION("IF(T2033=""是"",TEXTJOIN("""", TRUE, ""$"", TO_TEXT(C2033), S2033),"""")"),"")</f>
        <v/>
      </c>
    </row>
    <row r="2034">
      <c r="A2034" s="58" t="str">
        <f>IFERROR(__xludf.DUMMYFUNCTION("INDIRECT(""'收支紀錄'!A""&amp;TO_TEXT(ROW()-$C$72))"),"")</f>
        <v/>
      </c>
      <c r="B2034" s="59" t="str">
        <f>IFERROR(__xludf.DUMMYFUNCTION("IF(ISBLANK(D2034), """", IF(ISDATE(D2034), D2034, IF(D2034=""今天"", A2034, IF(D2034=""昨天 (-1 day)"", A2034-1, IF(D2034=""前天 (-2 days)"", A2034-2, IF(D2034=""明天 (+1 day)"", A2034+1, DATE(LEFT(D2034,4), MID(D2034,5,2), RIGHT(D2034,2))))))))"),"")</f>
        <v/>
      </c>
      <c r="C2034" s="60" t="str">
        <f>IFERROR(__xludf.DUMMYFUNCTION("INDIRECT(""'收支紀錄'!C""&amp;TO_TEXT(ROW()-$C$72))"),"")</f>
        <v/>
      </c>
      <c r="D2034" s="63" t="str">
        <f>IFERROR(__xludf.DUMMYFUNCTION("INDIRECT(""'收支紀錄'!D""&amp;TO_TEXT(ROW()-$C$72))"),"")</f>
        <v/>
      </c>
      <c r="E2034" s="61" t="str">
        <f>IFERROR(__xludf.DUMMYFUNCTION("INDIRECT(""'收支紀錄'!E""&amp;TO_TEXT(ROW()-$C$72))"),"")</f>
        <v/>
      </c>
      <c r="F2034" s="61" t="str">
        <f>IFERROR(__xludf.DUMMYFUNCTION("INDIRECT(""'收支紀錄'!F""&amp;TO_TEXT(ROW()-$C$72))"),"")</f>
        <v/>
      </c>
      <c r="G2034" s="61" t="str">
        <f>IFERROR(__xludf.DUMMYFUNCTION("INDIRECT(""'收支紀錄'!G""&amp;TO_TEXT(ROW()-$C$72))"),"")</f>
        <v/>
      </c>
      <c r="H2034" s="61" t="str">
        <f>IFERROR(__xludf.DUMMYFUNCTION("INDIRECT(""'收支紀錄'!H""&amp;TO_TEXT(ROW()-$C$72))"),"")</f>
        <v/>
      </c>
      <c r="I2034" s="61" t="str">
        <f>IFERROR(__xludf.DUMMYFUNCTION("INDIRECT(""'收支紀錄'!I""&amp;TO_TEXT(ROW()-$C$72))"),"")</f>
        <v/>
      </c>
      <c r="J2034" s="61" t="str">
        <f>IFERROR(__xludf.DUMMYFUNCTION("INDIRECT(""'收支紀錄'!J""&amp;TO_TEXT(ROW()-$C$72))"),"")</f>
        <v/>
      </c>
      <c r="K2034" s="61" t="str">
        <f>IFERROR(__xludf.DUMMYFUNCTION("INDIRECT(""'收支紀錄'!K""&amp;TO_TEXT(ROW()-$C$72))"),"")</f>
        <v/>
      </c>
      <c r="L2034" s="61" t="str">
        <f>IFERROR(__xludf.DUMMYFUNCTION("INDIRECT(""'收支紀錄'!L""&amp;TO_TEXT(ROW()-$C$72))"),"")</f>
        <v/>
      </c>
      <c r="M2034" s="61" t="str">
        <f>IFERROR(__xludf.DUMMYFUNCTION("INDIRECT(""'收支紀錄'!M""&amp;TO_TEXT(ROW()-$C$72))"),"")</f>
        <v/>
      </c>
      <c r="N2034" s="61" t="str">
        <f>IFERROR(__xludf.DUMMYFUNCTION("INDIRECT(""'收支紀錄'!N""&amp;TO_TEXT(ROW()-$C$72))"),"")</f>
        <v/>
      </c>
      <c r="O2034" s="61" t="str">
        <f>IFERROR(__xludf.DUMMYFUNCTION("INDIRECT(""'收支紀錄'!O""&amp;TO_TEXT(ROW()-$C$72))"),"")</f>
        <v/>
      </c>
      <c r="P2034" s="61" t="str">
        <f>IFERROR(__xludf.DUMMYFUNCTION("INDIRECT(""'收支紀錄'!P""&amp;TO_TEXT(ROW()-$C$72))"),"")</f>
        <v/>
      </c>
      <c r="Q2034" s="61" t="str">
        <f>IFERROR(__xludf.DUMMYFUNCTION("INDIRECT(""'收支紀錄'!Q""&amp;TO_TEXT(ROW()-$C$72))"),"")</f>
        <v/>
      </c>
      <c r="R2034" s="61" t="str">
        <f>IFERROR(__xludf.DUMMYFUNCTION("INDIRECT(""'收支紀錄'!R""&amp;TO_TEXT(ROW()-$C$72))"),"")</f>
        <v/>
      </c>
      <c r="S2034" s="61" t="str">
        <f>IFERROR(__xludf.DUMMYFUNCTION("INDIRECT(""'收支紀錄'!S""&amp;TO_TEXT(ROW()-$C$72))"),"")</f>
        <v/>
      </c>
      <c r="T2034" s="61" t="str">
        <f>IFERROR(__xludf.DUMMYFUNCTION("INDIRECT(""'收支紀錄'!T""&amp;TO_TEXT(ROW()-$C$72))"),"")</f>
        <v/>
      </c>
      <c r="U2034" s="62" t="str">
        <f>IFERROR(__xludf.DUMMYFUNCTION("IF(T2034=""是"",TEXTJOIN("""", TRUE, ""$"", TO_TEXT(C2034), S2034),"""")"),"")</f>
        <v/>
      </c>
    </row>
    <row r="2035">
      <c r="A2035" s="58" t="str">
        <f>IFERROR(__xludf.DUMMYFUNCTION("INDIRECT(""'收支紀錄'!A""&amp;TO_TEXT(ROW()-$C$72))"),"")</f>
        <v/>
      </c>
      <c r="B2035" s="59" t="str">
        <f>IFERROR(__xludf.DUMMYFUNCTION("IF(ISBLANK(D2035), """", IF(ISDATE(D2035), D2035, IF(D2035=""今天"", A2035, IF(D2035=""昨天 (-1 day)"", A2035-1, IF(D2035=""前天 (-2 days)"", A2035-2, IF(D2035=""明天 (+1 day)"", A2035+1, DATE(LEFT(D2035,4), MID(D2035,5,2), RIGHT(D2035,2))))))))"),"")</f>
        <v/>
      </c>
      <c r="C2035" s="60" t="str">
        <f>IFERROR(__xludf.DUMMYFUNCTION("INDIRECT(""'收支紀錄'!C""&amp;TO_TEXT(ROW()-$C$72))"),"")</f>
        <v/>
      </c>
      <c r="D2035" s="63" t="str">
        <f>IFERROR(__xludf.DUMMYFUNCTION("INDIRECT(""'收支紀錄'!D""&amp;TO_TEXT(ROW()-$C$72))"),"")</f>
        <v/>
      </c>
      <c r="E2035" s="61" t="str">
        <f>IFERROR(__xludf.DUMMYFUNCTION("INDIRECT(""'收支紀錄'!E""&amp;TO_TEXT(ROW()-$C$72))"),"")</f>
        <v/>
      </c>
      <c r="F2035" s="61" t="str">
        <f>IFERROR(__xludf.DUMMYFUNCTION("INDIRECT(""'收支紀錄'!F""&amp;TO_TEXT(ROW()-$C$72))"),"")</f>
        <v/>
      </c>
      <c r="G2035" s="61" t="str">
        <f>IFERROR(__xludf.DUMMYFUNCTION("INDIRECT(""'收支紀錄'!G""&amp;TO_TEXT(ROW()-$C$72))"),"")</f>
        <v/>
      </c>
      <c r="H2035" s="61" t="str">
        <f>IFERROR(__xludf.DUMMYFUNCTION("INDIRECT(""'收支紀錄'!H""&amp;TO_TEXT(ROW()-$C$72))"),"")</f>
        <v/>
      </c>
      <c r="I2035" s="61" t="str">
        <f>IFERROR(__xludf.DUMMYFUNCTION("INDIRECT(""'收支紀錄'!I""&amp;TO_TEXT(ROW()-$C$72))"),"")</f>
        <v/>
      </c>
      <c r="J2035" s="61" t="str">
        <f>IFERROR(__xludf.DUMMYFUNCTION("INDIRECT(""'收支紀錄'!J""&amp;TO_TEXT(ROW()-$C$72))"),"")</f>
        <v/>
      </c>
      <c r="K2035" s="61" t="str">
        <f>IFERROR(__xludf.DUMMYFUNCTION("INDIRECT(""'收支紀錄'!K""&amp;TO_TEXT(ROW()-$C$72))"),"")</f>
        <v/>
      </c>
      <c r="L2035" s="61" t="str">
        <f>IFERROR(__xludf.DUMMYFUNCTION("INDIRECT(""'收支紀錄'!L""&amp;TO_TEXT(ROW()-$C$72))"),"")</f>
        <v/>
      </c>
      <c r="M2035" s="61" t="str">
        <f>IFERROR(__xludf.DUMMYFUNCTION("INDIRECT(""'收支紀錄'!M""&amp;TO_TEXT(ROW()-$C$72))"),"")</f>
        <v/>
      </c>
      <c r="N2035" s="61" t="str">
        <f>IFERROR(__xludf.DUMMYFUNCTION("INDIRECT(""'收支紀錄'!N""&amp;TO_TEXT(ROW()-$C$72))"),"")</f>
        <v/>
      </c>
      <c r="O2035" s="61" t="str">
        <f>IFERROR(__xludf.DUMMYFUNCTION("INDIRECT(""'收支紀錄'!O""&amp;TO_TEXT(ROW()-$C$72))"),"")</f>
        <v/>
      </c>
      <c r="P2035" s="61" t="str">
        <f>IFERROR(__xludf.DUMMYFUNCTION("INDIRECT(""'收支紀錄'!P""&amp;TO_TEXT(ROW()-$C$72))"),"")</f>
        <v/>
      </c>
      <c r="Q2035" s="61" t="str">
        <f>IFERROR(__xludf.DUMMYFUNCTION("INDIRECT(""'收支紀錄'!Q""&amp;TO_TEXT(ROW()-$C$72))"),"")</f>
        <v/>
      </c>
      <c r="R2035" s="61" t="str">
        <f>IFERROR(__xludf.DUMMYFUNCTION("INDIRECT(""'收支紀錄'!R""&amp;TO_TEXT(ROW()-$C$72))"),"")</f>
        <v/>
      </c>
      <c r="S2035" s="61" t="str">
        <f>IFERROR(__xludf.DUMMYFUNCTION("INDIRECT(""'收支紀錄'!S""&amp;TO_TEXT(ROW()-$C$72))"),"")</f>
        <v/>
      </c>
      <c r="T2035" s="61" t="str">
        <f>IFERROR(__xludf.DUMMYFUNCTION("INDIRECT(""'收支紀錄'!T""&amp;TO_TEXT(ROW()-$C$72))"),"")</f>
        <v/>
      </c>
      <c r="U2035" s="62" t="str">
        <f>IFERROR(__xludf.DUMMYFUNCTION("IF(T2035=""是"",TEXTJOIN("""", TRUE, ""$"", TO_TEXT(C2035), S2035),"""")"),"")</f>
        <v/>
      </c>
    </row>
    <row r="2036">
      <c r="A2036" s="58" t="str">
        <f>IFERROR(__xludf.DUMMYFUNCTION("INDIRECT(""'收支紀錄'!A""&amp;TO_TEXT(ROW()-$C$72))"),"")</f>
        <v/>
      </c>
      <c r="B2036" s="59" t="str">
        <f>IFERROR(__xludf.DUMMYFUNCTION("IF(ISBLANK(D2036), """", IF(ISDATE(D2036), D2036, IF(D2036=""今天"", A2036, IF(D2036=""昨天 (-1 day)"", A2036-1, IF(D2036=""前天 (-2 days)"", A2036-2, IF(D2036=""明天 (+1 day)"", A2036+1, DATE(LEFT(D2036,4), MID(D2036,5,2), RIGHT(D2036,2))))))))"),"")</f>
        <v/>
      </c>
      <c r="C2036" s="60" t="str">
        <f>IFERROR(__xludf.DUMMYFUNCTION("INDIRECT(""'收支紀錄'!C""&amp;TO_TEXT(ROW()-$C$72))"),"")</f>
        <v/>
      </c>
      <c r="D2036" s="63" t="str">
        <f>IFERROR(__xludf.DUMMYFUNCTION("INDIRECT(""'收支紀錄'!D""&amp;TO_TEXT(ROW()-$C$72))"),"")</f>
        <v/>
      </c>
      <c r="E2036" s="61" t="str">
        <f>IFERROR(__xludf.DUMMYFUNCTION("INDIRECT(""'收支紀錄'!E""&amp;TO_TEXT(ROW()-$C$72))"),"")</f>
        <v/>
      </c>
      <c r="F2036" s="61" t="str">
        <f>IFERROR(__xludf.DUMMYFUNCTION("INDIRECT(""'收支紀錄'!F""&amp;TO_TEXT(ROW()-$C$72))"),"")</f>
        <v/>
      </c>
      <c r="G2036" s="61" t="str">
        <f>IFERROR(__xludf.DUMMYFUNCTION("INDIRECT(""'收支紀錄'!G""&amp;TO_TEXT(ROW()-$C$72))"),"")</f>
        <v/>
      </c>
      <c r="H2036" s="61" t="str">
        <f>IFERROR(__xludf.DUMMYFUNCTION("INDIRECT(""'收支紀錄'!H""&amp;TO_TEXT(ROW()-$C$72))"),"")</f>
        <v/>
      </c>
      <c r="I2036" s="61" t="str">
        <f>IFERROR(__xludf.DUMMYFUNCTION("INDIRECT(""'收支紀錄'!I""&amp;TO_TEXT(ROW()-$C$72))"),"")</f>
        <v/>
      </c>
      <c r="J2036" s="61" t="str">
        <f>IFERROR(__xludf.DUMMYFUNCTION("INDIRECT(""'收支紀錄'!J""&amp;TO_TEXT(ROW()-$C$72))"),"")</f>
        <v/>
      </c>
      <c r="K2036" s="61" t="str">
        <f>IFERROR(__xludf.DUMMYFUNCTION("INDIRECT(""'收支紀錄'!K""&amp;TO_TEXT(ROW()-$C$72))"),"")</f>
        <v/>
      </c>
      <c r="L2036" s="61" t="str">
        <f>IFERROR(__xludf.DUMMYFUNCTION("INDIRECT(""'收支紀錄'!L""&amp;TO_TEXT(ROW()-$C$72))"),"")</f>
        <v/>
      </c>
      <c r="M2036" s="61" t="str">
        <f>IFERROR(__xludf.DUMMYFUNCTION("INDIRECT(""'收支紀錄'!M""&amp;TO_TEXT(ROW()-$C$72))"),"")</f>
        <v/>
      </c>
      <c r="N2036" s="61" t="str">
        <f>IFERROR(__xludf.DUMMYFUNCTION("INDIRECT(""'收支紀錄'!N""&amp;TO_TEXT(ROW()-$C$72))"),"")</f>
        <v/>
      </c>
      <c r="O2036" s="61" t="str">
        <f>IFERROR(__xludf.DUMMYFUNCTION("INDIRECT(""'收支紀錄'!O""&amp;TO_TEXT(ROW()-$C$72))"),"")</f>
        <v/>
      </c>
      <c r="P2036" s="61" t="str">
        <f>IFERROR(__xludf.DUMMYFUNCTION("INDIRECT(""'收支紀錄'!P""&amp;TO_TEXT(ROW()-$C$72))"),"")</f>
        <v/>
      </c>
      <c r="Q2036" s="61" t="str">
        <f>IFERROR(__xludf.DUMMYFUNCTION("INDIRECT(""'收支紀錄'!Q""&amp;TO_TEXT(ROW()-$C$72))"),"")</f>
        <v/>
      </c>
      <c r="R2036" s="61" t="str">
        <f>IFERROR(__xludf.DUMMYFUNCTION("INDIRECT(""'收支紀錄'!R""&amp;TO_TEXT(ROW()-$C$72))"),"")</f>
        <v/>
      </c>
      <c r="S2036" s="61" t="str">
        <f>IFERROR(__xludf.DUMMYFUNCTION("INDIRECT(""'收支紀錄'!S""&amp;TO_TEXT(ROW()-$C$72))"),"")</f>
        <v/>
      </c>
      <c r="T2036" s="61" t="str">
        <f>IFERROR(__xludf.DUMMYFUNCTION("INDIRECT(""'收支紀錄'!T""&amp;TO_TEXT(ROW()-$C$72))"),"")</f>
        <v/>
      </c>
      <c r="U2036" s="62" t="str">
        <f>IFERROR(__xludf.DUMMYFUNCTION("IF(T2036=""是"",TEXTJOIN("""", TRUE, ""$"", TO_TEXT(C2036), S2036),"""")"),"")</f>
        <v/>
      </c>
    </row>
    <row r="2037">
      <c r="A2037" s="58" t="str">
        <f>IFERROR(__xludf.DUMMYFUNCTION("INDIRECT(""'收支紀錄'!A""&amp;TO_TEXT(ROW()-$C$72))"),"")</f>
        <v/>
      </c>
      <c r="B2037" s="59" t="str">
        <f>IFERROR(__xludf.DUMMYFUNCTION("IF(ISBLANK(D2037), """", IF(ISDATE(D2037), D2037, IF(D2037=""今天"", A2037, IF(D2037=""昨天 (-1 day)"", A2037-1, IF(D2037=""前天 (-2 days)"", A2037-2, IF(D2037=""明天 (+1 day)"", A2037+1, DATE(LEFT(D2037,4), MID(D2037,5,2), RIGHT(D2037,2))))))))"),"")</f>
        <v/>
      </c>
      <c r="C2037" s="60" t="str">
        <f>IFERROR(__xludf.DUMMYFUNCTION("INDIRECT(""'收支紀錄'!C""&amp;TO_TEXT(ROW()-$C$72))"),"")</f>
        <v/>
      </c>
      <c r="D2037" s="63" t="str">
        <f>IFERROR(__xludf.DUMMYFUNCTION("INDIRECT(""'收支紀錄'!D""&amp;TO_TEXT(ROW()-$C$72))"),"")</f>
        <v/>
      </c>
      <c r="E2037" s="61" t="str">
        <f>IFERROR(__xludf.DUMMYFUNCTION("INDIRECT(""'收支紀錄'!E""&amp;TO_TEXT(ROW()-$C$72))"),"")</f>
        <v/>
      </c>
      <c r="F2037" s="61" t="str">
        <f>IFERROR(__xludf.DUMMYFUNCTION("INDIRECT(""'收支紀錄'!F""&amp;TO_TEXT(ROW()-$C$72))"),"")</f>
        <v/>
      </c>
      <c r="G2037" s="61" t="str">
        <f>IFERROR(__xludf.DUMMYFUNCTION("INDIRECT(""'收支紀錄'!G""&amp;TO_TEXT(ROW()-$C$72))"),"")</f>
        <v/>
      </c>
      <c r="H2037" s="61" t="str">
        <f>IFERROR(__xludf.DUMMYFUNCTION("INDIRECT(""'收支紀錄'!H""&amp;TO_TEXT(ROW()-$C$72))"),"")</f>
        <v/>
      </c>
      <c r="I2037" s="61" t="str">
        <f>IFERROR(__xludf.DUMMYFUNCTION("INDIRECT(""'收支紀錄'!I""&amp;TO_TEXT(ROW()-$C$72))"),"")</f>
        <v/>
      </c>
      <c r="J2037" s="61" t="str">
        <f>IFERROR(__xludf.DUMMYFUNCTION("INDIRECT(""'收支紀錄'!J""&amp;TO_TEXT(ROW()-$C$72))"),"")</f>
        <v/>
      </c>
      <c r="K2037" s="61" t="str">
        <f>IFERROR(__xludf.DUMMYFUNCTION("INDIRECT(""'收支紀錄'!K""&amp;TO_TEXT(ROW()-$C$72))"),"")</f>
        <v/>
      </c>
      <c r="L2037" s="61" t="str">
        <f>IFERROR(__xludf.DUMMYFUNCTION("INDIRECT(""'收支紀錄'!L""&amp;TO_TEXT(ROW()-$C$72))"),"")</f>
        <v/>
      </c>
      <c r="M2037" s="61" t="str">
        <f>IFERROR(__xludf.DUMMYFUNCTION("INDIRECT(""'收支紀錄'!M""&amp;TO_TEXT(ROW()-$C$72))"),"")</f>
        <v/>
      </c>
      <c r="N2037" s="61" t="str">
        <f>IFERROR(__xludf.DUMMYFUNCTION("INDIRECT(""'收支紀錄'!N""&amp;TO_TEXT(ROW()-$C$72))"),"")</f>
        <v/>
      </c>
      <c r="O2037" s="61" t="str">
        <f>IFERROR(__xludf.DUMMYFUNCTION("INDIRECT(""'收支紀錄'!O""&amp;TO_TEXT(ROW()-$C$72))"),"")</f>
        <v/>
      </c>
      <c r="P2037" s="61" t="str">
        <f>IFERROR(__xludf.DUMMYFUNCTION("INDIRECT(""'收支紀錄'!P""&amp;TO_TEXT(ROW()-$C$72))"),"")</f>
        <v/>
      </c>
      <c r="Q2037" s="61" t="str">
        <f>IFERROR(__xludf.DUMMYFUNCTION("INDIRECT(""'收支紀錄'!Q""&amp;TO_TEXT(ROW()-$C$72))"),"")</f>
        <v/>
      </c>
      <c r="R2037" s="61" t="str">
        <f>IFERROR(__xludf.DUMMYFUNCTION("INDIRECT(""'收支紀錄'!R""&amp;TO_TEXT(ROW()-$C$72))"),"")</f>
        <v/>
      </c>
      <c r="S2037" s="61" t="str">
        <f>IFERROR(__xludf.DUMMYFUNCTION("INDIRECT(""'收支紀錄'!S""&amp;TO_TEXT(ROW()-$C$72))"),"")</f>
        <v/>
      </c>
      <c r="T2037" s="61" t="str">
        <f>IFERROR(__xludf.DUMMYFUNCTION("INDIRECT(""'收支紀錄'!T""&amp;TO_TEXT(ROW()-$C$72))"),"")</f>
        <v/>
      </c>
      <c r="U2037" s="62" t="str">
        <f>IFERROR(__xludf.DUMMYFUNCTION("IF(T2037=""是"",TEXTJOIN("""", TRUE, ""$"", TO_TEXT(C2037), S2037),"""")"),"")</f>
        <v/>
      </c>
    </row>
    <row r="2038">
      <c r="A2038" s="58" t="str">
        <f>IFERROR(__xludf.DUMMYFUNCTION("INDIRECT(""'收支紀錄'!A""&amp;TO_TEXT(ROW()-$C$72))"),"")</f>
        <v/>
      </c>
      <c r="B2038" s="59" t="str">
        <f>IFERROR(__xludf.DUMMYFUNCTION("IF(ISBLANK(D2038), """", IF(ISDATE(D2038), D2038, IF(D2038=""今天"", A2038, IF(D2038=""昨天 (-1 day)"", A2038-1, IF(D2038=""前天 (-2 days)"", A2038-2, IF(D2038=""明天 (+1 day)"", A2038+1, DATE(LEFT(D2038,4), MID(D2038,5,2), RIGHT(D2038,2))))))))"),"")</f>
        <v/>
      </c>
      <c r="C2038" s="60" t="str">
        <f>IFERROR(__xludf.DUMMYFUNCTION("INDIRECT(""'收支紀錄'!C""&amp;TO_TEXT(ROW()-$C$72))"),"")</f>
        <v/>
      </c>
      <c r="D2038" s="63" t="str">
        <f>IFERROR(__xludf.DUMMYFUNCTION("INDIRECT(""'收支紀錄'!D""&amp;TO_TEXT(ROW()-$C$72))"),"")</f>
        <v/>
      </c>
      <c r="E2038" s="61" t="str">
        <f>IFERROR(__xludf.DUMMYFUNCTION("INDIRECT(""'收支紀錄'!E""&amp;TO_TEXT(ROW()-$C$72))"),"")</f>
        <v/>
      </c>
      <c r="F2038" s="61" t="str">
        <f>IFERROR(__xludf.DUMMYFUNCTION("INDIRECT(""'收支紀錄'!F""&amp;TO_TEXT(ROW()-$C$72))"),"")</f>
        <v/>
      </c>
      <c r="G2038" s="61" t="str">
        <f>IFERROR(__xludf.DUMMYFUNCTION("INDIRECT(""'收支紀錄'!G""&amp;TO_TEXT(ROW()-$C$72))"),"")</f>
        <v/>
      </c>
      <c r="H2038" s="61" t="str">
        <f>IFERROR(__xludf.DUMMYFUNCTION("INDIRECT(""'收支紀錄'!H""&amp;TO_TEXT(ROW()-$C$72))"),"")</f>
        <v/>
      </c>
      <c r="I2038" s="61" t="str">
        <f>IFERROR(__xludf.DUMMYFUNCTION("INDIRECT(""'收支紀錄'!I""&amp;TO_TEXT(ROW()-$C$72))"),"")</f>
        <v/>
      </c>
      <c r="J2038" s="61" t="str">
        <f>IFERROR(__xludf.DUMMYFUNCTION("INDIRECT(""'收支紀錄'!J""&amp;TO_TEXT(ROW()-$C$72))"),"")</f>
        <v/>
      </c>
      <c r="K2038" s="61" t="str">
        <f>IFERROR(__xludf.DUMMYFUNCTION("INDIRECT(""'收支紀錄'!K""&amp;TO_TEXT(ROW()-$C$72))"),"")</f>
        <v/>
      </c>
      <c r="L2038" s="61" t="str">
        <f>IFERROR(__xludf.DUMMYFUNCTION("INDIRECT(""'收支紀錄'!L""&amp;TO_TEXT(ROW()-$C$72))"),"")</f>
        <v/>
      </c>
      <c r="M2038" s="61" t="str">
        <f>IFERROR(__xludf.DUMMYFUNCTION("INDIRECT(""'收支紀錄'!M""&amp;TO_TEXT(ROW()-$C$72))"),"")</f>
        <v/>
      </c>
      <c r="N2038" s="61" t="str">
        <f>IFERROR(__xludf.DUMMYFUNCTION("INDIRECT(""'收支紀錄'!N""&amp;TO_TEXT(ROW()-$C$72))"),"")</f>
        <v/>
      </c>
      <c r="O2038" s="61" t="str">
        <f>IFERROR(__xludf.DUMMYFUNCTION("INDIRECT(""'收支紀錄'!O""&amp;TO_TEXT(ROW()-$C$72))"),"")</f>
        <v/>
      </c>
      <c r="P2038" s="61" t="str">
        <f>IFERROR(__xludf.DUMMYFUNCTION("INDIRECT(""'收支紀錄'!P""&amp;TO_TEXT(ROW()-$C$72))"),"")</f>
        <v/>
      </c>
      <c r="Q2038" s="61" t="str">
        <f>IFERROR(__xludf.DUMMYFUNCTION("INDIRECT(""'收支紀錄'!Q""&amp;TO_TEXT(ROW()-$C$72))"),"")</f>
        <v/>
      </c>
      <c r="R2038" s="61" t="str">
        <f>IFERROR(__xludf.DUMMYFUNCTION("INDIRECT(""'收支紀錄'!R""&amp;TO_TEXT(ROW()-$C$72))"),"")</f>
        <v/>
      </c>
      <c r="S2038" s="61" t="str">
        <f>IFERROR(__xludf.DUMMYFUNCTION("INDIRECT(""'收支紀錄'!S""&amp;TO_TEXT(ROW()-$C$72))"),"")</f>
        <v/>
      </c>
      <c r="T2038" s="61" t="str">
        <f>IFERROR(__xludf.DUMMYFUNCTION("INDIRECT(""'收支紀錄'!T""&amp;TO_TEXT(ROW()-$C$72))"),"")</f>
        <v/>
      </c>
      <c r="U2038" s="62" t="str">
        <f>IFERROR(__xludf.DUMMYFUNCTION("IF(T2038=""是"",TEXTJOIN("""", TRUE, ""$"", TO_TEXT(C2038), S2038),"""")"),"")</f>
        <v/>
      </c>
    </row>
    <row r="2039">
      <c r="A2039" s="58" t="str">
        <f>IFERROR(__xludf.DUMMYFUNCTION("INDIRECT(""'收支紀錄'!A""&amp;TO_TEXT(ROW()-$C$72))"),"")</f>
        <v/>
      </c>
      <c r="B2039" s="59" t="str">
        <f>IFERROR(__xludf.DUMMYFUNCTION("IF(ISBLANK(D2039), """", IF(ISDATE(D2039), D2039, IF(D2039=""今天"", A2039, IF(D2039=""昨天 (-1 day)"", A2039-1, IF(D2039=""前天 (-2 days)"", A2039-2, IF(D2039=""明天 (+1 day)"", A2039+1, DATE(LEFT(D2039,4), MID(D2039,5,2), RIGHT(D2039,2))))))))"),"")</f>
        <v/>
      </c>
      <c r="C2039" s="60" t="str">
        <f>IFERROR(__xludf.DUMMYFUNCTION("INDIRECT(""'收支紀錄'!C""&amp;TO_TEXT(ROW()-$C$72))"),"")</f>
        <v/>
      </c>
      <c r="D2039" s="63" t="str">
        <f>IFERROR(__xludf.DUMMYFUNCTION("INDIRECT(""'收支紀錄'!D""&amp;TO_TEXT(ROW()-$C$72))"),"")</f>
        <v/>
      </c>
      <c r="E2039" s="61" t="str">
        <f>IFERROR(__xludf.DUMMYFUNCTION("INDIRECT(""'收支紀錄'!E""&amp;TO_TEXT(ROW()-$C$72))"),"")</f>
        <v/>
      </c>
      <c r="F2039" s="61" t="str">
        <f>IFERROR(__xludf.DUMMYFUNCTION("INDIRECT(""'收支紀錄'!F""&amp;TO_TEXT(ROW()-$C$72))"),"")</f>
        <v/>
      </c>
      <c r="G2039" s="61" t="str">
        <f>IFERROR(__xludf.DUMMYFUNCTION("INDIRECT(""'收支紀錄'!G""&amp;TO_TEXT(ROW()-$C$72))"),"")</f>
        <v/>
      </c>
      <c r="H2039" s="61" t="str">
        <f>IFERROR(__xludf.DUMMYFUNCTION("INDIRECT(""'收支紀錄'!H""&amp;TO_TEXT(ROW()-$C$72))"),"")</f>
        <v/>
      </c>
      <c r="I2039" s="61" t="str">
        <f>IFERROR(__xludf.DUMMYFUNCTION("INDIRECT(""'收支紀錄'!I""&amp;TO_TEXT(ROW()-$C$72))"),"")</f>
        <v/>
      </c>
      <c r="J2039" s="61" t="str">
        <f>IFERROR(__xludf.DUMMYFUNCTION("INDIRECT(""'收支紀錄'!J""&amp;TO_TEXT(ROW()-$C$72))"),"")</f>
        <v/>
      </c>
      <c r="K2039" s="61" t="str">
        <f>IFERROR(__xludf.DUMMYFUNCTION("INDIRECT(""'收支紀錄'!K""&amp;TO_TEXT(ROW()-$C$72))"),"")</f>
        <v/>
      </c>
      <c r="L2039" s="61" t="str">
        <f>IFERROR(__xludf.DUMMYFUNCTION("INDIRECT(""'收支紀錄'!L""&amp;TO_TEXT(ROW()-$C$72))"),"")</f>
        <v/>
      </c>
      <c r="M2039" s="61" t="str">
        <f>IFERROR(__xludf.DUMMYFUNCTION("INDIRECT(""'收支紀錄'!M""&amp;TO_TEXT(ROW()-$C$72))"),"")</f>
        <v/>
      </c>
      <c r="N2039" s="61" t="str">
        <f>IFERROR(__xludf.DUMMYFUNCTION("INDIRECT(""'收支紀錄'!N""&amp;TO_TEXT(ROW()-$C$72))"),"")</f>
        <v/>
      </c>
      <c r="O2039" s="61" t="str">
        <f>IFERROR(__xludf.DUMMYFUNCTION("INDIRECT(""'收支紀錄'!O""&amp;TO_TEXT(ROW()-$C$72))"),"")</f>
        <v/>
      </c>
      <c r="P2039" s="61" t="str">
        <f>IFERROR(__xludf.DUMMYFUNCTION("INDIRECT(""'收支紀錄'!P""&amp;TO_TEXT(ROW()-$C$72))"),"")</f>
        <v/>
      </c>
      <c r="Q2039" s="61" t="str">
        <f>IFERROR(__xludf.DUMMYFUNCTION("INDIRECT(""'收支紀錄'!Q""&amp;TO_TEXT(ROW()-$C$72))"),"")</f>
        <v/>
      </c>
      <c r="R2039" s="61" t="str">
        <f>IFERROR(__xludf.DUMMYFUNCTION("INDIRECT(""'收支紀錄'!R""&amp;TO_TEXT(ROW()-$C$72))"),"")</f>
        <v/>
      </c>
      <c r="S2039" s="61" t="str">
        <f>IFERROR(__xludf.DUMMYFUNCTION("INDIRECT(""'收支紀錄'!S""&amp;TO_TEXT(ROW()-$C$72))"),"")</f>
        <v/>
      </c>
      <c r="T2039" s="61" t="str">
        <f>IFERROR(__xludf.DUMMYFUNCTION("INDIRECT(""'收支紀錄'!T""&amp;TO_TEXT(ROW()-$C$72))"),"")</f>
        <v/>
      </c>
      <c r="U2039" s="62" t="str">
        <f>IFERROR(__xludf.DUMMYFUNCTION("IF(T2039=""是"",TEXTJOIN("""", TRUE, ""$"", TO_TEXT(C2039), S2039),"""")"),"")</f>
        <v/>
      </c>
    </row>
    <row r="2040">
      <c r="A2040" s="58" t="str">
        <f>IFERROR(__xludf.DUMMYFUNCTION("INDIRECT(""'收支紀錄'!A""&amp;TO_TEXT(ROW()-$C$72))"),"")</f>
        <v/>
      </c>
      <c r="B2040" s="59" t="str">
        <f>IFERROR(__xludf.DUMMYFUNCTION("IF(ISBLANK(D2040), """", IF(ISDATE(D2040), D2040, IF(D2040=""今天"", A2040, IF(D2040=""昨天 (-1 day)"", A2040-1, IF(D2040=""前天 (-2 days)"", A2040-2, IF(D2040=""明天 (+1 day)"", A2040+1, DATE(LEFT(D2040,4), MID(D2040,5,2), RIGHT(D2040,2))))))))"),"")</f>
        <v/>
      </c>
      <c r="C2040" s="60" t="str">
        <f>IFERROR(__xludf.DUMMYFUNCTION("INDIRECT(""'收支紀錄'!C""&amp;TO_TEXT(ROW()-$C$72))"),"")</f>
        <v/>
      </c>
      <c r="D2040" s="63" t="str">
        <f>IFERROR(__xludf.DUMMYFUNCTION("INDIRECT(""'收支紀錄'!D""&amp;TO_TEXT(ROW()-$C$72))"),"")</f>
        <v/>
      </c>
      <c r="E2040" s="61" t="str">
        <f>IFERROR(__xludf.DUMMYFUNCTION("INDIRECT(""'收支紀錄'!E""&amp;TO_TEXT(ROW()-$C$72))"),"")</f>
        <v/>
      </c>
      <c r="F2040" s="61" t="str">
        <f>IFERROR(__xludf.DUMMYFUNCTION("INDIRECT(""'收支紀錄'!F""&amp;TO_TEXT(ROW()-$C$72))"),"")</f>
        <v/>
      </c>
      <c r="G2040" s="61" t="str">
        <f>IFERROR(__xludf.DUMMYFUNCTION("INDIRECT(""'收支紀錄'!G""&amp;TO_TEXT(ROW()-$C$72))"),"")</f>
        <v/>
      </c>
      <c r="H2040" s="61" t="str">
        <f>IFERROR(__xludf.DUMMYFUNCTION("INDIRECT(""'收支紀錄'!H""&amp;TO_TEXT(ROW()-$C$72))"),"")</f>
        <v/>
      </c>
      <c r="I2040" s="61" t="str">
        <f>IFERROR(__xludf.DUMMYFUNCTION("INDIRECT(""'收支紀錄'!I""&amp;TO_TEXT(ROW()-$C$72))"),"")</f>
        <v/>
      </c>
      <c r="J2040" s="61" t="str">
        <f>IFERROR(__xludf.DUMMYFUNCTION("INDIRECT(""'收支紀錄'!J""&amp;TO_TEXT(ROW()-$C$72))"),"")</f>
        <v/>
      </c>
      <c r="K2040" s="61" t="str">
        <f>IFERROR(__xludf.DUMMYFUNCTION("INDIRECT(""'收支紀錄'!K""&amp;TO_TEXT(ROW()-$C$72))"),"")</f>
        <v/>
      </c>
      <c r="L2040" s="61" t="str">
        <f>IFERROR(__xludf.DUMMYFUNCTION("INDIRECT(""'收支紀錄'!L""&amp;TO_TEXT(ROW()-$C$72))"),"")</f>
        <v/>
      </c>
      <c r="M2040" s="61" t="str">
        <f>IFERROR(__xludf.DUMMYFUNCTION("INDIRECT(""'收支紀錄'!M""&amp;TO_TEXT(ROW()-$C$72))"),"")</f>
        <v/>
      </c>
      <c r="N2040" s="61" t="str">
        <f>IFERROR(__xludf.DUMMYFUNCTION("INDIRECT(""'收支紀錄'!N""&amp;TO_TEXT(ROW()-$C$72))"),"")</f>
        <v/>
      </c>
      <c r="O2040" s="61" t="str">
        <f>IFERROR(__xludf.DUMMYFUNCTION("INDIRECT(""'收支紀錄'!O""&amp;TO_TEXT(ROW()-$C$72))"),"")</f>
        <v/>
      </c>
      <c r="P2040" s="61" t="str">
        <f>IFERROR(__xludf.DUMMYFUNCTION("INDIRECT(""'收支紀錄'!P""&amp;TO_TEXT(ROW()-$C$72))"),"")</f>
        <v/>
      </c>
      <c r="Q2040" s="61" t="str">
        <f>IFERROR(__xludf.DUMMYFUNCTION("INDIRECT(""'收支紀錄'!Q""&amp;TO_TEXT(ROW()-$C$72))"),"")</f>
        <v/>
      </c>
      <c r="R2040" s="61" t="str">
        <f>IFERROR(__xludf.DUMMYFUNCTION("INDIRECT(""'收支紀錄'!R""&amp;TO_TEXT(ROW()-$C$72))"),"")</f>
        <v/>
      </c>
      <c r="S2040" s="61" t="str">
        <f>IFERROR(__xludf.DUMMYFUNCTION("INDIRECT(""'收支紀錄'!S""&amp;TO_TEXT(ROW()-$C$72))"),"")</f>
        <v/>
      </c>
      <c r="T2040" s="61" t="str">
        <f>IFERROR(__xludf.DUMMYFUNCTION("INDIRECT(""'收支紀錄'!T""&amp;TO_TEXT(ROW()-$C$72))"),"")</f>
        <v/>
      </c>
      <c r="U2040" s="62" t="str">
        <f>IFERROR(__xludf.DUMMYFUNCTION("IF(T2040=""是"",TEXTJOIN("""", TRUE, ""$"", TO_TEXT(C2040), S2040),"""")"),"")</f>
        <v/>
      </c>
    </row>
    <row r="2041">
      <c r="A2041" s="58" t="str">
        <f>IFERROR(__xludf.DUMMYFUNCTION("INDIRECT(""'收支紀錄'!A""&amp;TO_TEXT(ROW()-$C$72))"),"")</f>
        <v/>
      </c>
      <c r="B2041" s="59" t="str">
        <f>IFERROR(__xludf.DUMMYFUNCTION("IF(ISBLANK(D2041), """", IF(ISDATE(D2041), D2041, IF(D2041=""今天"", A2041, IF(D2041=""昨天 (-1 day)"", A2041-1, IF(D2041=""前天 (-2 days)"", A2041-2, IF(D2041=""明天 (+1 day)"", A2041+1, DATE(LEFT(D2041,4), MID(D2041,5,2), RIGHT(D2041,2))))))))"),"")</f>
        <v/>
      </c>
      <c r="C2041" s="60" t="str">
        <f>IFERROR(__xludf.DUMMYFUNCTION("INDIRECT(""'收支紀錄'!C""&amp;TO_TEXT(ROW()-$C$72))"),"")</f>
        <v/>
      </c>
      <c r="D2041" s="63" t="str">
        <f>IFERROR(__xludf.DUMMYFUNCTION("INDIRECT(""'收支紀錄'!D""&amp;TO_TEXT(ROW()-$C$72))"),"")</f>
        <v/>
      </c>
      <c r="E2041" s="61" t="str">
        <f>IFERROR(__xludf.DUMMYFUNCTION("INDIRECT(""'收支紀錄'!E""&amp;TO_TEXT(ROW()-$C$72))"),"")</f>
        <v/>
      </c>
      <c r="F2041" s="61" t="str">
        <f>IFERROR(__xludf.DUMMYFUNCTION("INDIRECT(""'收支紀錄'!F""&amp;TO_TEXT(ROW()-$C$72))"),"")</f>
        <v/>
      </c>
      <c r="G2041" s="61" t="str">
        <f>IFERROR(__xludf.DUMMYFUNCTION("INDIRECT(""'收支紀錄'!G""&amp;TO_TEXT(ROW()-$C$72))"),"")</f>
        <v/>
      </c>
      <c r="H2041" s="61" t="str">
        <f>IFERROR(__xludf.DUMMYFUNCTION("INDIRECT(""'收支紀錄'!H""&amp;TO_TEXT(ROW()-$C$72))"),"")</f>
        <v/>
      </c>
      <c r="I2041" s="61" t="str">
        <f>IFERROR(__xludf.DUMMYFUNCTION("INDIRECT(""'收支紀錄'!I""&amp;TO_TEXT(ROW()-$C$72))"),"")</f>
        <v/>
      </c>
      <c r="J2041" s="61" t="str">
        <f>IFERROR(__xludf.DUMMYFUNCTION("INDIRECT(""'收支紀錄'!J""&amp;TO_TEXT(ROW()-$C$72))"),"")</f>
        <v/>
      </c>
      <c r="K2041" s="61" t="str">
        <f>IFERROR(__xludf.DUMMYFUNCTION("INDIRECT(""'收支紀錄'!K""&amp;TO_TEXT(ROW()-$C$72))"),"")</f>
        <v/>
      </c>
      <c r="L2041" s="61" t="str">
        <f>IFERROR(__xludf.DUMMYFUNCTION("INDIRECT(""'收支紀錄'!L""&amp;TO_TEXT(ROW()-$C$72))"),"")</f>
        <v/>
      </c>
      <c r="M2041" s="61" t="str">
        <f>IFERROR(__xludf.DUMMYFUNCTION("INDIRECT(""'收支紀錄'!M""&amp;TO_TEXT(ROW()-$C$72))"),"")</f>
        <v/>
      </c>
      <c r="N2041" s="61" t="str">
        <f>IFERROR(__xludf.DUMMYFUNCTION("INDIRECT(""'收支紀錄'!N""&amp;TO_TEXT(ROW()-$C$72))"),"")</f>
        <v/>
      </c>
      <c r="O2041" s="61" t="str">
        <f>IFERROR(__xludf.DUMMYFUNCTION("INDIRECT(""'收支紀錄'!O""&amp;TO_TEXT(ROW()-$C$72))"),"")</f>
        <v/>
      </c>
      <c r="P2041" s="61" t="str">
        <f>IFERROR(__xludf.DUMMYFUNCTION("INDIRECT(""'收支紀錄'!P""&amp;TO_TEXT(ROW()-$C$72))"),"")</f>
        <v/>
      </c>
      <c r="Q2041" s="61" t="str">
        <f>IFERROR(__xludf.DUMMYFUNCTION("INDIRECT(""'收支紀錄'!Q""&amp;TO_TEXT(ROW()-$C$72))"),"")</f>
        <v/>
      </c>
      <c r="R2041" s="61" t="str">
        <f>IFERROR(__xludf.DUMMYFUNCTION("INDIRECT(""'收支紀錄'!R""&amp;TO_TEXT(ROW()-$C$72))"),"")</f>
        <v/>
      </c>
      <c r="S2041" s="61" t="str">
        <f>IFERROR(__xludf.DUMMYFUNCTION("INDIRECT(""'收支紀錄'!S""&amp;TO_TEXT(ROW()-$C$72))"),"")</f>
        <v/>
      </c>
      <c r="T2041" s="61" t="str">
        <f>IFERROR(__xludf.DUMMYFUNCTION("INDIRECT(""'收支紀錄'!T""&amp;TO_TEXT(ROW()-$C$72))"),"")</f>
        <v/>
      </c>
      <c r="U2041" s="62" t="str">
        <f>IFERROR(__xludf.DUMMYFUNCTION("IF(T2041=""是"",TEXTJOIN("""", TRUE, ""$"", TO_TEXT(C2041), S2041),"""")"),"")</f>
        <v/>
      </c>
    </row>
    <row r="2042">
      <c r="A2042" s="58" t="str">
        <f>IFERROR(__xludf.DUMMYFUNCTION("INDIRECT(""'收支紀錄'!A""&amp;TO_TEXT(ROW()-$C$72))"),"")</f>
        <v/>
      </c>
      <c r="B2042" s="59" t="str">
        <f>IFERROR(__xludf.DUMMYFUNCTION("IF(ISBLANK(D2042), """", IF(ISDATE(D2042), D2042, IF(D2042=""今天"", A2042, IF(D2042=""昨天 (-1 day)"", A2042-1, IF(D2042=""前天 (-2 days)"", A2042-2, IF(D2042=""明天 (+1 day)"", A2042+1, DATE(LEFT(D2042,4), MID(D2042,5,2), RIGHT(D2042,2))))))))"),"")</f>
        <v/>
      </c>
      <c r="C2042" s="60" t="str">
        <f>IFERROR(__xludf.DUMMYFUNCTION("INDIRECT(""'收支紀錄'!C""&amp;TO_TEXT(ROW()-$C$72))"),"")</f>
        <v/>
      </c>
      <c r="D2042" s="63" t="str">
        <f>IFERROR(__xludf.DUMMYFUNCTION("INDIRECT(""'收支紀錄'!D""&amp;TO_TEXT(ROW()-$C$72))"),"")</f>
        <v/>
      </c>
      <c r="E2042" s="61" t="str">
        <f>IFERROR(__xludf.DUMMYFUNCTION("INDIRECT(""'收支紀錄'!E""&amp;TO_TEXT(ROW()-$C$72))"),"")</f>
        <v/>
      </c>
      <c r="F2042" s="61" t="str">
        <f>IFERROR(__xludf.DUMMYFUNCTION("INDIRECT(""'收支紀錄'!F""&amp;TO_TEXT(ROW()-$C$72))"),"")</f>
        <v/>
      </c>
      <c r="G2042" s="61" t="str">
        <f>IFERROR(__xludf.DUMMYFUNCTION("INDIRECT(""'收支紀錄'!G""&amp;TO_TEXT(ROW()-$C$72))"),"")</f>
        <v/>
      </c>
      <c r="H2042" s="61" t="str">
        <f>IFERROR(__xludf.DUMMYFUNCTION("INDIRECT(""'收支紀錄'!H""&amp;TO_TEXT(ROW()-$C$72))"),"")</f>
        <v/>
      </c>
      <c r="I2042" s="61" t="str">
        <f>IFERROR(__xludf.DUMMYFUNCTION("INDIRECT(""'收支紀錄'!I""&amp;TO_TEXT(ROW()-$C$72))"),"")</f>
        <v/>
      </c>
      <c r="J2042" s="61" t="str">
        <f>IFERROR(__xludf.DUMMYFUNCTION("INDIRECT(""'收支紀錄'!J""&amp;TO_TEXT(ROW()-$C$72))"),"")</f>
        <v/>
      </c>
      <c r="K2042" s="61" t="str">
        <f>IFERROR(__xludf.DUMMYFUNCTION("INDIRECT(""'收支紀錄'!K""&amp;TO_TEXT(ROW()-$C$72))"),"")</f>
        <v/>
      </c>
      <c r="L2042" s="61" t="str">
        <f>IFERROR(__xludf.DUMMYFUNCTION("INDIRECT(""'收支紀錄'!L""&amp;TO_TEXT(ROW()-$C$72))"),"")</f>
        <v/>
      </c>
      <c r="M2042" s="61" t="str">
        <f>IFERROR(__xludf.DUMMYFUNCTION("INDIRECT(""'收支紀錄'!M""&amp;TO_TEXT(ROW()-$C$72))"),"")</f>
        <v/>
      </c>
      <c r="N2042" s="61" t="str">
        <f>IFERROR(__xludf.DUMMYFUNCTION("INDIRECT(""'收支紀錄'!N""&amp;TO_TEXT(ROW()-$C$72))"),"")</f>
        <v/>
      </c>
      <c r="O2042" s="61" t="str">
        <f>IFERROR(__xludf.DUMMYFUNCTION("INDIRECT(""'收支紀錄'!O""&amp;TO_TEXT(ROW()-$C$72))"),"")</f>
        <v/>
      </c>
      <c r="P2042" s="61" t="str">
        <f>IFERROR(__xludf.DUMMYFUNCTION("INDIRECT(""'收支紀錄'!P""&amp;TO_TEXT(ROW()-$C$72))"),"")</f>
        <v/>
      </c>
      <c r="Q2042" s="61" t="str">
        <f>IFERROR(__xludf.DUMMYFUNCTION("INDIRECT(""'收支紀錄'!Q""&amp;TO_TEXT(ROW()-$C$72))"),"")</f>
        <v/>
      </c>
      <c r="R2042" s="61" t="str">
        <f>IFERROR(__xludf.DUMMYFUNCTION("INDIRECT(""'收支紀錄'!R""&amp;TO_TEXT(ROW()-$C$72))"),"")</f>
        <v/>
      </c>
      <c r="S2042" s="61" t="str">
        <f>IFERROR(__xludf.DUMMYFUNCTION("INDIRECT(""'收支紀錄'!S""&amp;TO_TEXT(ROW()-$C$72))"),"")</f>
        <v/>
      </c>
      <c r="T2042" s="61" t="str">
        <f>IFERROR(__xludf.DUMMYFUNCTION("INDIRECT(""'收支紀錄'!T""&amp;TO_TEXT(ROW()-$C$72))"),"")</f>
        <v/>
      </c>
      <c r="U2042" s="62" t="str">
        <f>IFERROR(__xludf.DUMMYFUNCTION("IF(T2042=""是"",TEXTJOIN("""", TRUE, ""$"", TO_TEXT(C2042), S2042),"""")"),"")</f>
        <v/>
      </c>
    </row>
    <row r="2043">
      <c r="A2043" s="58" t="str">
        <f>IFERROR(__xludf.DUMMYFUNCTION("INDIRECT(""'收支紀錄'!A""&amp;TO_TEXT(ROW()-$C$72))"),"")</f>
        <v/>
      </c>
      <c r="B2043" s="59" t="str">
        <f>IFERROR(__xludf.DUMMYFUNCTION("IF(ISBLANK(D2043), """", IF(ISDATE(D2043), D2043, IF(D2043=""今天"", A2043, IF(D2043=""昨天 (-1 day)"", A2043-1, IF(D2043=""前天 (-2 days)"", A2043-2, IF(D2043=""明天 (+1 day)"", A2043+1, DATE(LEFT(D2043,4), MID(D2043,5,2), RIGHT(D2043,2))))))))"),"")</f>
        <v/>
      </c>
      <c r="C2043" s="60" t="str">
        <f>IFERROR(__xludf.DUMMYFUNCTION("INDIRECT(""'收支紀錄'!C""&amp;TO_TEXT(ROW()-$C$72))"),"")</f>
        <v/>
      </c>
      <c r="D2043" s="63" t="str">
        <f>IFERROR(__xludf.DUMMYFUNCTION("INDIRECT(""'收支紀錄'!D""&amp;TO_TEXT(ROW()-$C$72))"),"")</f>
        <v/>
      </c>
      <c r="E2043" s="61" t="str">
        <f>IFERROR(__xludf.DUMMYFUNCTION("INDIRECT(""'收支紀錄'!E""&amp;TO_TEXT(ROW()-$C$72))"),"")</f>
        <v/>
      </c>
      <c r="F2043" s="61" t="str">
        <f>IFERROR(__xludf.DUMMYFUNCTION("INDIRECT(""'收支紀錄'!F""&amp;TO_TEXT(ROW()-$C$72))"),"")</f>
        <v/>
      </c>
      <c r="G2043" s="61" t="str">
        <f>IFERROR(__xludf.DUMMYFUNCTION("INDIRECT(""'收支紀錄'!G""&amp;TO_TEXT(ROW()-$C$72))"),"")</f>
        <v/>
      </c>
      <c r="H2043" s="61" t="str">
        <f>IFERROR(__xludf.DUMMYFUNCTION("INDIRECT(""'收支紀錄'!H""&amp;TO_TEXT(ROW()-$C$72))"),"")</f>
        <v/>
      </c>
      <c r="I2043" s="61" t="str">
        <f>IFERROR(__xludf.DUMMYFUNCTION("INDIRECT(""'收支紀錄'!I""&amp;TO_TEXT(ROW()-$C$72))"),"")</f>
        <v/>
      </c>
      <c r="J2043" s="61" t="str">
        <f>IFERROR(__xludf.DUMMYFUNCTION("INDIRECT(""'收支紀錄'!J""&amp;TO_TEXT(ROW()-$C$72))"),"")</f>
        <v/>
      </c>
      <c r="K2043" s="61" t="str">
        <f>IFERROR(__xludf.DUMMYFUNCTION("INDIRECT(""'收支紀錄'!K""&amp;TO_TEXT(ROW()-$C$72))"),"")</f>
        <v/>
      </c>
      <c r="L2043" s="61" t="str">
        <f>IFERROR(__xludf.DUMMYFUNCTION("INDIRECT(""'收支紀錄'!L""&amp;TO_TEXT(ROW()-$C$72))"),"")</f>
        <v/>
      </c>
      <c r="M2043" s="61" t="str">
        <f>IFERROR(__xludf.DUMMYFUNCTION("INDIRECT(""'收支紀錄'!M""&amp;TO_TEXT(ROW()-$C$72))"),"")</f>
        <v/>
      </c>
      <c r="N2043" s="61" t="str">
        <f>IFERROR(__xludf.DUMMYFUNCTION("INDIRECT(""'收支紀錄'!N""&amp;TO_TEXT(ROW()-$C$72))"),"")</f>
        <v/>
      </c>
      <c r="O2043" s="61" t="str">
        <f>IFERROR(__xludf.DUMMYFUNCTION("INDIRECT(""'收支紀錄'!O""&amp;TO_TEXT(ROW()-$C$72))"),"")</f>
        <v/>
      </c>
      <c r="P2043" s="61" t="str">
        <f>IFERROR(__xludf.DUMMYFUNCTION("INDIRECT(""'收支紀錄'!P""&amp;TO_TEXT(ROW()-$C$72))"),"")</f>
        <v/>
      </c>
      <c r="Q2043" s="61" t="str">
        <f>IFERROR(__xludf.DUMMYFUNCTION("INDIRECT(""'收支紀錄'!Q""&amp;TO_TEXT(ROW()-$C$72))"),"")</f>
        <v/>
      </c>
      <c r="R2043" s="61" t="str">
        <f>IFERROR(__xludf.DUMMYFUNCTION("INDIRECT(""'收支紀錄'!R""&amp;TO_TEXT(ROW()-$C$72))"),"")</f>
        <v/>
      </c>
      <c r="S2043" s="61" t="str">
        <f>IFERROR(__xludf.DUMMYFUNCTION("INDIRECT(""'收支紀錄'!S""&amp;TO_TEXT(ROW()-$C$72))"),"")</f>
        <v/>
      </c>
      <c r="T2043" s="61" t="str">
        <f>IFERROR(__xludf.DUMMYFUNCTION("INDIRECT(""'收支紀錄'!T""&amp;TO_TEXT(ROW()-$C$72))"),"")</f>
        <v/>
      </c>
      <c r="U2043" s="62" t="str">
        <f>IFERROR(__xludf.DUMMYFUNCTION("IF(T2043=""是"",TEXTJOIN("""", TRUE, ""$"", TO_TEXT(C2043), S2043),"""")"),"")</f>
        <v/>
      </c>
    </row>
    <row r="2044">
      <c r="A2044" s="58" t="str">
        <f>IFERROR(__xludf.DUMMYFUNCTION("INDIRECT(""'收支紀錄'!A""&amp;TO_TEXT(ROW()-$C$72))"),"")</f>
        <v/>
      </c>
      <c r="B2044" s="59" t="str">
        <f>IFERROR(__xludf.DUMMYFUNCTION("IF(ISBLANK(D2044), """", IF(ISDATE(D2044), D2044, IF(D2044=""今天"", A2044, IF(D2044=""昨天 (-1 day)"", A2044-1, IF(D2044=""前天 (-2 days)"", A2044-2, IF(D2044=""明天 (+1 day)"", A2044+1, DATE(LEFT(D2044,4), MID(D2044,5,2), RIGHT(D2044,2))))))))"),"")</f>
        <v/>
      </c>
      <c r="C2044" s="60" t="str">
        <f>IFERROR(__xludf.DUMMYFUNCTION("INDIRECT(""'收支紀錄'!C""&amp;TO_TEXT(ROW()-$C$72))"),"")</f>
        <v/>
      </c>
      <c r="D2044" s="63" t="str">
        <f>IFERROR(__xludf.DUMMYFUNCTION("INDIRECT(""'收支紀錄'!D""&amp;TO_TEXT(ROW()-$C$72))"),"")</f>
        <v/>
      </c>
      <c r="E2044" s="61" t="str">
        <f>IFERROR(__xludf.DUMMYFUNCTION("INDIRECT(""'收支紀錄'!E""&amp;TO_TEXT(ROW()-$C$72))"),"")</f>
        <v/>
      </c>
      <c r="F2044" s="61" t="str">
        <f>IFERROR(__xludf.DUMMYFUNCTION("INDIRECT(""'收支紀錄'!F""&amp;TO_TEXT(ROW()-$C$72))"),"")</f>
        <v/>
      </c>
      <c r="G2044" s="61" t="str">
        <f>IFERROR(__xludf.DUMMYFUNCTION("INDIRECT(""'收支紀錄'!G""&amp;TO_TEXT(ROW()-$C$72))"),"")</f>
        <v/>
      </c>
      <c r="H2044" s="61" t="str">
        <f>IFERROR(__xludf.DUMMYFUNCTION("INDIRECT(""'收支紀錄'!H""&amp;TO_TEXT(ROW()-$C$72))"),"")</f>
        <v/>
      </c>
      <c r="I2044" s="61" t="str">
        <f>IFERROR(__xludf.DUMMYFUNCTION("INDIRECT(""'收支紀錄'!I""&amp;TO_TEXT(ROW()-$C$72))"),"")</f>
        <v/>
      </c>
      <c r="J2044" s="61" t="str">
        <f>IFERROR(__xludf.DUMMYFUNCTION("INDIRECT(""'收支紀錄'!J""&amp;TO_TEXT(ROW()-$C$72))"),"")</f>
        <v/>
      </c>
      <c r="K2044" s="61" t="str">
        <f>IFERROR(__xludf.DUMMYFUNCTION("INDIRECT(""'收支紀錄'!K""&amp;TO_TEXT(ROW()-$C$72))"),"")</f>
        <v/>
      </c>
      <c r="L2044" s="61" t="str">
        <f>IFERROR(__xludf.DUMMYFUNCTION("INDIRECT(""'收支紀錄'!L""&amp;TO_TEXT(ROW()-$C$72))"),"")</f>
        <v/>
      </c>
      <c r="M2044" s="61" t="str">
        <f>IFERROR(__xludf.DUMMYFUNCTION("INDIRECT(""'收支紀錄'!M""&amp;TO_TEXT(ROW()-$C$72))"),"")</f>
        <v/>
      </c>
      <c r="N2044" s="61" t="str">
        <f>IFERROR(__xludf.DUMMYFUNCTION("INDIRECT(""'收支紀錄'!N""&amp;TO_TEXT(ROW()-$C$72))"),"")</f>
        <v/>
      </c>
      <c r="O2044" s="61" t="str">
        <f>IFERROR(__xludf.DUMMYFUNCTION("INDIRECT(""'收支紀錄'!O""&amp;TO_TEXT(ROW()-$C$72))"),"")</f>
        <v/>
      </c>
      <c r="P2044" s="61" t="str">
        <f>IFERROR(__xludf.DUMMYFUNCTION("INDIRECT(""'收支紀錄'!P""&amp;TO_TEXT(ROW()-$C$72))"),"")</f>
        <v/>
      </c>
      <c r="Q2044" s="61" t="str">
        <f>IFERROR(__xludf.DUMMYFUNCTION("INDIRECT(""'收支紀錄'!Q""&amp;TO_TEXT(ROW()-$C$72))"),"")</f>
        <v/>
      </c>
      <c r="R2044" s="61" t="str">
        <f>IFERROR(__xludf.DUMMYFUNCTION("INDIRECT(""'收支紀錄'!R""&amp;TO_TEXT(ROW()-$C$72))"),"")</f>
        <v/>
      </c>
      <c r="S2044" s="61" t="str">
        <f>IFERROR(__xludf.DUMMYFUNCTION("INDIRECT(""'收支紀錄'!S""&amp;TO_TEXT(ROW()-$C$72))"),"")</f>
        <v/>
      </c>
      <c r="T2044" s="61" t="str">
        <f>IFERROR(__xludf.DUMMYFUNCTION("INDIRECT(""'收支紀錄'!T""&amp;TO_TEXT(ROW()-$C$72))"),"")</f>
        <v/>
      </c>
      <c r="U2044" s="62" t="str">
        <f>IFERROR(__xludf.DUMMYFUNCTION("IF(T2044=""是"",TEXTJOIN("""", TRUE, ""$"", TO_TEXT(C2044), S2044),"""")"),"")</f>
        <v/>
      </c>
    </row>
    <row r="2045">
      <c r="A2045" s="58" t="str">
        <f>IFERROR(__xludf.DUMMYFUNCTION("INDIRECT(""'收支紀錄'!A""&amp;TO_TEXT(ROW()-$C$72))"),"")</f>
        <v/>
      </c>
      <c r="B2045" s="59" t="str">
        <f>IFERROR(__xludf.DUMMYFUNCTION("IF(ISBLANK(D2045), """", IF(ISDATE(D2045), D2045, IF(D2045=""今天"", A2045, IF(D2045=""昨天 (-1 day)"", A2045-1, IF(D2045=""前天 (-2 days)"", A2045-2, IF(D2045=""明天 (+1 day)"", A2045+1, DATE(LEFT(D2045,4), MID(D2045,5,2), RIGHT(D2045,2))))))))"),"")</f>
        <v/>
      </c>
      <c r="C2045" s="60" t="str">
        <f>IFERROR(__xludf.DUMMYFUNCTION("INDIRECT(""'收支紀錄'!C""&amp;TO_TEXT(ROW()-$C$72))"),"")</f>
        <v/>
      </c>
      <c r="D2045" s="63" t="str">
        <f>IFERROR(__xludf.DUMMYFUNCTION("INDIRECT(""'收支紀錄'!D""&amp;TO_TEXT(ROW()-$C$72))"),"")</f>
        <v/>
      </c>
      <c r="E2045" s="61" t="str">
        <f>IFERROR(__xludf.DUMMYFUNCTION("INDIRECT(""'收支紀錄'!E""&amp;TO_TEXT(ROW()-$C$72))"),"")</f>
        <v/>
      </c>
      <c r="F2045" s="61" t="str">
        <f>IFERROR(__xludf.DUMMYFUNCTION("INDIRECT(""'收支紀錄'!F""&amp;TO_TEXT(ROW()-$C$72))"),"")</f>
        <v/>
      </c>
      <c r="G2045" s="61" t="str">
        <f>IFERROR(__xludf.DUMMYFUNCTION("INDIRECT(""'收支紀錄'!G""&amp;TO_TEXT(ROW()-$C$72))"),"")</f>
        <v/>
      </c>
      <c r="H2045" s="61" t="str">
        <f>IFERROR(__xludf.DUMMYFUNCTION("INDIRECT(""'收支紀錄'!H""&amp;TO_TEXT(ROW()-$C$72))"),"")</f>
        <v/>
      </c>
      <c r="I2045" s="61" t="str">
        <f>IFERROR(__xludf.DUMMYFUNCTION("INDIRECT(""'收支紀錄'!I""&amp;TO_TEXT(ROW()-$C$72))"),"")</f>
        <v/>
      </c>
      <c r="J2045" s="61" t="str">
        <f>IFERROR(__xludf.DUMMYFUNCTION("INDIRECT(""'收支紀錄'!J""&amp;TO_TEXT(ROW()-$C$72))"),"")</f>
        <v/>
      </c>
      <c r="K2045" s="61" t="str">
        <f>IFERROR(__xludf.DUMMYFUNCTION("INDIRECT(""'收支紀錄'!K""&amp;TO_TEXT(ROW()-$C$72))"),"")</f>
        <v/>
      </c>
      <c r="L2045" s="61" t="str">
        <f>IFERROR(__xludf.DUMMYFUNCTION("INDIRECT(""'收支紀錄'!L""&amp;TO_TEXT(ROW()-$C$72))"),"")</f>
        <v/>
      </c>
      <c r="M2045" s="61" t="str">
        <f>IFERROR(__xludf.DUMMYFUNCTION("INDIRECT(""'收支紀錄'!M""&amp;TO_TEXT(ROW()-$C$72))"),"")</f>
        <v/>
      </c>
      <c r="N2045" s="61" t="str">
        <f>IFERROR(__xludf.DUMMYFUNCTION("INDIRECT(""'收支紀錄'!N""&amp;TO_TEXT(ROW()-$C$72))"),"")</f>
        <v/>
      </c>
      <c r="O2045" s="61" t="str">
        <f>IFERROR(__xludf.DUMMYFUNCTION("INDIRECT(""'收支紀錄'!O""&amp;TO_TEXT(ROW()-$C$72))"),"")</f>
        <v/>
      </c>
      <c r="P2045" s="61" t="str">
        <f>IFERROR(__xludf.DUMMYFUNCTION("INDIRECT(""'收支紀錄'!P""&amp;TO_TEXT(ROW()-$C$72))"),"")</f>
        <v/>
      </c>
      <c r="Q2045" s="61" t="str">
        <f>IFERROR(__xludf.DUMMYFUNCTION("INDIRECT(""'收支紀錄'!Q""&amp;TO_TEXT(ROW()-$C$72))"),"")</f>
        <v/>
      </c>
      <c r="R2045" s="61" t="str">
        <f>IFERROR(__xludf.DUMMYFUNCTION("INDIRECT(""'收支紀錄'!R""&amp;TO_TEXT(ROW()-$C$72))"),"")</f>
        <v/>
      </c>
      <c r="S2045" s="61" t="str">
        <f>IFERROR(__xludf.DUMMYFUNCTION("INDIRECT(""'收支紀錄'!S""&amp;TO_TEXT(ROW()-$C$72))"),"")</f>
        <v/>
      </c>
      <c r="T2045" s="61" t="str">
        <f>IFERROR(__xludf.DUMMYFUNCTION("INDIRECT(""'收支紀錄'!T""&amp;TO_TEXT(ROW()-$C$72))"),"")</f>
        <v/>
      </c>
      <c r="U2045" s="62" t="str">
        <f>IFERROR(__xludf.DUMMYFUNCTION("IF(T2045=""是"",TEXTJOIN("""", TRUE, ""$"", TO_TEXT(C2045), S2045),"""")"),"")</f>
        <v/>
      </c>
    </row>
    <row r="2046">
      <c r="A2046" s="58" t="str">
        <f>IFERROR(__xludf.DUMMYFUNCTION("INDIRECT(""'收支紀錄'!A""&amp;TO_TEXT(ROW()-$C$72))"),"")</f>
        <v/>
      </c>
      <c r="B2046" s="59" t="str">
        <f>IFERROR(__xludf.DUMMYFUNCTION("IF(ISBLANK(D2046), """", IF(ISDATE(D2046), D2046, IF(D2046=""今天"", A2046, IF(D2046=""昨天 (-1 day)"", A2046-1, IF(D2046=""前天 (-2 days)"", A2046-2, IF(D2046=""明天 (+1 day)"", A2046+1, DATE(LEFT(D2046,4), MID(D2046,5,2), RIGHT(D2046,2))))))))"),"")</f>
        <v/>
      </c>
      <c r="C2046" s="60" t="str">
        <f>IFERROR(__xludf.DUMMYFUNCTION("INDIRECT(""'收支紀錄'!C""&amp;TO_TEXT(ROW()-$C$72))"),"")</f>
        <v/>
      </c>
      <c r="D2046" s="63" t="str">
        <f>IFERROR(__xludf.DUMMYFUNCTION("INDIRECT(""'收支紀錄'!D""&amp;TO_TEXT(ROW()-$C$72))"),"")</f>
        <v/>
      </c>
      <c r="E2046" s="61" t="str">
        <f>IFERROR(__xludf.DUMMYFUNCTION("INDIRECT(""'收支紀錄'!E""&amp;TO_TEXT(ROW()-$C$72))"),"")</f>
        <v/>
      </c>
      <c r="F2046" s="61" t="str">
        <f>IFERROR(__xludf.DUMMYFUNCTION("INDIRECT(""'收支紀錄'!F""&amp;TO_TEXT(ROW()-$C$72))"),"")</f>
        <v/>
      </c>
      <c r="G2046" s="61" t="str">
        <f>IFERROR(__xludf.DUMMYFUNCTION("INDIRECT(""'收支紀錄'!G""&amp;TO_TEXT(ROW()-$C$72))"),"")</f>
        <v/>
      </c>
      <c r="H2046" s="61" t="str">
        <f>IFERROR(__xludf.DUMMYFUNCTION("INDIRECT(""'收支紀錄'!H""&amp;TO_TEXT(ROW()-$C$72))"),"")</f>
        <v/>
      </c>
      <c r="I2046" s="61" t="str">
        <f>IFERROR(__xludf.DUMMYFUNCTION("INDIRECT(""'收支紀錄'!I""&amp;TO_TEXT(ROW()-$C$72))"),"")</f>
        <v/>
      </c>
      <c r="J2046" s="61" t="str">
        <f>IFERROR(__xludf.DUMMYFUNCTION("INDIRECT(""'收支紀錄'!J""&amp;TO_TEXT(ROW()-$C$72))"),"")</f>
        <v/>
      </c>
      <c r="K2046" s="61" t="str">
        <f>IFERROR(__xludf.DUMMYFUNCTION("INDIRECT(""'收支紀錄'!K""&amp;TO_TEXT(ROW()-$C$72))"),"")</f>
        <v/>
      </c>
      <c r="L2046" s="61" t="str">
        <f>IFERROR(__xludf.DUMMYFUNCTION("INDIRECT(""'收支紀錄'!L""&amp;TO_TEXT(ROW()-$C$72))"),"")</f>
        <v/>
      </c>
      <c r="M2046" s="61" t="str">
        <f>IFERROR(__xludf.DUMMYFUNCTION("INDIRECT(""'收支紀錄'!M""&amp;TO_TEXT(ROW()-$C$72))"),"")</f>
        <v/>
      </c>
      <c r="N2046" s="61" t="str">
        <f>IFERROR(__xludf.DUMMYFUNCTION("INDIRECT(""'收支紀錄'!N""&amp;TO_TEXT(ROW()-$C$72))"),"")</f>
        <v/>
      </c>
      <c r="O2046" s="61" t="str">
        <f>IFERROR(__xludf.DUMMYFUNCTION("INDIRECT(""'收支紀錄'!O""&amp;TO_TEXT(ROW()-$C$72))"),"")</f>
        <v/>
      </c>
      <c r="P2046" s="61" t="str">
        <f>IFERROR(__xludf.DUMMYFUNCTION("INDIRECT(""'收支紀錄'!P""&amp;TO_TEXT(ROW()-$C$72))"),"")</f>
        <v/>
      </c>
      <c r="Q2046" s="61" t="str">
        <f>IFERROR(__xludf.DUMMYFUNCTION("INDIRECT(""'收支紀錄'!Q""&amp;TO_TEXT(ROW()-$C$72))"),"")</f>
        <v/>
      </c>
      <c r="R2046" s="61" t="str">
        <f>IFERROR(__xludf.DUMMYFUNCTION("INDIRECT(""'收支紀錄'!R""&amp;TO_TEXT(ROW()-$C$72))"),"")</f>
        <v/>
      </c>
      <c r="S2046" s="61" t="str">
        <f>IFERROR(__xludf.DUMMYFUNCTION("INDIRECT(""'收支紀錄'!S""&amp;TO_TEXT(ROW()-$C$72))"),"")</f>
        <v/>
      </c>
      <c r="T2046" s="61" t="str">
        <f>IFERROR(__xludf.DUMMYFUNCTION("INDIRECT(""'收支紀錄'!T""&amp;TO_TEXT(ROW()-$C$72))"),"")</f>
        <v/>
      </c>
      <c r="U2046" s="62" t="str">
        <f>IFERROR(__xludf.DUMMYFUNCTION("IF(T2046=""是"",TEXTJOIN("""", TRUE, ""$"", TO_TEXT(C2046), S2046),"""")"),"")</f>
        <v/>
      </c>
    </row>
    <row r="2047">
      <c r="A2047" s="58" t="str">
        <f>IFERROR(__xludf.DUMMYFUNCTION("INDIRECT(""'收支紀錄'!A""&amp;TO_TEXT(ROW()-$C$72))"),"")</f>
        <v/>
      </c>
      <c r="B2047" s="59" t="str">
        <f>IFERROR(__xludf.DUMMYFUNCTION("IF(ISBLANK(D2047), """", IF(ISDATE(D2047), D2047, IF(D2047=""今天"", A2047, IF(D2047=""昨天 (-1 day)"", A2047-1, IF(D2047=""前天 (-2 days)"", A2047-2, IF(D2047=""明天 (+1 day)"", A2047+1, DATE(LEFT(D2047,4), MID(D2047,5,2), RIGHT(D2047,2))))))))"),"")</f>
        <v/>
      </c>
      <c r="C2047" s="60" t="str">
        <f>IFERROR(__xludf.DUMMYFUNCTION("INDIRECT(""'收支紀錄'!C""&amp;TO_TEXT(ROW()-$C$72))"),"")</f>
        <v/>
      </c>
      <c r="D2047" s="63" t="str">
        <f>IFERROR(__xludf.DUMMYFUNCTION("INDIRECT(""'收支紀錄'!D""&amp;TO_TEXT(ROW()-$C$72))"),"")</f>
        <v/>
      </c>
      <c r="E2047" s="61" t="str">
        <f>IFERROR(__xludf.DUMMYFUNCTION("INDIRECT(""'收支紀錄'!E""&amp;TO_TEXT(ROW()-$C$72))"),"")</f>
        <v/>
      </c>
      <c r="F2047" s="61" t="str">
        <f>IFERROR(__xludf.DUMMYFUNCTION("INDIRECT(""'收支紀錄'!F""&amp;TO_TEXT(ROW()-$C$72))"),"")</f>
        <v/>
      </c>
      <c r="G2047" s="61" t="str">
        <f>IFERROR(__xludf.DUMMYFUNCTION("INDIRECT(""'收支紀錄'!G""&amp;TO_TEXT(ROW()-$C$72))"),"")</f>
        <v/>
      </c>
      <c r="H2047" s="61" t="str">
        <f>IFERROR(__xludf.DUMMYFUNCTION("INDIRECT(""'收支紀錄'!H""&amp;TO_TEXT(ROW()-$C$72))"),"")</f>
        <v/>
      </c>
      <c r="I2047" s="61" t="str">
        <f>IFERROR(__xludf.DUMMYFUNCTION("INDIRECT(""'收支紀錄'!I""&amp;TO_TEXT(ROW()-$C$72))"),"")</f>
        <v/>
      </c>
      <c r="J2047" s="61" t="str">
        <f>IFERROR(__xludf.DUMMYFUNCTION("INDIRECT(""'收支紀錄'!J""&amp;TO_TEXT(ROW()-$C$72))"),"")</f>
        <v/>
      </c>
      <c r="K2047" s="61" t="str">
        <f>IFERROR(__xludf.DUMMYFUNCTION("INDIRECT(""'收支紀錄'!K""&amp;TO_TEXT(ROW()-$C$72))"),"")</f>
        <v/>
      </c>
      <c r="L2047" s="61" t="str">
        <f>IFERROR(__xludf.DUMMYFUNCTION("INDIRECT(""'收支紀錄'!L""&amp;TO_TEXT(ROW()-$C$72))"),"")</f>
        <v/>
      </c>
      <c r="M2047" s="61" t="str">
        <f>IFERROR(__xludf.DUMMYFUNCTION("INDIRECT(""'收支紀錄'!M""&amp;TO_TEXT(ROW()-$C$72))"),"")</f>
        <v/>
      </c>
      <c r="N2047" s="61" t="str">
        <f>IFERROR(__xludf.DUMMYFUNCTION("INDIRECT(""'收支紀錄'!N""&amp;TO_TEXT(ROW()-$C$72))"),"")</f>
        <v/>
      </c>
      <c r="O2047" s="61" t="str">
        <f>IFERROR(__xludf.DUMMYFUNCTION("INDIRECT(""'收支紀錄'!O""&amp;TO_TEXT(ROW()-$C$72))"),"")</f>
        <v/>
      </c>
      <c r="P2047" s="61" t="str">
        <f>IFERROR(__xludf.DUMMYFUNCTION("INDIRECT(""'收支紀錄'!P""&amp;TO_TEXT(ROW()-$C$72))"),"")</f>
        <v/>
      </c>
      <c r="Q2047" s="61" t="str">
        <f>IFERROR(__xludf.DUMMYFUNCTION("INDIRECT(""'收支紀錄'!Q""&amp;TO_TEXT(ROW()-$C$72))"),"")</f>
        <v/>
      </c>
      <c r="R2047" s="61" t="str">
        <f>IFERROR(__xludf.DUMMYFUNCTION("INDIRECT(""'收支紀錄'!R""&amp;TO_TEXT(ROW()-$C$72))"),"")</f>
        <v/>
      </c>
      <c r="S2047" s="61" t="str">
        <f>IFERROR(__xludf.DUMMYFUNCTION("INDIRECT(""'收支紀錄'!S""&amp;TO_TEXT(ROW()-$C$72))"),"")</f>
        <v/>
      </c>
      <c r="T2047" s="61" t="str">
        <f>IFERROR(__xludf.DUMMYFUNCTION("INDIRECT(""'收支紀錄'!T""&amp;TO_TEXT(ROW()-$C$72))"),"")</f>
        <v/>
      </c>
      <c r="U2047" s="62" t="str">
        <f>IFERROR(__xludf.DUMMYFUNCTION("IF(T2047=""是"",TEXTJOIN("""", TRUE, ""$"", TO_TEXT(C2047), S2047),"""")"),"")</f>
        <v/>
      </c>
    </row>
    <row r="2048">
      <c r="A2048" s="58" t="str">
        <f>IFERROR(__xludf.DUMMYFUNCTION("INDIRECT(""'收支紀錄'!A""&amp;TO_TEXT(ROW()-$C$72))"),"")</f>
        <v/>
      </c>
      <c r="B2048" s="59" t="str">
        <f>IFERROR(__xludf.DUMMYFUNCTION("IF(ISBLANK(D2048), """", IF(ISDATE(D2048), D2048, IF(D2048=""今天"", A2048, IF(D2048=""昨天 (-1 day)"", A2048-1, IF(D2048=""前天 (-2 days)"", A2048-2, IF(D2048=""明天 (+1 day)"", A2048+1, DATE(LEFT(D2048,4), MID(D2048,5,2), RIGHT(D2048,2))))))))"),"")</f>
        <v/>
      </c>
      <c r="C2048" s="60" t="str">
        <f>IFERROR(__xludf.DUMMYFUNCTION("INDIRECT(""'收支紀錄'!C""&amp;TO_TEXT(ROW()-$C$72))"),"")</f>
        <v/>
      </c>
      <c r="D2048" s="63" t="str">
        <f>IFERROR(__xludf.DUMMYFUNCTION("INDIRECT(""'收支紀錄'!D""&amp;TO_TEXT(ROW()-$C$72))"),"")</f>
        <v/>
      </c>
      <c r="E2048" s="61" t="str">
        <f>IFERROR(__xludf.DUMMYFUNCTION("INDIRECT(""'收支紀錄'!E""&amp;TO_TEXT(ROW()-$C$72))"),"")</f>
        <v/>
      </c>
      <c r="F2048" s="61" t="str">
        <f>IFERROR(__xludf.DUMMYFUNCTION("INDIRECT(""'收支紀錄'!F""&amp;TO_TEXT(ROW()-$C$72))"),"")</f>
        <v/>
      </c>
      <c r="G2048" s="61" t="str">
        <f>IFERROR(__xludf.DUMMYFUNCTION("INDIRECT(""'收支紀錄'!G""&amp;TO_TEXT(ROW()-$C$72))"),"")</f>
        <v/>
      </c>
      <c r="H2048" s="61" t="str">
        <f>IFERROR(__xludf.DUMMYFUNCTION("INDIRECT(""'收支紀錄'!H""&amp;TO_TEXT(ROW()-$C$72))"),"")</f>
        <v/>
      </c>
      <c r="I2048" s="61" t="str">
        <f>IFERROR(__xludf.DUMMYFUNCTION("INDIRECT(""'收支紀錄'!I""&amp;TO_TEXT(ROW()-$C$72))"),"")</f>
        <v/>
      </c>
      <c r="J2048" s="61" t="str">
        <f>IFERROR(__xludf.DUMMYFUNCTION("INDIRECT(""'收支紀錄'!J""&amp;TO_TEXT(ROW()-$C$72))"),"")</f>
        <v/>
      </c>
      <c r="K2048" s="61" t="str">
        <f>IFERROR(__xludf.DUMMYFUNCTION("INDIRECT(""'收支紀錄'!K""&amp;TO_TEXT(ROW()-$C$72))"),"")</f>
        <v/>
      </c>
      <c r="L2048" s="61" t="str">
        <f>IFERROR(__xludf.DUMMYFUNCTION("INDIRECT(""'收支紀錄'!L""&amp;TO_TEXT(ROW()-$C$72))"),"")</f>
        <v/>
      </c>
      <c r="M2048" s="61" t="str">
        <f>IFERROR(__xludf.DUMMYFUNCTION("INDIRECT(""'收支紀錄'!M""&amp;TO_TEXT(ROW()-$C$72))"),"")</f>
        <v/>
      </c>
      <c r="N2048" s="61" t="str">
        <f>IFERROR(__xludf.DUMMYFUNCTION("INDIRECT(""'收支紀錄'!N""&amp;TO_TEXT(ROW()-$C$72))"),"")</f>
        <v/>
      </c>
      <c r="O2048" s="61" t="str">
        <f>IFERROR(__xludf.DUMMYFUNCTION("INDIRECT(""'收支紀錄'!O""&amp;TO_TEXT(ROW()-$C$72))"),"")</f>
        <v/>
      </c>
      <c r="P2048" s="61" t="str">
        <f>IFERROR(__xludf.DUMMYFUNCTION("INDIRECT(""'收支紀錄'!P""&amp;TO_TEXT(ROW()-$C$72))"),"")</f>
        <v/>
      </c>
      <c r="Q2048" s="61" t="str">
        <f>IFERROR(__xludf.DUMMYFUNCTION("INDIRECT(""'收支紀錄'!Q""&amp;TO_TEXT(ROW()-$C$72))"),"")</f>
        <v/>
      </c>
      <c r="R2048" s="61" t="str">
        <f>IFERROR(__xludf.DUMMYFUNCTION("INDIRECT(""'收支紀錄'!R""&amp;TO_TEXT(ROW()-$C$72))"),"")</f>
        <v/>
      </c>
      <c r="S2048" s="61" t="str">
        <f>IFERROR(__xludf.DUMMYFUNCTION("INDIRECT(""'收支紀錄'!S""&amp;TO_TEXT(ROW()-$C$72))"),"")</f>
        <v/>
      </c>
      <c r="T2048" s="61" t="str">
        <f>IFERROR(__xludf.DUMMYFUNCTION("INDIRECT(""'收支紀錄'!T""&amp;TO_TEXT(ROW()-$C$72))"),"")</f>
        <v/>
      </c>
      <c r="U2048" s="62" t="str">
        <f>IFERROR(__xludf.DUMMYFUNCTION("IF(T2048=""是"",TEXTJOIN("""", TRUE, ""$"", TO_TEXT(C2048), S2048),"""")"),"")</f>
        <v/>
      </c>
    </row>
    <row r="2049">
      <c r="A2049" s="58" t="str">
        <f>IFERROR(__xludf.DUMMYFUNCTION("INDIRECT(""'收支紀錄'!A""&amp;TO_TEXT(ROW()-$C$72))"),"")</f>
        <v/>
      </c>
      <c r="B2049" s="59" t="str">
        <f>IFERROR(__xludf.DUMMYFUNCTION("IF(ISBLANK(D2049), """", IF(ISDATE(D2049), D2049, IF(D2049=""今天"", A2049, IF(D2049=""昨天 (-1 day)"", A2049-1, IF(D2049=""前天 (-2 days)"", A2049-2, IF(D2049=""明天 (+1 day)"", A2049+1, DATE(LEFT(D2049,4), MID(D2049,5,2), RIGHT(D2049,2))))))))"),"")</f>
        <v/>
      </c>
      <c r="C2049" s="60" t="str">
        <f>IFERROR(__xludf.DUMMYFUNCTION("INDIRECT(""'收支紀錄'!C""&amp;TO_TEXT(ROW()-$C$72))"),"")</f>
        <v/>
      </c>
      <c r="D2049" s="63" t="str">
        <f>IFERROR(__xludf.DUMMYFUNCTION("INDIRECT(""'收支紀錄'!D""&amp;TO_TEXT(ROW()-$C$72))"),"")</f>
        <v/>
      </c>
      <c r="E2049" s="61" t="str">
        <f>IFERROR(__xludf.DUMMYFUNCTION("INDIRECT(""'收支紀錄'!E""&amp;TO_TEXT(ROW()-$C$72))"),"")</f>
        <v/>
      </c>
      <c r="F2049" s="61" t="str">
        <f>IFERROR(__xludf.DUMMYFUNCTION("INDIRECT(""'收支紀錄'!F""&amp;TO_TEXT(ROW()-$C$72))"),"")</f>
        <v/>
      </c>
      <c r="G2049" s="61" t="str">
        <f>IFERROR(__xludf.DUMMYFUNCTION("INDIRECT(""'收支紀錄'!G""&amp;TO_TEXT(ROW()-$C$72))"),"")</f>
        <v/>
      </c>
      <c r="H2049" s="61" t="str">
        <f>IFERROR(__xludf.DUMMYFUNCTION("INDIRECT(""'收支紀錄'!H""&amp;TO_TEXT(ROW()-$C$72))"),"")</f>
        <v/>
      </c>
      <c r="I2049" s="61" t="str">
        <f>IFERROR(__xludf.DUMMYFUNCTION("INDIRECT(""'收支紀錄'!I""&amp;TO_TEXT(ROW()-$C$72))"),"")</f>
        <v/>
      </c>
      <c r="J2049" s="61" t="str">
        <f>IFERROR(__xludf.DUMMYFUNCTION("INDIRECT(""'收支紀錄'!J""&amp;TO_TEXT(ROW()-$C$72))"),"")</f>
        <v/>
      </c>
      <c r="K2049" s="61" t="str">
        <f>IFERROR(__xludf.DUMMYFUNCTION("INDIRECT(""'收支紀錄'!K""&amp;TO_TEXT(ROW()-$C$72))"),"")</f>
        <v/>
      </c>
      <c r="L2049" s="61" t="str">
        <f>IFERROR(__xludf.DUMMYFUNCTION("INDIRECT(""'收支紀錄'!L""&amp;TO_TEXT(ROW()-$C$72))"),"")</f>
        <v/>
      </c>
      <c r="M2049" s="61" t="str">
        <f>IFERROR(__xludf.DUMMYFUNCTION("INDIRECT(""'收支紀錄'!M""&amp;TO_TEXT(ROW()-$C$72))"),"")</f>
        <v/>
      </c>
      <c r="N2049" s="61" t="str">
        <f>IFERROR(__xludf.DUMMYFUNCTION("INDIRECT(""'收支紀錄'!N""&amp;TO_TEXT(ROW()-$C$72))"),"")</f>
        <v/>
      </c>
      <c r="O2049" s="61" t="str">
        <f>IFERROR(__xludf.DUMMYFUNCTION("INDIRECT(""'收支紀錄'!O""&amp;TO_TEXT(ROW()-$C$72))"),"")</f>
        <v/>
      </c>
      <c r="P2049" s="61" t="str">
        <f>IFERROR(__xludf.DUMMYFUNCTION("INDIRECT(""'收支紀錄'!P""&amp;TO_TEXT(ROW()-$C$72))"),"")</f>
        <v/>
      </c>
      <c r="Q2049" s="61" t="str">
        <f>IFERROR(__xludf.DUMMYFUNCTION("INDIRECT(""'收支紀錄'!Q""&amp;TO_TEXT(ROW()-$C$72))"),"")</f>
        <v/>
      </c>
      <c r="R2049" s="61" t="str">
        <f>IFERROR(__xludf.DUMMYFUNCTION("INDIRECT(""'收支紀錄'!R""&amp;TO_TEXT(ROW()-$C$72))"),"")</f>
        <v/>
      </c>
      <c r="S2049" s="61" t="str">
        <f>IFERROR(__xludf.DUMMYFUNCTION("INDIRECT(""'收支紀錄'!S""&amp;TO_TEXT(ROW()-$C$72))"),"")</f>
        <v/>
      </c>
      <c r="T2049" s="61" t="str">
        <f>IFERROR(__xludf.DUMMYFUNCTION("INDIRECT(""'收支紀錄'!T""&amp;TO_TEXT(ROW()-$C$72))"),"")</f>
        <v/>
      </c>
      <c r="U2049" s="62" t="str">
        <f>IFERROR(__xludf.DUMMYFUNCTION("IF(T2049=""是"",TEXTJOIN("""", TRUE, ""$"", TO_TEXT(C2049), S2049),"""")"),"")</f>
        <v/>
      </c>
    </row>
    <row r="2050">
      <c r="A2050" s="58" t="str">
        <f>IFERROR(__xludf.DUMMYFUNCTION("INDIRECT(""'收支紀錄'!A""&amp;TO_TEXT(ROW()-$C$72))"),"")</f>
        <v/>
      </c>
      <c r="B2050" s="59" t="str">
        <f>IFERROR(__xludf.DUMMYFUNCTION("IF(ISBLANK(D2050), """", IF(ISDATE(D2050), D2050, IF(D2050=""今天"", A2050, IF(D2050=""昨天 (-1 day)"", A2050-1, IF(D2050=""前天 (-2 days)"", A2050-2, IF(D2050=""明天 (+1 day)"", A2050+1, DATE(LEFT(D2050,4), MID(D2050,5,2), RIGHT(D2050,2))))))))"),"")</f>
        <v/>
      </c>
      <c r="C2050" s="60" t="str">
        <f>IFERROR(__xludf.DUMMYFUNCTION("INDIRECT(""'收支紀錄'!C""&amp;TO_TEXT(ROW()-$C$72))"),"")</f>
        <v/>
      </c>
      <c r="D2050" s="63" t="str">
        <f>IFERROR(__xludf.DUMMYFUNCTION("INDIRECT(""'收支紀錄'!D""&amp;TO_TEXT(ROW()-$C$72))"),"")</f>
        <v/>
      </c>
      <c r="E2050" s="61" t="str">
        <f>IFERROR(__xludf.DUMMYFUNCTION("INDIRECT(""'收支紀錄'!E""&amp;TO_TEXT(ROW()-$C$72))"),"")</f>
        <v/>
      </c>
      <c r="F2050" s="61" t="str">
        <f>IFERROR(__xludf.DUMMYFUNCTION("INDIRECT(""'收支紀錄'!F""&amp;TO_TEXT(ROW()-$C$72))"),"")</f>
        <v/>
      </c>
      <c r="G2050" s="61" t="str">
        <f>IFERROR(__xludf.DUMMYFUNCTION("INDIRECT(""'收支紀錄'!G""&amp;TO_TEXT(ROW()-$C$72))"),"")</f>
        <v/>
      </c>
      <c r="H2050" s="61" t="str">
        <f>IFERROR(__xludf.DUMMYFUNCTION("INDIRECT(""'收支紀錄'!H""&amp;TO_TEXT(ROW()-$C$72))"),"")</f>
        <v/>
      </c>
      <c r="I2050" s="61" t="str">
        <f>IFERROR(__xludf.DUMMYFUNCTION("INDIRECT(""'收支紀錄'!I""&amp;TO_TEXT(ROW()-$C$72))"),"")</f>
        <v/>
      </c>
      <c r="J2050" s="61" t="str">
        <f>IFERROR(__xludf.DUMMYFUNCTION("INDIRECT(""'收支紀錄'!J""&amp;TO_TEXT(ROW()-$C$72))"),"")</f>
        <v/>
      </c>
      <c r="K2050" s="61" t="str">
        <f>IFERROR(__xludf.DUMMYFUNCTION("INDIRECT(""'收支紀錄'!K""&amp;TO_TEXT(ROW()-$C$72))"),"")</f>
        <v/>
      </c>
      <c r="L2050" s="61" t="str">
        <f>IFERROR(__xludf.DUMMYFUNCTION("INDIRECT(""'收支紀錄'!L""&amp;TO_TEXT(ROW()-$C$72))"),"")</f>
        <v/>
      </c>
      <c r="M2050" s="61" t="str">
        <f>IFERROR(__xludf.DUMMYFUNCTION("INDIRECT(""'收支紀錄'!M""&amp;TO_TEXT(ROW()-$C$72))"),"")</f>
        <v/>
      </c>
      <c r="N2050" s="61" t="str">
        <f>IFERROR(__xludf.DUMMYFUNCTION("INDIRECT(""'收支紀錄'!N""&amp;TO_TEXT(ROW()-$C$72))"),"")</f>
        <v/>
      </c>
      <c r="O2050" s="61" t="str">
        <f>IFERROR(__xludf.DUMMYFUNCTION("INDIRECT(""'收支紀錄'!O""&amp;TO_TEXT(ROW()-$C$72))"),"")</f>
        <v/>
      </c>
      <c r="P2050" s="61" t="str">
        <f>IFERROR(__xludf.DUMMYFUNCTION("INDIRECT(""'收支紀錄'!P""&amp;TO_TEXT(ROW()-$C$72))"),"")</f>
        <v/>
      </c>
      <c r="Q2050" s="61" t="str">
        <f>IFERROR(__xludf.DUMMYFUNCTION("INDIRECT(""'收支紀錄'!Q""&amp;TO_TEXT(ROW()-$C$72))"),"")</f>
        <v/>
      </c>
      <c r="R2050" s="61" t="str">
        <f>IFERROR(__xludf.DUMMYFUNCTION("INDIRECT(""'收支紀錄'!R""&amp;TO_TEXT(ROW()-$C$72))"),"")</f>
        <v/>
      </c>
      <c r="S2050" s="61" t="str">
        <f>IFERROR(__xludf.DUMMYFUNCTION("INDIRECT(""'收支紀錄'!S""&amp;TO_TEXT(ROW()-$C$72))"),"")</f>
        <v/>
      </c>
      <c r="T2050" s="61" t="str">
        <f>IFERROR(__xludf.DUMMYFUNCTION("INDIRECT(""'收支紀錄'!T""&amp;TO_TEXT(ROW()-$C$72))"),"")</f>
        <v/>
      </c>
      <c r="U2050" s="62" t="str">
        <f>IFERROR(__xludf.DUMMYFUNCTION("IF(T2050=""是"",TEXTJOIN("""", TRUE, ""$"", TO_TEXT(C2050), S2050),"""")"),"")</f>
        <v/>
      </c>
    </row>
    <row r="2051">
      <c r="A2051" s="58" t="str">
        <f>IFERROR(__xludf.DUMMYFUNCTION("INDIRECT(""'收支紀錄'!A""&amp;TO_TEXT(ROW()-$C$72))"),"")</f>
        <v/>
      </c>
      <c r="B2051" s="59" t="str">
        <f>IFERROR(__xludf.DUMMYFUNCTION("IF(ISBLANK(D2051), """", IF(ISDATE(D2051), D2051, IF(D2051=""今天"", A2051, IF(D2051=""昨天 (-1 day)"", A2051-1, IF(D2051=""前天 (-2 days)"", A2051-2, IF(D2051=""明天 (+1 day)"", A2051+1, DATE(LEFT(D2051,4), MID(D2051,5,2), RIGHT(D2051,2))))))))"),"")</f>
        <v/>
      </c>
      <c r="C2051" s="60" t="str">
        <f>IFERROR(__xludf.DUMMYFUNCTION("INDIRECT(""'收支紀錄'!C""&amp;TO_TEXT(ROW()-$C$72))"),"")</f>
        <v/>
      </c>
      <c r="D2051" s="63" t="str">
        <f>IFERROR(__xludf.DUMMYFUNCTION("INDIRECT(""'收支紀錄'!D""&amp;TO_TEXT(ROW()-$C$72))"),"")</f>
        <v/>
      </c>
      <c r="E2051" s="61" t="str">
        <f>IFERROR(__xludf.DUMMYFUNCTION("INDIRECT(""'收支紀錄'!E""&amp;TO_TEXT(ROW()-$C$72))"),"")</f>
        <v/>
      </c>
      <c r="F2051" s="61" t="str">
        <f>IFERROR(__xludf.DUMMYFUNCTION("INDIRECT(""'收支紀錄'!F""&amp;TO_TEXT(ROW()-$C$72))"),"")</f>
        <v/>
      </c>
      <c r="G2051" s="61" t="str">
        <f>IFERROR(__xludf.DUMMYFUNCTION("INDIRECT(""'收支紀錄'!G""&amp;TO_TEXT(ROW()-$C$72))"),"")</f>
        <v/>
      </c>
      <c r="H2051" s="61" t="str">
        <f>IFERROR(__xludf.DUMMYFUNCTION("INDIRECT(""'收支紀錄'!H""&amp;TO_TEXT(ROW()-$C$72))"),"")</f>
        <v/>
      </c>
      <c r="I2051" s="61" t="str">
        <f>IFERROR(__xludf.DUMMYFUNCTION("INDIRECT(""'收支紀錄'!I""&amp;TO_TEXT(ROW()-$C$72))"),"")</f>
        <v/>
      </c>
      <c r="J2051" s="61" t="str">
        <f>IFERROR(__xludf.DUMMYFUNCTION("INDIRECT(""'收支紀錄'!J""&amp;TO_TEXT(ROW()-$C$72))"),"")</f>
        <v/>
      </c>
      <c r="K2051" s="61" t="str">
        <f>IFERROR(__xludf.DUMMYFUNCTION("INDIRECT(""'收支紀錄'!K""&amp;TO_TEXT(ROW()-$C$72))"),"")</f>
        <v/>
      </c>
      <c r="L2051" s="61" t="str">
        <f>IFERROR(__xludf.DUMMYFUNCTION("INDIRECT(""'收支紀錄'!L""&amp;TO_TEXT(ROW()-$C$72))"),"")</f>
        <v/>
      </c>
      <c r="M2051" s="61" t="str">
        <f>IFERROR(__xludf.DUMMYFUNCTION("INDIRECT(""'收支紀錄'!M""&amp;TO_TEXT(ROW()-$C$72))"),"")</f>
        <v/>
      </c>
      <c r="N2051" s="61" t="str">
        <f>IFERROR(__xludf.DUMMYFUNCTION("INDIRECT(""'收支紀錄'!N""&amp;TO_TEXT(ROW()-$C$72))"),"")</f>
        <v/>
      </c>
      <c r="O2051" s="61" t="str">
        <f>IFERROR(__xludf.DUMMYFUNCTION("INDIRECT(""'收支紀錄'!O""&amp;TO_TEXT(ROW()-$C$72))"),"")</f>
        <v/>
      </c>
      <c r="P2051" s="61" t="str">
        <f>IFERROR(__xludf.DUMMYFUNCTION("INDIRECT(""'收支紀錄'!P""&amp;TO_TEXT(ROW()-$C$72))"),"")</f>
        <v/>
      </c>
      <c r="Q2051" s="61" t="str">
        <f>IFERROR(__xludf.DUMMYFUNCTION("INDIRECT(""'收支紀錄'!Q""&amp;TO_TEXT(ROW()-$C$72))"),"")</f>
        <v/>
      </c>
      <c r="R2051" s="61" t="str">
        <f>IFERROR(__xludf.DUMMYFUNCTION("INDIRECT(""'收支紀錄'!R""&amp;TO_TEXT(ROW()-$C$72))"),"")</f>
        <v/>
      </c>
      <c r="S2051" s="61" t="str">
        <f>IFERROR(__xludf.DUMMYFUNCTION("INDIRECT(""'收支紀錄'!S""&amp;TO_TEXT(ROW()-$C$72))"),"")</f>
        <v/>
      </c>
      <c r="T2051" s="61" t="str">
        <f>IFERROR(__xludf.DUMMYFUNCTION("INDIRECT(""'收支紀錄'!T""&amp;TO_TEXT(ROW()-$C$72))"),"")</f>
        <v/>
      </c>
      <c r="U2051" s="62" t="str">
        <f>IFERROR(__xludf.DUMMYFUNCTION("IF(T2051=""是"",TEXTJOIN("""", TRUE, ""$"", TO_TEXT(C2051), S2051),"""")"),"")</f>
        <v/>
      </c>
    </row>
    <row r="2052">
      <c r="A2052" s="58" t="str">
        <f>IFERROR(__xludf.DUMMYFUNCTION("INDIRECT(""'收支紀錄'!A""&amp;TO_TEXT(ROW()-$C$72))"),"")</f>
        <v/>
      </c>
      <c r="B2052" s="59" t="str">
        <f>IFERROR(__xludf.DUMMYFUNCTION("IF(ISBLANK(D2052), """", IF(ISDATE(D2052), D2052, IF(D2052=""今天"", A2052, IF(D2052=""昨天 (-1 day)"", A2052-1, IF(D2052=""前天 (-2 days)"", A2052-2, IF(D2052=""明天 (+1 day)"", A2052+1, DATE(LEFT(D2052,4), MID(D2052,5,2), RIGHT(D2052,2))))))))"),"")</f>
        <v/>
      </c>
      <c r="C2052" s="60" t="str">
        <f>IFERROR(__xludf.DUMMYFUNCTION("INDIRECT(""'收支紀錄'!C""&amp;TO_TEXT(ROW()-$C$72))"),"")</f>
        <v/>
      </c>
      <c r="D2052" s="63" t="str">
        <f>IFERROR(__xludf.DUMMYFUNCTION("INDIRECT(""'收支紀錄'!D""&amp;TO_TEXT(ROW()-$C$72))"),"")</f>
        <v/>
      </c>
      <c r="E2052" s="61" t="str">
        <f>IFERROR(__xludf.DUMMYFUNCTION("INDIRECT(""'收支紀錄'!E""&amp;TO_TEXT(ROW()-$C$72))"),"")</f>
        <v/>
      </c>
      <c r="F2052" s="61" t="str">
        <f>IFERROR(__xludf.DUMMYFUNCTION("INDIRECT(""'收支紀錄'!F""&amp;TO_TEXT(ROW()-$C$72))"),"")</f>
        <v/>
      </c>
      <c r="G2052" s="61" t="str">
        <f>IFERROR(__xludf.DUMMYFUNCTION("INDIRECT(""'收支紀錄'!G""&amp;TO_TEXT(ROW()-$C$72))"),"")</f>
        <v/>
      </c>
      <c r="H2052" s="61" t="str">
        <f>IFERROR(__xludf.DUMMYFUNCTION("INDIRECT(""'收支紀錄'!H""&amp;TO_TEXT(ROW()-$C$72))"),"")</f>
        <v/>
      </c>
      <c r="I2052" s="61" t="str">
        <f>IFERROR(__xludf.DUMMYFUNCTION("INDIRECT(""'收支紀錄'!I""&amp;TO_TEXT(ROW()-$C$72))"),"")</f>
        <v/>
      </c>
      <c r="J2052" s="61" t="str">
        <f>IFERROR(__xludf.DUMMYFUNCTION("INDIRECT(""'收支紀錄'!J""&amp;TO_TEXT(ROW()-$C$72))"),"")</f>
        <v/>
      </c>
      <c r="K2052" s="61" t="str">
        <f>IFERROR(__xludf.DUMMYFUNCTION("INDIRECT(""'收支紀錄'!K""&amp;TO_TEXT(ROW()-$C$72))"),"")</f>
        <v/>
      </c>
      <c r="L2052" s="61" t="str">
        <f>IFERROR(__xludf.DUMMYFUNCTION("INDIRECT(""'收支紀錄'!L""&amp;TO_TEXT(ROW()-$C$72))"),"")</f>
        <v/>
      </c>
      <c r="M2052" s="61" t="str">
        <f>IFERROR(__xludf.DUMMYFUNCTION("INDIRECT(""'收支紀錄'!M""&amp;TO_TEXT(ROW()-$C$72))"),"")</f>
        <v/>
      </c>
      <c r="N2052" s="61" t="str">
        <f>IFERROR(__xludf.DUMMYFUNCTION("INDIRECT(""'收支紀錄'!N""&amp;TO_TEXT(ROW()-$C$72))"),"")</f>
        <v/>
      </c>
      <c r="O2052" s="61" t="str">
        <f>IFERROR(__xludf.DUMMYFUNCTION("INDIRECT(""'收支紀錄'!O""&amp;TO_TEXT(ROW()-$C$72))"),"")</f>
        <v/>
      </c>
      <c r="P2052" s="61" t="str">
        <f>IFERROR(__xludf.DUMMYFUNCTION("INDIRECT(""'收支紀錄'!P""&amp;TO_TEXT(ROW()-$C$72))"),"")</f>
        <v/>
      </c>
      <c r="Q2052" s="61" t="str">
        <f>IFERROR(__xludf.DUMMYFUNCTION("INDIRECT(""'收支紀錄'!Q""&amp;TO_TEXT(ROW()-$C$72))"),"")</f>
        <v/>
      </c>
      <c r="R2052" s="61" t="str">
        <f>IFERROR(__xludf.DUMMYFUNCTION("INDIRECT(""'收支紀錄'!R""&amp;TO_TEXT(ROW()-$C$72))"),"")</f>
        <v/>
      </c>
      <c r="S2052" s="61" t="str">
        <f>IFERROR(__xludf.DUMMYFUNCTION("INDIRECT(""'收支紀錄'!S""&amp;TO_TEXT(ROW()-$C$72))"),"")</f>
        <v/>
      </c>
      <c r="T2052" s="61" t="str">
        <f>IFERROR(__xludf.DUMMYFUNCTION("INDIRECT(""'收支紀錄'!T""&amp;TO_TEXT(ROW()-$C$72))"),"")</f>
        <v/>
      </c>
      <c r="U2052" s="62" t="str">
        <f>IFERROR(__xludf.DUMMYFUNCTION("IF(T2052=""是"",TEXTJOIN("""", TRUE, ""$"", TO_TEXT(C2052), S2052),"""")"),"")</f>
        <v/>
      </c>
    </row>
    <row r="2053">
      <c r="A2053" s="58" t="str">
        <f>IFERROR(__xludf.DUMMYFUNCTION("INDIRECT(""'收支紀錄'!A""&amp;TO_TEXT(ROW()-$C$72))"),"")</f>
        <v/>
      </c>
      <c r="B2053" s="59" t="str">
        <f>IFERROR(__xludf.DUMMYFUNCTION("IF(ISBLANK(D2053), """", IF(ISDATE(D2053), D2053, IF(D2053=""今天"", A2053, IF(D2053=""昨天 (-1 day)"", A2053-1, IF(D2053=""前天 (-2 days)"", A2053-2, IF(D2053=""明天 (+1 day)"", A2053+1, DATE(LEFT(D2053,4), MID(D2053,5,2), RIGHT(D2053,2))))))))"),"")</f>
        <v/>
      </c>
      <c r="C2053" s="60" t="str">
        <f>IFERROR(__xludf.DUMMYFUNCTION("INDIRECT(""'收支紀錄'!C""&amp;TO_TEXT(ROW()-$C$72))"),"")</f>
        <v/>
      </c>
      <c r="D2053" s="63" t="str">
        <f>IFERROR(__xludf.DUMMYFUNCTION("INDIRECT(""'收支紀錄'!D""&amp;TO_TEXT(ROW()-$C$72))"),"")</f>
        <v/>
      </c>
      <c r="E2053" s="61" t="str">
        <f>IFERROR(__xludf.DUMMYFUNCTION("INDIRECT(""'收支紀錄'!E""&amp;TO_TEXT(ROW()-$C$72))"),"")</f>
        <v/>
      </c>
      <c r="F2053" s="61" t="str">
        <f>IFERROR(__xludf.DUMMYFUNCTION("INDIRECT(""'收支紀錄'!F""&amp;TO_TEXT(ROW()-$C$72))"),"")</f>
        <v/>
      </c>
      <c r="G2053" s="61" t="str">
        <f>IFERROR(__xludf.DUMMYFUNCTION("INDIRECT(""'收支紀錄'!G""&amp;TO_TEXT(ROW()-$C$72))"),"")</f>
        <v/>
      </c>
      <c r="H2053" s="61" t="str">
        <f>IFERROR(__xludf.DUMMYFUNCTION("INDIRECT(""'收支紀錄'!H""&amp;TO_TEXT(ROW()-$C$72))"),"")</f>
        <v/>
      </c>
      <c r="I2053" s="61" t="str">
        <f>IFERROR(__xludf.DUMMYFUNCTION("INDIRECT(""'收支紀錄'!I""&amp;TO_TEXT(ROW()-$C$72))"),"")</f>
        <v/>
      </c>
      <c r="J2053" s="61" t="str">
        <f>IFERROR(__xludf.DUMMYFUNCTION("INDIRECT(""'收支紀錄'!J""&amp;TO_TEXT(ROW()-$C$72))"),"")</f>
        <v/>
      </c>
      <c r="K2053" s="61" t="str">
        <f>IFERROR(__xludf.DUMMYFUNCTION("INDIRECT(""'收支紀錄'!K""&amp;TO_TEXT(ROW()-$C$72))"),"")</f>
        <v/>
      </c>
      <c r="L2053" s="61" t="str">
        <f>IFERROR(__xludf.DUMMYFUNCTION("INDIRECT(""'收支紀錄'!L""&amp;TO_TEXT(ROW()-$C$72))"),"")</f>
        <v/>
      </c>
      <c r="M2053" s="61" t="str">
        <f>IFERROR(__xludf.DUMMYFUNCTION("INDIRECT(""'收支紀錄'!M""&amp;TO_TEXT(ROW()-$C$72))"),"")</f>
        <v/>
      </c>
      <c r="N2053" s="61" t="str">
        <f>IFERROR(__xludf.DUMMYFUNCTION("INDIRECT(""'收支紀錄'!N""&amp;TO_TEXT(ROW()-$C$72))"),"")</f>
        <v/>
      </c>
      <c r="O2053" s="61" t="str">
        <f>IFERROR(__xludf.DUMMYFUNCTION("INDIRECT(""'收支紀錄'!O""&amp;TO_TEXT(ROW()-$C$72))"),"")</f>
        <v/>
      </c>
      <c r="P2053" s="61" t="str">
        <f>IFERROR(__xludf.DUMMYFUNCTION("INDIRECT(""'收支紀錄'!P""&amp;TO_TEXT(ROW()-$C$72))"),"")</f>
        <v/>
      </c>
      <c r="Q2053" s="61" t="str">
        <f>IFERROR(__xludf.DUMMYFUNCTION("INDIRECT(""'收支紀錄'!Q""&amp;TO_TEXT(ROW()-$C$72))"),"")</f>
        <v/>
      </c>
      <c r="R2053" s="61" t="str">
        <f>IFERROR(__xludf.DUMMYFUNCTION("INDIRECT(""'收支紀錄'!R""&amp;TO_TEXT(ROW()-$C$72))"),"")</f>
        <v/>
      </c>
      <c r="S2053" s="61" t="str">
        <f>IFERROR(__xludf.DUMMYFUNCTION("INDIRECT(""'收支紀錄'!S""&amp;TO_TEXT(ROW()-$C$72))"),"")</f>
        <v/>
      </c>
      <c r="T2053" s="61" t="str">
        <f>IFERROR(__xludf.DUMMYFUNCTION("INDIRECT(""'收支紀錄'!T""&amp;TO_TEXT(ROW()-$C$72))"),"")</f>
        <v/>
      </c>
      <c r="U2053" s="62" t="str">
        <f>IFERROR(__xludf.DUMMYFUNCTION("IF(T2053=""是"",TEXTJOIN("""", TRUE, ""$"", TO_TEXT(C2053), S2053),"""")"),"")</f>
        <v/>
      </c>
    </row>
    <row r="2054">
      <c r="A2054" s="58" t="str">
        <f>IFERROR(__xludf.DUMMYFUNCTION("INDIRECT(""'收支紀錄'!A""&amp;TO_TEXT(ROW()-$C$72))"),"")</f>
        <v/>
      </c>
      <c r="B2054" s="59" t="str">
        <f>IFERROR(__xludf.DUMMYFUNCTION("IF(ISBLANK(D2054), """", IF(ISDATE(D2054), D2054, IF(D2054=""今天"", A2054, IF(D2054=""昨天 (-1 day)"", A2054-1, IF(D2054=""前天 (-2 days)"", A2054-2, IF(D2054=""明天 (+1 day)"", A2054+1, DATE(LEFT(D2054,4), MID(D2054,5,2), RIGHT(D2054,2))))))))"),"")</f>
        <v/>
      </c>
      <c r="C2054" s="60" t="str">
        <f>IFERROR(__xludf.DUMMYFUNCTION("INDIRECT(""'收支紀錄'!C""&amp;TO_TEXT(ROW()-$C$72))"),"")</f>
        <v/>
      </c>
      <c r="D2054" s="63" t="str">
        <f>IFERROR(__xludf.DUMMYFUNCTION("INDIRECT(""'收支紀錄'!D""&amp;TO_TEXT(ROW()-$C$72))"),"")</f>
        <v/>
      </c>
      <c r="E2054" s="61" t="str">
        <f>IFERROR(__xludf.DUMMYFUNCTION("INDIRECT(""'收支紀錄'!E""&amp;TO_TEXT(ROW()-$C$72))"),"")</f>
        <v/>
      </c>
      <c r="F2054" s="61" t="str">
        <f>IFERROR(__xludf.DUMMYFUNCTION("INDIRECT(""'收支紀錄'!F""&amp;TO_TEXT(ROW()-$C$72))"),"")</f>
        <v/>
      </c>
      <c r="G2054" s="61" t="str">
        <f>IFERROR(__xludf.DUMMYFUNCTION("INDIRECT(""'收支紀錄'!G""&amp;TO_TEXT(ROW()-$C$72))"),"")</f>
        <v/>
      </c>
      <c r="H2054" s="61" t="str">
        <f>IFERROR(__xludf.DUMMYFUNCTION("INDIRECT(""'收支紀錄'!H""&amp;TO_TEXT(ROW()-$C$72))"),"")</f>
        <v/>
      </c>
      <c r="I2054" s="61" t="str">
        <f>IFERROR(__xludf.DUMMYFUNCTION("INDIRECT(""'收支紀錄'!I""&amp;TO_TEXT(ROW()-$C$72))"),"")</f>
        <v/>
      </c>
      <c r="J2054" s="61" t="str">
        <f>IFERROR(__xludf.DUMMYFUNCTION("INDIRECT(""'收支紀錄'!J""&amp;TO_TEXT(ROW()-$C$72))"),"")</f>
        <v/>
      </c>
      <c r="K2054" s="61" t="str">
        <f>IFERROR(__xludf.DUMMYFUNCTION("INDIRECT(""'收支紀錄'!K""&amp;TO_TEXT(ROW()-$C$72))"),"")</f>
        <v/>
      </c>
      <c r="L2054" s="61" t="str">
        <f>IFERROR(__xludf.DUMMYFUNCTION("INDIRECT(""'收支紀錄'!L""&amp;TO_TEXT(ROW()-$C$72))"),"")</f>
        <v/>
      </c>
      <c r="M2054" s="61" t="str">
        <f>IFERROR(__xludf.DUMMYFUNCTION("INDIRECT(""'收支紀錄'!M""&amp;TO_TEXT(ROW()-$C$72))"),"")</f>
        <v/>
      </c>
      <c r="N2054" s="61" t="str">
        <f>IFERROR(__xludf.DUMMYFUNCTION("INDIRECT(""'收支紀錄'!N""&amp;TO_TEXT(ROW()-$C$72))"),"")</f>
        <v/>
      </c>
      <c r="O2054" s="61" t="str">
        <f>IFERROR(__xludf.DUMMYFUNCTION("INDIRECT(""'收支紀錄'!O""&amp;TO_TEXT(ROW()-$C$72))"),"")</f>
        <v/>
      </c>
      <c r="P2054" s="61" t="str">
        <f>IFERROR(__xludf.DUMMYFUNCTION("INDIRECT(""'收支紀錄'!P""&amp;TO_TEXT(ROW()-$C$72))"),"")</f>
        <v/>
      </c>
      <c r="Q2054" s="61" t="str">
        <f>IFERROR(__xludf.DUMMYFUNCTION("INDIRECT(""'收支紀錄'!Q""&amp;TO_TEXT(ROW()-$C$72))"),"")</f>
        <v/>
      </c>
      <c r="R2054" s="61" t="str">
        <f>IFERROR(__xludf.DUMMYFUNCTION("INDIRECT(""'收支紀錄'!R""&amp;TO_TEXT(ROW()-$C$72))"),"")</f>
        <v/>
      </c>
      <c r="S2054" s="61" t="str">
        <f>IFERROR(__xludf.DUMMYFUNCTION("INDIRECT(""'收支紀錄'!S""&amp;TO_TEXT(ROW()-$C$72))"),"")</f>
        <v/>
      </c>
      <c r="T2054" s="61" t="str">
        <f>IFERROR(__xludf.DUMMYFUNCTION("INDIRECT(""'收支紀錄'!T""&amp;TO_TEXT(ROW()-$C$72))"),"")</f>
        <v/>
      </c>
      <c r="U2054" s="62" t="str">
        <f>IFERROR(__xludf.DUMMYFUNCTION("IF(T2054=""是"",TEXTJOIN("""", TRUE, ""$"", TO_TEXT(C2054), S2054),"""")"),"")</f>
        <v/>
      </c>
    </row>
    <row r="2055">
      <c r="A2055" s="58" t="str">
        <f>IFERROR(__xludf.DUMMYFUNCTION("INDIRECT(""'收支紀錄'!A""&amp;TO_TEXT(ROW()-$C$72))"),"")</f>
        <v/>
      </c>
      <c r="B2055" s="59" t="str">
        <f>IFERROR(__xludf.DUMMYFUNCTION("IF(ISBLANK(D2055), """", IF(ISDATE(D2055), D2055, IF(D2055=""今天"", A2055, IF(D2055=""昨天 (-1 day)"", A2055-1, IF(D2055=""前天 (-2 days)"", A2055-2, IF(D2055=""明天 (+1 day)"", A2055+1, DATE(LEFT(D2055,4), MID(D2055,5,2), RIGHT(D2055,2))))))))"),"")</f>
        <v/>
      </c>
      <c r="C2055" s="60" t="str">
        <f>IFERROR(__xludf.DUMMYFUNCTION("INDIRECT(""'收支紀錄'!C""&amp;TO_TEXT(ROW()-$C$72))"),"")</f>
        <v/>
      </c>
      <c r="D2055" s="63" t="str">
        <f>IFERROR(__xludf.DUMMYFUNCTION("INDIRECT(""'收支紀錄'!D""&amp;TO_TEXT(ROW()-$C$72))"),"")</f>
        <v/>
      </c>
      <c r="E2055" s="61" t="str">
        <f>IFERROR(__xludf.DUMMYFUNCTION("INDIRECT(""'收支紀錄'!E""&amp;TO_TEXT(ROW()-$C$72))"),"")</f>
        <v/>
      </c>
      <c r="F2055" s="61" t="str">
        <f>IFERROR(__xludf.DUMMYFUNCTION("INDIRECT(""'收支紀錄'!F""&amp;TO_TEXT(ROW()-$C$72))"),"")</f>
        <v/>
      </c>
      <c r="G2055" s="61" t="str">
        <f>IFERROR(__xludf.DUMMYFUNCTION("INDIRECT(""'收支紀錄'!G""&amp;TO_TEXT(ROW()-$C$72))"),"")</f>
        <v/>
      </c>
      <c r="H2055" s="61" t="str">
        <f>IFERROR(__xludf.DUMMYFUNCTION("INDIRECT(""'收支紀錄'!H""&amp;TO_TEXT(ROW()-$C$72))"),"")</f>
        <v/>
      </c>
      <c r="I2055" s="61" t="str">
        <f>IFERROR(__xludf.DUMMYFUNCTION("INDIRECT(""'收支紀錄'!I""&amp;TO_TEXT(ROW()-$C$72))"),"")</f>
        <v/>
      </c>
      <c r="J2055" s="61" t="str">
        <f>IFERROR(__xludf.DUMMYFUNCTION("INDIRECT(""'收支紀錄'!J""&amp;TO_TEXT(ROW()-$C$72))"),"")</f>
        <v/>
      </c>
      <c r="K2055" s="61" t="str">
        <f>IFERROR(__xludf.DUMMYFUNCTION("INDIRECT(""'收支紀錄'!K""&amp;TO_TEXT(ROW()-$C$72))"),"")</f>
        <v/>
      </c>
      <c r="L2055" s="61" t="str">
        <f>IFERROR(__xludf.DUMMYFUNCTION("INDIRECT(""'收支紀錄'!L""&amp;TO_TEXT(ROW()-$C$72))"),"")</f>
        <v/>
      </c>
      <c r="M2055" s="61" t="str">
        <f>IFERROR(__xludf.DUMMYFUNCTION("INDIRECT(""'收支紀錄'!M""&amp;TO_TEXT(ROW()-$C$72))"),"")</f>
        <v/>
      </c>
      <c r="N2055" s="61" t="str">
        <f>IFERROR(__xludf.DUMMYFUNCTION("INDIRECT(""'收支紀錄'!N""&amp;TO_TEXT(ROW()-$C$72))"),"")</f>
        <v/>
      </c>
      <c r="O2055" s="61" t="str">
        <f>IFERROR(__xludf.DUMMYFUNCTION("INDIRECT(""'收支紀錄'!O""&amp;TO_TEXT(ROW()-$C$72))"),"")</f>
        <v/>
      </c>
      <c r="P2055" s="61" t="str">
        <f>IFERROR(__xludf.DUMMYFUNCTION("INDIRECT(""'收支紀錄'!P""&amp;TO_TEXT(ROW()-$C$72))"),"")</f>
        <v/>
      </c>
      <c r="Q2055" s="61" t="str">
        <f>IFERROR(__xludf.DUMMYFUNCTION("INDIRECT(""'收支紀錄'!Q""&amp;TO_TEXT(ROW()-$C$72))"),"")</f>
        <v/>
      </c>
      <c r="R2055" s="61" t="str">
        <f>IFERROR(__xludf.DUMMYFUNCTION("INDIRECT(""'收支紀錄'!R""&amp;TO_TEXT(ROW()-$C$72))"),"")</f>
        <v/>
      </c>
      <c r="S2055" s="61" t="str">
        <f>IFERROR(__xludf.DUMMYFUNCTION("INDIRECT(""'收支紀錄'!S""&amp;TO_TEXT(ROW()-$C$72))"),"")</f>
        <v/>
      </c>
      <c r="T2055" s="61" t="str">
        <f>IFERROR(__xludf.DUMMYFUNCTION("INDIRECT(""'收支紀錄'!T""&amp;TO_TEXT(ROW()-$C$72))"),"")</f>
        <v/>
      </c>
      <c r="U2055" s="62" t="str">
        <f>IFERROR(__xludf.DUMMYFUNCTION("IF(T2055=""是"",TEXTJOIN("""", TRUE, ""$"", TO_TEXT(C2055), S2055),"""")"),"")</f>
        <v/>
      </c>
    </row>
    <row r="2056">
      <c r="A2056" s="58" t="str">
        <f>IFERROR(__xludf.DUMMYFUNCTION("INDIRECT(""'收支紀錄'!A""&amp;TO_TEXT(ROW()-$C$72))"),"")</f>
        <v/>
      </c>
      <c r="B2056" s="59" t="str">
        <f>IFERROR(__xludf.DUMMYFUNCTION("IF(ISBLANK(D2056), """", IF(ISDATE(D2056), D2056, IF(D2056=""今天"", A2056, IF(D2056=""昨天 (-1 day)"", A2056-1, IF(D2056=""前天 (-2 days)"", A2056-2, IF(D2056=""明天 (+1 day)"", A2056+1, DATE(LEFT(D2056,4), MID(D2056,5,2), RIGHT(D2056,2))))))))"),"")</f>
        <v/>
      </c>
      <c r="C2056" s="60" t="str">
        <f>IFERROR(__xludf.DUMMYFUNCTION("INDIRECT(""'收支紀錄'!C""&amp;TO_TEXT(ROW()-$C$72))"),"")</f>
        <v/>
      </c>
      <c r="D2056" s="63" t="str">
        <f>IFERROR(__xludf.DUMMYFUNCTION("INDIRECT(""'收支紀錄'!D""&amp;TO_TEXT(ROW()-$C$72))"),"")</f>
        <v/>
      </c>
      <c r="E2056" s="61" t="str">
        <f>IFERROR(__xludf.DUMMYFUNCTION("INDIRECT(""'收支紀錄'!E""&amp;TO_TEXT(ROW()-$C$72))"),"")</f>
        <v/>
      </c>
      <c r="F2056" s="61" t="str">
        <f>IFERROR(__xludf.DUMMYFUNCTION("INDIRECT(""'收支紀錄'!F""&amp;TO_TEXT(ROW()-$C$72))"),"")</f>
        <v/>
      </c>
      <c r="G2056" s="61" t="str">
        <f>IFERROR(__xludf.DUMMYFUNCTION("INDIRECT(""'收支紀錄'!G""&amp;TO_TEXT(ROW()-$C$72))"),"")</f>
        <v/>
      </c>
      <c r="H2056" s="61" t="str">
        <f>IFERROR(__xludf.DUMMYFUNCTION("INDIRECT(""'收支紀錄'!H""&amp;TO_TEXT(ROW()-$C$72))"),"")</f>
        <v/>
      </c>
      <c r="I2056" s="61" t="str">
        <f>IFERROR(__xludf.DUMMYFUNCTION("INDIRECT(""'收支紀錄'!I""&amp;TO_TEXT(ROW()-$C$72))"),"")</f>
        <v/>
      </c>
      <c r="J2056" s="61" t="str">
        <f>IFERROR(__xludf.DUMMYFUNCTION("INDIRECT(""'收支紀錄'!J""&amp;TO_TEXT(ROW()-$C$72))"),"")</f>
        <v/>
      </c>
      <c r="K2056" s="61" t="str">
        <f>IFERROR(__xludf.DUMMYFUNCTION("INDIRECT(""'收支紀錄'!K""&amp;TO_TEXT(ROW()-$C$72))"),"")</f>
        <v/>
      </c>
      <c r="L2056" s="61" t="str">
        <f>IFERROR(__xludf.DUMMYFUNCTION("INDIRECT(""'收支紀錄'!L""&amp;TO_TEXT(ROW()-$C$72))"),"")</f>
        <v/>
      </c>
      <c r="M2056" s="61" t="str">
        <f>IFERROR(__xludf.DUMMYFUNCTION("INDIRECT(""'收支紀錄'!M""&amp;TO_TEXT(ROW()-$C$72))"),"")</f>
        <v/>
      </c>
      <c r="N2056" s="61" t="str">
        <f>IFERROR(__xludf.DUMMYFUNCTION("INDIRECT(""'收支紀錄'!N""&amp;TO_TEXT(ROW()-$C$72))"),"")</f>
        <v/>
      </c>
      <c r="O2056" s="61" t="str">
        <f>IFERROR(__xludf.DUMMYFUNCTION("INDIRECT(""'收支紀錄'!O""&amp;TO_TEXT(ROW()-$C$72))"),"")</f>
        <v/>
      </c>
      <c r="P2056" s="61" t="str">
        <f>IFERROR(__xludf.DUMMYFUNCTION("INDIRECT(""'收支紀錄'!P""&amp;TO_TEXT(ROW()-$C$72))"),"")</f>
        <v/>
      </c>
      <c r="Q2056" s="61" t="str">
        <f>IFERROR(__xludf.DUMMYFUNCTION("INDIRECT(""'收支紀錄'!Q""&amp;TO_TEXT(ROW()-$C$72))"),"")</f>
        <v/>
      </c>
      <c r="R2056" s="61" t="str">
        <f>IFERROR(__xludf.DUMMYFUNCTION("INDIRECT(""'收支紀錄'!R""&amp;TO_TEXT(ROW()-$C$72))"),"")</f>
        <v/>
      </c>
      <c r="S2056" s="61" t="str">
        <f>IFERROR(__xludf.DUMMYFUNCTION("INDIRECT(""'收支紀錄'!S""&amp;TO_TEXT(ROW()-$C$72))"),"")</f>
        <v/>
      </c>
      <c r="T2056" s="61" t="str">
        <f>IFERROR(__xludf.DUMMYFUNCTION("INDIRECT(""'收支紀錄'!T""&amp;TO_TEXT(ROW()-$C$72))"),"")</f>
        <v/>
      </c>
      <c r="U2056" s="62" t="str">
        <f>IFERROR(__xludf.DUMMYFUNCTION("IF(T2056=""是"",TEXTJOIN("""", TRUE, ""$"", TO_TEXT(C2056), S2056),"""")"),"")</f>
        <v/>
      </c>
    </row>
    <row r="2057">
      <c r="A2057" s="58" t="str">
        <f>IFERROR(__xludf.DUMMYFUNCTION("INDIRECT(""'收支紀錄'!A""&amp;TO_TEXT(ROW()-$C$72))"),"")</f>
        <v/>
      </c>
      <c r="B2057" s="59" t="str">
        <f>IFERROR(__xludf.DUMMYFUNCTION("IF(ISBLANK(D2057), """", IF(ISDATE(D2057), D2057, IF(D2057=""今天"", A2057, IF(D2057=""昨天 (-1 day)"", A2057-1, IF(D2057=""前天 (-2 days)"", A2057-2, IF(D2057=""明天 (+1 day)"", A2057+1, DATE(LEFT(D2057,4), MID(D2057,5,2), RIGHT(D2057,2))))))))"),"")</f>
        <v/>
      </c>
      <c r="C2057" s="60" t="str">
        <f>IFERROR(__xludf.DUMMYFUNCTION("INDIRECT(""'收支紀錄'!C""&amp;TO_TEXT(ROW()-$C$72))"),"")</f>
        <v/>
      </c>
      <c r="D2057" s="63" t="str">
        <f>IFERROR(__xludf.DUMMYFUNCTION("INDIRECT(""'收支紀錄'!D""&amp;TO_TEXT(ROW()-$C$72))"),"")</f>
        <v/>
      </c>
      <c r="E2057" s="61" t="str">
        <f>IFERROR(__xludf.DUMMYFUNCTION("INDIRECT(""'收支紀錄'!E""&amp;TO_TEXT(ROW()-$C$72))"),"")</f>
        <v/>
      </c>
      <c r="F2057" s="61" t="str">
        <f>IFERROR(__xludf.DUMMYFUNCTION("INDIRECT(""'收支紀錄'!F""&amp;TO_TEXT(ROW()-$C$72))"),"")</f>
        <v/>
      </c>
      <c r="G2057" s="61" t="str">
        <f>IFERROR(__xludf.DUMMYFUNCTION("INDIRECT(""'收支紀錄'!G""&amp;TO_TEXT(ROW()-$C$72))"),"")</f>
        <v/>
      </c>
      <c r="H2057" s="61" t="str">
        <f>IFERROR(__xludf.DUMMYFUNCTION("INDIRECT(""'收支紀錄'!H""&amp;TO_TEXT(ROW()-$C$72))"),"")</f>
        <v/>
      </c>
      <c r="I2057" s="61" t="str">
        <f>IFERROR(__xludf.DUMMYFUNCTION("INDIRECT(""'收支紀錄'!I""&amp;TO_TEXT(ROW()-$C$72))"),"")</f>
        <v/>
      </c>
      <c r="J2057" s="61" t="str">
        <f>IFERROR(__xludf.DUMMYFUNCTION("INDIRECT(""'收支紀錄'!J""&amp;TO_TEXT(ROW()-$C$72))"),"")</f>
        <v/>
      </c>
      <c r="K2057" s="61" t="str">
        <f>IFERROR(__xludf.DUMMYFUNCTION("INDIRECT(""'收支紀錄'!K""&amp;TO_TEXT(ROW()-$C$72))"),"")</f>
        <v/>
      </c>
      <c r="L2057" s="61" t="str">
        <f>IFERROR(__xludf.DUMMYFUNCTION("INDIRECT(""'收支紀錄'!L""&amp;TO_TEXT(ROW()-$C$72))"),"")</f>
        <v/>
      </c>
      <c r="M2057" s="61" t="str">
        <f>IFERROR(__xludf.DUMMYFUNCTION("INDIRECT(""'收支紀錄'!M""&amp;TO_TEXT(ROW()-$C$72))"),"")</f>
        <v/>
      </c>
      <c r="N2057" s="61" t="str">
        <f>IFERROR(__xludf.DUMMYFUNCTION("INDIRECT(""'收支紀錄'!N""&amp;TO_TEXT(ROW()-$C$72))"),"")</f>
        <v/>
      </c>
      <c r="O2057" s="61" t="str">
        <f>IFERROR(__xludf.DUMMYFUNCTION("INDIRECT(""'收支紀錄'!O""&amp;TO_TEXT(ROW()-$C$72))"),"")</f>
        <v/>
      </c>
      <c r="P2057" s="61" t="str">
        <f>IFERROR(__xludf.DUMMYFUNCTION("INDIRECT(""'收支紀錄'!P""&amp;TO_TEXT(ROW()-$C$72))"),"")</f>
        <v/>
      </c>
      <c r="Q2057" s="61" t="str">
        <f>IFERROR(__xludf.DUMMYFUNCTION("INDIRECT(""'收支紀錄'!Q""&amp;TO_TEXT(ROW()-$C$72))"),"")</f>
        <v/>
      </c>
      <c r="R2057" s="61" t="str">
        <f>IFERROR(__xludf.DUMMYFUNCTION("INDIRECT(""'收支紀錄'!R""&amp;TO_TEXT(ROW()-$C$72))"),"")</f>
        <v/>
      </c>
      <c r="S2057" s="61" t="str">
        <f>IFERROR(__xludf.DUMMYFUNCTION("INDIRECT(""'收支紀錄'!S""&amp;TO_TEXT(ROW()-$C$72))"),"")</f>
        <v/>
      </c>
      <c r="T2057" s="61" t="str">
        <f>IFERROR(__xludf.DUMMYFUNCTION("INDIRECT(""'收支紀錄'!T""&amp;TO_TEXT(ROW()-$C$72))"),"")</f>
        <v/>
      </c>
      <c r="U2057" s="62" t="str">
        <f>IFERROR(__xludf.DUMMYFUNCTION("IF(T2057=""是"",TEXTJOIN("""", TRUE, ""$"", TO_TEXT(C2057), S2057),"""")"),"")</f>
        <v/>
      </c>
    </row>
    <row r="2058">
      <c r="A2058" s="58" t="str">
        <f>IFERROR(__xludf.DUMMYFUNCTION("INDIRECT(""'收支紀錄'!A""&amp;TO_TEXT(ROW()-$C$72))"),"")</f>
        <v/>
      </c>
      <c r="B2058" s="59" t="str">
        <f>IFERROR(__xludf.DUMMYFUNCTION("IF(ISBLANK(D2058), """", IF(ISDATE(D2058), D2058, IF(D2058=""今天"", A2058, IF(D2058=""昨天 (-1 day)"", A2058-1, IF(D2058=""前天 (-2 days)"", A2058-2, IF(D2058=""明天 (+1 day)"", A2058+1, DATE(LEFT(D2058,4), MID(D2058,5,2), RIGHT(D2058,2))))))))"),"")</f>
        <v/>
      </c>
      <c r="C2058" s="60" t="str">
        <f>IFERROR(__xludf.DUMMYFUNCTION("INDIRECT(""'收支紀錄'!C""&amp;TO_TEXT(ROW()-$C$72))"),"")</f>
        <v/>
      </c>
      <c r="D2058" s="63" t="str">
        <f>IFERROR(__xludf.DUMMYFUNCTION("INDIRECT(""'收支紀錄'!D""&amp;TO_TEXT(ROW()-$C$72))"),"")</f>
        <v/>
      </c>
      <c r="E2058" s="61" t="str">
        <f>IFERROR(__xludf.DUMMYFUNCTION("INDIRECT(""'收支紀錄'!E""&amp;TO_TEXT(ROW()-$C$72))"),"")</f>
        <v/>
      </c>
      <c r="F2058" s="61" t="str">
        <f>IFERROR(__xludf.DUMMYFUNCTION("INDIRECT(""'收支紀錄'!F""&amp;TO_TEXT(ROW()-$C$72))"),"")</f>
        <v/>
      </c>
      <c r="G2058" s="61" t="str">
        <f>IFERROR(__xludf.DUMMYFUNCTION("INDIRECT(""'收支紀錄'!G""&amp;TO_TEXT(ROW()-$C$72))"),"")</f>
        <v/>
      </c>
      <c r="H2058" s="61" t="str">
        <f>IFERROR(__xludf.DUMMYFUNCTION("INDIRECT(""'收支紀錄'!H""&amp;TO_TEXT(ROW()-$C$72))"),"")</f>
        <v/>
      </c>
      <c r="I2058" s="61" t="str">
        <f>IFERROR(__xludf.DUMMYFUNCTION("INDIRECT(""'收支紀錄'!I""&amp;TO_TEXT(ROW()-$C$72))"),"")</f>
        <v/>
      </c>
      <c r="J2058" s="61" t="str">
        <f>IFERROR(__xludf.DUMMYFUNCTION("INDIRECT(""'收支紀錄'!J""&amp;TO_TEXT(ROW()-$C$72))"),"")</f>
        <v/>
      </c>
      <c r="K2058" s="61" t="str">
        <f>IFERROR(__xludf.DUMMYFUNCTION("INDIRECT(""'收支紀錄'!K""&amp;TO_TEXT(ROW()-$C$72))"),"")</f>
        <v/>
      </c>
      <c r="L2058" s="61" t="str">
        <f>IFERROR(__xludf.DUMMYFUNCTION("INDIRECT(""'收支紀錄'!L""&amp;TO_TEXT(ROW()-$C$72))"),"")</f>
        <v/>
      </c>
      <c r="M2058" s="61" t="str">
        <f>IFERROR(__xludf.DUMMYFUNCTION("INDIRECT(""'收支紀錄'!M""&amp;TO_TEXT(ROW()-$C$72))"),"")</f>
        <v/>
      </c>
      <c r="N2058" s="61" t="str">
        <f>IFERROR(__xludf.DUMMYFUNCTION("INDIRECT(""'收支紀錄'!N""&amp;TO_TEXT(ROW()-$C$72))"),"")</f>
        <v/>
      </c>
      <c r="O2058" s="61" t="str">
        <f>IFERROR(__xludf.DUMMYFUNCTION("INDIRECT(""'收支紀錄'!O""&amp;TO_TEXT(ROW()-$C$72))"),"")</f>
        <v/>
      </c>
      <c r="P2058" s="61" t="str">
        <f>IFERROR(__xludf.DUMMYFUNCTION("INDIRECT(""'收支紀錄'!P""&amp;TO_TEXT(ROW()-$C$72))"),"")</f>
        <v/>
      </c>
      <c r="Q2058" s="61" t="str">
        <f>IFERROR(__xludf.DUMMYFUNCTION("INDIRECT(""'收支紀錄'!Q""&amp;TO_TEXT(ROW()-$C$72))"),"")</f>
        <v/>
      </c>
      <c r="R2058" s="61" t="str">
        <f>IFERROR(__xludf.DUMMYFUNCTION("INDIRECT(""'收支紀錄'!R""&amp;TO_TEXT(ROW()-$C$72))"),"")</f>
        <v/>
      </c>
      <c r="S2058" s="61" t="str">
        <f>IFERROR(__xludf.DUMMYFUNCTION("INDIRECT(""'收支紀錄'!S""&amp;TO_TEXT(ROW()-$C$72))"),"")</f>
        <v/>
      </c>
      <c r="T2058" s="61" t="str">
        <f>IFERROR(__xludf.DUMMYFUNCTION("INDIRECT(""'收支紀錄'!T""&amp;TO_TEXT(ROW()-$C$72))"),"")</f>
        <v/>
      </c>
      <c r="U2058" s="62" t="str">
        <f>IFERROR(__xludf.DUMMYFUNCTION("IF(T2058=""是"",TEXTJOIN("""", TRUE, ""$"", TO_TEXT(C2058), S2058),"""")"),"")</f>
        <v/>
      </c>
    </row>
    <row r="2059">
      <c r="A2059" s="58" t="str">
        <f>IFERROR(__xludf.DUMMYFUNCTION("INDIRECT(""'收支紀錄'!A""&amp;TO_TEXT(ROW()-$C$72))"),"")</f>
        <v/>
      </c>
      <c r="B2059" s="59" t="str">
        <f>IFERROR(__xludf.DUMMYFUNCTION("IF(ISBLANK(D2059), """", IF(ISDATE(D2059), D2059, IF(D2059=""今天"", A2059, IF(D2059=""昨天 (-1 day)"", A2059-1, IF(D2059=""前天 (-2 days)"", A2059-2, IF(D2059=""明天 (+1 day)"", A2059+1, DATE(LEFT(D2059,4), MID(D2059,5,2), RIGHT(D2059,2))))))))"),"")</f>
        <v/>
      </c>
      <c r="C2059" s="60" t="str">
        <f>IFERROR(__xludf.DUMMYFUNCTION("INDIRECT(""'收支紀錄'!C""&amp;TO_TEXT(ROW()-$C$72))"),"")</f>
        <v/>
      </c>
      <c r="D2059" s="63" t="str">
        <f>IFERROR(__xludf.DUMMYFUNCTION("INDIRECT(""'收支紀錄'!D""&amp;TO_TEXT(ROW()-$C$72))"),"")</f>
        <v/>
      </c>
      <c r="E2059" s="61" t="str">
        <f>IFERROR(__xludf.DUMMYFUNCTION("INDIRECT(""'收支紀錄'!E""&amp;TO_TEXT(ROW()-$C$72))"),"")</f>
        <v/>
      </c>
      <c r="F2059" s="61" t="str">
        <f>IFERROR(__xludf.DUMMYFUNCTION("INDIRECT(""'收支紀錄'!F""&amp;TO_TEXT(ROW()-$C$72))"),"")</f>
        <v/>
      </c>
      <c r="G2059" s="61" t="str">
        <f>IFERROR(__xludf.DUMMYFUNCTION("INDIRECT(""'收支紀錄'!G""&amp;TO_TEXT(ROW()-$C$72))"),"")</f>
        <v/>
      </c>
      <c r="H2059" s="61" t="str">
        <f>IFERROR(__xludf.DUMMYFUNCTION("INDIRECT(""'收支紀錄'!H""&amp;TO_TEXT(ROW()-$C$72))"),"")</f>
        <v/>
      </c>
      <c r="I2059" s="61" t="str">
        <f>IFERROR(__xludf.DUMMYFUNCTION("INDIRECT(""'收支紀錄'!I""&amp;TO_TEXT(ROW()-$C$72))"),"")</f>
        <v/>
      </c>
      <c r="J2059" s="61" t="str">
        <f>IFERROR(__xludf.DUMMYFUNCTION("INDIRECT(""'收支紀錄'!J""&amp;TO_TEXT(ROW()-$C$72))"),"")</f>
        <v/>
      </c>
      <c r="K2059" s="61" t="str">
        <f>IFERROR(__xludf.DUMMYFUNCTION("INDIRECT(""'收支紀錄'!K""&amp;TO_TEXT(ROW()-$C$72))"),"")</f>
        <v/>
      </c>
      <c r="L2059" s="61" t="str">
        <f>IFERROR(__xludf.DUMMYFUNCTION("INDIRECT(""'收支紀錄'!L""&amp;TO_TEXT(ROW()-$C$72))"),"")</f>
        <v/>
      </c>
      <c r="M2059" s="61" t="str">
        <f>IFERROR(__xludf.DUMMYFUNCTION("INDIRECT(""'收支紀錄'!M""&amp;TO_TEXT(ROW()-$C$72))"),"")</f>
        <v/>
      </c>
      <c r="N2059" s="61" t="str">
        <f>IFERROR(__xludf.DUMMYFUNCTION("INDIRECT(""'收支紀錄'!N""&amp;TO_TEXT(ROW()-$C$72))"),"")</f>
        <v/>
      </c>
      <c r="O2059" s="61" t="str">
        <f>IFERROR(__xludf.DUMMYFUNCTION("INDIRECT(""'收支紀錄'!O""&amp;TO_TEXT(ROW()-$C$72))"),"")</f>
        <v/>
      </c>
      <c r="P2059" s="61" t="str">
        <f>IFERROR(__xludf.DUMMYFUNCTION("INDIRECT(""'收支紀錄'!P""&amp;TO_TEXT(ROW()-$C$72))"),"")</f>
        <v/>
      </c>
      <c r="Q2059" s="61" t="str">
        <f>IFERROR(__xludf.DUMMYFUNCTION("INDIRECT(""'收支紀錄'!Q""&amp;TO_TEXT(ROW()-$C$72))"),"")</f>
        <v/>
      </c>
      <c r="R2059" s="61" t="str">
        <f>IFERROR(__xludf.DUMMYFUNCTION("INDIRECT(""'收支紀錄'!R""&amp;TO_TEXT(ROW()-$C$72))"),"")</f>
        <v/>
      </c>
      <c r="S2059" s="61" t="str">
        <f>IFERROR(__xludf.DUMMYFUNCTION("INDIRECT(""'收支紀錄'!S""&amp;TO_TEXT(ROW()-$C$72))"),"")</f>
        <v/>
      </c>
      <c r="T2059" s="61" t="str">
        <f>IFERROR(__xludf.DUMMYFUNCTION("INDIRECT(""'收支紀錄'!T""&amp;TO_TEXT(ROW()-$C$72))"),"")</f>
        <v/>
      </c>
      <c r="U2059" s="62" t="str">
        <f>IFERROR(__xludf.DUMMYFUNCTION("IF(T2059=""是"",TEXTJOIN("""", TRUE, ""$"", TO_TEXT(C2059), S2059),"""")"),"")</f>
        <v/>
      </c>
    </row>
    <row r="2060">
      <c r="A2060" s="58" t="str">
        <f>IFERROR(__xludf.DUMMYFUNCTION("INDIRECT(""'收支紀錄'!A""&amp;TO_TEXT(ROW()-$C$72))"),"")</f>
        <v/>
      </c>
      <c r="B2060" s="59" t="str">
        <f>IFERROR(__xludf.DUMMYFUNCTION("IF(ISBLANK(D2060), """", IF(ISDATE(D2060), D2060, IF(D2060=""今天"", A2060, IF(D2060=""昨天 (-1 day)"", A2060-1, IF(D2060=""前天 (-2 days)"", A2060-2, IF(D2060=""明天 (+1 day)"", A2060+1, DATE(LEFT(D2060,4), MID(D2060,5,2), RIGHT(D2060,2))))))))"),"")</f>
        <v/>
      </c>
      <c r="C2060" s="60" t="str">
        <f>IFERROR(__xludf.DUMMYFUNCTION("INDIRECT(""'收支紀錄'!C""&amp;TO_TEXT(ROW()-$C$72))"),"")</f>
        <v/>
      </c>
      <c r="D2060" s="63" t="str">
        <f>IFERROR(__xludf.DUMMYFUNCTION("INDIRECT(""'收支紀錄'!D""&amp;TO_TEXT(ROW()-$C$72))"),"")</f>
        <v/>
      </c>
      <c r="E2060" s="61" t="str">
        <f>IFERROR(__xludf.DUMMYFUNCTION("INDIRECT(""'收支紀錄'!E""&amp;TO_TEXT(ROW()-$C$72))"),"")</f>
        <v/>
      </c>
      <c r="F2060" s="61" t="str">
        <f>IFERROR(__xludf.DUMMYFUNCTION("INDIRECT(""'收支紀錄'!F""&amp;TO_TEXT(ROW()-$C$72))"),"")</f>
        <v/>
      </c>
      <c r="G2060" s="61" t="str">
        <f>IFERROR(__xludf.DUMMYFUNCTION("INDIRECT(""'收支紀錄'!G""&amp;TO_TEXT(ROW()-$C$72))"),"")</f>
        <v/>
      </c>
      <c r="H2060" s="61" t="str">
        <f>IFERROR(__xludf.DUMMYFUNCTION("INDIRECT(""'收支紀錄'!H""&amp;TO_TEXT(ROW()-$C$72))"),"")</f>
        <v/>
      </c>
      <c r="I2060" s="61" t="str">
        <f>IFERROR(__xludf.DUMMYFUNCTION("INDIRECT(""'收支紀錄'!I""&amp;TO_TEXT(ROW()-$C$72))"),"")</f>
        <v/>
      </c>
      <c r="J2060" s="61" t="str">
        <f>IFERROR(__xludf.DUMMYFUNCTION("INDIRECT(""'收支紀錄'!J""&amp;TO_TEXT(ROW()-$C$72))"),"")</f>
        <v/>
      </c>
      <c r="K2060" s="61" t="str">
        <f>IFERROR(__xludf.DUMMYFUNCTION("INDIRECT(""'收支紀錄'!K""&amp;TO_TEXT(ROW()-$C$72))"),"")</f>
        <v/>
      </c>
      <c r="L2060" s="61" t="str">
        <f>IFERROR(__xludf.DUMMYFUNCTION("INDIRECT(""'收支紀錄'!L""&amp;TO_TEXT(ROW()-$C$72))"),"")</f>
        <v/>
      </c>
      <c r="M2060" s="61" t="str">
        <f>IFERROR(__xludf.DUMMYFUNCTION("INDIRECT(""'收支紀錄'!M""&amp;TO_TEXT(ROW()-$C$72))"),"")</f>
        <v/>
      </c>
      <c r="N2060" s="61" t="str">
        <f>IFERROR(__xludf.DUMMYFUNCTION("INDIRECT(""'收支紀錄'!N""&amp;TO_TEXT(ROW()-$C$72))"),"")</f>
        <v/>
      </c>
      <c r="O2060" s="61" t="str">
        <f>IFERROR(__xludf.DUMMYFUNCTION("INDIRECT(""'收支紀錄'!O""&amp;TO_TEXT(ROW()-$C$72))"),"")</f>
        <v/>
      </c>
      <c r="P2060" s="61" t="str">
        <f>IFERROR(__xludf.DUMMYFUNCTION("INDIRECT(""'收支紀錄'!P""&amp;TO_TEXT(ROW()-$C$72))"),"")</f>
        <v/>
      </c>
      <c r="Q2060" s="61" t="str">
        <f>IFERROR(__xludf.DUMMYFUNCTION("INDIRECT(""'收支紀錄'!Q""&amp;TO_TEXT(ROW()-$C$72))"),"")</f>
        <v/>
      </c>
      <c r="R2060" s="61" t="str">
        <f>IFERROR(__xludf.DUMMYFUNCTION("INDIRECT(""'收支紀錄'!R""&amp;TO_TEXT(ROW()-$C$72))"),"")</f>
        <v/>
      </c>
      <c r="S2060" s="61" t="str">
        <f>IFERROR(__xludf.DUMMYFUNCTION("INDIRECT(""'收支紀錄'!S""&amp;TO_TEXT(ROW()-$C$72))"),"")</f>
        <v/>
      </c>
      <c r="T2060" s="61" t="str">
        <f>IFERROR(__xludf.DUMMYFUNCTION("INDIRECT(""'收支紀錄'!T""&amp;TO_TEXT(ROW()-$C$72))"),"")</f>
        <v/>
      </c>
      <c r="U2060" s="62" t="str">
        <f>IFERROR(__xludf.DUMMYFUNCTION("IF(T2060=""是"",TEXTJOIN("""", TRUE, ""$"", TO_TEXT(C2060), S2060),"""")"),"")</f>
        <v/>
      </c>
    </row>
    <row r="2061">
      <c r="A2061" s="58" t="str">
        <f>IFERROR(__xludf.DUMMYFUNCTION("INDIRECT(""'收支紀錄'!A""&amp;TO_TEXT(ROW()-$C$72))"),"")</f>
        <v/>
      </c>
      <c r="B2061" s="59" t="str">
        <f>IFERROR(__xludf.DUMMYFUNCTION("IF(ISBLANK(D2061), """", IF(ISDATE(D2061), D2061, IF(D2061=""今天"", A2061, IF(D2061=""昨天 (-1 day)"", A2061-1, IF(D2061=""前天 (-2 days)"", A2061-2, IF(D2061=""明天 (+1 day)"", A2061+1, DATE(LEFT(D2061,4), MID(D2061,5,2), RIGHT(D2061,2))))))))"),"")</f>
        <v/>
      </c>
      <c r="C2061" s="60" t="str">
        <f>IFERROR(__xludf.DUMMYFUNCTION("INDIRECT(""'收支紀錄'!C""&amp;TO_TEXT(ROW()-$C$72))"),"")</f>
        <v/>
      </c>
      <c r="D2061" s="63" t="str">
        <f>IFERROR(__xludf.DUMMYFUNCTION("INDIRECT(""'收支紀錄'!D""&amp;TO_TEXT(ROW()-$C$72))"),"")</f>
        <v/>
      </c>
      <c r="E2061" s="61" t="str">
        <f>IFERROR(__xludf.DUMMYFUNCTION("INDIRECT(""'收支紀錄'!E""&amp;TO_TEXT(ROW()-$C$72))"),"")</f>
        <v/>
      </c>
      <c r="F2061" s="61" t="str">
        <f>IFERROR(__xludf.DUMMYFUNCTION("INDIRECT(""'收支紀錄'!F""&amp;TO_TEXT(ROW()-$C$72))"),"")</f>
        <v/>
      </c>
      <c r="G2061" s="61" t="str">
        <f>IFERROR(__xludf.DUMMYFUNCTION("INDIRECT(""'收支紀錄'!G""&amp;TO_TEXT(ROW()-$C$72))"),"")</f>
        <v/>
      </c>
      <c r="H2061" s="61" t="str">
        <f>IFERROR(__xludf.DUMMYFUNCTION("INDIRECT(""'收支紀錄'!H""&amp;TO_TEXT(ROW()-$C$72))"),"")</f>
        <v/>
      </c>
      <c r="I2061" s="61" t="str">
        <f>IFERROR(__xludf.DUMMYFUNCTION("INDIRECT(""'收支紀錄'!I""&amp;TO_TEXT(ROW()-$C$72))"),"")</f>
        <v/>
      </c>
      <c r="J2061" s="61" t="str">
        <f>IFERROR(__xludf.DUMMYFUNCTION("INDIRECT(""'收支紀錄'!J""&amp;TO_TEXT(ROW()-$C$72))"),"")</f>
        <v/>
      </c>
      <c r="K2061" s="61" t="str">
        <f>IFERROR(__xludf.DUMMYFUNCTION("INDIRECT(""'收支紀錄'!K""&amp;TO_TEXT(ROW()-$C$72))"),"")</f>
        <v/>
      </c>
      <c r="L2061" s="61" t="str">
        <f>IFERROR(__xludf.DUMMYFUNCTION("INDIRECT(""'收支紀錄'!L""&amp;TO_TEXT(ROW()-$C$72))"),"")</f>
        <v/>
      </c>
      <c r="M2061" s="61" t="str">
        <f>IFERROR(__xludf.DUMMYFUNCTION("INDIRECT(""'收支紀錄'!M""&amp;TO_TEXT(ROW()-$C$72))"),"")</f>
        <v/>
      </c>
      <c r="N2061" s="61" t="str">
        <f>IFERROR(__xludf.DUMMYFUNCTION("INDIRECT(""'收支紀錄'!N""&amp;TO_TEXT(ROW()-$C$72))"),"")</f>
        <v/>
      </c>
      <c r="O2061" s="61" t="str">
        <f>IFERROR(__xludf.DUMMYFUNCTION("INDIRECT(""'收支紀錄'!O""&amp;TO_TEXT(ROW()-$C$72))"),"")</f>
        <v/>
      </c>
      <c r="P2061" s="61" t="str">
        <f>IFERROR(__xludf.DUMMYFUNCTION("INDIRECT(""'收支紀錄'!P""&amp;TO_TEXT(ROW()-$C$72))"),"")</f>
        <v/>
      </c>
      <c r="Q2061" s="61" t="str">
        <f>IFERROR(__xludf.DUMMYFUNCTION("INDIRECT(""'收支紀錄'!Q""&amp;TO_TEXT(ROW()-$C$72))"),"")</f>
        <v/>
      </c>
      <c r="R2061" s="61" t="str">
        <f>IFERROR(__xludf.DUMMYFUNCTION("INDIRECT(""'收支紀錄'!R""&amp;TO_TEXT(ROW()-$C$72))"),"")</f>
        <v/>
      </c>
      <c r="S2061" s="61" t="str">
        <f>IFERROR(__xludf.DUMMYFUNCTION("INDIRECT(""'收支紀錄'!S""&amp;TO_TEXT(ROW()-$C$72))"),"")</f>
        <v/>
      </c>
      <c r="T2061" s="61" t="str">
        <f>IFERROR(__xludf.DUMMYFUNCTION("INDIRECT(""'收支紀錄'!T""&amp;TO_TEXT(ROW()-$C$72))"),"")</f>
        <v/>
      </c>
      <c r="U2061" s="62" t="str">
        <f>IFERROR(__xludf.DUMMYFUNCTION("IF(T2061=""是"",TEXTJOIN("""", TRUE, ""$"", TO_TEXT(C2061), S2061),"""")"),"")</f>
        <v/>
      </c>
    </row>
    <row r="2062">
      <c r="A2062" s="58" t="str">
        <f>IFERROR(__xludf.DUMMYFUNCTION("INDIRECT(""'收支紀錄'!A""&amp;TO_TEXT(ROW()-$C$72))"),"")</f>
        <v/>
      </c>
      <c r="B2062" s="59" t="str">
        <f>IFERROR(__xludf.DUMMYFUNCTION("IF(ISBLANK(D2062), """", IF(ISDATE(D2062), D2062, IF(D2062=""今天"", A2062, IF(D2062=""昨天 (-1 day)"", A2062-1, IF(D2062=""前天 (-2 days)"", A2062-2, IF(D2062=""明天 (+1 day)"", A2062+1, DATE(LEFT(D2062,4), MID(D2062,5,2), RIGHT(D2062,2))))))))"),"")</f>
        <v/>
      </c>
      <c r="C2062" s="60" t="str">
        <f>IFERROR(__xludf.DUMMYFUNCTION("INDIRECT(""'收支紀錄'!C""&amp;TO_TEXT(ROW()-$C$72))"),"")</f>
        <v/>
      </c>
      <c r="D2062" s="63" t="str">
        <f>IFERROR(__xludf.DUMMYFUNCTION("INDIRECT(""'收支紀錄'!D""&amp;TO_TEXT(ROW()-$C$72))"),"")</f>
        <v/>
      </c>
      <c r="E2062" s="61" t="str">
        <f>IFERROR(__xludf.DUMMYFUNCTION("INDIRECT(""'收支紀錄'!E""&amp;TO_TEXT(ROW()-$C$72))"),"")</f>
        <v/>
      </c>
      <c r="F2062" s="61" t="str">
        <f>IFERROR(__xludf.DUMMYFUNCTION("INDIRECT(""'收支紀錄'!F""&amp;TO_TEXT(ROW()-$C$72))"),"")</f>
        <v/>
      </c>
      <c r="G2062" s="61" t="str">
        <f>IFERROR(__xludf.DUMMYFUNCTION("INDIRECT(""'收支紀錄'!G""&amp;TO_TEXT(ROW()-$C$72))"),"")</f>
        <v/>
      </c>
      <c r="H2062" s="61" t="str">
        <f>IFERROR(__xludf.DUMMYFUNCTION("INDIRECT(""'收支紀錄'!H""&amp;TO_TEXT(ROW()-$C$72))"),"")</f>
        <v/>
      </c>
      <c r="I2062" s="61" t="str">
        <f>IFERROR(__xludf.DUMMYFUNCTION("INDIRECT(""'收支紀錄'!I""&amp;TO_TEXT(ROW()-$C$72))"),"")</f>
        <v/>
      </c>
      <c r="J2062" s="61" t="str">
        <f>IFERROR(__xludf.DUMMYFUNCTION("INDIRECT(""'收支紀錄'!J""&amp;TO_TEXT(ROW()-$C$72))"),"")</f>
        <v/>
      </c>
      <c r="K2062" s="61" t="str">
        <f>IFERROR(__xludf.DUMMYFUNCTION("INDIRECT(""'收支紀錄'!K""&amp;TO_TEXT(ROW()-$C$72))"),"")</f>
        <v/>
      </c>
      <c r="L2062" s="61" t="str">
        <f>IFERROR(__xludf.DUMMYFUNCTION("INDIRECT(""'收支紀錄'!L""&amp;TO_TEXT(ROW()-$C$72))"),"")</f>
        <v/>
      </c>
      <c r="M2062" s="61" t="str">
        <f>IFERROR(__xludf.DUMMYFUNCTION("INDIRECT(""'收支紀錄'!M""&amp;TO_TEXT(ROW()-$C$72))"),"")</f>
        <v/>
      </c>
      <c r="N2062" s="61" t="str">
        <f>IFERROR(__xludf.DUMMYFUNCTION("INDIRECT(""'收支紀錄'!N""&amp;TO_TEXT(ROW()-$C$72))"),"")</f>
        <v/>
      </c>
      <c r="O2062" s="61" t="str">
        <f>IFERROR(__xludf.DUMMYFUNCTION("INDIRECT(""'收支紀錄'!O""&amp;TO_TEXT(ROW()-$C$72))"),"")</f>
        <v/>
      </c>
      <c r="P2062" s="61" t="str">
        <f>IFERROR(__xludf.DUMMYFUNCTION("INDIRECT(""'收支紀錄'!P""&amp;TO_TEXT(ROW()-$C$72))"),"")</f>
        <v/>
      </c>
      <c r="Q2062" s="61" t="str">
        <f>IFERROR(__xludf.DUMMYFUNCTION("INDIRECT(""'收支紀錄'!Q""&amp;TO_TEXT(ROW()-$C$72))"),"")</f>
        <v/>
      </c>
      <c r="R2062" s="61" t="str">
        <f>IFERROR(__xludf.DUMMYFUNCTION("INDIRECT(""'收支紀錄'!R""&amp;TO_TEXT(ROW()-$C$72))"),"")</f>
        <v/>
      </c>
      <c r="S2062" s="61" t="str">
        <f>IFERROR(__xludf.DUMMYFUNCTION("INDIRECT(""'收支紀錄'!S""&amp;TO_TEXT(ROW()-$C$72))"),"")</f>
        <v/>
      </c>
      <c r="T2062" s="61" t="str">
        <f>IFERROR(__xludf.DUMMYFUNCTION("INDIRECT(""'收支紀錄'!T""&amp;TO_TEXT(ROW()-$C$72))"),"")</f>
        <v/>
      </c>
      <c r="U2062" s="62" t="str">
        <f>IFERROR(__xludf.DUMMYFUNCTION("IF(T2062=""是"",TEXTJOIN("""", TRUE, ""$"", TO_TEXT(C2062), S2062),"""")"),"")</f>
        <v/>
      </c>
    </row>
    <row r="2063">
      <c r="A2063" s="58" t="str">
        <f>IFERROR(__xludf.DUMMYFUNCTION("INDIRECT(""'收支紀錄'!A""&amp;TO_TEXT(ROW()-$C$72))"),"")</f>
        <v/>
      </c>
      <c r="B2063" s="59" t="str">
        <f>IFERROR(__xludf.DUMMYFUNCTION("IF(ISBLANK(D2063), """", IF(ISDATE(D2063), D2063, IF(D2063=""今天"", A2063, IF(D2063=""昨天 (-1 day)"", A2063-1, IF(D2063=""前天 (-2 days)"", A2063-2, IF(D2063=""明天 (+1 day)"", A2063+1, DATE(LEFT(D2063,4), MID(D2063,5,2), RIGHT(D2063,2))))))))"),"")</f>
        <v/>
      </c>
      <c r="C2063" s="60" t="str">
        <f>IFERROR(__xludf.DUMMYFUNCTION("INDIRECT(""'收支紀錄'!C""&amp;TO_TEXT(ROW()-$C$72))"),"")</f>
        <v/>
      </c>
      <c r="D2063" s="63" t="str">
        <f>IFERROR(__xludf.DUMMYFUNCTION("INDIRECT(""'收支紀錄'!D""&amp;TO_TEXT(ROW()-$C$72))"),"")</f>
        <v/>
      </c>
      <c r="E2063" s="61" t="str">
        <f>IFERROR(__xludf.DUMMYFUNCTION("INDIRECT(""'收支紀錄'!E""&amp;TO_TEXT(ROW()-$C$72))"),"")</f>
        <v/>
      </c>
      <c r="F2063" s="61" t="str">
        <f>IFERROR(__xludf.DUMMYFUNCTION("INDIRECT(""'收支紀錄'!F""&amp;TO_TEXT(ROW()-$C$72))"),"")</f>
        <v/>
      </c>
      <c r="G2063" s="61" t="str">
        <f>IFERROR(__xludf.DUMMYFUNCTION("INDIRECT(""'收支紀錄'!G""&amp;TO_TEXT(ROW()-$C$72))"),"")</f>
        <v/>
      </c>
      <c r="H2063" s="61" t="str">
        <f>IFERROR(__xludf.DUMMYFUNCTION("INDIRECT(""'收支紀錄'!H""&amp;TO_TEXT(ROW()-$C$72))"),"")</f>
        <v/>
      </c>
      <c r="I2063" s="61" t="str">
        <f>IFERROR(__xludf.DUMMYFUNCTION("INDIRECT(""'收支紀錄'!I""&amp;TO_TEXT(ROW()-$C$72))"),"")</f>
        <v/>
      </c>
      <c r="J2063" s="61" t="str">
        <f>IFERROR(__xludf.DUMMYFUNCTION("INDIRECT(""'收支紀錄'!J""&amp;TO_TEXT(ROW()-$C$72))"),"")</f>
        <v/>
      </c>
      <c r="K2063" s="61" t="str">
        <f>IFERROR(__xludf.DUMMYFUNCTION("INDIRECT(""'收支紀錄'!K""&amp;TO_TEXT(ROW()-$C$72))"),"")</f>
        <v/>
      </c>
      <c r="L2063" s="61" t="str">
        <f>IFERROR(__xludf.DUMMYFUNCTION("INDIRECT(""'收支紀錄'!L""&amp;TO_TEXT(ROW()-$C$72))"),"")</f>
        <v/>
      </c>
      <c r="M2063" s="61" t="str">
        <f>IFERROR(__xludf.DUMMYFUNCTION("INDIRECT(""'收支紀錄'!M""&amp;TO_TEXT(ROW()-$C$72))"),"")</f>
        <v/>
      </c>
      <c r="N2063" s="61" t="str">
        <f>IFERROR(__xludf.DUMMYFUNCTION("INDIRECT(""'收支紀錄'!N""&amp;TO_TEXT(ROW()-$C$72))"),"")</f>
        <v/>
      </c>
      <c r="O2063" s="61" t="str">
        <f>IFERROR(__xludf.DUMMYFUNCTION("INDIRECT(""'收支紀錄'!O""&amp;TO_TEXT(ROW()-$C$72))"),"")</f>
        <v/>
      </c>
      <c r="P2063" s="61" t="str">
        <f>IFERROR(__xludf.DUMMYFUNCTION("INDIRECT(""'收支紀錄'!P""&amp;TO_TEXT(ROW()-$C$72))"),"")</f>
        <v/>
      </c>
      <c r="Q2063" s="61" t="str">
        <f>IFERROR(__xludf.DUMMYFUNCTION("INDIRECT(""'收支紀錄'!Q""&amp;TO_TEXT(ROW()-$C$72))"),"")</f>
        <v/>
      </c>
      <c r="R2063" s="61" t="str">
        <f>IFERROR(__xludf.DUMMYFUNCTION("INDIRECT(""'收支紀錄'!R""&amp;TO_TEXT(ROW()-$C$72))"),"")</f>
        <v/>
      </c>
      <c r="S2063" s="61" t="str">
        <f>IFERROR(__xludf.DUMMYFUNCTION("INDIRECT(""'收支紀錄'!S""&amp;TO_TEXT(ROW()-$C$72))"),"")</f>
        <v/>
      </c>
      <c r="T2063" s="61" t="str">
        <f>IFERROR(__xludf.DUMMYFUNCTION("INDIRECT(""'收支紀錄'!T""&amp;TO_TEXT(ROW()-$C$72))"),"")</f>
        <v/>
      </c>
      <c r="U2063" s="62" t="str">
        <f>IFERROR(__xludf.DUMMYFUNCTION("IF(T2063=""是"",TEXTJOIN("""", TRUE, ""$"", TO_TEXT(C2063), S2063),"""")"),"")</f>
        <v/>
      </c>
    </row>
    <row r="2064">
      <c r="A2064" s="58" t="str">
        <f>IFERROR(__xludf.DUMMYFUNCTION("INDIRECT(""'收支紀錄'!A""&amp;TO_TEXT(ROW()-$C$72))"),"")</f>
        <v/>
      </c>
      <c r="B2064" s="59" t="str">
        <f>IFERROR(__xludf.DUMMYFUNCTION("IF(ISBLANK(D2064), """", IF(ISDATE(D2064), D2064, IF(D2064=""今天"", A2064, IF(D2064=""昨天 (-1 day)"", A2064-1, IF(D2064=""前天 (-2 days)"", A2064-2, IF(D2064=""明天 (+1 day)"", A2064+1, DATE(LEFT(D2064,4), MID(D2064,5,2), RIGHT(D2064,2))))))))"),"")</f>
        <v/>
      </c>
      <c r="C2064" s="60" t="str">
        <f>IFERROR(__xludf.DUMMYFUNCTION("INDIRECT(""'收支紀錄'!C""&amp;TO_TEXT(ROW()-$C$72))"),"")</f>
        <v/>
      </c>
      <c r="D2064" s="63" t="str">
        <f>IFERROR(__xludf.DUMMYFUNCTION("INDIRECT(""'收支紀錄'!D""&amp;TO_TEXT(ROW()-$C$72))"),"")</f>
        <v/>
      </c>
      <c r="E2064" s="61" t="str">
        <f>IFERROR(__xludf.DUMMYFUNCTION("INDIRECT(""'收支紀錄'!E""&amp;TO_TEXT(ROW()-$C$72))"),"")</f>
        <v/>
      </c>
      <c r="F2064" s="61" t="str">
        <f>IFERROR(__xludf.DUMMYFUNCTION("INDIRECT(""'收支紀錄'!F""&amp;TO_TEXT(ROW()-$C$72))"),"")</f>
        <v/>
      </c>
      <c r="G2064" s="61" t="str">
        <f>IFERROR(__xludf.DUMMYFUNCTION("INDIRECT(""'收支紀錄'!G""&amp;TO_TEXT(ROW()-$C$72))"),"")</f>
        <v/>
      </c>
      <c r="H2064" s="61" t="str">
        <f>IFERROR(__xludf.DUMMYFUNCTION("INDIRECT(""'收支紀錄'!H""&amp;TO_TEXT(ROW()-$C$72))"),"")</f>
        <v/>
      </c>
      <c r="I2064" s="61" t="str">
        <f>IFERROR(__xludf.DUMMYFUNCTION("INDIRECT(""'收支紀錄'!I""&amp;TO_TEXT(ROW()-$C$72))"),"")</f>
        <v/>
      </c>
      <c r="J2064" s="61" t="str">
        <f>IFERROR(__xludf.DUMMYFUNCTION("INDIRECT(""'收支紀錄'!J""&amp;TO_TEXT(ROW()-$C$72))"),"")</f>
        <v/>
      </c>
      <c r="K2064" s="61" t="str">
        <f>IFERROR(__xludf.DUMMYFUNCTION("INDIRECT(""'收支紀錄'!K""&amp;TO_TEXT(ROW()-$C$72))"),"")</f>
        <v/>
      </c>
      <c r="L2064" s="61" t="str">
        <f>IFERROR(__xludf.DUMMYFUNCTION("INDIRECT(""'收支紀錄'!L""&amp;TO_TEXT(ROW()-$C$72))"),"")</f>
        <v/>
      </c>
      <c r="M2064" s="61" t="str">
        <f>IFERROR(__xludf.DUMMYFUNCTION("INDIRECT(""'收支紀錄'!M""&amp;TO_TEXT(ROW()-$C$72))"),"")</f>
        <v/>
      </c>
      <c r="N2064" s="61" t="str">
        <f>IFERROR(__xludf.DUMMYFUNCTION("INDIRECT(""'收支紀錄'!N""&amp;TO_TEXT(ROW()-$C$72))"),"")</f>
        <v/>
      </c>
      <c r="O2064" s="61" t="str">
        <f>IFERROR(__xludf.DUMMYFUNCTION("INDIRECT(""'收支紀錄'!O""&amp;TO_TEXT(ROW()-$C$72))"),"")</f>
        <v/>
      </c>
      <c r="P2064" s="61" t="str">
        <f>IFERROR(__xludf.DUMMYFUNCTION("INDIRECT(""'收支紀錄'!P""&amp;TO_TEXT(ROW()-$C$72))"),"")</f>
        <v/>
      </c>
      <c r="Q2064" s="61" t="str">
        <f>IFERROR(__xludf.DUMMYFUNCTION("INDIRECT(""'收支紀錄'!Q""&amp;TO_TEXT(ROW()-$C$72))"),"")</f>
        <v/>
      </c>
      <c r="R2064" s="61" t="str">
        <f>IFERROR(__xludf.DUMMYFUNCTION("INDIRECT(""'收支紀錄'!R""&amp;TO_TEXT(ROW()-$C$72))"),"")</f>
        <v/>
      </c>
      <c r="S2064" s="61" t="str">
        <f>IFERROR(__xludf.DUMMYFUNCTION("INDIRECT(""'收支紀錄'!S""&amp;TO_TEXT(ROW()-$C$72))"),"")</f>
        <v/>
      </c>
      <c r="T2064" s="61" t="str">
        <f>IFERROR(__xludf.DUMMYFUNCTION("INDIRECT(""'收支紀錄'!T""&amp;TO_TEXT(ROW()-$C$72))"),"")</f>
        <v/>
      </c>
      <c r="U2064" s="62" t="str">
        <f>IFERROR(__xludf.DUMMYFUNCTION("IF(T2064=""是"",TEXTJOIN("""", TRUE, ""$"", TO_TEXT(C2064), S2064),"""")"),"")</f>
        <v/>
      </c>
    </row>
    <row r="2065">
      <c r="A2065" s="58" t="str">
        <f>IFERROR(__xludf.DUMMYFUNCTION("INDIRECT(""'收支紀錄'!A""&amp;TO_TEXT(ROW()-$C$72))"),"")</f>
        <v/>
      </c>
      <c r="B2065" s="59" t="str">
        <f>IFERROR(__xludf.DUMMYFUNCTION("IF(ISBLANK(D2065), """", IF(ISDATE(D2065), D2065, IF(D2065=""今天"", A2065, IF(D2065=""昨天 (-1 day)"", A2065-1, IF(D2065=""前天 (-2 days)"", A2065-2, IF(D2065=""明天 (+1 day)"", A2065+1, DATE(LEFT(D2065,4), MID(D2065,5,2), RIGHT(D2065,2))))))))"),"")</f>
        <v/>
      </c>
      <c r="C2065" s="60" t="str">
        <f>IFERROR(__xludf.DUMMYFUNCTION("INDIRECT(""'收支紀錄'!C""&amp;TO_TEXT(ROW()-$C$72))"),"")</f>
        <v/>
      </c>
      <c r="D2065" s="63" t="str">
        <f>IFERROR(__xludf.DUMMYFUNCTION("INDIRECT(""'收支紀錄'!D""&amp;TO_TEXT(ROW()-$C$72))"),"")</f>
        <v/>
      </c>
      <c r="E2065" s="61" t="str">
        <f>IFERROR(__xludf.DUMMYFUNCTION("INDIRECT(""'收支紀錄'!E""&amp;TO_TEXT(ROW()-$C$72))"),"")</f>
        <v/>
      </c>
      <c r="F2065" s="61" t="str">
        <f>IFERROR(__xludf.DUMMYFUNCTION("INDIRECT(""'收支紀錄'!F""&amp;TO_TEXT(ROW()-$C$72))"),"")</f>
        <v/>
      </c>
      <c r="G2065" s="61" t="str">
        <f>IFERROR(__xludf.DUMMYFUNCTION("INDIRECT(""'收支紀錄'!G""&amp;TO_TEXT(ROW()-$C$72))"),"")</f>
        <v/>
      </c>
      <c r="H2065" s="61" t="str">
        <f>IFERROR(__xludf.DUMMYFUNCTION("INDIRECT(""'收支紀錄'!H""&amp;TO_TEXT(ROW()-$C$72))"),"")</f>
        <v/>
      </c>
      <c r="I2065" s="61" t="str">
        <f>IFERROR(__xludf.DUMMYFUNCTION("INDIRECT(""'收支紀錄'!I""&amp;TO_TEXT(ROW()-$C$72))"),"")</f>
        <v/>
      </c>
      <c r="J2065" s="61" t="str">
        <f>IFERROR(__xludf.DUMMYFUNCTION("INDIRECT(""'收支紀錄'!J""&amp;TO_TEXT(ROW()-$C$72))"),"")</f>
        <v/>
      </c>
      <c r="K2065" s="61" t="str">
        <f>IFERROR(__xludf.DUMMYFUNCTION("INDIRECT(""'收支紀錄'!K""&amp;TO_TEXT(ROW()-$C$72))"),"")</f>
        <v/>
      </c>
      <c r="L2065" s="61" t="str">
        <f>IFERROR(__xludf.DUMMYFUNCTION("INDIRECT(""'收支紀錄'!L""&amp;TO_TEXT(ROW()-$C$72))"),"")</f>
        <v/>
      </c>
      <c r="M2065" s="61" t="str">
        <f>IFERROR(__xludf.DUMMYFUNCTION("INDIRECT(""'收支紀錄'!M""&amp;TO_TEXT(ROW()-$C$72))"),"")</f>
        <v/>
      </c>
      <c r="N2065" s="61" t="str">
        <f>IFERROR(__xludf.DUMMYFUNCTION("INDIRECT(""'收支紀錄'!N""&amp;TO_TEXT(ROW()-$C$72))"),"")</f>
        <v/>
      </c>
      <c r="O2065" s="61" t="str">
        <f>IFERROR(__xludf.DUMMYFUNCTION("INDIRECT(""'收支紀錄'!O""&amp;TO_TEXT(ROW()-$C$72))"),"")</f>
        <v/>
      </c>
      <c r="P2065" s="61" t="str">
        <f>IFERROR(__xludf.DUMMYFUNCTION("INDIRECT(""'收支紀錄'!P""&amp;TO_TEXT(ROW()-$C$72))"),"")</f>
        <v/>
      </c>
      <c r="Q2065" s="61" t="str">
        <f>IFERROR(__xludf.DUMMYFUNCTION("INDIRECT(""'收支紀錄'!Q""&amp;TO_TEXT(ROW()-$C$72))"),"")</f>
        <v/>
      </c>
      <c r="R2065" s="61" t="str">
        <f>IFERROR(__xludf.DUMMYFUNCTION("INDIRECT(""'收支紀錄'!R""&amp;TO_TEXT(ROW()-$C$72))"),"")</f>
        <v/>
      </c>
      <c r="S2065" s="61" t="str">
        <f>IFERROR(__xludf.DUMMYFUNCTION("INDIRECT(""'收支紀錄'!S""&amp;TO_TEXT(ROW()-$C$72))"),"")</f>
        <v/>
      </c>
      <c r="T2065" s="61" t="str">
        <f>IFERROR(__xludf.DUMMYFUNCTION("INDIRECT(""'收支紀錄'!T""&amp;TO_TEXT(ROW()-$C$72))"),"")</f>
        <v/>
      </c>
      <c r="U2065" s="62" t="str">
        <f>IFERROR(__xludf.DUMMYFUNCTION("IF(T2065=""是"",TEXTJOIN("""", TRUE, ""$"", TO_TEXT(C2065), S2065),"""")"),"")</f>
        <v/>
      </c>
    </row>
    <row r="2066">
      <c r="A2066" s="58" t="str">
        <f>IFERROR(__xludf.DUMMYFUNCTION("INDIRECT(""'收支紀錄'!A""&amp;TO_TEXT(ROW()-$C$72))"),"")</f>
        <v/>
      </c>
      <c r="B2066" s="59" t="str">
        <f>IFERROR(__xludf.DUMMYFUNCTION("IF(ISBLANK(D2066), """", IF(ISDATE(D2066), D2066, IF(D2066=""今天"", A2066, IF(D2066=""昨天 (-1 day)"", A2066-1, IF(D2066=""前天 (-2 days)"", A2066-2, IF(D2066=""明天 (+1 day)"", A2066+1, DATE(LEFT(D2066,4), MID(D2066,5,2), RIGHT(D2066,2))))))))"),"")</f>
        <v/>
      </c>
      <c r="C2066" s="60" t="str">
        <f>IFERROR(__xludf.DUMMYFUNCTION("INDIRECT(""'收支紀錄'!C""&amp;TO_TEXT(ROW()-$C$72))"),"")</f>
        <v/>
      </c>
      <c r="D2066" s="63" t="str">
        <f>IFERROR(__xludf.DUMMYFUNCTION("INDIRECT(""'收支紀錄'!D""&amp;TO_TEXT(ROW()-$C$72))"),"")</f>
        <v/>
      </c>
      <c r="E2066" s="61" t="str">
        <f>IFERROR(__xludf.DUMMYFUNCTION("INDIRECT(""'收支紀錄'!E""&amp;TO_TEXT(ROW()-$C$72))"),"")</f>
        <v/>
      </c>
      <c r="F2066" s="61" t="str">
        <f>IFERROR(__xludf.DUMMYFUNCTION("INDIRECT(""'收支紀錄'!F""&amp;TO_TEXT(ROW()-$C$72))"),"")</f>
        <v/>
      </c>
      <c r="G2066" s="61" t="str">
        <f>IFERROR(__xludf.DUMMYFUNCTION("INDIRECT(""'收支紀錄'!G""&amp;TO_TEXT(ROW()-$C$72))"),"")</f>
        <v/>
      </c>
      <c r="H2066" s="61" t="str">
        <f>IFERROR(__xludf.DUMMYFUNCTION("INDIRECT(""'收支紀錄'!H""&amp;TO_TEXT(ROW()-$C$72))"),"")</f>
        <v/>
      </c>
      <c r="I2066" s="61" t="str">
        <f>IFERROR(__xludf.DUMMYFUNCTION("INDIRECT(""'收支紀錄'!I""&amp;TO_TEXT(ROW()-$C$72))"),"")</f>
        <v/>
      </c>
      <c r="J2066" s="61" t="str">
        <f>IFERROR(__xludf.DUMMYFUNCTION("INDIRECT(""'收支紀錄'!J""&amp;TO_TEXT(ROW()-$C$72))"),"")</f>
        <v/>
      </c>
      <c r="K2066" s="61" t="str">
        <f>IFERROR(__xludf.DUMMYFUNCTION("INDIRECT(""'收支紀錄'!K""&amp;TO_TEXT(ROW()-$C$72))"),"")</f>
        <v/>
      </c>
      <c r="L2066" s="61" t="str">
        <f>IFERROR(__xludf.DUMMYFUNCTION("INDIRECT(""'收支紀錄'!L""&amp;TO_TEXT(ROW()-$C$72))"),"")</f>
        <v/>
      </c>
      <c r="M2066" s="61" t="str">
        <f>IFERROR(__xludf.DUMMYFUNCTION("INDIRECT(""'收支紀錄'!M""&amp;TO_TEXT(ROW()-$C$72))"),"")</f>
        <v/>
      </c>
      <c r="N2066" s="61" t="str">
        <f>IFERROR(__xludf.DUMMYFUNCTION("INDIRECT(""'收支紀錄'!N""&amp;TO_TEXT(ROW()-$C$72))"),"")</f>
        <v/>
      </c>
      <c r="O2066" s="61" t="str">
        <f>IFERROR(__xludf.DUMMYFUNCTION("INDIRECT(""'收支紀錄'!O""&amp;TO_TEXT(ROW()-$C$72))"),"")</f>
        <v/>
      </c>
      <c r="P2066" s="61" t="str">
        <f>IFERROR(__xludf.DUMMYFUNCTION("INDIRECT(""'收支紀錄'!P""&amp;TO_TEXT(ROW()-$C$72))"),"")</f>
        <v/>
      </c>
      <c r="Q2066" s="61" t="str">
        <f>IFERROR(__xludf.DUMMYFUNCTION("INDIRECT(""'收支紀錄'!Q""&amp;TO_TEXT(ROW()-$C$72))"),"")</f>
        <v/>
      </c>
      <c r="R2066" s="61" t="str">
        <f>IFERROR(__xludf.DUMMYFUNCTION("INDIRECT(""'收支紀錄'!R""&amp;TO_TEXT(ROW()-$C$72))"),"")</f>
        <v/>
      </c>
      <c r="S2066" s="61" t="str">
        <f>IFERROR(__xludf.DUMMYFUNCTION("INDIRECT(""'收支紀錄'!S""&amp;TO_TEXT(ROW()-$C$72))"),"")</f>
        <v/>
      </c>
      <c r="T2066" s="61" t="str">
        <f>IFERROR(__xludf.DUMMYFUNCTION("INDIRECT(""'收支紀錄'!T""&amp;TO_TEXT(ROW()-$C$72))"),"")</f>
        <v/>
      </c>
      <c r="U2066" s="62" t="str">
        <f>IFERROR(__xludf.DUMMYFUNCTION("IF(T2066=""是"",TEXTJOIN("""", TRUE, ""$"", TO_TEXT(C2066), S2066),"""")"),"")</f>
        <v/>
      </c>
    </row>
    <row r="2067">
      <c r="A2067" s="58" t="str">
        <f>IFERROR(__xludf.DUMMYFUNCTION("INDIRECT(""'收支紀錄'!A""&amp;TO_TEXT(ROW()-$C$72))"),"")</f>
        <v/>
      </c>
      <c r="B2067" s="59" t="str">
        <f>IFERROR(__xludf.DUMMYFUNCTION("IF(ISBLANK(D2067), """", IF(ISDATE(D2067), D2067, IF(D2067=""今天"", A2067, IF(D2067=""昨天 (-1 day)"", A2067-1, IF(D2067=""前天 (-2 days)"", A2067-2, IF(D2067=""明天 (+1 day)"", A2067+1, DATE(LEFT(D2067,4), MID(D2067,5,2), RIGHT(D2067,2))))))))"),"")</f>
        <v/>
      </c>
      <c r="C2067" s="60" t="str">
        <f>IFERROR(__xludf.DUMMYFUNCTION("INDIRECT(""'收支紀錄'!C""&amp;TO_TEXT(ROW()-$C$72))"),"")</f>
        <v/>
      </c>
      <c r="D2067" s="63" t="str">
        <f>IFERROR(__xludf.DUMMYFUNCTION("INDIRECT(""'收支紀錄'!D""&amp;TO_TEXT(ROW()-$C$72))"),"")</f>
        <v/>
      </c>
      <c r="E2067" s="61" t="str">
        <f>IFERROR(__xludf.DUMMYFUNCTION("INDIRECT(""'收支紀錄'!E""&amp;TO_TEXT(ROW()-$C$72))"),"")</f>
        <v/>
      </c>
      <c r="F2067" s="61" t="str">
        <f>IFERROR(__xludf.DUMMYFUNCTION("INDIRECT(""'收支紀錄'!F""&amp;TO_TEXT(ROW()-$C$72))"),"")</f>
        <v/>
      </c>
      <c r="G2067" s="61" t="str">
        <f>IFERROR(__xludf.DUMMYFUNCTION("INDIRECT(""'收支紀錄'!G""&amp;TO_TEXT(ROW()-$C$72))"),"")</f>
        <v/>
      </c>
      <c r="H2067" s="61" t="str">
        <f>IFERROR(__xludf.DUMMYFUNCTION("INDIRECT(""'收支紀錄'!H""&amp;TO_TEXT(ROW()-$C$72))"),"")</f>
        <v/>
      </c>
      <c r="I2067" s="61" t="str">
        <f>IFERROR(__xludf.DUMMYFUNCTION("INDIRECT(""'收支紀錄'!I""&amp;TO_TEXT(ROW()-$C$72))"),"")</f>
        <v/>
      </c>
      <c r="J2067" s="61" t="str">
        <f>IFERROR(__xludf.DUMMYFUNCTION("INDIRECT(""'收支紀錄'!J""&amp;TO_TEXT(ROW()-$C$72))"),"")</f>
        <v/>
      </c>
      <c r="K2067" s="61" t="str">
        <f>IFERROR(__xludf.DUMMYFUNCTION("INDIRECT(""'收支紀錄'!K""&amp;TO_TEXT(ROW()-$C$72))"),"")</f>
        <v/>
      </c>
      <c r="L2067" s="61" t="str">
        <f>IFERROR(__xludf.DUMMYFUNCTION("INDIRECT(""'收支紀錄'!L""&amp;TO_TEXT(ROW()-$C$72))"),"")</f>
        <v/>
      </c>
      <c r="M2067" s="61" t="str">
        <f>IFERROR(__xludf.DUMMYFUNCTION("INDIRECT(""'收支紀錄'!M""&amp;TO_TEXT(ROW()-$C$72))"),"")</f>
        <v/>
      </c>
      <c r="N2067" s="61" t="str">
        <f>IFERROR(__xludf.DUMMYFUNCTION("INDIRECT(""'收支紀錄'!N""&amp;TO_TEXT(ROW()-$C$72))"),"")</f>
        <v/>
      </c>
      <c r="O2067" s="61" t="str">
        <f>IFERROR(__xludf.DUMMYFUNCTION("INDIRECT(""'收支紀錄'!O""&amp;TO_TEXT(ROW()-$C$72))"),"")</f>
        <v/>
      </c>
      <c r="P2067" s="61" t="str">
        <f>IFERROR(__xludf.DUMMYFUNCTION("INDIRECT(""'收支紀錄'!P""&amp;TO_TEXT(ROW()-$C$72))"),"")</f>
        <v/>
      </c>
      <c r="Q2067" s="61" t="str">
        <f>IFERROR(__xludf.DUMMYFUNCTION("INDIRECT(""'收支紀錄'!Q""&amp;TO_TEXT(ROW()-$C$72))"),"")</f>
        <v/>
      </c>
      <c r="R2067" s="61" t="str">
        <f>IFERROR(__xludf.DUMMYFUNCTION("INDIRECT(""'收支紀錄'!R""&amp;TO_TEXT(ROW()-$C$72))"),"")</f>
        <v/>
      </c>
      <c r="S2067" s="61" t="str">
        <f>IFERROR(__xludf.DUMMYFUNCTION("INDIRECT(""'收支紀錄'!S""&amp;TO_TEXT(ROW()-$C$72))"),"")</f>
        <v/>
      </c>
      <c r="T2067" s="61" t="str">
        <f>IFERROR(__xludf.DUMMYFUNCTION("INDIRECT(""'收支紀錄'!T""&amp;TO_TEXT(ROW()-$C$72))"),"")</f>
        <v/>
      </c>
      <c r="U2067" s="62" t="str">
        <f>IFERROR(__xludf.DUMMYFUNCTION("IF(T2067=""是"",TEXTJOIN("""", TRUE, ""$"", TO_TEXT(C2067), S2067),"""")"),"")</f>
        <v/>
      </c>
    </row>
    <row r="2068">
      <c r="A2068" s="58" t="str">
        <f>IFERROR(__xludf.DUMMYFUNCTION("INDIRECT(""'收支紀錄'!A""&amp;TO_TEXT(ROW()-$C$72))"),"")</f>
        <v/>
      </c>
      <c r="B2068" s="59" t="str">
        <f>IFERROR(__xludf.DUMMYFUNCTION("IF(ISBLANK(D2068), """", IF(ISDATE(D2068), D2068, IF(D2068=""今天"", A2068, IF(D2068=""昨天 (-1 day)"", A2068-1, IF(D2068=""前天 (-2 days)"", A2068-2, IF(D2068=""明天 (+1 day)"", A2068+1, DATE(LEFT(D2068,4), MID(D2068,5,2), RIGHT(D2068,2))))))))"),"")</f>
        <v/>
      </c>
      <c r="C2068" s="60" t="str">
        <f>IFERROR(__xludf.DUMMYFUNCTION("INDIRECT(""'收支紀錄'!C""&amp;TO_TEXT(ROW()-$C$72))"),"")</f>
        <v/>
      </c>
      <c r="D2068" s="63" t="str">
        <f>IFERROR(__xludf.DUMMYFUNCTION("INDIRECT(""'收支紀錄'!D""&amp;TO_TEXT(ROW()-$C$72))"),"")</f>
        <v/>
      </c>
      <c r="E2068" s="61" t="str">
        <f>IFERROR(__xludf.DUMMYFUNCTION("INDIRECT(""'收支紀錄'!E""&amp;TO_TEXT(ROW()-$C$72))"),"")</f>
        <v/>
      </c>
      <c r="F2068" s="61" t="str">
        <f>IFERROR(__xludf.DUMMYFUNCTION("INDIRECT(""'收支紀錄'!F""&amp;TO_TEXT(ROW()-$C$72))"),"")</f>
        <v/>
      </c>
      <c r="G2068" s="61" t="str">
        <f>IFERROR(__xludf.DUMMYFUNCTION("INDIRECT(""'收支紀錄'!G""&amp;TO_TEXT(ROW()-$C$72))"),"")</f>
        <v/>
      </c>
      <c r="H2068" s="61" t="str">
        <f>IFERROR(__xludf.DUMMYFUNCTION("INDIRECT(""'收支紀錄'!H""&amp;TO_TEXT(ROW()-$C$72))"),"")</f>
        <v/>
      </c>
      <c r="I2068" s="61" t="str">
        <f>IFERROR(__xludf.DUMMYFUNCTION("INDIRECT(""'收支紀錄'!I""&amp;TO_TEXT(ROW()-$C$72))"),"")</f>
        <v/>
      </c>
      <c r="J2068" s="61" t="str">
        <f>IFERROR(__xludf.DUMMYFUNCTION("INDIRECT(""'收支紀錄'!J""&amp;TO_TEXT(ROW()-$C$72))"),"")</f>
        <v/>
      </c>
      <c r="K2068" s="61" t="str">
        <f>IFERROR(__xludf.DUMMYFUNCTION("INDIRECT(""'收支紀錄'!K""&amp;TO_TEXT(ROW()-$C$72))"),"")</f>
        <v/>
      </c>
      <c r="L2068" s="61" t="str">
        <f>IFERROR(__xludf.DUMMYFUNCTION("INDIRECT(""'收支紀錄'!L""&amp;TO_TEXT(ROW()-$C$72))"),"")</f>
        <v/>
      </c>
      <c r="M2068" s="61" t="str">
        <f>IFERROR(__xludf.DUMMYFUNCTION("INDIRECT(""'收支紀錄'!M""&amp;TO_TEXT(ROW()-$C$72))"),"")</f>
        <v/>
      </c>
      <c r="N2068" s="61" t="str">
        <f>IFERROR(__xludf.DUMMYFUNCTION("INDIRECT(""'收支紀錄'!N""&amp;TO_TEXT(ROW()-$C$72))"),"")</f>
        <v/>
      </c>
      <c r="O2068" s="61" t="str">
        <f>IFERROR(__xludf.DUMMYFUNCTION("INDIRECT(""'收支紀錄'!O""&amp;TO_TEXT(ROW()-$C$72))"),"")</f>
        <v/>
      </c>
      <c r="P2068" s="61" t="str">
        <f>IFERROR(__xludf.DUMMYFUNCTION("INDIRECT(""'收支紀錄'!P""&amp;TO_TEXT(ROW()-$C$72))"),"")</f>
        <v/>
      </c>
      <c r="Q2068" s="61" t="str">
        <f>IFERROR(__xludf.DUMMYFUNCTION("INDIRECT(""'收支紀錄'!Q""&amp;TO_TEXT(ROW()-$C$72))"),"")</f>
        <v/>
      </c>
      <c r="R2068" s="61" t="str">
        <f>IFERROR(__xludf.DUMMYFUNCTION("INDIRECT(""'收支紀錄'!R""&amp;TO_TEXT(ROW()-$C$72))"),"")</f>
        <v/>
      </c>
      <c r="S2068" s="61" t="str">
        <f>IFERROR(__xludf.DUMMYFUNCTION("INDIRECT(""'收支紀錄'!S""&amp;TO_TEXT(ROW()-$C$72))"),"")</f>
        <v/>
      </c>
      <c r="T2068" s="61" t="str">
        <f>IFERROR(__xludf.DUMMYFUNCTION("INDIRECT(""'收支紀錄'!T""&amp;TO_TEXT(ROW()-$C$72))"),"")</f>
        <v/>
      </c>
      <c r="U2068" s="62" t="str">
        <f>IFERROR(__xludf.DUMMYFUNCTION("IF(T2068=""是"",TEXTJOIN("""", TRUE, ""$"", TO_TEXT(C2068), S2068),"""")"),"")</f>
        <v/>
      </c>
    </row>
    <row r="2069">
      <c r="A2069" s="58" t="str">
        <f>IFERROR(__xludf.DUMMYFUNCTION("INDIRECT(""'收支紀錄'!A""&amp;TO_TEXT(ROW()-$C$72))"),"")</f>
        <v/>
      </c>
      <c r="B2069" s="59" t="str">
        <f>IFERROR(__xludf.DUMMYFUNCTION("IF(ISBLANK(D2069), """", IF(ISDATE(D2069), D2069, IF(D2069=""今天"", A2069, IF(D2069=""昨天 (-1 day)"", A2069-1, IF(D2069=""前天 (-2 days)"", A2069-2, IF(D2069=""明天 (+1 day)"", A2069+1, DATE(LEFT(D2069,4), MID(D2069,5,2), RIGHT(D2069,2))))))))"),"")</f>
        <v/>
      </c>
      <c r="C2069" s="60" t="str">
        <f>IFERROR(__xludf.DUMMYFUNCTION("INDIRECT(""'收支紀錄'!C""&amp;TO_TEXT(ROW()-$C$72))"),"")</f>
        <v/>
      </c>
      <c r="D2069" s="63" t="str">
        <f>IFERROR(__xludf.DUMMYFUNCTION("INDIRECT(""'收支紀錄'!D""&amp;TO_TEXT(ROW()-$C$72))"),"")</f>
        <v/>
      </c>
      <c r="E2069" s="61" t="str">
        <f>IFERROR(__xludf.DUMMYFUNCTION("INDIRECT(""'收支紀錄'!E""&amp;TO_TEXT(ROW()-$C$72))"),"")</f>
        <v/>
      </c>
      <c r="F2069" s="61" t="str">
        <f>IFERROR(__xludf.DUMMYFUNCTION("INDIRECT(""'收支紀錄'!F""&amp;TO_TEXT(ROW()-$C$72))"),"")</f>
        <v/>
      </c>
      <c r="G2069" s="61" t="str">
        <f>IFERROR(__xludf.DUMMYFUNCTION("INDIRECT(""'收支紀錄'!G""&amp;TO_TEXT(ROW()-$C$72))"),"")</f>
        <v/>
      </c>
      <c r="H2069" s="61" t="str">
        <f>IFERROR(__xludf.DUMMYFUNCTION("INDIRECT(""'收支紀錄'!H""&amp;TO_TEXT(ROW()-$C$72))"),"")</f>
        <v/>
      </c>
      <c r="I2069" s="61" t="str">
        <f>IFERROR(__xludf.DUMMYFUNCTION("INDIRECT(""'收支紀錄'!I""&amp;TO_TEXT(ROW()-$C$72))"),"")</f>
        <v/>
      </c>
      <c r="J2069" s="61" t="str">
        <f>IFERROR(__xludf.DUMMYFUNCTION("INDIRECT(""'收支紀錄'!J""&amp;TO_TEXT(ROW()-$C$72))"),"")</f>
        <v/>
      </c>
      <c r="K2069" s="61" t="str">
        <f>IFERROR(__xludf.DUMMYFUNCTION("INDIRECT(""'收支紀錄'!K""&amp;TO_TEXT(ROW()-$C$72))"),"")</f>
        <v/>
      </c>
      <c r="L2069" s="61" t="str">
        <f>IFERROR(__xludf.DUMMYFUNCTION("INDIRECT(""'收支紀錄'!L""&amp;TO_TEXT(ROW()-$C$72))"),"")</f>
        <v/>
      </c>
      <c r="M2069" s="61" t="str">
        <f>IFERROR(__xludf.DUMMYFUNCTION("INDIRECT(""'收支紀錄'!M""&amp;TO_TEXT(ROW()-$C$72))"),"")</f>
        <v/>
      </c>
      <c r="N2069" s="61" t="str">
        <f>IFERROR(__xludf.DUMMYFUNCTION("INDIRECT(""'收支紀錄'!N""&amp;TO_TEXT(ROW()-$C$72))"),"")</f>
        <v/>
      </c>
      <c r="O2069" s="61" t="str">
        <f>IFERROR(__xludf.DUMMYFUNCTION("INDIRECT(""'收支紀錄'!O""&amp;TO_TEXT(ROW()-$C$72))"),"")</f>
        <v/>
      </c>
      <c r="P2069" s="61" t="str">
        <f>IFERROR(__xludf.DUMMYFUNCTION("INDIRECT(""'收支紀錄'!P""&amp;TO_TEXT(ROW()-$C$72))"),"")</f>
        <v/>
      </c>
      <c r="Q2069" s="61" t="str">
        <f>IFERROR(__xludf.DUMMYFUNCTION("INDIRECT(""'收支紀錄'!Q""&amp;TO_TEXT(ROW()-$C$72))"),"")</f>
        <v/>
      </c>
      <c r="R2069" s="61" t="str">
        <f>IFERROR(__xludf.DUMMYFUNCTION("INDIRECT(""'收支紀錄'!R""&amp;TO_TEXT(ROW()-$C$72))"),"")</f>
        <v/>
      </c>
      <c r="S2069" s="61" t="str">
        <f>IFERROR(__xludf.DUMMYFUNCTION("INDIRECT(""'收支紀錄'!S""&amp;TO_TEXT(ROW()-$C$72))"),"")</f>
        <v/>
      </c>
      <c r="T2069" s="61" t="str">
        <f>IFERROR(__xludf.DUMMYFUNCTION("INDIRECT(""'收支紀錄'!T""&amp;TO_TEXT(ROW()-$C$72))"),"")</f>
        <v/>
      </c>
      <c r="U2069" s="62" t="str">
        <f>IFERROR(__xludf.DUMMYFUNCTION("IF(T2069=""是"",TEXTJOIN("""", TRUE, ""$"", TO_TEXT(C2069), S2069),"""")"),"")</f>
        <v/>
      </c>
    </row>
    <row r="2070">
      <c r="A2070" s="58" t="str">
        <f>IFERROR(__xludf.DUMMYFUNCTION("INDIRECT(""'收支紀錄'!A""&amp;TO_TEXT(ROW()-$C$72))"),"")</f>
        <v/>
      </c>
      <c r="B2070" s="59" t="str">
        <f>IFERROR(__xludf.DUMMYFUNCTION("IF(ISBLANK(D2070), """", IF(ISDATE(D2070), D2070, IF(D2070=""今天"", A2070, IF(D2070=""昨天 (-1 day)"", A2070-1, IF(D2070=""前天 (-2 days)"", A2070-2, IF(D2070=""明天 (+1 day)"", A2070+1, DATE(LEFT(D2070,4), MID(D2070,5,2), RIGHT(D2070,2))))))))"),"")</f>
        <v/>
      </c>
      <c r="C2070" s="60" t="str">
        <f>IFERROR(__xludf.DUMMYFUNCTION("INDIRECT(""'收支紀錄'!C""&amp;TO_TEXT(ROW()-$C$72))"),"")</f>
        <v/>
      </c>
      <c r="D2070" s="63" t="str">
        <f>IFERROR(__xludf.DUMMYFUNCTION("INDIRECT(""'收支紀錄'!D""&amp;TO_TEXT(ROW()-$C$72))"),"")</f>
        <v/>
      </c>
      <c r="E2070" s="61" t="str">
        <f>IFERROR(__xludf.DUMMYFUNCTION("INDIRECT(""'收支紀錄'!E""&amp;TO_TEXT(ROW()-$C$72))"),"")</f>
        <v/>
      </c>
      <c r="F2070" s="61" t="str">
        <f>IFERROR(__xludf.DUMMYFUNCTION("INDIRECT(""'收支紀錄'!F""&amp;TO_TEXT(ROW()-$C$72))"),"")</f>
        <v/>
      </c>
      <c r="G2070" s="61" t="str">
        <f>IFERROR(__xludf.DUMMYFUNCTION("INDIRECT(""'收支紀錄'!G""&amp;TO_TEXT(ROW()-$C$72))"),"")</f>
        <v/>
      </c>
      <c r="H2070" s="61" t="str">
        <f>IFERROR(__xludf.DUMMYFUNCTION("INDIRECT(""'收支紀錄'!H""&amp;TO_TEXT(ROW()-$C$72))"),"")</f>
        <v/>
      </c>
      <c r="I2070" s="61" t="str">
        <f>IFERROR(__xludf.DUMMYFUNCTION("INDIRECT(""'收支紀錄'!I""&amp;TO_TEXT(ROW()-$C$72))"),"")</f>
        <v/>
      </c>
      <c r="J2070" s="61" t="str">
        <f>IFERROR(__xludf.DUMMYFUNCTION("INDIRECT(""'收支紀錄'!J""&amp;TO_TEXT(ROW()-$C$72))"),"")</f>
        <v/>
      </c>
      <c r="K2070" s="61" t="str">
        <f>IFERROR(__xludf.DUMMYFUNCTION("INDIRECT(""'收支紀錄'!K""&amp;TO_TEXT(ROW()-$C$72))"),"")</f>
        <v/>
      </c>
      <c r="L2070" s="61" t="str">
        <f>IFERROR(__xludf.DUMMYFUNCTION("INDIRECT(""'收支紀錄'!L""&amp;TO_TEXT(ROW()-$C$72))"),"")</f>
        <v/>
      </c>
      <c r="M2070" s="61" t="str">
        <f>IFERROR(__xludf.DUMMYFUNCTION("INDIRECT(""'收支紀錄'!M""&amp;TO_TEXT(ROW()-$C$72))"),"")</f>
        <v/>
      </c>
      <c r="N2070" s="61" t="str">
        <f>IFERROR(__xludf.DUMMYFUNCTION("INDIRECT(""'收支紀錄'!N""&amp;TO_TEXT(ROW()-$C$72))"),"")</f>
        <v/>
      </c>
      <c r="O2070" s="61" t="str">
        <f>IFERROR(__xludf.DUMMYFUNCTION("INDIRECT(""'收支紀錄'!O""&amp;TO_TEXT(ROW()-$C$72))"),"")</f>
        <v/>
      </c>
      <c r="P2070" s="61" t="str">
        <f>IFERROR(__xludf.DUMMYFUNCTION("INDIRECT(""'收支紀錄'!P""&amp;TO_TEXT(ROW()-$C$72))"),"")</f>
        <v/>
      </c>
      <c r="Q2070" s="61" t="str">
        <f>IFERROR(__xludf.DUMMYFUNCTION("INDIRECT(""'收支紀錄'!Q""&amp;TO_TEXT(ROW()-$C$72))"),"")</f>
        <v/>
      </c>
      <c r="R2070" s="61" t="str">
        <f>IFERROR(__xludf.DUMMYFUNCTION("INDIRECT(""'收支紀錄'!R""&amp;TO_TEXT(ROW()-$C$72))"),"")</f>
        <v/>
      </c>
      <c r="S2070" s="61" t="str">
        <f>IFERROR(__xludf.DUMMYFUNCTION("INDIRECT(""'收支紀錄'!S""&amp;TO_TEXT(ROW()-$C$72))"),"")</f>
        <v/>
      </c>
      <c r="T2070" s="61" t="str">
        <f>IFERROR(__xludf.DUMMYFUNCTION("INDIRECT(""'收支紀錄'!T""&amp;TO_TEXT(ROW()-$C$72))"),"")</f>
        <v/>
      </c>
      <c r="U2070" s="62" t="str">
        <f>IFERROR(__xludf.DUMMYFUNCTION("IF(T2070=""是"",TEXTJOIN("""", TRUE, ""$"", TO_TEXT(C2070), S2070),"""")"),"")</f>
        <v/>
      </c>
    </row>
    <row r="2071">
      <c r="A2071" s="58" t="str">
        <f>IFERROR(__xludf.DUMMYFUNCTION("INDIRECT(""'收支紀錄'!A""&amp;TO_TEXT(ROW()-$C$72))"),"")</f>
        <v/>
      </c>
      <c r="B2071" s="59" t="str">
        <f>IFERROR(__xludf.DUMMYFUNCTION("IF(ISBLANK(D2071), """", IF(ISDATE(D2071), D2071, IF(D2071=""今天"", A2071, IF(D2071=""昨天 (-1 day)"", A2071-1, IF(D2071=""前天 (-2 days)"", A2071-2, IF(D2071=""明天 (+1 day)"", A2071+1, DATE(LEFT(D2071,4), MID(D2071,5,2), RIGHT(D2071,2))))))))"),"")</f>
        <v/>
      </c>
      <c r="C2071" s="60" t="str">
        <f>IFERROR(__xludf.DUMMYFUNCTION("INDIRECT(""'收支紀錄'!C""&amp;TO_TEXT(ROW()-$C$72))"),"")</f>
        <v/>
      </c>
      <c r="D2071" s="63" t="str">
        <f>IFERROR(__xludf.DUMMYFUNCTION("INDIRECT(""'收支紀錄'!D""&amp;TO_TEXT(ROW()-$C$72))"),"")</f>
        <v/>
      </c>
      <c r="E2071" s="61" t="str">
        <f>IFERROR(__xludf.DUMMYFUNCTION("INDIRECT(""'收支紀錄'!E""&amp;TO_TEXT(ROW()-$C$72))"),"")</f>
        <v/>
      </c>
      <c r="F2071" s="61" t="str">
        <f>IFERROR(__xludf.DUMMYFUNCTION("INDIRECT(""'收支紀錄'!F""&amp;TO_TEXT(ROW()-$C$72))"),"")</f>
        <v/>
      </c>
      <c r="G2071" s="61" t="str">
        <f>IFERROR(__xludf.DUMMYFUNCTION("INDIRECT(""'收支紀錄'!G""&amp;TO_TEXT(ROW()-$C$72))"),"")</f>
        <v/>
      </c>
      <c r="H2071" s="61" t="str">
        <f>IFERROR(__xludf.DUMMYFUNCTION("INDIRECT(""'收支紀錄'!H""&amp;TO_TEXT(ROW()-$C$72))"),"")</f>
        <v/>
      </c>
      <c r="I2071" s="61" t="str">
        <f>IFERROR(__xludf.DUMMYFUNCTION("INDIRECT(""'收支紀錄'!I""&amp;TO_TEXT(ROW()-$C$72))"),"")</f>
        <v/>
      </c>
      <c r="J2071" s="61" t="str">
        <f>IFERROR(__xludf.DUMMYFUNCTION("INDIRECT(""'收支紀錄'!J""&amp;TO_TEXT(ROW()-$C$72))"),"")</f>
        <v/>
      </c>
      <c r="K2071" s="61" t="str">
        <f>IFERROR(__xludf.DUMMYFUNCTION("INDIRECT(""'收支紀錄'!K""&amp;TO_TEXT(ROW()-$C$72))"),"")</f>
        <v/>
      </c>
      <c r="L2071" s="61" t="str">
        <f>IFERROR(__xludf.DUMMYFUNCTION("INDIRECT(""'收支紀錄'!L""&amp;TO_TEXT(ROW()-$C$72))"),"")</f>
        <v/>
      </c>
      <c r="M2071" s="61" t="str">
        <f>IFERROR(__xludf.DUMMYFUNCTION("INDIRECT(""'收支紀錄'!M""&amp;TO_TEXT(ROW()-$C$72))"),"")</f>
        <v/>
      </c>
      <c r="N2071" s="61" t="str">
        <f>IFERROR(__xludf.DUMMYFUNCTION("INDIRECT(""'收支紀錄'!N""&amp;TO_TEXT(ROW()-$C$72))"),"")</f>
        <v/>
      </c>
      <c r="O2071" s="61" t="str">
        <f>IFERROR(__xludf.DUMMYFUNCTION("INDIRECT(""'收支紀錄'!O""&amp;TO_TEXT(ROW()-$C$72))"),"")</f>
        <v/>
      </c>
      <c r="P2071" s="61" t="str">
        <f>IFERROR(__xludf.DUMMYFUNCTION("INDIRECT(""'收支紀錄'!P""&amp;TO_TEXT(ROW()-$C$72))"),"")</f>
        <v/>
      </c>
      <c r="Q2071" s="61" t="str">
        <f>IFERROR(__xludf.DUMMYFUNCTION("INDIRECT(""'收支紀錄'!Q""&amp;TO_TEXT(ROW()-$C$72))"),"")</f>
        <v/>
      </c>
      <c r="R2071" s="61" t="str">
        <f>IFERROR(__xludf.DUMMYFUNCTION("INDIRECT(""'收支紀錄'!R""&amp;TO_TEXT(ROW()-$C$72))"),"")</f>
        <v/>
      </c>
      <c r="S2071" s="61" t="str">
        <f>IFERROR(__xludf.DUMMYFUNCTION("INDIRECT(""'收支紀錄'!S""&amp;TO_TEXT(ROW()-$C$72))"),"")</f>
        <v/>
      </c>
      <c r="T2071" s="61" t="str">
        <f>IFERROR(__xludf.DUMMYFUNCTION("INDIRECT(""'收支紀錄'!T""&amp;TO_TEXT(ROW()-$C$72))"),"")</f>
        <v/>
      </c>
      <c r="U2071" s="62" t="str">
        <f>IFERROR(__xludf.DUMMYFUNCTION("IF(T2071=""是"",TEXTJOIN("""", TRUE, ""$"", TO_TEXT(C2071), S2071),"""")"),"")</f>
        <v/>
      </c>
    </row>
    <row r="2072">
      <c r="A2072" s="58" t="str">
        <f>IFERROR(__xludf.DUMMYFUNCTION("INDIRECT(""'收支紀錄'!A""&amp;TO_TEXT(ROW()-$C$72))"),"")</f>
        <v/>
      </c>
      <c r="B2072" s="59" t="str">
        <f>IFERROR(__xludf.DUMMYFUNCTION("IF(ISBLANK(D2072), """", IF(ISDATE(D2072), D2072, IF(D2072=""今天"", A2072, IF(D2072=""昨天 (-1 day)"", A2072-1, IF(D2072=""前天 (-2 days)"", A2072-2, IF(D2072=""明天 (+1 day)"", A2072+1, DATE(LEFT(D2072,4), MID(D2072,5,2), RIGHT(D2072,2))))))))"),"")</f>
        <v/>
      </c>
      <c r="C2072" s="60" t="str">
        <f>IFERROR(__xludf.DUMMYFUNCTION("INDIRECT(""'收支紀錄'!C""&amp;TO_TEXT(ROW()-$C$72))"),"")</f>
        <v/>
      </c>
      <c r="D2072" s="63" t="str">
        <f>IFERROR(__xludf.DUMMYFUNCTION("INDIRECT(""'收支紀錄'!D""&amp;TO_TEXT(ROW()-$C$72))"),"")</f>
        <v/>
      </c>
      <c r="E2072" s="61" t="str">
        <f>IFERROR(__xludf.DUMMYFUNCTION("INDIRECT(""'收支紀錄'!E""&amp;TO_TEXT(ROW()-$C$72))"),"")</f>
        <v/>
      </c>
      <c r="F2072" s="61" t="str">
        <f>IFERROR(__xludf.DUMMYFUNCTION("INDIRECT(""'收支紀錄'!F""&amp;TO_TEXT(ROW()-$C$72))"),"")</f>
        <v/>
      </c>
      <c r="G2072" s="61" t="str">
        <f>IFERROR(__xludf.DUMMYFUNCTION("INDIRECT(""'收支紀錄'!G""&amp;TO_TEXT(ROW()-$C$72))"),"")</f>
        <v/>
      </c>
      <c r="H2072" s="61" t="str">
        <f>IFERROR(__xludf.DUMMYFUNCTION("INDIRECT(""'收支紀錄'!H""&amp;TO_TEXT(ROW()-$C$72))"),"")</f>
        <v/>
      </c>
      <c r="I2072" s="61" t="str">
        <f>IFERROR(__xludf.DUMMYFUNCTION("INDIRECT(""'收支紀錄'!I""&amp;TO_TEXT(ROW()-$C$72))"),"")</f>
        <v/>
      </c>
      <c r="J2072" s="61" t="str">
        <f>IFERROR(__xludf.DUMMYFUNCTION("INDIRECT(""'收支紀錄'!J""&amp;TO_TEXT(ROW()-$C$72))"),"")</f>
        <v/>
      </c>
      <c r="K2072" s="61" t="str">
        <f>IFERROR(__xludf.DUMMYFUNCTION("INDIRECT(""'收支紀錄'!K""&amp;TO_TEXT(ROW()-$C$72))"),"")</f>
        <v/>
      </c>
      <c r="L2072" s="61" t="str">
        <f>IFERROR(__xludf.DUMMYFUNCTION("INDIRECT(""'收支紀錄'!L""&amp;TO_TEXT(ROW()-$C$72))"),"")</f>
        <v/>
      </c>
      <c r="M2072" s="61" t="str">
        <f>IFERROR(__xludf.DUMMYFUNCTION("INDIRECT(""'收支紀錄'!M""&amp;TO_TEXT(ROW()-$C$72))"),"")</f>
        <v/>
      </c>
      <c r="N2072" s="61" t="str">
        <f>IFERROR(__xludf.DUMMYFUNCTION("INDIRECT(""'收支紀錄'!N""&amp;TO_TEXT(ROW()-$C$72))"),"")</f>
        <v/>
      </c>
      <c r="O2072" s="61" t="str">
        <f>IFERROR(__xludf.DUMMYFUNCTION("INDIRECT(""'收支紀錄'!O""&amp;TO_TEXT(ROW()-$C$72))"),"")</f>
        <v/>
      </c>
      <c r="P2072" s="61" t="str">
        <f>IFERROR(__xludf.DUMMYFUNCTION("INDIRECT(""'收支紀錄'!P""&amp;TO_TEXT(ROW()-$C$72))"),"")</f>
        <v/>
      </c>
      <c r="Q2072" s="61" t="str">
        <f>IFERROR(__xludf.DUMMYFUNCTION("INDIRECT(""'收支紀錄'!Q""&amp;TO_TEXT(ROW()-$C$72))"),"")</f>
        <v/>
      </c>
      <c r="R2072" s="61" t="str">
        <f>IFERROR(__xludf.DUMMYFUNCTION("INDIRECT(""'收支紀錄'!R""&amp;TO_TEXT(ROW()-$C$72))"),"")</f>
        <v/>
      </c>
      <c r="S2072" s="61" t="str">
        <f>IFERROR(__xludf.DUMMYFUNCTION("INDIRECT(""'收支紀錄'!S""&amp;TO_TEXT(ROW()-$C$72))"),"")</f>
        <v/>
      </c>
      <c r="T2072" s="61" t="str">
        <f>IFERROR(__xludf.DUMMYFUNCTION("INDIRECT(""'收支紀錄'!T""&amp;TO_TEXT(ROW()-$C$72))"),"")</f>
        <v/>
      </c>
      <c r="U2072" s="62" t="str">
        <f>IFERROR(__xludf.DUMMYFUNCTION("IF(T2072=""是"",TEXTJOIN("""", TRUE, ""$"", TO_TEXT(C2072), S2072),"""")"),"")</f>
        <v/>
      </c>
    </row>
    <row r="2073">
      <c r="A2073" s="58" t="str">
        <f>IFERROR(__xludf.DUMMYFUNCTION("INDIRECT(""'收支紀錄'!A""&amp;TO_TEXT(ROW()-$C$72))"),"")</f>
        <v/>
      </c>
      <c r="B2073" s="59" t="str">
        <f>IFERROR(__xludf.DUMMYFUNCTION("IF(ISBLANK(D2073), """", IF(ISDATE(D2073), D2073, IF(D2073=""今天"", A2073, IF(D2073=""昨天 (-1 day)"", A2073-1, IF(D2073=""前天 (-2 days)"", A2073-2, IF(D2073=""明天 (+1 day)"", A2073+1, DATE(LEFT(D2073,4), MID(D2073,5,2), RIGHT(D2073,2))))))))"),"")</f>
        <v/>
      </c>
      <c r="C2073" s="60" t="str">
        <f>IFERROR(__xludf.DUMMYFUNCTION("INDIRECT(""'收支紀錄'!C""&amp;TO_TEXT(ROW()-$C$72))"),"")</f>
        <v/>
      </c>
      <c r="D2073" s="63" t="str">
        <f>IFERROR(__xludf.DUMMYFUNCTION("INDIRECT(""'收支紀錄'!D""&amp;TO_TEXT(ROW()-$C$72))"),"")</f>
        <v/>
      </c>
      <c r="E2073" s="61" t="str">
        <f>IFERROR(__xludf.DUMMYFUNCTION("INDIRECT(""'收支紀錄'!E""&amp;TO_TEXT(ROW()-$C$72))"),"")</f>
        <v/>
      </c>
      <c r="F2073" s="61" t="str">
        <f>IFERROR(__xludf.DUMMYFUNCTION("INDIRECT(""'收支紀錄'!F""&amp;TO_TEXT(ROW()-$C$72))"),"")</f>
        <v/>
      </c>
      <c r="G2073" s="61" t="str">
        <f>IFERROR(__xludf.DUMMYFUNCTION("INDIRECT(""'收支紀錄'!G""&amp;TO_TEXT(ROW()-$C$72))"),"")</f>
        <v/>
      </c>
      <c r="H2073" s="61" t="str">
        <f>IFERROR(__xludf.DUMMYFUNCTION("INDIRECT(""'收支紀錄'!H""&amp;TO_TEXT(ROW()-$C$72))"),"")</f>
        <v/>
      </c>
      <c r="I2073" s="61" t="str">
        <f>IFERROR(__xludf.DUMMYFUNCTION("INDIRECT(""'收支紀錄'!I""&amp;TO_TEXT(ROW()-$C$72))"),"")</f>
        <v/>
      </c>
      <c r="J2073" s="61" t="str">
        <f>IFERROR(__xludf.DUMMYFUNCTION("INDIRECT(""'收支紀錄'!J""&amp;TO_TEXT(ROW()-$C$72))"),"")</f>
        <v/>
      </c>
      <c r="K2073" s="61" t="str">
        <f>IFERROR(__xludf.DUMMYFUNCTION("INDIRECT(""'收支紀錄'!K""&amp;TO_TEXT(ROW()-$C$72))"),"")</f>
        <v/>
      </c>
      <c r="L2073" s="61" t="str">
        <f>IFERROR(__xludf.DUMMYFUNCTION("INDIRECT(""'收支紀錄'!L""&amp;TO_TEXT(ROW()-$C$72))"),"")</f>
        <v/>
      </c>
      <c r="M2073" s="61" t="str">
        <f>IFERROR(__xludf.DUMMYFUNCTION("INDIRECT(""'收支紀錄'!M""&amp;TO_TEXT(ROW()-$C$72))"),"")</f>
        <v/>
      </c>
      <c r="N2073" s="61" t="str">
        <f>IFERROR(__xludf.DUMMYFUNCTION("INDIRECT(""'收支紀錄'!N""&amp;TO_TEXT(ROW()-$C$72))"),"")</f>
        <v/>
      </c>
      <c r="O2073" s="61" t="str">
        <f>IFERROR(__xludf.DUMMYFUNCTION("INDIRECT(""'收支紀錄'!O""&amp;TO_TEXT(ROW()-$C$72))"),"")</f>
        <v/>
      </c>
      <c r="P2073" s="61" t="str">
        <f>IFERROR(__xludf.DUMMYFUNCTION("INDIRECT(""'收支紀錄'!P""&amp;TO_TEXT(ROW()-$C$72))"),"")</f>
        <v/>
      </c>
      <c r="Q2073" s="61" t="str">
        <f>IFERROR(__xludf.DUMMYFUNCTION("INDIRECT(""'收支紀錄'!Q""&amp;TO_TEXT(ROW()-$C$72))"),"")</f>
        <v/>
      </c>
      <c r="R2073" s="61" t="str">
        <f>IFERROR(__xludf.DUMMYFUNCTION("INDIRECT(""'收支紀錄'!R""&amp;TO_TEXT(ROW()-$C$72))"),"")</f>
        <v/>
      </c>
      <c r="S2073" s="61" t="str">
        <f>IFERROR(__xludf.DUMMYFUNCTION("INDIRECT(""'收支紀錄'!S""&amp;TO_TEXT(ROW()-$C$72))"),"")</f>
        <v/>
      </c>
      <c r="T2073" s="61" t="str">
        <f>IFERROR(__xludf.DUMMYFUNCTION("INDIRECT(""'收支紀錄'!T""&amp;TO_TEXT(ROW()-$C$72))"),"")</f>
        <v/>
      </c>
      <c r="U2073" s="62" t="str">
        <f>IFERROR(__xludf.DUMMYFUNCTION("IF(T2073=""是"",TEXTJOIN("""", TRUE, ""$"", TO_TEXT(C2073), S2073),"""")"),"")</f>
        <v/>
      </c>
    </row>
    <row r="2074">
      <c r="A2074" s="58" t="str">
        <f>IFERROR(__xludf.DUMMYFUNCTION("INDIRECT(""'收支紀錄'!A""&amp;TO_TEXT(ROW()-$C$72))"),"")</f>
        <v/>
      </c>
      <c r="B2074" s="59" t="str">
        <f>IFERROR(__xludf.DUMMYFUNCTION("IF(ISBLANK(D2074), """", IF(ISDATE(D2074), D2074, IF(D2074=""今天"", A2074, IF(D2074=""昨天 (-1 day)"", A2074-1, IF(D2074=""前天 (-2 days)"", A2074-2, IF(D2074=""明天 (+1 day)"", A2074+1, DATE(LEFT(D2074,4), MID(D2074,5,2), RIGHT(D2074,2))))))))"),"")</f>
        <v/>
      </c>
      <c r="C2074" s="60" t="str">
        <f>IFERROR(__xludf.DUMMYFUNCTION("INDIRECT(""'收支紀錄'!C""&amp;TO_TEXT(ROW()-$C$72))"),"")</f>
        <v/>
      </c>
      <c r="D2074" s="63" t="str">
        <f>IFERROR(__xludf.DUMMYFUNCTION("INDIRECT(""'收支紀錄'!D""&amp;TO_TEXT(ROW()-$C$72))"),"")</f>
        <v/>
      </c>
      <c r="E2074" s="61" t="str">
        <f>IFERROR(__xludf.DUMMYFUNCTION("INDIRECT(""'收支紀錄'!E""&amp;TO_TEXT(ROW()-$C$72))"),"")</f>
        <v/>
      </c>
      <c r="F2074" s="61" t="str">
        <f>IFERROR(__xludf.DUMMYFUNCTION("INDIRECT(""'收支紀錄'!F""&amp;TO_TEXT(ROW()-$C$72))"),"")</f>
        <v/>
      </c>
      <c r="G2074" s="61" t="str">
        <f>IFERROR(__xludf.DUMMYFUNCTION("INDIRECT(""'收支紀錄'!G""&amp;TO_TEXT(ROW()-$C$72))"),"")</f>
        <v/>
      </c>
      <c r="H2074" s="61" t="str">
        <f>IFERROR(__xludf.DUMMYFUNCTION("INDIRECT(""'收支紀錄'!H""&amp;TO_TEXT(ROW()-$C$72))"),"")</f>
        <v/>
      </c>
      <c r="I2074" s="61" t="str">
        <f>IFERROR(__xludf.DUMMYFUNCTION("INDIRECT(""'收支紀錄'!I""&amp;TO_TEXT(ROW()-$C$72))"),"")</f>
        <v/>
      </c>
      <c r="J2074" s="61" t="str">
        <f>IFERROR(__xludf.DUMMYFUNCTION("INDIRECT(""'收支紀錄'!J""&amp;TO_TEXT(ROW()-$C$72))"),"")</f>
        <v/>
      </c>
      <c r="K2074" s="61" t="str">
        <f>IFERROR(__xludf.DUMMYFUNCTION("INDIRECT(""'收支紀錄'!K""&amp;TO_TEXT(ROW()-$C$72))"),"")</f>
        <v/>
      </c>
      <c r="L2074" s="61" t="str">
        <f>IFERROR(__xludf.DUMMYFUNCTION("INDIRECT(""'收支紀錄'!L""&amp;TO_TEXT(ROW()-$C$72))"),"")</f>
        <v/>
      </c>
      <c r="M2074" s="61" t="str">
        <f>IFERROR(__xludf.DUMMYFUNCTION("INDIRECT(""'收支紀錄'!M""&amp;TO_TEXT(ROW()-$C$72))"),"")</f>
        <v/>
      </c>
      <c r="N2074" s="61" t="str">
        <f>IFERROR(__xludf.DUMMYFUNCTION("INDIRECT(""'收支紀錄'!N""&amp;TO_TEXT(ROW()-$C$72))"),"")</f>
        <v/>
      </c>
      <c r="O2074" s="61" t="str">
        <f>IFERROR(__xludf.DUMMYFUNCTION("INDIRECT(""'收支紀錄'!O""&amp;TO_TEXT(ROW()-$C$72))"),"")</f>
        <v/>
      </c>
      <c r="P2074" s="61" t="str">
        <f>IFERROR(__xludf.DUMMYFUNCTION("INDIRECT(""'收支紀錄'!P""&amp;TO_TEXT(ROW()-$C$72))"),"")</f>
        <v/>
      </c>
      <c r="Q2074" s="61" t="str">
        <f>IFERROR(__xludf.DUMMYFUNCTION("INDIRECT(""'收支紀錄'!Q""&amp;TO_TEXT(ROW()-$C$72))"),"")</f>
        <v/>
      </c>
      <c r="R2074" s="61" t="str">
        <f>IFERROR(__xludf.DUMMYFUNCTION("INDIRECT(""'收支紀錄'!R""&amp;TO_TEXT(ROW()-$C$72))"),"")</f>
        <v/>
      </c>
      <c r="S2074" s="61" t="str">
        <f>IFERROR(__xludf.DUMMYFUNCTION("INDIRECT(""'收支紀錄'!S""&amp;TO_TEXT(ROW()-$C$72))"),"")</f>
        <v/>
      </c>
      <c r="T2074" s="61" t="str">
        <f>IFERROR(__xludf.DUMMYFUNCTION("INDIRECT(""'收支紀錄'!T""&amp;TO_TEXT(ROW()-$C$72))"),"")</f>
        <v/>
      </c>
      <c r="U2074" s="62" t="str">
        <f>IFERROR(__xludf.DUMMYFUNCTION("IF(T2074=""是"",TEXTJOIN("""", TRUE, ""$"", TO_TEXT(C2074), S2074),"""")"),"")</f>
        <v/>
      </c>
    </row>
    <row r="2075">
      <c r="A2075" s="58" t="str">
        <f>IFERROR(__xludf.DUMMYFUNCTION("INDIRECT(""'收支紀錄'!A""&amp;TO_TEXT(ROW()-$C$72))"),"")</f>
        <v/>
      </c>
      <c r="B2075" s="59" t="str">
        <f>IFERROR(__xludf.DUMMYFUNCTION("IF(ISBLANK(D2075), """", IF(ISDATE(D2075), D2075, IF(D2075=""今天"", A2075, IF(D2075=""昨天 (-1 day)"", A2075-1, IF(D2075=""前天 (-2 days)"", A2075-2, IF(D2075=""明天 (+1 day)"", A2075+1, DATE(LEFT(D2075,4), MID(D2075,5,2), RIGHT(D2075,2))))))))"),"")</f>
        <v/>
      </c>
      <c r="C2075" s="60" t="str">
        <f>IFERROR(__xludf.DUMMYFUNCTION("INDIRECT(""'收支紀錄'!C""&amp;TO_TEXT(ROW()-$C$72))"),"")</f>
        <v/>
      </c>
      <c r="D2075" s="63" t="str">
        <f>IFERROR(__xludf.DUMMYFUNCTION("INDIRECT(""'收支紀錄'!D""&amp;TO_TEXT(ROW()-$C$72))"),"")</f>
        <v/>
      </c>
      <c r="E2075" s="61" t="str">
        <f>IFERROR(__xludf.DUMMYFUNCTION("INDIRECT(""'收支紀錄'!E""&amp;TO_TEXT(ROW()-$C$72))"),"")</f>
        <v/>
      </c>
      <c r="F2075" s="61" t="str">
        <f>IFERROR(__xludf.DUMMYFUNCTION("INDIRECT(""'收支紀錄'!F""&amp;TO_TEXT(ROW()-$C$72))"),"")</f>
        <v/>
      </c>
      <c r="G2075" s="61" t="str">
        <f>IFERROR(__xludf.DUMMYFUNCTION("INDIRECT(""'收支紀錄'!G""&amp;TO_TEXT(ROW()-$C$72))"),"")</f>
        <v/>
      </c>
      <c r="H2075" s="61" t="str">
        <f>IFERROR(__xludf.DUMMYFUNCTION("INDIRECT(""'收支紀錄'!H""&amp;TO_TEXT(ROW()-$C$72))"),"")</f>
        <v/>
      </c>
      <c r="I2075" s="61" t="str">
        <f>IFERROR(__xludf.DUMMYFUNCTION("INDIRECT(""'收支紀錄'!I""&amp;TO_TEXT(ROW()-$C$72))"),"")</f>
        <v/>
      </c>
      <c r="J2075" s="61" t="str">
        <f>IFERROR(__xludf.DUMMYFUNCTION("INDIRECT(""'收支紀錄'!J""&amp;TO_TEXT(ROW()-$C$72))"),"")</f>
        <v/>
      </c>
      <c r="K2075" s="61" t="str">
        <f>IFERROR(__xludf.DUMMYFUNCTION("INDIRECT(""'收支紀錄'!K""&amp;TO_TEXT(ROW()-$C$72))"),"")</f>
        <v/>
      </c>
      <c r="L2075" s="61" t="str">
        <f>IFERROR(__xludf.DUMMYFUNCTION("INDIRECT(""'收支紀錄'!L""&amp;TO_TEXT(ROW()-$C$72))"),"")</f>
        <v/>
      </c>
      <c r="M2075" s="61" t="str">
        <f>IFERROR(__xludf.DUMMYFUNCTION("INDIRECT(""'收支紀錄'!M""&amp;TO_TEXT(ROW()-$C$72))"),"")</f>
        <v/>
      </c>
      <c r="N2075" s="61" t="str">
        <f>IFERROR(__xludf.DUMMYFUNCTION("INDIRECT(""'收支紀錄'!N""&amp;TO_TEXT(ROW()-$C$72))"),"")</f>
        <v/>
      </c>
      <c r="O2075" s="61" t="str">
        <f>IFERROR(__xludf.DUMMYFUNCTION("INDIRECT(""'收支紀錄'!O""&amp;TO_TEXT(ROW()-$C$72))"),"")</f>
        <v/>
      </c>
      <c r="P2075" s="61" t="str">
        <f>IFERROR(__xludf.DUMMYFUNCTION("INDIRECT(""'收支紀錄'!P""&amp;TO_TEXT(ROW()-$C$72))"),"")</f>
        <v/>
      </c>
      <c r="Q2075" s="61" t="str">
        <f>IFERROR(__xludf.DUMMYFUNCTION("INDIRECT(""'收支紀錄'!Q""&amp;TO_TEXT(ROW()-$C$72))"),"")</f>
        <v/>
      </c>
      <c r="R2075" s="61" t="str">
        <f>IFERROR(__xludf.DUMMYFUNCTION("INDIRECT(""'收支紀錄'!R""&amp;TO_TEXT(ROW()-$C$72))"),"")</f>
        <v/>
      </c>
      <c r="S2075" s="61" t="str">
        <f>IFERROR(__xludf.DUMMYFUNCTION("INDIRECT(""'收支紀錄'!S""&amp;TO_TEXT(ROW()-$C$72))"),"")</f>
        <v/>
      </c>
      <c r="T2075" s="61" t="str">
        <f>IFERROR(__xludf.DUMMYFUNCTION("INDIRECT(""'收支紀錄'!T""&amp;TO_TEXT(ROW()-$C$72))"),"")</f>
        <v/>
      </c>
      <c r="U2075" s="62" t="str">
        <f>IFERROR(__xludf.DUMMYFUNCTION("IF(T2075=""是"",TEXTJOIN("""", TRUE, ""$"", TO_TEXT(C2075), S2075),"""")"),"")</f>
        <v/>
      </c>
    </row>
    <row r="2076">
      <c r="A2076" s="58" t="str">
        <f>IFERROR(__xludf.DUMMYFUNCTION("INDIRECT(""'收支紀錄'!A""&amp;TO_TEXT(ROW()-$C$72))"),"")</f>
        <v/>
      </c>
      <c r="B2076" s="59" t="str">
        <f>IFERROR(__xludf.DUMMYFUNCTION("IF(ISBLANK(D2076), """", IF(ISDATE(D2076), D2076, IF(D2076=""今天"", A2076, IF(D2076=""昨天 (-1 day)"", A2076-1, IF(D2076=""前天 (-2 days)"", A2076-2, IF(D2076=""明天 (+1 day)"", A2076+1, DATE(LEFT(D2076,4), MID(D2076,5,2), RIGHT(D2076,2))))))))"),"")</f>
        <v/>
      </c>
      <c r="C2076" s="60" t="str">
        <f>IFERROR(__xludf.DUMMYFUNCTION("INDIRECT(""'收支紀錄'!C""&amp;TO_TEXT(ROW()-$C$72))"),"")</f>
        <v/>
      </c>
      <c r="D2076" s="63" t="str">
        <f>IFERROR(__xludf.DUMMYFUNCTION("INDIRECT(""'收支紀錄'!D""&amp;TO_TEXT(ROW()-$C$72))"),"")</f>
        <v/>
      </c>
      <c r="E2076" s="61" t="str">
        <f>IFERROR(__xludf.DUMMYFUNCTION("INDIRECT(""'收支紀錄'!E""&amp;TO_TEXT(ROW()-$C$72))"),"")</f>
        <v/>
      </c>
      <c r="F2076" s="61" t="str">
        <f>IFERROR(__xludf.DUMMYFUNCTION("INDIRECT(""'收支紀錄'!F""&amp;TO_TEXT(ROW()-$C$72))"),"")</f>
        <v/>
      </c>
      <c r="G2076" s="61" t="str">
        <f>IFERROR(__xludf.DUMMYFUNCTION("INDIRECT(""'收支紀錄'!G""&amp;TO_TEXT(ROW()-$C$72))"),"")</f>
        <v/>
      </c>
      <c r="H2076" s="61" t="str">
        <f>IFERROR(__xludf.DUMMYFUNCTION("INDIRECT(""'收支紀錄'!H""&amp;TO_TEXT(ROW()-$C$72))"),"")</f>
        <v/>
      </c>
      <c r="I2076" s="61" t="str">
        <f>IFERROR(__xludf.DUMMYFUNCTION("INDIRECT(""'收支紀錄'!I""&amp;TO_TEXT(ROW()-$C$72))"),"")</f>
        <v/>
      </c>
      <c r="J2076" s="61" t="str">
        <f>IFERROR(__xludf.DUMMYFUNCTION("INDIRECT(""'收支紀錄'!J""&amp;TO_TEXT(ROW()-$C$72))"),"")</f>
        <v/>
      </c>
      <c r="K2076" s="61" t="str">
        <f>IFERROR(__xludf.DUMMYFUNCTION("INDIRECT(""'收支紀錄'!K""&amp;TO_TEXT(ROW()-$C$72))"),"")</f>
        <v/>
      </c>
      <c r="L2076" s="61" t="str">
        <f>IFERROR(__xludf.DUMMYFUNCTION("INDIRECT(""'收支紀錄'!L""&amp;TO_TEXT(ROW()-$C$72))"),"")</f>
        <v/>
      </c>
      <c r="M2076" s="61" t="str">
        <f>IFERROR(__xludf.DUMMYFUNCTION("INDIRECT(""'收支紀錄'!M""&amp;TO_TEXT(ROW()-$C$72))"),"")</f>
        <v/>
      </c>
      <c r="N2076" s="61" t="str">
        <f>IFERROR(__xludf.DUMMYFUNCTION("INDIRECT(""'收支紀錄'!N""&amp;TO_TEXT(ROW()-$C$72))"),"")</f>
        <v/>
      </c>
      <c r="O2076" s="61" t="str">
        <f>IFERROR(__xludf.DUMMYFUNCTION("INDIRECT(""'收支紀錄'!O""&amp;TO_TEXT(ROW()-$C$72))"),"")</f>
        <v/>
      </c>
      <c r="P2076" s="61" t="str">
        <f>IFERROR(__xludf.DUMMYFUNCTION("INDIRECT(""'收支紀錄'!P""&amp;TO_TEXT(ROW()-$C$72))"),"")</f>
        <v/>
      </c>
      <c r="Q2076" s="61" t="str">
        <f>IFERROR(__xludf.DUMMYFUNCTION("INDIRECT(""'收支紀錄'!Q""&amp;TO_TEXT(ROW()-$C$72))"),"")</f>
        <v/>
      </c>
      <c r="R2076" s="61" t="str">
        <f>IFERROR(__xludf.DUMMYFUNCTION("INDIRECT(""'收支紀錄'!R""&amp;TO_TEXT(ROW()-$C$72))"),"")</f>
        <v/>
      </c>
      <c r="S2076" s="61" t="str">
        <f>IFERROR(__xludf.DUMMYFUNCTION("INDIRECT(""'收支紀錄'!S""&amp;TO_TEXT(ROW()-$C$72))"),"")</f>
        <v/>
      </c>
      <c r="T2076" s="61" t="str">
        <f>IFERROR(__xludf.DUMMYFUNCTION("INDIRECT(""'收支紀錄'!T""&amp;TO_TEXT(ROW()-$C$72))"),"")</f>
        <v/>
      </c>
      <c r="U2076" s="62" t="str">
        <f>IFERROR(__xludf.DUMMYFUNCTION("IF(T2076=""是"",TEXTJOIN("""", TRUE, ""$"", TO_TEXT(C2076), S2076),"""")"),"")</f>
        <v/>
      </c>
    </row>
    <row r="2077">
      <c r="A2077" s="58" t="str">
        <f>IFERROR(__xludf.DUMMYFUNCTION("INDIRECT(""'收支紀錄'!A""&amp;TO_TEXT(ROW()-$C$72))"),"")</f>
        <v/>
      </c>
      <c r="B2077" s="59" t="str">
        <f>IFERROR(__xludf.DUMMYFUNCTION("IF(ISBLANK(D2077), """", IF(ISDATE(D2077), D2077, IF(D2077=""今天"", A2077, IF(D2077=""昨天 (-1 day)"", A2077-1, IF(D2077=""前天 (-2 days)"", A2077-2, IF(D2077=""明天 (+1 day)"", A2077+1, DATE(LEFT(D2077,4), MID(D2077,5,2), RIGHT(D2077,2))))))))"),"")</f>
        <v/>
      </c>
      <c r="C2077" s="60" t="str">
        <f>IFERROR(__xludf.DUMMYFUNCTION("INDIRECT(""'收支紀錄'!C""&amp;TO_TEXT(ROW()-$C$72))"),"")</f>
        <v/>
      </c>
      <c r="D2077" s="63" t="str">
        <f>IFERROR(__xludf.DUMMYFUNCTION("INDIRECT(""'收支紀錄'!D""&amp;TO_TEXT(ROW()-$C$72))"),"")</f>
        <v/>
      </c>
      <c r="E2077" s="61" t="str">
        <f>IFERROR(__xludf.DUMMYFUNCTION("INDIRECT(""'收支紀錄'!E""&amp;TO_TEXT(ROW()-$C$72))"),"")</f>
        <v/>
      </c>
      <c r="F2077" s="61" t="str">
        <f>IFERROR(__xludf.DUMMYFUNCTION("INDIRECT(""'收支紀錄'!F""&amp;TO_TEXT(ROW()-$C$72))"),"")</f>
        <v/>
      </c>
      <c r="G2077" s="61" t="str">
        <f>IFERROR(__xludf.DUMMYFUNCTION("INDIRECT(""'收支紀錄'!G""&amp;TO_TEXT(ROW()-$C$72))"),"")</f>
        <v/>
      </c>
      <c r="H2077" s="61" t="str">
        <f>IFERROR(__xludf.DUMMYFUNCTION("INDIRECT(""'收支紀錄'!H""&amp;TO_TEXT(ROW()-$C$72))"),"")</f>
        <v/>
      </c>
      <c r="I2077" s="61" t="str">
        <f>IFERROR(__xludf.DUMMYFUNCTION("INDIRECT(""'收支紀錄'!I""&amp;TO_TEXT(ROW()-$C$72))"),"")</f>
        <v/>
      </c>
      <c r="J2077" s="61" t="str">
        <f>IFERROR(__xludf.DUMMYFUNCTION("INDIRECT(""'收支紀錄'!J""&amp;TO_TEXT(ROW()-$C$72))"),"")</f>
        <v/>
      </c>
      <c r="K2077" s="61" t="str">
        <f>IFERROR(__xludf.DUMMYFUNCTION("INDIRECT(""'收支紀錄'!K""&amp;TO_TEXT(ROW()-$C$72))"),"")</f>
        <v/>
      </c>
      <c r="L2077" s="61" t="str">
        <f>IFERROR(__xludf.DUMMYFUNCTION("INDIRECT(""'收支紀錄'!L""&amp;TO_TEXT(ROW()-$C$72))"),"")</f>
        <v/>
      </c>
      <c r="M2077" s="61" t="str">
        <f>IFERROR(__xludf.DUMMYFUNCTION("INDIRECT(""'收支紀錄'!M""&amp;TO_TEXT(ROW()-$C$72))"),"")</f>
        <v/>
      </c>
      <c r="N2077" s="61" t="str">
        <f>IFERROR(__xludf.DUMMYFUNCTION("INDIRECT(""'收支紀錄'!N""&amp;TO_TEXT(ROW()-$C$72))"),"")</f>
        <v/>
      </c>
      <c r="O2077" s="61" t="str">
        <f>IFERROR(__xludf.DUMMYFUNCTION("INDIRECT(""'收支紀錄'!O""&amp;TO_TEXT(ROW()-$C$72))"),"")</f>
        <v/>
      </c>
      <c r="P2077" s="61" t="str">
        <f>IFERROR(__xludf.DUMMYFUNCTION("INDIRECT(""'收支紀錄'!P""&amp;TO_TEXT(ROW()-$C$72))"),"")</f>
        <v/>
      </c>
      <c r="Q2077" s="61" t="str">
        <f>IFERROR(__xludf.DUMMYFUNCTION("INDIRECT(""'收支紀錄'!Q""&amp;TO_TEXT(ROW()-$C$72))"),"")</f>
        <v/>
      </c>
      <c r="R2077" s="61" t="str">
        <f>IFERROR(__xludf.DUMMYFUNCTION("INDIRECT(""'收支紀錄'!R""&amp;TO_TEXT(ROW()-$C$72))"),"")</f>
        <v/>
      </c>
      <c r="S2077" s="61" t="str">
        <f>IFERROR(__xludf.DUMMYFUNCTION("INDIRECT(""'收支紀錄'!S""&amp;TO_TEXT(ROW()-$C$72))"),"")</f>
        <v/>
      </c>
      <c r="T2077" s="61" t="str">
        <f>IFERROR(__xludf.DUMMYFUNCTION("INDIRECT(""'收支紀錄'!T""&amp;TO_TEXT(ROW()-$C$72))"),"")</f>
        <v/>
      </c>
      <c r="U2077" s="62" t="str">
        <f>IFERROR(__xludf.DUMMYFUNCTION("IF(T2077=""是"",TEXTJOIN("""", TRUE, ""$"", TO_TEXT(C2077), S2077),"""")"),"")</f>
        <v/>
      </c>
    </row>
    <row r="2078">
      <c r="A2078" s="58" t="str">
        <f>IFERROR(__xludf.DUMMYFUNCTION("INDIRECT(""'收支紀錄'!A""&amp;TO_TEXT(ROW()-$C$72))"),"")</f>
        <v/>
      </c>
      <c r="B2078" s="59" t="str">
        <f>IFERROR(__xludf.DUMMYFUNCTION("IF(ISBLANK(D2078), """", IF(ISDATE(D2078), D2078, IF(D2078=""今天"", A2078, IF(D2078=""昨天 (-1 day)"", A2078-1, IF(D2078=""前天 (-2 days)"", A2078-2, IF(D2078=""明天 (+1 day)"", A2078+1, DATE(LEFT(D2078,4), MID(D2078,5,2), RIGHT(D2078,2))))))))"),"")</f>
        <v/>
      </c>
      <c r="C2078" s="60" t="str">
        <f>IFERROR(__xludf.DUMMYFUNCTION("INDIRECT(""'收支紀錄'!C""&amp;TO_TEXT(ROW()-$C$72))"),"")</f>
        <v/>
      </c>
      <c r="D2078" s="63" t="str">
        <f>IFERROR(__xludf.DUMMYFUNCTION("INDIRECT(""'收支紀錄'!D""&amp;TO_TEXT(ROW()-$C$72))"),"")</f>
        <v/>
      </c>
      <c r="E2078" s="61" t="str">
        <f>IFERROR(__xludf.DUMMYFUNCTION("INDIRECT(""'收支紀錄'!E""&amp;TO_TEXT(ROW()-$C$72))"),"")</f>
        <v/>
      </c>
      <c r="F2078" s="61" t="str">
        <f>IFERROR(__xludf.DUMMYFUNCTION("INDIRECT(""'收支紀錄'!F""&amp;TO_TEXT(ROW()-$C$72))"),"")</f>
        <v/>
      </c>
      <c r="G2078" s="61" t="str">
        <f>IFERROR(__xludf.DUMMYFUNCTION("INDIRECT(""'收支紀錄'!G""&amp;TO_TEXT(ROW()-$C$72))"),"")</f>
        <v/>
      </c>
      <c r="H2078" s="61" t="str">
        <f>IFERROR(__xludf.DUMMYFUNCTION("INDIRECT(""'收支紀錄'!H""&amp;TO_TEXT(ROW()-$C$72))"),"")</f>
        <v/>
      </c>
      <c r="I2078" s="61" t="str">
        <f>IFERROR(__xludf.DUMMYFUNCTION("INDIRECT(""'收支紀錄'!I""&amp;TO_TEXT(ROW()-$C$72))"),"")</f>
        <v/>
      </c>
      <c r="J2078" s="61" t="str">
        <f>IFERROR(__xludf.DUMMYFUNCTION("INDIRECT(""'收支紀錄'!J""&amp;TO_TEXT(ROW()-$C$72))"),"")</f>
        <v/>
      </c>
      <c r="K2078" s="61" t="str">
        <f>IFERROR(__xludf.DUMMYFUNCTION("INDIRECT(""'收支紀錄'!K""&amp;TO_TEXT(ROW()-$C$72))"),"")</f>
        <v/>
      </c>
      <c r="L2078" s="61" t="str">
        <f>IFERROR(__xludf.DUMMYFUNCTION("INDIRECT(""'收支紀錄'!L""&amp;TO_TEXT(ROW()-$C$72))"),"")</f>
        <v/>
      </c>
      <c r="M2078" s="61" t="str">
        <f>IFERROR(__xludf.DUMMYFUNCTION("INDIRECT(""'收支紀錄'!M""&amp;TO_TEXT(ROW()-$C$72))"),"")</f>
        <v/>
      </c>
      <c r="N2078" s="61" t="str">
        <f>IFERROR(__xludf.DUMMYFUNCTION("INDIRECT(""'收支紀錄'!N""&amp;TO_TEXT(ROW()-$C$72))"),"")</f>
        <v/>
      </c>
      <c r="O2078" s="61" t="str">
        <f>IFERROR(__xludf.DUMMYFUNCTION("INDIRECT(""'收支紀錄'!O""&amp;TO_TEXT(ROW()-$C$72))"),"")</f>
        <v/>
      </c>
      <c r="P2078" s="61" t="str">
        <f>IFERROR(__xludf.DUMMYFUNCTION("INDIRECT(""'收支紀錄'!P""&amp;TO_TEXT(ROW()-$C$72))"),"")</f>
        <v/>
      </c>
      <c r="Q2078" s="61" t="str">
        <f>IFERROR(__xludf.DUMMYFUNCTION("INDIRECT(""'收支紀錄'!Q""&amp;TO_TEXT(ROW()-$C$72))"),"")</f>
        <v/>
      </c>
      <c r="R2078" s="61" t="str">
        <f>IFERROR(__xludf.DUMMYFUNCTION("INDIRECT(""'收支紀錄'!R""&amp;TO_TEXT(ROW()-$C$72))"),"")</f>
        <v/>
      </c>
      <c r="S2078" s="61" t="str">
        <f>IFERROR(__xludf.DUMMYFUNCTION("INDIRECT(""'收支紀錄'!S""&amp;TO_TEXT(ROW()-$C$72))"),"")</f>
        <v/>
      </c>
      <c r="T2078" s="61" t="str">
        <f>IFERROR(__xludf.DUMMYFUNCTION("INDIRECT(""'收支紀錄'!T""&amp;TO_TEXT(ROW()-$C$72))"),"")</f>
        <v/>
      </c>
      <c r="U2078" s="62" t="str">
        <f>IFERROR(__xludf.DUMMYFUNCTION("IF(T2078=""是"",TEXTJOIN("""", TRUE, ""$"", TO_TEXT(C2078), S2078),"""")"),"")</f>
        <v/>
      </c>
    </row>
    <row r="2079">
      <c r="A2079" s="58" t="str">
        <f>IFERROR(__xludf.DUMMYFUNCTION("INDIRECT(""'收支紀錄'!A""&amp;TO_TEXT(ROW()-$C$72))"),"")</f>
        <v/>
      </c>
      <c r="B2079" s="59" t="str">
        <f>IFERROR(__xludf.DUMMYFUNCTION("IF(ISBLANK(D2079), """", IF(ISDATE(D2079), D2079, IF(D2079=""今天"", A2079, IF(D2079=""昨天 (-1 day)"", A2079-1, IF(D2079=""前天 (-2 days)"", A2079-2, IF(D2079=""明天 (+1 day)"", A2079+1, DATE(LEFT(D2079,4), MID(D2079,5,2), RIGHT(D2079,2))))))))"),"")</f>
        <v/>
      </c>
      <c r="C2079" s="60" t="str">
        <f>IFERROR(__xludf.DUMMYFUNCTION("INDIRECT(""'收支紀錄'!C""&amp;TO_TEXT(ROW()-$C$72))"),"")</f>
        <v/>
      </c>
      <c r="D2079" s="63" t="str">
        <f>IFERROR(__xludf.DUMMYFUNCTION("INDIRECT(""'收支紀錄'!D""&amp;TO_TEXT(ROW()-$C$72))"),"")</f>
        <v/>
      </c>
      <c r="E2079" s="61" t="str">
        <f>IFERROR(__xludf.DUMMYFUNCTION("INDIRECT(""'收支紀錄'!E""&amp;TO_TEXT(ROW()-$C$72))"),"")</f>
        <v/>
      </c>
      <c r="F2079" s="61" t="str">
        <f>IFERROR(__xludf.DUMMYFUNCTION("INDIRECT(""'收支紀錄'!F""&amp;TO_TEXT(ROW()-$C$72))"),"")</f>
        <v/>
      </c>
      <c r="G2079" s="61" t="str">
        <f>IFERROR(__xludf.DUMMYFUNCTION("INDIRECT(""'收支紀錄'!G""&amp;TO_TEXT(ROW()-$C$72))"),"")</f>
        <v/>
      </c>
      <c r="H2079" s="61" t="str">
        <f>IFERROR(__xludf.DUMMYFUNCTION("INDIRECT(""'收支紀錄'!H""&amp;TO_TEXT(ROW()-$C$72))"),"")</f>
        <v/>
      </c>
      <c r="I2079" s="61" t="str">
        <f>IFERROR(__xludf.DUMMYFUNCTION("INDIRECT(""'收支紀錄'!I""&amp;TO_TEXT(ROW()-$C$72))"),"")</f>
        <v/>
      </c>
      <c r="J2079" s="61" t="str">
        <f>IFERROR(__xludf.DUMMYFUNCTION("INDIRECT(""'收支紀錄'!J""&amp;TO_TEXT(ROW()-$C$72))"),"")</f>
        <v/>
      </c>
      <c r="K2079" s="61" t="str">
        <f>IFERROR(__xludf.DUMMYFUNCTION("INDIRECT(""'收支紀錄'!K""&amp;TO_TEXT(ROW()-$C$72))"),"")</f>
        <v/>
      </c>
      <c r="L2079" s="61" t="str">
        <f>IFERROR(__xludf.DUMMYFUNCTION("INDIRECT(""'收支紀錄'!L""&amp;TO_TEXT(ROW()-$C$72))"),"")</f>
        <v/>
      </c>
      <c r="M2079" s="61" t="str">
        <f>IFERROR(__xludf.DUMMYFUNCTION("INDIRECT(""'收支紀錄'!M""&amp;TO_TEXT(ROW()-$C$72))"),"")</f>
        <v/>
      </c>
      <c r="N2079" s="61" t="str">
        <f>IFERROR(__xludf.DUMMYFUNCTION("INDIRECT(""'收支紀錄'!N""&amp;TO_TEXT(ROW()-$C$72))"),"")</f>
        <v/>
      </c>
      <c r="O2079" s="61" t="str">
        <f>IFERROR(__xludf.DUMMYFUNCTION("INDIRECT(""'收支紀錄'!O""&amp;TO_TEXT(ROW()-$C$72))"),"")</f>
        <v/>
      </c>
      <c r="P2079" s="61" t="str">
        <f>IFERROR(__xludf.DUMMYFUNCTION("INDIRECT(""'收支紀錄'!P""&amp;TO_TEXT(ROW()-$C$72))"),"")</f>
        <v/>
      </c>
      <c r="Q2079" s="61" t="str">
        <f>IFERROR(__xludf.DUMMYFUNCTION("INDIRECT(""'收支紀錄'!Q""&amp;TO_TEXT(ROW()-$C$72))"),"")</f>
        <v/>
      </c>
      <c r="R2079" s="61" t="str">
        <f>IFERROR(__xludf.DUMMYFUNCTION("INDIRECT(""'收支紀錄'!R""&amp;TO_TEXT(ROW()-$C$72))"),"")</f>
        <v/>
      </c>
      <c r="S2079" s="61" t="str">
        <f>IFERROR(__xludf.DUMMYFUNCTION("INDIRECT(""'收支紀錄'!S""&amp;TO_TEXT(ROW()-$C$72))"),"")</f>
        <v/>
      </c>
      <c r="T2079" s="61" t="str">
        <f>IFERROR(__xludf.DUMMYFUNCTION("INDIRECT(""'收支紀錄'!T""&amp;TO_TEXT(ROW()-$C$72))"),"")</f>
        <v/>
      </c>
      <c r="U2079" s="62" t="str">
        <f>IFERROR(__xludf.DUMMYFUNCTION("IF(T2079=""是"",TEXTJOIN("""", TRUE, ""$"", TO_TEXT(C2079), S2079),"""")"),"")</f>
        <v/>
      </c>
    </row>
    <row r="2080">
      <c r="A2080" s="58" t="str">
        <f>IFERROR(__xludf.DUMMYFUNCTION("INDIRECT(""'收支紀錄'!A""&amp;TO_TEXT(ROW()-$C$72))"),"")</f>
        <v/>
      </c>
      <c r="B2080" s="59" t="str">
        <f>IFERROR(__xludf.DUMMYFUNCTION("IF(ISBLANK(D2080), """", IF(ISDATE(D2080), D2080, IF(D2080=""今天"", A2080, IF(D2080=""昨天 (-1 day)"", A2080-1, IF(D2080=""前天 (-2 days)"", A2080-2, IF(D2080=""明天 (+1 day)"", A2080+1, DATE(LEFT(D2080,4), MID(D2080,5,2), RIGHT(D2080,2))))))))"),"")</f>
        <v/>
      </c>
      <c r="C2080" s="60" t="str">
        <f>IFERROR(__xludf.DUMMYFUNCTION("INDIRECT(""'收支紀錄'!C""&amp;TO_TEXT(ROW()-$C$72))"),"")</f>
        <v/>
      </c>
      <c r="D2080" s="63" t="str">
        <f>IFERROR(__xludf.DUMMYFUNCTION("INDIRECT(""'收支紀錄'!D""&amp;TO_TEXT(ROW()-$C$72))"),"")</f>
        <v/>
      </c>
      <c r="E2080" s="61" t="str">
        <f>IFERROR(__xludf.DUMMYFUNCTION("INDIRECT(""'收支紀錄'!E""&amp;TO_TEXT(ROW()-$C$72))"),"")</f>
        <v/>
      </c>
      <c r="F2080" s="61" t="str">
        <f>IFERROR(__xludf.DUMMYFUNCTION("INDIRECT(""'收支紀錄'!F""&amp;TO_TEXT(ROW()-$C$72))"),"")</f>
        <v/>
      </c>
      <c r="G2080" s="61" t="str">
        <f>IFERROR(__xludf.DUMMYFUNCTION("INDIRECT(""'收支紀錄'!G""&amp;TO_TEXT(ROW()-$C$72))"),"")</f>
        <v/>
      </c>
      <c r="H2080" s="61" t="str">
        <f>IFERROR(__xludf.DUMMYFUNCTION("INDIRECT(""'收支紀錄'!H""&amp;TO_TEXT(ROW()-$C$72))"),"")</f>
        <v/>
      </c>
      <c r="I2080" s="61" t="str">
        <f>IFERROR(__xludf.DUMMYFUNCTION("INDIRECT(""'收支紀錄'!I""&amp;TO_TEXT(ROW()-$C$72))"),"")</f>
        <v/>
      </c>
      <c r="J2080" s="61" t="str">
        <f>IFERROR(__xludf.DUMMYFUNCTION("INDIRECT(""'收支紀錄'!J""&amp;TO_TEXT(ROW()-$C$72))"),"")</f>
        <v/>
      </c>
      <c r="K2080" s="61" t="str">
        <f>IFERROR(__xludf.DUMMYFUNCTION("INDIRECT(""'收支紀錄'!K""&amp;TO_TEXT(ROW()-$C$72))"),"")</f>
        <v/>
      </c>
      <c r="L2080" s="61" t="str">
        <f>IFERROR(__xludf.DUMMYFUNCTION("INDIRECT(""'收支紀錄'!L""&amp;TO_TEXT(ROW()-$C$72))"),"")</f>
        <v/>
      </c>
      <c r="M2080" s="61" t="str">
        <f>IFERROR(__xludf.DUMMYFUNCTION("INDIRECT(""'收支紀錄'!M""&amp;TO_TEXT(ROW()-$C$72))"),"")</f>
        <v/>
      </c>
      <c r="N2080" s="61" t="str">
        <f>IFERROR(__xludf.DUMMYFUNCTION("INDIRECT(""'收支紀錄'!N""&amp;TO_TEXT(ROW()-$C$72))"),"")</f>
        <v/>
      </c>
      <c r="O2080" s="61" t="str">
        <f>IFERROR(__xludf.DUMMYFUNCTION("INDIRECT(""'收支紀錄'!O""&amp;TO_TEXT(ROW()-$C$72))"),"")</f>
        <v/>
      </c>
      <c r="P2080" s="61" t="str">
        <f>IFERROR(__xludf.DUMMYFUNCTION("INDIRECT(""'收支紀錄'!P""&amp;TO_TEXT(ROW()-$C$72))"),"")</f>
        <v/>
      </c>
      <c r="Q2080" s="61" t="str">
        <f>IFERROR(__xludf.DUMMYFUNCTION("INDIRECT(""'收支紀錄'!Q""&amp;TO_TEXT(ROW()-$C$72))"),"")</f>
        <v/>
      </c>
      <c r="R2080" s="61" t="str">
        <f>IFERROR(__xludf.DUMMYFUNCTION("INDIRECT(""'收支紀錄'!R""&amp;TO_TEXT(ROW()-$C$72))"),"")</f>
        <v/>
      </c>
      <c r="S2080" s="61" t="str">
        <f>IFERROR(__xludf.DUMMYFUNCTION("INDIRECT(""'收支紀錄'!S""&amp;TO_TEXT(ROW()-$C$72))"),"")</f>
        <v/>
      </c>
      <c r="T2080" s="61" t="str">
        <f>IFERROR(__xludf.DUMMYFUNCTION("INDIRECT(""'收支紀錄'!T""&amp;TO_TEXT(ROW()-$C$72))"),"")</f>
        <v/>
      </c>
      <c r="U2080" s="62" t="str">
        <f>IFERROR(__xludf.DUMMYFUNCTION("IF(T2080=""是"",TEXTJOIN("""", TRUE, ""$"", TO_TEXT(C2080), S2080),"""")"),"")</f>
        <v/>
      </c>
    </row>
    <row r="2081">
      <c r="A2081" s="58" t="str">
        <f>IFERROR(__xludf.DUMMYFUNCTION("INDIRECT(""'收支紀錄'!A""&amp;TO_TEXT(ROW()-$C$72))"),"")</f>
        <v/>
      </c>
      <c r="B2081" s="59" t="str">
        <f>IFERROR(__xludf.DUMMYFUNCTION("IF(ISBLANK(D2081), """", IF(ISDATE(D2081), D2081, IF(D2081=""今天"", A2081, IF(D2081=""昨天 (-1 day)"", A2081-1, IF(D2081=""前天 (-2 days)"", A2081-2, IF(D2081=""明天 (+1 day)"", A2081+1, DATE(LEFT(D2081,4), MID(D2081,5,2), RIGHT(D2081,2))))))))"),"")</f>
        <v/>
      </c>
      <c r="C2081" s="60" t="str">
        <f>IFERROR(__xludf.DUMMYFUNCTION("INDIRECT(""'收支紀錄'!C""&amp;TO_TEXT(ROW()-$C$72))"),"")</f>
        <v/>
      </c>
      <c r="D2081" s="63" t="str">
        <f>IFERROR(__xludf.DUMMYFUNCTION("INDIRECT(""'收支紀錄'!D""&amp;TO_TEXT(ROW()-$C$72))"),"")</f>
        <v/>
      </c>
      <c r="E2081" s="61" t="str">
        <f>IFERROR(__xludf.DUMMYFUNCTION("INDIRECT(""'收支紀錄'!E""&amp;TO_TEXT(ROW()-$C$72))"),"")</f>
        <v/>
      </c>
      <c r="F2081" s="61" t="str">
        <f>IFERROR(__xludf.DUMMYFUNCTION("INDIRECT(""'收支紀錄'!F""&amp;TO_TEXT(ROW()-$C$72))"),"")</f>
        <v/>
      </c>
      <c r="G2081" s="61" t="str">
        <f>IFERROR(__xludf.DUMMYFUNCTION("INDIRECT(""'收支紀錄'!G""&amp;TO_TEXT(ROW()-$C$72))"),"")</f>
        <v/>
      </c>
      <c r="H2081" s="61" t="str">
        <f>IFERROR(__xludf.DUMMYFUNCTION("INDIRECT(""'收支紀錄'!H""&amp;TO_TEXT(ROW()-$C$72))"),"")</f>
        <v/>
      </c>
      <c r="I2081" s="61" t="str">
        <f>IFERROR(__xludf.DUMMYFUNCTION("INDIRECT(""'收支紀錄'!I""&amp;TO_TEXT(ROW()-$C$72))"),"")</f>
        <v/>
      </c>
      <c r="J2081" s="61" t="str">
        <f>IFERROR(__xludf.DUMMYFUNCTION("INDIRECT(""'收支紀錄'!J""&amp;TO_TEXT(ROW()-$C$72))"),"")</f>
        <v/>
      </c>
      <c r="K2081" s="61" t="str">
        <f>IFERROR(__xludf.DUMMYFUNCTION("INDIRECT(""'收支紀錄'!K""&amp;TO_TEXT(ROW()-$C$72))"),"")</f>
        <v/>
      </c>
      <c r="L2081" s="61" t="str">
        <f>IFERROR(__xludf.DUMMYFUNCTION("INDIRECT(""'收支紀錄'!L""&amp;TO_TEXT(ROW()-$C$72))"),"")</f>
        <v/>
      </c>
      <c r="M2081" s="61" t="str">
        <f>IFERROR(__xludf.DUMMYFUNCTION("INDIRECT(""'收支紀錄'!M""&amp;TO_TEXT(ROW()-$C$72))"),"")</f>
        <v/>
      </c>
      <c r="N2081" s="61" t="str">
        <f>IFERROR(__xludf.DUMMYFUNCTION("INDIRECT(""'收支紀錄'!N""&amp;TO_TEXT(ROW()-$C$72))"),"")</f>
        <v/>
      </c>
      <c r="O2081" s="61" t="str">
        <f>IFERROR(__xludf.DUMMYFUNCTION("INDIRECT(""'收支紀錄'!O""&amp;TO_TEXT(ROW()-$C$72))"),"")</f>
        <v/>
      </c>
      <c r="P2081" s="61" t="str">
        <f>IFERROR(__xludf.DUMMYFUNCTION("INDIRECT(""'收支紀錄'!P""&amp;TO_TEXT(ROW()-$C$72))"),"")</f>
        <v/>
      </c>
      <c r="Q2081" s="61" t="str">
        <f>IFERROR(__xludf.DUMMYFUNCTION("INDIRECT(""'收支紀錄'!Q""&amp;TO_TEXT(ROW()-$C$72))"),"")</f>
        <v/>
      </c>
      <c r="R2081" s="61" t="str">
        <f>IFERROR(__xludf.DUMMYFUNCTION("INDIRECT(""'收支紀錄'!R""&amp;TO_TEXT(ROW()-$C$72))"),"")</f>
        <v/>
      </c>
      <c r="S2081" s="61" t="str">
        <f>IFERROR(__xludf.DUMMYFUNCTION("INDIRECT(""'收支紀錄'!S""&amp;TO_TEXT(ROW()-$C$72))"),"")</f>
        <v/>
      </c>
      <c r="T2081" s="61" t="str">
        <f>IFERROR(__xludf.DUMMYFUNCTION("INDIRECT(""'收支紀錄'!T""&amp;TO_TEXT(ROW()-$C$72))"),"")</f>
        <v/>
      </c>
      <c r="U2081" s="62" t="str">
        <f>IFERROR(__xludf.DUMMYFUNCTION("IF(T2081=""是"",TEXTJOIN("""", TRUE, ""$"", TO_TEXT(C2081), S2081),"""")"),"")</f>
        <v/>
      </c>
    </row>
    <row r="2082">
      <c r="A2082" s="58" t="str">
        <f>IFERROR(__xludf.DUMMYFUNCTION("INDIRECT(""'收支紀錄'!A""&amp;TO_TEXT(ROW()-$C$72))"),"")</f>
        <v/>
      </c>
      <c r="B2082" s="59" t="str">
        <f>IFERROR(__xludf.DUMMYFUNCTION("IF(ISBLANK(D2082), """", IF(ISDATE(D2082), D2082, IF(D2082=""今天"", A2082, IF(D2082=""昨天 (-1 day)"", A2082-1, IF(D2082=""前天 (-2 days)"", A2082-2, IF(D2082=""明天 (+1 day)"", A2082+1, DATE(LEFT(D2082,4), MID(D2082,5,2), RIGHT(D2082,2))))))))"),"")</f>
        <v/>
      </c>
      <c r="C2082" s="60" t="str">
        <f>IFERROR(__xludf.DUMMYFUNCTION("INDIRECT(""'收支紀錄'!C""&amp;TO_TEXT(ROW()-$C$72))"),"")</f>
        <v/>
      </c>
      <c r="D2082" s="63" t="str">
        <f>IFERROR(__xludf.DUMMYFUNCTION("INDIRECT(""'收支紀錄'!D""&amp;TO_TEXT(ROW()-$C$72))"),"")</f>
        <v/>
      </c>
      <c r="E2082" s="61" t="str">
        <f>IFERROR(__xludf.DUMMYFUNCTION("INDIRECT(""'收支紀錄'!E""&amp;TO_TEXT(ROW()-$C$72))"),"")</f>
        <v/>
      </c>
      <c r="F2082" s="61" t="str">
        <f>IFERROR(__xludf.DUMMYFUNCTION("INDIRECT(""'收支紀錄'!F""&amp;TO_TEXT(ROW()-$C$72))"),"")</f>
        <v/>
      </c>
      <c r="G2082" s="61" t="str">
        <f>IFERROR(__xludf.DUMMYFUNCTION("INDIRECT(""'收支紀錄'!G""&amp;TO_TEXT(ROW()-$C$72))"),"")</f>
        <v/>
      </c>
      <c r="H2082" s="61" t="str">
        <f>IFERROR(__xludf.DUMMYFUNCTION("INDIRECT(""'收支紀錄'!H""&amp;TO_TEXT(ROW()-$C$72))"),"")</f>
        <v/>
      </c>
      <c r="I2082" s="61" t="str">
        <f>IFERROR(__xludf.DUMMYFUNCTION("INDIRECT(""'收支紀錄'!I""&amp;TO_TEXT(ROW()-$C$72))"),"")</f>
        <v/>
      </c>
      <c r="J2082" s="61" t="str">
        <f>IFERROR(__xludf.DUMMYFUNCTION("INDIRECT(""'收支紀錄'!J""&amp;TO_TEXT(ROW()-$C$72))"),"")</f>
        <v/>
      </c>
      <c r="K2082" s="61" t="str">
        <f>IFERROR(__xludf.DUMMYFUNCTION("INDIRECT(""'收支紀錄'!K""&amp;TO_TEXT(ROW()-$C$72))"),"")</f>
        <v/>
      </c>
      <c r="L2082" s="61" t="str">
        <f>IFERROR(__xludf.DUMMYFUNCTION("INDIRECT(""'收支紀錄'!L""&amp;TO_TEXT(ROW()-$C$72))"),"")</f>
        <v/>
      </c>
      <c r="M2082" s="61" t="str">
        <f>IFERROR(__xludf.DUMMYFUNCTION("INDIRECT(""'收支紀錄'!M""&amp;TO_TEXT(ROW()-$C$72))"),"")</f>
        <v/>
      </c>
      <c r="N2082" s="61" t="str">
        <f>IFERROR(__xludf.DUMMYFUNCTION("INDIRECT(""'收支紀錄'!N""&amp;TO_TEXT(ROW()-$C$72))"),"")</f>
        <v/>
      </c>
      <c r="O2082" s="61" t="str">
        <f>IFERROR(__xludf.DUMMYFUNCTION("INDIRECT(""'收支紀錄'!O""&amp;TO_TEXT(ROW()-$C$72))"),"")</f>
        <v/>
      </c>
      <c r="P2082" s="61" t="str">
        <f>IFERROR(__xludf.DUMMYFUNCTION("INDIRECT(""'收支紀錄'!P""&amp;TO_TEXT(ROW()-$C$72))"),"")</f>
        <v/>
      </c>
      <c r="Q2082" s="61" t="str">
        <f>IFERROR(__xludf.DUMMYFUNCTION("INDIRECT(""'收支紀錄'!Q""&amp;TO_TEXT(ROW()-$C$72))"),"")</f>
        <v/>
      </c>
      <c r="R2082" s="61" t="str">
        <f>IFERROR(__xludf.DUMMYFUNCTION("INDIRECT(""'收支紀錄'!R""&amp;TO_TEXT(ROW()-$C$72))"),"")</f>
        <v/>
      </c>
      <c r="S2082" s="61" t="str">
        <f>IFERROR(__xludf.DUMMYFUNCTION("INDIRECT(""'收支紀錄'!S""&amp;TO_TEXT(ROW()-$C$72))"),"")</f>
        <v/>
      </c>
      <c r="T2082" s="61" t="str">
        <f>IFERROR(__xludf.DUMMYFUNCTION("INDIRECT(""'收支紀錄'!T""&amp;TO_TEXT(ROW()-$C$72))"),"")</f>
        <v/>
      </c>
      <c r="U2082" s="62" t="str">
        <f>IFERROR(__xludf.DUMMYFUNCTION("IF(T2082=""是"",TEXTJOIN("""", TRUE, ""$"", TO_TEXT(C2082), S2082),"""")"),"")</f>
        <v/>
      </c>
    </row>
    <row r="2083">
      <c r="A2083" s="58" t="str">
        <f>IFERROR(__xludf.DUMMYFUNCTION("INDIRECT(""'收支紀錄'!A""&amp;TO_TEXT(ROW()-$C$72))"),"")</f>
        <v/>
      </c>
      <c r="B2083" s="59" t="str">
        <f>IFERROR(__xludf.DUMMYFUNCTION("IF(ISBLANK(D2083), """", IF(ISDATE(D2083), D2083, IF(D2083=""今天"", A2083, IF(D2083=""昨天 (-1 day)"", A2083-1, IF(D2083=""前天 (-2 days)"", A2083-2, IF(D2083=""明天 (+1 day)"", A2083+1, DATE(LEFT(D2083,4), MID(D2083,5,2), RIGHT(D2083,2))))))))"),"")</f>
        <v/>
      </c>
      <c r="C2083" s="60" t="str">
        <f>IFERROR(__xludf.DUMMYFUNCTION("INDIRECT(""'收支紀錄'!C""&amp;TO_TEXT(ROW()-$C$72))"),"")</f>
        <v/>
      </c>
      <c r="D2083" s="63" t="str">
        <f>IFERROR(__xludf.DUMMYFUNCTION("INDIRECT(""'收支紀錄'!D""&amp;TO_TEXT(ROW()-$C$72))"),"")</f>
        <v/>
      </c>
      <c r="E2083" s="61" t="str">
        <f>IFERROR(__xludf.DUMMYFUNCTION("INDIRECT(""'收支紀錄'!E""&amp;TO_TEXT(ROW()-$C$72))"),"")</f>
        <v/>
      </c>
      <c r="F2083" s="61" t="str">
        <f>IFERROR(__xludf.DUMMYFUNCTION("INDIRECT(""'收支紀錄'!F""&amp;TO_TEXT(ROW()-$C$72))"),"")</f>
        <v/>
      </c>
      <c r="G2083" s="61" t="str">
        <f>IFERROR(__xludf.DUMMYFUNCTION("INDIRECT(""'收支紀錄'!G""&amp;TO_TEXT(ROW()-$C$72))"),"")</f>
        <v/>
      </c>
      <c r="H2083" s="61" t="str">
        <f>IFERROR(__xludf.DUMMYFUNCTION("INDIRECT(""'收支紀錄'!H""&amp;TO_TEXT(ROW()-$C$72))"),"")</f>
        <v/>
      </c>
      <c r="I2083" s="61" t="str">
        <f>IFERROR(__xludf.DUMMYFUNCTION("INDIRECT(""'收支紀錄'!I""&amp;TO_TEXT(ROW()-$C$72))"),"")</f>
        <v/>
      </c>
      <c r="J2083" s="61" t="str">
        <f>IFERROR(__xludf.DUMMYFUNCTION("INDIRECT(""'收支紀錄'!J""&amp;TO_TEXT(ROW()-$C$72))"),"")</f>
        <v/>
      </c>
      <c r="K2083" s="61" t="str">
        <f>IFERROR(__xludf.DUMMYFUNCTION("INDIRECT(""'收支紀錄'!K""&amp;TO_TEXT(ROW()-$C$72))"),"")</f>
        <v/>
      </c>
      <c r="L2083" s="61" t="str">
        <f>IFERROR(__xludf.DUMMYFUNCTION("INDIRECT(""'收支紀錄'!L""&amp;TO_TEXT(ROW()-$C$72))"),"")</f>
        <v/>
      </c>
      <c r="M2083" s="61" t="str">
        <f>IFERROR(__xludf.DUMMYFUNCTION("INDIRECT(""'收支紀錄'!M""&amp;TO_TEXT(ROW()-$C$72))"),"")</f>
        <v/>
      </c>
      <c r="N2083" s="61" t="str">
        <f>IFERROR(__xludf.DUMMYFUNCTION("INDIRECT(""'收支紀錄'!N""&amp;TO_TEXT(ROW()-$C$72))"),"")</f>
        <v/>
      </c>
      <c r="O2083" s="61" t="str">
        <f>IFERROR(__xludf.DUMMYFUNCTION("INDIRECT(""'收支紀錄'!O""&amp;TO_TEXT(ROW()-$C$72))"),"")</f>
        <v/>
      </c>
      <c r="P2083" s="61" t="str">
        <f>IFERROR(__xludf.DUMMYFUNCTION("INDIRECT(""'收支紀錄'!P""&amp;TO_TEXT(ROW()-$C$72))"),"")</f>
        <v/>
      </c>
      <c r="Q2083" s="61" t="str">
        <f>IFERROR(__xludf.DUMMYFUNCTION("INDIRECT(""'收支紀錄'!Q""&amp;TO_TEXT(ROW()-$C$72))"),"")</f>
        <v/>
      </c>
      <c r="R2083" s="61" t="str">
        <f>IFERROR(__xludf.DUMMYFUNCTION("INDIRECT(""'收支紀錄'!R""&amp;TO_TEXT(ROW()-$C$72))"),"")</f>
        <v/>
      </c>
      <c r="S2083" s="61" t="str">
        <f>IFERROR(__xludf.DUMMYFUNCTION("INDIRECT(""'收支紀錄'!S""&amp;TO_TEXT(ROW()-$C$72))"),"")</f>
        <v/>
      </c>
      <c r="T2083" s="61" t="str">
        <f>IFERROR(__xludf.DUMMYFUNCTION("INDIRECT(""'收支紀錄'!T""&amp;TO_TEXT(ROW()-$C$72))"),"")</f>
        <v/>
      </c>
      <c r="U2083" s="62" t="str">
        <f>IFERROR(__xludf.DUMMYFUNCTION("IF(T2083=""是"",TEXTJOIN("""", TRUE, ""$"", TO_TEXT(C2083), S2083),"""")"),"")</f>
        <v/>
      </c>
    </row>
    <row r="2084">
      <c r="A2084" s="58" t="str">
        <f>IFERROR(__xludf.DUMMYFUNCTION("INDIRECT(""'收支紀錄'!A""&amp;TO_TEXT(ROW()-$C$72))"),"")</f>
        <v/>
      </c>
      <c r="B2084" s="59" t="str">
        <f>IFERROR(__xludf.DUMMYFUNCTION("IF(ISBLANK(D2084), """", IF(ISDATE(D2084), D2084, IF(D2084=""今天"", A2084, IF(D2084=""昨天 (-1 day)"", A2084-1, IF(D2084=""前天 (-2 days)"", A2084-2, IF(D2084=""明天 (+1 day)"", A2084+1, DATE(LEFT(D2084,4), MID(D2084,5,2), RIGHT(D2084,2))))))))"),"")</f>
        <v/>
      </c>
      <c r="C2084" s="60" t="str">
        <f>IFERROR(__xludf.DUMMYFUNCTION("INDIRECT(""'收支紀錄'!C""&amp;TO_TEXT(ROW()-$C$72))"),"")</f>
        <v/>
      </c>
      <c r="D2084" s="63" t="str">
        <f>IFERROR(__xludf.DUMMYFUNCTION("INDIRECT(""'收支紀錄'!D""&amp;TO_TEXT(ROW()-$C$72))"),"")</f>
        <v/>
      </c>
      <c r="E2084" s="61" t="str">
        <f>IFERROR(__xludf.DUMMYFUNCTION("INDIRECT(""'收支紀錄'!E""&amp;TO_TEXT(ROW()-$C$72))"),"")</f>
        <v/>
      </c>
      <c r="F2084" s="61" t="str">
        <f>IFERROR(__xludf.DUMMYFUNCTION("INDIRECT(""'收支紀錄'!F""&amp;TO_TEXT(ROW()-$C$72))"),"")</f>
        <v/>
      </c>
      <c r="G2084" s="61" t="str">
        <f>IFERROR(__xludf.DUMMYFUNCTION("INDIRECT(""'收支紀錄'!G""&amp;TO_TEXT(ROW()-$C$72))"),"")</f>
        <v/>
      </c>
      <c r="H2084" s="61" t="str">
        <f>IFERROR(__xludf.DUMMYFUNCTION("INDIRECT(""'收支紀錄'!H""&amp;TO_TEXT(ROW()-$C$72))"),"")</f>
        <v/>
      </c>
      <c r="I2084" s="61" t="str">
        <f>IFERROR(__xludf.DUMMYFUNCTION("INDIRECT(""'收支紀錄'!I""&amp;TO_TEXT(ROW()-$C$72))"),"")</f>
        <v/>
      </c>
      <c r="J2084" s="61" t="str">
        <f>IFERROR(__xludf.DUMMYFUNCTION("INDIRECT(""'收支紀錄'!J""&amp;TO_TEXT(ROW()-$C$72))"),"")</f>
        <v/>
      </c>
      <c r="K2084" s="61" t="str">
        <f>IFERROR(__xludf.DUMMYFUNCTION("INDIRECT(""'收支紀錄'!K""&amp;TO_TEXT(ROW()-$C$72))"),"")</f>
        <v/>
      </c>
      <c r="L2084" s="61" t="str">
        <f>IFERROR(__xludf.DUMMYFUNCTION("INDIRECT(""'收支紀錄'!L""&amp;TO_TEXT(ROW()-$C$72))"),"")</f>
        <v/>
      </c>
      <c r="M2084" s="61" t="str">
        <f>IFERROR(__xludf.DUMMYFUNCTION("INDIRECT(""'收支紀錄'!M""&amp;TO_TEXT(ROW()-$C$72))"),"")</f>
        <v/>
      </c>
      <c r="N2084" s="61" t="str">
        <f>IFERROR(__xludf.DUMMYFUNCTION("INDIRECT(""'收支紀錄'!N""&amp;TO_TEXT(ROW()-$C$72))"),"")</f>
        <v/>
      </c>
      <c r="O2084" s="61" t="str">
        <f>IFERROR(__xludf.DUMMYFUNCTION("INDIRECT(""'收支紀錄'!O""&amp;TO_TEXT(ROW()-$C$72))"),"")</f>
        <v/>
      </c>
      <c r="P2084" s="61" t="str">
        <f>IFERROR(__xludf.DUMMYFUNCTION("INDIRECT(""'收支紀錄'!P""&amp;TO_TEXT(ROW()-$C$72))"),"")</f>
        <v/>
      </c>
      <c r="Q2084" s="61" t="str">
        <f>IFERROR(__xludf.DUMMYFUNCTION("INDIRECT(""'收支紀錄'!Q""&amp;TO_TEXT(ROW()-$C$72))"),"")</f>
        <v/>
      </c>
      <c r="R2084" s="61" t="str">
        <f>IFERROR(__xludf.DUMMYFUNCTION("INDIRECT(""'收支紀錄'!R""&amp;TO_TEXT(ROW()-$C$72))"),"")</f>
        <v/>
      </c>
      <c r="S2084" s="61" t="str">
        <f>IFERROR(__xludf.DUMMYFUNCTION("INDIRECT(""'收支紀錄'!S""&amp;TO_TEXT(ROW()-$C$72))"),"")</f>
        <v/>
      </c>
      <c r="T2084" s="61" t="str">
        <f>IFERROR(__xludf.DUMMYFUNCTION("INDIRECT(""'收支紀錄'!T""&amp;TO_TEXT(ROW()-$C$72))"),"")</f>
        <v/>
      </c>
      <c r="U2084" s="62" t="str">
        <f>IFERROR(__xludf.DUMMYFUNCTION("IF(T2084=""是"",TEXTJOIN("""", TRUE, ""$"", TO_TEXT(C2084), S2084),"""")"),"")</f>
        <v/>
      </c>
    </row>
    <row r="2085">
      <c r="A2085" s="58" t="str">
        <f>IFERROR(__xludf.DUMMYFUNCTION("INDIRECT(""'收支紀錄'!A""&amp;TO_TEXT(ROW()-$C$72))"),"")</f>
        <v/>
      </c>
      <c r="B2085" s="59" t="str">
        <f>IFERROR(__xludf.DUMMYFUNCTION("IF(ISBLANK(D2085), """", IF(ISDATE(D2085), D2085, IF(D2085=""今天"", A2085, IF(D2085=""昨天 (-1 day)"", A2085-1, IF(D2085=""前天 (-2 days)"", A2085-2, IF(D2085=""明天 (+1 day)"", A2085+1, DATE(LEFT(D2085,4), MID(D2085,5,2), RIGHT(D2085,2))))))))"),"")</f>
        <v/>
      </c>
      <c r="C2085" s="60" t="str">
        <f>IFERROR(__xludf.DUMMYFUNCTION("INDIRECT(""'收支紀錄'!C""&amp;TO_TEXT(ROW()-$C$72))"),"")</f>
        <v/>
      </c>
      <c r="D2085" s="63" t="str">
        <f>IFERROR(__xludf.DUMMYFUNCTION("INDIRECT(""'收支紀錄'!D""&amp;TO_TEXT(ROW()-$C$72))"),"")</f>
        <v/>
      </c>
      <c r="E2085" s="61" t="str">
        <f>IFERROR(__xludf.DUMMYFUNCTION("INDIRECT(""'收支紀錄'!E""&amp;TO_TEXT(ROW()-$C$72))"),"")</f>
        <v/>
      </c>
      <c r="F2085" s="61" t="str">
        <f>IFERROR(__xludf.DUMMYFUNCTION("INDIRECT(""'收支紀錄'!F""&amp;TO_TEXT(ROW()-$C$72))"),"")</f>
        <v/>
      </c>
      <c r="G2085" s="61" t="str">
        <f>IFERROR(__xludf.DUMMYFUNCTION("INDIRECT(""'收支紀錄'!G""&amp;TO_TEXT(ROW()-$C$72))"),"")</f>
        <v/>
      </c>
      <c r="H2085" s="61" t="str">
        <f>IFERROR(__xludf.DUMMYFUNCTION("INDIRECT(""'收支紀錄'!H""&amp;TO_TEXT(ROW()-$C$72))"),"")</f>
        <v/>
      </c>
      <c r="I2085" s="61" t="str">
        <f>IFERROR(__xludf.DUMMYFUNCTION("INDIRECT(""'收支紀錄'!I""&amp;TO_TEXT(ROW()-$C$72))"),"")</f>
        <v/>
      </c>
      <c r="J2085" s="61" t="str">
        <f>IFERROR(__xludf.DUMMYFUNCTION("INDIRECT(""'收支紀錄'!J""&amp;TO_TEXT(ROW()-$C$72))"),"")</f>
        <v/>
      </c>
      <c r="K2085" s="61" t="str">
        <f>IFERROR(__xludf.DUMMYFUNCTION("INDIRECT(""'收支紀錄'!K""&amp;TO_TEXT(ROW()-$C$72))"),"")</f>
        <v/>
      </c>
      <c r="L2085" s="61" t="str">
        <f>IFERROR(__xludf.DUMMYFUNCTION("INDIRECT(""'收支紀錄'!L""&amp;TO_TEXT(ROW()-$C$72))"),"")</f>
        <v/>
      </c>
      <c r="M2085" s="61" t="str">
        <f>IFERROR(__xludf.DUMMYFUNCTION("INDIRECT(""'收支紀錄'!M""&amp;TO_TEXT(ROW()-$C$72))"),"")</f>
        <v/>
      </c>
      <c r="N2085" s="61" t="str">
        <f>IFERROR(__xludf.DUMMYFUNCTION("INDIRECT(""'收支紀錄'!N""&amp;TO_TEXT(ROW()-$C$72))"),"")</f>
        <v/>
      </c>
      <c r="O2085" s="61" t="str">
        <f>IFERROR(__xludf.DUMMYFUNCTION("INDIRECT(""'收支紀錄'!O""&amp;TO_TEXT(ROW()-$C$72))"),"")</f>
        <v/>
      </c>
      <c r="P2085" s="61" t="str">
        <f>IFERROR(__xludf.DUMMYFUNCTION("INDIRECT(""'收支紀錄'!P""&amp;TO_TEXT(ROW()-$C$72))"),"")</f>
        <v/>
      </c>
      <c r="Q2085" s="61" t="str">
        <f>IFERROR(__xludf.DUMMYFUNCTION("INDIRECT(""'收支紀錄'!Q""&amp;TO_TEXT(ROW()-$C$72))"),"")</f>
        <v/>
      </c>
      <c r="R2085" s="61" t="str">
        <f>IFERROR(__xludf.DUMMYFUNCTION("INDIRECT(""'收支紀錄'!R""&amp;TO_TEXT(ROW()-$C$72))"),"")</f>
        <v/>
      </c>
      <c r="S2085" s="61" t="str">
        <f>IFERROR(__xludf.DUMMYFUNCTION("INDIRECT(""'收支紀錄'!S""&amp;TO_TEXT(ROW()-$C$72))"),"")</f>
        <v/>
      </c>
      <c r="T2085" s="61" t="str">
        <f>IFERROR(__xludf.DUMMYFUNCTION("INDIRECT(""'收支紀錄'!T""&amp;TO_TEXT(ROW()-$C$72))"),"")</f>
        <v/>
      </c>
      <c r="U2085" s="62" t="str">
        <f>IFERROR(__xludf.DUMMYFUNCTION("IF(T2085=""是"",TEXTJOIN("""", TRUE, ""$"", TO_TEXT(C2085), S2085),"""")"),"")</f>
        <v/>
      </c>
    </row>
    <row r="2086">
      <c r="A2086" s="58" t="str">
        <f>IFERROR(__xludf.DUMMYFUNCTION("INDIRECT(""'收支紀錄'!A""&amp;TO_TEXT(ROW()-$C$72))"),"")</f>
        <v/>
      </c>
      <c r="B2086" s="59" t="str">
        <f>IFERROR(__xludf.DUMMYFUNCTION("IF(ISBLANK(D2086), """", IF(ISDATE(D2086), D2086, IF(D2086=""今天"", A2086, IF(D2086=""昨天 (-1 day)"", A2086-1, IF(D2086=""前天 (-2 days)"", A2086-2, IF(D2086=""明天 (+1 day)"", A2086+1, DATE(LEFT(D2086,4), MID(D2086,5,2), RIGHT(D2086,2))))))))"),"")</f>
        <v/>
      </c>
      <c r="C2086" s="60" t="str">
        <f>IFERROR(__xludf.DUMMYFUNCTION("INDIRECT(""'收支紀錄'!C""&amp;TO_TEXT(ROW()-$C$72))"),"")</f>
        <v/>
      </c>
      <c r="D2086" s="63" t="str">
        <f>IFERROR(__xludf.DUMMYFUNCTION("INDIRECT(""'收支紀錄'!D""&amp;TO_TEXT(ROW()-$C$72))"),"")</f>
        <v/>
      </c>
      <c r="E2086" s="61" t="str">
        <f>IFERROR(__xludf.DUMMYFUNCTION("INDIRECT(""'收支紀錄'!E""&amp;TO_TEXT(ROW()-$C$72))"),"")</f>
        <v/>
      </c>
      <c r="F2086" s="61" t="str">
        <f>IFERROR(__xludf.DUMMYFUNCTION("INDIRECT(""'收支紀錄'!F""&amp;TO_TEXT(ROW()-$C$72))"),"")</f>
        <v/>
      </c>
      <c r="G2086" s="61" t="str">
        <f>IFERROR(__xludf.DUMMYFUNCTION("INDIRECT(""'收支紀錄'!G""&amp;TO_TEXT(ROW()-$C$72))"),"")</f>
        <v/>
      </c>
      <c r="H2086" s="61" t="str">
        <f>IFERROR(__xludf.DUMMYFUNCTION("INDIRECT(""'收支紀錄'!H""&amp;TO_TEXT(ROW()-$C$72))"),"")</f>
        <v/>
      </c>
      <c r="I2086" s="61" t="str">
        <f>IFERROR(__xludf.DUMMYFUNCTION("INDIRECT(""'收支紀錄'!I""&amp;TO_TEXT(ROW()-$C$72))"),"")</f>
        <v/>
      </c>
      <c r="J2086" s="61" t="str">
        <f>IFERROR(__xludf.DUMMYFUNCTION("INDIRECT(""'收支紀錄'!J""&amp;TO_TEXT(ROW()-$C$72))"),"")</f>
        <v/>
      </c>
      <c r="K2086" s="61" t="str">
        <f>IFERROR(__xludf.DUMMYFUNCTION("INDIRECT(""'收支紀錄'!K""&amp;TO_TEXT(ROW()-$C$72))"),"")</f>
        <v/>
      </c>
      <c r="L2086" s="61" t="str">
        <f>IFERROR(__xludf.DUMMYFUNCTION("INDIRECT(""'收支紀錄'!L""&amp;TO_TEXT(ROW()-$C$72))"),"")</f>
        <v/>
      </c>
      <c r="M2086" s="61" t="str">
        <f>IFERROR(__xludf.DUMMYFUNCTION("INDIRECT(""'收支紀錄'!M""&amp;TO_TEXT(ROW()-$C$72))"),"")</f>
        <v/>
      </c>
      <c r="N2086" s="61" t="str">
        <f>IFERROR(__xludf.DUMMYFUNCTION("INDIRECT(""'收支紀錄'!N""&amp;TO_TEXT(ROW()-$C$72))"),"")</f>
        <v/>
      </c>
      <c r="O2086" s="61" t="str">
        <f>IFERROR(__xludf.DUMMYFUNCTION("INDIRECT(""'收支紀錄'!O""&amp;TO_TEXT(ROW()-$C$72))"),"")</f>
        <v/>
      </c>
      <c r="P2086" s="61" t="str">
        <f>IFERROR(__xludf.DUMMYFUNCTION("INDIRECT(""'收支紀錄'!P""&amp;TO_TEXT(ROW()-$C$72))"),"")</f>
        <v/>
      </c>
      <c r="Q2086" s="61" t="str">
        <f>IFERROR(__xludf.DUMMYFUNCTION("INDIRECT(""'收支紀錄'!Q""&amp;TO_TEXT(ROW()-$C$72))"),"")</f>
        <v/>
      </c>
      <c r="R2086" s="61" t="str">
        <f>IFERROR(__xludf.DUMMYFUNCTION("INDIRECT(""'收支紀錄'!R""&amp;TO_TEXT(ROW()-$C$72))"),"")</f>
        <v/>
      </c>
      <c r="S2086" s="61" t="str">
        <f>IFERROR(__xludf.DUMMYFUNCTION("INDIRECT(""'收支紀錄'!S""&amp;TO_TEXT(ROW()-$C$72))"),"")</f>
        <v/>
      </c>
      <c r="T2086" s="61" t="str">
        <f>IFERROR(__xludf.DUMMYFUNCTION("INDIRECT(""'收支紀錄'!T""&amp;TO_TEXT(ROW()-$C$72))"),"")</f>
        <v/>
      </c>
      <c r="U2086" s="62" t="str">
        <f>IFERROR(__xludf.DUMMYFUNCTION("IF(T2086=""是"",TEXTJOIN("""", TRUE, ""$"", TO_TEXT(C2086), S2086),"""")"),"")</f>
        <v/>
      </c>
    </row>
    <row r="2087">
      <c r="A2087" s="58" t="str">
        <f>IFERROR(__xludf.DUMMYFUNCTION("INDIRECT(""'收支紀錄'!A""&amp;TO_TEXT(ROW()-$C$72))"),"")</f>
        <v/>
      </c>
      <c r="B2087" s="59" t="str">
        <f>IFERROR(__xludf.DUMMYFUNCTION("IF(ISBLANK(D2087), """", IF(ISDATE(D2087), D2087, IF(D2087=""今天"", A2087, IF(D2087=""昨天 (-1 day)"", A2087-1, IF(D2087=""前天 (-2 days)"", A2087-2, IF(D2087=""明天 (+1 day)"", A2087+1, DATE(LEFT(D2087,4), MID(D2087,5,2), RIGHT(D2087,2))))))))"),"")</f>
        <v/>
      </c>
      <c r="C2087" s="60" t="str">
        <f>IFERROR(__xludf.DUMMYFUNCTION("INDIRECT(""'收支紀錄'!C""&amp;TO_TEXT(ROW()-$C$72))"),"")</f>
        <v/>
      </c>
      <c r="D2087" s="63" t="str">
        <f>IFERROR(__xludf.DUMMYFUNCTION("INDIRECT(""'收支紀錄'!D""&amp;TO_TEXT(ROW()-$C$72))"),"")</f>
        <v/>
      </c>
      <c r="E2087" s="61" t="str">
        <f>IFERROR(__xludf.DUMMYFUNCTION("INDIRECT(""'收支紀錄'!E""&amp;TO_TEXT(ROW()-$C$72))"),"")</f>
        <v/>
      </c>
      <c r="F2087" s="61" t="str">
        <f>IFERROR(__xludf.DUMMYFUNCTION("INDIRECT(""'收支紀錄'!F""&amp;TO_TEXT(ROW()-$C$72))"),"")</f>
        <v/>
      </c>
      <c r="G2087" s="61" t="str">
        <f>IFERROR(__xludf.DUMMYFUNCTION("INDIRECT(""'收支紀錄'!G""&amp;TO_TEXT(ROW()-$C$72))"),"")</f>
        <v/>
      </c>
      <c r="H2087" s="61" t="str">
        <f>IFERROR(__xludf.DUMMYFUNCTION("INDIRECT(""'收支紀錄'!H""&amp;TO_TEXT(ROW()-$C$72))"),"")</f>
        <v/>
      </c>
      <c r="I2087" s="61" t="str">
        <f>IFERROR(__xludf.DUMMYFUNCTION("INDIRECT(""'收支紀錄'!I""&amp;TO_TEXT(ROW()-$C$72))"),"")</f>
        <v/>
      </c>
      <c r="J2087" s="61" t="str">
        <f>IFERROR(__xludf.DUMMYFUNCTION("INDIRECT(""'收支紀錄'!J""&amp;TO_TEXT(ROW()-$C$72))"),"")</f>
        <v/>
      </c>
      <c r="K2087" s="61" t="str">
        <f>IFERROR(__xludf.DUMMYFUNCTION("INDIRECT(""'收支紀錄'!K""&amp;TO_TEXT(ROW()-$C$72))"),"")</f>
        <v/>
      </c>
      <c r="L2087" s="61" t="str">
        <f>IFERROR(__xludf.DUMMYFUNCTION("INDIRECT(""'收支紀錄'!L""&amp;TO_TEXT(ROW()-$C$72))"),"")</f>
        <v/>
      </c>
      <c r="M2087" s="61" t="str">
        <f>IFERROR(__xludf.DUMMYFUNCTION("INDIRECT(""'收支紀錄'!M""&amp;TO_TEXT(ROW()-$C$72))"),"")</f>
        <v/>
      </c>
      <c r="N2087" s="61" t="str">
        <f>IFERROR(__xludf.DUMMYFUNCTION("INDIRECT(""'收支紀錄'!N""&amp;TO_TEXT(ROW()-$C$72))"),"")</f>
        <v/>
      </c>
      <c r="O2087" s="61" t="str">
        <f>IFERROR(__xludf.DUMMYFUNCTION("INDIRECT(""'收支紀錄'!O""&amp;TO_TEXT(ROW()-$C$72))"),"")</f>
        <v/>
      </c>
      <c r="P2087" s="61" t="str">
        <f>IFERROR(__xludf.DUMMYFUNCTION("INDIRECT(""'收支紀錄'!P""&amp;TO_TEXT(ROW()-$C$72))"),"")</f>
        <v/>
      </c>
      <c r="Q2087" s="61" t="str">
        <f>IFERROR(__xludf.DUMMYFUNCTION("INDIRECT(""'收支紀錄'!Q""&amp;TO_TEXT(ROW()-$C$72))"),"")</f>
        <v/>
      </c>
      <c r="R2087" s="61" t="str">
        <f>IFERROR(__xludf.DUMMYFUNCTION("INDIRECT(""'收支紀錄'!R""&amp;TO_TEXT(ROW()-$C$72))"),"")</f>
        <v/>
      </c>
      <c r="S2087" s="61" t="str">
        <f>IFERROR(__xludf.DUMMYFUNCTION("INDIRECT(""'收支紀錄'!S""&amp;TO_TEXT(ROW()-$C$72))"),"")</f>
        <v/>
      </c>
      <c r="T2087" s="61" t="str">
        <f>IFERROR(__xludf.DUMMYFUNCTION("INDIRECT(""'收支紀錄'!T""&amp;TO_TEXT(ROW()-$C$72))"),"")</f>
        <v/>
      </c>
      <c r="U2087" s="62" t="str">
        <f>IFERROR(__xludf.DUMMYFUNCTION("IF(T2087=""是"",TEXTJOIN("""", TRUE, ""$"", TO_TEXT(C2087), S2087),"""")"),"")</f>
        <v/>
      </c>
    </row>
    <row r="2088">
      <c r="A2088" s="58" t="str">
        <f>IFERROR(__xludf.DUMMYFUNCTION("INDIRECT(""'收支紀錄'!A""&amp;TO_TEXT(ROW()-$C$72))"),"")</f>
        <v/>
      </c>
      <c r="B2088" s="59" t="str">
        <f>IFERROR(__xludf.DUMMYFUNCTION("IF(ISBLANK(D2088), """", IF(ISDATE(D2088), D2088, IF(D2088=""今天"", A2088, IF(D2088=""昨天 (-1 day)"", A2088-1, IF(D2088=""前天 (-2 days)"", A2088-2, IF(D2088=""明天 (+1 day)"", A2088+1, DATE(LEFT(D2088,4), MID(D2088,5,2), RIGHT(D2088,2))))))))"),"")</f>
        <v/>
      </c>
      <c r="C2088" s="60" t="str">
        <f>IFERROR(__xludf.DUMMYFUNCTION("INDIRECT(""'收支紀錄'!C""&amp;TO_TEXT(ROW()-$C$72))"),"")</f>
        <v/>
      </c>
      <c r="D2088" s="63" t="str">
        <f>IFERROR(__xludf.DUMMYFUNCTION("INDIRECT(""'收支紀錄'!D""&amp;TO_TEXT(ROW()-$C$72))"),"")</f>
        <v/>
      </c>
      <c r="E2088" s="61" t="str">
        <f>IFERROR(__xludf.DUMMYFUNCTION("INDIRECT(""'收支紀錄'!E""&amp;TO_TEXT(ROW()-$C$72))"),"")</f>
        <v/>
      </c>
      <c r="F2088" s="61" t="str">
        <f>IFERROR(__xludf.DUMMYFUNCTION("INDIRECT(""'收支紀錄'!F""&amp;TO_TEXT(ROW()-$C$72))"),"")</f>
        <v/>
      </c>
      <c r="G2088" s="61" t="str">
        <f>IFERROR(__xludf.DUMMYFUNCTION("INDIRECT(""'收支紀錄'!G""&amp;TO_TEXT(ROW()-$C$72))"),"")</f>
        <v/>
      </c>
      <c r="H2088" s="61" t="str">
        <f>IFERROR(__xludf.DUMMYFUNCTION("INDIRECT(""'收支紀錄'!H""&amp;TO_TEXT(ROW()-$C$72))"),"")</f>
        <v/>
      </c>
      <c r="I2088" s="61" t="str">
        <f>IFERROR(__xludf.DUMMYFUNCTION("INDIRECT(""'收支紀錄'!I""&amp;TO_TEXT(ROW()-$C$72))"),"")</f>
        <v/>
      </c>
      <c r="J2088" s="61" t="str">
        <f>IFERROR(__xludf.DUMMYFUNCTION("INDIRECT(""'收支紀錄'!J""&amp;TO_TEXT(ROW()-$C$72))"),"")</f>
        <v/>
      </c>
      <c r="K2088" s="61" t="str">
        <f>IFERROR(__xludf.DUMMYFUNCTION("INDIRECT(""'收支紀錄'!K""&amp;TO_TEXT(ROW()-$C$72))"),"")</f>
        <v/>
      </c>
      <c r="L2088" s="61" t="str">
        <f>IFERROR(__xludf.DUMMYFUNCTION("INDIRECT(""'收支紀錄'!L""&amp;TO_TEXT(ROW()-$C$72))"),"")</f>
        <v/>
      </c>
      <c r="M2088" s="61" t="str">
        <f>IFERROR(__xludf.DUMMYFUNCTION("INDIRECT(""'收支紀錄'!M""&amp;TO_TEXT(ROW()-$C$72))"),"")</f>
        <v/>
      </c>
      <c r="N2088" s="61" t="str">
        <f>IFERROR(__xludf.DUMMYFUNCTION("INDIRECT(""'收支紀錄'!N""&amp;TO_TEXT(ROW()-$C$72))"),"")</f>
        <v/>
      </c>
      <c r="O2088" s="61" t="str">
        <f>IFERROR(__xludf.DUMMYFUNCTION("INDIRECT(""'收支紀錄'!O""&amp;TO_TEXT(ROW()-$C$72))"),"")</f>
        <v/>
      </c>
      <c r="P2088" s="61" t="str">
        <f>IFERROR(__xludf.DUMMYFUNCTION("INDIRECT(""'收支紀錄'!P""&amp;TO_TEXT(ROW()-$C$72))"),"")</f>
        <v/>
      </c>
      <c r="Q2088" s="61" t="str">
        <f>IFERROR(__xludf.DUMMYFUNCTION("INDIRECT(""'收支紀錄'!Q""&amp;TO_TEXT(ROW()-$C$72))"),"")</f>
        <v/>
      </c>
      <c r="R2088" s="61" t="str">
        <f>IFERROR(__xludf.DUMMYFUNCTION("INDIRECT(""'收支紀錄'!R""&amp;TO_TEXT(ROW()-$C$72))"),"")</f>
        <v/>
      </c>
      <c r="S2088" s="61" t="str">
        <f>IFERROR(__xludf.DUMMYFUNCTION("INDIRECT(""'收支紀錄'!S""&amp;TO_TEXT(ROW()-$C$72))"),"")</f>
        <v/>
      </c>
      <c r="T2088" s="61" t="str">
        <f>IFERROR(__xludf.DUMMYFUNCTION("INDIRECT(""'收支紀錄'!T""&amp;TO_TEXT(ROW()-$C$72))"),"")</f>
        <v/>
      </c>
      <c r="U2088" s="62" t="str">
        <f>IFERROR(__xludf.DUMMYFUNCTION("IF(T2088=""是"",TEXTJOIN("""", TRUE, ""$"", TO_TEXT(C2088), S2088),"""")"),"")</f>
        <v/>
      </c>
    </row>
    <row r="2089">
      <c r="A2089" s="58" t="str">
        <f>IFERROR(__xludf.DUMMYFUNCTION("INDIRECT(""'收支紀錄'!A""&amp;TO_TEXT(ROW()-$C$72))"),"")</f>
        <v/>
      </c>
      <c r="B2089" s="59" t="str">
        <f>IFERROR(__xludf.DUMMYFUNCTION("IF(ISBLANK(D2089), """", IF(ISDATE(D2089), D2089, IF(D2089=""今天"", A2089, IF(D2089=""昨天 (-1 day)"", A2089-1, IF(D2089=""前天 (-2 days)"", A2089-2, IF(D2089=""明天 (+1 day)"", A2089+1, DATE(LEFT(D2089,4), MID(D2089,5,2), RIGHT(D2089,2))))))))"),"")</f>
        <v/>
      </c>
      <c r="C2089" s="60" t="str">
        <f>IFERROR(__xludf.DUMMYFUNCTION("INDIRECT(""'收支紀錄'!C""&amp;TO_TEXT(ROW()-$C$72))"),"")</f>
        <v/>
      </c>
      <c r="D2089" s="63" t="str">
        <f>IFERROR(__xludf.DUMMYFUNCTION("INDIRECT(""'收支紀錄'!D""&amp;TO_TEXT(ROW()-$C$72))"),"")</f>
        <v/>
      </c>
      <c r="E2089" s="61" t="str">
        <f>IFERROR(__xludf.DUMMYFUNCTION("INDIRECT(""'收支紀錄'!E""&amp;TO_TEXT(ROW()-$C$72))"),"")</f>
        <v/>
      </c>
      <c r="F2089" s="61" t="str">
        <f>IFERROR(__xludf.DUMMYFUNCTION("INDIRECT(""'收支紀錄'!F""&amp;TO_TEXT(ROW()-$C$72))"),"")</f>
        <v/>
      </c>
      <c r="G2089" s="61" t="str">
        <f>IFERROR(__xludf.DUMMYFUNCTION("INDIRECT(""'收支紀錄'!G""&amp;TO_TEXT(ROW()-$C$72))"),"")</f>
        <v/>
      </c>
      <c r="H2089" s="61" t="str">
        <f>IFERROR(__xludf.DUMMYFUNCTION("INDIRECT(""'收支紀錄'!H""&amp;TO_TEXT(ROW()-$C$72))"),"")</f>
        <v/>
      </c>
      <c r="I2089" s="61" t="str">
        <f>IFERROR(__xludf.DUMMYFUNCTION("INDIRECT(""'收支紀錄'!I""&amp;TO_TEXT(ROW()-$C$72))"),"")</f>
        <v/>
      </c>
      <c r="J2089" s="61" t="str">
        <f>IFERROR(__xludf.DUMMYFUNCTION("INDIRECT(""'收支紀錄'!J""&amp;TO_TEXT(ROW()-$C$72))"),"")</f>
        <v/>
      </c>
      <c r="K2089" s="61" t="str">
        <f>IFERROR(__xludf.DUMMYFUNCTION("INDIRECT(""'收支紀錄'!K""&amp;TO_TEXT(ROW()-$C$72))"),"")</f>
        <v/>
      </c>
      <c r="L2089" s="61" t="str">
        <f>IFERROR(__xludf.DUMMYFUNCTION("INDIRECT(""'收支紀錄'!L""&amp;TO_TEXT(ROW()-$C$72))"),"")</f>
        <v/>
      </c>
      <c r="M2089" s="61" t="str">
        <f>IFERROR(__xludf.DUMMYFUNCTION("INDIRECT(""'收支紀錄'!M""&amp;TO_TEXT(ROW()-$C$72))"),"")</f>
        <v/>
      </c>
      <c r="N2089" s="61" t="str">
        <f>IFERROR(__xludf.DUMMYFUNCTION("INDIRECT(""'收支紀錄'!N""&amp;TO_TEXT(ROW()-$C$72))"),"")</f>
        <v/>
      </c>
      <c r="O2089" s="61" t="str">
        <f>IFERROR(__xludf.DUMMYFUNCTION("INDIRECT(""'收支紀錄'!O""&amp;TO_TEXT(ROW()-$C$72))"),"")</f>
        <v/>
      </c>
      <c r="P2089" s="61" t="str">
        <f>IFERROR(__xludf.DUMMYFUNCTION("INDIRECT(""'收支紀錄'!P""&amp;TO_TEXT(ROW()-$C$72))"),"")</f>
        <v/>
      </c>
      <c r="Q2089" s="61" t="str">
        <f>IFERROR(__xludf.DUMMYFUNCTION("INDIRECT(""'收支紀錄'!Q""&amp;TO_TEXT(ROW()-$C$72))"),"")</f>
        <v/>
      </c>
      <c r="R2089" s="61" t="str">
        <f>IFERROR(__xludf.DUMMYFUNCTION("INDIRECT(""'收支紀錄'!R""&amp;TO_TEXT(ROW()-$C$72))"),"")</f>
        <v/>
      </c>
      <c r="S2089" s="61" t="str">
        <f>IFERROR(__xludf.DUMMYFUNCTION("INDIRECT(""'收支紀錄'!S""&amp;TO_TEXT(ROW()-$C$72))"),"")</f>
        <v/>
      </c>
      <c r="T2089" s="61" t="str">
        <f>IFERROR(__xludf.DUMMYFUNCTION("INDIRECT(""'收支紀錄'!T""&amp;TO_TEXT(ROW()-$C$72))"),"")</f>
        <v/>
      </c>
      <c r="U2089" s="62" t="str">
        <f>IFERROR(__xludf.DUMMYFUNCTION("IF(T2089=""是"",TEXTJOIN("""", TRUE, ""$"", TO_TEXT(C2089), S2089),"""")"),"")</f>
        <v/>
      </c>
    </row>
    <row r="2090">
      <c r="A2090" s="58" t="str">
        <f>IFERROR(__xludf.DUMMYFUNCTION("INDIRECT(""'收支紀錄'!A""&amp;TO_TEXT(ROW()-$C$72))"),"")</f>
        <v/>
      </c>
      <c r="B2090" s="59" t="str">
        <f>IFERROR(__xludf.DUMMYFUNCTION("IF(ISBLANK(D2090), """", IF(ISDATE(D2090), D2090, IF(D2090=""今天"", A2090, IF(D2090=""昨天 (-1 day)"", A2090-1, IF(D2090=""前天 (-2 days)"", A2090-2, IF(D2090=""明天 (+1 day)"", A2090+1, DATE(LEFT(D2090,4), MID(D2090,5,2), RIGHT(D2090,2))))))))"),"")</f>
        <v/>
      </c>
      <c r="C2090" s="60" t="str">
        <f>IFERROR(__xludf.DUMMYFUNCTION("INDIRECT(""'收支紀錄'!C""&amp;TO_TEXT(ROW()-$C$72))"),"")</f>
        <v/>
      </c>
      <c r="D2090" s="63" t="str">
        <f>IFERROR(__xludf.DUMMYFUNCTION("INDIRECT(""'收支紀錄'!D""&amp;TO_TEXT(ROW()-$C$72))"),"")</f>
        <v/>
      </c>
      <c r="E2090" s="61" t="str">
        <f>IFERROR(__xludf.DUMMYFUNCTION("INDIRECT(""'收支紀錄'!E""&amp;TO_TEXT(ROW()-$C$72))"),"")</f>
        <v/>
      </c>
      <c r="F2090" s="61" t="str">
        <f>IFERROR(__xludf.DUMMYFUNCTION("INDIRECT(""'收支紀錄'!F""&amp;TO_TEXT(ROW()-$C$72))"),"")</f>
        <v/>
      </c>
      <c r="G2090" s="61" t="str">
        <f>IFERROR(__xludf.DUMMYFUNCTION("INDIRECT(""'收支紀錄'!G""&amp;TO_TEXT(ROW()-$C$72))"),"")</f>
        <v/>
      </c>
      <c r="H2090" s="61" t="str">
        <f>IFERROR(__xludf.DUMMYFUNCTION("INDIRECT(""'收支紀錄'!H""&amp;TO_TEXT(ROW()-$C$72))"),"")</f>
        <v/>
      </c>
      <c r="I2090" s="61" t="str">
        <f>IFERROR(__xludf.DUMMYFUNCTION("INDIRECT(""'收支紀錄'!I""&amp;TO_TEXT(ROW()-$C$72))"),"")</f>
        <v/>
      </c>
      <c r="J2090" s="61" t="str">
        <f>IFERROR(__xludf.DUMMYFUNCTION("INDIRECT(""'收支紀錄'!J""&amp;TO_TEXT(ROW()-$C$72))"),"")</f>
        <v/>
      </c>
      <c r="K2090" s="61" t="str">
        <f>IFERROR(__xludf.DUMMYFUNCTION("INDIRECT(""'收支紀錄'!K""&amp;TO_TEXT(ROW()-$C$72))"),"")</f>
        <v/>
      </c>
      <c r="L2090" s="61" t="str">
        <f>IFERROR(__xludf.DUMMYFUNCTION("INDIRECT(""'收支紀錄'!L""&amp;TO_TEXT(ROW()-$C$72))"),"")</f>
        <v/>
      </c>
      <c r="M2090" s="61" t="str">
        <f>IFERROR(__xludf.DUMMYFUNCTION("INDIRECT(""'收支紀錄'!M""&amp;TO_TEXT(ROW()-$C$72))"),"")</f>
        <v/>
      </c>
      <c r="N2090" s="61" t="str">
        <f>IFERROR(__xludf.DUMMYFUNCTION("INDIRECT(""'收支紀錄'!N""&amp;TO_TEXT(ROW()-$C$72))"),"")</f>
        <v/>
      </c>
      <c r="O2090" s="61" t="str">
        <f>IFERROR(__xludf.DUMMYFUNCTION("INDIRECT(""'收支紀錄'!O""&amp;TO_TEXT(ROW()-$C$72))"),"")</f>
        <v/>
      </c>
      <c r="P2090" s="61" t="str">
        <f>IFERROR(__xludf.DUMMYFUNCTION("INDIRECT(""'收支紀錄'!P""&amp;TO_TEXT(ROW()-$C$72))"),"")</f>
        <v/>
      </c>
      <c r="Q2090" s="61" t="str">
        <f>IFERROR(__xludf.DUMMYFUNCTION("INDIRECT(""'收支紀錄'!Q""&amp;TO_TEXT(ROW()-$C$72))"),"")</f>
        <v/>
      </c>
      <c r="R2090" s="61" t="str">
        <f>IFERROR(__xludf.DUMMYFUNCTION("INDIRECT(""'收支紀錄'!R""&amp;TO_TEXT(ROW()-$C$72))"),"")</f>
        <v/>
      </c>
      <c r="S2090" s="61" t="str">
        <f>IFERROR(__xludf.DUMMYFUNCTION("INDIRECT(""'收支紀錄'!S""&amp;TO_TEXT(ROW()-$C$72))"),"")</f>
        <v/>
      </c>
      <c r="T2090" s="61" t="str">
        <f>IFERROR(__xludf.DUMMYFUNCTION("INDIRECT(""'收支紀錄'!T""&amp;TO_TEXT(ROW()-$C$72))"),"")</f>
        <v/>
      </c>
      <c r="U2090" s="62" t="str">
        <f>IFERROR(__xludf.DUMMYFUNCTION("IF(T2090=""是"",TEXTJOIN("""", TRUE, ""$"", TO_TEXT(C2090), S2090),"""")"),"")</f>
        <v/>
      </c>
    </row>
    <row r="2091">
      <c r="A2091" s="58" t="str">
        <f>IFERROR(__xludf.DUMMYFUNCTION("INDIRECT(""'收支紀錄'!A""&amp;TO_TEXT(ROW()-$C$72))"),"")</f>
        <v/>
      </c>
      <c r="B2091" s="59" t="str">
        <f>IFERROR(__xludf.DUMMYFUNCTION("IF(ISBLANK(D2091), """", IF(ISDATE(D2091), D2091, IF(D2091=""今天"", A2091, IF(D2091=""昨天 (-1 day)"", A2091-1, IF(D2091=""前天 (-2 days)"", A2091-2, IF(D2091=""明天 (+1 day)"", A2091+1, DATE(LEFT(D2091,4), MID(D2091,5,2), RIGHT(D2091,2))))))))"),"")</f>
        <v/>
      </c>
      <c r="C2091" s="60" t="str">
        <f>IFERROR(__xludf.DUMMYFUNCTION("INDIRECT(""'收支紀錄'!C""&amp;TO_TEXT(ROW()-$C$72))"),"")</f>
        <v/>
      </c>
      <c r="D2091" s="63" t="str">
        <f>IFERROR(__xludf.DUMMYFUNCTION("INDIRECT(""'收支紀錄'!D""&amp;TO_TEXT(ROW()-$C$72))"),"")</f>
        <v/>
      </c>
      <c r="E2091" s="61" t="str">
        <f>IFERROR(__xludf.DUMMYFUNCTION("INDIRECT(""'收支紀錄'!E""&amp;TO_TEXT(ROW()-$C$72))"),"")</f>
        <v/>
      </c>
      <c r="F2091" s="61" t="str">
        <f>IFERROR(__xludf.DUMMYFUNCTION("INDIRECT(""'收支紀錄'!F""&amp;TO_TEXT(ROW()-$C$72))"),"")</f>
        <v/>
      </c>
      <c r="G2091" s="61" t="str">
        <f>IFERROR(__xludf.DUMMYFUNCTION("INDIRECT(""'收支紀錄'!G""&amp;TO_TEXT(ROW()-$C$72))"),"")</f>
        <v/>
      </c>
      <c r="H2091" s="61" t="str">
        <f>IFERROR(__xludf.DUMMYFUNCTION("INDIRECT(""'收支紀錄'!H""&amp;TO_TEXT(ROW()-$C$72))"),"")</f>
        <v/>
      </c>
      <c r="I2091" s="61" t="str">
        <f>IFERROR(__xludf.DUMMYFUNCTION("INDIRECT(""'收支紀錄'!I""&amp;TO_TEXT(ROW()-$C$72))"),"")</f>
        <v/>
      </c>
      <c r="J2091" s="61" t="str">
        <f>IFERROR(__xludf.DUMMYFUNCTION("INDIRECT(""'收支紀錄'!J""&amp;TO_TEXT(ROW()-$C$72))"),"")</f>
        <v/>
      </c>
      <c r="K2091" s="61" t="str">
        <f>IFERROR(__xludf.DUMMYFUNCTION("INDIRECT(""'收支紀錄'!K""&amp;TO_TEXT(ROW()-$C$72))"),"")</f>
        <v/>
      </c>
      <c r="L2091" s="61" t="str">
        <f>IFERROR(__xludf.DUMMYFUNCTION("INDIRECT(""'收支紀錄'!L""&amp;TO_TEXT(ROW()-$C$72))"),"")</f>
        <v/>
      </c>
      <c r="M2091" s="61" t="str">
        <f>IFERROR(__xludf.DUMMYFUNCTION("INDIRECT(""'收支紀錄'!M""&amp;TO_TEXT(ROW()-$C$72))"),"")</f>
        <v/>
      </c>
      <c r="N2091" s="61" t="str">
        <f>IFERROR(__xludf.DUMMYFUNCTION("INDIRECT(""'收支紀錄'!N""&amp;TO_TEXT(ROW()-$C$72))"),"")</f>
        <v/>
      </c>
      <c r="O2091" s="61" t="str">
        <f>IFERROR(__xludf.DUMMYFUNCTION("INDIRECT(""'收支紀錄'!O""&amp;TO_TEXT(ROW()-$C$72))"),"")</f>
        <v/>
      </c>
      <c r="P2091" s="61" t="str">
        <f>IFERROR(__xludf.DUMMYFUNCTION("INDIRECT(""'收支紀錄'!P""&amp;TO_TEXT(ROW()-$C$72))"),"")</f>
        <v/>
      </c>
      <c r="Q2091" s="61" t="str">
        <f>IFERROR(__xludf.DUMMYFUNCTION("INDIRECT(""'收支紀錄'!Q""&amp;TO_TEXT(ROW()-$C$72))"),"")</f>
        <v/>
      </c>
      <c r="R2091" s="61" t="str">
        <f>IFERROR(__xludf.DUMMYFUNCTION("INDIRECT(""'收支紀錄'!R""&amp;TO_TEXT(ROW()-$C$72))"),"")</f>
        <v/>
      </c>
      <c r="S2091" s="61" t="str">
        <f>IFERROR(__xludf.DUMMYFUNCTION("INDIRECT(""'收支紀錄'!S""&amp;TO_TEXT(ROW()-$C$72))"),"")</f>
        <v/>
      </c>
      <c r="T2091" s="61" t="str">
        <f>IFERROR(__xludf.DUMMYFUNCTION("INDIRECT(""'收支紀錄'!T""&amp;TO_TEXT(ROW()-$C$72))"),"")</f>
        <v/>
      </c>
      <c r="U2091" s="62" t="str">
        <f>IFERROR(__xludf.DUMMYFUNCTION("IF(T2091=""是"",TEXTJOIN("""", TRUE, ""$"", TO_TEXT(C2091), S2091),"""")"),"")</f>
        <v/>
      </c>
    </row>
    <row r="2092">
      <c r="A2092" s="58" t="str">
        <f>IFERROR(__xludf.DUMMYFUNCTION("INDIRECT(""'收支紀錄'!A""&amp;TO_TEXT(ROW()-$C$72))"),"")</f>
        <v/>
      </c>
      <c r="B2092" s="59" t="str">
        <f>IFERROR(__xludf.DUMMYFUNCTION("IF(ISBLANK(D2092), """", IF(ISDATE(D2092), D2092, IF(D2092=""今天"", A2092, IF(D2092=""昨天 (-1 day)"", A2092-1, IF(D2092=""前天 (-2 days)"", A2092-2, IF(D2092=""明天 (+1 day)"", A2092+1, DATE(LEFT(D2092,4), MID(D2092,5,2), RIGHT(D2092,2))))))))"),"")</f>
        <v/>
      </c>
      <c r="C2092" s="60" t="str">
        <f>IFERROR(__xludf.DUMMYFUNCTION("INDIRECT(""'收支紀錄'!C""&amp;TO_TEXT(ROW()-$C$72))"),"")</f>
        <v/>
      </c>
      <c r="D2092" s="63" t="str">
        <f>IFERROR(__xludf.DUMMYFUNCTION("INDIRECT(""'收支紀錄'!D""&amp;TO_TEXT(ROW()-$C$72))"),"")</f>
        <v/>
      </c>
      <c r="E2092" s="61" t="str">
        <f>IFERROR(__xludf.DUMMYFUNCTION("INDIRECT(""'收支紀錄'!E""&amp;TO_TEXT(ROW()-$C$72))"),"")</f>
        <v/>
      </c>
      <c r="F2092" s="61" t="str">
        <f>IFERROR(__xludf.DUMMYFUNCTION("INDIRECT(""'收支紀錄'!F""&amp;TO_TEXT(ROW()-$C$72))"),"")</f>
        <v/>
      </c>
      <c r="G2092" s="61" t="str">
        <f>IFERROR(__xludf.DUMMYFUNCTION("INDIRECT(""'收支紀錄'!G""&amp;TO_TEXT(ROW()-$C$72))"),"")</f>
        <v/>
      </c>
      <c r="H2092" s="61" t="str">
        <f>IFERROR(__xludf.DUMMYFUNCTION("INDIRECT(""'收支紀錄'!H""&amp;TO_TEXT(ROW()-$C$72))"),"")</f>
        <v/>
      </c>
      <c r="I2092" s="61" t="str">
        <f>IFERROR(__xludf.DUMMYFUNCTION("INDIRECT(""'收支紀錄'!I""&amp;TO_TEXT(ROW()-$C$72))"),"")</f>
        <v/>
      </c>
      <c r="J2092" s="61" t="str">
        <f>IFERROR(__xludf.DUMMYFUNCTION("INDIRECT(""'收支紀錄'!J""&amp;TO_TEXT(ROW()-$C$72))"),"")</f>
        <v/>
      </c>
      <c r="K2092" s="61" t="str">
        <f>IFERROR(__xludf.DUMMYFUNCTION("INDIRECT(""'收支紀錄'!K""&amp;TO_TEXT(ROW()-$C$72))"),"")</f>
        <v/>
      </c>
      <c r="L2092" s="61" t="str">
        <f>IFERROR(__xludf.DUMMYFUNCTION("INDIRECT(""'收支紀錄'!L""&amp;TO_TEXT(ROW()-$C$72))"),"")</f>
        <v/>
      </c>
      <c r="M2092" s="61" t="str">
        <f>IFERROR(__xludf.DUMMYFUNCTION("INDIRECT(""'收支紀錄'!M""&amp;TO_TEXT(ROW()-$C$72))"),"")</f>
        <v/>
      </c>
      <c r="N2092" s="61" t="str">
        <f>IFERROR(__xludf.DUMMYFUNCTION("INDIRECT(""'收支紀錄'!N""&amp;TO_TEXT(ROW()-$C$72))"),"")</f>
        <v/>
      </c>
      <c r="O2092" s="61" t="str">
        <f>IFERROR(__xludf.DUMMYFUNCTION("INDIRECT(""'收支紀錄'!O""&amp;TO_TEXT(ROW()-$C$72))"),"")</f>
        <v/>
      </c>
      <c r="P2092" s="61" t="str">
        <f>IFERROR(__xludf.DUMMYFUNCTION("INDIRECT(""'收支紀錄'!P""&amp;TO_TEXT(ROW()-$C$72))"),"")</f>
        <v/>
      </c>
      <c r="Q2092" s="61" t="str">
        <f>IFERROR(__xludf.DUMMYFUNCTION("INDIRECT(""'收支紀錄'!Q""&amp;TO_TEXT(ROW()-$C$72))"),"")</f>
        <v/>
      </c>
      <c r="R2092" s="61" t="str">
        <f>IFERROR(__xludf.DUMMYFUNCTION("INDIRECT(""'收支紀錄'!R""&amp;TO_TEXT(ROW()-$C$72))"),"")</f>
        <v/>
      </c>
      <c r="S2092" s="61" t="str">
        <f>IFERROR(__xludf.DUMMYFUNCTION("INDIRECT(""'收支紀錄'!S""&amp;TO_TEXT(ROW()-$C$72))"),"")</f>
        <v/>
      </c>
      <c r="T2092" s="61" t="str">
        <f>IFERROR(__xludf.DUMMYFUNCTION("INDIRECT(""'收支紀錄'!T""&amp;TO_TEXT(ROW()-$C$72))"),"")</f>
        <v/>
      </c>
      <c r="U2092" s="62" t="str">
        <f>IFERROR(__xludf.DUMMYFUNCTION("IF(T2092=""是"",TEXTJOIN("""", TRUE, ""$"", TO_TEXT(C2092), S2092),"""")"),"")</f>
        <v/>
      </c>
    </row>
    <row r="2093">
      <c r="A2093" s="58" t="str">
        <f>IFERROR(__xludf.DUMMYFUNCTION("INDIRECT(""'收支紀錄'!A""&amp;TO_TEXT(ROW()-$C$72))"),"")</f>
        <v/>
      </c>
      <c r="B2093" s="59" t="str">
        <f>IFERROR(__xludf.DUMMYFUNCTION("IF(ISBLANK(D2093), """", IF(ISDATE(D2093), D2093, IF(D2093=""今天"", A2093, IF(D2093=""昨天 (-1 day)"", A2093-1, IF(D2093=""前天 (-2 days)"", A2093-2, IF(D2093=""明天 (+1 day)"", A2093+1, DATE(LEFT(D2093,4), MID(D2093,5,2), RIGHT(D2093,2))))))))"),"")</f>
        <v/>
      </c>
      <c r="C2093" s="60" t="str">
        <f>IFERROR(__xludf.DUMMYFUNCTION("INDIRECT(""'收支紀錄'!C""&amp;TO_TEXT(ROW()-$C$72))"),"")</f>
        <v/>
      </c>
      <c r="D2093" s="63" t="str">
        <f>IFERROR(__xludf.DUMMYFUNCTION("INDIRECT(""'收支紀錄'!D""&amp;TO_TEXT(ROW()-$C$72))"),"")</f>
        <v/>
      </c>
      <c r="E2093" s="61" t="str">
        <f>IFERROR(__xludf.DUMMYFUNCTION("INDIRECT(""'收支紀錄'!E""&amp;TO_TEXT(ROW()-$C$72))"),"")</f>
        <v/>
      </c>
      <c r="F2093" s="61" t="str">
        <f>IFERROR(__xludf.DUMMYFUNCTION("INDIRECT(""'收支紀錄'!F""&amp;TO_TEXT(ROW()-$C$72))"),"")</f>
        <v/>
      </c>
      <c r="G2093" s="61" t="str">
        <f>IFERROR(__xludf.DUMMYFUNCTION("INDIRECT(""'收支紀錄'!G""&amp;TO_TEXT(ROW()-$C$72))"),"")</f>
        <v/>
      </c>
      <c r="H2093" s="61" t="str">
        <f>IFERROR(__xludf.DUMMYFUNCTION("INDIRECT(""'收支紀錄'!H""&amp;TO_TEXT(ROW()-$C$72))"),"")</f>
        <v/>
      </c>
      <c r="I2093" s="61" t="str">
        <f>IFERROR(__xludf.DUMMYFUNCTION("INDIRECT(""'收支紀錄'!I""&amp;TO_TEXT(ROW()-$C$72))"),"")</f>
        <v/>
      </c>
      <c r="J2093" s="61" t="str">
        <f>IFERROR(__xludf.DUMMYFUNCTION("INDIRECT(""'收支紀錄'!J""&amp;TO_TEXT(ROW()-$C$72))"),"")</f>
        <v/>
      </c>
      <c r="K2093" s="61" t="str">
        <f>IFERROR(__xludf.DUMMYFUNCTION("INDIRECT(""'收支紀錄'!K""&amp;TO_TEXT(ROW()-$C$72))"),"")</f>
        <v/>
      </c>
      <c r="L2093" s="61" t="str">
        <f>IFERROR(__xludf.DUMMYFUNCTION("INDIRECT(""'收支紀錄'!L""&amp;TO_TEXT(ROW()-$C$72))"),"")</f>
        <v/>
      </c>
      <c r="M2093" s="61" t="str">
        <f>IFERROR(__xludf.DUMMYFUNCTION("INDIRECT(""'收支紀錄'!M""&amp;TO_TEXT(ROW()-$C$72))"),"")</f>
        <v/>
      </c>
      <c r="N2093" s="61" t="str">
        <f>IFERROR(__xludf.DUMMYFUNCTION("INDIRECT(""'收支紀錄'!N""&amp;TO_TEXT(ROW()-$C$72))"),"")</f>
        <v/>
      </c>
      <c r="O2093" s="61" t="str">
        <f>IFERROR(__xludf.DUMMYFUNCTION("INDIRECT(""'收支紀錄'!O""&amp;TO_TEXT(ROW()-$C$72))"),"")</f>
        <v/>
      </c>
      <c r="P2093" s="61" t="str">
        <f>IFERROR(__xludf.DUMMYFUNCTION("INDIRECT(""'收支紀錄'!P""&amp;TO_TEXT(ROW()-$C$72))"),"")</f>
        <v/>
      </c>
      <c r="Q2093" s="61" t="str">
        <f>IFERROR(__xludf.DUMMYFUNCTION("INDIRECT(""'收支紀錄'!Q""&amp;TO_TEXT(ROW()-$C$72))"),"")</f>
        <v/>
      </c>
      <c r="R2093" s="61" t="str">
        <f>IFERROR(__xludf.DUMMYFUNCTION("INDIRECT(""'收支紀錄'!R""&amp;TO_TEXT(ROW()-$C$72))"),"")</f>
        <v/>
      </c>
      <c r="S2093" s="61" t="str">
        <f>IFERROR(__xludf.DUMMYFUNCTION("INDIRECT(""'收支紀錄'!S""&amp;TO_TEXT(ROW()-$C$72))"),"")</f>
        <v/>
      </c>
      <c r="T2093" s="61" t="str">
        <f>IFERROR(__xludf.DUMMYFUNCTION("INDIRECT(""'收支紀錄'!T""&amp;TO_TEXT(ROW()-$C$72))"),"")</f>
        <v/>
      </c>
      <c r="U2093" s="62" t="str">
        <f>IFERROR(__xludf.DUMMYFUNCTION("IF(T2093=""是"",TEXTJOIN("""", TRUE, ""$"", TO_TEXT(C2093), S2093),"""")"),"")</f>
        <v/>
      </c>
    </row>
    <row r="2094">
      <c r="A2094" s="58" t="str">
        <f>IFERROR(__xludf.DUMMYFUNCTION("INDIRECT(""'收支紀錄'!A""&amp;TO_TEXT(ROW()-$C$72))"),"")</f>
        <v/>
      </c>
      <c r="B2094" s="59" t="str">
        <f>IFERROR(__xludf.DUMMYFUNCTION("IF(ISBLANK(D2094), """", IF(ISDATE(D2094), D2094, IF(D2094=""今天"", A2094, IF(D2094=""昨天 (-1 day)"", A2094-1, IF(D2094=""前天 (-2 days)"", A2094-2, IF(D2094=""明天 (+1 day)"", A2094+1, DATE(LEFT(D2094,4), MID(D2094,5,2), RIGHT(D2094,2))))))))"),"")</f>
        <v/>
      </c>
      <c r="C2094" s="60" t="str">
        <f>IFERROR(__xludf.DUMMYFUNCTION("INDIRECT(""'收支紀錄'!C""&amp;TO_TEXT(ROW()-$C$72))"),"")</f>
        <v/>
      </c>
      <c r="D2094" s="63" t="str">
        <f>IFERROR(__xludf.DUMMYFUNCTION("INDIRECT(""'收支紀錄'!D""&amp;TO_TEXT(ROW()-$C$72))"),"")</f>
        <v/>
      </c>
      <c r="E2094" s="61" t="str">
        <f>IFERROR(__xludf.DUMMYFUNCTION("INDIRECT(""'收支紀錄'!E""&amp;TO_TEXT(ROW()-$C$72))"),"")</f>
        <v/>
      </c>
      <c r="F2094" s="61" t="str">
        <f>IFERROR(__xludf.DUMMYFUNCTION("INDIRECT(""'收支紀錄'!F""&amp;TO_TEXT(ROW()-$C$72))"),"")</f>
        <v/>
      </c>
      <c r="G2094" s="61" t="str">
        <f>IFERROR(__xludf.DUMMYFUNCTION("INDIRECT(""'收支紀錄'!G""&amp;TO_TEXT(ROW()-$C$72))"),"")</f>
        <v/>
      </c>
      <c r="H2094" s="61" t="str">
        <f>IFERROR(__xludf.DUMMYFUNCTION("INDIRECT(""'收支紀錄'!H""&amp;TO_TEXT(ROW()-$C$72))"),"")</f>
        <v/>
      </c>
      <c r="I2094" s="61" t="str">
        <f>IFERROR(__xludf.DUMMYFUNCTION("INDIRECT(""'收支紀錄'!I""&amp;TO_TEXT(ROW()-$C$72))"),"")</f>
        <v/>
      </c>
      <c r="J2094" s="61" t="str">
        <f>IFERROR(__xludf.DUMMYFUNCTION("INDIRECT(""'收支紀錄'!J""&amp;TO_TEXT(ROW()-$C$72))"),"")</f>
        <v/>
      </c>
      <c r="K2094" s="61" t="str">
        <f>IFERROR(__xludf.DUMMYFUNCTION("INDIRECT(""'收支紀錄'!K""&amp;TO_TEXT(ROW()-$C$72))"),"")</f>
        <v/>
      </c>
      <c r="L2094" s="61" t="str">
        <f>IFERROR(__xludf.DUMMYFUNCTION("INDIRECT(""'收支紀錄'!L""&amp;TO_TEXT(ROW()-$C$72))"),"")</f>
        <v/>
      </c>
      <c r="M2094" s="61" t="str">
        <f>IFERROR(__xludf.DUMMYFUNCTION("INDIRECT(""'收支紀錄'!M""&amp;TO_TEXT(ROW()-$C$72))"),"")</f>
        <v/>
      </c>
      <c r="N2094" s="61" t="str">
        <f>IFERROR(__xludf.DUMMYFUNCTION("INDIRECT(""'收支紀錄'!N""&amp;TO_TEXT(ROW()-$C$72))"),"")</f>
        <v/>
      </c>
      <c r="O2094" s="61" t="str">
        <f>IFERROR(__xludf.DUMMYFUNCTION("INDIRECT(""'收支紀錄'!O""&amp;TO_TEXT(ROW()-$C$72))"),"")</f>
        <v/>
      </c>
      <c r="P2094" s="61" t="str">
        <f>IFERROR(__xludf.DUMMYFUNCTION("INDIRECT(""'收支紀錄'!P""&amp;TO_TEXT(ROW()-$C$72))"),"")</f>
        <v/>
      </c>
      <c r="Q2094" s="61" t="str">
        <f>IFERROR(__xludf.DUMMYFUNCTION("INDIRECT(""'收支紀錄'!Q""&amp;TO_TEXT(ROW()-$C$72))"),"")</f>
        <v/>
      </c>
      <c r="R2094" s="61" t="str">
        <f>IFERROR(__xludf.DUMMYFUNCTION("INDIRECT(""'收支紀錄'!R""&amp;TO_TEXT(ROW()-$C$72))"),"")</f>
        <v/>
      </c>
      <c r="S2094" s="61" t="str">
        <f>IFERROR(__xludf.DUMMYFUNCTION("INDIRECT(""'收支紀錄'!S""&amp;TO_TEXT(ROW()-$C$72))"),"")</f>
        <v/>
      </c>
      <c r="T2094" s="61" t="str">
        <f>IFERROR(__xludf.DUMMYFUNCTION("INDIRECT(""'收支紀錄'!T""&amp;TO_TEXT(ROW()-$C$72))"),"")</f>
        <v/>
      </c>
      <c r="U2094" s="62" t="str">
        <f>IFERROR(__xludf.DUMMYFUNCTION("IF(T2094=""是"",TEXTJOIN("""", TRUE, ""$"", TO_TEXT(C2094), S2094),"""")"),"")</f>
        <v/>
      </c>
    </row>
    <row r="2095">
      <c r="A2095" s="58" t="str">
        <f>IFERROR(__xludf.DUMMYFUNCTION("INDIRECT(""'收支紀錄'!A""&amp;TO_TEXT(ROW()-$C$72))"),"")</f>
        <v/>
      </c>
      <c r="B2095" s="59" t="str">
        <f>IFERROR(__xludf.DUMMYFUNCTION("IF(ISBLANK(D2095), """", IF(ISDATE(D2095), D2095, IF(D2095=""今天"", A2095, IF(D2095=""昨天 (-1 day)"", A2095-1, IF(D2095=""前天 (-2 days)"", A2095-2, IF(D2095=""明天 (+1 day)"", A2095+1, DATE(LEFT(D2095,4), MID(D2095,5,2), RIGHT(D2095,2))))))))"),"")</f>
        <v/>
      </c>
      <c r="C2095" s="60" t="str">
        <f>IFERROR(__xludf.DUMMYFUNCTION("INDIRECT(""'收支紀錄'!C""&amp;TO_TEXT(ROW()-$C$72))"),"")</f>
        <v/>
      </c>
      <c r="D2095" s="63" t="str">
        <f>IFERROR(__xludf.DUMMYFUNCTION("INDIRECT(""'收支紀錄'!D""&amp;TO_TEXT(ROW()-$C$72))"),"")</f>
        <v/>
      </c>
      <c r="E2095" s="61" t="str">
        <f>IFERROR(__xludf.DUMMYFUNCTION("INDIRECT(""'收支紀錄'!E""&amp;TO_TEXT(ROW()-$C$72))"),"")</f>
        <v/>
      </c>
      <c r="F2095" s="61" t="str">
        <f>IFERROR(__xludf.DUMMYFUNCTION("INDIRECT(""'收支紀錄'!F""&amp;TO_TEXT(ROW()-$C$72))"),"")</f>
        <v/>
      </c>
      <c r="G2095" s="61" t="str">
        <f>IFERROR(__xludf.DUMMYFUNCTION("INDIRECT(""'收支紀錄'!G""&amp;TO_TEXT(ROW()-$C$72))"),"")</f>
        <v/>
      </c>
      <c r="H2095" s="61" t="str">
        <f>IFERROR(__xludf.DUMMYFUNCTION("INDIRECT(""'收支紀錄'!H""&amp;TO_TEXT(ROW()-$C$72))"),"")</f>
        <v/>
      </c>
      <c r="I2095" s="61" t="str">
        <f>IFERROR(__xludf.DUMMYFUNCTION("INDIRECT(""'收支紀錄'!I""&amp;TO_TEXT(ROW()-$C$72))"),"")</f>
        <v/>
      </c>
      <c r="J2095" s="61" t="str">
        <f>IFERROR(__xludf.DUMMYFUNCTION("INDIRECT(""'收支紀錄'!J""&amp;TO_TEXT(ROW()-$C$72))"),"")</f>
        <v/>
      </c>
      <c r="K2095" s="61" t="str">
        <f>IFERROR(__xludf.DUMMYFUNCTION("INDIRECT(""'收支紀錄'!K""&amp;TO_TEXT(ROW()-$C$72))"),"")</f>
        <v/>
      </c>
      <c r="L2095" s="61" t="str">
        <f>IFERROR(__xludf.DUMMYFUNCTION("INDIRECT(""'收支紀錄'!L""&amp;TO_TEXT(ROW()-$C$72))"),"")</f>
        <v/>
      </c>
      <c r="M2095" s="61" t="str">
        <f>IFERROR(__xludf.DUMMYFUNCTION("INDIRECT(""'收支紀錄'!M""&amp;TO_TEXT(ROW()-$C$72))"),"")</f>
        <v/>
      </c>
      <c r="N2095" s="61" t="str">
        <f>IFERROR(__xludf.DUMMYFUNCTION("INDIRECT(""'收支紀錄'!N""&amp;TO_TEXT(ROW()-$C$72))"),"")</f>
        <v/>
      </c>
      <c r="O2095" s="61" t="str">
        <f>IFERROR(__xludf.DUMMYFUNCTION("INDIRECT(""'收支紀錄'!O""&amp;TO_TEXT(ROW()-$C$72))"),"")</f>
        <v/>
      </c>
      <c r="P2095" s="61" t="str">
        <f>IFERROR(__xludf.DUMMYFUNCTION("INDIRECT(""'收支紀錄'!P""&amp;TO_TEXT(ROW()-$C$72))"),"")</f>
        <v/>
      </c>
      <c r="Q2095" s="61" t="str">
        <f>IFERROR(__xludf.DUMMYFUNCTION("INDIRECT(""'收支紀錄'!Q""&amp;TO_TEXT(ROW()-$C$72))"),"")</f>
        <v/>
      </c>
      <c r="R2095" s="61" t="str">
        <f>IFERROR(__xludf.DUMMYFUNCTION("INDIRECT(""'收支紀錄'!R""&amp;TO_TEXT(ROW()-$C$72))"),"")</f>
        <v/>
      </c>
      <c r="S2095" s="61" t="str">
        <f>IFERROR(__xludf.DUMMYFUNCTION("INDIRECT(""'收支紀錄'!S""&amp;TO_TEXT(ROW()-$C$72))"),"")</f>
        <v/>
      </c>
      <c r="T2095" s="61" t="str">
        <f>IFERROR(__xludf.DUMMYFUNCTION("INDIRECT(""'收支紀錄'!T""&amp;TO_TEXT(ROW()-$C$72))"),"")</f>
        <v/>
      </c>
      <c r="U2095" s="62" t="str">
        <f>IFERROR(__xludf.DUMMYFUNCTION("IF(T2095=""是"",TEXTJOIN("""", TRUE, ""$"", TO_TEXT(C2095), S2095),"""")"),"")</f>
        <v/>
      </c>
    </row>
    <row r="2096">
      <c r="A2096" s="58" t="str">
        <f>IFERROR(__xludf.DUMMYFUNCTION("INDIRECT(""'收支紀錄'!A""&amp;TO_TEXT(ROW()-$C$72))"),"")</f>
        <v/>
      </c>
      <c r="B2096" s="59" t="str">
        <f>IFERROR(__xludf.DUMMYFUNCTION("IF(ISBLANK(D2096), """", IF(ISDATE(D2096), D2096, IF(D2096=""今天"", A2096, IF(D2096=""昨天 (-1 day)"", A2096-1, IF(D2096=""前天 (-2 days)"", A2096-2, IF(D2096=""明天 (+1 day)"", A2096+1, DATE(LEFT(D2096,4), MID(D2096,5,2), RIGHT(D2096,2))))))))"),"")</f>
        <v/>
      </c>
      <c r="C2096" s="60" t="str">
        <f>IFERROR(__xludf.DUMMYFUNCTION("INDIRECT(""'收支紀錄'!C""&amp;TO_TEXT(ROW()-$C$72))"),"")</f>
        <v/>
      </c>
      <c r="D2096" s="63" t="str">
        <f>IFERROR(__xludf.DUMMYFUNCTION("INDIRECT(""'收支紀錄'!D""&amp;TO_TEXT(ROW()-$C$72))"),"")</f>
        <v/>
      </c>
      <c r="E2096" s="61" t="str">
        <f>IFERROR(__xludf.DUMMYFUNCTION("INDIRECT(""'收支紀錄'!E""&amp;TO_TEXT(ROW()-$C$72))"),"")</f>
        <v/>
      </c>
      <c r="F2096" s="61" t="str">
        <f>IFERROR(__xludf.DUMMYFUNCTION("INDIRECT(""'收支紀錄'!F""&amp;TO_TEXT(ROW()-$C$72))"),"")</f>
        <v/>
      </c>
      <c r="G2096" s="61" t="str">
        <f>IFERROR(__xludf.DUMMYFUNCTION("INDIRECT(""'收支紀錄'!G""&amp;TO_TEXT(ROW()-$C$72))"),"")</f>
        <v/>
      </c>
      <c r="H2096" s="61" t="str">
        <f>IFERROR(__xludf.DUMMYFUNCTION("INDIRECT(""'收支紀錄'!H""&amp;TO_TEXT(ROW()-$C$72))"),"")</f>
        <v/>
      </c>
      <c r="I2096" s="61" t="str">
        <f>IFERROR(__xludf.DUMMYFUNCTION("INDIRECT(""'收支紀錄'!I""&amp;TO_TEXT(ROW()-$C$72))"),"")</f>
        <v/>
      </c>
      <c r="J2096" s="61" t="str">
        <f>IFERROR(__xludf.DUMMYFUNCTION("INDIRECT(""'收支紀錄'!J""&amp;TO_TEXT(ROW()-$C$72))"),"")</f>
        <v/>
      </c>
      <c r="K2096" s="61" t="str">
        <f>IFERROR(__xludf.DUMMYFUNCTION("INDIRECT(""'收支紀錄'!K""&amp;TO_TEXT(ROW()-$C$72))"),"")</f>
        <v/>
      </c>
      <c r="L2096" s="61" t="str">
        <f>IFERROR(__xludf.DUMMYFUNCTION("INDIRECT(""'收支紀錄'!L""&amp;TO_TEXT(ROW()-$C$72))"),"")</f>
        <v/>
      </c>
      <c r="M2096" s="61" t="str">
        <f>IFERROR(__xludf.DUMMYFUNCTION("INDIRECT(""'收支紀錄'!M""&amp;TO_TEXT(ROW()-$C$72))"),"")</f>
        <v/>
      </c>
      <c r="N2096" s="61" t="str">
        <f>IFERROR(__xludf.DUMMYFUNCTION("INDIRECT(""'收支紀錄'!N""&amp;TO_TEXT(ROW()-$C$72))"),"")</f>
        <v/>
      </c>
      <c r="O2096" s="61" t="str">
        <f>IFERROR(__xludf.DUMMYFUNCTION("INDIRECT(""'收支紀錄'!O""&amp;TO_TEXT(ROW()-$C$72))"),"")</f>
        <v/>
      </c>
      <c r="P2096" s="61" t="str">
        <f>IFERROR(__xludf.DUMMYFUNCTION("INDIRECT(""'收支紀錄'!P""&amp;TO_TEXT(ROW()-$C$72))"),"")</f>
        <v/>
      </c>
      <c r="Q2096" s="61" t="str">
        <f>IFERROR(__xludf.DUMMYFUNCTION("INDIRECT(""'收支紀錄'!Q""&amp;TO_TEXT(ROW()-$C$72))"),"")</f>
        <v/>
      </c>
      <c r="R2096" s="61" t="str">
        <f>IFERROR(__xludf.DUMMYFUNCTION("INDIRECT(""'收支紀錄'!R""&amp;TO_TEXT(ROW()-$C$72))"),"")</f>
        <v/>
      </c>
      <c r="S2096" s="61" t="str">
        <f>IFERROR(__xludf.DUMMYFUNCTION("INDIRECT(""'收支紀錄'!S""&amp;TO_TEXT(ROW()-$C$72))"),"")</f>
        <v/>
      </c>
      <c r="T2096" s="61" t="str">
        <f>IFERROR(__xludf.DUMMYFUNCTION("INDIRECT(""'收支紀錄'!T""&amp;TO_TEXT(ROW()-$C$72))"),"")</f>
        <v/>
      </c>
      <c r="U2096" s="62" t="str">
        <f>IFERROR(__xludf.DUMMYFUNCTION("IF(T2096=""是"",TEXTJOIN("""", TRUE, ""$"", TO_TEXT(C2096), S2096),"""")"),"")</f>
        <v/>
      </c>
    </row>
    <row r="2097">
      <c r="A2097" s="58" t="str">
        <f>IFERROR(__xludf.DUMMYFUNCTION("INDIRECT(""'收支紀錄'!A""&amp;TO_TEXT(ROW()-$C$72))"),"")</f>
        <v/>
      </c>
      <c r="B2097" s="59" t="str">
        <f>IFERROR(__xludf.DUMMYFUNCTION("IF(ISBLANK(D2097), """", IF(ISDATE(D2097), D2097, IF(D2097=""今天"", A2097, IF(D2097=""昨天 (-1 day)"", A2097-1, IF(D2097=""前天 (-2 days)"", A2097-2, IF(D2097=""明天 (+1 day)"", A2097+1, DATE(LEFT(D2097,4), MID(D2097,5,2), RIGHT(D2097,2))))))))"),"")</f>
        <v/>
      </c>
      <c r="C2097" s="60" t="str">
        <f>IFERROR(__xludf.DUMMYFUNCTION("INDIRECT(""'收支紀錄'!C""&amp;TO_TEXT(ROW()-$C$72))"),"")</f>
        <v/>
      </c>
      <c r="D2097" s="63" t="str">
        <f>IFERROR(__xludf.DUMMYFUNCTION("INDIRECT(""'收支紀錄'!D""&amp;TO_TEXT(ROW()-$C$72))"),"")</f>
        <v/>
      </c>
      <c r="E2097" s="61" t="str">
        <f>IFERROR(__xludf.DUMMYFUNCTION("INDIRECT(""'收支紀錄'!E""&amp;TO_TEXT(ROW()-$C$72))"),"")</f>
        <v/>
      </c>
      <c r="F2097" s="61" t="str">
        <f>IFERROR(__xludf.DUMMYFUNCTION("INDIRECT(""'收支紀錄'!F""&amp;TO_TEXT(ROW()-$C$72))"),"")</f>
        <v/>
      </c>
      <c r="G2097" s="61" t="str">
        <f>IFERROR(__xludf.DUMMYFUNCTION("INDIRECT(""'收支紀錄'!G""&amp;TO_TEXT(ROW()-$C$72))"),"")</f>
        <v/>
      </c>
      <c r="H2097" s="61" t="str">
        <f>IFERROR(__xludf.DUMMYFUNCTION("INDIRECT(""'收支紀錄'!H""&amp;TO_TEXT(ROW()-$C$72))"),"")</f>
        <v/>
      </c>
      <c r="I2097" s="61" t="str">
        <f>IFERROR(__xludf.DUMMYFUNCTION("INDIRECT(""'收支紀錄'!I""&amp;TO_TEXT(ROW()-$C$72))"),"")</f>
        <v/>
      </c>
      <c r="J2097" s="61" t="str">
        <f>IFERROR(__xludf.DUMMYFUNCTION("INDIRECT(""'收支紀錄'!J""&amp;TO_TEXT(ROW()-$C$72))"),"")</f>
        <v/>
      </c>
      <c r="K2097" s="61" t="str">
        <f>IFERROR(__xludf.DUMMYFUNCTION("INDIRECT(""'收支紀錄'!K""&amp;TO_TEXT(ROW()-$C$72))"),"")</f>
        <v/>
      </c>
      <c r="L2097" s="61" t="str">
        <f>IFERROR(__xludf.DUMMYFUNCTION("INDIRECT(""'收支紀錄'!L""&amp;TO_TEXT(ROW()-$C$72))"),"")</f>
        <v/>
      </c>
      <c r="M2097" s="61" t="str">
        <f>IFERROR(__xludf.DUMMYFUNCTION("INDIRECT(""'收支紀錄'!M""&amp;TO_TEXT(ROW()-$C$72))"),"")</f>
        <v/>
      </c>
      <c r="N2097" s="61" t="str">
        <f>IFERROR(__xludf.DUMMYFUNCTION("INDIRECT(""'收支紀錄'!N""&amp;TO_TEXT(ROW()-$C$72))"),"")</f>
        <v/>
      </c>
      <c r="O2097" s="61" t="str">
        <f>IFERROR(__xludf.DUMMYFUNCTION("INDIRECT(""'收支紀錄'!O""&amp;TO_TEXT(ROW()-$C$72))"),"")</f>
        <v/>
      </c>
      <c r="P2097" s="61" t="str">
        <f>IFERROR(__xludf.DUMMYFUNCTION("INDIRECT(""'收支紀錄'!P""&amp;TO_TEXT(ROW()-$C$72))"),"")</f>
        <v/>
      </c>
      <c r="Q2097" s="61" t="str">
        <f>IFERROR(__xludf.DUMMYFUNCTION("INDIRECT(""'收支紀錄'!Q""&amp;TO_TEXT(ROW()-$C$72))"),"")</f>
        <v/>
      </c>
      <c r="R2097" s="61" t="str">
        <f>IFERROR(__xludf.DUMMYFUNCTION("INDIRECT(""'收支紀錄'!R""&amp;TO_TEXT(ROW()-$C$72))"),"")</f>
        <v/>
      </c>
      <c r="S2097" s="61" t="str">
        <f>IFERROR(__xludf.DUMMYFUNCTION("INDIRECT(""'收支紀錄'!S""&amp;TO_TEXT(ROW()-$C$72))"),"")</f>
        <v/>
      </c>
      <c r="T2097" s="61" t="str">
        <f>IFERROR(__xludf.DUMMYFUNCTION("INDIRECT(""'收支紀錄'!T""&amp;TO_TEXT(ROW()-$C$72))"),"")</f>
        <v/>
      </c>
      <c r="U2097" s="62" t="str">
        <f>IFERROR(__xludf.DUMMYFUNCTION("IF(T2097=""是"",TEXTJOIN("""", TRUE, ""$"", TO_TEXT(C2097), S2097),"""")"),"")</f>
        <v/>
      </c>
    </row>
    <row r="2098">
      <c r="A2098" s="58" t="str">
        <f>IFERROR(__xludf.DUMMYFUNCTION("INDIRECT(""'收支紀錄'!A""&amp;TO_TEXT(ROW()-$C$72))"),"")</f>
        <v/>
      </c>
      <c r="B2098" s="59" t="str">
        <f>IFERROR(__xludf.DUMMYFUNCTION("IF(ISBLANK(D2098), """", IF(ISDATE(D2098), D2098, IF(D2098=""今天"", A2098, IF(D2098=""昨天 (-1 day)"", A2098-1, IF(D2098=""前天 (-2 days)"", A2098-2, IF(D2098=""明天 (+1 day)"", A2098+1, DATE(LEFT(D2098,4), MID(D2098,5,2), RIGHT(D2098,2))))))))"),"")</f>
        <v/>
      </c>
      <c r="C2098" s="60" t="str">
        <f>IFERROR(__xludf.DUMMYFUNCTION("INDIRECT(""'收支紀錄'!C""&amp;TO_TEXT(ROW()-$C$72))"),"")</f>
        <v/>
      </c>
      <c r="D2098" s="63" t="str">
        <f>IFERROR(__xludf.DUMMYFUNCTION("INDIRECT(""'收支紀錄'!D""&amp;TO_TEXT(ROW()-$C$72))"),"")</f>
        <v/>
      </c>
      <c r="E2098" s="61" t="str">
        <f>IFERROR(__xludf.DUMMYFUNCTION("INDIRECT(""'收支紀錄'!E""&amp;TO_TEXT(ROW()-$C$72))"),"")</f>
        <v/>
      </c>
      <c r="F2098" s="61" t="str">
        <f>IFERROR(__xludf.DUMMYFUNCTION("INDIRECT(""'收支紀錄'!F""&amp;TO_TEXT(ROW()-$C$72))"),"")</f>
        <v/>
      </c>
      <c r="G2098" s="61" t="str">
        <f>IFERROR(__xludf.DUMMYFUNCTION("INDIRECT(""'收支紀錄'!G""&amp;TO_TEXT(ROW()-$C$72))"),"")</f>
        <v/>
      </c>
      <c r="H2098" s="61" t="str">
        <f>IFERROR(__xludf.DUMMYFUNCTION("INDIRECT(""'收支紀錄'!H""&amp;TO_TEXT(ROW()-$C$72))"),"")</f>
        <v/>
      </c>
      <c r="I2098" s="61" t="str">
        <f>IFERROR(__xludf.DUMMYFUNCTION("INDIRECT(""'收支紀錄'!I""&amp;TO_TEXT(ROW()-$C$72))"),"")</f>
        <v/>
      </c>
      <c r="J2098" s="61" t="str">
        <f>IFERROR(__xludf.DUMMYFUNCTION("INDIRECT(""'收支紀錄'!J""&amp;TO_TEXT(ROW()-$C$72))"),"")</f>
        <v/>
      </c>
      <c r="K2098" s="61" t="str">
        <f>IFERROR(__xludf.DUMMYFUNCTION("INDIRECT(""'收支紀錄'!K""&amp;TO_TEXT(ROW()-$C$72))"),"")</f>
        <v/>
      </c>
      <c r="L2098" s="61" t="str">
        <f>IFERROR(__xludf.DUMMYFUNCTION("INDIRECT(""'收支紀錄'!L""&amp;TO_TEXT(ROW()-$C$72))"),"")</f>
        <v/>
      </c>
      <c r="M2098" s="61" t="str">
        <f>IFERROR(__xludf.DUMMYFUNCTION("INDIRECT(""'收支紀錄'!M""&amp;TO_TEXT(ROW()-$C$72))"),"")</f>
        <v/>
      </c>
      <c r="N2098" s="61" t="str">
        <f>IFERROR(__xludf.DUMMYFUNCTION("INDIRECT(""'收支紀錄'!N""&amp;TO_TEXT(ROW()-$C$72))"),"")</f>
        <v/>
      </c>
      <c r="O2098" s="61" t="str">
        <f>IFERROR(__xludf.DUMMYFUNCTION("INDIRECT(""'收支紀錄'!O""&amp;TO_TEXT(ROW()-$C$72))"),"")</f>
        <v/>
      </c>
      <c r="P2098" s="61" t="str">
        <f>IFERROR(__xludf.DUMMYFUNCTION("INDIRECT(""'收支紀錄'!P""&amp;TO_TEXT(ROW()-$C$72))"),"")</f>
        <v/>
      </c>
      <c r="Q2098" s="61" t="str">
        <f>IFERROR(__xludf.DUMMYFUNCTION("INDIRECT(""'收支紀錄'!Q""&amp;TO_TEXT(ROW()-$C$72))"),"")</f>
        <v/>
      </c>
      <c r="R2098" s="61" t="str">
        <f>IFERROR(__xludf.DUMMYFUNCTION("INDIRECT(""'收支紀錄'!R""&amp;TO_TEXT(ROW()-$C$72))"),"")</f>
        <v/>
      </c>
      <c r="S2098" s="61" t="str">
        <f>IFERROR(__xludf.DUMMYFUNCTION("INDIRECT(""'收支紀錄'!S""&amp;TO_TEXT(ROW()-$C$72))"),"")</f>
        <v/>
      </c>
      <c r="T2098" s="61" t="str">
        <f>IFERROR(__xludf.DUMMYFUNCTION("INDIRECT(""'收支紀錄'!T""&amp;TO_TEXT(ROW()-$C$72))"),"")</f>
        <v/>
      </c>
      <c r="U2098" s="62" t="str">
        <f>IFERROR(__xludf.DUMMYFUNCTION("IF(T2098=""是"",TEXTJOIN("""", TRUE, ""$"", TO_TEXT(C2098), S2098),"""")"),"")</f>
        <v/>
      </c>
    </row>
    <row r="2099">
      <c r="A2099" s="58" t="str">
        <f>IFERROR(__xludf.DUMMYFUNCTION("INDIRECT(""'收支紀錄'!A""&amp;TO_TEXT(ROW()-$C$72))"),"")</f>
        <v/>
      </c>
      <c r="B2099" s="59" t="str">
        <f>IFERROR(__xludf.DUMMYFUNCTION("IF(ISBLANK(D2099), """", IF(ISDATE(D2099), D2099, IF(D2099=""今天"", A2099, IF(D2099=""昨天 (-1 day)"", A2099-1, IF(D2099=""前天 (-2 days)"", A2099-2, IF(D2099=""明天 (+1 day)"", A2099+1, DATE(LEFT(D2099,4), MID(D2099,5,2), RIGHT(D2099,2))))))))"),"")</f>
        <v/>
      </c>
      <c r="C2099" s="60" t="str">
        <f>IFERROR(__xludf.DUMMYFUNCTION("INDIRECT(""'收支紀錄'!C""&amp;TO_TEXT(ROW()-$C$72))"),"")</f>
        <v/>
      </c>
      <c r="D2099" s="63" t="str">
        <f>IFERROR(__xludf.DUMMYFUNCTION("INDIRECT(""'收支紀錄'!D""&amp;TO_TEXT(ROW()-$C$72))"),"")</f>
        <v/>
      </c>
      <c r="E2099" s="61" t="str">
        <f>IFERROR(__xludf.DUMMYFUNCTION("INDIRECT(""'收支紀錄'!E""&amp;TO_TEXT(ROW()-$C$72))"),"")</f>
        <v/>
      </c>
      <c r="F2099" s="61" t="str">
        <f>IFERROR(__xludf.DUMMYFUNCTION("INDIRECT(""'收支紀錄'!F""&amp;TO_TEXT(ROW()-$C$72))"),"")</f>
        <v/>
      </c>
      <c r="G2099" s="61" t="str">
        <f>IFERROR(__xludf.DUMMYFUNCTION("INDIRECT(""'收支紀錄'!G""&amp;TO_TEXT(ROW()-$C$72))"),"")</f>
        <v/>
      </c>
      <c r="H2099" s="61" t="str">
        <f>IFERROR(__xludf.DUMMYFUNCTION("INDIRECT(""'收支紀錄'!H""&amp;TO_TEXT(ROW()-$C$72))"),"")</f>
        <v/>
      </c>
      <c r="I2099" s="61" t="str">
        <f>IFERROR(__xludf.DUMMYFUNCTION("INDIRECT(""'收支紀錄'!I""&amp;TO_TEXT(ROW()-$C$72))"),"")</f>
        <v/>
      </c>
      <c r="J2099" s="61" t="str">
        <f>IFERROR(__xludf.DUMMYFUNCTION("INDIRECT(""'收支紀錄'!J""&amp;TO_TEXT(ROW()-$C$72))"),"")</f>
        <v/>
      </c>
      <c r="K2099" s="61" t="str">
        <f>IFERROR(__xludf.DUMMYFUNCTION("INDIRECT(""'收支紀錄'!K""&amp;TO_TEXT(ROW()-$C$72))"),"")</f>
        <v/>
      </c>
      <c r="L2099" s="61" t="str">
        <f>IFERROR(__xludf.DUMMYFUNCTION("INDIRECT(""'收支紀錄'!L""&amp;TO_TEXT(ROW()-$C$72))"),"")</f>
        <v/>
      </c>
      <c r="M2099" s="61" t="str">
        <f>IFERROR(__xludf.DUMMYFUNCTION("INDIRECT(""'收支紀錄'!M""&amp;TO_TEXT(ROW()-$C$72))"),"")</f>
        <v/>
      </c>
      <c r="N2099" s="61" t="str">
        <f>IFERROR(__xludf.DUMMYFUNCTION("INDIRECT(""'收支紀錄'!N""&amp;TO_TEXT(ROW()-$C$72))"),"")</f>
        <v/>
      </c>
      <c r="O2099" s="61" t="str">
        <f>IFERROR(__xludf.DUMMYFUNCTION("INDIRECT(""'收支紀錄'!O""&amp;TO_TEXT(ROW()-$C$72))"),"")</f>
        <v/>
      </c>
      <c r="P2099" s="61" t="str">
        <f>IFERROR(__xludf.DUMMYFUNCTION("INDIRECT(""'收支紀錄'!P""&amp;TO_TEXT(ROW()-$C$72))"),"")</f>
        <v/>
      </c>
      <c r="Q2099" s="61" t="str">
        <f>IFERROR(__xludf.DUMMYFUNCTION("INDIRECT(""'收支紀錄'!Q""&amp;TO_TEXT(ROW()-$C$72))"),"")</f>
        <v/>
      </c>
      <c r="R2099" s="61" t="str">
        <f>IFERROR(__xludf.DUMMYFUNCTION("INDIRECT(""'收支紀錄'!R""&amp;TO_TEXT(ROW()-$C$72))"),"")</f>
        <v/>
      </c>
      <c r="S2099" s="61" t="str">
        <f>IFERROR(__xludf.DUMMYFUNCTION("INDIRECT(""'收支紀錄'!S""&amp;TO_TEXT(ROW()-$C$72))"),"")</f>
        <v/>
      </c>
      <c r="T2099" s="61" t="str">
        <f>IFERROR(__xludf.DUMMYFUNCTION("INDIRECT(""'收支紀錄'!T""&amp;TO_TEXT(ROW()-$C$72))"),"")</f>
        <v/>
      </c>
      <c r="U2099" s="62" t="str">
        <f>IFERROR(__xludf.DUMMYFUNCTION("IF(T2099=""是"",TEXTJOIN("""", TRUE, ""$"", TO_TEXT(C2099), S2099),"""")"),"")</f>
        <v/>
      </c>
    </row>
    <row r="2100">
      <c r="A2100" s="58" t="str">
        <f>IFERROR(__xludf.DUMMYFUNCTION("INDIRECT(""'收支紀錄'!A""&amp;TO_TEXT(ROW()-$C$72))"),"")</f>
        <v/>
      </c>
      <c r="B2100" s="59" t="str">
        <f>IFERROR(__xludf.DUMMYFUNCTION("IF(ISBLANK(D2100), """", IF(ISDATE(D2100), D2100, IF(D2100=""今天"", A2100, IF(D2100=""昨天 (-1 day)"", A2100-1, IF(D2100=""前天 (-2 days)"", A2100-2, IF(D2100=""明天 (+1 day)"", A2100+1, DATE(LEFT(D2100,4), MID(D2100,5,2), RIGHT(D2100,2))))))))"),"")</f>
        <v/>
      </c>
      <c r="C2100" s="60" t="str">
        <f>IFERROR(__xludf.DUMMYFUNCTION("INDIRECT(""'收支紀錄'!C""&amp;TO_TEXT(ROW()-$C$72))"),"")</f>
        <v/>
      </c>
      <c r="D2100" s="63" t="str">
        <f>IFERROR(__xludf.DUMMYFUNCTION("INDIRECT(""'收支紀錄'!D""&amp;TO_TEXT(ROW()-$C$72))"),"")</f>
        <v/>
      </c>
      <c r="E2100" s="61" t="str">
        <f>IFERROR(__xludf.DUMMYFUNCTION("INDIRECT(""'收支紀錄'!E""&amp;TO_TEXT(ROW()-$C$72))"),"")</f>
        <v/>
      </c>
      <c r="F2100" s="61" t="str">
        <f>IFERROR(__xludf.DUMMYFUNCTION("INDIRECT(""'收支紀錄'!F""&amp;TO_TEXT(ROW()-$C$72))"),"")</f>
        <v/>
      </c>
      <c r="G2100" s="61" t="str">
        <f>IFERROR(__xludf.DUMMYFUNCTION("INDIRECT(""'收支紀錄'!G""&amp;TO_TEXT(ROW()-$C$72))"),"")</f>
        <v/>
      </c>
      <c r="H2100" s="61" t="str">
        <f>IFERROR(__xludf.DUMMYFUNCTION("INDIRECT(""'收支紀錄'!H""&amp;TO_TEXT(ROW()-$C$72))"),"")</f>
        <v/>
      </c>
      <c r="I2100" s="61" t="str">
        <f>IFERROR(__xludf.DUMMYFUNCTION("INDIRECT(""'收支紀錄'!I""&amp;TO_TEXT(ROW()-$C$72))"),"")</f>
        <v/>
      </c>
      <c r="J2100" s="61" t="str">
        <f>IFERROR(__xludf.DUMMYFUNCTION("INDIRECT(""'收支紀錄'!J""&amp;TO_TEXT(ROW()-$C$72))"),"")</f>
        <v/>
      </c>
      <c r="K2100" s="61" t="str">
        <f>IFERROR(__xludf.DUMMYFUNCTION("INDIRECT(""'收支紀錄'!K""&amp;TO_TEXT(ROW()-$C$72))"),"")</f>
        <v/>
      </c>
      <c r="L2100" s="61" t="str">
        <f>IFERROR(__xludf.DUMMYFUNCTION("INDIRECT(""'收支紀錄'!L""&amp;TO_TEXT(ROW()-$C$72))"),"")</f>
        <v/>
      </c>
      <c r="M2100" s="61" t="str">
        <f>IFERROR(__xludf.DUMMYFUNCTION("INDIRECT(""'收支紀錄'!M""&amp;TO_TEXT(ROW()-$C$72))"),"")</f>
        <v/>
      </c>
      <c r="N2100" s="61" t="str">
        <f>IFERROR(__xludf.DUMMYFUNCTION("INDIRECT(""'收支紀錄'!N""&amp;TO_TEXT(ROW()-$C$72))"),"")</f>
        <v/>
      </c>
      <c r="O2100" s="61" t="str">
        <f>IFERROR(__xludf.DUMMYFUNCTION("INDIRECT(""'收支紀錄'!O""&amp;TO_TEXT(ROW()-$C$72))"),"")</f>
        <v/>
      </c>
      <c r="P2100" s="61" t="str">
        <f>IFERROR(__xludf.DUMMYFUNCTION("INDIRECT(""'收支紀錄'!P""&amp;TO_TEXT(ROW()-$C$72))"),"")</f>
        <v/>
      </c>
      <c r="Q2100" s="61" t="str">
        <f>IFERROR(__xludf.DUMMYFUNCTION("INDIRECT(""'收支紀錄'!Q""&amp;TO_TEXT(ROW()-$C$72))"),"")</f>
        <v/>
      </c>
      <c r="R2100" s="61" t="str">
        <f>IFERROR(__xludf.DUMMYFUNCTION("INDIRECT(""'收支紀錄'!R""&amp;TO_TEXT(ROW()-$C$72))"),"")</f>
        <v/>
      </c>
      <c r="S2100" s="61" t="str">
        <f>IFERROR(__xludf.DUMMYFUNCTION("INDIRECT(""'收支紀錄'!S""&amp;TO_TEXT(ROW()-$C$72))"),"")</f>
        <v/>
      </c>
      <c r="T2100" s="61" t="str">
        <f>IFERROR(__xludf.DUMMYFUNCTION("INDIRECT(""'收支紀錄'!T""&amp;TO_TEXT(ROW()-$C$72))"),"")</f>
        <v/>
      </c>
      <c r="U2100" s="62" t="str">
        <f>IFERROR(__xludf.DUMMYFUNCTION("IF(T2100=""是"",TEXTJOIN("""", TRUE, ""$"", TO_TEXT(C2100), S2100),"""")"),"")</f>
        <v/>
      </c>
    </row>
    <row r="2101">
      <c r="A2101" s="58" t="str">
        <f>IFERROR(__xludf.DUMMYFUNCTION("INDIRECT(""'收支紀錄'!A""&amp;TO_TEXT(ROW()-$C$72))"),"")</f>
        <v/>
      </c>
      <c r="B2101" s="59" t="str">
        <f>IFERROR(__xludf.DUMMYFUNCTION("IF(ISBLANK(D2101), """", IF(ISDATE(D2101), D2101, IF(D2101=""今天"", A2101, IF(D2101=""昨天 (-1 day)"", A2101-1, IF(D2101=""前天 (-2 days)"", A2101-2, IF(D2101=""明天 (+1 day)"", A2101+1, DATE(LEFT(D2101,4), MID(D2101,5,2), RIGHT(D2101,2))))))))"),"")</f>
        <v/>
      </c>
      <c r="C2101" s="60" t="str">
        <f>IFERROR(__xludf.DUMMYFUNCTION("INDIRECT(""'收支紀錄'!C""&amp;TO_TEXT(ROW()-$C$72))"),"")</f>
        <v/>
      </c>
      <c r="D2101" s="63" t="str">
        <f>IFERROR(__xludf.DUMMYFUNCTION("INDIRECT(""'收支紀錄'!D""&amp;TO_TEXT(ROW()-$C$72))"),"")</f>
        <v/>
      </c>
      <c r="E2101" s="61" t="str">
        <f>IFERROR(__xludf.DUMMYFUNCTION("INDIRECT(""'收支紀錄'!E""&amp;TO_TEXT(ROW()-$C$72))"),"")</f>
        <v/>
      </c>
      <c r="F2101" s="61" t="str">
        <f>IFERROR(__xludf.DUMMYFUNCTION("INDIRECT(""'收支紀錄'!F""&amp;TO_TEXT(ROW()-$C$72))"),"")</f>
        <v/>
      </c>
      <c r="G2101" s="61" t="str">
        <f>IFERROR(__xludf.DUMMYFUNCTION("INDIRECT(""'收支紀錄'!G""&amp;TO_TEXT(ROW()-$C$72))"),"")</f>
        <v/>
      </c>
      <c r="H2101" s="61" t="str">
        <f>IFERROR(__xludf.DUMMYFUNCTION("INDIRECT(""'收支紀錄'!H""&amp;TO_TEXT(ROW()-$C$72))"),"")</f>
        <v/>
      </c>
      <c r="I2101" s="61" t="str">
        <f>IFERROR(__xludf.DUMMYFUNCTION("INDIRECT(""'收支紀錄'!I""&amp;TO_TEXT(ROW()-$C$72))"),"")</f>
        <v/>
      </c>
      <c r="J2101" s="61" t="str">
        <f>IFERROR(__xludf.DUMMYFUNCTION("INDIRECT(""'收支紀錄'!J""&amp;TO_TEXT(ROW()-$C$72))"),"")</f>
        <v/>
      </c>
      <c r="K2101" s="61" t="str">
        <f>IFERROR(__xludf.DUMMYFUNCTION("INDIRECT(""'收支紀錄'!K""&amp;TO_TEXT(ROW()-$C$72))"),"")</f>
        <v/>
      </c>
      <c r="L2101" s="61" t="str">
        <f>IFERROR(__xludf.DUMMYFUNCTION("INDIRECT(""'收支紀錄'!L""&amp;TO_TEXT(ROW()-$C$72))"),"")</f>
        <v/>
      </c>
      <c r="M2101" s="61" t="str">
        <f>IFERROR(__xludf.DUMMYFUNCTION("INDIRECT(""'收支紀錄'!M""&amp;TO_TEXT(ROW()-$C$72))"),"")</f>
        <v/>
      </c>
      <c r="N2101" s="61" t="str">
        <f>IFERROR(__xludf.DUMMYFUNCTION("INDIRECT(""'收支紀錄'!N""&amp;TO_TEXT(ROW()-$C$72))"),"")</f>
        <v/>
      </c>
      <c r="O2101" s="61" t="str">
        <f>IFERROR(__xludf.DUMMYFUNCTION("INDIRECT(""'收支紀錄'!O""&amp;TO_TEXT(ROW()-$C$72))"),"")</f>
        <v/>
      </c>
      <c r="P2101" s="61" t="str">
        <f>IFERROR(__xludf.DUMMYFUNCTION("INDIRECT(""'收支紀錄'!P""&amp;TO_TEXT(ROW()-$C$72))"),"")</f>
        <v/>
      </c>
      <c r="Q2101" s="61" t="str">
        <f>IFERROR(__xludf.DUMMYFUNCTION("INDIRECT(""'收支紀錄'!Q""&amp;TO_TEXT(ROW()-$C$72))"),"")</f>
        <v/>
      </c>
      <c r="R2101" s="61" t="str">
        <f>IFERROR(__xludf.DUMMYFUNCTION("INDIRECT(""'收支紀錄'!R""&amp;TO_TEXT(ROW()-$C$72))"),"")</f>
        <v/>
      </c>
      <c r="S2101" s="61" t="str">
        <f>IFERROR(__xludf.DUMMYFUNCTION("INDIRECT(""'收支紀錄'!S""&amp;TO_TEXT(ROW()-$C$72))"),"")</f>
        <v/>
      </c>
      <c r="T2101" s="61" t="str">
        <f>IFERROR(__xludf.DUMMYFUNCTION("INDIRECT(""'收支紀錄'!T""&amp;TO_TEXT(ROW()-$C$72))"),"")</f>
        <v/>
      </c>
      <c r="U2101" s="62" t="str">
        <f>IFERROR(__xludf.DUMMYFUNCTION("IF(T2101=""是"",TEXTJOIN("""", TRUE, ""$"", TO_TEXT(C2101), S2101),"""")"),"")</f>
        <v/>
      </c>
    </row>
    <row r="2102">
      <c r="A2102" s="58" t="str">
        <f>IFERROR(__xludf.DUMMYFUNCTION("INDIRECT(""'收支紀錄'!A""&amp;TO_TEXT(ROW()-$C$72))"),"")</f>
        <v/>
      </c>
      <c r="B2102" s="59" t="str">
        <f>IFERROR(__xludf.DUMMYFUNCTION("IF(ISBLANK(D2102), """", IF(ISDATE(D2102), D2102, IF(D2102=""今天"", A2102, IF(D2102=""昨天 (-1 day)"", A2102-1, IF(D2102=""前天 (-2 days)"", A2102-2, IF(D2102=""明天 (+1 day)"", A2102+1, DATE(LEFT(D2102,4), MID(D2102,5,2), RIGHT(D2102,2))))))))"),"")</f>
        <v/>
      </c>
      <c r="C2102" s="60" t="str">
        <f>IFERROR(__xludf.DUMMYFUNCTION("INDIRECT(""'收支紀錄'!C""&amp;TO_TEXT(ROW()-$C$72))"),"")</f>
        <v/>
      </c>
      <c r="D2102" s="63" t="str">
        <f>IFERROR(__xludf.DUMMYFUNCTION("INDIRECT(""'收支紀錄'!D""&amp;TO_TEXT(ROW()-$C$72))"),"")</f>
        <v/>
      </c>
      <c r="E2102" s="61" t="str">
        <f>IFERROR(__xludf.DUMMYFUNCTION("INDIRECT(""'收支紀錄'!E""&amp;TO_TEXT(ROW()-$C$72))"),"")</f>
        <v/>
      </c>
      <c r="F2102" s="61" t="str">
        <f>IFERROR(__xludf.DUMMYFUNCTION("INDIRECT(""'收支紀錄'!F""&amp;TO_TEXT(ROW()-$C$72))"),"")</f>
        <v/>
      </c>
      <c r="G2102" s="61" t="str">
        <f>IFERROR(__xludf.DUMMYFUNCTION("INDIRECT(""'收支紀錄'!G""&amp;TO_TEXT(ROW()-$C$72))"),"")</f>
        <v/>
      </c>
      <c r="H2102" s="61" t="str">
        <f>IFERROR(__xludf.DUMMYFUNCTION("INDIRECT(""'收支紀錄'!H""&amp;TO_TEXT(ROW()-$C$72))"),"")</f>
        <v/>
      </c>
      <c r="I2102" s="61" t="str">
        <f>IFERROR(__xludf.DUMMYFUNCTION("INDIRECT(""'收支紀錄'!I""&amp;TO_TEXT(ROW()-$C$72))"),"")</f>
        <v/>
      </c>
      <c r="J2102" s="61" t="str">
        <f>IFERROR(__xludf.DUMMYFUNCTION("INDIRECT(""'收支紀錄'!J""&amp;TO_TEXT(ROW()-$C$72))"),"")</f>
        <v/>
      </c>
      <c r="K2102" s="61" t="str">
        <f>IFERROR(__xludf.DUMMYFUNCTION("INDIRECT(""'收支紀錄'!K""&amp;TO_TEXT(ROW()-$C$72))"),"")</f>
        <v/>
      </c>
      <c r="L2102" s="61" t="str">
        <f>IFERROR(__xludf.DUMMYFUNCTION("INDIRECT(""'收支紀錄'!L""&amp;TO_TEXT(ROW()-$C$72))"),"")</f>
        <v/>
      </c>
      <c r="M2102" s="61" t="str">
        <f>IFERROR(__xludf.DUMMYFUNCTION("INDIRECT(""'收支紀錄'!M""&amp;TO_TEXT(ROW()-$C$72))"),"")</f>
        <v/>
      </c>
      <c r="N2102" s="61" t="str">
        <f>IFERROR(__xludf.DUMMYFUNCTION("INDIRECT(""'收支紀錄'!N""&amp;TO_TEXT(ROW()-$C$72))"),"")</f>
        <v/>
      </c>
      <c r="O2102" s="61" t="str">
        <f>IFERROR(__xludf.DUMMYFUNCTION("INDIRECT(""'收支紀錄'!O""&amp;TO_TEXT(ROW()-$C$72))"),"")</f>
        <v/>
      </c>
      <c r="P2102" s="61" t="str">
        <f>IFERROR(__xludf.DUMMYFUNCTION("INDIRECT(""'收支紀錄'!P""&amp;TO_TEXT(ROW()-$C$72))"),"")</f>
        <v/>
      </c>
      <c r="Q2102" s="61" t="str">
        <f>IFERROR(__xludf.DUMMYFUNCTION("INDIRECT(""'收支紀錄'!Q""&amp;TO_TEXT(ROW()-$C$72))"),"")</f>
        <v/>
      </c>
      <c r="R2102" s="61" t="str">
        <f>IFERROR(__xludf.DUMMYFUNCTION("INDIRECT(""'收支紀錄'!R""&amp;TO_TEXT(ROW()-$C$72))"),"")</f>
        <v/>
      </c>
      <c r="S2102" s="61" t="str">
        <f>IFERROR(__xludf.DUMMYFUNCTION("INDIRECT(""'收支紀錄'!S""&amp;TO_TEXT(ROW()-$C$72))"),"")</f>
        <v/>
      </c>
      <c r="T2102" s="61" t="str">
        <f>IFERROR(__xludf.DUMMYFUNCTION("INDIRECT(""'收支紀錄'!T""&amp;TO_TEXT(ROW()-$C$72))"),"")</f>
        <v/>
      </c>
      <c r="U2102" s="62" t="str">
        <f>IFERROR(__xludf.DUMMYFUNCTION("IF(T2102=""是"",TEXTJOIN("""", TRUE, ""$"", TO_TEXT(C2102), S2102),"""")"),"")</f>
        <v/>
      </c>
    </row>
    <row r="2103">
      <c r="A2103" s="58" t="str">
        <f>IFERROR(__xludf.DUMMYFUNCTION("INDIRECT(""'收支紀錄'!A""&amp;TO_TEXT(ROW()-$C$72))"),"")</f>
        <v/>
      </c>
      <c r="B2103" s="59" t="str">
        <f>IFERROR(__xludf.DUMMYFUNCTION("IF(ISBLANK(D2103), """", IF(ISDATE(D2103), D2103, IF(D2103=""今天"", A2103, IF(D2103=""昨天 (-1 day)"", A2103-1, IF(D2103=""前天 (-2 days)"", A2103-2, IF(D2103=""明天 (+1 day)"", A2103+1, DATE(LEFT(D2103,4), MID(D2103,5,2), RIGHT(D2103,2))))))))"),"")</f>
        <v/>
      </c>
      <c r="C2103" s="60" t="str">
        <f>IFERROR(__xludf.DUMMYFUNCTION("INDIRECT(""'收支紀錄'!C""&amp;TO_TEXT(ROW()-$C$72))"),"")</f>
        <v/>
      </c>
      <c r="D2103" s="63" t="str">
        <f>IFERROR(__xludf.DUMMYFUNCTION("INDIRECT(""'收支紀錄'!D""&amp;TO_TEXT(ROW()-$C$72))"),"")</f>
        <v/>
      </c>
      <c r="E2103" s="61" t="str">
        <f>IFERROR(__xludf.DUMMYFUNCTION("INDIRECT(""'收支紀錄'!E""&amp;TO_TEXT(ROW()-$C$72))"),"")</f>
        <v/>
      </c>
      <c r="F2103" s="61" t="str">
        <f>IFERROR(__xludf.DUMMYFUNCTION("INDIRECT(""'收支紀錄'!F""&amp;TO_TEXT(ROW()-$C$72))"),"")</f>
        <v/>
      </c>
      <c r="G2103" s="61" t="str">
        <f>IFERROR(__xludf.DUMMYFUNCTION("INDIRECT(""'收支紀錄'!G""&amp;TO_TEXT(ROW()-$C$72))"),"")</f>
        <v/>
      </c>
      <c r="H2103" s="61" t="str">
        <f>IFERROR(__xludf.DUMMYFUNCTION("INDIRECT(""'收支紀錄'!H""&amp;TO_TEXT(ROW()-$C$72))"),"")</f>
        <v/>
      </c>
      <c r="I2103" s="61" t="str">
        <f>IFERROR(__xludf.DUMMYFUNCTION("INDIRECT(""'收支紀錄'!I""&amp;TO_TEXT(ROW()-$C$72))"),"")</f>
        <v/>
      </c>
      <c r="J2103" s="61" t="str">
        <f>IFERROR(__xludf.DUMMYFUNCTION("INDIRECT(""'收支紀錄'!J""&amp;TO_TEXT(ROW()-$C$72))"),"")</f>
        <v/>
      </c>
      <c r="K2103" s="61" t="str">
        <f>IFERROR(__xludf.DUMMYFUNCTION("INDIRECT(""'收支紀錄'!K""&amp;TO_TEXT(ROW()-$C$72))"),"")</f>
        <v/>
      </c>
      <c r="L2103" s="61" t="str">
        <f>IFERROR(__xludf.DUMMYFUNCTION("INDIRECT(""'收支紀錄'!L""&amp;TO_TEXT(ROW()-$C$72))"),"")</f>
        <v/>
      </c>
      <c r="M2103" s="61" t="str">
        <f>IFERROR(__xludf.DUMMYFUNCTION("INDIRECT(""'收支紀錄'!M""&amp;TO_TEXT(ROW()-$C$72))"),"")</f>
        <v/>
      </c>
      <c r="N2103" s="61" t="str">
        <f>IFERROR(__xludf.DUMMYFUNCTION("INDIRECT(""'收支紀錄'!N""&amp;TO_TEXT(ROW()-$C$72))"),"")</f>
        <v/>
      </c>
      <c r="O2103" s="61" t="str">
        <f>IFERROR(__xludf.DUMMYFUNCTION("INDIRECT(""'收支紀錄'!O""&amp;TO_TEXT(ROW()-$C$72))"),"")</f>
        <v/>
      </c>
      <c r="P2103" s="61" t="str">
        <f>IFERROR(__xludf.DUMMYFUNCTION("INDIRECT(""'收支紀錄'!P""&amp;TO_TEXT(ROW()-$C$72))"),"")</f>
        <v/>
      </c>
      <c r="Q2103" s="61" t="str">
        <f>IFERROR(__xludf.DUMMYFUNCTION("INDIRECT(""'收支紀錄'!Q""&amp;TO_TEXT(ROW()-$C$72))"),"")</f>
        <v/>
      </c>
      <c r="R2103" s="61" t="str">
        <f>IFERROR(__xludf.DUMMYFUNCTION("INDIRECT(""'收支紀錄'!R""&amp;TO_TEXT(ROW()-$C$72))"),"")</f>
        <v/>
      </c>
      <c r="S2103" s="61" t="str">
        <f>IFERROR(__xludf.DUMMYFUNCTION("INDIRECT(""'收支紀錄'!S""&amp;TO_TEXT(ROW()-$C$72))"),"")</f>
        <v/>
      </c>
      <c r="T2103" s="61" t="str">
        <f>IFERROR(__xludf.DUMMYFUNCTION("INDIRECT(""'收支紀錄'!T""&amp;TO_TEXT(ROW()-$C$72))"),"")</f>
        <v/>
      </c>
      <c r="U2103" s="62" t="str">
        <f>IFERROR(__xludf.DUMMYFUNCTION("IF(T2103=""是"",TEXTJOIN("""", TRUE, ""$"", TO_TEXT(C2103), S2103),"""")"),"")</f>
        <v/>
      </c>
    </row>
    <row r="2104">
      <c r="A2104" s="58" t="str">
        <f>IFERROR(__xludf.DUMMYFUNCTION("INDIRECT(""'收支紀錄'!A""&amp;TO_TEXT(ROW()-$C$72))"),"")</f>
        <v/>
      </c>
      <c r="B2104" s="59" t="str">
        <f>IFERROR(__xludf.DUMMYFUNCTION("IF(ISBLANK(D2104), """", IF(ISDATE(D2104), D2104, IF(D2104=""今天"", A2104, IF(D2104=""昨天 (-1 day)"", A2104-1, IF(D2104=""前天 (-2 days)"", A2104-2, IF(D2104=""明天 (+1 day)"", A2104+1, DATE(LEFT(D2104,4), MID(D2104,5,2), RIGHT(D2104,2))))))))"),"")</f>
        <v/>
      </c>
      <c r="C2104" s="60" t="str">
        <f>IFERROR(__xludf.DUMMYFUNCTION("INDIRECT(""'收支紀錄'!C""&amp;TO_TEXT(ROW()-$C$72))"),"")</f>
        <v/>
      </c>
      <c r="D2104" s="63" t="str">
        <f>IFERROR(__xludf.DUMMYFUNCTION("INDIRECT(""'收支紀錄'!D""&amp;TO_TEXT(ROW()-$C$72))"),"")</f>
        <v/>
      </c>
      <c r="E2104" s="61" t="str">
        <f>IFERROR(__xludf.DUMMYFUNCTION("INDIRECT(""'收支紀錄'!E""&amp;TO_TEXT(ROW()-$C$72))"),"")</f>
        <v/>
      </c>
      <c r="F2104" s="61" t="str">
        <f>IFERROR(__xludf.DUMMYFUNCTION("INDIRECT(""'收支紀錄'!F""&amp;TO_TEXT(ROW()-$C$72))"),"")</f>
        <v/>
      </c>
      <c r="G2104" s="61" t="str">
        <f>IFERROR(__xludf.DUMMYFUNCTION("INDIRECT(""'收支紀錄'!G""&amp;TO_TEXT(ROW()-$C$72))"),"")</f>
        <v/>
      </c>
      <c r="H2104" s="61" t="str">
        <f>IFERROR(__xludf.DUMMYFUNCTION("INDIRECT(""'收支紀錄'!H""&amp;TO_TEXT(ROW()-$C$72))"),"")</f>
        <v/>
      </c>
      <c r="I2104" s="61" t="str">
        <f>IFERROR(__xludf.DUMMYFUNCTION("INDIRECT(""'收支紀錄'!I""&amp;TO_TEXT(ROW()-$C$72))"),"")</f>
        <v/>
      </c>
      <c r="J2104" s="61" t="str">
        <f>IFERROR(__xludf.DUMMYFUNCTION("INDIRECT(""'收支紀錄'!J""&amp;TO_TEXT(ROW()-$C$72))"),"")</f>
        <v/>
      </c>
      <c r="K2104" s="61" t="str">
        <f>IFERROR(__xludf.DUMMYFUNCTION("INDIRECT(""'收支紀錄'!K""&amp;TO_TEXT(ROW()-$C$72))"),"")</f>
        <v/>
      </c>
      <c r="L2104" s="61" t="str">
        <f>IFERROR(__xludf.DUMMYFUNCTION("INDIRECT(""'收支紀錄'!L""&amp;TO_TEXT(ROW()-$C$72))"),"")</f>
        <v/>
      </c>
      <c r="M2104" s="61" t="str">
        <f>IFERROR(__xludf.DUMMYFUNCTION("INDIRECT(""'收支紀錄'!M""&amp;TO_TEXT(ROW()-$C$72))"),"")</f>
        <v/>
      </c>
      <c r="N2104" s="61" t="str">
        <f>IFERROR(__xludf.DUMMYFUNCTION("INDIRECT(""'收支紀錄'!N""&amp;TO_TEXT(ROW()-$C$72))"),"")</f>
        <v/>
      </c>
      <c r="O2104" s="61" t="str">
        <f>IFERROR(__xludf.DUMMYFUNCTION("INDIRECT(""'收支紀錄'!O""&amp;TO_TEXT(ROW()-$C$72))"),"")</f>
        <v/>
      </c>
      <c r="P2104" s="61" t="str">
        <f>IFERROR(__xludf.DUMMYFUNCTION("INDIRECT(""'收支紀錄'!P""&amp;TO_TEXT(ROW()-$C$72))"),"")</f>
        <v/>
      </c>
      <c r="Q2104" s="61" t="str">
        <f>IFERROR(__xludf.DUMMYFUNCTION("INDIRECT(""'收支紀錄'!Q""&amp;TO_TEXT(ROW()-$C$72))"),"")</f>
        <v/>
      </c>
      <c r="R2104" s="61" t="str">
        <f>IFERROR(__xludf.DUMMYFUNCTION("INDIRECT(""'收支紀錄'!R""&amp;TO_TEXT(ROW()-$C$72))"),"")</f>
        <v/>
      </c>
      <c r="S2104" s="61" t="str">
        <f>IFERROR(__xludf.DUMMYFUNCTION("INDIRECT(""'收支紀錄'!S""&amp;TO_TEXT(ROW()-$C$72))"),"")</f>
        <v/>
      </c>
      <c r="T2104" s="61" t="str">
        <f>IFERROR(__xludf.DUMMYFUNCTION("INDIRECT(""'收支紀錄'!T""&amp;TO_TEXT(ROW()-$C$72))"),"")</f>
        <v/>
      </c>
      <c r="U2104" s="62" t="str">
        <f>IFERROR(__xludf.DUMMYFUNCTION("IF(T2104=""是"",TEXTJOIN("""", TRUE, ""$"", TO_TEXT(C2104), S2104),"""")"),"")</f>
        <v/>
      </c>
    </row>
    <row r="2105">
      <c r="A2105" s="58" t="str">
        <f>IFERROR(__xludf.DUMMYFUNCTION("INDIRECT(""'收支紀錄'!A""&amp;TO_TEXT(ROW()-$C$72))"),"")</f>
        <v/>
      </c>
      <c r="B2105" s="59" t="str">
        <f>IFERROR(__xludf.DUMMYFUNCTION("IF(ISBLANK(D2105), """", IF(ISDATE(D2105), D2105, IF(D2105=""今天"", A2105, IF(D2105=""昨天 (-1 day)"", A2105-1, IF(D2105=""前天 (-2 days)"", A2105-2, IF(D2105=""明天 (+1 day)"", A2105+1, DATE(LEFT(D2105,4), MID(D2105,5,2), RIGHT(D2105,2))))))))"),"")</f>
        <v/>
      </c>
      <c r="C2105" s="60" t="str">
        <f>IFERROR(__xludf.DUMMYFUNCTION("INDIRECT(""'收支紀錄'!C""&amp;TO_TEXT(ROW()-$C$72))"),"")</f>
        <v/>
      </c>
      <c r="D2105" s="63" t="str">
        <f>IFERROR(__xludf.DUMMYFUNCTION("INDIRECT(""'收支紀錄'!D""&amp;TO_TEXT(ROW()-$C$72))"),"")</f>
        <v/>
      </c>
      <c r="E2105" s="61" t="str">
        <f>IFERROR(__xludf.DUMMYFUNCTION("INDIRECT(""'收支紀錄'!E""&amp;TO_TEXT(ROW()-$C$72))"),"")</f>
        <v/>
      </c>
      <c r="F2105" s="61" t="str">
        <f>IFERROR(__xludf.DUMMYFUNCTION("INDIRECT(""'收支紀錄'!F""&amp;TO_TEXT(ROW()-$C$72))"),"")</f>
        <v/>
      </c>
      <c r="G2105" s="61" t="str">
        <f>IFERROR(__xludf.DUMMYFUNCTION("INDIRECT(""'收支紀錄'!G""&amp;TO_TEXT(ROW()-$C$72))"),"")</f>
        <v/>
      </c>
      <c r="H2105" s="61" t="str">
        <f>IFERROR(__xludf.DUMMYFUNCTION("INDIRECT(""'收支紀錄'!H""&amp;TO_TEXT(ROW()-$C$72))"),"")</f>
        <v/>
      </c>
      <c r="I2105" s="61" t="str">
        <f>IFERROR(__xludf.DUMMYFUNCTION("INDIRECT(""'收支紀錄'!I""&amp;TO_TEXT(ROW()-$C$72))"),"")</f>
        <v/>
      </c>
      <c r="J2105" s="61" t="str">
        <f>IFERROR(__xludf.DUMMYFUNCTION("INDIRECT(""'收支紀錄'!J""&amp;TO_TEXT(ROW()-$C$72))"),"")</f>
        <v/>
      </c>
      <c r="K2105" s="61" t="str">
        <f>IFERROR(__xludf.DUMMYFUNCTION("INDIRECT(""'收支紀錄'!K""&amp;TO_TEXT(ROW()-$C$72))"),"")</f>
        <v/>
      </c>
      <c r="L2105" s="61" t="str">
        <f>IFERROR(__xludf.DUMMYFUNCTION("INDIRECT(""'收支紀錄'!L""&amp;TO_TEXT(ROW()-$C$72))"),"")</f>
        <v/>
      </c>
      <c r="M2105" s="61" t="str">
        <f>IFERROR(__xludf.DUMMYFUNCTION("INDIRECT(""'收支紀錄'!M""&amp;TO_TEXT(ROW()-$C$72))"),"")</f>
        <v/>
      </c>
      <c r="N2105" s="61" t="str">
        <f>IFERROR(__xludf.DUMMYFUNCTION("INDIRECT(""'收支紀錄'!N""&amp;TO_TEXT(ROW()-$C$72))"),"")</f>
        <v/>
      </c>
      <c r="O2105" s="61" t="str">
        <f>IFERROR(__xludf.DUMMYFUNCTION("INDIRECT(""'收支紀錄'!O""&amp;TO_TEXT(ROW()-$C$72))"),"")</f>
        <v/>
      </c>
      <c r="P2105" s="61" t="str">
        <f>IFERROR(__xludf.DUMMYFUNCTION("INDIRECT(""'收支紀錄'!P""&amp;TO_TEXT(ROW()-$C$72))"),"")</f>
        <v/>
      </c>
      <c r="Q2105" s="61" t="str">
        <f>IFERROR(__xludf.DUMMYFUNCTION("INDIRECT(""'收支紀錄'!Q""&amp;TO_TEXT(ROW()-$C$72))"),"")</f>
        <v/>
      </c>
      <c r="R2105" s="61" t="str">
        <f>IFERROR(__xludf.DUMMYFUNCTION("INDIRECT(""'收支紀錄'!R""&amp;TO_TEXT(ROW()-$C$72))"),"")</f>
        <v/>
      </c>
      <c r="S2105" s="61" t="str">
        <f>IFERROR(__xludf.DUMMYFUNCTION("INDIRECT(""'收支紀錄'!S""&amp;TO_TEXT(ROW()-$C$72))"),"")</f>
        <v/>
      </c>
      <c r="T2105" s="61" t="str">
        <f>IFERROR(__xludf.DUMMYFUNCTION("INDIRECT(""'收支紀錄'!T""&amp;TO_TEXT(ROW()-$C$72))"),"")</f>
        <v/>
      </c>
      <c r="U2105" s="62" t="str">
        <f>IFERROR(__xludf.DUMMYFUNCTION("IF(T2105=""是"",TEXTJOIN("""", TRUE, ""$"", TO_TEXT(C2105), S2105),"""")"),"")</f>
        <v/>
      </c>
    </row>
    <row r="2106">
      <c r="A2106" s="58" t="str">
        <f>IFERROR(__xludf.DUMMYFUNCTION("INDIRECT(""'收支紀錄'!A""&amp;TO_TEXT(ROW()-$C$72))"),"")</f>
        <v/>
      </c>
      <c r="B2106" s="59" t="str">
        <f>IFERROR(__xludf.DUMMYFUNCTION("IF(ISBLANK(D2106), """", IF(ISDATE(D2106), D2106, IF(D2106=""今天"", A2106, IF(D2106=""昨天 (-1 day)"", A2106-1, IF(D2106=""前天 (-2 days)"", A2106-2, IF(D2106=""明天 (+1 day)"", A2106+1, DATE(LEFT(D2106,4), MID(D2106,5,2), RIGHT(D2106,2))))))))"),"")</f>
        <v/>
      </c>
      <c r="C2106" s="60" t="str">
        <f>IFERROR(__xludf.DUMMYFUNCTION("INDIRECT(""'收支紀錄'!C""&amp;TO_TEXT(ROW()-$C$72))"),"")</f>
        <v/>
      </c>
      <c r="D2106" s="63" t="str">
        <f>IFERROR(__xludf.DUMMYFUNCTION("INDIRECT(""'收支紀錄'!D""&amp;TO_TEXT(ROW()-$C$72))"),"")</f>
        <v/>
      </c>
      <c r="E2106" s="61" t="str">
        <f>IFERROR(__xludf.DUMMYFUNCTION("INDIRECT(""'收支紀錄'!E""&amp;TO_TEXT(ROW()-$C$72))"),"")</f>
        <v/>
      </c>
      <c r="F2106" s="61" t="str">
        <f>IFERROR(__xludf.DUMMYFUNCTION("INDIRECT(""'收支紀錄'!F""&amp;TO_TEXT(ROW()-$C$72))"),"")</f>
        <v/>
      </c>
      <c r="G2106" s="61" t="str">
        <f>IFERROR(__xludf.DUMMYFUNCTION("INDIRECT(""'收支紀錄'!G""&amp;TO_TEXT(ROW()-$C$72))"),"")</f>
        <v/>
      </c>
      <c r="H2106" s="61" t="str">
        <f>IFERROR(__xludf.DUMMYFUNCTION("INDIRECT(""'收支紀錄'!H""&amp;TO_TEXT(ROW()-$C$72))"),"")</f>
        <v/>
      </c>
      <c r="I2106" s="61" t="str">
        <f>IFERROR(__xludf.DUMMYFUNCTION("INDIRECT(""'收支紀錄'!I""&amp;TO_TEXT(ROW()-$C$72))"),"")</f>
        <v/>
      </c>
      <c r="J2106" s="61" t="str">
        <f>IFERROR(__xludf.DUMMYFUNCTION("INDIRECT(""'收支紀錄'!J""&amp;TO_TEXT(ROW()-$C$72))"),"")</f>
        <v/>
      </c>
      <c r="K2106" s="61" t="str">
        <f>IFERROR(__xludf.DUMMYFUNCTION("INDIRECT(""'收支紀錄'!K""&amp;TO_TEXT(ROW()-$C$72))"),"")</f>
        <v/>
      </c>
      <c r="L2106" s="61" t="str">
        <f>IFERROR(__xludf.DUMMYFUNCTION("INDIRECT(""'收支紀錄'!L""&amp;TO_TEXT(ROW()-$C$72))"),"")</f>
        <v/>
      </c>
      <c r="M2106" s="61" t="str">
        <f>IFERROR(__xludf.DUMMYFUNCTION("INDIRECT(""'收支紀錄'!M""&amp;TO_TEXT(ROW()-$C$72))"),"")</f>
        <v/>
      </c>
      <c r="N2106" s="61" t="str">
        <f>IFERROR(__xludf.DUMMYFUNCTION("INDIRECT(""'收支紀錄'!N""&amp;TO_TEXT(ROW()-$C$72))"),"")</f>
        <v/>
      </c>
      <c r="O2106" s="61" t="str">
        <f>IFERROR(__xludf.DUMMYFUNCTION("INDIRECT(""'收支紀錄'!O""&amp;TO_TEXT(ROW()-$C$72))"),"")</f>
        <v/>
      </c>
      <c r="P2106" s="61" t="str">
        <f>IFERROR(__xludf.DUMMYFUNCTION("INDIRECT(""'收支紀錄'!P""&amp;TO_TEXT(ROW()-$C$72))"),"")</f>
        <v/>
      </c>
      <c r="Q2106" s="61" t="str">
        <f>IFERROR(__xludf.DUMMYFUNCTION("INDIRECT(""'收支紀錄'!Q""&amp;TO_TEXT(ROW()-$C$72))"),"")</f>
        <v/>
      </c>
      <c r="R2106" s="61" t="str">
        <f>IFERROR(__xludf.DUMMYFUNCTION("INDIRECT(""'收支紀錄'!R""&amp;TO_TEXT(ROW()-$C$72))"),"")</f>
        <v/>
      </c>
      <c r="S2106" s="61" t="str">
        <f>IFERROR(__xludf.DUMMYFUNCTION("INDIRECT(""'收支紀錄'!S""&amp;TO_TEXT(ROW()-$C$72))"),"")</f>
        <v/>
      </c>
      <c r="T2106" s="61" t="str">
        <f>IFERROR(__xludf.DUMMYFUNCTION("INDIRECT(""'收支紀錄'!T""&amp;TO_TEXT(ROW()-$C$72))"),"")</f>
        <v/>
      </c>
      <c r="U2106" s="62" t="str">
        <f>IFERROR(__xludf.DUMMYFUNCTION("IF(T2106=""是"",TEXTJOIN("""", TRUE, ""$"", TO_TEXT(C2106), S2106),"""")"),"")</f>
        <v/>
      </c>
    </row>
    <row r="2107">
      <c r="A2107" s="58" t="str">
        <f>IFERROR(__xludf.DUMMYFUNCTION("INDIRECT(""'收支紀錄'!A""&amp;TO_TEXT(ROW()-$C$72))"),"")</f>
        <v/>
      </c>
      <c r="B2107" s="59" t="str">
        <f>IFERROR(__xludf.DUMMYFUNCTION("IF(ISBLANK(D2107), """", IF(ISDATE(D2107), D2107, IF(D2107=""今天"", A2107, IF(D2107=""昨天 (-1 day)"", A2107-1, IF(D2107=""前天 (-2 days)"", A2107-2, IF(D2107=""明天 (+1 day)"", A2107+1, DATE(LEFT(D2107,4), MID(D2107,5,2), RIGHT(D2107,2))))))))"),"")</f>
        <v/>
      </c>
      <c r="C2107" s="60" t="str">
        <f>IFERROR(__xludf.DUMMYFUNCTION("INDIRECT(""'收支紀錄'!C""&amp;TO_TEXT(ROW()-$C$72))"),"")</f>
        <v/>
      </c>
      <c r="D2107" s="63" t="str">
        <f>IFERROR(__xludf.DUMMYFUNCTION("INDIRECT(""'收支紀錄'!D""&amp;TO_TEXT(ROW()-$C$72))"),"")</f>
        <v/>
      </c>
      <c r="E2107" s="61" t="str">
        <f>IFERROR(__xludf.DUMMYFUNCTION("INDIRECT(""'收支紀錄'!E""&amp;TO_TEXT(ROW()-$C$72))"),"")</f>
        <v/>
      </c>
      <c r="F2107" s="61" t="str">
        <f>IFERROR(__xludf.DUMMYFUNCTION("INDIRECT(""'收支紀錄'!F""&amp;TO_TEXT(ROW()-$C$72))"),"")</f>
        <v/>
      </c>
      <c r="G2107" s="61" t="str">
        <f>IFERROR(__xludf.DUMMYFUNCTION("INDIRECT(""'收支紀錄'!G""&amp;TO_TEXT(ROW()-$C$72))"),"")</f>
        <v/>
      </c>
      <c r="H2107" s="61" t="str">
        <f>IFERROR(__xludf.DUMMYFUNCTION("INDIRECT(""'收支紀錄'!H""&amp;TO_TEXT(ROW()-$C$72))"),"")</f>
        <v/>
      </c>
      <c r="I2107" s="61" t="str">
        <f>IFERROR(__xludf.DUMMYFUNCTION("INDIRECT(""'收支紀錄'!I""&amp;TO_TEXT(ROW()-$C$72))"),"")</f>
        <v/>
      </c>
      <c r="J2107" s="61" t="str">
        <f>IFERROR(__xludf.DUMMYFUNCTION("INDIRECT(""'收支紀錄'!J""&amp;TO_TEXT(ROW()-$C$72))"),"")</f>
        <v/>
      </c>
      <c r="K2107" s="61" t="str">
        <f>IFERROR(__xludf.DUMMYFUNCTION("INDIRECT(""'收支紀錄'!K""&amp;TO_TEXT(ROW()-$C$72))"),"")</f>
        <v/>
      </c>
      <c r="L2107" s="61" t="str">
        <f>IFERROR(__xludf.DUMMYFUNCTION("INDIRECT(""'收支紀錄'!L""&amp;TO_TEXT(ROW()-$C$72))"),"")</f>
        <v/>
      </c>
      <c r="M2107" s="61" t="str">
        <f>IFERROR(__xludf.DUMMYFUNCTION("INDIRECT(""'收支紀錄'!M""&amp;TO_TEXT(ROW()-$C$72))"),"")</f>
        <v/>
      </c>
      <c r="N2107" s="61" t="str">
        <f>IFERROR(__xludf.DUMMYFUNCTION("INDIRECT(""'收支紀錄'!N""&amp;TO_TEXT(ROW()-$C$72))"),"")</f>
        <v/>
      </c>
      <c r="O2107" s="61" t="str">
        <f>IFERROR(__xludf.DUMMYFUNCTION("INDIRECT(""'收支紀錄'!O""&amp;TO_TEXT(ROW()-$C$72))"),"")</f>
        <v/>
      </c>
      <c r="P2107" s="61" t="str">
        <f>IFERROR(__xludf.DUMMYFUNCTION("INDIRECT(""'收支紀錄'!P""&amp;TO_TEXT(ROW()-$C$72))"),"")</f>
        <v/>
      </c>
      <c r="Q2107" s="61" t="str">
        <f>IFERROR(__xludf.DUMMYFUNCTION("INDIRECT(""'收支紀錄'!Q""&amp;TO_TEXT(ROW()-$C$72))"),"")</f>
        <v/>
      </c>
      <c r="R2107" s="61" t="str">
        <f>IFERROR(__xludf.DUMMYFUNCTION("INDIRECT(""'收支紀錄'!R""&amp;TO_TEXT(ROW()-$C$72))"),"")</f>
        <v/>
      </c>
      <c r="S2107" s="61" t="str">
        <f>IFERROR(__xludf.DUMMYFUNCTION("INDIRECT(""'收支紀錄'!S""&amp;TO_TEXT(ROW()-$C$72))"),"")</f>
        <v/>
      </c>
      <c r="T2107" s="61" t="str">
        <f>IFERROR(__xludf.DUMMYFUNCTION("INDIRECT(""'收支紀錄'!T""&amp;TO_TEXT(ROW()-$C$72))"),"")</f>
        <v/>
      </c>
      <c r="U2107" s="62" t="str">
        <f>IFERROR(__xludf.DUMMYFUNCTION("IF(T2107=""是"",TEXTJOIN("""", TRUE, ""$"", TO_TEXT(C2107), S2107),"""")"),"")</f>
        <v/>
      </c>
    </row>
    <row r="2108">
      <c r="A2108" s="58" t="str">
        <f>IFERROR(__xludf.DUMMYFUNCTION("INDIRECT(""'收支紀錄'!A""&amp;TO_TEXT(ROW()-$C$72))"),"")</f>
        <v/>
      </c>
      <c r="B2108" s="59" t="str">
        <f>IFERROR(__xludf.DUMMYFUNCTION("IF(ISBLANK(D2108), """", IF(ISDATE(D2108), D2108, IF(D2108=""今天"", A2108, IF(D2108=""昨天 (-1 day)"", A2108-1, IF(D2108=""前天 (-2 days)"", A2108-2, IF(D2108=""明天 (+1 day)"", A2108+1, DATE(LEFT(D2108,4), MID(D2108,5,2), RIGHT(D2108,2))))))))"),"")</f>
        <v/>
      </c>
      <c r="C2108" s="60" t="str">
        <f>IFERROR(__xludf.DUMMYFUNCTION("INDIRECT(""'收支紀錄'!C""&amp;TO_TEXT(ROW()-$C$72))"),"")</f>
        <v/>
      </c>
      <c r="D2108" s="63" t="str">
        <f>IFERROR(__xludf.DUMMYFUNCTION("INDIRECT(""'收支紀錄'!D""&amp;TO_TEXT(ROW()-$C$72))"),"")</f>
        <v/>
      </c>
      <c r="E2108" s="61" t="str">
        <f>IFERROR(__xludf.DUMMYFUNCTION("INDIRECT(""'收支紀錄'!E""&amp;TO_TEXT(ROW()-$C$72))"),"")</f>
        <v/>
      </c>
      <c r="F2108" s="61" t="str">
        <f>IFERROR(__xludf.DUMMYFUNCTION("INDIRECT(""'收支紀錄'!F""&amp;TO_TEXT(ROW()-$C$72))"),"")</f>
        <v/>
      </c>
      <c r="G2108" s="61" t="str">
        <f>IFERROR(__xludf.DUMMYFUNCTION("INDIRECT(""'收支紀錄'!G""&amp;TO_TEXT(ROW()-$C$72))"),"")</f>
        <v/>
      </c>
      <c r="H2108" s="61" t="str">
        <f>IFERROR(__xludf.DUMMYFUNCTION("INDIRECT(""'收支紀錄'!H""&amp;TO_TEXT(ROW()-$C$72))"),"")</f>
        <v/>
      </c>
      <c r="I2108" s="61" t="str">
        <f>IFERROR(__xludf.DUMMYFUNCTION("INDIRECT(""'收支紀錄'!I""&amp;TO_TEXT(ROW()-$C$72))"),"")</f>
        <v/>
      </c>
      <c r="J2108" s="61" t="str">
        <f>IFERROR(__xludf.DUMMYFUNCTION("INDIRECT(""'收支紀錄'!J""&amp;TO_TEXT(ROW()-$C$72))"),"")</f>
        <v/>
      </c>
      <c r="K2108" s="61" t="str">
        <f>IFERROR(__xludf.DUMMYFUNCTION("INDIRECT(""'收支紀錄'!K""&amp;TO_TEXT(ROW()-$C$72))"),"")</f>
        <v/>
      </c>
      <c r="L2108" s="61" t="str">
        <f>IFERROR(__xludf.DUMMYFUNCTION("INDIRECT(""'收支紀錄'!L""&amp;TO_TEXT(ROW()-$C$72))"),"")</f>
        <v/>
      </c>
      <c r="M2108" s="61" t="str">
        <f>IFERROR(__xludf.DUMMYFUNCTION("INDIRECT(""'收支紀錄'!M""&amp;TO_TEXT(ROW()-$C$72))"),"")</f>
        <v/>
      </c>
      <c r="N2108" s="61" t="str">
        <f>IFERROR(__xludf.DUMMYFUNCTION("INDIRECT(""'收支紀錄'!N""&amp;TO_TEXT(ROW()-$C$72))"),"")</f>
        <v/>
      </c>
      <c r="O2108" s="61" t="str">
        <f>IFERROR(__xludf.DUMMYFUNCTION("INDIRECT(""'收支紀錄'!O""&amp;TO_TEXT(ROW()-$C$72))"),"")</f>
        <v/>
      </c>
      <c r="P2108" s="61" t="str">
        <f>IFERROR(__xludf.DUMMYFUNCTION("INDIRECT(""'收支紀錄'!P""&amp;TO_TEXT(ROW()-$C$72))"),"")</f>
        <v/>
      </c>
      <c r="Q2108" s="61" t="str">
        <f>IFERROR(__xludf.DUMMYFUNCTION("INDIRECT(""'收支紀錄'!Q""&amp;TO_TEXT(ROW()-$C$72))"),"")</f>
        <v/>
      </c>
      <c r="R2108" s="61" t="str">
        <f>IFERROR(__xludf.DUMMYFUNCTION("INDIRECT(""'收支紀錄'!R""&amp;TO_TEXT(ROW()-$C$72))"),"")</f>
        <v/>
      </c>
      <c r="S2108" s="61" t="str">
        <f>IFERROR(__xludf.DUMMYFUNCTION("INDIRECT(""'收支紀錄'!S""&amp;TO_TEXT(ROW()-$C$72))"),"")</f>
        <v/>
      </c>
      <c r="T2108" s="61" t="str">
        <f>IFERROR(__xludf.DUMMYFUNCTION("INDIRECT(""'收支紀錄'!T""&amp;TO_TEXT(ROW()-$C$72))"),"")</f>
        <v/>
      </c>
      <c r="U2108" s="62" t="str">
        <f>IFERROR(__xludf.DUMMYFUNCTION("IF(T2108=""是"",TEXTJOIN("""", TRUE, ""$"", TO_TEXT(C2108), S2108),"""")"),"")</f>
        <v/>
      </c>
    </row>
    <row r="2109">
      <c r="A2109" s="58" t="str">
        <f>IFERROR(__xludf.DUMMYFUNCTION("INDIRECT(""'收支紀錄'!A""&amp;TO_TEXT(ROW()-$C$72))"),"")</f>
        <v/>
      </c>
      <c r="B2109" s="59" t="str">
        <f>IFERROR(__xludf.DUMMYFUNCTION("IF(ISBLANK(D2109), """", IF(ISDATE(D2109), D2109, IF(D2109=""今天"", A2109, IF(D2109=""昨天 (-1 day)"", A2109-1, IF(D2109=""前天 (-2 days)"", A2109-2, IF(D2109=""明天 (+1 day)"", A2109+1, DATE(LEFT(D2109,4), MID(D2109,5,2), RIGHT(D2109,2))))))))"),"")</f>
        <v/>
      </c>
      <c r="C2109" s="60" t="str">
        <f>IFERROR(__xludf.DUMMYFUNCTION("INDIRECT(""'收支紀錄'!C""&amp;TO_TEXT(ROW()-$C$72))"),"")</f>
        <v/>
      </c>
      <c r="D2109" s="63" t="str">
        <f>IFERROR(__xludf.DUMMYFUNCTION("INDIRECT(""'收支紀錄'!D""&amp;TO_TEXT(ROW()-$C$72))"),"")</f>
        <v/>
      </c>
      <c r="E2109" s="61" t="str">
        <f>IFERROR(__xludf.DUMMYFUNCTION("INDIRECT(""'收支紀錄'!E""&amp;TO_TEXT(ROW()-$C$72))"),"")</f>
        <v/>
      </c>
      <c r="F2109" s="61" t="str">
        <f>IFERROR(__xludf.DUMMYFUNCTION("INDIRECT(""'收支紀錄'!F""&amp;TO_TEXT(ROW()-$C$72))"),"")</f>
        <v/>
      </c>
      <c r="G2109" s="61" t="str">
        <f>IFERROR(__xludf.DUMMYFUNCTION("INDIRECT(""'收支紀錄'!G""&amp;TO_TEXT(ROW()-$C$72))"),"")</f>
        <v/>
      </c>
      <c r="H2109" s="61" t="str">
        <f>IFERROR(__xludf.DUMMYFUNCTION("INDIRECT(""'收支紀錄'!H""&amp;TO_TEXT(ROW()-$C$72))"),"")</f>
        <v/>
      </c>
      <c r="I2109" s="61" t="str">
        <f>IFERROR(__xludf.DUMMYFUNCTION("INDIRECT(""'收支紀錄'!I""&amp;TO_TEXT(ROW()-$C$72))"),"")</f>
        <v/>
      </c>
      <c r="J2109" s="61" t="str">
        <f>IFERROR(__xludf.DUMMYFUNCTION("INDIRECT(""'收支紀錄'!J""&amp;TO_TEXT(ROW()-$C$72))"),"")</f>
        <v/>
      </c>
      <c r="K2109" s="61" t="str">
        <f>IFERROR(__xludf.DUMMYFUNCTION("INDIRECT(""'收支紀錄'!K""&amp;TO_TEXT(ROW()-$C$72))"),"")</f>
        <v/>
      </c>
      <c r="L2109" s="61" t="str">
        <f>IFERROR(__xludf.DUMMYFUNCTION("INDIRECT(""'收支紀錄'!L""&amp;TO_TEXT(ROW()-$C$72))"),"")</f>
        <v/>
      </c>
      <c r="M2109" s="61" t="str">
        <f>IFERROR(__xludf.DUMMYFUNCTION("INDIRECT(""'收支紀錄'!M""&amp;TO_TEXT(ROW()-$C$72))"),"")</f>
        <v/>
      </c>
      <c r="N2109" s="61" t="str">
        <f>IFERROR(__xludf.DUMMYFUNCTION("INDIRECT(""'收支紀錄'!N""&amp;TO_TEXT(ROW()-$C$72))"),"")</f>
        <v/>
      </c>
      <c r="O2109" s="61" t="str">
        <f>IFERROR(__xludf.DUMMYFUNCTION("INDIRECT(""'收支紀錄'!O""&amp;TO_TEXT(ROW()-$C$72))"),"")</f>
        <v/>
      </c>
      <c r="P2109" s="61" t="str">
        <f>IFERROR(__xludf.DUMMYFUNCTION("INDIRECT(""'收支紀錄'!P""&amp;TO_TEXT(ROW()-$C$72))"),"")</f>
        <v/>
      </c>
      <c r="Q2109" s="61" t="str">
        <f>IFERROR(__xludf.DUMMYFUNCTION("INDIRECT(""'收支紀錄'!Q""&amp;TO_TEXT(ROW()-$C$72))"),"")</f>
        <v/>
      </c>
      <c r="R2109" s="61" t="str">
        <f>IFERROR(__xludf.DUMMYFUNCTION("INDIRECT(""'收支紀錄'!R""&amp;TO_TEXT(ROW()-$C$72))"),"")</f>
        <v/>
      </c>
      <c r="S2109" s="61" t="str">
        <f>IFERROR(__xludf.DUMMYFUNCTION("INDIRECT(""'收支紀錄'!S""&amp;TO_TEXT(ROW()-$C$72))"),"")</f>
        <v/>
      </c>
      <c r="T2109" s="61" t="str">
        <f>IFERROR(__xludf.DUMMYFUNCTION("INDIRECT(""'收支紀錄'!T""&amp;TO_TEXT(ROW()-$C$72))"),"")</f>
        <v/>
      </c>
      <c r="U2109" s="62" t="str">
        <f>IFERROR(__xludf.DUMMYFUNCTION("IF(T2109=""是"",TEXTJOIN("""", TRUE, ""$"", TO_TEXT(C2109), S2109),"""")"),"")</f>
        <v/>
      </c>
    </row>
    <row r="2110">
      <c r="A2110" s="58" t="str">
        <f>IFERROR(__xludf.DUMMYFUNCTION("INDIRECT(""'收支紀錄'!A""&amp;TO_TEXT(ROW()-$C$72))"),"")</f>
        <v/>
      </c>
      <c r="B2110" s="59" t="str">
        <f>IFERROR(__xludf.DUMMYFUNCTION("IF(ISBLANK(D2110), """", IF(ISDATE(D2110), D2110, IF(D2110=""今天"", A2110, IF(D2110=""昨天 (-1 day)"", A2110-1, IF(D2110=""前天 (-2 days)"", A2110-2, IF(D2110=""明天 (+1 day)"", A2110+1, DATE(LEFT(D2110,4), MID(D2110,5,2), RIGHT(D2110,2))))))))"),"")</f>
        <v/>
      </c>
      <c r="C2110" s="60" t="str">
        <f>IFERROR(__xludf.DUMMYFUNCTION("INDIRECT(""'收支紀錄'!C""&amp;TO_TEXT(ROW()-$C$72))"),"")</f>
        <v/>
      </c>
      <c r="D2110" s="63" t="str">
        <f>IFERROR(__xludf.DUMMYFUNCTION("INDIRECT(""'收支紀錄'!D""&amp;TO_TEXT(ROW()-$C$72))"),"")</f>
        <v/>
      </c>
      <c r="E2110" s="61" t="str">
        <f>IFERROR(__xludf.DUMMYFUNCTION("INDIRECT(""'收支紀錄'!E""&amp;TO_TEXT(ROW()-$C$72))"),"")</f>
        <v/>
      </c>
      <c r="F2110" s="61" t="str">
        <f>IFERROR(__xludf.DUMMYFUNCTION("INDIRECT(""'收支紀錄'!F""&amp;TO_TEXT(ROW()-$C$72))"),"")</f>
        <v/>
      </c>
      <c r="G2110" s="61" t="str">
        <f>IFERROR(__xludf.DUMMYFUNCTION("INDIRECT(""'收支紀錄'!G""&amp;TO_TEXT(ROW()-$C$72))"),"")</f>
        <v/>
      </c>
      <c r="H2110" s="61" t="str">
        <f>IFERROR(__xludf.DUMMYFUNCTION("INDIRECT(""'收支紀錄'!H""&amp;TO_TEXT(ROW()-$C$72))"),"")</f>
        <v/>
      </c>
      <c r="I2110" s="61" t="str">
        <f>IFERROR(__xludf.DUMMYFUNCTION("INDIRECT(""'收支紀錄'!I""&amp;TO_TEXT(ROW()-$C$72))"),"")</f>
        <v/>
      </c>
      <c r="J2110" s="61" t="str">
        <f>IFERROR(__xludf.DUMMYFUNCTION("INDIRECT(""'收支紀錄'!J""&amp;TO_TEXT(ROW()-$C$72))"),"")</f>
        <v/>
      </c>
      <c r="K2110" s="61" t="str">
        <f>IFERROR(__xludf.DUMMYFUNCTION("INDIRECT(""'收支紀錄'!K""&amp;TO_TEXT(ROW()-$C$72))"),"")</f>
        <v/>
      </c>
      <c r="L2110" s="61" t="str">
        <f>IFERROR(__xludf.DUMMYFUNCTION("INDIRECT(""'收支紀錄'!L""&amp;TO_TEXT(ROW()-$C$72))"),"")</f>
        <v/>
      </c>
      <c r="M2110" s="61" t="str">
        <f>IFERROR(__xludf.DUMMYFUNCTION("INDIRECT(""'收支紀錄'!M""&amp;TO_TEXT(ROW()-$C$72))"),"")</f>
        <v/>
      </c>
      <c r="N2110" s="61" t="str">
        <f>IFERROR(__xludf.DUMMYFUNCTION("INDIRECT(""'收支紀錄'!N""&amp;TO_TEXT(ROW()-$C$72))"),"")</f>
        <v/>
      </c>
      <c r="O2110" s="61" t="str">
        <f>IFERROR(__xludf.DUMMYFUNCTION("INDIRECT(""'收支紀錄'!O""&amp;TO_TEXT(ROW()-$C$72))"),"")</f>
        <v/>
      </c>
      <c r="P2110" s="61" t="str">
        <f>IFERROR(__xludf.DUMMYFUNCTION("INDIRECT(""'收支紀錄'!P""&amp;TO_TEXT(ROW()-$C$72))"),"")</f>
        <v/>
      </c>
      <c r="Q2110" s="61" t="str">
        <f>IFERROR(__xludf.DUMMYFUNCTION("INDIRECT(""'收支紀錄'!Q""&amp;TO_TEXT(ROW()-$C$72))"),"")</f>
        <v/>
      </c>
      <c r="R2110" s="61" t="str">
        <f>IFERROR(__xludf.DUMMYFUNCTION("INDIRECT(""'收支紀錄'!R""&amp;TO_TEXT(ROW()-$C$72))"),"")</f>
        <v/>
      </c>
      <c r="S2110" s="61" t="str">
        <f>IFERROR(__xludf.DUMMYFUNCTION("INDIRECT(""'收支紀錄'!S""&amp;TO_TEXT(ROW()-$C$72))"),"")</f>
        <v/>
      </c>
      <c r="T2110" s="61" t="str">
        <f>IFERROR(__xludf.DUMMYFUNCTION("INDIRECT(""'收支紀錄'!T""&amp;TO_TEXT(ROW()-$C$72))"),"")</f>
        <v/>
      </c>
      <c r="U2110" s="62" t="str">
        <f>IFERROR(__xludf.DUMMYFUNCTION("IF(T2110=""是"",TEXTJOIN("""", TRUE, ""$"", TO_TEXT(C2110), S2110),"""")"),"")</f>
        <v/>
      </c>
    </row>
    <row r="2111">
      <c r="A2111" s="58" t="str">
        <f>IFERROR(__xludf.DUMMYFUNCTION("INDIRECT(""'收支紀錄'!A""&amp;TO_TEXT(ROW()-$C$72))"),"")</f>
        <v/>
      </c>
      <c r="B2111" s="59" t="str">
        <f>IFERROR(__xludf.DUMMYFUNCTION("IF(ISBLANK(D2111), """", IF(ISDATE(D2111), D2111, IF(D2111=""今天"", A2111, IF(D2111=""昨天 (-1 day)"", A2111-1, IF(D2111=""前天 (-2 days)"", A2111-2, IF(D2111=""明天 (+1 day)"", A2111+1, DATE(LEFT(D2111,4), MID(D2111,5,2), RIGHT(D2111,2))))))))"),"")</f>
        <v/>
      </c>
      <c r="C2111" s="60" t="str">
        <f>IFERROR(__xludf.DUMMYFUNCTION("INDIRECT(""'收支紀錄'!C""&amp;TO_TEXT(ROW()-$C$72))"),"")</f>
        <v/>
      </c>
      <c r="D2111" s="63" t="str">
        <f>IFERROR(__xludf.DUMMYFUNCTION("INDIRECT(""'收支紀錄'!D""&amp;TO_TEXT(ROW()-$C$72))"),"")</f>
        <v/>
      </c>
      <c r="E2111" s="61" t="str">
        <f>IFERROR(__xludf.DUMMYFUNCTION("INDIRECT(""'收支紀錄'!E""&amp;TO_TEXT(ROW()-$C$72))"),"")</f>
        <v/>
      </c>
      <c r="F2111" s="61" t="str">
        <f>IFERROR(__xludf.DUMMYFUNCTION("INDIRECT(""'收支紀錄'!F""&amp;TO_TEXT(ROW()-$C$72))"),"")</f>
        <v/>
      </c>
      <c r="G2111" s="61" t="str">
        <f>IFERROR(__xludf.DUMMYFUNCTION("INDIRECT(""'收支紀錄'!G""&amp;TO_TEXT(ROW()-$C$72))"),"")</f>
        <v/>
      </c>
      <c r="H2111" s="61" t="str">
        <f>IFERROR(__xludf.DUMMYFUNCTION("INDIRECT(""'收支紀錄'!H""&amp;TO_TEXT(ROW()-$C$72))"),"")</f>
        <v/>
      </c>
      <c r="I2111" s="61" t="str">
        <f>IFERROR(__xludf.DUMMYFUNCTION("INDIRECT(""'收支紀錄'!I""&amp;TO_TEXT(ROW()-$C$72))"),"")</f>
        <v/>
      </c>
      <c r="J2111" s="61" t="str">
        <f>IFERROR(__xludf.DUMMYFUNCTION("INDIRECT(""'收支紀錄'!J""&amp;TO_TEXT(ROW()-$C$72))"),"")</f>
        <v/>
      </c>
      <c r="K2111" s="61" t="str">
        <f>IFERROR(__xludf.DUMMYFUNCTION("INDIRECT(""'收支紀錄'!K""&amp;TO_TEXT(ROW()-$C$72))"),"")</f>
        <v/>
      </c>
      <c r="L2111" s="61" t="str">
        <f>IFERROR(__xludf.DUMMYFUNCTION("INDIRECT(""'收支紀錄'!L""&amp;TO_TEXT(ROW()-$C$72))"),"")</f>
        <v/>
      </c>
      <c r="M2111" s="61" t="str">
        <f>IFERROR(__xludf.DUMMYFUNCTION("INDIRECT(""'收支紀錄'!M""&amp;TO_TEXT(ROW()-$C$72))"),"")</f>
        <v/>
      </c>
      <c r="N2111" s="61" t="str">
        <f>IFERROR(__xludf.DUMMYFUNCTION("INDIRECT(""'收支紀錄'!N""&amp;TO_TEXT(ROW()-$C$72))"),"")</f>
        <v/>
      </c>
      <c r="O2111" s="61" t="str">
        <f>IFERROR(__xludf.DUMMYFUNCTION("INDIRECT(""'收支紀錄'!O""&amp;TO_TEXT(ROW()-$C$72))"),"")</f>
        <v/>
      </c>
      <c r="P2111" s="61" t="str">
        <f>IFERROR(__xludf.DUMMYFUNCTION("INDIRECT(""'收支紀錄'!P""&amp;TO_TEXT(ROW()-$C$72))"),"")</f>
        <v/>
      </c>
      <c r="Q2111" s="61" t="str">
        <f>IFERROR(__xludf.DUMMYFUNCTION("INDIRECT(""'收支紀錄'!Q""&amp;TO_TEXT(ROW()-$C$72))"),"")</f>
        <v/>
      </c>
      <c r="R2111" s="61" t="str">
        <f>IFERROR(__xludf.DUMMYFUNCTION("INDIRECT(""'收支紀錄'!R""&amp;TO_TEXT(ROW()-$C$72))"),"")</f>
        <v/>
      </c>
      <c r="S2111" s="61" t="str">
        <f>IFERROR(__xludf.DUMMYFUNCTION("INDIRECT(""'收支紀錄'!S""&amp;TO_TEXT(ROW()-$C$72))"),"")</f>
        <v/>
      </c>
      <c r="T2111" s="61" t="str">
        <f>IFERROR(__xludf.DUMMYFUNCTION("INDIRECT(""'收支紀錄'!T""&amp;TO_TEXT(ROW()-$C$72))"),"")</f>
        <v/>
      </c>
      <c r="U2111" s="62" t="str">
        <f>IFERROR(__xludf.DUMMYFUNCTION("IF(T2111=""是"",TEXTJOIN("""", TRUE, ""$"", TO_TEXT(C2111), S2111),"""")"),"")</f>
        <v/>
      </c>
    </row>
    <row r="2112">
      <c r="A2112" s="58" t="str">
        <f>IFERROR(__xludf.DUMMYFUNCTION("INDIRECT(""'收支紀錄'!A""&amp;TO_TEXT(ROW()-$C$72))"),"")</f>
        <v/>
      </c>
      <c r="B2112" s="59" t="str">
        <f>IFERROR(__xludf.DUMMYFUNCTION("IF(ISBLANK(D2112), """", IF(ISDATE(D2112), D2112, IF(D2112=""今天"", A2112, IF(D2112=""昨天 (-1 day)"", A2112-1, IF(D2112=""前天 (-2 days)"", A2112-2, IF(D2112=""明天 (+1 day)"", A2112+1, DATE(LEFT(D2112,4), MID(D2112,5,2), RIGHT(D2112,2))))))))"),"")</f>
        <v/>
      </c>
      <c r="C2112" s="60" t="str">
        <f>IFERROR(__xludf.DUMMYFUNCTION("INDIRECT(""'收支紀錄'!C""&amp;TO_TEXT(ROW()-$C$72))"),"")</f>
        <v/>
      </c>
      <c r="D2112" s="63" t="str">
        <f>IFERROR(__xludf.DUMMYFUNCTION("INDIRECT(""'收支紀錄'!D""&amp;TO_TEXT(ROW()-$C$72))"),"")</f>
        <v/>
      </c>
      <c r="E2112" s="61" t="str">
        <f>IFERROR(__xludf.DUMMYFUNCTION("INDIRECT(""'收支紀錄'!E""&amp;TO_TEXT(ROW()-$C$72))"),"")</f>
        <v/>
      </c>
      <c r="F2112" s="61" t="str">
        <f>IFERROR(__xludf.DUMMYFUNCTION("INDIRECT(""'收支紀錄'!F""&amp;TO_TEXT(ROW()-$C$72))"),"")</f>
        <v/>
      </c>
      <c r="G2112" s="61" t="str">
        <f>IFERROR(__xludf.DUMMYFUNCTION("INDIRECT(""'收支紀錄'!G""&amp;TO_TEXT(ROW()-$C$72))"),"")</f>
        <v/>
      </c>
      <c r="H2112" s="61" t="str">
        <f>IFERROR(__xludf.DUMMYFUNCTION("INDIRECT(""'收支紀錄'!H""&amp;TO_TEXT(ROW()-$C$72))"),"")</f>
        <v/>
      </c>
      <c r="I2112" s="61" t="str">
        <f>IFERROR(__xludf.DUMMYFUNCTION("INDIRECT(""'收支紀錄'!I""&amp;TO_TEXT(ROW()-$C$72))"),"")</f>
        <v/>
      </c>
      <c r="J2112" s="61" t="str">
        <f>IFERROR(__xludf.DUMMYFUNCTION("INDIRECT(""'收支紀錄'!J""&amp;TO_TEXT(ROW()-$C$72))"),"")</f>
        <v/>
      </c>
      <c r="K2112" s="61" t="str">
        <f>IFERROR(__xludf.DUMMYFUNCTION("INDIRECT(""'收支紀錄'!K""&amp;TO_TEXT(ROW()-$C$72))"),"")</f>
        <v/>
      </c>
      <c r="L2112" s="61" t="str">
        <f>IFERROR(__xludf.DUMMYFUNCTION("INDIRECT(""'收支紀錄'!L""&amp;TO_TEXT(ROW()-$C$72))"),"")</f>
        <v/>
      </c>
      <c r="M2112" s="61" t="str">
        <f>IFERROR(__xludf.DUMMYFUNCTION("INDIRECT(""'收支紀錄'!M""&amp;TO_TEXT(ROW()-$C$72))"),"")</f>
        <v/>
      </c>
      <c r="N2112" s="61" t="str">
        <f>IFERROR(__xludf.DUMMYFUNCTION("INDIRECT(""'收支紀錄'!N""&amp;TO_TEXT(ROW()-$C$72))"),"")</f>
        <v/>
      </c>
      <c r="O2112" s="61" t="str">
        <f>IFERROR(__xludf.DUMMYFUNCTION("INDIRECT(""'收支紀錄'!O""&amp;TO_TEXT(ROW()-$C$72))"),"")</f>
        <v/>
      </c>
      <c r="P2112" s="61" t="str">
        <f>IFERROR(__xludf.DUMMYFUNCTION("INDIRECT(""'收支紀錄'!P""&amp;TO_TEXT(ROW()-$C$72))"),"")</f>
        <v/>
      </c>
      <c r="Q2112" s="61" t="str">
        <f>IFERROR(__xludf.DUMMYFUNCTION("INDIRECT(""'收支紀錄'!Q""&amp;TO_TEXT(ROW()-$C$72))"),"")</f>
        <v/>
      </c>
      <c r="R2112" s="61" t="str">
        <f>IFERROR(__xludf.DUMMYFUNCTION("INDIRECT(""'收支紀錄'!R""&amp;TO_TEXT(ROW()-$C$72))"),"")</f>
        <v/>
      </c>
      <c r="S2112" s="61" t="str">
        <f>IFERROR(__xludf.DUMMYFUNCTION("INDIRECT(""'收支紀錄'!S""&amp;TO_TEXT(ROW()-$C$72))"),"")</f>
        <v/>
      </c>
      <c r="T2112" s="61" t="str">
        <f>IFERROR(__xludf.DUMMYFUNCTION("INDIRECT(""'收支紀錄'!T""&amp;TO_TEXT(ROW()-$C$72))"),"")</f>
        <v/>
      </c>
      <c r="U2112" s="62" t="str">
        <f>IFERROR(__xludf.DUMMYFUNCTION("IF(T2112=""是"",TEXTJOIN("""", TRUE, ""$"", TO_TEXT(C2112), S2112),"""")"),"")</f>
        <v/>
      </c>
    </row>
    <row r="2113">
      <c r="A2113" s="58" t="str">
        <f>IFERROR(__xludf.DUMMYFUNCTION("INDIRECT(""'收支紀錄'!A""&amp;TO_TEXT(ROW()-$C$72))"),"")</f>
        <v/>
      </c>
      <c r="B2113" s="59" t="str">
        <f>IFERROR(__xludf.DUMMYFUNCTION("IF(ISBLANK(D2113), """", IF(ISDATE(D2113), D2113, IF(D2113=""今天"", A2113, IF(D2113=""昨天 (-1 day)"", A2113-1, IF(D2113=""前天 (-2 days)"", A2113-2, IF(D2113=""明天 (+1 day)"", A2113+1, DATE(LEFT(D2113,4), MID(D2113,5,2), RIGHT(D2113,2))))))))"),"")</f>
        <v/>
      </c>
      <c r="C2113" s="60" t="str">
        <f>IFERROR(__xludf.DUMMYFUNCTION("INDIRECT(""'收支紀錄'!C""&amp;TO_TEXT(ROW()-$C$72))"),"")</f>
        <v/>
      </c>
      <c r="D2113" s="63" t="str">
        <f>IFERROR(__xludf.DUMMYFUNCTION("INDIRECT(""'收支紀錄'!D""&amp;TO_TEXT(ROW()-$C$72))"),"")</f>
        <v/>
      </c>
      <c r="E2113" s="61" t="str">
        <f>IFERROR(__xludf.DUMMYFUNCTION("INDIRECT(""'收支紀錄'!E""&amp;TO_TEXT(ROW()-$C$72))"),"")</f>
        <v/>
      </c>
      <c r="F2113" s="61" t="str">
        <f>IFERROR(__xludf.DUMMYFUNCTION("INDIRECT(""'收支紀錄'!F""&amp;TO_TEXT(ROW()-$C$72))"),"")</f>
        <v/>
      </c>
      <c r="G2113" s="61" t="str">
        <f>IFERROR(__xludf.DUMMYFUNCTION("INDIRECT(""'收支紀錄'!G""&amp;TO_TEXT(ROW()-$C$72))"),"")</f>
        <v/>
      </c>
      <c r="H2113" s="61" t="str">
        <f>IFERROR(__xludf.DUMMYFUNCTION("INDIRECT(""'收支紀錄'!H""&amp;TO_TEXT(ROW()-$C$72))"),"")</f>
        <v/>
      </c>
      <c r="I2113" s="61" t="str">
        <f>IFERROR(__xludf.DUMMYFUNCTION("INDIRECT(""'收支紀錄'!I""&amp;TO_TEXT(ROW()-$C$72))"),"")</f>
        <v/>
      </c>
      <c r="J2113" s="61" t="str">
        <f>IFERROR(__xludf.DUMMYFUNCTION("INDIRECT(""'收支紀錄'!J""&amp;TO_TEXT(ROW()-$C$72))"),"")</f>
        <v/>
      </c>
      <c r="K2113" s="61" t="str">
        <f>IFERROR(__xludf.DUMMYFUNCTION("INDIRECT(""'收支紀錄'!K""&amp;TO_TEXT(ROW()-$C$72))"),"")</f>
        <v/>
      </c>
      <c r="L2113" s="61" t="str">
        <f>IFERROR(__xludf.DUMMYFUNCTION("INDIRECT(""'收支紀錄'!L""&amp;TO_TEXT(ROW()-$C$72))"),"")</f>
        <v/>
      </c>
      <c r="M2113" s="61" t="str">
        <f>IFERROR(__xludf.DUMMYFUNCTION("INDIRECT(""'收支紀錄'!M""&amp;TO_TEXT(ROW()-$C$72))"),"")</f>
        <v/>
      </c>
      <c r="N2113" s="61" t="str">
        <f>IFERROR(__xludf.DUMMYFUNCTION("INDIRECT(""'收支紀錄'!N""&amp;TO_TEXT(ROW()-$C$72))"),"")</f>
        <v/>
      </c>
      <c r="O2113" s="61" t="str">
        <f>IFERROR(__xludf.DUMMYFUNCTION("INDIRECT(""'收支紀錄'!O""&amp;TO_TEXT(ROW()-$C$72))"),"")</f>
        <v/>
      </c>
      <c r="P2113" s="61" t="str">
        <f>IFERROR(__xludf.DUMMYFUNCTION("INDIRECT(""'收支紀錄'!P""&amp;TO_TEXT(ROW()-$C$72))"),"")</f>
        <v/>
      </c>
      <c r="Q2113" s="61" t="str">
        <f>IFERROR(__xludf.DUMMYFUNCTION("INDIRECT(""'收支紀錄'!Q""&amp;TO_TEXT(ROW()-$C$72))"),"")</f>
        <v/>
      </c>
      <c r="R2113" s="61" t="str">
        <f>IFERROR(__xludf.DUMMYFUNCTION("INDIRECT(""'收支紀錄'!R""&amp;TO_TEXT(ROW()-$C$72))"),"")</f>
        <v/>
      </c>
      <c r="S2113" s="61" t="str">
        <f>IFERROR(__xludf.DUMMYFUNCTION("INDIRECT(""'收支紀錄'!S""&amp;TO_TEXT(ROW()-$C$72))"),"")</f>
        <v/>
      </c>
      <c r="T2113" s="61" t="str">
        <f>IFERROR(__xludf.DUMMYFUNCTION("INDIRECT(""'收支紀錄'!T""&amp;TO_TEXT(ROW()-$C$72))"),"")</f>
        <v/>
      </c>
      <c r="U2113" s="62" t="str">
        <f>IFERROR(__xludf.DUMMYFUNCTION("IF(T2113=""是"",TEXTJOIN("""", TRUE, ""$"", TO_TEXT(C2113), S2113),"""")"),"")</f>
        <v/>
      </c>
    </row>
    <row r="2114">
      <c r="A2114" s="58" t="str">
        <f>IFERROR(__xludf.DUMMYFUNCTION("INDIRECT(""'收支紀錄'!A""&amp;TO_TEXT(ROW()-$C$72))"),"")</f>
        <v/>
      </c>
      <c r="B2114" s="59" t="str">
        <f>IFERROR(__xludf.DUMMYFUNCTION("IF(ISBLANK(D2114), """", IF(ISDATE(D2114), D2114, IF(D2114=""今天"", A2114, IF(D2114=""昨天 (-1 day)"", A2114-1, IF(D2114=""前天 (-2 days)"", A2114-2, IF(D2114=""明天 (+1 day)"", A2114+1, DATE(LEFT(D2114,4), MID(D2114,5,2), RIGHT(D2114,2))))))))"),"")</f>
        <v/>
      </c>
      <c r="C2114" s="60" t="str">
        <f>IFERROR(__xludf.DUMMYFUNCTION("INDIRECT(""'收支紀錄'!C""&amp;TO_TEXT(ROW()-$C$72))"),"")</f>
        <v/>
      </c>
      <c r="D2114" s="63" t="str">
        <f>IFERROR(__xludf.DUMMYFUNCTION("INDIRECT(""'收支紀錄'!D""&amp;TO_TEXT(ROW()-$C$72))"),"")</f>
        <v/>
      </c>
      <c r="E2114" s="61" t="str">
        <f>IFERROR(__xludf.DUMMYFUNCTION("INDIRECT(""'收支紀錄'!E""&amp;TO_TEXT(ROW()-$C$72))"),"")</f>
        <v/>
      </c>
      <c r="F2114" s="61" t="str">
        <f>IFERROR(__xludf.DUMMYFUNCTION("INDIRECT(""'收支紀錄'!F""&amp;TO_TEXT(ROW()-$C$72))"),"")</f>
        <v/>
      </c>
      <c r="G2114" s="61" t="str">
        <f>IFERROR(__xludf.DUMMYFUNCTION("INDIRECT(""'收支紀錄'!G""&amp;TO_TEXT(ROW()-$C$72))"),"")</f>
        <v/>
      </c>
      <c r="H2114" s="61" t="str">
        <f>IFERROR(__xludf.DUMMYFUNCTION("INDIRECT(""'收支紀錄'!H""&amp;TO_TEXT(ROW()-$C$72))"),"")</f>
        <v/>
      </c>
      <c r="I2114" s="61" t="str">
        <f>IFERROR(__xludf.DUMMYFUNCTION("INDIRECT(""'收支紀錄'!I""&amp;TO_TEXT(ROW()-$C$72))"),"")</f>
        <v/>
      </c>
      <c r="J2114" s="61" t="str">
        <f>IFERROR(__xludf.DUMMYFUNCTION("INDIRECT(""'收支紀錄'!J""&amp;TO_TEXT(ROW()-$C$72))"),"")</f>
        <v/>
      </c>
      <c r="K2114" s="61" t="str">
        <f>IFERROR(__xludf.DUMMYFUNCTION("INDIRECT(""'收支紀錄'!K""&amp;TO_TEXT(ROW()-$C$72))"),"")</f>
        <v/>
      </c>
      <c r="L2114" s="61" t="str">
        <f>IFERROR(__xludf.DUMMYFUNCTION("INDIRECT(""'收支紀錄'!L""&amp;TO_TEXT(ROW()-$C$72))"),"")</f>
        <v/>
      </c>
      <c r="M2114" s="61" t="str">
        <f>IFERROR(__xludf.DUMMYFUNCTION("INDIRECT(""'收支紀錄'!M""&amp;TO_TEXT(ROW()-$C$72))"),"")</f>
        <v/>
      </c>
      <c r="N2114" s="61" t="str">
        <f>IFERROR(__xludf.DUMMYFUNCTION("INDIRECT(""'收支紀錄'!N""&amp;TO_TEXT(ROW()-$C$72))"),"")</f>
        <v/>
      </c>
      <c r="O2114" s="61" t="str">
        <f>IFERROR(__xludf.DUMMYFUNCTION("INDIRECT(""'收支紀錄'!O""&amp;TO_TEXT(ROW()-$C$72))"),"")</f>
        <v/>
      </c>
      <c r="P2114" s="61" t="str">
        <f>IFERROR(__xludf.DUMMYFUNCTION("INDIRECT(""'收支紀錄'!P""&amp;TO_TEXT(ROW()-$C$72))"),"")</f>
        <v/>
      </c>
      <c r="Q2114" s="61" t="str">
        <f>IFERROR(__xludf.DUMMYFUNCTION("INDIRECT(""'收支紀錄'!Q""&amp;TO_TEXT(ROW()-$C$72))"),"")</f>
        <v/>
      </c>
      <c r="R2114" s="61" t="str">
        <f>IFERROR(__xludf.DUMMYFUNCTION("INDIRECT(""'收支紀錄'!R""&amp;TO_TEXT(ROW()-$C$72))"),"")</f>
        <v/>
      </c>
      <c r="S2114" s="61" t="str">
        <f>IFERROR(__xludf.DUMMYFUNCTION("INDIRECT(""'收支紀錄'!S""&amp;TO_TEXT(ROW()-$C$72))"),"")</f>
        <v/>
      </c>
      <c r="T2114" s="61" t="str">
        <f>IFERROR(__xludf.DUMMYFUNCTION("INDIRECT(""'收支紀錄'!T""&amp;TO_TEXT(ROW()-$C$72))"),"")</f>
        <v/>
      </c>
      <c r="U2114" s="62" t="str">
        <f>IFERROR(__xludf.DUMMYFUNCTION("IF(T2114=""是"",TEXTJOIN("""", TRUE, ""$"", TO_TEXT(C2114), S2114),"""")"),"")</f>
        <v/>
      </c>
    </row>
    <row r="2115">
      <c r="A2115" s="58" t="str">
        <f>IFERROR(__xludf.DUMMYFUNCTION("INDIRECT(""'收支紀錄'!A""&amp;TO_TEXT(ROW()-$C$72))"),"")</f>
        <v/>
      </c>
      <c r="B2115" s="59" t="str">
        <f>IFERROR(__xludf.DUMMYFUNCTION("IF(ISBLANK(D2115), """", IF(ISDATE(D2115), D2115, IF(D2115=""今天"", A2115, IF(D2115=""昨天 (-1 day)"", A2115-1, IF(D2115=""前天 (-2 days)"", A2115-2, IF(D2115=""明天 (+1 day)"", A2115+1, DATE(LEFT(D2115,4), MID(D2115,5,2), RIGHT(D2115,2))))))))"),"")</f>
        <v/>
      </c>
      <c r="C2115" s="60" t="str">
        <f>IFERROR(__xludf.DUMMYFUNCTION("INDIRECT(""'收支紀錄'!C""&amp;TO_TEXT(ROW()-$C$72))"),"")</f>
        <v/>
      </c>
      <c r="D2115" s="63" t="str">
        <f>IFERROR(__xludf.DUMMYFUNCTION("INDIRECT(""'收支紀錄'!D""&amp;TO_TEXT(ROW()-$C$72))"),"")</f>
        <v/>
      </c>
      <c r="E2115" s="61" t="str">
        <f>IFERROR(__xludf.DUMMYFUNCTION("INDIRECT(""'收支紀錄'!E""&amp;TO_TEXT(ROW()-$C$72))"),"")</f>
        <v/>
      </c>
      <c r="F2115" s="61" t="str">
        <f>IFERROR(__xludf.DUMMYFUNCTION("INDIRECT(""'收支紀錄'!F""&amp;TO_TEXT(ROW()-$C$72))"),"")</f>
        <v/>
      </c>
      <c r="G2115" s="61" t="str">
        <f>IFERROR(__xludf.DUMMYFUNCTION("INDIRECT(""'收支紀錄'!G""&amp;TO_TEXT(ROW()-$C$72))"),"")</f>
        <v/>
      </c>
      <c r="H2115" s="61" t="str">
        <f>IFERROR(__xludf.DUMMYFUNCTION("INDIRECT(""'收支紀錄'!H""&amp;TO_TEXT(ROW()-$C$72))"),"")</f>
        <v/>
      </c>
      <c r="I2115" s="61" t="str">
        <f>IFERROR(__xludf.DUMMYFUNCTION("INDIRECT(""'收支紀錄'!I""&amp;TO_TEXT(ROW()-$C$72))"),"")</f>
        <v/>
      </c>
      <c r="J2115" s="61" t="str">
        <f>IFERROR(__xludf.DUMMYFUNCTION("INDIRECT(""'收支紀錄'!J""&amp;TO_TEXT(ROW()-$C$72))"),"")</f>
        <v/>
      </c>
      <c r="K2115" s="61" t="str">
        <f>IFERROR(__xludf.DUMMYFUNCTION("INDIRECT(""'收支紀錄'!K""&amp;TO_TEXT(ROW()-$C$72))"),"")</f>
        <v/>
      </c>
      <c r="L2115" s="61" t="str">
        <f>IFERROR(__xludf.DUMMYFUNCTION("INDIRECT(""'收支紀錄'!L""&amp;TO_TEXT(ROW()-$C$72))"),"")</f>
        <v/>
      </c>
      <c r="M2115" s="61" t="str">
        <f>IFERROR(__xludf.DUMMYFUNCTION("INDIRECT(""'收支紀錄'!M""&amp;TO_TEXT(ROW()-$C$72))"),"")</f>
        <v/>
      </c>
      <c r="N2115" s="61" t="str">
        <f>IFERROR(__xludf.DUMMYFUNCTION("INDIRECT(""'收支紀錄'!N""&amp;TO_TEXT(ROW()-$C$72))"),"")</f>
        <v/>
      </c>
      <c r="O2115" s="61" t="str">
        <f>IFERROR(__xludf.DUMMYFUNCTION("INDIRECT(""'收支紀錄'!O""&amp;TO_TEXT(ROW()-$C$72))"),"")</f>
        <v/>
      </c>
      <c r="P2115" s="61" t="str">
        <f>IFERROR(__xludf.DUMMYFUNCTION("INDIRECT(""'收支紀錄'!P""&amp;TO_TEXT(ROW()-$C$72))"),"")</f>
        <v/>
      </c>
      <c r="Q2115" s="61" t="str">
        <f>IFERROR(__xludf.DUMMYFUNCTION("INDIRECT(""'收支紀錄'!Q""&amp;TO_TEXT(ROW()-$C$72))"),"")</f>
        <v/>
      </c>
      <c r="R2115" s="61" t="str">
        <f>IFERROR(__xludf.DUMMYFUNCTION("INDIRECT(""'收支紀錄'!R""&amp;TO_TEXT(ROW()-$C$72))"),"")</f>
        <v/>
      </c>
      <c r="S2115" s="61" t="str">
        <f>IFERROR(__xludf.DUMMYFUNCTION("INDIRECT(""'收支紀錄'!S""&amp;TO_TEXT(ROW()-$C$72))"),"")</f>
        <v/>
      </c>
      <c r="T2115" s="61" t="str">
        <f>IFERROR(__xludf.DUMMYFUNCTION("INDIRECT(""'收支紀錄'!T""&amp;TO_TEXT(ROW()-$C$72))"),"")</f>
        <v/>
      </c>
      <c r="U2115" s="62" t="str">
        <f>IFERROR(__xludf.DUMMYFUNCTION("IF(T2115=""是"",TEXTJOIN("""", TRUE, ""$"", TO_TEXT(C2115), S2115),"""")"),"")</f>
        <v/>
      </c>
    </row>
    <row r="2116">
      <c r="A2116" s="58" t="str">
        <f>IFERROR(__xludf.DUMMYFUNCTION("INDIRECT(""'收支紀錄'!A""&amp;TO_TEXT(ROW()-$C$72))"),"")</f>
        <v/>
      </c>
      <c r="B2116" s="59" t="str">
        <f>IFERROR(__xludf.DUMMYFUNCTION("IF(ISBLANK(D2116), """", IF(ISDATE(D2116), D2116, IF(D2116=""今天"", A2116, IF(D2116=""昨天 (-1 day)"", A2116-1, IF(D2116=""前天 (-2 days)"", A2116-2, IF(D2116=""明天 (+1 day)"", A2116+1, DATE(LEFT(D2116,4), MID(D2116,5,2), RIGHT(D2116,2))))))))"),"")</f>
        <v/>
      </c>
      <c r="C2116" s="60" t="str">
        <f>IFERROR(__xludf.DUMMYFUNCTION("INDIRECT(""'收支紀錄'!C""&amp;TO_TEXT(ROW()-$C$72))"),"")</f>
        <v/>
      </c>
      <c r="D2116" s="63" t="str">
        <f>IFERROR(__xludf.DUMMYFUNCTION("INDIRECT(""'收支紀錄'!D""&amp;TO_TEXT(ROW()-$C$72))"),"")</f>
        <v/>
      </c>
      <c r="E2116" s="61" t="str">
        <f>IFERROR(__xludf.DUMMYFUNCTION("INDIRECT(""'收支紀錄'!E""&amp;TO_TEXT(ROW()-$C$72))"),"")</f>
        <v/>
      </c>
      <c r="F2116" s="61" t="str">
        <f>IFERROR(__xludf.DUMMYFUNCTION("INDIRECT(""'收支紀錄'!F""&amp;TO_TEXT(ROW()-$C$72))"),"")</f>
        <v/>
      </c>
      <c r="G2116" s="61" t="str">
        <f>IFERROR(__xludf.DUMMYFUNCTION("INDIRECT(""'收支紀錄'!G""&amp;TO_TEXT(ROW()-$C$72))"),"")</f>
        <v/>
      </c>
      <c r="H2116" s="61" t="str">
        <f>IFERROR(__xludf.DUMMYFUNCTION("INDIRECT(""'收支紀錄'!H""&amp;TO_TEXT(ROW()-$C$72))"),"")</f>
        <v/>
      </c>
      <c r="I2116" s="61" t="str">
        <f>IFERROR(__xludf.DUMMYFUNCTION("INDIRECT(""'收支紀錄'!I""&amp;TO_TEXT(ROW()-$C$72))"),"")</f>
        <v/>
      </c>
      <c r="J2116" s="61" t="str">
        <f>IFERROR(__xludf.DUMMYFUNCTION("INDIRECT(""'收支紀錄'!J""&amp;TO_TEXT(ROW()-$C$72))"),"")</f>
        <v/>
      </c>
      <c r="K2116" s="61" t="str">
        <f>IFERROR(__xludf.DUMMYFUNCTION("INDIRECT(""'收支紀錄'!K""&amp;TO_TEXT(ROW()-$C$72))"),"")</f>
        <v/>
      </c>
      <c r="L2116" s="61" t="str">
        <f>IFERROR(__xludf.DUMMYFUNCTION("INDIRECT(""'收支紀錄'!L""&amp;TO_TEXT(ROW()-$C$72))"),"")</f>
        <v/>
      </c>
      <c r="M2116" s="61" t="str">
        <f>IFERROR(__xludf.DUMMYFUNCTION("INDIRECT(""'收支紀錄'!M""&amp;TO_TEXT(ROW()-$C$72))"),"")</f>
        <v/>
      </c>
      <c r="N2116" s="61" t="str">
        <f>IFERROR(__xludf.DUMMYFUNCTION("INDIRECT(""'收支紀錄'!N""&amp;TO_TEXT(ROW()-$C$72))"),"")</f>
        <v/>
      </c>
      <c r="O2116" s="61" t="str">
        <f>IFERROR(__xludf.DUMMYFUNCTION("INDIRECT(""'收支紀錄'!O""&amp;TO_TEXT(ROW()-$C$72))"),"")</f>
        <v/>
      </c>
      <c r="P2116" s="61" t="str">
        <f>IFERROR(__xludf.DUMMYFUNCTION("INDIRECT(""'收支紀錄'!P""&amp;TO_TEXT(ROW()-$C$72))"),"")</f>
        <v/>
      </c>
      <c r="Q2116" s="61" t="str">
        <f>IFERROR(__xludf.DUMMYFUNCTION("INDIRECT(""'收支紀錄'!Q""&amp;TO_TEXT(ROW()-$C$72))"),"")</f>
        <v/>
      </c>
      <c r="R2116" s="61" t="str">
        <f>IFERROR(__xludf.DUMMYFUNCTION("INDIRECT(""'收支紀錄'!R""&amp;TO_TEXT(ROW()-$C$72))"),"")</f>
        <v/>
      </c>
      <c r="S2116" s="61" t="str">
        <f>IFERROR(__xludf.DUMMYFUNCTION("INDIRECT(""'收支紀錄'!S""&amp;TO_TEXT(ROW()-$C$72))"),"")</f>
        <v/>
      </c>
      <c r="T2116" s="61" t="str">
        <f>IFERROR(__xludf.DUMMYFUNCTION("INDIRECT(""'收支紀錄'!T""&amp;TO_TEXT(ROW()-$C$72))"),"")</f>
        <v/>
      </c>
      <c r="U2116" s="62" t="str">
        <f>IFERROR(__xludf.DUMMYFUNCTION("IF(T2116=""是"",TEXTJOIN("""", TRUE, ""$"", TO_TEXT(C2116), S2116),"""")"),"")</f>
        <v/>
      </c>
    </row>
    <row r="2117">
      <c r="A2117" s="58" t="str">
        <f>IFERROR(__xludf.DUMMYFUNCTION("INDIRECT(""'收支紀錄'!A""&amp;TO_TEXT(ROW()-$C$72))"),"")</f>
        <v/>
      </c>
      <c r="B2117" s="59" t="str">
        <f>IFERROR(__xludf.DUMMYFUNCTION("IF(ISBLANK(D2117), """", IF(ISDATE(D2117), D2117, IF(D2117=""今天"", A2117, IF(D2117=""昨天 (-1 day)"", A2117-1, IF(D2117=""前天 (-2 days)"", A2117-2, IF(D2117=""明天 (+1 day)"", A2117+1, DATE(LEFT(D2117,4), MID(D2117,5,2), RIGHT(D2117,2))))))))"),"")</f>
        <v/>
      </c>
      <c r="C2117" s="60" t="str">
        <f>IFERROR(__xludf.DUMMYFUNCTION("INDIRECT(""'收支紀錄'!C""&amp;TO_TEXT(ROW()-$C$72))"),"")</f>
        <v/>
      </c>
      <c r="D2117" s="63" t="str">
        <f>IFERROR(__xludf.DUMMYFUNCTION("INDIRECT(""'收支紀錄'!D""&amp;TO_TEXT(ROW()-$C$72))"),"")</f>
        <v/>
      </c>
      <c r="E2117" s="61" t="str">
        <f>IFERROR(__xludf.DUMMYFUNCTION("INDIRECT(""'收支紀錄'!E""&amp;TO_TEXT(ROW()-$C$72))"),"")</f>
        <v/>
      </c>
      <c r="F2117" s="61" t="str">
        <f>IFERROR(__xludf.DUMMYFUNCTION("INDIRECT(""'收支紀錄'!F""&amp;TO_TEXT(ROW()-$C$72))"),"")</f>
        <v/>
      </c>
      <c r="G2117" s="61" t="str">
        <f>IFERROR(__xludf.DUMMYFUNCTION("INDIRECT(""'收支紀錄'!G""&amp;TO_TEXT(ROW()-$C$72))"),"")</f>
        <v/>
      </c>
      <c r="H2117" s="61" t="str">
        <f>IFERROR(__xludf.DUMMYFUNCTION("INDIRECT(""'收支紀錄'!H""&amp;TO_TEXT(ROW()-$C$72))"),"")</f>
        <v/>
      </c>
      <c r="I2117" s="61" t="str">
        <f>IFERROR(__xludf.DUMMYFUNCTION("INDIRECT(""'收支紀錄'!I""&amp;TO_TEXT(ROW()-$C$72))"),"")</f>
        <v/>
      </c>
      <c r="J2117" s="61" t="str">
        <f>IFERROR(__xludf.DUMMYFUNCTION("INDIRECT(""'收支紀錄'!J""&amp;TO_TEXT(ROW()-$C$72))"),"")</f>
        <v/>
      </c>
      <c r="K2117" s="61" t="str">
        <f>IFERROR(__xludf.DUMMYFUNCTION("INDIRECT(""'收支紀錄'!K""&amp;TO_TEXT(ROW()-$C$72))"),"")</f>
        <v/>
      </c>
      <c r="L2117" s="61" t="str">
        <f>IFERROR(__xludf.DUMMYFUNCTION("INDIRECT(""'收支紀錄'!L""&amp;TO_TEXT(ROW()-$C$72))"),"")</f>
        <v/>
      </c>
      <c r="M2117" s="61" t="str">
        <f>IFERROR(__xludf.DUMMYFUNCTION("INDIRECT(""'收支紀錄'!M""&amp;TO_TEXT(ROW()-$C$72))"),"")</f>
        <v/>
      </c>
      <c r="N2117" s="61" t="str">
        <f>IFERROR(__xludf.DUMMYFUNCTION("INDIRECT(""'收支紀錄'!N""&amp;TO_TEXT(ROW()-$C$72))"),"")</f>
        <v/>
      </c>
      <c r="O2117" s="61" t="str">
        <f>IFERROR(__xludf.DUMMYFUNCTION("INDIRECT(""'收支紀錄'!O""&amp;TO_TEXT(ROW()-$C$72))"),"")</f>
        <v/>
      </c>
      <c r="P2117" s="61" t="str">
        <f>IFERROR(__xludf.DUMMYFUNCTION("INDIRECT(""'收支紀錄'!P""&amp;TO_TEXT(ROW()-$C$72))"),"")</f>
        <v/>
      </c>
      <c r="Q2117" s="61" t="str">
        <f>IFERROR(__xludf.DUMMYFUNCTION("INDIRECT(""'收支紀錄'!Q""&amp;TO_TEXT(ROW()-$C$72))"),"")</f>
        <v/>
      </c>
      <c r="R2117" s="61" t="str">
        <f>IFERROR(__xludf.DUMMYFUNCTION("INDIRECT(""'收支紀錄'!R""&amp;TO_TEXT(ROW()-$C$72))"),"")</f>
        <v/>
      </c>
      <c r="S2117" s="61" t="str">
        <f>IFERROR(__xludf.DUMMYFUNCTION("INDIRECT(""'收支紀錄'!S""&amp;TO_TEXT(ROW()-$C$72))"),"")</f>
        <v/>
      </c>
      <c r="T2117" s="61" t="str">
        <f>IFERROR(__xludf.DUMMYFUNCTION("INDIRECT(""'收支紀錄'!T""&amp;TO_TEXT(ROW()-$C$72))"),"")</f>
        <v/>
      </c>
      <c r="U2117" s="62" t="str">
        <f>IFERROR(__xludf.DUMMYFUNCTION("IF(T2117=""是"",TEXTJOIN("""", TRUE, ""$"", TO_TEXT(C2117), S2117),"""")"),"")</f>
        <v/>
      </c>
    </row>
    <row r="2118">
      <c r="A2118" s="58" t="str">
        <f>IFERROR(__xludf.DUMMYFUNCTION("INDIRECT(""'收支紀錄'!A""&amp;TO_TEXT(ROW()-$C$72))"),"")</f>
        <v/>
      </c>
      <c r="B2118" s="59" t="str">
        <f>IFERROR(__xludf.DUMMYFUNCTION("IF(ISBLANK(D2118), """", IF(ISDATE(D2118), D2118, IF(D2118=""今天"", A2118, IF(D2118=""昨天 (-1 day)"", A2118-1, IF(D2118=""前天 (-2 days)"", A2118-2, IF(D2118=""明天 (+1 day)"", A2118+1, DATE(LEFT(D2118,4), MID(D2118,5,2), RIGHT(D2118,2))))))))"),"")</f>
        <v/>
      </c>
      <c r="C2118" s="60" t="str">
        <f>IFERROR(__xludf.DUMMYFUNCTION("INDIRECT(""'收支紀錄'!C""&amp;TO_TEXT(ROW()-$C$72))"),"")</f>
        <v/>
      </c>
      <c r="D2118" s="63" t="str">
        <f>IFERROR(__xludf.DUMMYFUNCTION("INDIRECT(""'收支紀錄'!D""&amp;TO_TEXT(ROW()-$C$72))"),"")</f>
        <v/>
      </c>
      <c r="E2118" s="61" t="str">
        <f>IFERROR(__xludf.DUMMYFUNCTION("INDIRECT(""'收支紀錄'!E""&amp;TO_TEXT(ROW()-$C$72))"),"")</f>
        <v/>
      </c>
      <c r="F2118" s="61" t="str">
        <f>IFERROR(__xludf.DUMMYFUNCTION("INDIRECT(""'收支紀錄'!F""&amp;TO_TEXT(ROW()-$C$72))"),"")</f>
        <v/>
      </c>
      <c r="G2118" s="61" t="str">
        <f>IFERROR(__xludf.DUMMYFUNCTION("INDIRECT(""'收支紀錄'!G""&amp;TO_TEXT(ROW()-$C$72))"),"")</f>
        <v/>
      </c>
      <c r="H2118" s="61" t="str">
        <f>IFERROR(__xludf.DUMMYFUNCTION("INDIRECT(""'收支紀錄'!H""&amp;TO_TEXT(ROW()-$C$72))"),"")</f>
        <v/>
      </c>
      <c r="I2118" s="61" t="str">
        <f>IFERROR(__xludf.DUMMYFUNCTION("INDIRECT(""'收支紀錄'!I""&amp;TO_TEXT(ROW()-$C$72))"),"")</f>
        <v/>
      </c>
      <c r="J2118" s="61" t="str">
        <f>IFERROR(__xludf.DUMMYFUNCTION("INDIRECT(""'收支紀錄'!J""&amp;TO_TEXT(ROW()-$C$72))"),"")</f>
        <v/>
      </c>
      <c r="K2118" s="61" t="str">
        <f>IFERROR(__xludf.DUMMYFUNCTION("INDIRECT(""'收支紀錄'!K""&amp;TO_TEXT(ROW()-$C$72))"),"")</f>
        <v/>
      </c>
      <c r="L2118" s="61" t="str">
        <f>IFERROR(__xludf.DUMMYFUNCTION("INDIRECT(""'收支紀錄'!L""&amp;TO_TEXT(ROW()-$C$72))"),"")</f>
        <v/>
      </c>
      <c r="M2118" s="61" t="str">
        <f>IFERROR(__xludf.DUMMYFUNCTION("INDIRECT(""'收支紀錄'!M""&amp;TO_TEXT(ROW()-$C$72))"),"")</f>
        <v/>
      </c>
      <c r="N2118" s="61" t="str">
        <f>IFERROR(__xludf.DUMMYFUNCTION("INDIRECT(""'收支紀錄'!N""&amp;TO_TEXT(ROW()-$C$72))"),"")</f>
        <v/>
      </c>
      <c r="O2118" s="61" t="str">
        <f>IFERROR(__xludf.DUMMYFUNCTION("INDIRECT(""'收支紀錄'!O""&amp;TO_TEXT(ROW()-$C$72))"),"")</f>
        <v/>
      </c>
      <c r="P2118" s="61" t="str">
        <f>IFERROR(__xludf.DUMMYFUNCTION("INDIRECT(""'收支紀錄'!P""&amp;TO_TEXT(ROW()-$C$72))"),"")</f>
        <v/>
      </c>
      <c r="Q2118" s="61" t="str">
        <f>IFERROR(__xludf.DUMMYFUNCTION("INDIRECT(""'收支紀錄'!Q""&amp;TO_TEXT(ROW()-$C$72))"),"")</f>
        <v/>
      </c>
      <c r="R2118" s="61" t="str">
        <f>IFERROR(__xludf.DUMMYFUNCTION("INDIRECT(""'收支紀錄'!R""&amp;TO_TEXT(ROW()-$C$72))"),"")</f>
        <v/>
      </c>
      <c r="S2118" s="61" t="str">
        <f>IFERROR(__xludf.DUMMYFUNCTION("INDIRECT(""'收支紀錄'!S""&amp;TO_TEXT(ROW()-$C$72))"),"")</f>
        <v/>
      </c>
      <c r="T2118" s="61" t="str">
        <f>IFERROR(__xludf.DUMMYFUNCTION("INDIRECT(""'收支紀錄'!T""&amp;TO_TEXT(ROW()-$C$72))"),"")</f>
        <v/>
      </c>
      <c r="U2118" s="62" t="str">
        <f>IFERROR(__xludf.DUMMYFUNCTION("IF(T2118=""是"",TEXTJOIN("""", TRUE, ""$"", TO_TEXT(C2118), S2118),"""")"),"")</f>
        <v/>
      </c>
    </row>
    <row r="2119">
      <c r="A2119" s="58" t="str">
        <f>IFERROR(__xludf.DUMMYFUNCTION("INDIRECT(""'收支紀錄'!A""&amp;TO_TEXT(ROW()-$C$72))"),"")</f>
        <v/>
      </c>
      <c r="B2119" s="59" t="str">
        <f>IFERROR(__xludf.DUMMYFUNCTION("IF(ISBLANK(D2119), """", IF(ISDATE(D2119), D2119, IF(D2119=""今天"", A2119, IF(D2119=""昨天 (-1 day)"", A2119-1, IF(D2119=""前天 (-2 days)"", A2119-2, IF(D2119=""明天 (+1 day)"", A2119+1, DATE(LEFT(D2119,4), MID(D2119,5,2), RIGHT(D2119,2))))))))"),"")</f>
        <v/>
      </c>
      <c r="C2119" s="60" t="str">
        <f>IFERROR(__xludf.DUMMYFUNCTION("INDIRECT(""'收支紀錄'!C""&amp;TO_TEXT(ROW()-$C$72))"),"")</f>
        <v/>
      </c>
      <c r="D2119" s="63" t="str">
        <f>IFERROR(__xludf.DUMMYFUNCTION("INDIRECT(""'收支紀錄'!D""&amp;TO_TEXT(ROW()-$C$72))"),"")</f>
        <v/>
      </c>
      <c r="E2119" s="61" t="str">
        <f>IFERROR(__xludf.DUMMYFUNCTION("INDIRECT(""'收支紀錄'!E""&amp;TO_TEXT(ROW()-$C$72))"),"")</f>
        <v/>
      </c>
      <c r="F2119" s="61" t="str">
        <f>IFERROR(__xludf.DUMMYFUNCTION("INDIRECT(""'收支紀錄'!F""&amp;TO_TEXT(ROW()-$C$72))"),"")</f>
        <v/>
      </c>
      <c r="G2119" s="61" t="str">
        <f>IFERROR(__xludf.DUMMYFUNCTION("INDIRECT(""'收支紀錄'!G""&amp;TO_TEXT(ROW()-$C$72))"),"")</f>
        <v/>
      </c>
      <c r="H2119" s="61" t="str">
        <f>IFERROR(__xludf.DUMMYFUNCTION("INDIRECT(""'收支紀錄'!H""&amp;TO_TEXT(ROW()-$C$72))"),"")</f>
        <v/>
      </c>
      <c r="I2119" s="61" t="str">
        <f>IFERROR(__xludf.DUMMYFUNCTION("INDIRECT(""'收支紀錄'!I""&amp;TO_TEXT(ROW()-$C$72))"),"")</f>
        <v/>
      </c>
      <c r="J2119" s="61" t="str">
        <f>IFERROR(__xludf.DUMMYFUNCTION("INDIRECT(""'收支紀錄'!J""&amp;TO_TEXT(ROW()-$C$72))"),"")</f>
        <v/>
      </c>
      <c r="K2119" s="61" t="str">
        <f>IFERROR(__xludf.DUMMYFUNCTION("INDIRECT(""'收支紀錄'!K""&amp;TO_TEXT(ROW()-$C$72))"),"")</f>
        <v/>
      </c>
      <c r="L2119" s="61" t="str">
        <f>IFERROR(__xludf.DUMMYFUNCTION("INDIRECT(""'收支紀錄'!L""&amp;TO_TEXT(ROW()-$C$72))"),"")</f>
        <v/>
      </c>
      <c r="M2119" s="61" t="str">
        <f>IFERROR(__xludf.DUMMYFUNCTION("INDIRECT(""'收支紀錄'!M""&amp;TO_TEXT(ROW()-$C$72))"),"")</f>
        <v/>
      </c>
      <c r="N2119" s="61" t="str">
        <f>IFERROR(__xludf.DUMMYFUNCTION("INDIRECT(""'收支紀錄'!N""&amp;TO_TEXT(ROW()-$C$72))"),"")</f>
        <v/>
      </c>
      <c r="O2119" s="61" t="str">
        <f>IFERROR(__xludf.DUMMYFUNCTION("INDIRECT(""'收支紀錄'!O""&amp;TO_TEXT(ROW()-$C$72))"),"")</f>
        <v/>
      </c>
      <c r="P2119" s="61" t="str">
        <f>IFERROR(__xludf.DUMMYFUNCTION("INDIRECT(""'收支紀錄'!P""&amp;TO_TEXT(ROW()-$C$72))"),"")</f>
        <v/>
      </c>
      <c r="Q2119" s="61" t="str">
        <f>IFERROR(__xludf.DUMMYFUNCTION("INDIRECT(""'收支紀錄'!Q""&amp;TO_TEXT(ROW()-$C$72))"),"")</f>
        <v/>
      </c>
      <c r="R2119" s="61" t="str">
        <f>IFERROR(__xludf.DUMMYFUNCTION("INDIRECT(""'收支紀錄'!R""&amp;TO_TEXT(ROW()-$C$72))"),"")</f>
        <v/>
      </c>
      <c r="S2119" s="61" t="str">
        <f>IFERROR(__xludf.DUMMYFUNCTION("INDIRECT(""'收支紀錄'!S""&amp;TO_TEXT(ROW()-$C$72))"),"")</f>
        <v/>
      </c>
      <c r="T2119" s="61" t="str">
        <f>IFERROR(__xludf.DUMMYFUNCTION("INDIRECT(""'收支紀錄'!T""&amp;TO_TEXT(ROW()-$C$72))"),"")</f>
        <v/>
      </c>
      <c r="U2119" s="62" t="str">
        <f>IFERROR(__xludf.DUMMYFUNCTION("IF(T2119=""是"",TEXTJOIN("""", TRUE, ""$"", TO_TEXT(C2119), S2119),"""")"),"")</f>
        <v/>
      </c>
    </row>
    <row r="2120">
      <c r="A2120" s="58" t="str">
        <f>IFERROR(__xludf.DUMMYFUNCTION("INDIRECT(""'收支紀錄'!A""&amp;TO_TEXT(ROW()-$C$72))"),"")</f>
        <v/>
      </c>
      <c r="B2120" s="59" t="str">
        <f>IFERROR(__xludf.DUMMYFUNCTION("IF(ISBLANK(D2120), """", IF(ISDATE(D2120), D2120, IF(D2120=""今天"", A2120, IF(D2120=""昨天 (-1 day)"", A2120-1, IF(D2120=""前天 (-2 days)"", A2120-2, IF(D2120=""明天 (+1 day)"", A2120+1, DATE(LEFT(D2120,4), MID(D2120,5,2), RIGHT(D2120,2))))))))"),"")</f>
        <v/>
      </c>
      <c r="C2120" s="60" t="str">
        <f>IFERROR(__xludf.DUMMYFUNCTION("INDIRECT(""'收支紀錄'!C""&amp;TO_TEXT(ROW()-$C$72))"),"")</f>
        <v/>
      </c>
      <c r="D2120" s="63" t="str">
        <f>IFERROR(__xludf.DUMMYFUNCTION("INDIRECT(""'收支紀錄'!D""&amp;TO_TEXT(ROW()-$C$72))"),"")</f>
        <v/>
      </c>
      <c r="E2120" s="61" t="str">
        <f>IFERROR(__xludf.DUMMYFUNCTION("INDIRECT(""'收支紀錄'!E""&amp;TO_TEXT(ROW()-$C$72))"),"")</f>
        <v/>
      </c>
      <c r="F2120" s="61" t="str">
        <f>IFERROR(__xludf.DUMMYFUNCTION("INDIRECT(""'收支紀錄'!F""&amp;TO_TEXT(ROW()-$C$72))"),"")</f>
        <v/>
      </c>
      <c r="G2120" s="61" t="str">
        <f>IFERROR(__xludf.DUMMYFUNCTION("INDIRECT(""'收支紀錄'!G""&amp;TO_TEXT(ROW()-$C$72))"),"")</f>
        <v/>
      </c>
      <c r="H2120" s="61" t="str">
        <f>IFERROR(__xludf.DUMMYFUNCTION("INDIRECT(""'收支紀錄'!H""&amp;TO_TEXT(ROW()-$C$72))"),"")</f>
        <v/>
      </c>
      <c r="I2120" s="61" t="str">
        <f>IFERROR(__xludf.DUMMYFUNCTION("INDIRECT(""'收支紀錄'!I""&amp;TO_TEXT(ROW()-$C$72))"),"")</f>
        <v/>
      </c>
      <c r="J2120" s="61" t="str">
        <f>IFERROR(__xludf.DUMMYFUNCTION("INDIRECT(""'收支紀錄'!J""&amp;TO_TEXT(ROW()-$C$72))"),"")</f>
        <v/>
      </c>
      <c r="K2120" s="61" t="str">
        <f>IFERROR(__xludf.DUMMYFUNCTION("INDIRECT(""'收支紀錄'!K""&amp;TO_TEXT(ROW()-$C$72))"),"")</f>
        <v/>
      </c>
      <c r="L2120" s="61" t="str">
        <f>IFERROR(__xludf.DUMMYFUNCTION("INDIRECT(""'收支紀錄'!L""&amp;TO_TEXT(ROW()-$C$72))"),"")</f>
        <v/>
      </c>
      <c r="M2120" s="61" t="str">
        <f>IFERROR(__xludf.DUMMYFUNCTION("INDIRECT(""'收支紀錄'!M""&amp;TO_TEXT(ROW()-$C$72))"),"")</f>
        <v/>
      </c>
      <c r="N2120" s="61" t="str">
        <f>IFERROR(__xludf.DUMMYFUNCTION("INDIRECT(""'收支紀錄'!N""&amp;TO_TEXT(ROW()-$C$72))"),"")</f>
        <v/>
      </c>
      <c r="O2120" s="61" t="str">
        <f>IFERROR(__xludf.DUMMYFUNCTION("INDIRECT(""'收支紀錄'!O""&amp;TO_TEXT(ROW()-$C$72))"),"")</f>
        <v/>
      </c>
      <c r="P2120" s="61" t="str">
        <f>IFERROR(__xludf.DUMMYFUNCTION("INDIRECT(""'收支紀錄'!P""&amp;TO_TEXT(ROW()-$C$72))"),"")</f>
        <v/>
      </c>
      <c r="Q2120" s="61" t="str">
        <f>IFERROR(__xludf.DUMMYFUNCTION("INDIRECT(""'收支紀錄'!Q""&amp;TO_TEXT(ROW()-$C$72))"),"")</f>
        <v/>
      </c>
      <c r="R2120" s="61" t="str">
        <f>IFERROR(__xludf.DUMMYFUNCTION("INDIRECT(""'收支紀錄'!R""&amp;TO_TEXT(ROW()-$C$72))"),"")</f>
        <v/>
      </c>
      <c r="S2120" s="61" t="str">
        <f>IFERROR(__xludf.DUMMYFUNCTION("INDIRECT(""'收支紀錄'!S""&amp;TO_TEXT(ROW()-$C$72))"),"")</f>
        <v/>
      </c>
      <c r="T2120" s="61" t="str">
        <f>IFERROR(__xludf.DUMMYFUNCTION("INDIRECT(""'收支紀錄'!T""&amp;TO_TEXT(ROW()-$C$72))"),"")</f>
        <v/>
      </c>
      <c r="U2120" s="62" t="str">
        <f>IFERROR(__xludf.DUMMYFUNCTION("IF(T2120=""是"",TEXTJOIN("""", TRUE, ""$"", TO_TEXT(C2120), S2120),"""")"),"")</f>
        <v/>
      </c>
    </row>
    <row r="2121">
      <c r="A2121" s="58" t="str">
        <f>IFERROR(__xludf.DUMMYFUNCTION("INDIRECT(""'收支紀錄'!A""&amp;TO_TEXT(ROW()-$C$72))"),"")</f>
        <v/>
      </c>
      <c r="B2121" s="59" t="str">
        <f>IFERROR(__xludf.DUMMYFUNCTION("IF(ISBLANK(D2121), """", IF(ISDATE(D2121), D2121, IF(D2121=""今天"", A2121, IF(D2121=""昨天 (-1 day)"", A2121-1, IF(D2121=""前天 (-2 days)"", A2121-2, IF(D2121=""明天 (+1 day)"", A2121+1, DATE(LEFT(D2121,4), MID(D2121,5,2), RIGHT(D2121,2))))))))"),"")</f>
        <v/>
      </c>
      <c r="C2121" s="60" t="str">
        <f>IFERROR(__xludf.DUMMYFUNCTION("INDIRECT(""'收支紀錄'!C""&amp;TO_TEXT(ROW()-$C$72))"),"")</f>
        <v/>
      </c>
      <c r="D2121" s="63" t="str">
        <f>IFERROR(__xludf.DUMMYFUNCTION("INDIRECT(""'收支紀錄'!D""&amp;TO_TEXT(ROW()-$C$72))"),"")</f>
        <v/>
      </c>
      <c r="E2121" s="61" t="str">
        <f>IFERROR(__xludf.DUMMYFUNCTION("INDIRECT(""'收支紀錄'!E""&amp;TO_TEXT(ROW()-$C$72))"),"")</f>
        <v/>
      </c>
      <c r="F2121" s="61" t="str">
        <f>IFERROR(__xludf.DUMMYFUNCTION("INDIRECT(""'收支紀錄'!F""&amp;TO_TEXT(ROW()-$C$72))"),"")</f>
        <v/>
      </c>
      <c r="G2121" s="61" t="str">
        <f>IFERROR(__xludf.DUMMYFUNCTION("INDIRECT(""'收支紀錄'!G""&amp;TO_TEXT(ROW()-$C$72))"),"")</f>
        <v/>
      </c>
      <c r="H2121" s="61" t="str">
        <f>IFERROR(__xludf.DUMMYFUNCTION("INDIRECT(""'收支紀錄'!H""&amp;TO_TEXT(ROW()-$C$72))"),"")</f>
        <v/>
      </c>
      <c r="I2121" s="61" t="str">
        <f>IFERROR(__xludf.DUMMYFUNCTION("INDIRECT(""'收支紀錄'!I""&amp;TO_TEXT(ROW()-$C$72))"),"")</f>
        <v/>
      </c>
      <c r="J2121" s="61" t="str">
        <f>IFERROR(__xludf.DUMMYFUNCTION("INDIRECT(""'收支紀錄'!J""&amp;TO_TEXT(ROW()-$C$72))"),"")</f>
        <v/>
      </c>
      <c r="K2121" s="61" t="str">
        <f>IFERROR(__xludf.DUMMYFUNCTION("INDIRECT(""'收支紀錄'!K""&amp;TO_TEXT(ROW()-$C$72))"),"")</f>
        <v/>
      </c>
      <c r="L2121" s="61" t="str">
        <f>IFERROR(__xludf.DUMMYFUNCTION("INDIRECT(""'收支紀錄'!L""&amp;TO_TEXT(ROW()-$C$72))"),"")</f>
        <v/>
      </c>
      <c r="M2121" s="61" t="str">
        <f>IFERROR(__xludf.DUMMYFUNCTION("INDIRECT(""'收支紀錄'!M""&amp;TO_TEXT(ROW()-$C$72))"),"")</f>
        <v/>
      </c>
      <c r="N2121" s="61" t="str">
        <f>IFERROR(__xludf.DUMMYFUNCTION("INDIRECT(""'收支紀錄'!N""&amp;TO_TEXT(ROW()-$C$72))"),"")</f>
        <v/>
      </c>
      <c r="O2121" s="61" t="str">
        <f>IFERROR(__xludf.DUMMYFUNCTION("INDIRECT(""'收支紀錄'!O""&amp;TO_TEXT(ROW()-$C$72))"),"")</f>
        <v/>
      </c>
      <c r="P2121" s="61" t="str">
        <f>IFERROR(__xludf.DUMMYFUNCTION("INDIRECT(""'收支紀錄'!P""&amp;TO_TEXT(ROW()-$C$72))"),"")</f>
        <v/>
      </c>
      <c r="Q2121" s="61" t="str">
        <f>IFERROR(__xludf.DUMMYFUNCTION("INDIRECT(""'收支紀錄'!Q""&amp;TO_TEXT(ROW()-$C$72))"),"")</f>
        <v/>
      </c>
      <c r="R2121" s="61" t="str">
        <f>IFERROR(__xludf.DUMMYFUNCTION("INDIRECT(""'收支紀錄'!R""&amp;TO_TEXT(ROW()-$C$72))"),"")</f>
        <v/>
      </c>
      <c r="S2121" s="61" t="str">
        <f>IFERROR(__xludf.DUMMYFUNCTION("INDIRECT(""'收支紀錄'!S""&amp;TO_TEXT(ROW()-$C$72))"),"")</f>
        <v/>
      </c>
      <c r="T2121" s="61" t="str">
        <f>IFERROR(__xludf.DUMMYFUNCTION("INDIRECT(""'收支紀錄'!T""&amp;TO_TEXT(ROW()-$C$72))"),"")</f>
        <v/>
      </c>
      <c r="U2121" s="62" t="str">
        <f>IFERROR(__xludf.DUMMYFUNCTION("IF(T2121=""是"",TEXTJOIN("""", TRUE, ""$"", TO_TEXT(C2121), S2121),"""")"),"")</f>
        <v/>
      </c>
    </row>
    <row r="2122">
      <c r="A2122" s="58" t="str">
        <f>IFERROR(__xludf.DUMMYFUNCTION("INDIRECT(""'收支紀錄'!A""&amp;TO_TEXT(ROW()-$C$72))"),"")</f>
        <v/>
      </c>
      <c r="B2122" s="59" t="str">
        <f>IFERROR(__xludf.DUMMYFUNCTION("IF(ISBLANK(D2122), """", IF(ISDATE(D2122), D2122, IF(D2122=""今天"", A2122, IF(D2122=""昨天 (-1 day)"", A2122-1, IF(D2122=""前天 (-2 days)"", A2122-2, IF(D2122=""明天 (+1 day)"", A2122+1, DATE(LEFT(D2122,4), MID(D2122,5,2), RIGHT(D2122,2))))))))"),"")</f>
        <v/>
      </c>
      <c r="C2122" s="60" t="str">
        <f>IFERROR(__xludf.DUMMYFUNCTION("INDIRECT(""'收支紀錄'!C""&amp;TO_TEXT(ROW()-$C$72))"),"")</f>
        <v/>
      </c>
      <c r="D2122" s="63" t="str">
        <f>IFERROR(__xludf.DUMMYFUNCTION("INDIRECT(""'收支紀錄'!D""&amp;TO_TEXT(ROW()-$C$72))"),"")</f>
        <v/>
      </c>
      <c r="E2122" s="61" t="str">
        <f>IFERROR(__xludf.DUMMYFUNCTION("INDIRECT(""'收支紀錄'!E""&amp;TO_TEXT(ROW()-$C$72))"),"")</f>
        <v/>
      </c>
      <c r="F2122" s="61" t="str">
        <f>IFERROR(__xludf.DUMMYFUNCTION("INDIRECT(""'收支紀錄'!F""&amp;TO_TEXT(ROW()-$C$72))"),"")</f>
        <v/>
      </c>
      <c r="G2122" s="61" t="str">
        <f>IFERROR(__xludf.DUMMYFUNCTION("INDIRECT(""'收支紀錄'!G""&amp;TO_TEXT(ROW()-$C$72))"),"")</f>
        <v/>
      </c>
      <c r="H2122" s="61" t="str">
        <f>IFERROR(__xludf.DUMMYFUNCTION("INDIRECT(""'收支紀錄'!H""&amp;TO_TEXT(ROW()-$C$72))"),"")</f>
        <v/>
      </c>
      <c r="I2122" s="61" t="str">
        <f>IFERROR(__xludf.DUMMYFUNCTION("INDIRECT(""'收支紀錄'!I""&amp;TO_TEXT(ROW()-$C$72))"),"")</f>
        <v/>
      </c>
      <c r="J2122" s="61" t="str">
        <f>IFERROR(__xludf.DUMMYFUNCTION("INDIRECT(""'收支紀錄'!J""&amp;TO_TEXT(ROW()-$C$72))"),"")</f>
        <v/>
      </c>
      <c r="K2122" s="61" t="str">
        <f>IFERROR(__xludf.DUMMYFUNCTION("INDIRECT(""'收支紀錄'!K""&amp;TO_TEXT(ROW()-$C$72))"),"")</f>
        <v/>
      </c>
      <c r="L2122" s="61" t="str">
        <f>IFERROR(__xludf.DUMMYFUNCTION("INDIRECT(""'收支紀錄'!L""&amp;TO_TEXT(ROW()-$C$72))"),"")</f>
        <v/>
      </c>
      <c r="M2122" s="61" t="str">
        <f>IFERROR(__xludf.DUMMYFUNCTION("INDIRECT(""'收支紀錄'!M""&amp;TO_TEXT(ROW()-$C$72))"),"")</f>
        <v/>
      </c>
      <c r="N2122" s="61" t="str">
        <f>IFERROR(__xludf.DUMMYFUNCTION("INDIRECT(""'收支紀錄'!N""&amp;TO_TEXT(ROW()-$C$72))"),"")</f>
        <v/>
      </c>
      <c r="O2122" s="61" t="str">
        <f>IFERROR(__xludf.DUMMYFUNCTION("INDIRECT(""'收支紀錄'!O""&amp;TO_TEXT(ROW()-$C$72))"),"")</f>
        <v/>
      </c>
      <c r="P2122" s="61" t="str">
        <f>IFERROR(__xludf.DUMMYFUNCTION("INDIRECT(""'收支紀錄'!P""&amp;TO_TEXT(ROW()-$C$72))"),"")</f>
        <v/>
      </c>
      <c r="Q2122" s="61" t="str">
        <f>IFERROR(__xludf.DUMMYFUNCTION("INDIRECT(""'收支紀錄'!Q""&amp;TO_TEXT(ROW()-$C$72))"),"")</f>
        <v/>
      </c>
      <c r="R2122" s="61" t="str">
        <f>IFERROR(__xludf.DUMMYFUNCTION("INDIRECT(""'收支紀錄'!R""&amp;TO_TEXT(ROW()-$C$72))"),"")</f>
        <v/>
      </c>
      <c r="S2122" s="61" t="str">
        <f>IFERROR(__xludf.DUMMYFUNCTION("INDIRECT(""'收支紀錄'!S""&amp;TO_TEXT(ROW()-$C$72))"),"")</f>
        <v/>
      </c>
      <c r="T2122" s="61" t="str">
        <f>IFERROR(__xludf.DUMMYFUNCTION("INDIRECT(""'收支紀錄'!T""&amp;TO_TEXT(ROW()-$C$72))"),"")</f>
        <v/>
      </c>
      <c r="U2122" s="62" t="str">
        <f>IFERROR(__xludf.DUMMYFUNCTION("IF(T2122=""是"",TEXTJOIN("""", TRUE, ""$"", TO_TEXT(C2122), S2122),"""")"),"")</f>
        <v/>
      </c>
    </row>
    <row r="2123">
      <c r="A2123" s="58" t="str">
        <f>IFERROR(__xludf.DUMMYFUNCTION("INDIRECT(""'收支紀錄'!A""&amp;TO_TEXT(ROW()-$C$72))"),"")</f>
        <v/>
      </c>
      <c r="B2123" s="59" t="str">
        <f>IFERROR(__xludf.DUMMYFUNCTION("IF(ISBLANK(D2123), """", IF(ISDATE(D2123), D2123, IF(D2123=""今天"", A2123, IF(D2123=""昨天 (-1 day)"", A2123-1, IF(D2123=""前天 (-2 days)"", A2123-2, IF(D2123=""明天 (+1 day)"", A2123+1, DATE(LEFT(D2123,4), MID(D2123,5,2), RIGHT(D2123,2))))))))"),"")</f>
        <v/>
      </c>
      <c r="C2123" s="60" t="str">
        <f>IFERROR(__xludf.DUMMYFUNCTION("INDIRECT(""'收支紀錄'!C""&amp;TO_TEXT(ROW()-$C$72))"),"")</f>
        <v/>
      </c>
      <c r="D2123" s="63" t="str">
        <f>IFERROR(__xludf.DUMMYFUNCTION("INDIRECT(""'收支紀錄'!D""&amp;TO_TEXT(ROW()-$C$72))"),"")</f>
        <v/>
      </c>
      <c r="E2123" s="61" t="str">
        <f>IFERROR(__xludf.DUMMYFUNCTION("INDIRECT(""'收支紀錄'!E""&amp;TO_TEXT(ROW()-$C$72))"),"")</f>
        <v/>
      </c>
      <c r="F2123" s="61" t="str">
        <f>IFERROR(__xludf.DUMMYFUNCTION("INDIRECT(""'收支紀錄'!F""&amp;TO_TEXT(ROW()-$C$72))"),"")</f>
        <v/>
      </c>
      <c r="G2123" s="61" t="str">
        <f>IFERROR(__xludf.DUMMYFUNCTION("INDIRECT(""'收支紀錄'!G""&amp;TO_TEXT(ROW()-$C$72))"),"")</f>
        <v/>
      </c>
      <c r="H2123" s="61" t="str">
        <f>IFERROR(__xludf.DUMMYFUNCTION("INDIRECT(""'收支紀錄'!H""&amp;TO_TEXT(ROW()-$C$72))"),"")</f>
        <v/>
      </c>
      <c r="I2123" s="61" t="str">
        <f>IFERROR(__xludf.DUMMYFUNCTION("INDIRECT(""'收支紀錄'!I""&amp;TO_TEXT(ROW()-$C$72))"),"")</f>
        <v/>
      </c>
      <c r="J2123" s="61" t="str">
        <f>IFERROR(__xludf.DUMMYFUNCTION("INDIRECT(""'收支紀錄'!J""&amp;TO_TEXT(ROW()-$C$72))"),"")</f>
        <v/>
      </c>
      <c r="K2123" s="61" t="str">
        <f>IFERROR(__xludf.DUMMYFUNCTION("INDIRECT(""'收支紀錄'!K""&amp;TO_TEXT(ROW()-$C$72))"),"")</f>
        <v/>
      </c>
      <c r="L2123" s="61" t="str">
        <f>IFERROR(__xludf.DUMMYFUNCTION("INDIRECT(""'收支紀錄'!L""&amp;TO_TEXT(ROW()-$C$72))"),"")</f>
        <v/>
      </c>
      <c r="M2123" s="61" t="str">
        <f>IFERROR(__xludf.DUMMYFUNCTION("INDIRECT(""'收支紀錄'!M""&amp;TO_TEXT(ROW()-$C$72))"),"")</f>
        <v/>
      </c>
      <c r="N2123" s="61" t="str">
        <f>IFERROR(__xludf.DUMMYFUNCTION("INDIRECT(""'收支紀錄'!N""&amp;TO_TEXT(ROW()-$C$72))"),"")</f>
        <v/>
      </c>
      <c r="O2123" s="61" t="str">
        <f>IFERROR(__xludf.DUMMYFUNCTION("INDIRECT(""'收支紀錄'!O""&amp;TO_TEXT(ROW()-$C$72))"),"")</f>
        <v/>
      </c>
      <c r="P2123" s="61" t="str">
        <f>IFERROR(__xludf.DUMMYFUNCTION("INDIRECT(""'收支紀錄'!P""&amp;TO_TEXT(ROW()-$C$72))"),"")</f>
        <v/>
      </c>
      <c r="Q2123" s="61" t="str">
        <f>IFERROR(__xludf.DUMMYFUNCTION("INDIRECT(""'收支紀錄'!Q""&amp;TO_TEXT(ROW()-$C$72))"),"")</f>
        <v/>
      </c>
      <c r="R2123" s="61" t="str">
        <f>IFERROR(__xludf.DUMMYFUNCTION("INDIRECT(""'收支紀錄'!R""&amp;TO_TEXT(ROW()-$C$72))"),"")</f>
        <v/>
      </c>
      <c r="S2123" s="61" t="str">
        <f>IFERROR(__xludf.DUMMYFUNCTION("INDIRECT(""'收支紀錄'!S""&amp;TO_TEXT(ROW()-$C$72))"),"")</f>
        <v/>
      </c>
      <c r="T2123" s="61" t="str">
        <f>IFERROR(__xludf.DUMMYFUNCTION("INDIRECT(""'收支紀錄'!T""&amp;TO_TEXT(ROW()-$C$72))"),"")</f>
        <v/>
      </c>
      <c r="U2123" s="62" t="str">
        <f>IFERROR(__xludf.DUMMYFUNCTION("IF(T2123=""是"",TEXTJOIN("""", TRUE, ""$"", TO_TEXT(C2123), S2123),"""")"),"")</f>
        <v/>
      </c>
    </row>
    <row r="2124">
      <c r="A2124" s="58" t="str">
        <f>IFERROR(__xludf.DUMMYFUNCTION("INDIRECT(""'收支紀錄'!A""&amp;TO_TEXT(ROW()-$C$72))"),"")</f>
        <v/>
      </c>
      <c r="B2124" s="59" t="str">
        <f>IFERROR(__xludf.DUMMYFUNCTION("IF(ISBLANK(D2124), """", IF(ISDATE(D2124), D2124, IF(D2124=""今天"", A2124, IF(D2124=""昨天 (-1 day)"", A2124-1, IF(D2124=""前天 (-2 days)"", A2124-2, IF(D2124=""明天 (+1 day)"", A2124+1, DATE(LEFT(D2124,4), MID(D2124,5,2), RIGHT(D2124,2))))))))"),"")</f>
        <v/>
      </c>
      <c r="C2124" s="60" t="str">
        <f>IFERROR(__xludf.DUMMYFUNCTION("INDIRECT(""'收支紀錄'!C""&amp;TO_TEXT(ROW()-$C$72))"),"")</f>
        <v/>
      </c>
      <c r="D2124" s="63" t="str">
        <f>IFERROR(__xludf.DUMMYFUNCTION("INDIRECT(""'收支紀錄'!D""&amp;TO_TEXT(ROW()-$C$72))"),"")</f>
        <v/>
      </c>
      <c r="E2124" s="61" t="str">
        <f>IFERROR(__xludf.DUMMYFUNCTION("INDIRECT(""'收支紀錄'!E""&amp;TO_TEXT(ROW()-$C$72))"),"")</f>
        <v/>
      </c>
      <c r="F2124" s="61" t="str">
        <f>IFERROR(__xludf.DUMMYFUNCTION("INDIRECT(""'收支紀錄'!F""&amp;TO_TEXT(ROW()-$C$72))"),"")</f>
        <v/>
      </c>
      <c r="G2124" s="61" t="str">
        <f>IFERROR(__xludf.DUMMYFUNCTION("INDIRECT(""'收支紀錄'!G""&amp;TO_TEXT(ROW()-$C$72))"),"")</f>
        <v/>
      </c>
      <c r="H2124" s="61" t="str">
        <f>IFERROR(__xludf.DUMMYFUNCTION("INDIRECT(""'收支紀錄'!H""&amp;TO_TEXT(ROW()-$C$72))"),"")</f>
        <v/>
      </c>
      <c r="I2124" s="61" t="str">
        <f>IFERROR(__xludf.DUMMYFUNCTION("INDIRECT(""'收支紀錄'!I""&amp;TO_TEXT(ROW()-$C$72))"),"")</f>
        <v/>
      </c>
      <c r="J2124" s="61" t="str">
        <f>IFERROR(__xludf.DUMMYFUNCTION("INDIRECT(""'收支紀錄'!J""&amp;TO_TEXT(ROW()-$C$72))"),"")</f>
        <v/>
      </c>
      <c r="K2124" s="61" t="str">
        <f>IFERROR(__xludf.DUMMYFUNCTION("INDIRECT(""'收支紀錄'!K""&amp;TO_TEXT(ROW()-$C$72))"),"")</f>
        <v/>
      </c>
      <c r="L2124" s="61" t="str">
        <f>IFERROR(__xludf.DUMMYFUNCTION("INDIRECT(""'收支紀錄'!L""&amp;TO_TEXT(ROW()-$C$72))"),"")</f>
        <v/>
      </c>
      <c r="M2124" s="61" t="str">
        <f>IFERROR(__xludf.DUMMYFUNCTION("INDIRECT(""'收支紀錄'!M""&amp;TO_TEXT(ROW()-$C$72))"),"")</f>
        <v/>
      </c>
      <c r="N2124" s="61" t="str">
        <f>IFERROR(__xludf.DUMMYFUNCTION("INDIRECT(""'收支紀錄'!N""&amp;TO_TEXT(ROW()-$C$72))"),"")</f>
        <v/>
      </c>
      <c r="O2124" s="61" t="str">
        <f>IFERROR(__xludf.DUMMYFUNCTION("INDIRECT(""'收支紀錄'!O""&amp;TO_TEXT(ROW()-$C$72))"),"")</f>
        <v/>
      </c>
      <c r="P2124" s="61" t="str">
        <f>IFERROR(__xludf.DUMMYFUNCTION("INDIRECT(""'收支紀錄'!P""&amp;TO_TEXT(ROW()-$C$72))"),"")</f>
        <v/>
      </c>
      <c r="Q2124" s="61" t="str">
        <f>IFERROR(__xludf.DUMMYFUNCTION("INDIRECT(""'收支紀錄'!Q""&amp;TO_TEXT(ROW()-$C$72))"),"")</f>
        <v/>
      </c>
      <c r="R2124" s="61" t="str">
        <f>IFERROR(__xludf.DUMMYFUNCTION("INDIRECT(""'收支紀錄'!R""&amp;TO_TEXT(ROW()-$C$72))"),"")</f>
        <v/>
      </c>
      <c r="S2124" s="61" t="str">
        <f>IFERROR(__xludf.DUMMYFUNCTION("INDIRECT(""'收支紀錄'!S""&amp;TO_TEXT(ROW()-$C$72))"),"")</f>
        <v/>
      </c>
      <c r="T2124" s="61" t="str">
        <f>IFERROR(__xludf.DUMMYFUNCTION("INDIRECT(""'收支紀錄'!T""&amp;TO_TEXT(ROW()-$C$72))"),"")</f>
        <v/>
      </c>
      <c r="U2124" s="62" t="str">
        <f>IFERROR(__xludf.DUMMYFUNCTION("IF(T2124=""是"",TEXTJOIN("""", TRUE, ""$"", TO_TEXT(C2124), S2124),"""")"),"")</f>
        <v/>
      </c>
    </row>
    <row r="2125">
      <c r="A2125" s="58" t="str">
        <f>IFERROR(__xludf.DUMMYFUNCTION("INDIRECT(""'收支紀錄'!A""&amp;TO_TEXT(ROW()-$C$72))"),"")</f>
        <v/>
      </c>
      <c r="B2125" s="59" t="str">
        <f>IFERROR(__xludf.DUMMYFUNCTION("IF(ISBLANK(D2125), """", IF(ISDATE(D2125), D2125, IF(D2125=""今天"", A2125, IF(D2125=""昨天 (-1 day)"", A2125-1, IF(D2125=""前天 (-2 days)"", A2125-2, IF(D2125=""明天 (+1 day)"", A2125+1, DATE(LEFT(D2125,4), MID(D2125,5,2), RIGHT(D2125,2))))))))"),"")</f>
        <v/>
      </c>
      <c r="C2125" s="60" t="str">
        <f>IFERROR(__xludf.DUMMYFUNCTION("INDIRECT(""'收支紀錄'!C""&amp;TO_TEXT(ROW()-$C$72))"),"")</f>
        <v/>
      </c>
      <c r="D2125" s="63" t="str">
        <f>IFERROR(__xludf.DUMMYFUNCTION("INDIRECT(""'收支紀錄'!D""&amp;TO_TEXT(ROW()-$C$72))"),"")</f>
        <v/>
      </c>
      <c r="E2125" s="61" t="str">
        <f>IFERROR(__xludf.DUMMYFUNCTION("INDIRECT(""'收支紀錄'!E""&amp;TO_TEXT(ROW()-$C$72))"),"")</f>
        <v/>
      </c>
      <c r="F2125" s="61" t="str">
        <f>IFERROR(__xludf.DUMMYFUNCTION("INDIRECT(""'收支紀錄'!F""&amp;TO_TEXT(ROW()-$C$72))"),"")</f>
        <v/>
      </c>
      <c r="G2125" s="61" t="str">
        <f>IFERROR(__xludf.DUMMYFUNCTION("INDIRECT(""'收支紀錄'!G""&amp;TO_TEXT(ROW()-$C$72))"),"")</f>
        <v/>
      </c>
      <c r="H2125" s="61" t="str">
        <f>IFERROR(__xludf.DUMMYFUNCTION("INDIRECT(""'收支紀錄'!H""&amp;TO_TEXT(ROW()-$C$72))"),"")</f>
        <v/>
      </c>
      <c r="I2125" s="61" t="str">
        <f>IFERROR(__xludf.DUMMYFUNCTION("INDIRECT(""'收支紀錄'!I""&amp;TO_TEXT(ROW()-$C$72))"),"")</f>
        <v/>
      </c>
      <c r="J2125" s="61" t="str">
        <f>IFERROR(__xludf.DUMMYFUNCTION("INDIRECT(""'收支紀錄'!J""&amp;TO_TEXT(ROW()-$C$72))"),"")</f>
        <v/>
      </c>
      <c r="K2125" s="61" t="str">
        <f>IFERROR(__xludf.DUMMYFUNCTION("INDIRECT(""'收支紀錄'!K""&amp;TO_TEXT(ROW()-$C$72))"),"")</f>
        <v/>
      </c>
      <c r="L2125" s="61" t="str">
        <f>IFERROR(__xludf.DUMMYFUNCTION("INDIRECT(""'收支紀錄'!L""&amp;TO_TEXT(ROW()-$C$72))"),"")</f>
        <v/>
      </c>
      <c r="M2125" s="61" t="str">
        <f>IFERROR(__xludf.DUMMYFUNCTION("INDIRECT(""'收支紀錄'!M""&amp;TO_TEXT(ROW()-$C$72))"),"")</f>
        <v/>
      </c>
      <c r="N2125" s="61" t="str">
        <f>IFERROR(__xludf.DUMMYFUNCTION("INDIRECT(""'收支紀錄'!N""&amp;TO_TEXT(ROW()-$C$72))"),"")</f>
        <v/>
      </c>
      <c r="O2125" s="61" t="str">
        <f>IFERROR(__xludf.DUMMYFUNCTION("INDIRECT(""'收支紀錄'!O""&amp;TO_TEXT(ROW()-$C$72))"),"")</f>
        <v/>
      </c>
      <c r="P2125" s="61" t="str">
        <f>IFERROR(__xludf.DUMMYFUNCTION("INDIRECT(""'收支紀錄'!P""&amp;TO_TEXT(ROW()-$C$72))"),"")</f>
        <v/>
      </c>
      <c r="Q2125" s="61" t="str">
        <f>IFERROR(__xludf.DUMMYFUNCTION("INDIRECT(""'收支紀錄'!Q""&amp;TO_TEXT(ROW()-$C$72))"),"")</f>
        <v/>
      </c>
      <c r="R2125" s="61" t="str">
        <f>IFERROR(__xludf.DUMMYFUNCTION("INDIRECT(""'收支紀錄'!R""&amp;TO_TEXT(ROW()-$C$72))"),"")</f>
        <v/>
      </c>
      <c r="S2125" s="61" t="str">
        <f>IFERROR(__xludf.DUMMYFUNCTION("INDIRECT(""'收支紀錄'!S""&amp;TO_TEXT(ROW()-$C$72))"),"")</f>
        <v/>
      </c>
      <c r="T2125" s="61" t="str">
        <f>IFERROR(__xludf.DUMMYFUNCTION("INDIRECT(""'收支紀錄'!T""&amp;TO_TEXT(ROW()-$C$72))"),"")</f>
        <v/>
      </c>
      <c r="U2125" s="62" t="str">
        <f>IFERROR(__xludf.DUMMYFUNCTION("IF(T2125=""是"",TEXTJOIN("""", TRUE, ""$"", TO_TEXT(C2125), S2125),"""")"),"")</f>
        <v/>
      </c>
    </row>
    <row r="2126">
      <c r="A2126" s="58" t="str">
        <f>IFERROR(__xludf.DUMMYFUNCTION("INDIRECT(""'收支紀錄'!A""&amp;TO_TEXT(ROW()-$C$72))"),"")</f>
        <v/>
      </c>
      <c r="B2126" s="59" t="str">
        <f>IFERROR(__xludf.DUMMYFUNCTION("IF(ISBLANK(D2126), """", IF(ISDATE(D2126), D2126, IF(D2126=""今天"", A2126, IF(D2126=""昨天 (-1 day)"", A2126-1, IF(D2126=""前天 (-2 days)"", A2126-2, IF(D2126=""明天 (+1 day)"", A2126+1, DATE(LEFT(D2126,4), MID(D2126,5,2), RIGHT(D2126,2))))))))"),"")</f>
        <v/>
      </c>
      <c r="C2126" s="60" t="str">
        <f>IFERROR(__xludf.DUMMYFUNCTION("INDIRECT(""'收支紀錄'!C""&amp;TO_TEXT(ROW()-$C$72))"),"")</f>
        <v/>
      </c>
      <c r="D2126" s="63" t="str">
        <f>IFERROR(__xludf.DUMMYFUNCTION("INDIRECT(""'收支紀錄'!D""&amp;TO_TEXT(ROW()-$C$72))"),"")</f>
        <v/>
      </c>
      <c r="E2126" s="61" t="str">
        <f>IFERROR(__xludf.DUMMYFUNCTION("INDIRECT(""'收支紀錄'!E""&amp;TO_TEXT(ROW()-$C$72))"),"")</f>
        <v/>
      </c>
      <c r="F2126" s="61" t="str">
        <f>IFERROR(__xludf.DUMMYFUNCTION("INDIRECT(""'收支紀錄'!F""&amp;TO_TEXT(ROW()-$C$72))"),"")</f>
        <v/>
      </c>
      <c r="G2126" s="61" t="str">
        <f>IFERROR(__xludf.DUMMYFUNCTION("INDIRECT(""'收支紀錄'!G""&amp;TO_TEXT(ROW()-$C$72))"),"")</f>
        <v/>
      </c>
      <c r="H2126" s="61" t="str">
        <f>IFERROR(__xludf.DUMMYFUNCTION("INDIRECT(""'收支紀錄'!H""&amp;TO_TEXT(ROW()-$C$72))"),"")</f>
        <v/>
      </c>
      <c r="I2126" s="61" t="str">
        <f>IFERROR(__xludf.DUMMYFUNCTION("INDIRECT(""'收支紀錄'!I""&amp;TO_TEXT(ROW()-$C$72))"),"")</f>
        <v/>
      </c>
      <c r="J2126" s="61" t="str">
        <f>IFERROR(__xludf.DUMMYFUNCTION("INDIRECT(""'收支紀錄'!J""&amp;TO_TEXT(ROW()-$C$72))"),"")</f>
        <v/>
      </c>
      <c r="K2126" s="61" t="str">
        <f>IFERROR(__xludf.DUMMYFUNCTION("INDIRECT(""'收支紀錄'!K""&amp;TO_TEXT(ROW()-$C$72))"),"")</f>
        <v/>
      </c>
      <c r="L2126" s="61" t="str">
        <f>IFERROR(__xludf.DUMMYFUNCTION("INDIRECT(""'收支紀錄'!L""&amp;TO_TEXT(ROW()-$C$72))"),"")</f>
        <v/>
      </c>
      <c r="M2126" s="61" t="str">
        <f>IFERROR(__xludf.DUMMYFUNCTION("INDIRECT(""'收支紀錄'!M""&amp;TO_TEXT(ROW()-$C$72))"),"")</f>
        <v/>
      </c>
      <c r="N2126" s="61" t="str">
        <f>IFERROR(__xludf.DUMMYFUNCTION("INDIRECT(""'收支紀錄'!N""&amp;TO_TEXT(ROW()-$C$72))"),"")</f>
        <v/>
      </c>
      <c r="O2126" s="61" t="str">
        <f>IFERROR(__xludf.DUMMYFUNCTION("INDIRECT(""'收支紀錄'!O""&amp;TO_TEXT(ROW()-$C$72))"),"")</f>
        <v/>
      </c>
      <c r="P2126" s="61" t="str">
        <f>IFERROR(__xludf.DUMMYFUNCTION("INDIRECT(""'收支紀錄'!P""&amp;TO_TEXT(ROW()-$C$72))"),"")</f>
        <v/>
      </c>
      <c r="Q2126" s="61" t="str">
        <f>IFERROR(__xludf.DUMMYFUNCTION("INDIRECT(""'收支紀錄'!Q""&amp;TO_TEXT(ROW()-$C$72))"),"")</f>
        <v/>
      </c>
      <c r="R2126" s="61" t="str">
        <f>IFERROR(__xludf.DUMMYFUNCTION("INDIRECT(""'收支紀錄'!R""&amp;TO_TEXT(ROW()-$C$72))"),"")</f>
        <v/>
      </c>
      <c r="S2126" s="61" t="str">
        <f>IFERROR(__xludf.DUMMYFUNCTION("INDIRECT(""'收支紀錄'!S""&amp;TO_TEXT(ROW()-$C$72))"),"")</f>
        <v/>
      </c>
      <c r="T2126" s="61" t="str">
        <f>IFERROR(__xludf.DUMMYFUNCTION("INDIRECT(""'收支紀錄'!T""&amp;TO_TEXT(ROW()-$C$72))"),"")</f>
        <v/>
      </c>
      <c r="U2126" s="62" t="str">
        <f>IFERROR(__xludf.DUMMYFUNCTION("IF(T2126=""是"",TEXTJOIN("""", TRUE, ""$"", TO_TEXT(C2126), S2126),"""")"),"")</f>
        <v/>
      </c>
    </row>
    <row r="2127">
      <c r="A2127" s="58" t="str">
        <f>IFERROR(__xludf.DUMMYFUNCTION("INDIRECT(""'收支紀錄'!A""&amp;TO_TEXT(ROW()-$C$72))"),"")</f>
        <v/>
      </c>
      <c r="B2127" s="59" t="str">
        <f>IFERROR(__xludf.DUMMYFUNCTION("IF(ISBLANK(D2127), """", IF(ISDATE(D2127), D2127, IF(D2127=""今天"", A2127, IF(D2127=""昨天 (-1 day)"", A2127-1, IF(D2127=""前天 (-2 days)"", A2127-2, IF(D2127=""明天 (+1 day)"", A2127+1, DATE(LEFT(D2127,4), MID(D2127,5,2), RIGHT(D2127,2))))))))"),"")</f>
        <v/>
      </c>
      <c r="C2127" s="60" t="str">
        <f>IFERROR(__xludf.DUMMYFUNCTION("INDIRECT(""'收支紀錄'!C""&amp;TO_TEXT(ROW()-$C$72))"),"")</f>
        <v/>
      </c>
      <c r="D2127" s="63" t="str">
        <f>IFERROR(__xludf.DUMMYFUNCTION("INDIRECT(""'收支紀錄'!D""&amp;TO_TEXT(ROW()-$C$72))"),"")</f>
        <v/>
      </c>
      <c r="E2127" s="61" t="str">
        <f>IFERROR(__xludf.DUMMYFUNCTION("INDIRECT(""'收支紀錄'!E""&amp;TO_TEXT(ROW()-$C$72))"),"")</f>
        <v/>
      </c>
      <c r="F2127" s="61" t="str">
        <f>IFERROR(__xludf.DUMMYFUNCTION("INDIRECT(""'收支紀錄'!F""&amp;TO_TEXT(ROW()-$C$72))"),"")</f>
        <v/>
      </c>
      <c r="G2127" s="61" t="str">
        <f>IFERROR(__xludf.DUMMYFUNCTION("INDIRECT(""'收支紀錄'!G""&amp;TO_TEXT(ROW()-$C$72))"),"")</f>
        <v/>
      </c>
      <c r="H2127" s="61" t="str">
        <f>IFERROR(__xludf.DUMMYFUNCTION("INDIRECT(""'收支紀錄'!H""&amp;TO_TEXT(ROW()-$C$72))"),"")</f>
        <v/>
      </c>
      <c r="I2127" s="61" t="str">
        <f>IFERROR(__xludf.DUMMYFUNCTION("INDIRECT(""'收支紀錄'!I""&amp;TO_TEXT(ROW()-$C$72))"),"")</f>
        <v/>
      </c>
      <c r="J2127" s="61" t="str">
        <f>IFERROR(__xludf.DUMMYFUNCTION("INDIRECT(""'收支紀錄'!J""&amp;TO_TEXT(ROW()-$C$72))"),"")</f>
        <v/>
      </c>
      <c r="K2127" s="61" t="str">
        <f>IFERROR(__xludf.DUMMYFUNCTION("INDIRECT(""'收支紀錄'!K""&amp;TO_TEXT(ROW()-$C$72))"),"")</f>
        <v/>
      </c>
      <c r="L2127" s="61" t="str">
        <f>IFERROR(__xludf.DUMMYFUNCTION("INDIRECT(""'收支紀錄'!L""&amp;TO_TEXT(ROW()-$C$72))"),"")</f>
        <v/>
      </c>
      <c r="M2127" s="61" t="str">
        <f>IFERROR(__xludf.DUMMYFUNCTION("INDIRECT(""'收支紀錄'!M""&amp;TO_TEXT(ROW()-$C$72))"),"")</f>
        <v/>
      </c>
      <c r="N2127" s="61" t="str">
        <f>IFERROR(__xludf.DUMMYFUNCTION("INDIRECT(""'收支紀錄'!N""&amp;TO_TEXT(ROW()-$C$72))"),"")</f>
        <v/>
      </c>
      <c r="O2127" s="61" t="str">
        <f>IFERROR(__xludf.DUMMYFUNCTION("INDIRECT(""'收支紀錄'!O""&amp;TO_TEXT(ROW()-$C$72))"),"")</f>
        <v/>
      </c>
      <c r="P2127" s="61" t="str">
        <f>IFERROR(__xludf.DUMMYFUNCTION("INDIRECT(""'收支紀錄'!P""&amp;TO_TEXT(ROW()-$C$72))"),"")</f>
        <v/>
      </c>
      <c r="Q2127" s="61" t="str">
        <f>IFERROR(__xludf.DUMMYFUNCTION("INDIRECT(""'收支紀錄'!Q""&amp;TO_TEXT(ROW()-$C$72))"),"")</f>
        <v/>
      </c>
      <c r="R2127" s="61" t="str">
        <f>IFERROR(__xludf.DUMMYFUNCTION("INDIRECT(""'收支紀錄'!R""&amp;TO_TEXT(ROW()-$C$72))"),"")</f>
        <v/>
      </c>
      <c r="S2127" s="61" t="str">
        <f>IFERROR(__xludf.DUMMYFUNCTION("INDIRECT(""'收支紀錄'!S""&amp;TO_TEXT(ROW()-$C$72))"),"")</f>
        <v/>
      </c>
      <c r="T2127" s="61" t="str">
        <f>IFERROR(__xludf.DUMMYFUNCTION("INDIRECT(""'收支紀錄'!T""&amp;TO_TEXT(ROW()-$C$72))"),"")</f>
        <v/>
      </c>
      <c r="U2127" s="62" t="str">
        <f>IFERROR(__xludf.DUMMYFUNCTION("IF(T2127=""是"",TEXTJOIN("""", TRUE, ""$"", TO_TEXT(C2127), S2127),"""")"),"")</f>
        <v/>
      </c>
    </row>
    <row r="2128">
      <c r="A2128" s="58" t="str">
        <f>IFERROR(__xludf.DUMMYFUNCTION("INDIRECT(""'收支紀錄'!A""&amp;TO_TEXT(ROW()-$C$72))"),"")</f>
        <v/>
      </c>
      <c r="B2128" s="59" t="str">
        <f>IFERROR(__xludf.DUMMYFUNCTION("IF(ISBLANK(D2128), """", IF(ISDATE(D2128), D2128, IF(D2128=""今天"", A2128, IF(D2128=""昨天 (-1 day)"", A2128-1, IF(D2128=""前天 (-2 days)"", A2128-2, IF(D2128=""明天 (+1 day)"", A2128+1, DATE(LEFT(D2128,4), MID(D2128,5,2), RIGHT(D2128,2))))))))"),"")</f>
        <v/>
      </c>
      <c r="C2128" s="60" t="str">
        <f>IFERROR(__xludf.DUMMYFUNCTION("INDIRECT(""'收支紀錄'!C""&amp;TO_TEXT(ROW()-$C$72))"),"")</f>
        <v/>
      </c>
      <c r="D2128" s="63" t="str">
        <f>IFERROR(__xludf.DUMMYFUNCTION("INDIRECT(""'收支紀錄'!D""&amp;TO_TEXT(ROW()-$C$72))"),"")</f>
        <v/>
      </c>
      <c r="E2128" s="61" t="str">
        <f>IFERROR(__xludf.DUMMYFUNCTION("INDIRECT(""'收支紀錄'!E""&amp;TO_TEXT(ROW()-$C$72))"),"")</f>
        <v/>
      </c>
      <c r="F2128" s="61" t="str">
        <f>IFERROR(__xludf.DUMMYFUNCTION("INDIRECT(""'收支紀錄'!F""&amp;TO_TEXT(ROW()-$C$72))"),"")</f>
        <v/>
      </c>
      <c r="G2128" s="61" t="str">
        <f>IFERROR(__xludf.DUMMYFUNCTION("INDIRECT(""'收支紀錄'!G""&amp;TO_TEXT(ROW()-$C$72))"),"")</f>
        <v/>
      </c>
      <c r="H2128" s="61" t="str">
        <f>IFERROR(__xludf.DUMMYFUNCTION("INDIRECT(""'收支紀錄'!H""&amp;TO_TEXT(ROW()-$C$72))"),"")</f>
        <v/>
      </c>
      <c r="I2128" s="61" t="str">
        <f>IFERROR(__xludf.DUMMYFUNCTION("INDIRECT(""'收支紀錄'!I""&amp;TO_TEXT(ROW()-$C$72))"),"")</f>
        <v/>
      </c>
      <c r="J2128" s="61" t="str">
        <f>IFERROR(__xludf.DUMMYFUNCTION("INDIRECT(""'收支紀錄'!J""&amp;TO_TEXT(ROW()-$C$72))"),"")</f>
        <v/>
      </c>
      <c r="K2128" s="61" t="str">
        <f>IFERROR(__xludf.DUMMYFUNCTION("INDIRECT(""'收支紀錄'!K""&amp;TO_TEXT(ROW()-$C$72))"),"")</f>
        <v/>
      </c>
      <c r="L2128" s="61" t="str">
        <f>IFERROR(__xludf.DUMMYFUNCTION("INDIRECT(""'收支紀錄'!L""&amp;TO_TEXT(ROW()-$C$72))"),"")</f>
        <v/>
      </c>
      <c r="M2128" s="61" t="str">
        <f>IFERROR(__xludf.DUMMYFUNCTION("INDIRECT(""'收支紀錄'!M""&amp;TO_TEXT(ROW()-$C$72))"),"")</f>
        <v/>
      </c>
      <c r="N2128" s="61" t="str">
        <f>IFERROR(__xludf.DUMMYFUNCTION("INDIRECT(""'收支紀錄'!N""&amp;TO_TEXT(ROW()-$C$72))"),"")</f>
        <v/>
      </c>
      <c r="O2128" s="61" t="str">
        <f>IFERROR(__xludf.DUMMYFUNCTION("INDIRECT(""'收支紀錄'!O""&amp;TO_TEXT(ROW()-$C$72))"),"")</f>
        <v/>
      </c>
      <c r="P2128" s="61" t="str">
        <f>IFERROR(__xludf.DUMMYFUNCTION("INDIRECT(""'收支紀錄'!P""&amp;TO_TEXT(ROW()-$C$72))"),"")</f>
        <v/>
      </c>
      <c r="Q2128" s="61" t="str">
        <f>IFERROR(__xludf.DUMMYFUNCTION("INDIRECT(""'收支紀錄'!Q""&amp;TO_TEXT(ROW()-$C$72))"),"")</f>
        <v/>
      </c>
      <c r="R2128" s="61" t="str">
        <f>IFERROR(__xludf.DUMMYFUNCTION("INDIRECT(""'收支紀錄'!R""&amp;TO_TEXT(ROW()-$C$72))"),"")</f>
        <v/>
      </c>
      <c r="S2128" s="61" t="str">
        <f>IFERROR(__xludf.DUMMYFUNCTION("INDIRECT(""'收支紀錄'!S""&amp;TO_TEXT(ROW()-$C$72))"),"")</f>
        <v/>
      </c>
      <c r="T2128" s="61" t="str">
        <f>IFERROR(__xludf.DUMMYFUNCTION("INDIRECT(""'收支紀錄'!T""&amp;TO_TEXT(ROW()-$C$72))"),"")</f>
        <v/>
      </c>
      <c r="U2128" s="62" t="str">
        <f>IFERROR(__xludf.DUMMYFUNCTION("IF(T2128=""是"",TEXTJOIN("""", TRUE, ""$"", TO_TEXT(C2128), S2128),"""")"),"")</f>
        <v/>
      </c>
    </row>
    <row r="2129">
      <c r="A2129" s="58" t="str">
        <f>IFERROR(__xludf.DUMMYFUNCTION("INDIRECT(""'收支紀錄'!A""&amp;TO_TEXT(ROW()-$C$72))"),"")</f>
        <v/>
      </c>
      <c r="B2129" s="59" t="str">
        <f>IFERROR(__xludf.DUMMYFUNCTION("IF(ISBLANK(D2129), """", IF(ISDATE(D2129), D2129, IF(D2129=""今天"", A2129, IF(D2129=""昨天 (-1 day)"", A2129-1, IF(D2129=""前天 (-2 days)"", A2129-2, IF(D2129=""明天 (+1 day)"", A2129+1, DATE(LEFT(D2129,4), MID(D2129,5,2), RIGHT(D2129,2))))))))"),"")</f>
        <v/>
      </c>
      <c r="C2129" s="60" t="str">
        <f>IFERROR(__xludf.DUMMYFUNCTION("INDIRECT(""'收支紀錄'!C""&amp;TO_TEXT(ROW()-$C$72))"),"")</f>
        <v/>
      </c>
      <c r="D2129" s="63" t="str">
        <f>IFERROR(__xludf.DUMMYFUNCTION("INDIRECT(""'收支紀錄'!D""&amp;TO_TEXT(ROW()-$C$72))"),"")</f>
        <v/>
      </c>
      <c r="E2129" s="61" t="str">
        <f>IFERROR(__xludf.DUMMYFUNCTION("INDIRECT(""'收支紀錄'!E""&amp;TO_TEXT(ROW()-$C$72))"),"")</f>
        <v/>
      </c>
      <c r="F2129" s="61" t="str">
        <f>IFERROR(__xludf.DUMMYFUNCTION("INDIRECT(""'收支紀錄'!F""&amp;TO_TEXT(ROW()-$C$72))"),"")</f>
        <v/>
      </c>
      <c r="G2129" s="61" t="str">
        <f>IFERROR(__xludf.DUMMYFUNCTION("INDIRECT(""'收支紀錄'!G""&amp;TO_TEXT(ROW()-$C$72))"),"")</f>
        <v/>
      </c>
      <c r="H2129" s="61" t="str">
        <f>IFERROR(__xludf.DUMMYFUNCTION("INDIRECT(""'收支紀錄'!H""&amp;TO_TEXT(ROW()-$C$72))"),"")</f>
        <v/>
      </c>
      <c r="I2129" s="61" t="str">
        <f>IFERROR(__xludf.DUMMYFUNCTION("INDIRECT(""'收支紀錄'!I""&amp;TO_TEXT(ROW()-$C$72))"),"")</f>
        <v/>
      </c>
      <c r="J2129" s="61" t="str">
        <f>IFERROR(__xludf.DUMMYFUNCTION("INDIRECT(""'收支紀錄'!J""&amp;TO_TEXT(ROW()-$C$72))"),"")</f>
        <v/>
      </c>
      <c r="K2129" s="61" t="str">
        <f>IFERROR(__xludf.DUMMYFUNCTION("INDIRECT(""'收支紀錄'!K""&amp;TO_TEXT(ROW()-$C$72))"),"")</f>
        <v/>
      </c>
      <c r="L2129" s="61" t="str">
        <f>IFERROR(__xludf.DUMMYFUNCTION("INDIRECT(""'收支紀錄'!L""&amp;TO_TEXT(ROW()-$C$72))"),"")</f>
        <v/>
      </c>
      <c r="M2129" s="61" t="str">
        <f>IFERROR(__xludf.DUMMYFUNCTION("INDIRECT(""'收支紀錄'!M""&amp;TO_TEXT(ROW()-$C$72))"),"")</f>
        <v/>
      </c>
      <c r="N2129" s="61" t="str">
        <f>IFERROR(__xludf.DUMMYFUNCTION("INDIRECT(""'收支紀錄'!N""&amp;TO_TEXT(ROW()-$C$72))"),"")</f>
        <v/>
      </c>
      <c r="O2129" s="61" t="str">
        <f>IFERROR(__xludf.DUMMYFUNCTION("INDIRECT(""'收支紀錄'!O""&amp;TO_TEXT(ROW()-$C$72))"),"")</f>
        <v/>
      </c>
      <c r="P2129" s="61" t="str">
        <f>IFERROR(__xludf.DUMMYFUNCTION("INDIRECT(""'收支紀錄'!P""&amp;TO_TEXT(ROW()-$C$72))"),"")</f>
        <v/>
      </c>
      <c r="Q2129" s="61" t="str">
        <f>IFERROR(__xludf.DUMMYFUNCTION("INDIRECT(""'收支紀錄'!Q""&amp;TO_TEXT(ROW()-$C$72))"),"")</f>
        <v/>
      </c>
      <c r="R2129" s="61" t="str">
        <f>IFERROR(__xludf.DUMMYFUNCTION("INDIRECT(""'收支紀錄'!R""&amp;TO_TEXT(ROW()-$C$72))"),"")</f>
        <v/>
      </c>
      <c r="S2129" s="61" t="str">
        <f>IFERROR(__xludf.DUMMYFUNCTION("INDIRECT(""'收支紀錄'!S""&amp;TO_TEXT(ROW()-$C$72))"),"")</f>
        <v/>
      </c>
      <c r="T2129" s="61" t="str">
        <f>IFERROR(__xludf.DUMMYFUNCTION("INDIRECT(""'收支紀錄'!T""&amp;TO_TEXT(ROW()-$C$72))"),"")</f>
        <v/>
      </c>
      <c r="U2129" s="62" t="str">
        <f>IFERROR(__xludf.DUMMYFUNCTION("IF(T2129=""是"",TEXTJOIN("""", TRUE, ""$"", TO_TEXT(C2129), S2129),"""")"),"")</f>
        <v/>
      </c>
    </row>
    <row r="2130">
      <c r="A2130" s="58" t="str">
        <f>IFERROR(__xludf.DUMMYFUNCTION("INDIRECT(""'收支紀錄'!A""&amp;TO_TEXT(ROW()-$C$72))"),"")</f>
        <v/>
      </c>
      <c r="B2130" s="59" t="str">
        <f>IFERROR(__xludf.DUMMYFUNCTION("IF(ISBLANK(D2130), """", IF(ISDATE(D2130), D2130, IF(D2130=""今天"", A2130, IF(D2130=""昨天 (-1 day)"", A2130-1, IF(D2130=""前天 (-2 days)"", A2130-2, IF(D2130=""明天 (+1 day)"", A2130+1, DATE(LEFT(D2130,4), MID(D2130,5,2), RIGHT(D2130,2))))))))"),"")</f>
        <v/>
      </c>
      <c r="C2130" s="60" t="str">
        <f>IFERROR(__xludf.DUMMYFUNCTION("INDIRECT(""'收支紀錄'!C""&amp;TO_TEXT(ROW()-$C$72))"),"")</f>
        <v/>
      </c>
      <c r="D2130" s="63" t="str">
        <f>IFERROR(__xludf.DUMMYFUNCTION("INDIRECT(""'收支紀錄'!D""&amp;TO_TEXT(ROW()-$C$72))"),"")</f>
        <v/>
      </c>
      <c r="E2130" s="61" t="str">
        <f>IFERROR(__xludf.DUMMYFUNCTION("INDIRECT(""'收支紀錄'!E""&amp;TO_TEXT(ROW()-$C$72))"),"")</f>
        <v/>
      </c>
      <c r="F2130" s="61" t="str">
        <f>IFERROR(__xludf.DUMMYFUNCTION("INDIRECT(""'收支紀錄'!F""&amp;TO_TEXT(ROW()-$C$72))"),"")</f>
        <v/>
      </c>
      <c r="G2130" s="61" t="str">
        <f>IFERROR(__xludf.DUMMYFUNCTION("INDIRECT(""'收支紀錄'!G""&amp;TO_TEXT(ROW()-$C$72))"),"")</f>
        <v/>
      </c>
      <c r="H2130" s="61" t="str">
        <f>IFERROR(__xludf.DUMMYFUNCTION("INDIRECT(""'收支紀錄'!H""&amp;TO_TEXT(ROW()-$C$72))"),"")</f>
        <v/>
      </c>
      <c r="I2130" s="61" t="str">
        <f>IFERROR(__xludf.DUMMYFUNCTION("INDIRECT(""'收支紀錄'!I""&amp;TO_TEXT(ROW()-$C$72))"),"")</f>
        <v/>
      </c>
      <c r="J2130" s="61" t="str">
        <f>IFERROR(__xludf.DUMMYFUNCTION("INDIRECT(""'收支紀錄'!J""&amp;TO_TEXT(ROW()-$C$72))"),"")</f>
        <v/>
      </c>
      <c r="K2130" s="61" t="str">
        <f>IFERROR(__xludf.DUMMYFUNCTION("INDIRECT(""'收支紀錄'!K""&amp;TO_TEXT(ROW()-$C$72))"),"")</f>
        <v/>
      </c>
      <c r="L2130" s="61" t="str">
        <f>IFERROR(__xludf.DUMMYFUNCTION("INDIRECT(""'收支紀錄'!L""&amp;TO_TEXT(ROW()-$C$72))"),"")</f>
        <v/>
      </c>
      <c r="M2130" s="61" t="str">
        <f>IFERROR(__xludf.DUMMYFUNCTION("INDIRECT(""'收支紀錄'!M""&amp;TO_TEXT(ROW()-$C$72))"),"")</f>
        <v/>
      </c>
      <c r="N2130" s="61" t="str">
        <f>IFERROR(__xludf.DUMMYFUNCTION("INDIRECT(""'收支紀錄'!N""&amp;TO_TEXT(ROW()-$C$72))"),"")</f>
        <v/>
      </c>
      <c r="O2130" s="61" t="str">
        <f>IFERROR(__xludf.DUMMYFUNCTION("INDIRECT(""'收支紀錄'!O""&amp;TO_TEXT(ROW()-$C$72))"),"")</f>
        <v/>
      </c>
      <c r="P2130" s="61" t="str">
        <f>IFERROR(__xludf.DUMMYFUNCTION("INDIRECT(""'收支紀錄'!P""&amp;TO_TEXT(ROW()-$C$72))"),"")</f>
        <v/>
      </c>
      <c r="Q2130" s="61" t="str">
        <f>IFERROR(__xludf.DUMMYFUNCTION("INDIRECT(""'收支紀錄'!Q""&amp;TO_TEXT(ROW()-$C$72))"),"")</f>
        <v/>
      </c>
      <c r="R2130" s="61" t="str">
        <f>IFERROR(__xludf.DUMMYFUNCTION("INDIRECT(""'收支紀錄'!R""&amp;TO_TEXT(ROW()-$C$72))"),"")</f>
        <v/>
      </c>
      <c r="S2130" s="61" t="str">
        <f>IFERROR(__xludf.DUMMYFUNCTION("INDIRECT(""'收支紀錄'!S""&amp;TO_TEXT(ROW()-$C$72))"),"")</f>
        <v/>
      </c>
      <c r="T2130" s="61" t="str">
        <f>IFERROR(__xludf.DUMMYFUNCTION("INDIRECT(""'收支紀錄'!T""&amp;TO_TEXT(ROW()-$C$72))"),"")</f>
        <v/>
      </c>
      <c r="U2130" s="62" t="str">
        <f>IFERROR(__xludf.DUMMYFUNCTION("IF(T2130=""是"",TEXTJOIN("""", TRUE, ""$"", TO_TEXT(C2130), S2130),"""")"),"")</f>
        <v/>
      </c>
    </row>
    <row r="2131">
      <c r="A2131" s="58" t="str">
        <f>IFERROR(__xludf.DUMMYFUNCTION("INDIRECT(""'收支紀錄'!A""&amp;TO_TEXT(ROW()-$C$72))"),"")</f>
        <v/>
      </c>
      <c r="B2131" s="59" t="str">
        <f>IFERROR(__xludf.DUMMYFUNCTION("IF(ISBLANK(D2131), """", IF(ISDATE(D2131), D2131, IF(D2131=""今天"", A2131, IF(D2131=""昨天 (-1 day)"", A2131-1, IF(D2131=""前天 (-2 days)"", A2131-2, IF(D2131=""明天 (+1 day)"", A2131+1, DATE(LEFT(D2131,4), MID(D2131,5,2), RIGHT(D2131,2))))))))"),"")</f>
        <v/>
      </c>
      <c r="C2131" s="60" t="str">
        <f>IFERROR(__xludf.DUMMYFUNCTION("INDIRECT(""'收支紀錄'!C""&amp;TO_TEXT(ROW()-$C$72))"),"")</f>
        <v/>
      </c>
      <c r="D2131" s="63" t="str">
        <f>IFERROR(__xludf.DUMMYFUNCTION("INDIRECT(""'收支紀錄'!D""&amp;TO_TEXT(ROW()-$C$72))"),"")</f>
        <v/>
      </c>
      <c r="E2131" s="61" t="str">
        <f>IFERROR(__xludf.DUMMYFUNCTION("INDIRECT(""'收支紀錄'!E""&amp;TO_TEXT(ROW()-$C$72))"),"")</f>
        <v/>
      </c>
      <c r="F2131" s="61" t="str">
        <f>IFERROR(__xludf.DUMMYFUNCTION("INDIRECT(""'收支紀錄'!F""&amp;TO_TEXT(ROW()-$C$72))"),"")</f>
        <v/>
      </c>
      <c r="G2131" s="61" t="str">
        <f>IFERROR(__xludf.DUMMYFUNCTION("INDIRECT(""'收支紀錄'!G""&amp;TO_TEXT(ROW()-$C$72))"),"")</f>
        <v/>
      </c>
      <c r="H2131" s="61" t="str">
        <f>IFERROR(__xludf.DUMMYFUNCTION("INDIRECT(""'收支紀錄'!H""&amp;TO_TEXT(ROW()-$C$72))"),"")</f>
        <v/>
      </c>
      <c r="I2131" s="61" t="str">
        <f>IFERROR(__xludf.DUMMYFUNCTION("INDIRECT(""'收支紀錄'!I""&amp;TO_TEXT(ROW()-$C$72))"),"")</f>
        <v/>
      </c>
      <c r="J2131" s="61" t="str">
        <f>IFERROR(__xludf.DUMMYFUNCTION("INDIRECT(""'收支紀錄'!J""&amp;TO_TEXT(ROW()-$C$72))"),"")</f>
        <v/>
      </c>
      <c r="K2131" s="61" t="str">
        <f>IFERROR(__xludf.DUMMYFUNCTION("INDIRECT(""'收支紀錄'!K""&amp;TO_TEXT(ROW()-$C$72))"),"")</f>
        <v/>
      </c>
      <c r="L2131" s="61" t="str">
        <f>IFERROR(__xludf.DUMMYFUNCTION("INDIRECT(""'收支紀錄'!L""&amp;TO_TEXT(ROW()-$C$72))"),"")</f>
        <v/>
      </c>
      <c r="M2131" s="61" t="str">
        <f>IFERROR(__xludf.DUMMYFUNCTION("INDIRECT(""'收支紀錄'!M""&amp;TO_TEXT(ROW()-$C$72))"),"")</f>
        <v/>
      </c>
      <c r="N2131" s="61" t="str">
        <f>IFERROR(__xludf.DUMMYFUNCTION("INDIRECT(""'收支紀錄'!N""&amp;TO_TEXT(ROW()-$C$72))"),"")</f>
        <v/>
      </c>
      <c r="O2131" s="61" t="str">
        <f>IFERROR(__xludf.DUMMYFUNCTION("INDIRECT(""'收支紀錄'!O""&amp;TO_TEXT(ROW()-$C$72))"),"")</f>
        <v/>
      </c>
      <c r="P2131" s="61" t="str">
        <f>IFERROR(__xludf.DUMMYFUNCTION("INDIRECT(""'收支紀錄'!P""&amp;TO_TEXT(ROW()-$C$72))"),"")</f>
        <v/>
      </c>
      <c r="Q2131" s="61" t="str">
        <f>IFERROR(__xludf.DUMMYFUNCTION("INDIRECT(""'收支紀錄'!Q""&amp;TO_TEXT(ROW()-$C$72))"),"")</f>
        <v/>
      </c>
      <c r="R2131" s="61" t="str">
        <f>IFERROR(__xludf.DUMMYFUNCTION("INDIRECT(""'收支紀錄'!R""&amp;TO_TEXT(ROW()-$C$72))"),"")</f>
        <v/>
      </c>
      <c r="S2131" s="61" t="str">
        <f>IFERROR(__xludf.DUMMYFUNCTION("INDIRECT(""'收支紀錄'!S""&amp;TO_TEXT(ROW()-$C$72))"),"")</f>
        <v/>
      </c>
      <c r="T2131" s="61" t="str">
        <f>IFERROR(__xludf.DUMMYFUNCTION("INDIRECT(""'收支紀錄'!T""&amp;TO_TEXT(ROW()-$C$72))"),"")</f>
        <v/>
      </c>
      <c r="U2131" s="62" t="str">
        <f>IFERROR(__xludf.DUMMYFUNCTION("IF(T2131=""是"",TEXTJOIN("""", TRUE, ""$"", TO_TEXT(C2131), S2131),"""")"),"")</f>
        <v/>
      </c>
    </row>
    <row r="2132">
      <c r="A2132" s="58" t="str">
        <f>IFERROR(__xludf.DUMMYFUNCTION("INDIRECT(""'收支紀錄'!A""&amp;TO_TEXT(ROW()-$C$72))"),"")</f>
        <v/>
      </c>
      <c r="B2132" s="59" t="str">
        <f>IFERROR(__xludf.DUMMYFUNCTION("IF(ISBLANK(D2132), """", IF(ISDATE(D2132), D2132, IF(D2132=""今天"", A2132, IF(D2132=""昨天 (-1 day)"", A2132-1, IF(D2132=""前天 (-2 days)"", A2132-2, IF(D2132=""明天 (+1 day)"", A2132+1, DATE(LEFT(D2132,4), MID(D2132,5,2), RIGHT(D2132,2))))))))"),"")</f>
        <v/>
      </c>
      <c r="C2132" s="60" t="str">
        <f>IFERROR(__xludf.DUMMYFUNCTION("INDIRECT(""'收支紀錄'!C""&amp;TO_TEXT(ROW()-$C$72))"),"")</f>
        <v/>
      </c>
      <c r="D2132" s="63" t="str">
        <f>IFERROR(__xludf.DUMMYFUNCTION("INDIRECT(""'收支紀錄'!D""&amp;TO_TEXT(ROW()-$C$72))"),"")</f>
        <v/>
      </c>
      <c r="E2132" s="61" t="str">
        <f>IFERROR(__xludf.DUMMYFUNCTION("INDIRECT(""'收支紀錄'!E""&amp;TO_TEXT(ROW()-$C$72))"),"")</f>
        <v/>
      </c>
      <c r="F2132" s="61" t="str">
        <f>IFERROR(__xludf.DUMMYFUNCTION("INDIRECT(""'收支紀錄'!F""&amp;TO_TEXT(ROW()-$C$72))"),"")</f>
        <v/>
      </c>
      <c r="G2132" s="61" t="str">
        <f>IFERROR(__xludf.DUMMYFUNCTION("INDIRECT(""'收支紀錄'!G""&amp;TO_TEXT(ROW()-$C$72))"),"")</f>
        <v/>
      </c>
      <c r="H2132" s="61" t="str">
        <f>IFERROR(__xludf.DUMMYFUNCTION("INDIRECT(""'收支紀錄'!H""&amp;TO_TEXT(ROW()-$C$72))"),"")</f>
        <v/>
      </c>
      <c r="I2132" s="61" t="str">
        <f>IFERROR(__xludf.DUMMYFUNCTION("INDIRECT(""'收支紀錄'!I""&amp;TO_TEXT(ROW()-$C$72))"),"")</f>
        <v/>
      </c>
      <c r="J2132" s="61" t="str">
        <f>IFERROR(__xludf.DUMMYFUNCTION("INDIRECT(""'收支紀錄'!J""&amp;TO_TEXT(ROW()-$C$72))"),"")</f>
        <v/>
      </c>
      <c r="K2132" s="61" t="str">
        <f>IFERROR(__xludf.DUMMYFUNCTION("INDIRECT(""'收支紀錄'!K""&amp;TO_TEXT(ROW()-$C$72))"),"")</f>
        <v/>
      </c>
      <c r="L2132" s="61" t="str">
        <f>IFERROR(__xludf.DUMMYFUNCTION("INDIRECT(""'收支紀錄'!L""&amp;TO_TEXT(ROW()-$C$72))"),"")</f>
        <v/>
      </c>
      <c r="M2132" s="61" t="str">
        <f>IFERROR(__xludf.DUMMYFUNCTION("INDIRECT(""'收支紀錄'!M""&amp;TO_TEXT(ROW()-$C$72))"),"")</f>
        <v/>
      </c>
      <c r="N2132" s="61" t="str">
        <f>IFERROR(__xludf.DUMMYFUNCTION("INDIRECT(""'收支紀錄'!N""&amp;TO_TEXT(ROW()-$C$72))"),"")</f>
        <v/>
      </c>
      <c r="O2132" s="61" t="str">
        <f>IFERROR(__xludf.DUMMYFUNCTION("INDIRECT(""'收支紀錄'!O""&amp;TO_TEXT(ROW()-$C$72))"),"")</f>
        <v/>
      </c>
      <c r="P2132" s="61" t="str">
        <f>IFERROR(__xludf.DUMMYFUNCTION("INDIRECT(""'收支紀錄'!P""&amp;TO_TEXT(ROW()-$C$72))"),"")</f>
        <v/>
      </c>
      <c r="Q2132" s="61" t="str">
        <f>IFERROR(__xludf.DUMMYFUNCTION("INDIRECT(""'收支紀錄'!Q""&amp;TO_TEXT(ROW()-$C$72))"),"")</f>
        <v/>
      </c>
      <c r="R2132" s="61" t="str">
        <f>IFERROR(__xludf.DUMMYFUNCTION("INDIRECT(""'收支紀錄'!R""&amp;TO_TEXT(ROW()-$C$72))"),"")</f>
        <v/>
      </c>
      <c r="S2132" s="61" t="str">
        <f>IFERROR(__xludf.DUMMYFUNCTION("INDIRECT(""'收支紀錄'!S""&amp;TO_TEXT(ROW()-$C$72))"),"")</f>
        <v/>
      </c>
      <c r="T2132" s="61" t="str">
        <f>IFERROR(__xludf.DUMMYFUNCTION("INDIRECT(""'收支紀錄'!T""&amp;TO_TEXT(ROW()-$C$72))"),"")</f>
        <v/>
      </c>
      <c r="U2132" s="62" t="str">
        <f>IFERROR(__xludf.DUMMYFUNCTION("IF(T2132=""是"",TEXTJOIN("""", TRUE, ""$"", TO_TEXT(C2132), S2132),"""")"),"")</f>
        <v/>
      </c>
    </row>
    <row r="2133">
      <c r="A2133" s="58" t="str">
        <f>IFERROR(__xludf.DUMMYFUNCTION("INDIRECT(""'收支紀錄'!A""&amp;TO_TEXT(ROW()-$C$72))"),"")</f>
        <v/>
      </c>
      <c r="B2133" s="59" t="str">
        <f>IFERROR(__xludf.DUMMYFUNCTION("IF(ISBLANK(D2133), """", IF(ISDATE(D2133), D2133, IF(D2133=""今天"", A2133, IF(D2133=""昨天 (-1 day)"", A2133-1, IF(D2133=""前天 (-2 days)"", A2133-2, IF(D2133=""明天 (+1 day)"", A2133+1, DATE(LEFT(D2133,4), MID(D2133,5,2), RIGHT(D2133,2))))))))"),"")</f>
        <v/>
      </c>
      <c r="C2133" s="60" t="str">
        <f>IFERROR(__xludf.DUMMYFUNCTION("INDIRECT(""'收支紀錄'!C""&amp;TO_TEXT(ROW()-$C$72))"),"")</f>
        <v/>
      </c>
      <c r="D2133" s="63" t="str">
        <f>IFERROR(__xludf.DUMMYFUNCTION("INDIRECT(""'收支紀錄'!D""&amp;TO_TEXT(ROW()-$C$72))"),"")</f>
        <v/>
      </c>
      <c r="E2133" s="61" t="str">
        <f>IFERROR(__xludf.DUMMYFUNCTION("INDIRECT(""'收支紀錄'!E""&amp;TO_TEXT(ROW()-$C$72))"),"")</f>
        <v/>
      </c>
      <c r="F2133" s="61" t="str">
        <f>IFERROR(__xludf.DUMMYFUNCTION("INDIRECT(""'收支紀錄'!F""&amp;TO_TEXT(ROW()-$C$72))"),"")</f>
        <v/>
      </c>
      <c r="G2133" s="61" t="str">
        <f>IFERROR(__xludf.DUMMYFUNCTION("INDIRECT(""'收支紀錄'!G""&amp;TO_TEXT(ROW()-$C$72))"),"")</f>
        <v/>
      </c>
      <c r="H2133" s="61" t="str">
        <f>IFERROR(__xludf.DUMMYFUNCTION("INDIRECT(""'收支紀錄'!H""&amp;TO_TEXT(ROW()-$C$72))"),"")</f>
        <v/>
      </c>
      <c r="I2133" s="61" t="str">
        <f>IFERROR(__xludf.DUMMYFUNCTION("INDIRECT(""'收支紀錄'!I""&amp;TO_TEXT(ROW()-$C$72))"),"")</f>
        <v/>
      </c>
      <c r="J2133" s="61" t="str">
        <f>IFERROR(__xludf.DUMMYFUNCTION("INDIRECT(""'收支紀錄'!J""&amp;TO_TEXT(ROW()-$C$72))"),"")</f>
        <v/>
      </c>
      <c r="K2133" s="61" t="str">
        <f>IFERROR(__xludf.DUMMYFUNCTION("INDIRECT(""'收支紀錄'!K""&amp;TO_TEXT(ROW()-$C$72))"),"")</f>
        <v/>
      </c>
      <c r="L2133" s="61" t="str">
        <f>IFERROR(__xludf.DUMMYFUNCTION("INDIRECT(""'收支紀錄'!L""&amp;TO_TEXT(ROW()-$C$72))"),"")</f>
        <v/>
      </c>
      <c r="M2133" s="61" t="str">
        <f>IFERROR(__xludf.DUMMYFUNCTION("INDIRECT(""'收支紀錄'!M""&amp;TO_TEXT(ROW()-$C$72))"),"")</f>
        <v/>
      </c>
      <c r="N2133" s="61" t="str">
        <f>IFERROR(__xludf.DUMMYFUNCTION("INDIRECT(""'收支紀錄'!N""&amp;TO_TEXT(ROW()-$C$72))"),"")</f>
        <v/>
      </c>
      <c r="O2133" s="61" t="str">
        <f>IFERROR(__xludf.DUMMYFUNCTION("INDIRECT(""'收支紀錄'!O""&amp;TO_TEXT(ROW()-$C$72))"),"")</f>
        <v/>
      </c>
      <c r="P2133" s="61" t="str">
        <f>IFERROR(__xludf.DUMMYFUNCTION("INDIRECT(""'收支紀錄'!P""&amp;TO_TEXT(ROW()-$C$72))"),"")</f>
        <v/>
      </c>
      <c r="Q2133" s="61" t="str">
        <f>IFERROR(__xludf.DUMMYFUNCTION("INDIRECT(""'收支紀錄'!Q""&amp;TO_TEXT(ROW()-$C$72))"),"")</f>
        <v/>
      </c>
      <c r="R2133" s="61" t="str">
        <f>IFERROR(__xludf.DUMMYFUNCTION("INDIRECT(""'收支紀錄'!R""&amp;TO_TEXT(ROW()-$C$72))"),"")</f>
        <v/>
      </c>
      <c r="S2133" s="61" t="str">
        <f>IFERROR(__xludf.DUMMYFUNCTION("INDIRECT(""'收支紀錄'!S""&amp;TO_TEXT(ROW()-$C$72))"),"")</f>
        <v/>
      </c>
      <c r="T2133" s="61" t="str">
        <f>IFERROR(__xludf.DUMMYFUNCTION("INDIRECT(""'收支紀錄'!T""&amp;TO_TEXT(ROW()-$C$72))"),"")</f>
        <v/>
      </c>
      <c r="U2133" s="62" t="str">
        <f>IFERROR(__xludf.DUMMYFUNCTION("IF(T2133=""是"",TEXTJOIN("""", TRUE, ""$"", TO_TEXT(C2133), S2133),"""")"),"")</f>
        <v/>
      </c>
    </row>
    <row r="2134">
      <c r="A2134" s="58" t="str">
        <f>IFERROR(__xludf.DUMMYFUNCTION("INDIRECT(""'收支紀錄'!A""&amp;TO_TEXT(ROW()-$C$72))"),"")</f>
        <v/>
      </c>
      <c r="B2134" s="59" t="str">
        <f>IFERROR(__xludf.DUMMYFUNCTION("IF(ISBLANK(D2134), """", IF(ISDATE(D2134), D2134, IF(D2134=""今天"", A2134, IF(D2134=""昨天 (-1 day)"", A2134-1, IF(D2134=""前天 (-2 days)"", A2134-2, IF(D2134=""明天 (+1 day)"", A2134+1, DATE(LEFT(D2134,4), MID(D2134,5,2), RIGHT(D2134,2))))))))"),"")</f>
        <v/>
      </c>
      <c r="C2134" s="60" t="str">
        <f>IFERROR(__xludf.DUMMYFUNCTION("INDIRECT(""'收支紀錄'!C""&amp;TO_TEXT(ROW()-$C$72))"),"")</f>
        <v/>
      </c>
      <c r="D2134" s="63" t="str">
        <f>IFERROR(__xludf.DUMMYFUNCTION("INDIRECT(""'收支紀錄'!D""&amp;TO_TEXT(ROW()-$C$72))"),"")</f>
        <v/>
      </c>
      <c r="E2134" s="61" t="str">
        <f>IFERROR(__xludf.DUMMYFUNCTION("INDIRECT(""'收支紀錄'!E""&amp;TO_TEXT(ROW()-$C$72))"),"")</f>
        <v/>
      </c>
      <c r="F2134" s="61" t="str">
        <f>IFERROR(__xludf.DUMMYFUNCTION("INDIRECT(""'收支紀錄'!F""&amp;TO_TEXT(ROW()-$C$72))"),"")</f>
        <v/>
      </c>
      <c r="G2134" s="61" t="str">
        <f>IFERROR(__xludf.DUMMYFUNCTION("INDIRECT(""'收支紀錄'!G""&amp;TO_TEXT(ROW()-$C$72))"),"")</f>
        <v/>
      </c>
      <c r="H2134" s="61" t="str">
        <f>IFERROR(__xludf.DUMMYFUNCTION("INDIRECT(""'收支紀錄'!H""&amp;TO_TEXT(ROW()-$C$72))"),"")</f>
        <v/>
      </c>
      <c r="I2134" s="61" t="str">
        <f>IFERROR(__xludf.DUMMYFUNCTION("INDIRECT(""'收支紀錄'!I""&amp;TO_TEXT(ROW()-$C$72))"),"")</f>
        <v/>
      </c>
      <c r="J2134" s="61" t="str">
        <f>IFERROR(__xludf.DUMMYFUNCTION("INDIRECT(""'收支紀錄'!J""&amp;TO_TEXT(ROW()-$C$72))"),"")</f>
        <v/>
      </c>
      <c r="K2134" s="61" t="str">
        <f>IFERROR(__xludf.DUMMYFUNCTION("INDIRECT(""'收支紀錄'!K""&amp;TO_TEXT(ROW()-$C$72))"),"")</f>
        <v/>
      </c>
      <c r="L2134" s="61" t="str">
        <f>IFERROR(__xludf.DUMMYFUNCTION("INDIRECT(""'收支紀錄'!L""&amp;TO_TEXT(ROW()-$C$72))"),"")</f>
        <v/>
      </c>
      <c r="M2134" s="61" t="str">
        <f>IFERROR(__xludf.DUMMYFUNCTION("INDIRECT(""'收支紀錄'!M""&amp;TO_TEXT(ROW()-$C$72))"),"")</f>
        <v/>
      </c>
      <c r="N2134" s="61" t="str">
        <f>IFERROR(__xludf.DUMMYFUNCTION("INDIRECT(""'收支紀錄'!N""&amp;TO_TEXT(ROW()-$C$72))"),"")</f>
        <v/>
      </c>
      <c r="O2134" s="61" t="str">
        <f>IFERROR(__xludf.DUMMYFUNCTION("INDIRECT(""'收支紀錄'!O""&amp;TO_TEXT(ROW()-$C$72))"),"")</f>
        <v/>
      </c>
      <c r="P2134" s="61" t="str">
        <f>IFERROR(__xludf.DUMMYFUNCTION("INDIRECT(""'收支紀錄'!P""&amp;TO_TEXT(ROW()-$C$72))"),"")</f>
        <v/>
      </c>
      <c r="Q2134" s="61" t="str">
        <f>IFERROR(__xludf.DUMMYFUNCTION("INDIRECT(""'收支紀錄'!Q""&amp;TO_TEXT(ROW()-$C$72))"),"")</f>
        <v/>
      </c>
      <c r="R2134" s="61" t="str">
        <f>IFERROR(__xludf.DUMMYFUNCTION("INDIRECT(""'收支紀錄'!R""&amp;TO_TEXT(ROW()-$C$72))"),"")</f>
        <v/>
      </c>
      <c r="S2134" s="61" t="str">
        <f>IFERROR(__xludf.DUMMYFUNCTION("INDIRECT(""'收支紀錄'!S""&amp;TO_TEXT(ROW()-$C$72))"),"")</f>
        <v/>
      </c>
      <c r="T2134" s="61" t="str">
        <f>IFERROR(__xludf.DUMMYFUNCTION("INDIRECT(""'收支紀錄'!T""&amp;TO_TEXT(ROW()-$C$72))"),"")</f>
        <v/>
      </c>
      <c r="U2134" s="62" t="str">
        <f>IFERROR(__xludf.DUMMYFUNCTION("IF(T2134=""是"",TEXTJOIN("""", TRUE, ""$"", TO_TEXT(C2134), S2134),"""")"),"")</f>
        <v/>
      </c>
    </row>
    <row r="2135">
      <c r="A2135" s="58" t="str">
        <f>IFERROR(__xludf.DUMMYFUNCTION("INDIRECT(""'收支紀錄'!A""&amp;TO_TEXT(ROW()-$C$72))"),"")</f>
        <v/>
      </c>
      <c r="B2135" s="59" t="str">
        <f>IFERROR(__xludf.DUMMYFUNCTION("IF(ISBLANK(D2135), """", IF(ISDATE(D2135), D2135, IF(D2135=""今天"", A2135, IF(D2135=""昨天 (-1 day)"", A2135-1, IF(D2135=""前天 (-2 days)"", A2135-2, IF(D2135=""明天 (+1 day)"", A2135+1, DATE(LEFT(D2135,4), MID(D2135,5,2), RIGHT(D2135,2))))))))"),"")</f>
        <v/>
      </c>
      <c r="C2135" s="60" t="str">
        <f>IFERROR(__xludf.DUMMYFUNCTION("INDIRECT(""'收支紀錄'!C""&amp;TO_TEXT(ROW()-$C$72))"),"")</f>
        <v/>
      </c>
      <c r="D2135" s="63" t="str">
        <f>IFERROR(__xludf.DUMMYFUNCTION("INDIRECT(""'收支紀錄'!D""&amp;TO_TEXT(ROW()-$C$72))"),"")</f>
        <v/>
      </c>
      <c r="E2135" s="61" t="str">
        <f>IFERROR(__xludf.DUMMYFUNCTION("INDIRECT(""'收支紀錄'!E""&amp;TO_TEXT(ROW()-$C$72))"),"")</f>
        <v/>
      </c>
      <c r="F2135" s="61" t="str">
        <f>IFERROR(__xludf.DUMMYFUNCTION("INDIRECT(""'收支紀錄'!F""&amp;TO_TEXT(ROW()-$C$72))"),"")</f>
        <v/>
      </c>
      <c r="G2135" s="61" t="str">
        <f>IFERROR(__xludf.DUMMYFUNCTION("INDIRECT(""'收支紀錄'!G""&amp;TO_TEXT(ROW()-$C$72))"),"")</f>
        <v/>
      </c>
      <c r="H2135" s="61" t="str">
        <f>IFERROR(__xludf.DUMMYFUNCTION("INDIRECT(""'收支紀錄'!H""&amp;TO_TEXT(ROW()-$C$72))"),"")</f>
        <v/>
      </c>
      <c r="I2135" s="61" t="str">
        <f>IFERROR(__xludf.DUMMYFUNCTION("INDIRECT(""'收支紀錄'!I""&amp;TO_TEXT(ROW()-$C$72))"),"")</f>
        <v/>
      </c>
      <c r="J2135" s="61" t="str">
        <f>IFERROR(__xludf.DUMMYFUNCTION("INDIRECT(""'收支紀錄'!J""&amp;TO_TEXT(ROW()-$C$72))"),"")</f>
        <v/>
      </c>
      <c r="K2135" s="61" t="str">
        <f>IFERROR(__xludf.DUMMYFUNCTION("INDIRECT(""'收支紀錄'!K""&amp;TO_TEXT(ROW()-$C$72))"),"")</f>
        <v/>
      </c>
      <c r="L2135" s="61" t="str">
        <f>IFERROR(__xludf.DUMMYFUNCTION("INDIRECT(""'收支紀錄'!L""&amp;TO_TEXT(ROW()-$C$72))"),"")</f>
        <v/>
      </c>
      <c r="M2135" s="61" t="str">
        <f>IFERROR(__xludf.DUMMYFUNCTION("INDIRECT(""'收支紀錄'!M""&amp;TO_TEXT(ROW()-$C$72))"),"")</f>
        <v/>
      </c>
      <c r="N2135" s="61" t="str">
        <f>IFERROR(__xludf.DUMMYFUNCTION("INDIRECT(""'收支紀錄'!N""&amp;TO_TEXT(ROW()-$C$72))"),"")</f>
        <v/>
      </c>
      <c r="O2135" s="61" t="str">
        <f>IFERROR(__xludf.DUMMYFUNCTION("INDIRECT(""'收支紀錄'!O""&amp;TO_TEXT(ROW()-$C$72))"),"")</f>
        <v/>
      </c>
      <c r="P2135" s="61" t="str">
        <f>IFERROR(__xludf.DUMMYFUNCTION("INDIRECT(""'收支紀錄'!P""&amp;TO_TEXT(ROW()-$C$72))"),"")</f>
        <v/>
      </c>
      <c r="Q2135" s="61" t="str">
        <f>IFERROR(__xludf.DUMMYFUNCTION("INDIRECT(""'收支紀錄'!Q""&amp;TO_TEXT(ROW()-$C$72))"),"")</f>
        <v/>
      </c>
      <c r="R2135" s="61" t="str">
        <f>IFERROR(__xludf.DUMMYFUNCTION("INDIRECT(""'收支紀錄'!R""&amp;TO_TEXT(ROW()-$C$72))"),"")</f>
        <v/>
      </c>
      <c r="S2135" s="61" t="str">
        <f>IFERROR(__xludf.DUMMYFUNCTION("INDIRECT(""'收支紀錄'!S""&amp;TO_TEXT(ROW()-$C$72))"),"")</f>
        <v/>
      </c>
      <c r="T2135" s="61" t="str">
        <f>IFERROR(__xludf.DUMMYFUNCTION("INDIRECT(""'收支紀錄'!T""&amp;TO_TEXT(ROW()-$C$72))"),"")</f>
        <v/>
      </c>
      <c r="U2135" s="62" t="str">
        <f>IFERROR(__xludf.DUMMYFUNCTION("IF(T2135=""是"",TEXTJOIN("""", TRUE, ""$"", TO_TEXT(C2135), S2135),"""")"),"")</f>
        <v/>
      </c>
    </row>
    <row r="2136">
      <c r="A2136" s="58" t="str">
        <f>IFERROR(__xludf.DUMMYFUNCTION("INDIRECT(""'收支紀錄'!A""&amp;TO_TEXT(ROW()-$C$72))"),"")</f>
        <v/>
      </c>
      <c r="B2136" s="59" t="str">
        <f>IFERROR(__xludf.DUMMYFUNCTION("IF(ISBLANK(D2136), """", IF(ISDATE(D2136), D2136, IF(D2136=""今天"", A2136, IF(D2136=""昨天 (-1 day)"", A2136-1, IF(D2136=""前天 (-2 days)"", A2136-2, IF(D2136=""明天 (+1 day)"", A2136+1, DATE(LEFT(D2136,4), MID(D2136,5,2), RIGHT(D2136,2))))))))"),"")</f>
        <v/>
      </c>
      <c r="C2136" s="60" t="str">
        <f>IFERROR(__xludf.DUMMYFUNCTION("INDIRECT(""'收支紀錄'!C""&amp;TO_TEXT(ROW()-$C$72))"),"")</f>
        <v/>
      </c>
      <c r="D2136" s="63" t="str">
        <f>IFERROR(__xludf.DUMMYFUNCTION("INDIRECT(""'收支紀錄'!D""&amp;TO_TEXT(ROW()-$C$72))"),"")</f>
        <v/>
      </c>
      <c r="E2136" s="61" t="str">
        <f>IFERROR(__xludf.DUMMYFUNCTION("INDIRECT(""'收支紀錄'!E""&amp;TO_TEXT(ROW()-$C$72))"),"")</f>
        <v/>
      </c>
      <c r="F2136" s="61" t="str">
        <f>IFERROR(__xludf.DUMMYFUNCTION("INDIRECT(""'收支紀錄'!F""&amp;TO_TEXT(ROW()-$C$72))"),"")</f>
        <v/>
      </c>
      <c r="G2136" s="61" t="str">
        <f>IFERROR(__xludf.DUMMYFUNCTION("INDIRECT(""'收支紀錄'!G""&amp;TO_TEXT(ROW()-$C$72))"),"")</f>
        <v/>
      </c>
      <c r="H2136" s="61" t="str">
        <f>IFERROR(__xludf.DUMMYFUNCTION("INDIRECT(""'收支紀錄'!H""&amp;TO_TEXT(ROW()-$C$72))"),"")</f>
        <v/>
      </c>
      <c r="I2136" s="61" t="str">
        <f>IFERROR(__xludf.DUMMYFUNCTION("INDIRECT(""'收支紀錄'!I""&amp;TO_TEXT(ROW()-$C$72))"),"")</f>
        <v/>
      </c>
      <c r="J2136" s="61" t="str">
        <f>IFERROR(__xludf.DUMMYFUNCTION("INDIRECT(""'收支紀錄'!J""&amp;TO_TEXT(ROW()-$C$72))"),"")</f>
        <v/>
      </c>
      <c r="K2136" s="61" t="str">
        <f>IFERROR(__xludf.DUMMYFUNCTION("INDIRECT(""'收支紀錄'!K""&amp;TO_TEXT(ROW()-$C$72))"),"")</f>
        <v/>
      </c>
      <c r="L2136" s="61" t="str">
        <f>IFERROR(__xludf.DUMMYFUNCTION("INDIRECT(""'收支紀錄'!L""&amp;TO_TEXT(ROW()-$C$72))"),"")</f>
        <v/>
      </c>
      <c r="M2136" s="61" t="str">
        <f>IFERROR(__xludf.DUMMYFUNCTION("INDIRECT(""'收支紀錄'!M""&amp;TO_TEXT(ROW()-$C$72))"),"")</f>
        <v/>
      </c>
      <c r="N2136" s="61" t="str">
        <f>IFERROR(__xludf.DUMMYFUNCTION("INDIRECT(""'收支紀錄'!N""&amp;TO_TEXT(ROW()-$C$72))"),"")</f>
        <v/>
      </c>
      <c r="O2136" s="61" t="str">
        <f>IFERROR(__xludf.DUMMYFUNCTION("INDIRECT(""'收支紀錄'!O""&amp;TO_TEXT(ROW()-$C$72))"),"")</f>
        <v/>
      </c>
      <c r="P2136" s="61" t="str">
        <f>IFERROR(__xludf.DUMMYFUNCTION("INDIRECT(""'收支紀錄'!P""&amp;TO_TEXT(ROW()-$C$72))"),"")</f>
        <v/>
      </c>
      <c r="Q2136" s="61" t="str">
        <f>IFERROR(__xludf.DUMMYFUNCTION("INDIRECT(""'收支紀錄'!Q""&amp;TO_TEXT(ROW()-$C$72))"),"")</f>
        <v/>
      </c>
      <c r="R2136" s="61" t="str">
        <f>IFERROR(__xludf.DUMMYFUNCTION("INDIRECT(""'收支紀錄'!R""&amp;TO_TEXT(ROW()-$C$72))"),"")</f>
        <v/>
      </c>
      <c r="S2136" s="61" t="str">
        <f>IFERROR(__xludf.DUMMYFUNCTION("INDIRECT(""'收支紀錄'!S""&amp;TO_TEXT(ROW()-$C$72))"),"")</f>
        <v/>
      </c>
      <c r="T2136" s="61" t="str">
        <f>IFERROR(__xludf.DUMMYFUNCTION("INDIRECT(""'收支紀錄'!T""&amp;TO_TEXT(ROW()-$C$72))"),"")</f>
        <v/>
      </c>
      <c r="U2136" s="62" t="str">
        <f>IFERROR(__xludf.DUMMYFUNCTION("IF(T2136=""是"",TEXTJOIN("""", TRUE, ""$"", TO_TEXT(C2136), S2136),"""")"),"")</f>
        <v/>
      </c>
    </row>
    <row r="2137">
      <c r="A2137" s="58" t="str">
        <f>IFERROR(__xludf.DUMMYFUNCTION("INDIRECT(""'收支紀錄'!A""&amp;TO_TEXT(ROW()-$C$72))"),"")</f>
        <v/>
      </c>
      <c r="B2137" s="59" t="str">
        <f>IFERROR(__xludf.DUMMYFUNCTION("IF(ISBLANK(D2137), """", IF(ISDATE(D2137), D2137, IF(D2137=""今天"", A2137, IF(D2137=""昨天 (-1 day)"", A2137-1, IF(D2137=""前天 (-2 days)"", A2137-2, IF(D2137=""明天 (+1 day)"", A2137+1, DATE(LEFT(D2137,4), MID(D2137,5,2), RIGHT(D2137,2))))))))"),"")</f>
        <v/>
      </c>
      <c r="C2137" s="60" t="str">
        <f>IFERROR(__xludf.DUMMYFUNCTION("INDIRECT(""'收支紀錄'!C""&amp;TO_TEXT(ROW()-$C$72))"),"")</f>
        <v/>
      </c>
      <c r="D2137" s="63" t="str">
        <f>IFERROR(__xludf.DUMMYFUNCTION("INDIRECT(""'收支紀錄'!D""&amp;TO_TEXT(ROW()-$C$72))"),"")</f>
        <v/>
      </c>
      <c r="E2137" s="61" t="str">
        <f>IFERROR(__xludf.DUMMYFUNCTION("INDIRECT(""'收支紀錄'!E""&amp;TO_TEXT(ROW()-$C$72))"),"")</f>
        <v/>
      </c>
      <c r="F2137" s="61" t="str">
        <f>IFERROR(__xludf.DUMMYFUNCTION("INDIRECT(""'收支紀錄'!F""&amp;TO_TEXT(ROW()-$C$72))"),"")</f>
        <v/>
      </c>
      <c r="G2137" s="61" t="str">
        <f>IFERROR(__xludf.DUMMYFUNCTION("INDIRECT(""'收支紀錄'!G""&amp;TO_TEXT(ROW()-$C$72))"),"")</f>
        <v/>
      </c>
      <c r="H2137" s="61" t="str">
        <f>IFERROR(__xludf.DUMMYFUNCTION("INDIRECT(""'收支紀錄'!H""&amp;TO_TEXT(ROW()-$C$72))"),"")</f>
        <v/>
      </c>
      <c r="I2137" s="61" t="str">
        <f>IFERROR(__xludf.DUMMYFUNCTION("INDIRECT(""'收支紀錄'!I""&amp;TO_TEXT(ROW()-$C$72))"),"")</f>
        <v/>
      </c>
      <c r="J2137" s="61" t="str">
        <f>IFERROR(__xludf.DUMMYFUNCTION("INDIRECT(""'收支紀錄'!J""&amp;TO_TEXT(ROW()-$C$72))"),"")</f>
        <v/>
      </c>
      <c r="K2137" s="61" t="str">
        <f>IFERROR(__xludf.DUMMYFUNCTION("INDIRECT(""'收支紀錄'!K""&amp;TO_TEXT(ROW()-$C$72))"),"")</f>
        <v/>
      </c>
      <c r="L2137" s="61" t="str">
        <f>IFERROR(__xludf.DUMMYFUNCTION("INDIRECT(""'收支紀錄'!L""&amp;TO_TEXT(ROW()-$C$72))"),"")</f>
        <v/>
      </c>
      <c r="M2137" s="61" t="str">
        <f>IFERROR(__xludf.DUMMYFUNCTION("INDIRECT(""'收支紀錄'!M""&amp;TO_TEXT(ROW()-$C$72))"),"")</f>
        <v/>
      </c>
      <c r="N2137" s="61" t="str">
        <f>IFERROR(__xludf.DUMMYFUNCTION("INDIRECT(""'收支紀錄'!N""&amp;TO_TEXT(ROW()-$C$72))"),"")</f>
        <v/>
      </c>
      <c r="O2137" s="61" t="str">
        <f>IFERROR(__xludf.DUMMYFUNCTION("INDIRECT(""'收支紀錄'!O""&amp;TO_TEXT(ROW()-$C$72))"),"")</f>
        <v/>
      </c>
      <c r="P2137" s="61" t="str">
        <f>IFERROR(__xludf.DUMMYFUNCTION("INDIRECT(""'收支紀錄'!P""&amp;TO_TEXT(ROW()-$C$72))"),"")</f>
        <v/>
      </c>
      <c r="Q2137" s="61" t="str">
        <f>IFERROR(__xludf.DUMMYFUNCTION("INDIRECT(""'收支紀錄'!Q""&amp;TO_TEXT(ROW()-$C$72))"),"")</f>
        <v/>
      </c>
      <c r="R2137" s="61" t="str">
        <f>IFERROR(__xludf.DUMMYFUNCTION("INDIRECT(""'收支紀錄'!R""&amp;TO_TEXT(ROW()-$C$72))"),"")</f>
        <v/>
      </c>
      <c r="S2137" s="61" t="str">
        <f>IFERROR(__xludf.DUMMYFUNCTION("INDIRECT(""'收支紀錄'!S""&amp;TO_TEXT(ROW()-$C$72))"),"")</f>
        <v/>
      </c>
      <c r="T2137" s="61" t="str">
        <f>IFERROR(__xludf.DUMMYFUNCTION("INDIRECT(""'收支紀錄'!T""&amp;TO_TEXT(ROW()-$C$72))"),"")</f>
        <v/>
      </c>
      <c r="U2137" s="62" t="str">
        <f>IFERROR(__xludf.DUMMYFUNCTION("IF(T2137=""是"",TEXTJOIN("""", TRUE, ""$"", TO_TEXT(C2137), S2137),"""")"),"")</f>
        <v/>
      </c>
    </row>
    <row r="2138">
      <c r="A2138" s="58" t="str">
        <f>IFERROR(__xludf.DUMMYFUNCTION("INDIRECT(""'收支紀錄'!A""&amp;TO_TEXT(ROW()-$C$72))"),"")</f>
        <v/>
      </c>
      <c r="B2138" s="59" t="str">
        <f>IFERROR(__xludf.DUMMYFUNCTION("IF(ISBLANK(D2138), """", IF(ISDATE(D2138), D2138, IF(D2138=""今天"", A2138, IF(D2138=""昨天 (-1 day)"", A2138-1, IF(D2138=""前天 (-2 days)"", A2138-2, IF(D2138=""明天 (+1 day)"", A2138+1, DATE(LEFT(D2138,4), MID(D2138,5,2), RIGHT(D2138,2))))))))"),"")</f>
        <v/>
      </c>
      <c r="C2138" s="60" t="str">
        <f>IFERROR(__xludf.DUMMYFUNCTION("INDIRECT(""'收支紀錄'!C""&amp;TO_TEXT(ROW()-$C$72))"),"")</f>
        <v/>
      </c>
      <c r="D2138" s="63" t="str">
        <f>IFERROR(__xludf.DUMMYFUNCTION("INDIRECT(""'收支紀錄'!D""&amp;TO_TEXT(ROW()-$C$72))"),"")</f>
        <v/>
      </c>
      <c r="E2138" s="61" t="str">
        <f>IFERROR(__xludf.DUMMYFUNCTION("INDIRECT(""'收支紀錄'!E""&amp;TO_TEXT(ROW()-$C$72))"),"")</f>
        <v/>
      </c>
      <c r="F2138" s="61" t="str">
        <f>IFERROR(__xludf.DUMMYFUNCTION("INDIRECT(""'收支紀錄'!F""&amp;TO_TEXT(ROW()-$C$72))"),"")</f>
        <v/>
      </c>
      <c r="G2138" s="61" t="str">
        <f>IFERROR(__xludf.DUMMYFUNCTION("INDIRECT(""'收支紀錄'!G""&amp;TO_TEXT(ROW()-$C$72))"),"")</f>
        <v/>
      </c>
      <c r="H2138" s="61" t="str">
        <f>IFERROR(__xludf.DUMMYFUNCTION("INDIRECT(""'收支紀錄'!H""&amp;TO_TEXT(ROW()-$C$72))"),"")</f>
        <v/>
      </c>
      <c r="I2138" s="61" t="str">
        <f>IFERROR(__xludf.DUMMYFUNCTION("INDIRECT(""'收支紀錄'!I""&amp;TO_TEXT(ROW()-$C$72))"),"")</f>
        <v/>
      </c>
      <c r="J2138" s="61" t="str">
        <f>IFERROR(__xludf.DUMMYFUNCTION("INDIRECT(""'收支紀錄'!J""&amp;TO_TEXT(ROW()-$C$72))"),"")</f>
        <v/>
      </c>
      <c r="K2138" s="61" t="str">
        <f>IFERROR(__xludf.DUMMYFUNCTION("INDIRECT(""'收支紀錄'!K""&amp;TO_TEXT(ROW()-$C$72))"),"")</f>
        <v/>
      </c>
      <c r="L2138" s="61" t="str">
        <f>IFERROR(__xludf.DUMMYFUNCTION("INDIRECT(""'收支紀錄'!L""&amp;TO_TEXT(ROW()-$C$72))"),"")</f>
        <v/>
      </c>
      <c r="M2138" s="61" t="str">
        <f>IFERROR(__xludf.DUMMYFUNCTION("INDIRECT(""'收支紀錄'!M""&amp;TO_TEXT(ROW()-$C$72))"),"")</f>
        <v/>
      </c>
      <c r="N2138" s="61" t="str">
        <f>IFERROR(__xludf.DUMMYFUNCTION("INDIRECT(""'收支紀錄'!N""&amp;TO_TEXT(ROW()-$C$72))"),"")</f>
        <v/>
      </c>
      <c r="O2138" s="61" t="str">
        <f>IFERROR(__xludf.DUMMYFUNCTION("INDIRECT(""'收支紀錄'!O""&amp;TO_TEXT(ROW()-$C$72))"),"")</f>
        <v/>
      </c>
      <c r="P2138" s="61" t="str">
        <f>IFERROR(__xludf.DUMMYFUNCTION("INDIRECT(""'收支紀錄'!P""&amp;TO_TEXT(ROW()-$C$72))"),"")</f>
        <v/>
      </c>
      <c r="Q2138" s="61" t="str">
        <f>IFERROR(__xludf.DUMMYFUNCTION("INDIRECT(""'收支紀錄'!Q""&amp;TO_TEXT(ROW()-$C$72))"),"")</f>
        <v/>
      </c>
      <c r="R2138" s="61" t="str">
        <f>IFERROR(__xludf.DUMMYFUNCTION("INDIRECT(""'收支紀錄'!R""&amp;TO_TEXT(ROW()-$C$72))"),"")</f>
        <v/>
      </c>
      <c r="S2138" s="61" t="str">
        <f>IFERROR(__xludf.DUMMYFUNCTION("INDIRECT(""'收支紀錄'!S""&amp;TO_TEXT(ROW()-$C$72))"),"")</f>
        <v/>
      </c>
      <c r="T2138" s="61" t="str">
        <f>IFERROR(__xludf.DUMMYFUNCTION("INDIRECT(""'收支紀錄'!T""&amp;TO_TEXT(ROW()-$C$72))"),"")</f>
        <v/>
      </c>
      <c r="U2138" s="62" t="str">
        <f>IFERROR(__xludf.DUMMYFUNCTION("IF(T2138=""是"",TEXTJOIN("""", TRUE, ""$"", TO_TEXT(C2138), S2138),"""")"),"")</f>
        <v/>
      </c>
    </row>
    <row r="2139">
      <c r="A2139" s="58" t="str">
        <f>IFERROR(__xludf.DUMMYFUNCTION("INDIRECT(""'收支紀錄'!A""&amp;TO_TEXT(ROW()-$C$72))"),"")</f>
        <v/>
      </c>
      <c r="B2139" s="59" t="str">
        <f>IFERROR(__xludf.DUMMYFUNCTION("IF(ISBLANK(D2139), """", IF(ISDATE(D2139), D2139, IF(D2139=""今天"", A2139, IF(D2139=""昨天 (-1 day)"", A2139-1, IF(D2139=""前天 (-2 days)"", A2139-2, IF(D2139=""明天 (+1 day)"", A2139+1, DATE(LEFT(D2139,4), MID(D2139,5,2), RIGHT(D2139,2))))))))"),"")</f>
        <v/>
      </c>
      <c r="C2139" s="60" t="str">
        <f>IFERROR(__xludf.DUMMYFUNCTION("INDIRECT(""'收支紀錄'!C""&amp;TO_TEXT(ROW()-$C$72))"),"")</f>
        <v/>
      </c>
      <c r="D2139" s="63" t="str">
        <f>IFERROR(__xludf.DUMMYFUNCTION("INDIRECT(""'收支紀錄'!D""&amp;TO_TEXT(ROW()-$C$72))"),"")</f>
        <v/>
      </c>
      <c r="E2139" s="61" t="str">
        <f>IFERROR(__xludf.DUMMYFUNCTION("INDIRECT(""'收支紀錄'!E""&amp;TO_TEXT(ROW()-$C$72))"),"")</f>
        <v/>
      </c>
      <c r="F2139" s="61" t="str">
        <f>IFERROR(__xludf.DUMMYFUNCTION("INDIRECT(""'收支紀錄'!F""&amp;TO_TEXT(ROW()-$C$72))"),"")</f>
        <v/>
      </c>
      <c r="G2139" s="61" t="str">
        <f>IFERROR(__xludf.DUMMYFUNCTION("INDIRECT(""'收支紀錄'!G""&amp;TO_TEXT(ROW()-$C$72))"),"")</f>
        <v/>
      </c>
      <c r="H2139" s="61" t="str">
        <f>IFERROR(__xludf.DUMMYFUNCTION("INDIRECT(""'收支紀錄'!H""&amp;TO_TEXT(ROW()-$C$72))"),"")</f>
        <v/>
      </c>
      <c r="I2139" s="61" t="str">
        <f>IFERROR(__xludf.DUMMYFUNCTION("INDIRECT(""'收支紀錄'!I""&amp;TO_TEXT(ROW()-$C$72))"),"")</f>
        <v/>
      </c>
      <c r="J2139" s="61" t="str">
        <f>IFERROR(__xludf.DUMMYFUNCTION("INDIRECT(""'收支紀錄'!J""&amp;TO_TEXT(ROW()-$C$72))"),"")</f>
        <v/>
      </c>
      <c r="K2139" s="61" t="str">
        <f>IFERROR(__xludf.DUMMYFUNCTION("INDIRECT(""'收支紀錄'!K""&amp;TO_TEXT(ROW()-$C$72))"),"")</f>
        <v/>
      </c>
      <c r="L2139" s="61" t="str">
        <f>IFERROR(__xludf.DUMMYFUNCTION("INDIRECT(""'收支紀錄'!L""&amp;TO_TEXT(ROW()-$C$72))"),"")</f>
        <v/>
      </c>
      <c r="M2139" s="61" t="str">
        <f>IFERROR(__xludf.DUMMYFUNCTION("INDIRECT(""'收支紀錄'!M""&amp;TO_TEXT(ROW()-$C$72))"),"")</f>
        <v/>
      </c>
      <c r="N2139" s="61" t="str">
        <f>IFERROR(__xludf.DUMMYFUNCTION("INDIRECT(""'收支紀錄'!N""&amp;TO_TEXT(ROW()-$C$72))"),"")</f>
        <v/>
      </c>
      <c r="O2139" s="61" t="str">
        <f>IFERROR(__xludf.DUMMYFUNCTION("INDIRECT(""'收支紀錄'!O""&amp;TO_TEXT(ROW()-$C$72))"),"")</f>
        <v/>
      </c>
      <c r="P2139" s="61" t="str">
        <f>IFERROR(__xludf.DUMMYFUNCTION("INDIRECT(""'收支紀錄'!P""&amp;TO_TEXT(ROW()-$C$72))"),"")</f>
        <v/>
      </c>
      <c r="Q2139" s="61" t="str">
        <f>IFERROR(__xludf.DUMMYFUNCTION("INDIRECT(""'收支紀錄'!Q""&amp;TO_TEXT(ROW()-$C$72))"),"")</f>
        <v/>
      </c>
      <c r="R2139" s="61" t="str">
        <f>IFERROR(__xludf.DUMMYFUNCTION("INDIRECT(""'收支紀錄'!R""&amp;TO_TEXT(ROW()-$C$72))"),"")</f>
        <v/>
      </c>
      <c r="S2139" s="61" t="str">
        <f>IFERROR(__xludf.DUMMYFUNCTION("INDIRECT(""'收支紀錄'!S""&amp;TO_TEXT(ROW()-$C$72))"),"")</f>
        <v/>
      </c>
      <c r="T2139" s="61" t="str">
        <f>IFERROR(__xludf.DUMMYFUNCTION("INDIRECT(""'收支紀錄'!T""&amp;TO_TEXT(ROW()-$C$72))"),"")</f>
        <v/>
      </c>
      <c r="U2139" s="62" t="str">
        <f>IFERROR(__xludf.DUMMYFUNCTION("IF(T2139=""是"",TEXTJOIN("""", TRUE, ""$"", TO_TEXT(C2139), S2139),"""")"),"")</f>
        <v/>
      </c>
    </row>
    <row r="2140">
      <c r="A2140" s="58" t="str">
        <f>IFERROR(__xludf.DUMMYFUNCTION("INDIRECT(""'收支紀錄'!A""&amp;TO_TEXT(ROW()-$C$72))"),"")</f>
        <v/>
      </c>
      <c r="B2140" s="59" t="str">
        <f>IFERROR(__xludf.DUMMYFUNCTION("IF(ISBLANK(D2140), """", IF(ISDATE(D2140), D2140, IF(D2140=""今天"", A2140, IF(D2140=""昨天 (-1 day)"", A2140-1, IF(D2140=""前天 (-2 days)"", A2140-2, IF(D2140=""明天 (+1 day)"", A2140+1, DATE(LEFT(D2140,4), MID(D2140,5,2), RIGHT(D2140,2))))))))"),"")</f>
        <v/>
      </c>
      <c r="C2140" s="60" t="str">
        <f>IFERROR(__xludf.DUMMYFUNCTION("INDIRECT(""'收支紀錄'!C""&amp;TO_TEXT(ROW()-$C$72))"),"")</f>
        <v/>
      </c>
      <c r="D2140" s="63" t="str">
        <f>IFERROR(__xludf.DUMMYFUNCTION("INDIRECT(""'收支紀錄'!D""&amp;TO_TEXT(ROW()-$C$72))"),"")</f>
        <v/>
      </c>
      <c r="E2140" s="61" t="str">
        <f>IFERROR(__xludf.DUMMYFUNCTION("INDIRECT(""'收支紀錄'!E""&amp;TO_TEXT(ROW()-$C$72))"),"")</f>
        <v/>
      </c>
      <c r="F2140" s="61" t="str">
        <f>IFERROR(__xludf.DUMMYFUNCTION("INDIRECT(""'收支紀錄'!F""&amp;TO_TEXT(ROW()-$C$72))"),"")</f>
        <v/>
      </c>
      <c r="G2140" s="61" t="str">
        <f>IFERROR(__xludf.DUMMYFUNCTION("INDIRECT(""'收支紀錄'!G""&amp;TO_TEXT(ROW()-$C$72))"),"")</f>
        <v/>
      </c>
      <c r="H2140" s="61" t="str">
        <f>IFERROR(__xludf.DUMMYFUNCTION("INDIRECT(""'收支紀錄'!H""&amp;TO_TEXT(ROW()-$C$72))"),"")</f>
        <v/>
      </c>
      <c r="I2140" s="61" t="str">
        <f>IFERROR(__xludf.DUMMYFUNCTION("INDIRECT(""'收支紀錄'!I""&amp;TO_TEXT(ROW()-$C$72))"),"")</f>
        <v/>
      </c>
      <c r="J2140" s="61" t="str">
        <f>IFERROR(__xludf.DUMMYFUNCTION("INDIRECT(""'收支紀錄'!J""&amp;TO_TEXT(ROW()-$C$72))"),"")</f>
        <v/>
      </c>
      <c r="K2140" s="61" t="str">
        <f>IFERROR(__xludf.DUMMYFUNCTION("INDIRECT(""'收支紀錄'!K""&amp;TO_TEXT(ROW()-$C$72))"),"")</f>
        <v/>
      </c>
      <c r="L2140" s="61" t="str">
        <f>IFERROR(__xludf.DUMMYFUNCTION("INDIRECT(""'收支紀錄'!L""&amp;TO_TEXT(ROW()-$C$72))"),"")</f>
        <v/>
      </c>
      <c r="M2140" s="61" t="str">
        <f>IFERROR(__xludf.DUMMYFUNCTION("INDIRECT(""'收支紀錄'!M""&amp;TO_TEXT(ROW()-$C$72))"),"")</f>
        <v/>
      </c>
      <c r="N2140" s="61" t="str">
        <f>IFERROR(__xludf.DUMMYFUNCTION("INDIRECT(""'收支紀錄'!N""&amp;TO_TEXT(ROW()-$C$72))"),"")</f>
        <v/>
      </c>
      <c r="O2140" s="61" t="str">
        <f>IFERROR(__xludf.DUMMYFUNCTION("INDIRECT(""'收支紀錄'!O""&amp;TO_TEXT(ROW()-$C$72))"),"")</f>
        <v/>
      </c>
      <c r="P2140" s="61" t="str">
        <f>IFERROR(__xludf.DUMMYFUNCTION("INDIRECT(""'收支紀錄'!P""&amp;TO_TEXT(ROW()-$C$72))"),"")</f>
        <v/>
      </c>
      <c r="Q2140" s="61" t="str">
        <f>IFERROR(__xludf.DUMMYFUNCTION("INDIRECT(""'收支紀錄'!Q""&amp;TO_TEXT(ROW()-$C$72))"),"")</f>
        <v/>
      </c>
      <c r="R2140" s="61" t="str">
        <f>IFERROR(__xludf.DUMMYFUNCTION("INDIRECT(""'收支紀錄'!R""&amp;TO_TEXT(ROW()-$C$72))"),"")</f>
        <v/>
      </c>
      <c r="S2140" s="61" t="str">
        <f>IFERROR(__xludf.DUMMYFUNCTION("INDIRECT(""'收支紀錄'!S""&amp;TO_TEXT(ROW()-$C$72))"),"")</f>
        <v/>
      </c>
      <c r="T2140" s="61" t="str">
        <f>IFERROR(__xludf.DUMMYFUNCTION("INDIRECT(""'收支紀錄'!T""&amp;TO_TEXT(ROW()-$C$72))"),"")</f>
        <v/>
      </c>
      <c r="U2140" s="62" t="str">
        <f>IFERROR(__xludf.DUMMYFUNCTION("IF(T2140=""是"",TEXTJOIN("""", TRUE, ""$"", TO_TEXT(C2140), S2140),"""")"),"")</f>
        <v/>
      </c>
    </row>
    <row r="2141">
      <c r="A2141" s="58" t="str">
        <f>IFERROR(__xludf.DUMMYFUNCTION("INDIRECT(""'收支紀錄'!A""&amp;TO_TEXT(ROW()-$C$72))"),"")</f>
        <v/>
      </c>
      <c r="B2141" s="59" t="str">
        <f>IFERROR(__xludf.DUMMYFUNCTION("IF(ISBLANK(D2141), """", IF(ISDATE(D2141), D2141, IF(D2141=""今天"", A2141, IF(D2141=""昨天 (-1 day)"", A2141-1, IF(D2141=""前天 (-2 days)"", A2141-2, IF(D2141=""明天 (+1 day)"", A2141+1, DATE(LEFT(D2141,4), MID(D2141,5,2), RIGHT(D2141,2))))))))"),"")</f>
        <v/>
      </c>
      <c r="C2141" s="60" t="str">
        <f>IFERROR(__xludf.DUMMYFUNCTION("INDIRECT(""'收支紀錄'!C""&amp;TO_TEXT(ROW()-$C$72))"),"")</f>
        <v/>
      </c>
      <c r="D2141" s="63" t="str">
        <f>IFERROR(__xludf.DUMMYFUNCTION("INDIRECT(""'收支紀錄'!D""&amp;TO_TEXT(ROW()-$C$72))"),"")</f>
        <v/>
      </c>
      <c r="E2141" s="61" t="str">
        <f>IFERROR(__xludf.DUMMYFUNCTION("INDIRECT(""'收支紀錄'!E""&amp;TO_TEXT(ROW()-$C$72))"),"")</f>
        <v/>
      </c>
      <c r="F2141" s="61" t="str">
        <f>IFERROR(__xludf.DUMMYFUNCTION("INDIRECT(""'收支紀錄'!F""&amp;TO_TEXT(ROW()-$C$72))"),"")</f>
        <v/>
      </c>
      <c r="G2141" s="61" t="str">
        <f>IFERROR(__xludf.DUMMYFUNCTION("INDIRECT(""'收支紀錄'!G""&amp;TO_TEXT(ROW()-$C$72))"),"")</f>
        <v/>
      </c>
      <c r="H2141" s="61" t="str">
        <f>IFERROR(__xludf.DUMMYFUNCTION("INDIRECT(""'收支紀錄'!H""&amp;TO_TEXT(ROW()-$C$72))"),"")</f>
        <v/>
      </c>
      <c r="I2141" s="61" t="str">
        <f>IFERROR(__xludf.DUMMYFUNCTION("INDIRECT(""'收支紀錄'!I""&amp;TO_TEXT(ROW()-$C$72))"),"")</f>
        <v/>
      </c>
      <c r="J2141" s="61" t="str">
        <f>IFERROR(__xludf.DUMMYFUNCTION("INDIRECT(""'收支紀錄'!J""&amp;TO_TEXT(ROW()-$C$72))"),"")</f>
        <v/>
      </c>
      <c r="K2141" s="61" t="str">
        <f>IFERROR(__xludf.DUMMYFUNCTION("INDIRECT(""'收支紀錄'!K""&amp;TO_TEXT(ROW()-$C$72))"),"")</f>
        <v/>
      </c>
      <c r="L2141" s="61" t="str">
        <f>IFERROR(__xludf.DUMMYFUNCTION("INDIRECT(""'收支紀錄'!L""&amp;TO_TEXT(ROW()-$C$72))"),"")</f>
        <v/>
      </c>
      <c r="M2141" s="61" t="str">
        <f>IFERROR(__xludf.DUMMYFUNCTION("INDIRECT(""'收支紀錄'!M""&amp;TO_TEXT(ROW()-$C$72))"),"")</f>
        <v/>
      </c>
      <c r="N2141" s="61" t="str">
        <f>IFERROR(__xludf.DUMMYFUNCTION("INDIRECT(""'收支紀錄'!N""&amp;TO_TEXT(ROW()-$C$72))"),"")</f>
        <v/>
      </c>
      <c r="O2141" s="61" t="str">
        <f>IFERROR(__xludf.DUMMYFUNCTION("INDIRECT(""'收支紀錄'!O""&amp;TO_TEXT(ROW()-$C$72))"),"")</f>
        <v/>
      </c>
      <c r="P2141" s="61" t="str">
        <f>IFERROR(__xludf.DUMMYFUNCTION("INDIRECT(""'收支紀錄'!P""&amp;TO_TEXT(ROW()-$C$72))"),"")</f>
        <v/>
      </c>
      <c r="Q2141" s="61" t="str">
        <f>IFERROR(__xludf.DUMMYFUNCTION("INDIRECT(""'收支紀錄'!Q""&amp;TO_TEXT(ROW()-$C$72))"),"")</f>
        <v/>
      </c>
      <c r="R2141" s="61" t="str">
        <f>IFERROR(__xludf.DUMMYFUNCTION("INDIRECT(""'收支紀錄'!R""&amp;TO_TEXT(ROW()-$C$72))"),"")</f>
        <v/>
      </c>
      <c r="S2141" s="61" t="str">
        <f>IFERROR(__xludf.DUMMYFUNCTION("INDIRECT(""'收支紀錄'!S""&amp;TO_TEXT(ROW()-$C$72))"),"")</f>
        <v/>
      </c>
      <c r="T2141" s="61" t="str">
        <f>IFERROR(__xludf.DUMMYFUNCTION("INDIRECT(""'收支紀錄'!T""&amp;TO_TEXT(ROW()-$C$72))"),"")</f>
        <v/>
      </c>
      <c r="U2141" s="62" t="str">
        <f>IFERROR(__xludf.DUMMYFUNCTION("IF(T2141=""是"",TEXTJOIN("""", TRUE, ""$"", TO_TEXT(C2141), S2141),"""")"),"")</f>
        <v/>
      </c>
    </row>
    <row r="2142">
      <c r="A2142" s="58" t="str">
        <f>IFERROR(__xludf.DUMMYFUNCTION("INDIRECT(""'收支紀錄'!A""&amp;TO_TEXT(ROW()-$C$72))"),"")</f>
        <v/>
      </c>
      <c r="B2142" s="59" t="str">
        <f>IFERROR(__xludf.DUMMYFUNCTION("IF(ISBLANK(D2142), """", IF(ISDATE(D2142), D2142, IF(D2142=""今天"", A2142, IF(D2142=""昨天 (-1 day)"", A2142-1, IF(D2142=""前天 (-2 days)"", A2142-2, IF(D2142=""明天 (+1 day)"", A2142+1, DATE(LEFT(D2142,4), MID(D2142,5,2), RIGHT(D2142,2))))))))"),"")</f>
        <v/>
      </c>
      <c r="C2142" s="60" t="str">
        <f>IFERROR(__xludf.DUMMYFUNCTION("INDIRECT(""'收支紀錄'!C""&amp;TO_TEXT(ROW()-$C$72))"),"")</f>
        <v/>
      </c>
      <c r="D2142" s="63" t="str">
        <f>IFERROR(__xludf.DUMMYFUNCTION("INDIRECT(""'收支紀錄'!D""&amp;TO_TEXT(ROW()-$C$72))"),"")</f>
        <v/>
      </c>
      <c r="E2142" s="61" t="str">
        <f>IFERROR(__xludf.DUMMYFUNCTION("INDIRECT(""'收支紀錄'!E""&amp;TO_TEXT(ROW()-$C$72))"),"")</f>
        <v/>
      </c>
      <c r="F2142" s="61" t="str">
        <f>IFERROR(__xludf.DUMMYFUNCTION("INDIRECT(""'收支紀錄'!F""&amp;TO_TEXT(ROW()-$C$72))"),"")</f>
        <v/>
      </c>
      <c r="G2142" s="61" t="str">
        <f>IFERROR(__xludf.DUMMYFUNCTION("INDIRECT(""'收支紀錄'!G""&amp;TO_TEXT(ROW()-$C$72))"),"")</f>
        <v/>
      </c>
      <c r="H2142" s="61" t="str">
        <f>IFERROR(__xludf.DUMMYFUNCTION("INDIRECT(""'收支紀錄'!H""&amp;TO_TEXT(ROW()-$C$72))"),"")</f>
        <v/>
      </c>
      <c r="I2142" s="61" t="str">
        <f>IFERROR(__xludf.DUMMYFUNCTION("INDIRECT(""'收支紀錄'!I""&amp;TO_TEXT(ROW()-$C$72))"),"")</f>
        <v/>
      </c>
      <c r="J2142" s="61" t="str">
        <f>IFERROR(__xludf.DUMMYFUNCTION("INDIRECT(""'收支紀錄'!J""&amp;TO_TEXT(ROW()-$C$72))"),"")</f>
        <v/>
      </c>
      <c r="K2142" s="61" t="str">
        <f>IFERROR(__xludf.DUMMYFUNCTION("INDIRECT(""'收支紀錄'!K""&amp;TO_TEXT(ROW()-$C$72))"),"")</f>
        <v/>
      </c>
      <c r="L2142" s="61" t="str">
        <f>IFERROR(__xludf.DUMMYFUNCTION("INDIRECT(""'收支紀錄'!L""&amp;TO_TEXT(ROW()-$C$72))"),"")</f>
        <v/>
      </c>
      <c r="M2142" s="61" t="str">
        <f>IFERROR(__xludf.DUMMYFUNCTION("INDIRECT(""'收支紀錄'!M""&amp;TO_TEXT(ROW()-$C$72))"),"")</f>
        <v/>
      </c>
      <c r="N2142" s="61" t="str">
        <f>IFERROR(__xludf.DUMMYFUNCTION("INDIRECT(""'收支紀錄'!N""&amp;TO_TEXT(ROW()-$C$72))"),"")</f>
        <v/>
      </c>
      <c r="O2142" s="61" t="str">
        <f>IFERROR(__xludf.DUMMYFUNCTION("INDIRECT(""'收支紀錄'!O""&amp;TO_TEXT(ROW()-$C$72))"),"")</f>
        <v/>
      </c>
      <c r="P2142" s="61" t="str">
        <f>IFERROR(__xludf.DUMMYFUNCTION("INDIRECT(""'收支紀錄'!P""&amp;TO_TEXT(ROW()-$C$72))"),"")</f>
        <v/>
      </c>
      <c r="Q2142" s="61" t="str">
        <f>IFERROR(__xludf.DUMMYFUNCTION("INDIRECT(""'收支紀錄'!Q""&amp;TO_TEXT(ROW()-$C$72))"),"")</f>
        <v/>
      </c>
      <c r="R2142" s="61" t="str">
        <f>IFERROR(__xludf.DUMMYFUNCTION("INDIRECT(""'收支紀錄'!R""&amp;TO_TEXT(ROW()-$C$72))"),"")</f>
        <v/>
      </c>
      <c r="S2142" s="61" t="str">
        <f>IFERROR(__xludf.DUMMYFUNCTION("INDIRECT(""'收支紀錄'!S""&amp;TO_TEXT(ROW()-$C$72))"),"")</f>
        <v/>
      </c>
      <c r="T2142" s="61" t="str">
        <f>IFERROR(__xludf.DUMMYFUNCTION("INDIRECT(""'收支紀錄'!T""&amp;TO_TEXT(ROW()-$C$72))"),"")</f>
        <v/>
      </c>
      <c r="U2142" s="62" t="str">
        <f>IFERROR(__xludf.DUMMYFUNCTION("IF(T2142=""是"",TEXTJOIN("""", TRUE, ""$"", TO_TEXT(C2142), S2142),"""")"),"")</f>
        <v/>
      </c>
    </row>
    <row r="2143">
      <c r="A2143" s="58" t="str">
        <f>IFERROR(__xludf.DUMMYFUNCTION("INDIRECT(""'收支紀錄'!A""&amp;TO_TEXT(ROW()-$C$72))"),"")</f>
        <v/>
      </c>
      <c r="B2143" s="59" t="str">
        <f>IFERROR(__xludf.DUMMYFUNCTION("IF(ISBLANK(D2143), """", IF(ISDATE(D2143), D2143, IF(D2143=""今天"", A2143, IF(D2143=""昨天 (-1 day)"", A2143-1, IF(D2143=""前天 (-2 days)"", A2143-2, IF(D2143=""明天 (+1 day)"", A2143+1, DATE(LEFT(D2143,4), MID(D2143,5,2), RIGHT(D2143,2))))))))"),"")</f>
        <v/>
      </c>
      <c r="C2143" s="60" t="str">
        <f>IFERROR(__xludf.DUMMYFUNCTION("INDIRECT(""'收支紀錄'!C""&amp;TO_TEXT(ROW()-$C$72))"),"")</f>
        <v/>
      </c>
      <c r="D2143" s="63" t="str">
        <f>IFERROR(__xludf.DUMMYFUNCTION("INDIRECT(""'收支紀錄'!D""&amp;TO_TEXT(ROW()-$C$72))"),"")</f>
        <v/>
      </c>
      <c r="E2143" s="61" t="str">
        <f>IFERROR(__xludf.DUMMYFUNCTION("INDIRECT(""'收支紀錄'!E""&amp;TO_TEXT(ROW()-$C$72))"),"")</f>
        <v/>
      </c>
      <c r="F2143" s="61" t="str">
        <f>IFERROR(__xludf.DUMMYFUNCTION("INDIRECT(""'收支紀錄'!F""&amp;TO_TEXT(ROW()-$C$72))"),"")</f>
        <v/>
      </c>
      <c r="G2143" s="61" t="str">
        <f>IFERROR(__xludf.DUMMYFUNCTION("INDIRECT(""'收支紀錄'!G""&amp;TO_TEXT(ROW()-$C$72))"),"")</f>
        <v/>
      </c>
      <c r="H2143" s="61" t="str">
        <f>IFERROR(__xludf.DUMMYFUNCTION("INDIRECT(""'收支紀錄'!H""&amp;TO_TEXT(ROW()-$C$72))"),"")</f>
        <v/>
      </c>
      <c r="I2143" s="61" t="str">
        <f>IFERROR(__xludf.DUMMYFUNCTION("INDIRECT(""'收支紀錄'!I""&amp;TO_TEXT(ROW()-$C$72))"),"")</f>
        <v/>
      </c>
      <c r="J2143" s="61" t="str">
        <f>IFERROR(__xludf.DUMMYFUNCTION("INDIRECT(""'收支紀錄'!J""&amp;TO_TEXT(ROW()-$C$72))"),"")</f>
        <v/>
      </c>
      <c r="K2143" s="61" t="str">
        <f>IFERROR(__xludf.DUMMYFUNCTION("INDIRECT(""'收支紀錄'!K""&amp;TO_TEXT(ROW()-$C$72))"),"")</f>
        <v/>
      </c>
      <c r="L2143" s="61" t="str">
        <f>IFERROR(__xludf.DUMMYFUNCTION("INDIRECT(""'收支紀錄'!L""&amp;TO_TEXT(ROW()-$C$72))"),"")</f>
        <v/>
      </c>
      <c r="M2143" s="61" t="str">
        <f>IFERROR(__xludf.DUMMYFUNCTION("INDIRECT(""'收支紀錄'!M""&amp;TO_TEXT(ROW()-$C$72))"),"")</f>
        <v/>
      </c>
      <c r="N2143" s="61" t="str">
        <f>IFERROR(__xludf.DUMMYFUNCTION("INDIRECT(""'收支紀錄'!N""&amp;TO_TEXT(ROW()-$C$72))"),"")</f>
        <v/>
      </c>
      <c r="O2143" s="61" t="str">
        <f>IFERROR(__xludf.DUMMYFUNCTION("INDIRECT(""'收支紀錄'!O""&amp;TO_TEXT(ROW()-$C$72))"),"")</f>
        <v/>
      </c>
      <c r="P2143" s="61" t="str">
        <f>IFERROR(__xludf.DUMMYFUNCTION("INDIRECT(""'收支紀錄'!P""&amp;TO_TEXT(ROW()-$C$72))"),"")</f>
        <v/>
      </c>
      <c r="Q2143" s="61" t="str">
        <f>IFERROR(__xludf.DUMMYFUNCTION("INDIRECT(""'收支紀錄'!Q""&amp;TO_TEXT(ROW()-$C$72))"),"")</f>
        <v/>
      </c>
      <c r="R2143" s="61" t="str">
        <f>IFERROR(__xludf.DUMMYFUNCTION("INDIRECT(""'收支紀錄'!R""&amp;TO_TEXT(ROW()-$C$72))"),"")</f>
        <v/>
      </c>
      <c r="S2143" s="61" t="str">
        <f>IFERROR(__xludf.DUMMYFUNCTION("INDIRECT(""'收支紀錄'!S""&amp;TO_TEXT(ROW()-$C$72))"),"")</f>
        <v/>
      </c>
      <c r="T2143" s="61" t="str">
        <f>IFERROR(__xludf.DUMMYFUNCTION("INDIRECT(""'收支紀錄'!T""&amp;TO_TEXT(ROW()-$C$72))"),"")</f>
        <v/>
      </c>
      <c r="U2143" s="62" t="str">
        <f>IFERROR(__xludf.DUMMYFUNCTION("IF(T2143=""是"",TEXTJOIN("""", TRUE, ""$"", TO_TEXT(C2143), S2143),"""")"),"")</f>
        <v/>
      </c>
    </row>
    <row r="2144">
      <c r="A2144" s="58" t="str">
        <f>IFERROR(__xludf.DUMMYFUNCTION("INDIRECT(""'收支紀錄'!A""&amp;TO_TEXT(ROW()-$C$72))"),"")</f>
        <v/>
      </c>
      <c r="B2144" s="59" t="str">
        <f>IFERROR(__xludf.DUMMYFUNCTION("IF(ISBLANK(D2144), """", IF(ISDATE(D2144), D2144, IF(D2144=""今天"", A2144, IF(D2144=""昨天 (-1 day)"", A2144-1, IF(D2144=""前天 (-2 days)"", A2144-2, IF(D2144=""明天 (+1 day)"", A2144+1, DATE(LEFT(D2144,4), MID(D2144,5,2), RIGHT(D2144,2))))))))"),"")</f>
        <v/>
      </c>
      <c r="C2144" s="60" t="str">
        <f>IFERROR(__xludf.DUMMYFUNCTION("INDIRECT(""'收支紀錄'!C""&amp;TO_TEXT(ROW()-$C$72))"),"")</f>
        <v/>
      </c>
      <c r="D2144" s="63" t="str">
        <f>IFERROR(__xludf.DUMMYFUNCTION("INDIRECT(""'收支紀錄'!D""&amp;TO_TEXT(ROW()-$C$72))"),"")</f>
        <v/>
      </c>
      <c r="E2144" s="61" t="str">
        <f>IFERROR(__xludf.DUMMYFUNCTION("INDIRECT(""'收支紀錄'!E""&amp;TO_TEXT(ROW()-$C$72))"),"")</f>
        <v/>
      </c>
      <c r="F2144" s="61" t="str">
        <f>IFERROR(__xludf.DUMMYFUNCTION("INDIRECT(""'收支紀錄'!F""&amp;TO_TEXT(ROW()-$C$72))"),"")</f>
        <v/>
      </c>
      <c r="G2144" s="61" t="str">
        <f>IFERROR(__xludf.DUMMYFUNCTION("INDIRECT(""'收支紀錄'!G""&amp;TO_TEXT(ROW()-$C$72))"),"")</f>
        <v/>
      </c>
      <c r="H2144" s="61" t="str">
        <f>IFERROR(__xludf.DUMMYFUNCTION("INDIRECT(""'收支紀錄'!H""&amp;TO_TEXT(ROW()-$C$72))"),"")</f>
        <v/>
      </c>
      <c r="I2144" s="61" t="str">
        <f>IFERROR(__xludf.DUMMYFUNCTION("INDIRECT(""'收支紀錄'!I""&amp;TO_TEXT(ROW()-$C$72))"),"")</f>
        <v/>
      </c>
      <c r="J2144" s="61" t="str">
        <f>IFERROR(__xludf.DUMMYFUNCTION("INDIRECT(""'收支紀錄'!J""&amp;TO_TEXT(ROW()-$C$72))"),"")</f>
        <v/>
      </c>
      <c r="K2144" s="61" t="str">
        <f>IFERROR(__xludf.DUMMYFUNCTION("INDIRECT(""'收支紀錄'!K""&amp;TO_TEXT(ROW()-$C$72))"),"")</f>
        <v/>
      </c>
      <c r="L2144" s="61" t="str">
        <f>IFERROR(__xludf.DUMMYFUNCTION("INDIRECT(""'收支紀錄'!L""&amp;TO_TEXT(ROW()-$C$72))"),"")</f>
        <v/>
      </c>
      <c r="M2144" s="61" t="str">
        <f>IFERROR(__xludf.DUMMYFUNCTION("INDIRECT(""'收支紀錄'!M""&amp;TO_TEXT(ROW()-$C$72))"),"")</f>
        <v/>
      </c>
      <c r="N2144" s="61" t="str">
        <f>IFERROR(__xludf.DUMMYFUNCTION("INDIRECT(""'收支紀錄'!N""&amp;TO_TEXT(ROW()-$C$72))"),"")</f>
        <v/>
      </c>
      <c r="O2144" s="61" t="str">
        <f>IFERROR(__xludf.DUMMYFUNCTION("INDIRECT(""'收支紀錄'!O""&amp;TO_TEXT(ROW()-$C$72))"),"")</f>
        <v/>
      </c>
      <c r="P2144" s="61" t="str">
        <f>IFERROR(__xludf.DUMMYFUNCTION("INDIRECT(""'收支紀錄'!P""&amp;TO_TEXT(ROW()-$C$72))"),"")</f>
        <v/>
      </c>
      <c r="Q2144" s="61" t="str">
        <f>IFERROR(__xludf.DUMMYFUNCTION("INDIRECT(""'收支紀錄'!Q""&amp;TO_TEXT(ROW()-$C$72))"),"")</f>
        <v/>
      </c>
      <c r="R2144" s="61" t="str">
        <f>IFERROR(__xludf.DUMMYFUNCTION("INDIRECT(""'收支紀錄'!R""&amp;TO_TEXT(ROW()-$C$72))"),"")</f>
        <v/>
      </c>
      <c r="S2144" s="61" t="str">
        <f>IFERROR(__xludf.DUMMYFUNCTION("INDIRECT(""'收支紀錄'!S""&amp;TO_TEXT(ROW()-$C$72))"),"")</f>
        <v/>
      </c>
      <c r="T2144" s="61" t="str">
        <f>IFERROR(__xludf.DUMMYFUNCTION("INDIRECT(""'收支紀錄'!T""&amp;TO_TEXT(ROW()-$C$72))"),"")</f>
        <v/>
      </c>
      <c r="U2144" s="62" t="str">
        <f>IFERROR(__xludf.DUMMYFUNCTION("IF(T2144=""是"",TEXTJOIN("""", TRUE, ""$"", TO_TEXT(C2144), S2144),"""")"),"")</f>
        <v/>
      </c>
    </row>
    <row r="2145">
      <c r="A2145" s="58" t="str">
        <f>IFERROR(__xludf.DUMMYFUNCTION("INDIRECT(""'收支紀錄'!A""&amp;TO_TEXT(ROW()-$C$72))"),"")</f>
        <v/>
      </c>
      <c r="B2145" s="59" t="str">
        <f>IFERROR(__xludf.DUMMYFUNCTION("IF(ISBLANK(D2145), """", IF(ISDATE(D2145), D2145, IF(D2145=""今天"", A2145, IF(D2145=""昨天 (-1 day)"", A2145-1, IF(D2145=""前天 (-2 days)"", A2145-2, IF(D2145=""明天 (+1 day)"", A2145+1, DATE(LEFT(D2145,4), MID(D2145,5,2), RIGHT(D2145,2))))))))"),"")</f>
        <v/>
      </c>
      <c r="C2145" s="60" t="str">
        <f>IFERROR(__xludf.DUMMYFUNCTION("INDIRECT(""'收支紀錄'!C""&amp;TO_TEXT(ROW()-$C$72))"),"")</f>
        <v/>
      </c>
      <c r="D2145" s="63" t="str">
        <f>IFERROR(__xludf.DUMMYFUNCTION("INDIRECT(""'收支紀錄'!D""&amp;TO_TEXT(ROW()-$C$72))"),"")</f>
        <v/>
      </c>
      <c r="E2145" s="61" t="str">
        <f>IFERROR(__xludf.DUMMYFUNCTION("INDIRECT(""'收支紀錄'!E""&amp;TO_TEXT(ROW()-$C$72))"),"")</f>
        <v/>
      </c>
      <c r="F2145" s="61" t="str">
        <f>IFERROR(__xludf.DUMMYFUNCTION("INDIRECT(""'收支紀錄'!F""&amp;TO_TEXT(ROW()-$C$72))"),"")</f>
        <v/>
      </c>
      <c r="G2145" s="61" t="str">
        <f>IFERROR(__xludf.DUMMYFUNCTION("INDIRECT(""'收支紀錄'!G""&amp;TO_TEXT(ROW()-$C$72))"),"")</f>
        <v/>
      </c>
      <c r="H2145" s="61" t="str">
        <f>IFERROR(__xludf.DUMMYFUNCTION("INDIRECT(""'收支紀錄'!H""&amp;TO_TEXT(ROW()-$C$72))"),"")</f>
        <v/>
      </c>
      <c r="I2145" s="61" t="str">
        <f>IFERROR(__xludf.DUMMYFUNCTION("INDIRECT(""'收支紀錄'!I""&amp;TO_TEXT(ROW()-$C$72))"),"")</f>
        <v/>
      </c>
      <c r="J2145" s="61" t="str">
        <f>IFERROR(__xludf.DUMMYFUNCTION("INDIRECT(""'收支紀錄'!J""&amp;TO_TEXT(ROW()-$C$72))"),"")</f>
        <v/>
      </c>
      <c r="K2145" s="61" t="str">
        <f>IFERROR(__xludf.DUMMYFUNCTION("INDIRECT(""'收支紀錄'!K""&amp;TO_TEXT(ROW()-$C$72))"),"")</f>
        <v/>
      </c>
      <c r="L2145" s="61" t="str">
        <f>IFERROR(__xludf.DUMMYFUNCTION("INDIRECT(""'收支紀錄'!L""&amp;TO_TEXT(ROW()-$C$72))"),"")</f>
        <v/>
      </c>
      <c r="M2145" s="61" t="str">
        <f>IFERROR(__xludf.DUMMYFUNCTION("INDIRECT(""'收支紀錄'!M""&amp;TO_TEXT(ROW()-$C$72))"),"")</f>
        <v/>
      </c>
      <c r="N2145" s="61" t="str">
        <f>IFERROR(__xludf.DUMMYFUNCTION("INDIRECT(""'收支紀錄'!N""&amp;TO_TEXT(ROW()-$C$72))"),"")</f>
        <v/>
      </c>
      <c r="O2145" s="61" t="str">
        <f>IFERROR(__xludf.DUMMYFUNCTION("INDIRECT(""'收支紀錄'!O""&amp;TO_TEXT(ROW()-$C$72))"),"")</f>
        <v/>
      </c>
      <c r="P2145" s="61" t="str">
        <f>IFERROR(__xludf.DUMMYFUNCTION("INDIRECT(""'收支紀錄'!P""&amp;TO_TEXT(ROW()-$C$72))"),"")</f>
        <v/>
      </c>
      <c r="Q2145" s="61" t="str">
        <f>IFERROR(__xludf.DUMMYFUNCTION("INDIRECT(""'收支紀錄'!Q""&amp;TO_TEXT(ROW()-$C$72))"),"")</f>
        <v/>
      </c>
      <c r="R2145" s="61" t="str">
        <f>IFERROR(__xludf.DUMMYFUNCTION("INDIRECT(""'收支紀錄'!R""&amp;TO_TEXT(ROW()-$C$72))"),"")</f>
        <v/>
      </c>
      <c r="S2145" s="61" t="str">
        <f>IFERROR(__xludf.DUMMYFUNCTION("INDIRECT(""'收支紀錄'!S""&amp;TO_TEXT(ROW()-$C$72))"),"")</f>
        <v/>
      </c>
      <c r="T2145" s="61" t="str">
        <f>IFERROR(__xludf.DUMMYFUNCTION("INDIRECT(""'收支紀錄'!T""&amp;TO_TEXT(ROW()-$C$72))"),"")</f>
        <v/>
      </c>
      <c r="U2145" s="62" t="str">
        <f>IFERROR(__xludf.DUMMYFUNCTION("IF(T2145=""是"",TEXTJOIN("""", TRUE, ""$"", TO_TEXT(C2145), S2145),"""")"),"")</f>
        <v/>
      </c>
    </row>
    <row r="2146">
      <c r="A2146" s="58" t="str">
        <f>IFERROR(__xludf.DUMMYFUNCTION("INDIRECT(""'收支紀錄'!A""&amp;TO_TEXT(ROW()-$C$72))"),"")</f>
        <v/>
      </c>
      <c r="B2146" s="59" t="str">
        <f>IFERROR(__xludf.DUMMYFUNCTION("IF(ISBLANK(D2146), """", IF(ISDATE(D2146), D2146, IF(D2146=""今天"", A2146, IF(D2146=""昨天 (-1 day)"", A2146-1, IF(D2146=""前天 (-2 days)"", A2146-2, IF(D2146=""明天 (+1 day)"", A2146+1, DATE(LEFT(D2146,4), MID(D2146,5,2), RIGHT(D2146,2))))))))"),"")</f>
        <v/>
      </c>
      <c r="C2146" s="60" t="str">
        <f>IFERROR(__xludf.DUMMYFUNCTION("INDIRECT(""'收支紀錄'!C""&amp;TO_TEXT(ROW()-$C$72))"),"")</f>
        <v/>
      </c>
      <c r="D2146" s="63" t="str">
        <f>IFERROR(__xludf.DUMMYFUNCTION("INDIRECT(""'收支紀錄'!D""&amp;TO_TEXT(ROW()-$C$72))"),"")</f>
        <v/>
      </c>
      <c r="E2146" s="61" t="str">
        <f>IFERROR(__xludf.DUMMYFUNCTION("INDIRECT(""'收支紀錄'!E""&amp;TO_TEXT(ROW()-$C$72))"),"")</f>
        <v/>
      </c>
      <c r="F2146" s="61" t="str">
        <f>IFERROR(__xludf.DUMMYFUNCTION("INDIRECT(""'收支紀錄'!F""&amp;TO_TEXT(ROW()-$C$72))"),"")</f>
        <v/>
      </c>
      <c r="G2146" s="61" t="str">
        <f>IFERROR(__xludf.DUMMYFUNCTION("INDIRECT(""'收支紀錄'!G""&amp;TO_TEXT(ROW()-$C$72))"),"")</f>
        <v/>
      </c>
      <c r="H2146" s="61" t="str">
        <f>IFERROR(__xludf.DUMMYFUNCTION("INDIRECT(""'收支紀錄'!H""&amp;TO_TEXT(ROW()-$C$72))"),"")</f>
        <v/>
      </c>
      <c r="I2146" s="61" t="str">
        <f>IFERROR(__xludf.DUMMYFUNCTION("INDIRECT(""'收支紀錄'!I""&amp;TO_TEXT(ROW()-$C$72))"),"")</f>
        <v/>
      </c>
      <c r="J2146" s="61" t="str">
        <f>IFERROR(__xludf.DUMMYFUNCTION("INDIRECT(""'收支紀錄'!J""&amp;TO_TEXT(ROW()-$C$72))"),"")</f>
        <v/>
      </c>
      <c r="K2146" s="61" t="str">
        <f>IFERROR(__xludf.DUMMYFUNCTION("INDIRECT(""'收支紀錄'!K""&amp;TO_TEXT(ROW()-$C$72))"),"")</f>
        <v/>
      </c>
      <c r="L2146" s="61" t="str">
        <f>IFERROR(__xludf.DUMMYFUNCTION("INDIRECT(""'收支紀錄'!L""&amp;TO_TEXT(ROW()-$C$72))"),"")</f>
        <v/>
      </c>
      <c r="M2146" s="61" t="str">
        <f>IFERROR(__xludf.DUMMYFUNCTION("INDIRECT(""'收支紀錄'!M""&amp;TO_TEXT(ROW()-$C$72))"),"")</f>
        <v/>
      </c>
      <c r="N2146" s="61" t="str">
        <f>IFERROR(__xludf.DUMMYFUNCTION("INDIRECT(""'收支紀錄'!N""&amp;TO_TEXT(ROW()-$C$72))"),"")</f>
        <v/>
      </c>
      <c r="O2146" s="61" t="str">
        <f>IFERROR(__xludf.DUMMYFUNCTION("INDIRECT(""'收支紀錄'!O""&amp;TO_TEXT(ROW()-$C$72))"),"")</f>
        <v/>
      </c>
      <c r="P2146" s="61" t="str">
        <f>IFERROR(__xludf.DUMMYFUNCTION("INDIRECT(""'收支紀錄'!P""&amp;TO_TEXT(ROW()-$C$72))"),"")</f>
        <v/>
      </c>
      <c r="Q2146" s="61" t="str">
        <f>IFERROR(__xludf.DUMMYFUNCTION("INDIRECT(""'收支紀錄'!Q""&amp;TO_TEXT(ROW()-$C$72))"),"")</f>
        <v/>
      </c>
      <c r="R2146" s="61" t="str">
        <f>IFERROR(__xludf.DUMMYFUNCTION("INDIRECT(""'收支紀錄'!R""&amp;TO_TEXT(ROW()-$C$72))"),"")</f>
        <v/>
      </c>
      <c r="S2146" s="61" t="str">
        <f>IFERROR(__xludf.DUMMYFUNCTION("INDIRECT(""'收支紀錄'!S""&amp;TO_TEXT(ROW()-$C$72))"),"")</f>
        <v/>
      </c>
      <c r="T2146" s="61" t="str">
        <f>IFERROR(__xludf.DUMMYFUNCTION("INDIRECT(""'收支紀錄'!T""&amp;TO_TEXT(ROW()-$C$72))"),"")</f>
        <v/>
      </c>
      <c r="U2146" s="62" t="str">
        <f>IFERROR(__xludf.DUMMYFUNCTION("IF(T2146=""是"",TEXTJOIN("""", TRUE, ""$"", TO_TEXT(C2146), S2146),"""")"),"")</f>
        <v/>
      </c>
    </row>
    <row r="2147">
      <c r="A2147" s="58" t="str">
        <f>IFERROR(__xludf.DUMMYFUNCTION("INDIRECT(""'收支紀錄'!A""&amp;TO_TEXT(ROW()-$C$72))"),"")</f>
        <v/>
      </c>
      <c r="B2147" s="59" t="str">
        <f>IFERROR(__xludf.DUMMYFUNCTION("IF(ISBLANK(D2147), """", IF(ISDATE(D2147), D2147, IF(D2147=""今天"", A2147, IF(D2147=""昨天 (-1 day)"", A2147-1, IF(D2147=""前天 (-2 days)"", A2147-2, IF(D2147=""明天 (+1 day)"", A2147+1, DATE(LEFT(D2147,4), MID(D2147,5,2), RIGHT(D2147,2))))))))"),"")</f>
        <v/>
      </c>
      <c r="C2147" s="60" t="str">
        <f>IFERROR(__xludf.DUMMYFUNCTION("INDIRECT(""'收支紀錄'!C""&amp;TO_TEXT(ROW()-$C$72))"),"")</f>
        <v/>
      </c>
      <c r="D2147" s="63" t="str">
        <f>IFERROR(__xludf.DUMMYFUNCTION("INDIRECT(""'收支紀錄'!D""&amp;TO_TEXT(ROW()-$C$72))"),"")</f>
        <v/>
      </c>
      <c r="E2147" s="61" t="str">
        <f>IFERROR(__xludf.DUMMYFUNCTION("INDIRECT(""'收支紀錄'!E""&amp;TO_TEXT(ROW()-$C$72))"),"")</f>
        <v/>
      </c>
      <c r="F2147" s="61" t="str">
        <f>IFERROR(__xludf.DUMMYFUNCTION("INDIRECT(""'收支紀錄'!F""&amp;TO_TEXT(ROW()-$C$72))"),"")</f>
        <v/>
      </c>
      <c r="G2147" s="61" t="str">
        <f>IFERROR(__xludf.DUMMYFUNCTION("INDIRECT(""'收支紀錄'!G""&amp;TO_TEXT(ROW()-$C$72))"),"")</f>
        <v/>
      </c>
      <c r="H2147" s="61" t="str">
        <f>IFERROR(__xludf.DUMMYFUNCTION("INDIRECT(""'收支紀錄'!H""&amp;TO_TEXT(ROW()-$C$72))"),"")</f>
        <v/>
      </c>
      <c r="I2147" s="61" t="str">
        <f>IFERROR(__xludf.DUMMYFUNCTION("INDIRECT(""'收支紀錄'!I""&amp;TO_TEXT(ROW()-$C$72))"),"")</f>
        <v/>
      </c>
      <c r="J2147" s="61" t="str">
        <f>IFERROR(__xludf.DUMMYFUNCTION("INDIRECT(""'收支紀錄'!J""&amp;TO_TEXT(ROW()-$C$72))"),"")</f>
        <v/>
      </c>
      <c r="K2147" s="61" t="str">
        <f>IFERROR(__xludf.DUMMYFUNCTION("INDIRECT(""'收支紀錄'!K""&amp;TO_TEXT(ROW()-$C$72))"),"")</f>
        <v/>
      </c>
      <c r="L2147" s="61" t="str">
        <f>IFERROR(__xludf.DUMMYFUNCTION("INDIRECT(""'收支紀錄'!L""&amp;TO_TEXT(ROW()-$C$72))"),"")</f>
        <v/>
      </c>
      <c r="M2147" s="61" t="str">
        <f>IFERROR(__xludf.DUMMYFUNCTION("INDIRECT(""'收支紀錄'!M""&amp;TO_TEXT(ROW()-$C$72))"),"")</f>
        <v/>
      </c>
      <c r="N2147" s="61" t="str">
        <f>IFERROR(__xludf.DUMMYFUNCTION("INDIRECT(""'收支紀錄'!N""&amp;TO_TEXT(ROW()-$C$72))"),"")</f>
        <v/>
      </c>
      <c r="O2147" s="61" t="str">
        <f>IFERROR(__xludf.DUMMYFUNCTION("INDIRECT(""'收支紀錄'!O""&amp;TO_TEXT(ROW()-$C$72))"),"")</f>
        <v/>
      </c>
      <c r="P2147" s="61" t="str">
        <f>IFERROR(__xludf.DUMMYFUNCTION("INDIRECT(""'收支紀錄'!P""&amp;TO_TEXT(ROW()-$C$72))"),"")</f>
        <v/>
      </c>
      <c r="Q2147" s="61" t="str">
        <f>IFERROR(__xludf.DUMMYFUNCTION("INDIRECT(""'收支紀錄'!Q""&amp;TO_TEXT(ROW()-$C$72))"),"")</f>
        <v/>
      </c>
      <c r="R2147" s="61" t="str">
        <f>IFERROR(__xludf.DUMMYFUNCTION("INDIRECT(""'收支紀錄'!R""&amp;TO_TEXT(ROW()-$C$72))"),"")</f>
        <v/>
      </c>
      <c r="S2147" s="61" t="str">
        <f>IFERROR(__xludf.DUMMYFUNCTION("INDIRECT(""'收支紀錄'!S""&amp;TO_TEXT(ROW()-$C$72))"),"")</f>
        <v/>
      </c>
      <c r="T2147" s="61" t="str">
        <f>IFERROR(__xludf.DUMMYFUNCTION("INDIRECT(""'收支紀錄'!T""&amp;TO_TEXT(ROW()-$C$72))"),"")</f>
        <v/>
      </c>
      <c r="U2147" s="62" t="str">
        <f>IFERROR(__xludf.DUMMYFUNCTION("IF(T2147=""是"",TEXTJOIN("""", TRUE, ""$"", TO_TEXT(C2147), S2147),"""")"),"")</f>
        <v/>
      </c>
    </row>
    <row r="2148">
      <c r="A2148" s="58" t="str">
        <f>IFERROR(__xludf.DUMMYFUNCTION("INDIRECT(""'收支紀錄'!A""&amp;TO_TEXT(ROW()-$C$72))"),"")</f>
        <v/>
      </c>
      <c r="B2148" s="59" t="str">
        <f>IFERROR(__xludf.DUMMYFUNCTION("IF(ISBLANK(D2148), """", IF(ISDATE(D2148), D2148, IF(D2148=""今天"", A2148, IF(D2148=""昨天 (-1 day)"", A2148-1, IF(D2148=""前天 (-2 days)"", A2148-2, IF(D2148=""明天 (+1 day)"", A2148+1, DATE(LEFT(D2148,4), MID(D2148,5,2), RIGHT(D2148,2))))))))"),"")</f>
        <v/>
      </c>
      <c r="C2148" s="60" t="str">
        <f>IFERROR(__xludf.DUMMYFUNCTION("INDIRECT(""'收支紀錄'!C""&amp;TO_TEXT(ROW()-$C$72))"),"")</f>
        <v/>
      </c>
      <c r="D2148" s="63" t="str">
        <f>IFERROR(__xludf.DUMMYFUNCTION("INDIRECT(""'收支紀錄'!D""&amp;TO_TEXT(ROW()-$C$72))"),"")</f>
        <v/>
      </c>
      <c r="E2148" s="61" t="str">
        <f>IFERROR(__xludf.DUMMYFUNCTION("INDIRECT(""'收支紀錄'!E""&amp;TO_TEXT(ROW()-$C$72))"),"")</f>
        <v/>
      </c>
      <c r="F2148" s="61" t="str">
        <f>IFERROR(__xludf.DUMMYFUNCTION("INDIRECT(""'收支紀錄'!F""&amp;TO_TEXT(ROW()-$C$72))"),"")</f>
        <v/>
      </c>
      <c r="G2148" s="61" t="str">
        <f>IFERROR(__xludf.DUMMYFUNCTION("INDIRECT(""'收支紀錄'!G""&amp;TO_TEXT(ROW()-$C$72))"),"")</f>
        <v/>
      </c>
      <c r="H2148" s="61" t="str">
        <f>IFERROR(__xludf.DUMMYFUNCTION("INDIRECT(""'收支紀錄'!H""&amp;TO_TEXT(ROW()-$C$72))"),"")</f>
        <v/>
      </c>
      <c r="I2148" s="61" t="str">
        <f>IFERROR(__xludf.DUMMYFUNCTION("INDIRECT(""'收支紀錄'!I""&amp;TO_TEXT(ROW()-$C$72))"),"")</f>
        <v/>
      </c>
      <c r="J2148" s="61" t="str">
        <f>IFERROR(__xludf.DUMMYFUNCTION("INDIRECT(""'收支紀錄'!J""&amp;TO_TEXT(ROW()-$C$72))"),"")</f>
        <v/>
      </c>
      <c r="K2148" s="61" t="str">
        <f>IFERROR(__xludf.DUMMYFUNCTION("INDIRECT(""'收支紀錄'!K""&amp;TO_TEXT(ROW()-$C$72))"),"")</f>
        <v/>
      </c>
      <c r="L2148" s="61" t="str">
        <f>IFERROR(__xludf.DUMMYFUNCTION("INDIRECT(""'收支紀錄'!L""&amp;TO_TEXT(ROW()-$C$72))"),"")</f>
        <v/>
      </c>
      <c r="M2148" s="61" t="str">
        <f>IFERROR(__xludf.DUMMYFUNCTION("INDIRECT(""'收支紀錄'!M""&amp;TO_TEXT(ROW()-$C$72))"),"")</f>
        <v/>
      </c>
      <c r="N2148" s="61" t="str">
        <f>IFERROR(__xludf.DUMMYFUNCTION("INDIRECT(""'收支紀錄'!N""&amp;TO_TEXT(ROW()-$C$72))"),"")</f>
        <v/>
      </c>
      <c r="O2148" s="61" t="str">
        <f>IFERROR(__xludf.DUMMYFUNCTION("INDIRECT(""'收支紀錄'!O""&amp;TO_TEXT(ROW()-$C$72))"),"")</f>
        <v/>
      </c>
      <c r="P2148" s="61" t="str">
        <f>IFERROR(__xludf.DUMMYFUNCTION("INDIRECT(""'收支紀錄'!P""&amp;TO_TEXT(ROW()-$C$72))"),"")</f>
        <v/>
      </c>
      <c r="Q2148" s="61" t="str">
        <f>IFERROR(__xludf.DUMMYFUNCTION("INDIRECT(""'收支紀錄'!Q""&amp;TO_TEXT(ROW()-$C$72))"),"")</f>
        <v/>
      </c>
      <c r="R2148" s="61" t="str">
        <f>IFERROR(__xludf.DUMMYFUNCTION("INDIRECT(""'收支紀錄'!R""&amp;TO_TEXT(ROW()-$C$72))"),"")</f>
        <v/>
      </c>
      <c r="S2148" s="61" t="str">
        <f>IFERROR(__xludf.DUMMYFUNCTION("INDIRECT(""'收支紀錄'!S""&amp;TO_TEXT(ROW()-$C$72))"),"")</f>
        <v/>
      </c>
      <c r="T2148" s="61" t="str">
        <f>IFERROR(__xludf.DUMMYFUNCTION("INDIRECT(""'收支紀錄'!T""&amp;TO_TEXT(ROW()-$C$72))"),"")</f>
        <v/>
      </c>
      <c r="U2148" s="62" t="str">
        <f>IFERROR(__xludf.DUMMYFUNCTION("IF(T2148=""是"",TEXTJOIN("""", TRUE, ""$"", TO_TEXT(C2148), S2148),"""")"),"")</f>
        <v/>
      </c>
    </row>
    <row r="2149">
      <c r="A2149" s="58" t="str">
        <f>IFERROR(__xludf.DUMMYFUNCTION("INDIRECT(""'收支紀錄'!A""&amp;TO_TEXT(ROW()-$C$72))"),"")</f>
        <v/>
      </c>
      <c r="B2149" s="59" t="str">
        <f>IFERROR(__xludf.DUMMYFUNCTION("IF(ISBLANK(D2149), """", IF(ISDATE(D2149), D2149, IF(D2149=""今天"", A2149, IF(D2149=""昨天 (-1 day)"", A2149-1, IF(D2149=""前天 (-2 days)"", A2149-2, IF(D2149=""明天 (+1 day)"", A2149+1, DATE(LEFT(D2149,4), MID(D2149,5,2), RIGHT(D2149,2))))))))"),"")</f>
        <v/>
      </c>
      <c r="C2149" s="60" t="str">
        <f>IFERROR(__xludf.DUMMYFUNCTION("INDIRECT(""'收支紀錄'!C""&amp;TO_TEXT(ROW()-$C$72))"),"")</f>
        <v/>
      </c>
      <c r="D2149" s="63" t="str">
        <f>IFERROR(__xludf.DUMMYFUNCTION("INDIRECT(""'收支紀錄'!D""&amp;TO_TEXT(ROW()-$C$72))"),"")</f>
        <v/>
      </c>
      <c r="E2149" s="61" t="str">
        <f>IFERROR(__xludf.DUMMYFUNCTION("INDIRECT(""'收支紀錄'!E""&amp;TO_TEXT(ROW()-$C$72))"),"")</f>
        <v/>
      </c>
      <c r="F2149" s="61" t="str">
        <f>IFERROR(__xludf.DUMMYFUNCTION("INDIRECT(""'收支紀錄'!F""&amp;TO_TEXT(ROW()-$C$72))"),"")</f>
        <v/>
      </c>
      <c r="G2149" s="61" t="str">
        <f>IFERROR(__xludf.DUMMYFUNCTION("INDIRECT(""'收支紀錄'!G""&amp;TO_TEXT(ROW()-$C$72))"),"")</f>
        <v/>
      </c>
      <c r="H2149" s="61" t="str">
        <f>IFERROR(__xludf.DUMMYFUNCTION("INDIRECT(""'收支紀錄'!H""&amp;TO_TEXT(ROW()-$C$72))"),"")</f>
        <v/>
      </c>
      <c r="I2149" s="61" t="str">
        <f>IFERROR(__xludf.DUMMYFUNCTION("INDIRECT(""'收支紀錄'!I""&amp;TO_TEXT(ROW()-$C$72))"),"")</f>
        <v/>
      </c>
      <c r="J2149" s="61" t="str">
        <f>IFERROR(__xludf.DUMMYFUNCTION("INDIRECT(""'收支紀錄'!J""&amp;TO_TEXT(ROW()-$C$72))"),"")</f>
        <v/>
      </c>
      <c r="K2149" s="61" t="str">
        <f>IFERROR(__xludf.DUMMYFUNCTION("INDIRECT(""'收支紀錄'!K""&amp;TO_TEXT(ROW()-$C$72))"),"")</f>
        <v/>
      </c>
      <c r="L2149" s="61" t="str">
        <f>IFERROR(__xludf.DUMMYFUNCTION("INDIRECT(""'收支紀錄'!L""&amp;TO_TEXT(ROW()-$C$72))"),"")</f>
        <v/>
      </c>
      <c r="M2149" s="61" t="str">
        <f>IFERROR(__xludf.DUMMYFUNCTION("INDIRECT(""'收支紀錄'!M""&amp;TO_TEXT(ROW()-$C$72))"),"")</f>
        <v/>
      </c>
      <c r="N2149" s="61" t="str">
        <f>IFERROR(__xludf.DUMMYFUNCTION("INDIRECT(""'收支紀錄'!N""&amp;TO_TEXT(ROW()-$C$72))"),"")</f>
        <v/>
      </c>
      <c r="O2149" s="61" t="str">
        <f>IFERROR(__xludf.DUMMYFUNCTION("INDIRECT(""'收支紀錄'!O""&amp;TO_TEXT(ROW()-$C$72))"),"")</f>
        <v/>
      </c>
      <c r="P2149" s="61" t="str">
        <f>IFERROR(__xludf.DUMMYFUNCTION("INDIRECT(""'收支紀錄'!P""&amp;TO_TEXT(ROW()-$C$72))"),"")</f>
        <v/>
      </c>
      <c r="Q2149" s="61" t="str">
        <f>IFERROR(__xludf.DUMMYFUNCTION("INDIRECT(""'收支紀錄'!Q""&amp;TO_TEXT(ROW()-$C$72))"),"")</f>
        <v/>
      </c>
      <c r="R2149" s="61" t="str">
        <f>IFERROR(__xludf.DUMMYFUNCTION("INDIRECT(""'收支紀錄'!R""&amp;TO_TEXT(ROW()-$C$72))"),"")</f>
        <v/>
      </c>
      <c r="S2149" s="61" t="str">
        <f>IFERROR(__xludf.DUMMYFUNCTION("INDIRECT(""'收支紀錄'!S""&amp;TO_TEXT(ROW()-$C$72))"),"")</f>
        <v/>
      </c>
      <c r="T2149" s="61" t="str">
        <f>IFERROR(__xludf.DUMMYFUNCTION("INDIRECT(""'收支紀錄'!T""&amp;TO_TEXT(ROW()-$C$72))"),"")</f>
        <v/>
      </c>
      <c r="U2149" s="62" t="str">
        <f>IFERROR(__xludf.DUMMYFUNCTION("IF(T2149=""是"",TEXTJOIN("""", TRUE, ""$"", TO_TEXT(C2149), S2149),"""")"),"")</f>
        <v/>
      </c>
    </row>
    <row r="2150">
      <c r="A2150" s="58" t="str">
        <f>IFERROR(__xludf.DUMMYFUNCTION("INDIRECT(""'收支紀錄'!A""&amp;TO_TEXT(ROW()-$C$72))"),"")</f>
        <v/>
      </c>
      <c r="B2150" s="59" t="str">
        <f>IFERROR(__xludf.DUMMYFUNCTION("IF(ISBLANK(D2150), """", IF(ISDATE(D2150), D2150, IF(D2150=""今天"", A2150, IF(D2150=""昨天 (-1 day)"", A2150-1, IF(D2150=""前天 (-2 days)"", A2150-2, IF(D2150=""明天 (+1 day)"", A2150+1, DATE(LEFT(D2150,4), MID(D2150,5,2), RIGHT(D2150,2))))))))"),"")</f>
        <v/>
      </c>
      <c r="C2150" s="60" t="str">
        <f>IFERROR(__xludf.DUMMYFUNCTION("INDIRECT(""'收支紀錄'!C""&amp;TO_TEXT(ROW()-$C$72))"),"")</f>
        <v/>
      </c>
      <c r="D2150" s="63" t="str">
        <f>IFERROR(__xludf.DUMMYFUNCTION("INDIRECT(""'收支紀錄'!D""&amp;TO_TEXT(ROW()-$C$72))"),"")</f>
        <v/>
      </c>
      <c r="E2150" s="61" t="str">
        <f>IFERROR(__xludf.DUMMYFUNCTION("INDIRECT(""'收支紀錄'!E""&amp;TO_TEXT(ROW()-$C$72))"),"")</f>
        <v/>
      </c>
      <c r="F2150" s="61" t="str">
        <f>IFERROR(__xludf.DUMMYFUNCTION("INDIRECT(""'收支紀錄'!F""&amp;TO_TEXT(ROW()-$C$72))"),"")</f>
        <v/>
      </c>
      <c r="G2150" s="61" t="str">
        <f>IFERROR(__xludf.DUMMYFUNCTION("INDIRECT(""'收支紀錄'!G""&amp;TO_TEXT(ROW()-$C$72))"),"")</f>
        <v/>
      </c>
      <c r="H2150" s="61" t="str">
        <f>IFERROR(__xludf.DUMMYFUNCTION("INDIRECT(""'收支紀錄'!H""&amp;TO_TEXT(ROW()-$C$72))"),"")</f>
        <v/>
      </c>
      <c r="I2150" s="61" t="str">
        <f>IFERROR(__xludf.DUMMYFUNCTION("INDIRECT(""'收支紀錄'!I""&amp;TO_TEXT(ROW()-$C$72))"),"")</f>
        <v/>
      </c>
      <c r="J2150" s="61" t="str">
        <f>IFERROR(__xludf.DUMMYFUNCTION("INDIRECT(""'收支紀錄'!J""&amp;TO_TEXT(ROW()-$C$72))"),"")</f>
        <v/>
      </c>
      <c r="K2150" s="61" t="str">
        <f>IFERROR(__xludf.DUMMYFUNCTION("INDIRECT(""'收支紀錄'!K""&amp;TO_TEXT(ROW()-$C$72))"),"")</f>
        <v/>
      </c>
      <c r="L2150" s="61" t="str">
        <f>IFERROR(__xludf.DUMMYFUNCTION("INDIRECT(""'收支紀錄'!L""&amp;TO_TEXT(ROW()-$C$72))"),"")</f>
        <v/>
      </c>
      <c r="M2150" s="61" t="str">
        <f>IFERROR(__xludf.DUMMYFUNCTION("INDIRECT(""'收支紀錄'!M""&amp;TO_TEXT(ROW()-$C$72))"),"")</f>
        <v/>
      </c>
      <c r="N2150" s="61" t="str">
        <f>IFERROR(__xludf.DUMMYFUNCTION("INDIRECT(""'收支紀錄'!N""&amp;TO_TEXT(ROW()-$C$72))"),"")</f>
        <v/>
      </c>
      <c r="O2150" s="61" t="str">
        <f>IFERROR(__xludf.DUMMYFUNCTION("INDIRECT(""'收支紀錄'!O""&amp;TO_TEXT(ROW()-$C$72))"),"")</f>
        <v/>
      </c>
      <c r="P2150" s="61" t="str">
        <f>IFERROR(__xludf.DUMMYFUNCTION("INDIRECT(""'收支紀錄'!P""&amp;TO_TEXT(ROW()-$C$72))"),"")</f>
        <v/>
      </c>
      <c r="Q2150" s="61" t="str">
        <f>IFERROR(__xludf.DUMMYFUNCTION("INDIRECT(""'收支紀錄'!Q""&amp;TO_TEXT(ROW()-$C$72))"),"")</f>
        <v/>
      </c>
      <c r="R2150" s="61" t="str">
        <f>IFERROR(__xludf.DUMMYFUNCTION("INDIRECT(""'收支紀錄'!R""&amp;TO_TEXT(ROW()-$C$72))"),"")</f>
        <v/>
      </c>
      <c r="S2150" s="61" t="str">
        <f>IFERROR(__xludf.DUMMYFUNCTION("INDIRECT(""'收支紀錄'!S""&amp;TO_TEXT(ROW()-$C$72))"),"")</f>
        <v/>
      </c>
      <c r="T2150" s="61" t="str">
        <f>IFERROR(__xludf.DUMMYFUNCTION("INDIRECT(""'收支紀錄'!T""&amp;TO_TEXT(ROW()-$C$72))"),"")</f>
        <v/>
      </c>
      <c r="U2150" s="62" t="str">
        <f>IFERROR(__xludf.DUMMYFUNCTION("IF(T2150=""是"",TEXTJOIN("""", TRUE, ""$"", TO_TEXT(C2150), S2150),"""")"),"")</f>
        <v/>
      </c>
    </row>
    <row r="2151">
      <c r="A2151" s="58" t="str">
        <f>IFERROR(__xludf.DUMMYFUNCTION("INDIRECT(""'收支紀錄'!A""&amp;TO_TEXT(ROW()-$C$72))"),"")</f>
        <v/>
      </c>
      <c r="B2151" s="59" t="str">
        <f>IFERROR(__xludf.DUMMYFUNCTION("IF(ISBLANK(D2151), """", IF(ISDATE(D2151), D2151, IF(D2151=""今天"", A2151, IF(D2151=""昨天 (-1 day)"", A2151-1, IF(D2151=""前天 (-2 days)"", A2151-2, IF(D2151=""明天 (+1 day)"", A2151+1, DATE(LEFT(D2151,4), MID(D2151,5,2), RIGHT(D2151,2))))))))"),"")</f>
        <v/>
      </c>
      <c r="C2151" s="60" t="str">
        <f>IFERROR(__xludf.DUMMYFUNCTION("INDIRECT(""'收支紀錄'!C""&amp;TO_TEXT(ROW()-$C$72))"),"")</f>
        <v/>
      </c>
      <c r="D2151" s="63" t="str">
        <f>IFERROR(__xludf.DUMMYFUNCTION("INDIRECT(""'收支紀錄'!D""&amp;TO_TEXT(ROW()-$C$72))"),"")</f>
        <v/>
      </c>
      <c r="E2151" s="61" t="str">
        <f>IFERROR(__xludf.DUMMYFUNCTION("INDIRECT(""'收支紀錄'!E""&amp;TO_TEXT(ROW()-$C$72))"),"")</f>
        <v/>
      </c>
      <c r="F2151" s="61" t="str">
        <f>IFERROR(__xludf.DUMMYFUNCTION("INDIRECT(""'收支紀錄'!F""&amp;TO_TEXT(ROW()-$C$72))"),"")</f>
        <v/>
      </c>
      <c r="G2151" s="61" t="str">
        <f>IFERROR(__xludf.DUMMYFUNCTION("INDIRECT(""'收支紀錄'!G""&amp;TO_TEXT(ROW()-$C$72))"),"")</f>
        <v/>
      </c>
      <c r="H2151" s="61" t="str">
        <f>IFERROR(__xludf.DUMMYFUNCTION("INDIRECT(""'收支紀錄'!H""&amp;TO_TEXT(ROW()-$C$72))"),"")</f>
        <v/>
      </c>
      <c r="I2151" s="61" t="str">
        <f>IFERROR(__xludf.DUMMYFUNCTION("INDIRECT(""'收支紀錄'!I""&amp;TO_TEXT(ROW()-$C$72))"),"")</f>
        <v/>
      </c>
      <c r="J2151" s="61" t="str">
        <f>IFERROR(__xludf.DUMMYFUNCTION("INDIRECT(""'收支紀錄'!J""&amp;TO_TEXT(ROW()-$C$72))"),"")</f>
        <v/>
      </c>
      <c r="K2151" s="61" t="str">
        <f>IFERROR(__xludf.DUMMYFUNCTION("INDIRECT(""'收支紀錄'!K""&amp;TO_TEXT(ROW()-$C$72))"),"")</f>
        <v/>
      </c>
      <c r="L2151" s="61" t="str">
        <f>IFERROR(__xludf.DUMMYFUNCTION("INDIRECT(""'收支紀錄'!L""&amp;TO_TEXT(ROW()-$C$72))"),"")</f>
        <v/>
      </c>
      <c r="M2151" s="61" t="str">
        <f>IFERROR(__xludf.DUMMYFUNCTION("INDIRECT(""'收支紀錄'!M""&amp;TO_TEXT(ROW()-$C$72))"),"")</f>
        <v/>
      </c>
      <c r="N2151" s="61" t="str">
        <f>IFERROR(__xludf.DUMMYFUNCTION("INDIRECT(""'收支紀錄'!N""&amp;TO_TEXT(ROW()-$C$72))"),"")</f>
        <v/>
      </c>
      <c r="O2151" s="61" t="str">
        <f>IFERROR(__xludf.DUMMYFUNCTION("INDIRECT(""'收支紀錄'!O""&amp;TO_TEXT(ROW()-$C$72))"),"")</f>
        <v/>
      </c>
      <c r="P2151" s="61" t="str">
        <f>IFERROR(__xludf.DUMMYFUNCTION("INDIRECT(""'收支紀錄'!P""&amp;TO_TEXT(ROW()-$C$72))"),"")</f>
        <v/>
      </c>
      <c r="Q2151" s="61" t="str">
        <f>IFERROR(__xludf.DUMMYFUNCTION("INDIRECT(""'收支紀錄'!Q""&amp;TO_TEXT(ROW()-$C$72))"),"")</f>
        <v/>
      </c>
      <c r="R2151" s="61" t="str">
        <f>IFERROR(__xludf.DUMMYFUNCTION("INDIRECT(""'收支紀錄'!R""&amp;TO_TEXT(ROW()-$C$72))"),"")</f>
        <v/>
      </c>
      <c r="S2151" s="61" t="str">
        <f>IFERROR(__xludf.DUMMYFUNCTION("INDIRECT(""'收支紀錄'!S""&amp;TO_TEXT(ROW()-$C$72))"),"")</f>
        <v/>
      </c>
      <c r="T2151" s="61" t="str">
        <f>IFERROR(__xludf.DUMMYFUNCTION("INDIRECT(""'收支紀錄'!T""&amp;TO_TEXT(ROW()-$C$72))"),"")</f>
        <v/>
      </c>
      <c r="U2151" s="62" t="str">
        <f>IFERROR(__xludf.DUMMYFUNCTION("IF(T2151=""是"",TEXTJOIN("""", TRUE, ""$"", TO_TEXT(C2151), S2151),"""")"),"")</f>
        <v/>
      </c>
    </row>
    <row r="2152">
      <c r="A2152" s="58" t="str">
        <f>IFERROR(__xludf.DUMMYFUNCTION("INDIRECT(""'收支紀錄'!A""&amp;TO_TEXT(ROW()-$C$72))"),"")</f>
        <v/>
      </c>
      <c r="B2152" s="59" t="str">
        <f>IFERROR(__xludf.DUMMYFUNCTION("IF(ISBLANK(D2152), """", IF(ISDATE(D2152), D2152, IF(D2152=""今天"", A2152, IF(D2152=""昨天 (-1 day)"", A2152-1, IF(D2152=""前天 (-2 days)"", A2152-2, IF(D2152=""明天 (+1 day)"", A2152+1, DATE(LEFT(D2152,4), MID(D2152,5,2), RIGHT(D2152,2))))))))"),"")</f>
        <v/>
      </c>
      <c r="C2152" s="60" t="str">
        <f>IFERROR(__xludf.DUMMYFUNCTION("INDIRECT(""'收支紀錄'!C""&amp;TO_TEXT(ROW()-$C$72))"),"")</f>
        <v/>
      </c>
      <c r="D2152" s="63" t="str">
        <f>IFERROR(__xludf.DUMMYFUNCTION("INDIRECT(""'收支紀錄'!D""&amp;TO_TEXT(ROW()-$C$72))"),"")</f>
        <v/>
      </c>
      <c r="E2152" s="61" t="str">
        <f>IFERROR(__xludf.DUMMYFUNCTION("INDIRECT(""'收支紀錄'!E""&amp;TO_TEXT(ROW()-$C$72))"),"")</f>
        <v/>
      </c>
      <c r="F2152" s="61" t="str">
        <f>IFERROR(__xludf.DUMMYFUNCTION("INDIRECT(""'收支紀錄'!F""&amp;TO_TEXT(ROW()-$C$72))"),"")</f>
        <v/>
      </c>
      <c r="G2152" s="61" t="str">
        <f>IFERROR(__xludf.DUMMYFUNCTION("INDIRECT(""'收支紀錄'!G""&amp;TO_TEXT(ROW()-$C$72))"),"")</f>
        <v/>
      </c>
      <c r="H2152" s="61" t="str">
        <f>IFERROR(__xludf.DUMMYFUNCTION("INDIRECT(""'收支紀錄'!H""&amp;TO_TEXT(ROW()-$C$72))"),"")</f>
        <v/>
      </c>
      <c r="I2152" s="61" t="str">
        <f>IFERROR(__xludf.DUMMYFUNCTION("INDIRECT(""'收支紀錄'!I""&amp;TO_TEXT(ROW()-$C$72))"),"")</f>
        <v/>
      </c>
      <c r="J2152" s="61" t="str">
        <f>IFERROR(__xludf.DUMMYFUNCTION("INDIRECT(""'收支紀錄'!J""&amp;TO_TEXT(ROW()-$C$72))"),"")</f>
        <v/>
      </c>
      <c r="K2152" s="61" t="str">
        <f>IFERROR(__xludf.DUMMYFUNCTION("INDIRECT(""'收支紀錄'!K""&amp;TO_TEXT(ROW()-$C$72))"),"")</f>
        <v/>
      </c>
      <c r="L2152" s="61" t="str">
        <f>IFERROR(__xludf.DUMMYFUNCTION("INDIRECT(""'收支紀錄'!L""&amp;TO_TEXT(ROW()-$C$72))"),"")</f>
        <v/>
      </c>
      <c r="M2152" s="61" t="str">
        <f>IFERROR(__xludf.DUMMYFUNCTION("INDIRECT(""'收支紀錄'!M""&amp;TO_TEXT(ROW()-$C$72))"),"")</f>
        <v/>
      </c>
      <c r="N2152" s="61" t="str">
        <f>IFERROR(__xludf.DUMMYFUNCTION("INDIRECT(""'收支紀錄'!N""&amp;TO_TEXT(ROW()-$C$72))"),"")</f>
        <v/>
      </c>
      <c r="O2152" s="61" t="str">
        <f>IFERROR(__xludf.DUMMYFUNCTION("INDIRECT(""'收支紀錄'!O""&amp;TO_TEXT(ROW()-$C$72))"),"")</f>
        <v/>
      </c>
      <c r="P2152" s="61" t="str">
        <f>IFERROR(__xludf.DUMMYFUNCTION("INDIRECT(""'收支紀錄'!P""&amp;TO_TEXT(ROW()-$C$72))"),"")</f>
        <v/>
      </c>
      <c r="Q2152" s="61" t="str">
        <f>IFERROR(__xludf.DUMMYFUNCTION("INDIRECT(""'收支紀錄'!Q""&amp;TO_TEXT(ROW()-$C$72))"),"")</f>
        <v/>
      </c>
      <c r="R2152" s="61" t="str">
        <f>IFERROR(__xludf.DUMMYFUNCTION("INDIRECT(""'收支紀錄'!R""&amp;TO_TEXT(ROW()-$C$72))"),"")</f>
        <v/>
      </c>
      <c r="S2152" s="61" t="str">
        <f>IFERROR(__xludf.DUMMYFUNCTION("INDIRECT(""'收支紀錄'!S""&amp;TO_TEXT(ROW()-$C$72))"),"")</f>
        <v/>
      </c>
      <c r="T2152" s="61" t="str">
        <f>IFERROR(__xludf.DUMMYFUNCTION("INDIRECT(""'收支紀錄'!T""&amp;TO_TEXT(ROW()-$C$72))"),"")</f>
        <v/>
      </c>
      <c r="U2152" s="62" t="str">
        <f>IFERROR(__xludf.DUMMYFUNCTION("IF(T2152=""是"",TEXTJOIN("""", TRUE, ""$"", TO_TEXT(C2152), S2152),"""")"),"")</f>
        <v/>
      </c>
    </row>
    <row r="2153">
      <c r="A2153" s="58" t="str">
        <f>IFERROR(__xludf.DUMMYFUNCTION("INDIRECT(""'收支紀錄'!A""&amp;TO_TEXT(ROW()-$C$72))"),"")</f>
        <v/>
      </c>
      <c r="B2153" s="59" t="str">
        <f>IFERROR(__xludf.DUMMYFUNCTION("IF(ISBLANK(D2153), """", IF(ISDATE(D2153), D2153, IF(D2153=""今天"", A2153, IF(D2153=""昨天 (-1 day)"", A2153-1, IF(D2153=""前天 (-2 days)"", A2153-2, IF(D2153=""明天 (+1 day)"", A2153+1, DATE(LEFT(D2153,4), MID(D2153,5,2), RIGHT(D2153,2))))))))"),"")</f>
        <v/>
      </c>
      <c r="C2153" s="60" t="str">
        <f>IFERROR(__xludf.DUMMYFUNCTION("INDIRECT(""'收支紀錄'!C""&amp;TO_TEXT(ROW()-$C$72))"),"")</f>
        <v/>
      </c>
      <c r="D2153" s="63" t="str">
        <f>IFERROR(__xludf.DUMMYFUNCTION("INDIRECT(""'收支紀錄'!D""&amp;TO_TEXT(ROW()-$C$72))"),"")</f>
        <v/>
      </c>
      <c r="E2153" s="61" t="str">
        <f>IFERROR(__xludf.DUMMYFUNCTION("INDIRECT(""'收支紀錄'!E""&amp;TO_TEXT(ROW()-$C$72))"),"")</f>
        <v/>
      </c>
      <c r="F2153" s="61" t="str">
        <f>IFERROR(__xludf.DUMMYFUNCTION("INDIRECT(""'收支紀錄'!F""&amp;TO_TEXT(ROW()-$C$72))"),"")</f>
        <v/>
      </c>
      <c r="G2153" s="61" t="str">
        <f>IFERROR(__xludf.DUMMYFUNCTION("INDIRECT(""'收支紀錄'!G""&amp;TO_TEXT(ROW()-$C$72))"),"")</f>
        <v/>
      </c>
      <c r="H2153" s="61" t="str">
        <f>IFERROR(__xludf.DUMMYFUNCTION("INDIRECT(""'收支紀錄'!H""&amp;TO_TEXT(ROW()-$C$72))"),"")</f>
        <v/>
      </c>
      <c r="I2153" s="61" t="str">
        <f>IFERROR(__xludf.DUMMYFUNCTION("INDIRECT(""'收支紀錄'!I""&amp;TO_TEXT(ROW()-$C$72))"),"")</f>
        <v/>
      </c>
      <c r="J2153" s="61" t="str">
        <f>IFERROR(__xludf.DUMMYFUNCTION("INDIRECT(""'收支紀錄'!J""&amp;TO_TEXT(ROW()-$C$72))"),"")</f>
        <v/>
      </c>
      <c r="K2153" s="61" t="str">
        <f>IFERROR(__xludf.DUMMYFUNCTION("INDIRECT(""'收支紀錄'!K""&amp;TO_TEXT(ROW()-$C$72))"),"")</f>
        <v/>
      </c>
      <c r="L2153" s="61" t="str">
        <f>IFERROR(__xludf.DUMMYFUNCTION("INDIRECT(""'收支紀錄'!L""&amp;TO_TEXT(ROW()-$C$72))"),"")</f>
        <v/>
      </c>
      <c r="M2153" s="61" t="str">
        <f>IFERROR(__xludf.DUMMYFUNCTION("INDIRECT(""'收支紀錄'!M""&amp;TO_TEXT(ROW()-$C$72))"),"")</f>
        <v/>
      </c>
      <c r="N2153" s="61" t="str">
        <f>IFERROR(__xludf.DUMMYFUNCTION("INDIRECT(""'收支紀錄'!N""&amp;TO_TEXT(ROW()-$C$72))"),"")</f>
        <v/>
      </c>
      <c r="O2153" s="61" t="str">
        <f>IFERROR(__xludf.DUMMYFUNCTION("INDIRECT(""'收支紀錄'!O""&amp;TO_TEXT(ROW()-$C$72))"),"")</f>
        <v/>
      </c>
      <c r="P2153" s="61" t="str">
        <f>IFERROR(__xludf.DUMMYFUNCTION("INDIRECT(""'收支紀錄'!P""&amp;TO_TEXT(ROW()-$C$72))"),"")</f>
        <v/>
      </c>
      <c r="Q2153" s="61" t="str">
        <f>IFERROR(__xludf.DUMMYFUNCTION("INDIRECT(""'收支紀錄'!Q""&amp;TO_TEXT(ROW()-$C$72))"),"")</f>
        <v/>
      </c>
      <c r="R2153" s="61" t="str">
        <f>IFERROR(__xludf.DUMMYFUNCTION("INDIRECT(""'收支紀錄'!R""&amp;TO_TEXT(ROW()-$C$72))"),"")</f>
        <v/>
      </c>
      <c r="S2153" s="61" t="str">
        <f>IFERROR(__xludf.DUMMYFUNCTION("INDIRECT(""'收支紀錄'!S""&amp;TO_TEXT(ROW()-$C$72))"),"")</f>
        <v/>
      </c>
      <c r="T2153" s="61" t="str">
        <f>IFERROR(__xludf.DUMMYFUNCTION("INDIRECT(""'收支紀錄'!T""&amp;TO_TEXT(ROW()-$C$72))"),"")</f>
        <v/>
      </c>
      <c r="U2153" s="62" t="str">
        <f>IFERROR(__xludf.DUMMYFUNCTION("IF(T2153=""是"",TEXTJOIN("""", TRUE, ""$"", TO_TEXT(C2153), S2153),"""")"),"")</f>
        <v/>
      </c>
    </row>
    <row r="2154">
      <c r="A2154" s="58" t="str">
        <f>IFERROR(__xludf.DUMMYFUNCTION("INDIRECT(""'收支紀錄'!A""&amp;TO_TEXT(ROW()-$C$72))"),"")</f>
        <v/>
      </c>
      <c r="B2154" s="59" t="str">
        <f>IFERROR(__xludf.DUMMYFUNCTION("IF(ISBLANK(D2154), """", IF(ISDATE(D2154), D2154, IF(D2154=""今天"", A2154, IF(D2154=""昨天 (-1 day)"", A2154-1, IF(D2154=""前天 (-2 days)"", A2154-2, IF(D2154=""明天 (+1 day)"", A2154+1, DATE(LEFT(D2154,4), MID(D2154,5,2), RIGHT(D2154,2))))))))"),"")</f>
        <v/>
      </c>
      <c r="C2154" s="60" t="str">
        <f>IFERROR(__xludf.DUMMYFUNCTION("INDIRECT(""'收支紀錄'!C""&amp;TO_TEXT(ROW()-$C$72))"),"")</f>
        <v/>
      </c>
      <c r="D2154" s="63" t="str">
        <f>IFERROR(__xludf.DUMMYFUNCTION("INDIRECT(""'收支紀錄'!D""&amp;TO_TEXT(ROW()-$C$72))"),"")</f>
        <v/>
      </c>
      <c r="E2154" s="61" t="str">
        <f>IFERROR(__xludf.DUMMYFUNCTION("INDIRECT(""'收支紀錄'!E""&amp;TO_TEXT(ROW()-$C$72))"),"")</f>
        <v/>
      </c>
      <c r="F2154" s="61" t="str">
        <f>IFERROR(__xludf.DUMMYFUNCTION("INDIRECT(""'收支紀錄'!F""&amp;TO_TEXT(ROW()-$C$72))"),"")</f>
        <v/>
      </c>
      <c r="G2154" s="61" t="str">
        <f>IFERROR(__xludf.DUMMYFUNCTION("INDIRECT(""'收支紀錄'!G""&amp;TO_TEXT(ROW()-$C$72))"),"")</f>
        <v/>
      </c>
      <c r="H2154" s="61" t="str">
        <f>IFERROR(__xludf.DUMMYFUNCTION("INDIRECT(""'收支紀錄'!H""&amp;TO_TEXT(ROW()-$C$72))"),"")</f>
        <v/>
      </c>
      <c r="I2154" s="61" t="str">
        <f>IFERROR(__xludf.DUMMYFUNCTION("INDIRECT(""'收支紀錄'!I""&amp;TO_TEXT(ROW()-$C$72))"),"")</f>
        <v/>
      </c>
      <c r="J2154" s="61" t="str">
        <f>IFERROR(__xludf.DUMMYFUNCTION("INDIRECT(""'收支紀錄'!J""&amp;TO_TEXT(ROW()-$C$72))"),"")</f>
        <v/>
      </c>
      <c r="K2154" s="61" t="str">
        <f>IFERROR(__xludf.DUMMYFUNCTION("INDIRECT(""'收支紀錄'!K""&amp;TO_TEXT(ROW()-$C$72))"),"")</f>
        <v/>
      </c>
      <c r="L2154" s="61" t="str">
        <f>IFERROR(__xludf.DUMMYFUNCTION("INDIRECT(""'收支紀錄'!L""&amp;TO_TEXT(ROW()-$C$72))"),"")</f>
        <v/>
      </c>
      <c r="M2154" s="61" t="str">
        <f>IFERROR(__xludf.DUMMYFUNCTION("INDIRECT(""'收支紀錄'!M""&amp;TO_TEXT(ROW()-$C$72))"),"")</f>
        <v/>
      </c>
      <c r="N2154" s="61" t="str">
        <f>IFERROR(__xludf.DUMMYFUNCTION("INDIRECT(""'收支紀錄'!N""&amp;TO_TEXT(ROW()-$C$72))"),"")</f>
        <v/>
      </c>
      <c r="O2154" s="61" t="str">
        <f>IFERROR(__xludf.DUMMYFUNCTION("INDIRECT(""'收支紀錄'!O""&amp;TO_TEXT(ROW()-$C$72))"),"")</f>
        <v/>
      </c>
      <c r="P2154" s="61" t="str">
        <f>IFERROR(__xludf.DUMMYFUNCTION("INDIRECT(""'收支紀錄'!P""&amp;TO_TEXT(ROW()-$C$72))"),"")</f>
        <v/>
      </c>
      <c r="Q2154" s="61" t="str">
        <f>IFERROR(__xludf.DUMMYFUNCTION("INDIRECT(""'收支紀錄'!Q""&amp;TO_TEXT(ROW()-$C$72))"),"")</f>
        <v/>
      </c>
      <c r="R2154" s="61" t="str">
        <f>IFERROR(__xludf.DUMMYFUNCTION("INDIRECT(""'收支紀錄'!R""&amp;TO_TEXT(ROW()-$C$72))"),"")</f>
        <v/>
      </c>
      <c r="S2154" s="61" t="str">
        <f>IFERROR(__xludf.DUMMYFUNCTION("INDIRECT(""'收支紀錄'!S""&amp;TO_TEXT(ROW()-$C$72))"),"")</f>
        <v/>
      </c>
      <c r="T2154" s="61" t="str">
        <f>IFERROR(__xludf.DUMMYFUNCTION("INDIRECT(""'收支紀錄'!T""&amp;TO_TEXT(ROW()-$C$72))"),"")</f>
        <v/>
      </c>
      <c r="U2154" s="62" t="str">
        <f>IFERROR(__xludf.DUMMYFUNCTION("IF(T2154=""是"",TEXTJOIN("""", TRUE, ""$"", TO_TEXT(C2154), S2154),"""")"),"")</f>
        <v/>
      </c>
    </row>
    <row r="2155">
      <c r="A2155" s="58" t="str">
        <f>IFERROR(__xludf.DUMMYFUNCTION("INDIRECT(""'收支紀錄'!A""&amp;TO_TEXT(ROW()-$C$72))"),"")</f>
        <v/>
      </c>
      <c r="B2155" s="59" t="str">
        <f>IFERROR(__xludf.DUMMYFUNCTION("IF(ISBLANK(D2155), """", IF(ISDATE(D2155), D2155, IF(D2155=""今天"", A2155, IF(D2155=""昨天 (-1 day)"", A2155-1, IF(D2155=""前天 (-2 days)"", A2155-2, IF(D2155=""明天 (+1 day)"", A2155+1, DATE(LEFT(D2155,4), MID(D2155,5,2), RIGHT(D2155,2))))))))"),"")</f>
        <v/>
      </c>
      <c r="C2155" s="60" t="str">
        <f>IFERROR(__xludf.DUMMYFUNCTION("INDIRECT(""'收支紀錄'!C""&amp;TO_TEXT(ROW()-$C$72))"),"")</f>
        <v/>
      </c>
      <c r="D2155" s="63" t="str">
        <f>IFERROR(__xludf.DUMMYFUNCTION("INDIRECT(""'收支紀錄'!D""&amp;TO_TEXT(ROW()-$C$72))"),"")</f>
        <v/>
      </c>
      <c r="E2155" s="61" t="str">
        <f>IFERROR(__xludf.DUMMYFUNCTION("INDIRECT(""'收支紀錄'!E""&amp;TO_TEXT(ROW()-$C$72))"),"")</f>
        <v/>
      </c>
      <c r="F2155" s="61" t="str">
        <f>IFERROR(__xludf.DUMMYFUNCTION("INDIRECT(""'收支紀錄'!F""&amp;TO_TEXT(ROW()-$C$72))"),"")</f>
        <v/>
      </c>
      <c r="G2155" s="61" t="str">
        <f>IFERROR(__xludf.DUMMYFUNCTION("INDIRECT(""'收支紀錄'!G""&amp;TO_TEXT(ROW()-$C$72))"),"")</f>
        <v/>
      </c>
      <c r="H2155" s="61" t="str">
        <f>IFERROR(__xludf.DUMMYFUNCTION("INDIRECT(""'收支紀錄'!H""&amp;TO_TEXT(ROW()-$C$72))"),"")</f>
        <v/>
      </c>
      <c r="I2155" s="61" t="str">
        <f>IFERROR(__xludf.DUMMYFUNCTION("INDIRECT(""'收支紀錄'!I""&amp;TO_TEXT(ROW()-$C$72))"),"")</f>
        <v/>
      </c>
      <c r="J2155" s="61" t="str">
        <f>IFERROR(__xludf.DUMMYFUNCTION("INDIRECT(""'收支紀錄'!J""&amp;TO_TEXT(ROW()-$C$72))"),"")</f>
        <v/>
      </c>
      <c r="K2155" s="61" t="str">
        <f>IFERROR(__xludf.DUMMYFUNCTION("INDIRECT(""'收支紀錄'!K""&amp;TO_TEXT(ROW()-$C$72))"),"")</f>
        <v/>
      </c>
      <c r="L2155" s="61" t="str">
        <f>IFERROR(__xludf.DUMMYFUNCTION("INDIRECT(""'收支紀錄'!L""&amp;TO_TEXT(ROW()-$C$72))"),"")</f>
        <v/>
      </c>
      <c r="M2155" s="61" t="str">
        <f>IFERROR(__xludf.DUMMYFUNCTION("INDIRECT(""'收支紀錄'!M""&amp;TO_TEXT(ROW()-$C$72))"),"")</f>
        <v/>
      </c>
      <c r="N2155" s="61" t="str">
        <f>IFERROR(__xludf.DUMMYFUNCTION("INDIRECT(""'收支紀錄'!N""&amp;TO_TEXT(ROW()-$C$72))"),"")</f>
        <v/>
      </c>
      <c r="O2155" s="61" t="str">
        <f>IFERROR(__xludf.DUMMYFUNCTION("INDIRECT(""'收支紀錄'!O""&amp;TO_TEXT(ROW()-$C$72))"),"")</f>
        <v/>
      </c>
      <c r="P2155" s="61" t="str">
        <f>IFERROR(__xludf.DUMMYFUNCTION("INDIRECT(""'收支紀錄'!P""&amp;TO_TEXT(ROW()-$C$72))"),"")</f>
        <v/>
      </c>
      <c r="Q2155" s="61" t="str">
        <f>IFERROR(__xludf.DUMMYFUNCTION("INDIRECT(""'收支紀錄'!Q""&amp;TO_TEXT(ROW()-$C$72))"),"")</f>
        <v/>
      </c>
      <c r="R2155" s="61" t="str">
        <f>IFERROR(__xludf.DUMMYFUNCTION("INDIRECT(""'收支紀錄'!R""&amp;TO_TEXT(ROW()-$C$72))"),"")</f>
        <v/>
      </c>
      <c r="S2155" s="61" t="str">
        <f>IFERROR(__xludf.DUMMYFUNCTION("INDIRECT(""'收支紀錄'!S""&amp;TO_TEXT(ROW()-$C$72))"),"")</f>
        <v/>
      </c>
      <c r="T2155" s="61" t="str">
        <f>IFERROR(__xludf.DUMMYFUNCTION("INDIRECT(""'收支紀錄'!T""&amp;TO_TEXT(ROW()-$C$72))"),"")</f>
        <v/>
      </c>
      <c r="U2155" s="62" t="str">
        <f>IFERROR(__xludf.DUMMYFUNCTION("IF(T2155=""是"",TEXTJOIN("""", TRUE, ""$"", TO_TEXT(C2155), S2155),"""")"),"")</f>
        <v/>
      </c>
    </row>
    <row r="2156">
      <c r="A2156" s="58" t="str">
        <f>IFERROR(__xludf.DUMMYFUNCTION("INDIRECT(""'收支紀錄'!A""&amp;TO_TEXT(ROW()-$C$72))"),"")</f>
        <v/>
      </c>
      <c r="B2156" s="59" t="str">
        <f>IFERROR(__xludf.DUMMYFUNCTION("IF(ISBLANK(D2156), """", IF(ISDATE(D2156), D2156, IF(D2156=""今天"", A2156, IF(D2156=""昨天 (-1 day)"", A2156-1, IF(D2156=""前天 (-2 days)"", A2156-2, IF(D2156=""明天 (+1 day)"", A2156+1, DATE(LEFT(D2156,4), MID(D2156,5,2), RIGHT(D2156,2))))))))"),"")</f>
        <v/>
      </c>
      <c r="C2156" s="60" t="str">
        <f>IFERROR(__xludf.DUMMYFUNCTION("INDIRECT(""'收支紀錄'!C""&amp;TO_TEXT(ROW()-$C$72))"),"")</f>
        <v/>
      </c>
      <c r="D2156" s="63" t="str">
        <f>IFERROR(__xludf.DUMMYFUNCTION("INDIRECT(""'收支紀錄'!D""&amp;TO_TEXT(ROW()-$C$72))"),"")</f>
        <v/>
      </c>
      <c r="E2156" s="61" t="str">
        <f>IFERROR(__xludf.DUMMYFUNCTION("INDIRECT(""'收支紀錄'!E""&amp;TO_TEXT(ROW()-$C$72))"),"")</f>
        <v/>
      </c>
      <c r="F2156" s="61" t="str">
        <f>IFERROR(__xludf.DUMMYFUNCTION("INDIRECT(""'收支紀錄'!F""&amp;TO_TEXT(ROW()-$C$72))"),"")</f>
        <v/>
      </c>
      <c r="G2156" s="61" t="str">
        <f>IFERROR(__xludf.DUMMYFUNCTION("INDIRECT(""'收支紀錄'!G""&amp;TO_TEXT(ROW()-$C$72))"),"")</f>
        <v/>
      </c>
      <c r="H2156" s="61" t="str">
        <f>IFERROR(__xludf.DUMMYFUNCTION("INDIRECT(""'收支紀錄'!H""&amp;TO_TEXT(ROW()-$C$72))"),"")</f>
        <v/>
      </c>
      <c r="I2156" s="61" t="str">
        <f>IFERROR(__xludf.DUMMYFUNCTION("INDIRECT(""'收支紀錄'!I""&amp;TO_TEXT(ROW()-$C$72))"),"")</f>
        <v/>
      </c>
      <c r="J2156" s="61" t="str">
        <f>IFERROR(__xludf.DUMMYFUNCTION("INDIRECT(""'收支紀錄'!J""&amp;TO_TEXT(ROW()-$C$72))"),"")</f>
        <v/>
      </c>
      <c r="K2156" s="61" t="str">
        <f>IFERROR(__xludf.DUMMYFUNCTION("INDIRECT(""'收支紀錄'!K""&amp;TO_TEXT(ROW()-$C$72))"),"")</f>
        <v/>
      </c>
      <c r="L2156" s="61" t="str">
        <f>IFERROR(__xludf.DUMMYFUNCTION("INDIRECT(""'收支紀錄'!L""&amp;TO_TEXT(ROW()-$C$72))"),"")</f>
        <v/>
      </c>
      <c r="M2156" s="61" t="str">
        <f>IFERROR(__xludf.DUMMYFUNCTION("INDIRECT(""'收支紀錄'!M""&amp;TO_TEXT(ROW()-$C$72))"),"")</f>
        <v/>
      </c>
      <c r="N2156" s="61" t="str">
        <f>IFERROR(__xludf.DUMMYFUNCTION("INDIRECT(""'收支紀錄'!N""&amp;TO_TEXT(ROW()-$C$72))"),"")</f>
        <v/>
      </c>
      <c r="O2156" s="61" t="str">
        <f>IFERROR(__xludf.DUMMYFUNCTION("INDIRECT(""'收支紀錄'!O""&amp;TO_TEXT(ROW()-$C$72))"),"")</f>
        <v/>
      </c>
      <c r="P2156" s="61" t="str">
        <f>IFERROR(__xludf.DUMMYFUNCTION("INDIRECT(""'收支紀錄'!P""&amp;TO_TEXT(ROW()-$C$72))"),"")</f>
        <v/>
      </c>
      <c r="Q2156" s="61" t="str">
        <f>IFERROR(__xludf.DUMMYFUNCTION("INDIRECT(""'收支紀錄'!Q""&amp;TO_TEXT(ROW()-$C$72))"),"")</f>
        <v/>
      </c>
      <c r="R2156" s="61" t="str">
        <f>IFERROR(__xludf.DUMMYFUNCTION("INDIRECT(""'收支紀錄'!R""&amp;TO_TEXT(ROW()-$C$72))"),"")</f>
        <v/>
      </c>
      <c r="S2156" s="61" t="str">
        <f>IFERROR(__xludf.DUMMYFUNCTION("INDIRECT(""'收支紀錄'!S""&amp;TO_TEXT(ROW()-$C$72))"),"")</f>
        <v/>
      </c>
      <c r="T2156" s="61" t="str">
        <f>IFERROR(__xludf.DUMMYFUNCTION("INDIRECT(""'收支紀錄'!T""&amp;TO_TEXT(ROW()-$C$72))"),"")</f>
        <v/>
      </c>
      <c r="U2156" s="62" t="str">
        <f>IFERROR(__xludf.DUMMYFUNCTION("IF(T2156=""是"",TEXTJOIN("""", TRUE, ""$"", TO_TEXT(C2156), S2156),"""")"),"")</f>
        <v/>
      </c>
    </row>
    <row r="2157">
      <c r="A2157" s="58" t="str">
        <f>IFERROR(__xludf.DUMMYFUNCTION("INDIRECT(""'收支紀錄'!A""&amp;TO_TEXT(ROW()-$C$72))"),"")</f>
        <v/>
      </c>
      <c r="B2157" s="59" t="str">
        <f>IFERROR(__xludf.DUMMYFUNCTION("IF(ISBLANK(D2157), """", IF(ISDATE(D2157), D2157, IF(D2157=""今天"", A2157, IF(D2157=""昨天 (-1 day)"", A2157-1, IF(D2157=""前天 (-2 days)"", A2157-2, IF(D2157=""明天 (+1 day)"", A2157+1, DATE(LEFT(D2157,4), MID(D2157,5,2), RIGHT(D2157,2))))))))"),"")</f>
        <v/>
      </c>
      <c r="C2157" s="60" t="str">
        <f>IFERROR(__xludf.DUMMYFUNCTION("INDIRECT(""'收支紀錄'!C""&amp;TO_TEXT(ROW()-$C$72))"),"")</f>
        <v/>
      </c>
      <c r="D2157" s="63" t="str">
        <f>IFERROR(__xludf.DUMMYFUNCTION("INDIRECT(""'收支紀錄'!D""&amp;TO_TEXT(ROW()-$C$72))"),"")</f>
        <v/>
      </c>
      <c r="E2157" s="61" t="str">
        <f>IFERROR(__xludf.DUMMYFUNCTION("INDIRECT(""'收支紀錄'!E""&amp;TO_TEXT(ROW()-$C$72))"),"")</f>
        <v/>
      </c>
      <c r="F2157" s="61" t="str">
        <f>IFERROR(__xludf.DUMMYFUNCTION("INDIRECT(""'收支紀錄'!F""&amp;TO_TEXT(ROW()-$C$72))"),"")</f>
        <v/>
      </c>
      <c r="G2157" s="61" t="str">
        <f>IFERROR(__xludf.DUMMYFUNCTION("INDIRECT(""'收支紀錄'!G""&amp;TO_TEXT(ROW()-$C$72))"),"")</f>
        <v/>
      </c>
      <c r="H2157" s="61" t="str">
        <f>IFERROR(__xludf.DUMMYFUNCTION("INDIRECT(""'收支紀錄'!H""&amp;TO_TEXT(ROW()-$C$72))"),"")</f>
        <v/>
      </c>
      <c r="I2157" s="61" t="str">
        <f>IFERROR(__xludf.DUMMYFUNCTION("INDIRECT(""'收支紀錄'!I""&amp;TO_TEXT(ROW()-$C$72))"),"")</f>
        <v/>
      </c>
      <c r="J2157" s="61" t="str">
        <f>IFERROR(__xludf.DUMMYFUNCTION("INDIRECT(""'收支紀錄'!J""&amp;TO_TEXT(ROW()-$C$72))"),"")</f>
        <v/>
      </c>
      <c r="K2157" s="61" t="str">
        <f>IFERROR(__xludf.DUMMYFUNCTION("INDIRECT(""'收支紀錄'!K""&amp;TO_TEXT(ROW()-$C$72))"),"")</f>
        <v/>
      </c>
      <c r="L2157" s="61" t="str">
        <f>IFERROR(__xludf.DUMMYFUNCTION("INDIRECT(""'收支紀錄'!L""&amp;TO_TEXT(ROW()-$C$72))"),"")</f>
        <v/>
      </c>
      <c r="M2157" s="61" t="str">
        <f>IFERROR(__xludf.DUMMYFUNCTION("INDIRECT(""'收支紀錄'!M""&amp;TO_TEXT(ROW()-$C$72))"),"")</f>
        <v/>
      </c>
      <c r="N2157" s="61" t="str">
        <f>IFERROR(__xludf.DUMMYFUNCTION("INDIRECT(""'收支紀錄'!N""&amp;TO_TEXT(ROW()-$C$72))"),"")</f>
        <v/>
      </c>
      <c r="O2157" s="61" t="str">
        <f>IFERROR(__xludf.DUMMYFUNCTION("INDIRECT(""'收支紀錄'!O""&amp;TO_TEXT(ROW()-$C$72))"),"")</f>
        <v/>
      </c>
      <c r="P2157" s="61" t="str">
        <f>IFERROR(__xludf.DUMMYFUNCTION("INDIRECT(""'收支紀錄'!P""&amp;TO_TEXT(ROW()-$C$72))"),"")</f>
        <v/>
      </c>
      <c r="Q2157" s="61" t="str">
        <f>IFERROR(__xludf.DUMMYFUNCTION("INDIRECT(""'收支紀錄'!Q""&amp;TO_TEXT(ROW()-$C$72))"),"")</f>
        <v/>
      </c>
      <c r="R2157" s="61" t="str">
        <f>IFERROR(__xludf.DUMMYFUNCTION("INDIRECT(""'收支紀錄'!R""&amp;TO_TEXT(ROW()-$C$72))"),"")</f>
        <v/>
      </c>
      <c r="S2157" s="61" t="str">
        <f>IFERROR(__xludf.DUMMYFUNCTION("INDIRECT(""'收支紀錄'!S""&amp;TO_TEXT(ROW()-$C$72))"),"")</f>
        <v/>
      </c>
      <c r="T2157" s="61" t="str">
        <f>IFERROR(__xludf.DUMMYFUNCTION("INDIRECT(""'收支紀錄'!T""&amp;TO_TEXT(ROW()-$C$72))"),"")</f>
        <v/>
      </c>
      <c r="U2157" s="62" t="str">
        <f>IFERROR(__xludf.DUMMYFUNCTION("IF(T2157=""是"",TEXTJOIN("""", TRUE, ""$"", TO_TEXT(C2157), S2157),"""")"),"")</f>
        <v/>
      </c>
    </row>
    <row r="2158">
      <c r="A2158" s="58" t="str">
        <f>IFERROR(__xludf.DUMMYFUNCTION("INDIRECT(""'收支紀錄'!A""&amp;TO_TEXT(ROW()-$C$72))"),"")</f>
        <v/>
      </c>
      <c r="B2158" s="59" t="str">
        <f>IFERROR(__xludf.DUMMYFUNCTION("IF(ISBLANK(D2158), """", IF(ISDATE(D2158), D2158, IF(D2158=""今天"", A2158, IF(D2158=""昨天 (-1 day)"", A2158-1, IF(D2158=""前天 (-2 days)"", A2158-2, IF(D2158=""明天 (+1 day)"", A2158+1, DATE(LEFT(D2158,4), MID(D2158,5,2), RIGHT(D2158,2))))))))"),"")</f>
        <v/>
      </c>
      <c r="C2158" s="60" t="str">
        <f>IFERROR(__xludf.DUMMYFUNCTION("INDIRECT(""'收支紀錄'!C""&amp;TO_TEXT(ROW()-$C$72))"),"")</f>
        <v/>
      </c>
      <c r="D2158" s="63" t="str">
        <f>IFERROR(__xludf.DUMMYFUNCTION("INDIRECT(""'收支紀錄'!D""&amp;TO_TEXT(ROW()-$C$72))"),"")</f>
        <v/>
      </c>
      <c r="E2158" s="61" t="str">
        <f>IFERROR(__xludf.DUMMYFUNCTION("INDIRECT(""'收支紀錄'!E""&amp;TO_TEXT(ROW()-$C$72))"),"")</f>
        <v/>
      </c>
      <c r="F2158" s="61" t="str">
        <f>IFERROR(__xludf.DUMMYFUNCTION("INDIRECT(""'收支紀錄'!F""&amp;TO_TEXT(ROW()-$C$72))"),"")</f>
        <v/>
      </c>
      <c r="G2158" s="61" t="str">
        <f>IFERROR(__xludf.DUMMYFUNCTION("INDIRECT(""'收支紀錄'!G""&amp;TO_TEXT(ROW()-$C$72))"),"")</f>
        <v/>
      </c>
      <c r="H2158" s="61" t="str">
        <f>IFERROR(__xludf.DUMMYFUNCTION("INDIRECT(""'收支紀錄'!H""&amp;TO_TEXT(ROW()-$C$72))"),"")</f>
        <v/>
      </c>
      <c r="I2158" s="61" t="str">
        <f>IFERROR(__xludf.DUMMYFUNCTION("INDIRECT(""'收支紀錄'!I""&amp;TO_TEXT(ROW()-$C$72))"),"")</f>
        <v/>
      </c>
      <c r="J2158" s="61" t="str">
        <f>IFERROR(__xludf.DUMMYFUNCTION("INDIRECT(""'收支紀錄'!J""&amp;TO_TEXT(ROW()-$C$72))"),"")</f>
        <v/>
      </c>
      <c r="K2158" s="61" t="str">
        <f>IFERROR(__xludf.DUMMYFUNCTION("INDIRECT(""'收支紀錄'!K""&amp;TO_TEXT(ROW()-$C$72))"),"")</f>
        <v/>
      </c>
      <c r="L2158" s="61" t="str">
        <f>IFERROR(__xludf.DUMMYFUNCTION("INDIRECT(""'收支紀錄'!L""&amp;TO_TEXT(ROW()-$C$72))"),"")</f>
        <v/>
      </c>
      <c r="M2158" s="61" t="str">
        <f>IFERROR(__xludf.DUMMYFUNCTION("INDIRECT(""'收支紀錄'!M""&amp;TO_TEXT(ROW()-$C$72))"),"")</f>
        <v/>
      </c>
      <c r="N2158" s="61" t="str">
        <f>IFERROR(__xludf.DUMMYFUNCTION("INDIRECT(""'收支紀錄'!N""&amp;TO_TEXT(ROW()-$C$72))"),"")</f>
        <v/>
      </c>
      <c r="O2158" s="61" t="str">
        <f>IFERROR(__xludf.DUMMYFUNCTION("INDIRECT(""'收支紀錄'!O""&amp;TO_TEXT(ROW()-$C$72))"),"")</f>
        <v/>
      </c>
      <c r="P2158" s="61" t="str">
        <f>IFERROR(__xludf.DUMMYFUNCTION("INDIRECT(""'收支紀錄'!P""&amp;TO_TEXT(ROW()-$C$72))"),"")</f>
        <v/>
      </c>
      <c r="Q2158" s="61" t="str">
        <f>IFERROR(__xludf.DUMMYFUNCTION("INDIRECT(""'收支紀錄'!Q""&amp;TO_TEXT(ROW()-$C$72))"),"")</f>
        <v/>
      </c>
      <c r="R2158" s="61" t="str">
        <f>IFERROR(__xludf.DUMMYFUNCTION("INDIRECT(""'收支紀錄'!R""&amp;TO_TEXT(ROW()-$C$72))"),"")</f>
        <v/>
      </c>
      <c r="S2158" s="61" t="str">
        <f>IFERROR(__xludf.DUMMYFUNCTION("INDIRECT(""'收支紀錄'!S""&amp;TO_TEXT(ROW()-$C$72))"),"")</f>
        <v/>
      </c>
      <c r="T2158" s="61" t="str">
        <f>IFERROR(__xludf.DUMMYFUNCTION("INDIRECT(""'收支紀錄'!T""&amp;TO_TEXT(ROW()-$C$72))"),"")</f>
        <v/>
      </c>
      <c r="U2158" s="62" t="str">
        <f>IFERROR(__xludf.DUMMYFUNCTION("IF(T2158=""是"",TEXTJOIN("""", TRUE, ""$"", TO_TEXT(C2158), S2158),"""")"),"")</f>
        <v/>
      </c>
    </row>
    <row r="2159">
      <c r="A2159" s="58" t="str">
        <f>IFERROR(__xludf.DUMMYFUNCTION("INDIRECT(""'收支紀錄'!A""&amp;TO_TEXT(ROW()-$C$72))"),"")</f>
        <v/>
      </c>
      <c r="B2159" s="59" t="str">
        <f>IFERROR(__xludf.DUMMYFUNCTION("IF(ISBLANK(D2159), """", IF(ISDATE(D2159), D2159, IF(D2159=""今天"", A2159, IF(D2159=""昨天 (-1 day)"", A2159-1, IF(D2159=""前天 (-2 days)"", A2159-2, IF(D2159=""明天 (+1 day)"", A2159+1, DATE(LEFT(D2159,4), MID(D2159,5,2), RIGHT(D2159,2))))))))"),"")</f>
        <v/>
      </c>
      <c r="C2159" s="60" t="str">
        <f>IFERROR(__xludf.DUMMYFUNCTION("INDIRECT(""'收支紀錄'!C""&amp;TO_TEXT(ROW()-$C$72))"),"")</f>
        <v/>
      </c>
      <c r="D2159" s="63" t="str">
        <f>IFERROR(__xludf.DUMMYFUNCTION("INDIRECT(""'收支紀錄'!D""&amp;TO_TEXT(ROW()-$C$72))"),"")</f>
        <v/>
      </c>
      <c r="E2159" s="61" t="str">
        <f>IFERROR(__xludf.DUMMYFUNCTION("INDIRECT(""'收支紀錄'!E""&amp;TO_TEXT(ROW()-$C$72))"),"")</f>
        <v/>
      </c>
      <c r="F2159" s="61" t="str">
        <f>IFERROR(__xludf.DUMMYFUNCTION("INDIRECT(""'收支紀錄'!F""&amp;TO_TEXT(ROW()-$C$72))"),"")</f>
        <v/>
      </c>
      <c r="G2159" s="61" t="str">
        <f>IFERROR(__xludf.DUMMYFUNCTION("INDIRECT(""'收支紀錄'!G""&amp;TO_TEXT(ROW()-$C$72))"),"")</f>
        <v/>
      </c>
      <c r="H2159" s="61" t="str">
        <f>IFERROR(__xludf.DUMMYFUNCTION("INDIRECT(""'收支紀錄'!H""&amp;TO_TEXT(ROW()-$C$72))"),"")</f>
        <v/>
      </c>
      <c r="I2159" s="61" t="str">
        <f>IFERROR(__xludf.DUMMYFUNCTION("INDIRECT(""'收支紀錄'!I""&amp;TO_TEXT(ROW()-$C$72))"),"")</f>
        <v/>
      </c>
      <c r="J2159" s="61" t="str">
        <f>IFERROR(__xludf.DUMMYFUNCTION("INDIRECT(""'收支紀錄'!J""&amp;TO_TEXT(ROW()-$C$72))"),"")</f>
        <v/>
      </c>
      <c r="K2159" s="61" t="str">
        <f>IFERROR(__xludf.DUMMYFUNCTION("INDIRECT(""'收支紀錄'!K""&amp;TO_TEXT(ROW()-$C$72))"),"")</f>
        <v/>
      </c>
      <c r="L2159" s="61" t="str">
        <f>IFERROR(__xludf.DUMMYFUNCTION("INDIRECT(""'收支紀錄'!L""&amp;TO_TEXT(ROW()-$C$72))"),"")</f>
        <v/>
      </c>
      <c r="M2159" s="61" t="str">
        <f>IFERROR(__xludf.DUMMYFUNCTION("INDIRECT(""'收支紀錄'!M""&amp;TO_TEXT(ROW()-$C$72))"),"")</f>
        <v/>
      </c>
      <c r="N2159" s="61" t="str">
        <f>IFERROR(__xludf.DUMMYFUNCTION("INDIRECT(""'收支紀錄'!N""&amp;TO_TEXT(ROW()-$C$72))"),"")</f>
        <v/>
      </c>
      <c r="O2159" s="61" t="str">
        <f>IFERROR(__xludf.DUMMYFUNCTION("INDIRECT(""'收支紀錄'!O""&amp;TO_TEXT(ROW()-$C$72))"),"")</f>
        <v/>
      </c>
      <c r="P2159" s="61" t="str">
        <f>IFERROR(__xludf.DUMMYFUNCTION("INDIRECT(""'收支紀錄'!P""&amp;TO_TEXT(ROW()-$C$72))"),"")</f>
        <v/>
      </c>
      <c r="Q2159" s="61" t="str">
        <f>IFERROR(__xludf.DUMMYFUNCTION("INDIRECT(""'收支紀錄'!Q""&amp;TO_TEXT(ROW()-$C$72))"),"")</f>
        <v/>
      </c>
      <c r="R2159" s="61" t="str">
        <f>IFERROR(__xludf.DUMMYFUNCTION("INDIRECT(""'收支紀錄'!R""&amp;TO_TEXT(ROW()-$C$72))"),"")</f>
        <v/>
      </c>
      <c r="S2159" s="61" t="str">
        <f>IFERROR(__xludf.DUMMYFUNCTION("INDIRECT(""'收支紀錄'!S""&amp;TO_TEXT(ROW()-$C$72))"),"")</f>
        <v/>
      </c>
      <c r="T2159" s="61" t="str">
        <f>IFERROR(__xludf.DUMMYFUNCTION("INDIRECT(""'收支紀錄'!T""&amp;TO_TEXT(ROW()-$C$72))"),"")</f>
        <v/>
      </c>
      <c r="U2159" s="62" t="str">
        <f>IFERROR(__xludf.DUMMYFUNCTION("IF(T2159=""是"",TEXTJOIN("""", TRUE, ""$"", TO_TEXT(C2159), S2159),"""")"),"")</f>
        <v/>
      </c>
    </row>
    <row r="2160">
      <c r="A2160" s="58" t="str">
        <f>IFERROR(__xludf.DUMMYFUNCTION("INDIRECT(""'收支紀錄'!A""&amp;TO_TEXT(ROW()-$C$72))"),"")</f>
        <v/>
      </c>
      <c r="B2160" s="59" t="str">
        <f>IFERROR(__xludf.DUMMYFUNCTION("IF(ISBLANK(D2160), """", IF(ISDATE(D2160), D2160, IF(D2160=""今天"", A2160, IF(D2160=""昨天 (-1 day)"", A2160-1, IF(D2160=""前天 (-2 days)"", A2160-2, IF(D2160=""明天 (+1 day)"", A2160+1, DATE(LEFT(D2160,4), MID(D2160,5,2), RIGHT(D2160,2))))))))"),"")</f>
        <v/>
      </c>
      <c r="C2160" s="60" t="str">
        <f>IFERROR(__xludf.DUMMYFUNCTION("INDIRECT(""'收支紀錄'!C""&amp;TO_TEXT(ROW()-$C$72))"),"")</f>
        <v/>
      </c>
      <c r="D2160" s="63" t="str">
        <f>IFERROR(__xludf.DUMMYFUNCTION("INDIRECT(""'收支紀錄'!D""&amp;TO_TEXT(ROW()-$C$72))"),"")</f>
        <v/>
      </c>
      <c r="E2160" s="61" t="str">
        <f>IFERROR(__xludf.DUMMYFUNCTION("INDIRECT(""'收支紀錄'!E""&amp;TO_TEXT(ROW()-$C$72))"),"")</f>
        <v/>
      </c>
      <c r="F2160" s="61" t="str">
        <f>IFERROR(__xludf.DUMMYFUNCTION("INDIRECT(""'收支紀錄'!F""&amp;TO_TEXT(ROW()-$C$72))"),"")</f>
        <v/>
      </c>
      <c r="G2160" s="61" t="str">
        <f>IFERROR(__xludf.DUMMYFUNCTION("INDIRECT(""'收支紀錄'!G""&amp;TO_TEXT(ROW()-$C$72))"),"")</f>
        <v/>
      </c>
      <c r="H2160" s="61" t="str">
        <f>IFERROR(__xludf.DUMMYFUNCTION("INDIRECT(""'收支紀錄'!H""&amp;TO_TEXT(ROW()-$C$72))"),"")</f>
        <v/>
      </c>
      <c r="I2160" s="61" t="str">
        <f>IFERROR(__xludf.DUMMYFUNCTION("INDIRECT(""'收支紀錄'!I""&amp;TO_TEXT(ROW()-$C$72))"),"")</f>
        <v/>
      </c>
      <c r="J2160" s="61" t="str">
        <f>IFERROR(__xludf.DUMMYFUNCTION("INDIRECT(""'收支紀錄'!J""&amp;TO_TEXT(ROW()-$C$72))"),"")</f>
        <v/>
      </c>
      <c r="K2160" s="61" t="str">
        <f>IFERROR(__xludf.DUMMYFUNCTION("INDIRECT(""'收支紀錄'!K""&amp;TO_TEXT(ROW()-$C$72))"),"")</f>
        <v/>
      </c>
      <c r="L2160" s="61" t="str">
        <f>IFERROR(__xludf.DUMMYFUNCTION("INDIRECT(""'收支紀錄'!L""&amp;TO_TEXT(ROW()-$C$72))"),"")</f>
        <v/>
      </c>
      <c r="M2160" s="61" t="str">
        <f>IFERROR(__xludf.DUMMYFUNCTION("INDIRECT(""'收支紀錄'!M""&amp;TO_TEXT(ROW()-$C$72))"),"")</f>
        <v/>
      </c>
      <c r="N2160" s="61" t="str">
        <f>IFERROR(__xludf.DUMMYFUNCTION("INDIRECT(""'收支紀錄'!N""&amp;TO_TEXT(ROW()-$C$72))"),"")</f>
        <v/>
      </c>
      <c r="O2160" s="61" t="str">
        <f>IFERROR(__xludf.DUMMYFUNCTION("INDIRECT(""'收支紀錄'!O""&amp;TO_TEXT(ROW()-$C$72))"),"")</f>
        <v/>
      </c>
      <c r="P2160" s="61" t="str">
        <f>IFERROR(__xludf.DUMMYFUNCTION("INDIRECT(""'收支紀錄'!P""&amp;TO_TEXT(ROW()-$C$72))"),"")</f>
        <v/>
      </c>
      <c r="Q2160" s="61" t="str">
        <f>IFERROR(__xludf.DUMMYFUNCTION("INDIRECT(""'收支紀錄'!Q""&amp;TO_TEXT(ROW()-$C$72))"),"")</f>
        <v/>
      </c>
      <c r="R2160" s="61" t="str">
        <f>IFERROR(__xludf.DUMMYFUNCTION("INDIRECT(""'收支紀錄'!R""&amp;TO_TEXT(ROW()-$C$72))"),"")</f>
        <v/>
      </c>
      <c r="S2160" s="61" t="str">
        <f>IFERROR(__xludf.DUMMYFUNCTION("INDIRECT(""'收支紀錄'!S""&amp;TO_TEXT(ROW()-$C$72))"),"")</f>
        <v/>
      </c>
      <c r="T2160" s="61" t="str">
        <f>IFERROR(__xludf.DUMMYFUNCTION("INDIRECT(""'收支紀錄'!T""&amp;TO_TEXT(ROW()-$C$72))"),"")</f>
        <v/>
      </c>
      <c r="U2160" s="62" t="str">
        <f>IFERROR(__xludf.DUMMYFUNCTION("IF(T2160=""是"",TEXTJOIN("""", TRUE, ""$"", TO_TEXT(C2160), S2160),"""")"),"")</f>
        <v/>
      </c>
    </row>
    <row r="2161">
      <c r="A2161" s="58" t="str">
        <f>IFERROR(__xludf.DUMMYFUNCTION("INDIRECT(""'收支紀錄'!A""&amp;TO_TEXT(ROW()-$C$72))"),"")</f>
        <v/>
      </c>
      <c r="B2161" s="59" t="str">
        <f>IFERROR(__xludf.DUMMYFUNCTION("IF(ISBLANK(D2161), """", IF(ISDATE(D2161), D2161, IF(D2161=""今天"", A2161, IF(D2161=""昨天 (-1 day)"", A2161-1, IF(D2161=""前天 (-2 days)"", A2161-2, IF(D2161=""明天 (+1 day)"", A2161+1, DATE(LEFT(D2161,4), MID(D2161,5,2), RIGHT(D2161,2))))))))"),"")</f>
        <v/>
      </c>
      <c r="C2161" s="60" t="str">
        <f>IFERROR(__xludf.DUMMYFUNCTION("INDIRECT(""'收支紀錄'!C""&amp;TO_TEXT(ROW()-$C$72))"),"")</f>
        <v/>
      </c>
      <c r="D2161" s="63" t="str">
        <f>IFERROR(__xludf.DUMMYFUNCTION("INDIRECT(""'收支紀錄'!D""&amp;TO_TEXT(ROW()-$C$72))"),"")</f>
        <v/>
      </c>
      <c r="E2161" s="61" t="str">
        <f>IFERROR(__xludf.DUMMYFUNCTION("INDIRECT(""'收支紀錄'!E""&amp;TO_TEXT(ROW()-$C$72))"),"")</f>
        <v/>
      </c>
      <c r="F2161" s="61" t="str">
        <f>IFERROR(__xludf.DUMMYFUNCTION("INDIRECT(""'收支紀錄'!F""&amp;TO_TEXT(ROW()-$C$72))"),"")</f>
        <v/>
      </c>
      <c r="G2161" s="61" t="str">
        <f>IFERROR(__xludf.DUMMYFUNCTION("INDIRECT(""'收支紀錄'!G""&amp;TO_TEXT(ROW()-$C$72))"),"")</f>
        <v/>
      </c>
      <c r="H2161" s="61" t="str">
        <f>IFERROR(__xludf.DUMMYFUNCTION("INDIRECT(""'收支紀錄'!H""&amp;TO_TEXT(ROW()-$C$72))"),"")</f>
        <v/>
      </c>
      <c r="I2161" s="61" t="str">
        <f>IFERROR(__xludf.DUMMYFUNCTION("INDIRECT(""'收支紀錄'!I""&amp;TO_TEXT(ROW()-$C$72))"),"")</f>
        <v/>
      </c>
      <c r="J2161" s="61" t="str">
        <f>IFERROR(__xludf.DUMMYFUNCTION("INDIRECT(""'收支紀錄'!J""&amp;TO_TEXT(ROW()-$C$72))"),"")</f>
        <v/>
      </c>
      <c r="K2161" s="61" t="str">
        <f>IFERROR(__xludf.DUMMYFUNCTION("INDIRECT(""'收支紀錄'!K""&amp;TO_TEXT(ROW()-$C$72))"),"")</f>
        <v/>
      </c>
      <c r="L2161" s="61" t="str">
        <f>IFERROR(__xludf.DUMMYFUNCTION("INDIRECT(""'收支紀錄'!L""&amp;TO_TEXT(ROW()-$C$72))"),"")</f>
        <v/>
      </c>
      <c r="M2161" s="61" t="str">
        <f>IFERROR(__xludf.DUMMYFUNCTION("INDIRECT(""'收支紀錄'!M""&amp;TO_TEXT(ROW()-$C$72))"),"")</f>
        <v/>
      </c>
      <c r="N2161" s="61" t="str">
        <f>IFERROR(__xludf.DUMMYFUNCTION("INDIRECT(""'收支紀錄'!N""&amp;TO_TEXT(ROW()-$C$72))"),"")</f>
        <v/>
      </c>
      <c r="O2161" s="61" t="str">
        <f>IFERROR(__xludf.DUMMYFUNCTION("INDIRECT(""'收支紀錄'!O""&amp;TO_TEXT(ROW()-$C$72))"),"")</f>
        <v/>
      </c>
      <c r="P2161" s="61" t="str">
        <f>IFERROR(__xludf.DUMMYFUNCTION("INDIRECT(""'收支紀錄'!P""&amp;TO_TEXT(ROW()-$C$72))"),"")</f>
        <v/>
      </c>
      <c r="Q2161" s="61" t="str">
        <f>IFERROR(__xludf.DUMMYFUNCTION("INDIRECT(""'收支紀錄'!Q""&amp;TO_TEXT(ROW()-$C$72))"),"")</f>
        <v/>
      </c>
      <c r="R2161" s="61" t="str">
        <f>IFERROR(__xludf.DUMMYFUNCTION("INDIRECT(""'收支紀錄'!R""&amp;TO_TEXT(ROW()-$C$72))"),"")</f>
        <v/>
      </c>
      <c r="S2161" s="61" t="str">
        <f>IFERROR(__xludf.DUMMYFUNCTION("INDIRECT(""'收支紀錄'!S""&amp;TO_TEXT(ROW()-$C$72))"),"")</f>
        <v/>
      </c>
      <c r="T2161" s="61" t="str">
        <f>IFERROR(__xludf.DUMMYFUNCTION("INDIRECT(""'收支紀錄'!T""&amp;TO_TEXT(ROW()-$C$72))"),"")</f>
        <v/>
      </c>
      <c r="U2161" s="62" t="str">
        <f>IFERROR(__xludf.DUMMYFUNCTION("IF(T2161=""是"",TEXTJOIN("""", TRUE, ""$"", TO_TEXT(C2161), S2161),"""")"),"")</f>
        <v/>
      </c>
    </row>
    <row r="2162">
      <c r="A2162" s="58" t="str">
        <f>IFERROR(__xludf.DUMMYFUNCTION("INDIRECT(""'收支紀錄'!A""&amp;TO_TEXT(ROW()-$C$72))"),"")</f>
        <v/>
      </c>
      <c r="B2162" s="59" t="str">
        <f>IFERROR(__xludf.DUMMYFUNCTION("IF(ISBLANK(D2162), """", IF(ISDATE(D2162), D2162, IF(D2162=""今天"", A2162, IF(D2162=""昨天 (-1 day)"", A2162-1, IF(D2162=""前天 (-2 days)"", A2162-2, IF(D2162=""明天 (+1 day)"", A2162+1, DATE(LEFT(D2162,4), MID(D2162,5,2), RIGHT(D2162,2))))))))"),"")</f>
        <v/>
      </c>
      <c r="C2162" s="60" t="str">
        <f>IFERROR(__xludf.DUMMYFUNCTION("INDIRECT(""'收支紀錄'!C""&amp;TO_TEXT(ROW()-$C$72))"),"")</f>
        <v/>
      </c>
      <c r="D2162" s="63" t="str">
        <f>IFERROR(__xludf.DUMMYFUNCTION("INDIRECT(""'收支紀錄'!D""&amp;TO_TEXT(ROW()-$C$72))"),"")</f>
        <v/>
      </c>
      <c r="E2162" s="61" t="str">
        <f>IFERROR(__xludf.DUMMYFUNCTION("INDIRECT(""'收支紀錄'!E""&amp;TO_TEXT(ROW()-$C$72))"),"")</f>
        <v/>
      </c>
      <c r="F2162" s="61" t="str">
        <f>IFERROR(__xludf.DUMMYFUNCTION("INDIRECT(""'收支紀錄'!F""&amp;TO_TEXT(ROW()-$C$72))"),"")</f>
        <v/>
      </c>
      <c r="G2162" s="61" t="str">
        <f>IFERROR(__xludf.DUMMYFUNCTION("INDIRECT(""'收支紀錄'!G""&amp;TO_TEXT(ROW()-$C$72))"),"")</f>
        <v/>
      </c>
      <c r="H2162" s="61" t="str">
        <f>IFERROR(__xludf.DUMMYFUNCTION("INDIRECT(""'收支紀錄'!H""&amp;TO_TEXT(ROW()-$C$72))"),"")</f>
        <v/>
      </c>
      <c r="I2162" s="61" t="str">
        <f>IFERROR(__xludf.DUMMYFUNCTION("INDIRECT(""'收支紀錄'!I""&amp;TO_TEXT(ROW()-$C$72))"),"")</f>
        <v/>
      </c>
      <c r="J2162" s="61" t="str">
        <f>IFERROR(__xludf.DUMMYFUNCTION("INDIRECT(""'收支紀錄'!J""&amp;TO_TEXT(ROW()-$C$72))"),"")</f>
        <v/>
      </c>
      <c r="K2162" s="61" t="str">
        <f>IFERROR(__xludf.DUMMYFUNCTION("INDIRECT(""'收支紀錄'!K""&amp;TO_TEXT(ROW()-$C$72))"),"")</f>
        <v/>
      </c>
      <c r="L2162" s="61" t="str">
        <f>IFERROR(__xludf.DUMMYFUNCTION("INDIRECT(""'收支紀錄'!L""&amp;TO_TEXT(ROW()-$C$72))"),"")</f>
        <v/>
      </c>
      <c r="M2162" s="61" t="str">
        <f>IFERROR(__xludf.DUMMYFUNCTION("INDIRECT(""'收支紀錄'!M""&amp;TO_TEXT(ROW()-$C$72))"),"")</f>
        <v/>
      </c>
      <c r="N2162" s="61" t="str">
        <f>IFERROR(__xludf.DUMMYFUNCTION("INDIRECT(""'收支紀錄'!N""&amp;TO_TEXT(ROW()-$C$72))"),"")</f>
        <v/>
      </c>
      <c r="O2162" s="61" t="str">
        <f>IFERROR(__xludf.DUMMYFUNCTION("INDIRECT(""'收支紀錄'!O""&amp;TO_TEXT(ROW()-$C$72))"),"")</f>
        <v/>
      </c>
      <c r="P2162" s="61" t="str">
        <f>IFERROR(__xludf.DUMMYFUNCTION("INDIRECT(""'收支紀錄'!P""&amp;TO_TEXT(ROW()-$C$72))"),"")</f>
        <v/>
      </c>
      <c r="Q2162" s="61" t="str">
        <f>IFERROR(__xludf.DUMMYFUNCTION("INDIRECT(""'收支紀錄'!Q""&amp;TO_TEXT(ROW()-$C$72))"),"")</f>
        <v/>
      </c>
      <c r="R2162" s="61" t="str">
        <f>IFERROR(__xludf.DUMMYFUNCTION("INDIRECT(""'收支紀錄'!R""&amp;TO_TEXT(ROW()-$C$72))"),"")</f>
        <v/>
      </c>
      <c r="S2162" s="61" t="str">
        <f>IFERROR(__xludf.DUMMYFUNCTION("INDIRECT(""'收支紀錄'!S""&amp;TO_TEXT(ROW()-$C$72))"),"")</f>
        <v/>
      </c>
      <c r="T2162" s="61" t="str">
        <f>IFERROR(__xludf.DUMMYFUNCTION("INDIRECT(""'收支紀錄'!T""&amp;TO_TEXT(ROW()-$C$72))"),"")</f>
        <v/>
      </c>
      <c r="U2162" s="62" t="str">
        <f>IFERROR(__xludf.DUMMYFUNCTION("IF(T2162=""是"",TEXTJOIN("""", TRUE, ""$"", TO_TEXT(C2162), S2162),"""")"),"")</f>
        <v/>
      </c>
    </row>
    <row r="2163">
      <c r="A2163" s="58" t="str">
        <f>IFERROR(__xludf.DUMMYFUNCTION("INDIRECT(""'收支紀錄'!A""&amp;TO_TEXT(ROW()-$C$72))"),"")</f>
        <v/>
      </c>
      <c r="B2163" s="59" t="str">
        <f>IFERROR(__xludf.DUMMYFUNCTION("IF(ISBLANK(D2163), """", IF(ISDATE(D2163), D2163, IF(D2163=""今天"", A2163, IF(D2163=""昨天 (-1 day)"", A2163-1, IF(D2163=""前天 (-2 days)"", A2163-2, IF(D2163=""明天 (+1 day)"", A2163+1, DATE(LEFT(D2163,4), MID(D2163,5,2), RIGHT(D2163,2))))))))"),"")</f>
        <v/>
      </c>
      <c r="C2163" s="60" t="str">
        <f>IFERROR(__xludf.DUMMYFUNCTION("INDIRECT(""'收支紀錄'!C""&amp;TO_TEXT(ROW()-$C$72))"),"")</f>
        <v/>
      </c>
      <c r="D2163" s="63" t="str">
        <f>IFERROR(__xludf.DUMMYFUNCTION("INDIRECT(""'收支紀錄'!D""&amp;TO_TEXT(ROW()-$C$72))"),"")</f>
        <v/>
      </c>
      <c r="E2163" s="61" t="str">
        <f>IFERROR(__xludf.DUMMYFUNCTION("INDIRECT(""'收支紀錄'!E""&amp;TO_TEXT(ROW()-$C$72))"),"")</f>
        <v/>
      </c>
      <c r="F2163" s="61" t="str">
        <f>IFERROR(__xludf.DUMMYFUNCTION("INDIRECT(""'收支紀錄'!F""&amp;TO_TEXT(ROW()-$C$72))"),"")</f>
        <v/>
      </c>
      <c r="G2163" s="61" t="str">
        <f>IFERROR(__xludf.DUMMYFUNCTION("INDIRECT(""'收支紀錄'!G""&amp;TO_TEXT(ROW()-$C$72))"),"")</f>
        <v/>
      </c>
      <c r="H2163" s="61" t="str">
        <f>IFERROR(__xludf.DUMMYFUNCTION("INDIRECT(""'收支紀錄'!H""&amp;TO_TEXT(ROW()-$C$72))"),"")</f>
        <v/>
      </c>
      <c r="I2163" s="61" t="str">
        <f>IFERROR(__xludf.DUMMYFUNCTION("INDIRECT(""'收支紀錄'!I""&amp;TO_TEXT(ROW()-$C$72))"),"")</f>
        <v/>
      </c>
      <c r="J2163" s="61" t="str">
        <f>IFERROR(__xludf.DUMMYFUNCTION("INDIRECT(""'收支紀錄'!J""&amp;TO_TEXT(ROW()-$C$72))"),"")</f>
        <v/>
      </c>
      <c r="K2163" s="61" t="str">
        <f>IFERROR(__xludf.DUMMYFUNCTION("INDIRECT(""'收支紀錄'!K""&amp;TO_TEXT(ROW()-$C$72))"),"")</f>
        <v/>
      </c>
      <c r="L2163" s="61" t="str">
        <f>IFERROR(__xludf.DUMMYFUNCTION("INDIRECT(""'收支紀錄'!L""&amp;TO_TEXT(ROW()-$C$72))"),"")</f>
        <v/>
      </c>
      <c r="M2163" s="61" t="str">
        <f>IFERROR(__xludf.DUMMYFUNCTION("INDIRECT(""'收支紀錄'!M""&amp;TO_TEXT(ROW()-$C$72))"),"")</f>
        <v/>
      </c>
      <c r="N2163" s="61" t="str">
        <f>IFERROR(__xludf.DUMMYFUNCTION("INDIRECT(""'收支紀錄'!N""&amp;TO_TEXT(ROW()-$C$72))"),"")</f>
        <v/>
      </c>
      <c r="O2163" s="61" t="str">
        <f>IFERROR(__xludf.DUMMYFUNCTION("INDIRECT(""'收支紀錄'!O""&amp;TO_TEXT(ROW()-$C$72))"),"")</f>
        <v/>
      </c>
      <c r="P2163" s="61" t="str">
        <f>IFERROR(__xludf.DUMMYFUNCTION("INDIRECT(""'收支紀錄'!P""&amp;TO_TEXT(ROW()-$C$72))"),"")</f>
        <v/>
      </c>
      <c r="Q2163" s="61" t="str">
        <f>IFERROR(__xludf.DUMMYFUNCTION("INDIRECT(""'收支紀錄'!Q""&amp;TO_TEXT(ROW()-$C$72))"),"")</f>
        <v/>
      </c>
      <c r="R2163" s="61" t="str">
        <f>IFERROR(__xludf.DUMMYFUNCTION("INDIRECT(""'收支紀錄'!R""&amp;TO_TEXT(ROW()-$C$72))"),"")</f>
        <v/>
      </c>
      <c r="S2163" s="61" t="str">
        <f>IFERROR(__xludf.DUMMYFUNCTION("INDIRECT(""'收支紀錄'!S""&amp;TO_TEXT(ROW()-$C$72))"),"")</f>
        <v/>
      </c>
      <c r="T2163" s="61" t="str">
        <f>IFERROR(__xludf.DUMMYFUNCTION("INDIRECT(""'收支紀錄'!T""&amp;TO_TEXT(ROW()-$C$72))"),"")</f>
        <v/>
      </c>
      <c r="U2163" s="62" t="str">
        <f>IFERROR(__xludf.DUMMYFUNCTION("IF(T2163=""是"",TEXTJOIN("""", TRUE, ""$"", TO_TEXT(C2163), S2163),"""")"),"")</f>
        <v/>
      </c>
    </row>
    <row r="2164">
      <c r="A2164" s="58" t="str">
        <f>IFERROR(__xludf.DUMMYFUNCTION("INDIRECT(""'收支紀錄'!A""&amp;TO_TEXT(ROW()-$C$72))"),"")</f>
        <v/>
      </c>
      <c r="B2164" s="59" t="str">
        <f>IFERROR(__xludf.DUMMYFUNCTION("IF(ISBLANK(D2164), """", IF(ISDATE(D2164), D2164, IF(D2164=""今天"", A2164, IF(D2164=""昨天 (-1 day)"", A2164-1, IF(D2164=""前天 (-2 days)"", A2164-2, IF(D2164=""明天 (+1 day)"", A2164+1, DATE(LEFT(D2164,4), MID(D2164,5,2), RIGHT(D2164,2))))))))"),"")</f>
        <v/>
      </c>
      <c r="C2164" s="60" t="str">
        <f>IFERROR(__xludf.DUMMYFUNCTION("INDIRECT(""'收支紀錄'!C""&amp;TO_TEXT(ROW()-$C$72))"),"")</f>
        <v/>
      </c>
      <c r="D2164" s="63" t="str">
        <f>IFERROR(__xludf.DUMMYFUNCTION("INDIRECT(""'收支紀錄'!D""&amp;TO_TEXT(ROW()-$C$72))"),"")</f>
        <v/>
      </c>
      <c r="E2164" s="61" t="str">
        <f>IFERROR(__xludf.DUMMYFUNCTION("INDIRECT(""'收支紀錄'!E""&amp;TO_TEXT(ROW()-$C$72))"),"")</f>
        <v/>
      </c>
      <c r="F2164" s="61" t="str">
        <f>IFERROR(__xludf.DUMMYFUNCTION("INDIRECT(""'收支紀錄'!F""&amp;TO_TEXT(ROW()-$C$72))"),"")</f>
        <v/>
      </c>
      <c r="G2164" s="61" t="str">
        <f>IFERROR(__xludf.DUMMYFUNCTION("INDIRECT(""'收支紀錄'!G""&amp;TO_TEXT(ROW()-$C$72))"),"")</f>
        <v/>
      </c>
      <c r="H2164" s="61" t="str">
        <f>IFERROR(__xludf.DUMMYFUNCTION("INDIRECT(""'收支紀錄'!H""&amp;TO_TEXT(ROW()-$C$72))"),"")</f>
        <v/>
      </c>
      <c r="I2164" s="61" t="str">
        <f>IFERROR(__xludf.DUMMYFUNCTION("INDIRECT(""'收支紀錄'!I""&amp;TO_TEXT(ROW()-$C$72))"),"")</f>
        <v/>
      </c>
      <c r="J2164" s="61" t="str">
        <f>IFERROR(__xludf.DUMMYFUNCTION("INDIRECT(""'收支紀錄'!J""&amp;TO_TEXT(ROW()-$C$72))"),"")</f>
        <v/>
      </c>
      <c r="K2164" s="61" t="str">
        <f>IFERROR(__xludf.DUMMYFUNCTION("INDIRECT(""'收支紀錄'!K""&amp;TO_TEXT(ROW()-$C$72))"),"")</f>
        <v/>
      </c>
      <c r="L2164" s="61" t="str">
        <f>IFERROR(__xludf.DUMMYFUNCTION("INDIRECT(""'收支紀錄'!L""&amp;TO_TEXT(ROW()-$C$72))"),"")</f>
        <v/>
      </c>
      <c r="M2164" s="61" t="str">
        <f>IFERROR(__xludf.DUMMYFUNCTION("INDIRECT(""'收支紀錄'!M""&amp;TO_TEXT(ROW()-$C$72))"),"")</f>
        <v/>
      </c>
      <c r="N2164" s="61" t="str">
        <f>IFERROR(__xludf.DUMMYFUNCTION("INDIRECT(""'收支紀錄'!N""&amp;TO_TEXT(ROW()-$C$72))"),"")</f>
        <v/>
      </c>
      <c r="O2164" s="61" t="str">
        <f>IFERROR(__xludf.DUMMYFUNCTION("INDIRECT(""'收支紀錄'!O""&amp;TO_TEXT(ROW()-$C$72))"),"")</f>
        <v/>
      </c>
      <c r="P2164" s="61" t="str">
        <f>IFERROR(__xludf.DUMMYFUNCTION("INDIRECT(""'收支紀錄'!P""&amp;TO_TEXT(ROW()-$C$72))"),"")</f>
        <v/>
      </c>
      <c r="Q2164" s="61" t="str">
        <f>IFERROR(__xludf.DUMMYFUNCTION("INDIRECT(""'收支紀錄'!Q""&amp;TO_TEXT(ROW()-$C$72))"),"")</f>
        <v/>
      </c>
      <c r="R2164" s="61" t="str">
        <f>IFERROR(__xludf.DUMMYFUNCTION("INDIRECT(""'收支紀錄'!R""&amp;TO_TEXT(ROW()-$C$72))"),"")</f>
        <v/>
      </c>
      <c r="S2164" s="61" t="str">
        <f>IFERROR(__xludf.DUMMYFUNCTION("INDIRECT(""'收支紀錄'!S""&amp;TO_TEXT(ROW()-$C$72))"),"")</f>
        <v/>
      </c>
      <c r="T2164" s="61" t="str">
        <f>IFERROR(__xludf.DUMMYFUNCTION("INDIRECT(""'收支紀錄'!T""&amp;TO_TEXT(ROW()-$C$72))"),"")</f>
        <v/>
      </c>
      <c r="U2164" s="62" t="str">
        <f>IFERROR(__xludf.DUMMYFUNCTION("IF(T2164=""是"",TEXTJOIN("""", TRUE, ""$"", TO_TEXT(C2164), S2164),"""")"),"")</f>
        <v/>
      </c>
    </row>
    <row r="2165">
      <c r="A2165" s="58" t="str">
        <f>IFERROR(__xludf.DUMMYFUNCTION("INDIRECT(""'收支紀錄'!A""&amp;TO_TEXT(ROW()-$C$72))"),"")</f>
        <v/>
      </c>
      <c r="B2165" s="59" t="str">
        <f>IFERROR(__xludf.DUMMYFUNCTION("IF(ISBLANK(D2165), """", IF(ISDATE(D2165), D2165, IF(D2165=""今天"", A2165, IF(D2165=""昨天 (-1 day)"", A2165-1, IF(D2165=""前天 (-2 days)"", A2165-2, IF(D2165=""明天 (+1 day)"", A2165+1, DATE(LEFT(D2165,4), MID(D2165,5,2), RIGHT(D2165,2))))))))"),"")</f>
        <v/>
      </c>
      <c r="C2165" s="60" t="str">
        <f>IFERROR(__xludf.DUMMYFUNCTION("INDIRECT(""'收支紀錄'!C""&amp;TO_TEXT(ROW()-$C$72))"),"")</f>
        <v/>
      </c>
      <c r="D2165" s="63" t="str">
        <f>IFERROR(__xludf.DUMMYFUNCTION("INDIRECT(""'收支紀錄'!D""&amp;TO_TEXT(ROW()-$C$72))"),"")</f>
        <v/>
      </c>
      <c r="E2165" s="61" t="str">
        <f>IFERROR(__xludf.DUMMYFUNCTION("INDIRECT(""'收支紀錄'!E""&amp;TO_TEXT(ROW()-$C$72))"),"")</f>
        <v/>
      </c>
      <c r="F2165" s="61" t="str">
        <f>IFERROR(__xludf.DUMMYFUNCTION("INDIRECT(""'收支紀錄'!F""&amp;TO_TEXT(ROW()-$C$72))"),"")</f>
        <v/>
      </c>
      <c r="G2165" s="61" t="str">
        <f>IFERROR(__xludf.DUMMYFUNCTION("INDIRECT(""'收支紀錄'!G""&amp;TO_TEXT(ROW()-$C$72))"),"")</f>
        <v/>
      </c>
      <c r="H2165" s="61" t="str">
        <f>IFERROR(__xludf.DUMMYFUNCTION("INDIRECT(""'收支紀錄'!H""&amp;TO_TEXT(ROW()-$C$72))"),"")</f>
        <v/>
      </c>
      <c r="I2165" s="61" t="str">
        <f>IFERROR(__xludf.DUMMYFUNCTION("INDIRECT(""'收支紀錄'!I""&amp;TO_TEXT(ROW()-$C$72))"),"")</f>
        <v/>
      </c>
      <c r="J2165" s="61" t="str">
        <f>IFERROR(__xludf.DUMMYFUNCTION("INDIRECT(""'收支紀錄'!J""&amp;TO_TEXT(ROW()-$C$72))"),"")</f>
        <v/>
      </c>
      <c r="K2165" s="61" t="str">
        <f>IFERROR(__xludf.DUMMYFUNCTION("INDIRECT(""'收支紀錄'!K""&amp;TO_TEXT(ROW()-$C$72))"),"")</f>
        <v/>
      </c>
      <c r="L2165" s="61" t="str">
        <f>IFERROR(__xludf.DUMMYFUNCTION("INDIRECT(""'收支紀錄'!L""&amp;TO_TEXT(ROW()-$C$72))"),"")</f>
        <v/>
      </c>
      <c r="M2165" s="61" t="str">
        <f>IFERROR(__xludf.DUMMYFUNCTION("INDIRECT(""'收支紀錄'!M""&amp;TO_TEXT(ROW()-$C$72))"),"")</f>
        <v/>
      </c>
      <c r="N2165" s="61" t="str">
        <f>IFERROR(__xludf.DUMMYFUNCTION("INDIRECT(""'收支紀錄'!N""&amp;TO_TEXT(ROW()-$C$72))"),"")</f>
        <v/>
      </c>
      <c r="O2165" s="61" t="str">
        <f>IFERROR(__xludf.DUMMYFUNCTION("INDIRECT(""'收支紀錄'!O""&amp;TO_TEXT(ROW()-$C$72))"),"")</f>
        <v/>
      </c>
      <c r="P2165" s="61" t="str">
        <f>IFERROR(__xludf.DUMMYFUNCTION("INDIRECT(""'收支紀錄'!P""&amp;TO_TEXT(ROW()-$C$72))"),"")</f>
        <v/>
      </c>
      <c r="Q2165" s="61" t="str">
        <f>IFERROR(__xludf.DUMMYFUNCTION("INDIRECT(""'收支紀錄'!Q""&amp;TO_TEXT(ROW()-$C$72))"),"")</f>
        <v/>
      </c>
      <c r="R2165" s="61" t="str">
        <f>IFERROR(__xludf.DUMMYFUNCTION("INDIRECT(""'收支紀錄'!R""&amp;TO_TEXT(ROW()-$C$72))"),"")</f>
        <v/>
      </c>
      <c r="S2165" s="61" t="str">
        <f>IFERROR(__xludf.DUMMYFUNCTION("INDIRECT(""'收支紀錄'!S""&amp;TO_TEXT(ROW()-$C$72))"),"")</f>
        <v/>
      </c>
      <c r="T2165" s="61" t="str">
        <f>IFERROR(__xludf.DUMMYFUNCTION("INDIRECT(""'收支紀錄'!T""&amp;TO_TEXT(ROW()-$C$72))"),"")</f>
        <v/>
      </c>
      <c r="U2165" s="62" t="str">
        <f>IFERROR(__xludf.DUMMYFUNCTION("IF(T2165=""是"",TEXTJOIN("""", TRUE, ""$"", TO_TEXT(C2165), S2165),"""")"),"")</f>
        <v/>
      </c>
    </row>
    <row r="2166">
      <c r="A2166" s="58" t="str">
        <f>IFERROR(__xludf.DUMMYFUNCTION("INDIRECT(""'收支紀錄'!A""&amp;TO_TEXT(ROW()-$C$72))"),"")</f>
        <v/>
      </c>
      <c r="B2166" s="59" t="str">
        <f>IFERROR(__xludf.DUMMYFUNCTION("IF(ISBLANK(D2166), """", IF(ISDATE(D2166), D2166, IF(D2166=""今天"", A2166, IF(D2166=""昨天 (-1 day)"", A2166-1, IF(D2166=""前天 (-2 days)"", A2166-2, IF(D2166=""明天 (+1 day)"", A2166+1, DATE(LEFT(D2166,4), MID(D2166,5,2), RIGHT(D2166,2))))))))"),"")</f>
        <v/>
      </c>
      <c r="C2166" s="60" t="str">
        <f>IFERROR(__xludf.DUMMYFUNCTION("INDIRECT(""'收支紀錄'!C""&amp;TO_TEXT(ROW()-$C$72))"),"")</f>
        <v/>
      </c>
      <c r="D2166" s="63" t="str">
        <f>IFERROR(__xludf.DUMMYFUNCTION("INDIRECT(""'收支紀錄'!D""&amp;TO_TEXT(ROW()-$C$72))"),"")</f>
        <v/>
      </c>
      <c r="E2166" s="61" t="str">
        <f>IFERROR(__xludf.DUMMYFUNCTION("INDIRECT(""'收支紀錄'!E""&amp;TO_TEXT(ROW()-$C$72))"),"")</f>
        <v/>
      </c>
      <c r="F2166" s="61" t="str">
        <f>IFERROR(__xludf.DUMMYFUNCTION("INDIRECT(""'收支紀錄'!F""&amp;TO_TEXT(ROW()-$C$72))"),"")</f>
        <v/>
      </c>
      <c r="G2166" s="61" t="str">
        <f>IFERROR(__xludf.DUMMYFUNCTION("INDIRECT(""'收支紀錄'!G""&amp;TO_TEXT(ROW()-$C$72))"),"")</f>
        <v/>
      </c>
      <c r="H2166" s="61" t="str">
        <f>IFERROR(__xludf.DUMMYFUNCTION("INDIRECT(""'收支紀錄'!H""&amp;TO_TEXT(ROW()-$C$72))"),"")</f>
        <v/>
      </c>
      <c r="I2166" s="61" t="str">
        <f>IFERROR(__xludf.DUMMYFUNCTION("INDIRECT(""'收支紀錄'!I""&amp;TO_TEXT(ROW()-$C$72))"),"")</f>
        <v/>
      </c>
      <c r="J2166" s="61" t="str">
        <f>IFERROR(__xludf.DUMMYFUNCTION("INDIRECT(""'收支紀錄'!J""&amp;TO_TEXT(ROW()-$C$72))"),"")</f>
        <v/>
      </c>
      <c r="K2166" s="61" t="str">
        <f>IFERROR(__xludf.DUMMYFUNCTION("INDIRECT(""'收支紀錄'!K""&amp;TO_TEXT(ROW()-$C$72))"),"")</f>
        <v/>
      </c>
      <c r="L2166" s="61" t="str">
        <f>IFERROR(__xludf.DUMMYFUNCTION("INDIRECT(""'收支紀錄'!L""&amp;TO_TEXT(ROW()-$C$72))"),"")</f>
        <v/>
      </c>
      <c r="M2166" s="61" t="str">
        <f>IFERROR(__xludf.DUMMYFUNCTION("INDIRECT(""'收支紀錄'!M""&amp;TO_TEXT(ROW()-$C$72))"),"")</f>
        <v/>
      </c>
      <c r="N2166" s="61" t="str">
        <f>IFERROR(__xludf.DUMMYFUNCTION("INDIRECT(""'收支紀錄'!N""&amp;TO_TEXT(ROW()-$C$72))"),"")</f>
        <v/>
      </c>
      <c r="O2166" s="61" t="str">
        <f>IFERROR(__xludf.DUMMYFUNCTION("INDIRECT(""'收支紀錄'!O""&amp;TO_TEXT(ROW()-$C$72))"),"")</f>
        <v/>
      </c>
      <c r="P2166" s="61" t="str">
        <f>IFERROR(__xludf.DUMMYFUNCTION("INDIRECT(""'收支紀錄'!P""&amp;TO_TEXT(ROW()-$C$72))"),"")</f>
        <v/>
      </c>
      <c r="Q2166" s="61" t="str">
        <f>IFERROR(__xludf.DUMMYFUNCTION("INDIRECT(""'收支紀錄'!Q""&amp;TO_TEXT(ROW()-$C$72))"),"")</f>
        <v/>
      </c>
      <c r="R2166" s="61" t="str">
        <f>IFERROR(__xludf.DUMMYFUNCTION("INDIRECT(""'收支紀錄'!R""&amp;TO_TEXT(ROW()-$C$72))"),"")</f>
        <v/>
      </c>
      <c r="S2166" s="61" t="str">
        <f>IFERROR(__xludf.DUMMYFUNCTION("INDIRECT(""'收支紀錄'!S""&amp;TO_TEXT(ROW()-$C$72))"),"")</f>
        <v/>
      </c>
      <c r="T2166" s="61" t="str">
        <f>IFERROR(__xludf.DUMMYFUNCTION("INDIRECT(""'收支紀錄'!T""&amp;TO_TEXT(ROW()-$C$72))"),"")</f>
        <v/>
      </c>
      <c r="U2166" s="62" t="str">
        <f>IFERROR(__xludf.DUMMYFUNCTION("IF(T2166=""是"",TEXTJOIN("""", TRUE, ""$"", TO_TEXT(C2166), S2166),"""")"),"")</f>
        <v/>
      </c>
    </row>
    <row r="2167">
      <c r="A2167" s="58" t="str">
        <f>IFERROR(__xludf.DUMMYFUNCTION("INDIRECT(""'收支紀錄'!A""&amp;TO_TEXT(ROW()-$C$72))"),"")</f>
        <v/>
      </c>
      <c r="B2167" s="59" t="str">
        <f>IFERROR(__xludf.DUMMYFUNCTION("IF(ISBLANK(D2167), """", IF(ISDATE(D2167), D2167, IF(D2167=""今天"", A2167, IF(D2167=""昨天 (-1 day)"", A2167-1, IF(D2167=""前天 (-2 days)"", A2167-2, IF(D2167=""明天 (+1 day)"", A2167+1, DATE(LEFT(D2167,4), MID(D2167,5,2), RIGHT(D2167,2))))))))"),"")</f>
        <v/>
      </c>
      <c r="C2167" s="60" t="str">
        <f>IFERROR(__xludf.DUMMYFUNCTION("INDIRECT(""'收支紀錄'!C""&amp;TO_TEXT(ROW()-$C$72))"),"")</f>
        <v/>
      </c>
      <c r="D2167" s="63" t="str">
        <f>IFERROR(__xludf.DUMMYFUNCTION("INDIRECT(""'收支紀錄'!D""&amp;TO_TEXT(ROW()-$C$72))"),"")</f>
        <v/>
      </c>
      <c r="E2167" s="61" t="str">
        <f>IFERROR(__xludf.DUMMYFUNCTION("INDIRECT(""'收支紀錄'!E""&amp;TO_TEXT(ROW()-$C$72))"),"")</f>
        <v/>
      </c>
      <c r="F2167" s="61" t="str">
        <f>IFERROR(__xludf.DUMMYFUNCTION("INDIRECT(""'收支紀錄'!F""&amp;TO_TEXT(ROW()-$C$72))"),"")</f>
        <v/>
      </c>
      <c r="G2167" s="61" t="str">
        <f>IFERROR(__xludf.DUMMYFUNCTION("INDIRECT(""'收支紀錄'!G""&amp;TO_TEXT(ROW()-$C$72))"),"")</f>
        <v/>
      </c>
      <c r="H2167" s="61" t="str">
        <f>IFERROR(__xludf.DUMMYFUNCTION("INDIRECT(""'收支紀錄'!H""&amp;TO_TEXT(ROW()-$C$72))"),"")</f>
        <v/>
      </c>
      <c r="I2167" s="61" t="str">
        <f>IFERROR(__xludf.DUMMYFUNCTION("INDIRECT(""'收支紀錄'!I""&amp;TO_TEXT(ROW()-$C$72))"),"")</f>
        <v/>
      </c>
      <c r="J2167" s="61" t="str">
        <f>IFERROR(__xludf.DUMMYFUNCTION("INDIRECT(""'收支紀錄'!J""&amp;TO_TEXT(ROW()-$C$72))"),"")</f>
        <v/>
      </c>
      <c r="K2167" s="61" t="str">
        <f>IFERROR(__xludf.DUMMYFUNCTION("INDIRECT(""'收支紀錄'!K""&amp;TO_TEXT(ROW()-$C$72))"),"")</f>
        <v/>
      </c>
      <c r="L2167" s="61" t="str">
        <f>IFERROR(__xludf.DUMMYFUNCTION("INDIRECT(""'收支紀錄'!L""&amp;TO_TEXT(ROW()-$C$72))"),"")</f>
        <v/>
      </c>
      <c r="M2167" s="61" t="str">
        <f>IFERROR(__xludf.DUMMYFUNCTION("INDIRECT(""'收支紀錄'!M""&amp;TO_TEXT(ROW()-$C$72))"),"")</f>
        <v/>
      </c>
      <c r="N2167" s="61" t="str">
        <f>IFERROR(__xludf.DUMMYFUNCTION("INDIRECT(""'收支紀錄'!N""&amp;TO_TEXT(ROW()-$C$72))"),"")</f>
        <v/>
      </c>
      <c r="O2167" s="61" t="str">
        <f>IFERROR(__xludf.DUMMYFUNCTION("INDIRECT(""'收支紀錄'!O""&amp;TO_TEXT(ROW()-$C$72))"),"")</f>
        <v/>
      </c>
      <c r="P2167" s="61" t="str">
        <f>IFERROR(__xludf.DUMMYFUNCTION("INDIRECT(""'收支紀錄'!P""&amp;TO_TEXT(ROW()-$C$72))"),"")</f>
        <v/>
      </c>
      <c r="Q2167" s="61" t="str">
        <f>IFERROR(__xludf.DUMMYFUNCTION("INDIRECT(""'收支紀錄'!Q""&amp;TO_TEXT(ROW()-$C$72))"),"")</f>
        <v/>
      </c>
      <c r="R2167" s="61" t="str">
        <f>IFERROR(__xludf.DUMMYFUNCTION("INDIRECT(""'收支紀錄'!R""&amp;TO_TEXT(ROW()-$C$72))"),"")</f>
        <v/>
      </c>
      <c r="S2167" s="61" t="str">
        <f>IFERROR(__xludf.DUMMYFUNCTION("INDIRECT(""'收支紀錄'!S""&amp;TO_TEXT(ROW()-$C$72))"),"")</f>
        <v/>
      </c>
      <c r="T2167" s="61" t="str">
        <f>IFERROR(__xludf.DUMMYFUNCTION("INDIRECT(""'收支紀錄'!T""&amp;TO_TEXT(ROW()-$C$72))"),"")</f>
        <v/>
      </c>
      <c r="U2167" s="62" t="str">
        <f>IFERROR(__xludf.DUMMYFUNCTION("IF(T2167=""是"",TEXTJOIN("""", TRUE, ""$"", TO_TEXT(C2167), S2167),"""")"),"")</f>
        <v/>
      </c>
    </row>
    <row r="2168">
      <c r="A2168" s="58" t="str">
        <f>IFERROR(__xludf.DUMMYFUNCTION("INDIRECT(""'收支紀錄'!A""&amp;TO_TEXT(ROW()-$C$72))"),"")</f>
        <v/>
      </c>
      <c r="B2168" s="59" t="str">
        <f>IFERROR(__xludf.DUMMYFUNCTION("IF(ISBLANK(D2168), """", IF(ISDATE(D2168), D2168, IF(D2168=""今天"", A2168, IF(D2168=""昨天 (-1 day)"", A2168-1, IF(D2168=""前天 (-2 days)"", A2168-2, IF(D2168=""明天 (+1 day)"", A2168+1, DATE(LEFT(D2168,4), MID(D2168,5,2), RIGHT(D2168,2))))))))"),"")</f>
        <v/>
      </c>
      <c r="C2168" s="60" t="str">
        <f>IFERROR(__xludf.DUMMYFUNCTION("INDIRECT(""'收支紀錄'!C""&amp;TO_TEXT(ROW()-$C$72))"),"")</f>
        <v/>
      </c>
      <c r="D2168" s="63" t="str">
        <f>IFERROR(__xludf.DUMMYFUNCTION("INDIRECT(""'收支紀錄'!D""&amp;TO_TEXT(ROW()-$C$72))"),"")</f>
        <v/>
      </c>
      <c r="E2168" s="61" t="str">
        <f>IFERROR(__xludf.DUMMYFUNCTION("INDIRECT(""'收支紀錄'!E""&amp;TO_TEXT(ROW()-$C$72))"),"")</f>
        <v/>
      </c>
      <c r="F2168" s="61" t="str">
        <f>IFERROR(__xludf.DUMMYFUNCTION("INDIRECT(""'收支紀錄'!F""&amp;TO_TEXT(ROW()-$C$72))"),"")</f>
        <v/>
      </c>
      <c r="G2168" s="61" t="str">
        <f>IFERROR(__xludf.DUMMYFUNCTION("INDIRECT(""'收支紀錄'!G""&amp;TO_TEXT(ROW()-$C$72))"),"")</f>
        <v/>
      </c>
      <c r="H2168" s="61" t="str">
        <f>IFERROR(__xludf.DUMMYFUNCTION("INDIRECT(""'收支紀錄'!H""&amp;TO_TEXT(ROW()-$C$72))"),"")</f>
        <v/>
      </c>
      <c r="I2168" s="61" t="str">
        <f>IFERROR(__xludf.DUMMYFUNCTION("INDIRECT(""'收支紀錄'!I""&amp;TO_TEXT(ROW()-$C$72))"),"")</f>
        <v/>
      </c>
      <c r="J2168" s="61" t="str">
        <f>IFERROR(__xludf.DUMMYFUNCTION("INDIRECT(""'收支紀錄'!J""&amp;TO_TEXT(ROW()-$C$72))"),"")</f>
        <v/>
      </c>
      <c r="K2168" s="61" t="str">
        <f>IFERROR(__xludf.DUMMYFUNCTION("INDIRECT(""'收支紀錄'!K""&amp;TO_TEXT(ROW()-$C$72))"),"")</f>
        <v/>
      </c>
      <c r="L2168" s="61" t="str">
        <f>IFERROR(__xludf.DUMMYFUNCTION("INDIRECT(""'收支紀錄'!L""&amp;TO_TEXT(ROW()-$C$72))"),"")</f>
        <v/>
      </c>
      <c r="M2168" s="61" t="str">
        <f>IFERROR(__xludf.DUMMYFUNCTION("INDIRECT(""'收支紀錄'!M""&amp;TO_TEXT(ROW()-$C$72))"),"")</f>
        <v/>
      </c>
      <c r="N2168" s="61" t="str">
        <f>IFERROR(__xludf.DUMMYFUNCTION("INDIRECT(""'收支紀錄'!N""&amp;TO_TEXT(ROW()-$C$72))"),"")</f>
        <v/>
      </c>
      <c r="O2168" s="61" t="str">
        <f>IFERROR(__xludf.DUMMYFUNCTION("INDIRECT(""'收支紀錄'!O""&amp;TO_TEXT(ROW()-$C$72))"),"")</f>
        <v/>
      </c>
      <c r="P2168" s="61" t="str">
        <f>IFERROR(__xludf.DUMMYFUNCTION("INDIRECT(""'收支紀錄'!P""&amp;TO_TEXT(ROW()-$C$72))"),"")</f>
        <v/>
      </c>
      <c r="Q2168" s="61" t="str">
        <f>IFERROR(__xludf.DUMMYFUNCTION("INDIRECT(""'收支紀錄'!Q""&amp;TO_TEXT(ROW()-$C$72))"),"")</f>
        <v/>
      </c>
      <c r="R2168" s="61" t="str">
        <f>IFERROR(__xludf.DUMMYFUNCTION("INDIRECT(""'收支紀錄'!R""&amp;TO_TEXT(ROW()-$C$72))"),"")</f>
        <v/>
      </c>
      <c r="S2168" s="61" t="str">
        <f>IFERROR(__xludf.DUMMYFUNCTION("INDIRECT(""'收支紀錄'!S""&amp;TO_TEXT(ROW()-$C$72))"),"")</f>
        <v/>
      </c>
      <c r="T2168" s="61" t="str">
        <f>IFERROR(__xludf.DUMMYFUNCTION("INDIRECT(""'收支紀錄'!T""&amp;TO_TEXT(ROW()-$C$72))"),"")</f>
        <v/>
      </c>
      <c r="U2168" s="62" t="str">
        <f>IFERROR(__xludf.DUMMYFUNCTION("IF(T2168=""是"",TEXTJOIN("""", TRUE, ""$"", TO_TEXT(C2168), S2168),"""")"),"")</f>
        <v/>
      </c>
    </row>
    <row r="2169">
      <c r="A2169" s="58" t="str">
        <f>IFERROR(__xludf.DUMMYFUNCTION("INDIRECT(""'收支紀錄'!A""&amp;TO_TEXT(ROW()-$C$72))"),"")</f>
        <v/>
      </c>
      <c r="B2169" s="59" t="str">
        <f>IFERROR(__xludf.DUMMYFUNCTION("IF(ISBLANK(D2169), """", IF(ISDATE(D2169), D2169, IF(D2169=""今天"", A2169, IF(D2169=""昨天 (-1 day)"", A2169-1, IF(D2169=""前天 (-2 days)"", A2169-2, IF(D2169=""明天 (+1 day)"", A2169+1, DATE(LEFT(D2169,4), MID(D2169,5,2), RIGHT(D2169,2))))))))"),"")</f>
        <v/>
      </c>
      <c r="C2169" s="60" t="str">
        <f>IFERROR(__xludf.DUMMYFUNCTION("INDIRECT(""'收支紀錄'!C""&amp;TO_TEXT(ROW()-$C$72))"),"")</f>
        <v/>
      </c>
      <c r="D2169" s="63" t="str">
        <f>IFERROR(__xludf.DUMMYFUNCTION("INDIRECT(""'收支紀錄'!D""&amp;TO_TEXT(ROW()-$C$72))"),"")</f>
        <v/>
      </c>
      <c r="E2169" s="61" t="str">
        <f>IFERROR(__xludf.DUMMYFUNCTION("INDIRECT(""'收支紀錄'!E""&amp;TO_TEXT(ROW()-$C$72))"),"")</f>
        <v/>
      </c>
      <c r="F2169" s="61" t="str">
        <f>IFERROR(__xludf.DUMMYFUNCTION("INDIRECT(""'收支紀錄'!F""&amp;TO_TEXT(ROW()-$C$72))"),"")</f>
        <v/>
      </c>
      <c r="G2169" s="61" t="str">
        <f>IFERROR(__xludf.DUMMYFUNCTION("INDIRECT(""'收支紀錄'!G""&amp;TO_TEXT(ROW()-$C$72))"),"")</f>
        <v/>
      </c>
      <c r="H2169" s="61" t="str">
        <f>IFERROR(__xludf.DUMMYFUNCTION("INDIRECT(""'收支紀錄'!H""&amp;TO_TEXT(ROW()-$C$72))"),"")</f>
        <v/>
      </c>
      <c r="I2169" s="61" t="str">
        <f>IFERROR(__xludf.DUMMYFUNCTION("INDIRECT(""'收支紀錄'!I""&amp;TO_TEXT(ROW()-$C$72))"),"")</f>
        <v/>
      </c>
      <c r="J2169" s="61" t="str">
        <f>IFERROR(__xludf.DUMMYFUNCTION("INDIRECT(""'收支紀錄'!J""&amp;TO_TEXT(ROW()-$C$72))"),"")</f>
        <v/>
      </c>
      <c r="K2169" s="61" t="str">
        <f>IFERROR(__xludf.DUMMYFUNCTION("INDIRECT(""'收支紀錄'!K""&amp;TO_TEXT(ROW()-$C$72))"),"")</f>
        <v/>
      </c>
      <c r="L2169" s="61" t="str">
        <f>IFERROR(__xludf.DUMMYFUNCTION("INDIRECT(""'收支紀錄'!L""&amp;TO_TEXT(ROW()-$C$72))"),"")</f>
        <v/>
      </c>
      <c r="M2169" s="61" t="str">
        <f>IFERROR(__xludf.DUMMYFUNCTION("INDIRECT(""'收支紀錄'!M""&amp;TO_TEXT(ROW()-$C$72))"),"")</f>
        <v/>
      </c>
      <c r="N2169" s="61" t="str">
        <f>IFERROR(__xludf.DUMMYFUNCTION("INDIRECT(""'收支紀錄'!N""&amp;TO_TEXT(ROW()-$C$72))"),"")</f>
        <v/>
      </c>
      <c r="O2169" s="61" t="str">
        <f>IFERROR(__xludf.DUMMYFUNCTION("INDIRECT(""'收支紀錄'!O""&amp;TO_TEXT(ROW()-$C$72))"),"")</f>
        <v/>
      </c>
      <c r="P2169" s="61" t="str">
        <f>IFERROR(__xludf.DUMMYFUNCTION("INDIRECT(""'收支紀錄'!P""&amp;TO_TEXT(ROW()-$C$72))"),"")</f>
        <v/>
      </c>
      <c r="Q2169" s="61" t="str">
        <f>IFERROR(__xludf.DUMMYFUNCTION("INDIRECT(""'收支紀錄'!Q""&amp;TO_TEXT(ROW()-$C$72))"),"")</f>
        <v/>
      </c>
      <c r="R2169" s="61" t="str">
        <f>IFERROR(__xludf.DUMMYFUNCTION("INDIRECT(""'收支紀錄'!R""&amp;TO_TEXT(ROW()-$C$72))"),"")</f>
        <v/>
      </c>
      <c r="S2169" s="61" t="str">
        <f>IFERROR(__xludf.DUMMYFUNCTION("INDIRECT(""'收支紀錄'!S""&amp;TO_TEXT(ROW()-$C$72))"),"")</f>
        <v/>
      </c>
      <c r="T2169" s="61" t="str">
        <f>IFERROR(__xludf.DUMMYFUNCTION("INDIRECT(""'收支紀錄'!T""&amp;TO_TEXT(ROW()-$C$72))"),"")</f>
        <v/>
      </c>
      <c r="U2169" s="62" t="str">
        <f>IFERROR(__xludf.DUMMYFUNCTION("IF(T2169=""是"",TEXTJOIN("""", TRUE, ""$"", TO_TEXT(C2169), S2169),"""")"),"")</f>
        <v/>
      </c>
    </row>
    <row r="2170">
      <c r="A2170" s="58" t="str">
        <f>IFERROR(__xludf.DUMMYFUNCTION("INDIRECT(""'收支紀錄'!A""&amp;TO_TEXT(ROW()-$C$72))"),"")</f>
        <v/>
      </c>
      <c r="B2170" s="59" t="str">
        <f>IFERROR(__xludf.DUMMYFUNCTION("IF(ISBLANK(D2170), """", IF(ISDATE(D2170), D2170, IF(D2170=""今天"", A2170, IF(D2170=""昨天 (-1 day)"", A2170-1, IF(D2170=""前天 (-2 days)"", A2170-2, IF(D2170=""明天 (+1 day)"", A2170+1, DATE(LEFT(D2170,4), MID(D2170,5,2), RIGHT(D2170,2))))))))"),"")</f>
        <v/>
      </c>
      <c r="C2170" s="60" t="str">
        <f>IFERROR(__xludf.DUMMYFUNCTION("INDIRECT(""'收支紀錄'!C""&amp;TO_TEXT(ROW()-$C$72))"),"")</f>
        <v/>
      </c>
      <c r="D2170" s="63" t="str">
        <f>IFERROR(__xludf.DUMMYFUNCTION("INDIRECT(""'收支紀錄'!D""&amp;TO_TEXT(ROW()-$C$72))"),"")</f>
        <v/>
      </c>
      <c r="E2170" s="61" t="str">
        <f>IFERROR(__xludf.DUMMYFUNCTION("INDIRECT(""'收支紀錄'!E""&amp;TO_TEXT(ROW()-$C$72))"),"")</f>
        <v/>
      </c>
      <c r="F2170" s="61" t="str">
        <f>IFERROR(__xludf.DUMMYFUNCTION("INDIRECT(""'收支紀錄'!F""&amp;TO_TEXT(ROW()-$C$72))"),"")</f>
        <v/>
      </c>
      <c r="G2170" s="61" t="str">
        <f>IFERROR(__xludf.DUMMYFUNCTION("INDIRECT(""'收支紀錄'!G""&amp;TO_TEXT(ROW()-$C$72))"),"")</f>
        <v/>
      </c>
      <c r="H2170" s="61" t="str">
        <f>IFERROR(__xludf.DUMMYFUNCTION("INDIRECT(""'收支紀錄'!H""&amp;TO_TEXT(ROW()-$C$72))"),"")</f>
        <v/>
      </c>
      <c r="I2170" s="61" t="str">
        <f>IFERROR(__xludf.DUMMYFUNCTION("INDIRECT(""'收支紀錄'!I""&amp;TO_TEXT(ROW()-$C$72))"),"")</f>
        <v/>
      </c>
      <c r="J2170" s="61" t="str">
        <f>IFERROR(__xludf.DUMMYFUNCTION("INDIRECT(""'收支紀錄'!J""&amp;TO_TEXT(ROW()-$C$72))"),"")</f>
        <v/>
      </c>
      <c r="K2170" s="61" t="str">
        <f>IFERROR(__xludf.DUMMYFUNCTION("INDIRECT(""'收支紀錄'!K""&amp;TO_TEXT(ROW()-$C$72))"),"")</f>
        <v/>
      </c>
      <c r="L2170" s="61" t="str">
        <f>IFERROR(__xludf.DUMMYFUNCTION("INDIRECT(""'收支紀錄'!L""&amp;TO_TEXT(ROW()-$C$72))"),"")</f>
        <v/>
      </c>
      <c r="M2170" s="61" t="str">
        <f>IFERROR(__xludf.DUMMYFUNCTION("INDIRECT(""'收支紀錄'!M""&amp;TO_TEXT(ROW()-$C$72))"),"")</f>
        <v/>
      </c>
      <c r="N2170" s="61" t="str">
        <f>IFERROR(__xludf.DUMMYFUNCTION("INDIRECT(""'收支紀錄'!N""&amp;TO_TEXT(ROW()-$C$72))"),"")</f>
        <v/>
      </c>
      <c r="O2170" s="61" t="str">
        <f>IFERROR(__xludf.DUMMYFUNCTION("INDIRECT(""'收支紀錄'!O""&amp;TO_TEXT(ROW()-$C$72))"),"")</f>
        <v/>
      </c>
      <c r="P2170" s="61" t="str">
        <f>IFERROR(__xludf.DUMMYFUNCTION("INDIRECT(""'收支紀錄'!P""&amp;TO_TEXT(ROW()-$C$72))"),"")</f>
        <v/>
      </c>
      <c r="Q2170" s="61" t="str">
        <f>IFERROR(__xludf.DUMMYFUNCTION("INDIRECT(""'收支紀錄'!Q""&amp;TO_TEXT(ROW()-$C$72))"),"")</f>
        <v/>
      </c>
      <c r="R2170" s="61" t="str">
        <f>IFERROR(__xludf.DUMMYFUNCTION("INDIRECT(""'收支紀錄'!R""&amp;TO_TEXT(ROW()-$C$72))"),"")</f>
        <v/>
      </c>
      <c r="S2170" s="61" t="str">
        <f>IFERROR(__xludf.DUMMYFUNCTION("INDIRECT(""'收支紀錄'!S""&amp;TO_TEXT(ROW()-$C$72))"),"")</f>
        <v/>
      </c>
      <c r="T2170" s="61" t="str">
        <f>IFERROR(__xludf.DUMMYFUNCTION("INDIRECT(""'收支紀錄'!T""&amp;TO_TEXT(ROW()-$C$72))"),"")</f>
        <v/>
      </c>
      <c r="U2170" s="62" t="str">
        <f>IFERROR(__xludf.DUMMYFUNCTION("IF(T2170=""是"",TEXTJOIN("""", TRUE, ""$"", TO_TEXT(C2170), S2170),"""")"),"")</f>
        <v/>
      </c>
    </row>
    <row r="2171">
      <c r="A2171" s="58" t="str">
        <f>IFERROR(__xludf.DUMMYFUNCTION("INDIRECT(""'收支紀錄'!A""&amp;TO_TEXT(ROW()-$C$72))"),"")</f>
        <v/>
      </c>
      <c r="B2171" s="59" t="str">
        <f>IFERROR(__xludf.DUMMYFUNCTION("IF(ISBLANK(D2171), """", IF(ISDATE(D2171), D2171, IF(D2171=""今天"", A2171, IF(D2171=""昨天 (-1 day)"", A2171-1, IF(D2171=""前天 (-2 days)"", A2171-2, IF(D2171=""明天 (+1 day)"", A2171+1, DATE(LEFT(D2171,4), MID(D2171,5,2), RIGHT(D2171,2))))))))"),"")</f>
        <v/>
      </c>
      <c r="C2171" s="60" t="str">
        <f>IFERROR(__xludf.DUMMYFUNCTION("INDIRECT(""'收支紀錄'!C""&amp;TO_TEXT(ROW()-$C$72))"),"")</f>
        <v/>
      </c>
      <c r="D2171" s="63" t="str">
        <f>IFERROR(__xludf.DUMMYFUNCTION("INDIRECT(""'收支紀錄'!D""&amp;TO_TEXT(ROW()-$C$72))"),"")</f>
        <v/>
      </c>
      <c r="E2171" s="61" t="str">
        <f>IFERROR(__xludf.DUMMYFUNCTION("INDIRECT(""'收支紀錄'!E""&amp;TO_TEXT(ROW()-$C$72))"),"")</f>
        <v/>
      </c>
      <c r="F2171" s="61" t="str">
        <f>IFERROR(__xludf.DUMMYFUNCTION("INDIRECT(""'收支紀錄'!F""&amp;TO_TEXT(ROW()-$C$72))"),"")</f>
        <v/>
      </c>
      <c r="G2171" s="61" t="str">
        <f>IFERROR(__xludf.DUMMYFUNCTION("INDIRECT(""'收支紀錄'!G""&amp;TO_TEXT(ROW()-$C$72))"),"")</f>
        <v/>
      </c>
      <c r="H2171" s="61" t="str">
        <f>IFERROR(__xludf.DUMMYFUNCTION("INDIRECT(""'收支紀錄'!H""&amp;TO_TEXT(ROW()-$C$72))"),"")</f>
        <v/>
      </c>
      <c r="I2171" s="61" t="str">
        <f>IFERROR(__xludf.DUMMYFUNCTION("INDIRECT(""'收支紀錄'!I""&amp;TO_TEXT(ROW()-$C$72))"),"")</f>
        <v/>
      </c>
      <c r="J2171" s="61" t="str">
        <f>IFERROR(__xludf.DUMMYFUNCTION("INDIRECT(""'收支紀錄'!J""&amp;TO_TEXT(ROW()-$C$72))"),"")</f>
        <v/>
      </c>
      <c r="K2171" s="61" t="str">
        <f>IFERROR(__xludf.DUMMYFUNCTION("INDIRECT(""'收支紀錄'!K""&amp;TO_TEXT(ROW()-$C$72))"),"")</f>
        <v/>
      </c>
      <c r="L2171" s="61" t="str">
        <f>IFERROR(__xludf.DUMMYFUNCTION("INDIRECT(""'收支紀錄'!L""&amp;TO_TEXT(ROW()-$C$72))"),"")</f>
        <v/>
      </c>
      <c r="M2171" s="61" t="str">
        <f>IFERROR(__xludf.DUMMYFUNCTION("INDIRECT(""'收支紀錄'!M""&amp;TO_TEXT(ROW()-$C$72))"),"")</f>
        <v/>
      </c>
      <c r="N2171" s="61" t="str">
        <f>IFERROR(__xludf.DUMMYFUNCTION("INDIRECT(""'收支紀錄'!N""&amp;TO_TEXT(ROW()-$C$72))"),"")</f>
        <v/>
      </c>
      <c r="O2171" s="61" t="str">
        <f>IFERROR(__xludf.DUMMYFUNCTION("INDIRECT(""'收支紀錄'!O""&amp;TO_TEXT(ROW()-$C$72))"),"")</f>
        <v/>
      </c>
      <c r="P2171" s="61" t="str">
        <f>IFERROR(__xludf.DUMMYFUNCTION("INDIRECT(""'收支紀錄'!P""&amp;TO_TEXT(ROW()-$C$72))"),"")</f>
        <v/>
      </c>
      <c r="Q2171" s="61" t="str">
        <f>IFERROR(__xludf.DUMMYFUNCTION("INDIRECT(""'收支紀錄'!Q""&amp;TO_TEXT(ROW()-$C$72))"),"")</f>
        <v/>
      </c>
      <c r="R2171" s="61" t="str">
        <f>IFERROR(__xludf.DUMMYFUNCTION("INDIRECT(""'收支紀錄'!R""&amp;TO_TEXT(ROW()-$C$72))"),"")</f>
        <v/>
      </c>
      <c r="S2171" s="61" t="str">
        <f>IFERROR(__xludf.DUMMYFUNCTION("INDIRECT(""'收支紀錄'!S""&amp;TO_TEXT(ROW()-$C$72))"),"")</f>
        <v/>
      </c>
      <c r="T2171" s="61" t="str">
        <f>IFERROR(__xludf.DUMMYFUNCTION("INDIRECT(""'收支紀錄'!T""&amp;TO_TEXT(ROW()-$C$72))"),"")</f>
        <v/>
      </c>
      <c r="U2171" s="62" t="str">
        <f>IFERROR(__xludf.DUMMYFUNCTION("IF(T2171=""是"",TEXTJOIN("""", TRUE, ""$"", TO_TEXT(C2171), S2171),"""")"),"")</f>
        <v/>
      </c>
    </row>
    <row r="2172">
      <c r="A2172" s="58" t="str">
        <f>IFERROR(__xludf.DUMMYFUNCTION("INDIRECT(""'收支紀錄'!A""&amp;TO_TEXT(ROW()-$C$72))"),"")</f>
        <v/>
      </c>
      <c r="B2172" s="59" t="str">
        <f>IFERROR(__xludf.DUMMYFUNCTION("IF(ISBLANK(D2172), """", IF(ISDATE(D2172), D2172, IF(D2172=""今天"", A2172, IF(D2172=""昨天 (-1 day)"", A2172-1, IF(D2172=""前天 (-2 days)"", A2172-2, IF(D2172=""明天 (+1 day)"", A2172+1, DATE(LEFT(D2172,4), MID(D2172,5,2), RIGHT(D2172,2))))))))"),"")</f>
        <v/>
      </c>
      <c r="C2172" s="60" t="str">
        <f>IFERROR(__xludf.DUMMYFUNCTION("INDIRECT(""'收支紀錄'!C""&amp;TO_TEXT(ROW()-$C$72))"),"")</f>
        <v/>
      </c>
      <c r="D2172" s="63" t="str">
        <f>IFERROR(__xludf.DUMMYFUNCTION("INDIRECT(""'收支紀錄'!D""&amp;TO_TEXT(ROW()-$C$72))"),"")</f>
        <v/>
      </c>
      <c r="E2172" s="61" t="str">
        <f>IFERROR(__xludf.DUMMYFUNCTION("INDIRECT(""'收支紀錄'!E""&amp;TO_TEXT(ROW()-$C$72))"),"")</f>
        <v/>
      </c>
      <c r="F2172" s="61" t="str">
        <f>IFERROR(__xludf.DUMMYFUNCTION("INDIRECT(""'收支紀錄'!F""&amp;TO_TEXT(ROW()-$C$72))"),"")</f>
        <v/>
      </c>
      <c r="G2172" s="61" t="str">
        <f>IFERROR(__xludf.DUMMYFUNCTION("INDIRECT(""'收支紀錄'!G""&amp;TO_TEXT(ROW()-$C$72))"),"")</f>
        <v/>
      </c>
      <c r="H2172" s="61" t="str">
        <f>IFERROR(__xludf.DUMMYFUNCTION("INDIRECT(""'收支紀錄'!H""&amp;TO_TEXT(ROW()-$C$72))"),"")</f>
        <v/>
      </c>
      <c r="I2172" s="61" t="str">
        <f>IFERROR(__xludf.DUMMYFUNCTION("INDIRECT(""'收支紀錄'!I""&amp;TO_TEXT(ROW()-$C$72))"),"")</f>
        <v/>
      </c>
      <c r="J2172" s="61" t="str">
        <f>IFERROR(__xludf.DUMMYFUNCTION("INDIRECT(""'收支紀錄'!J""&amp;TO_TEXT(ROW()-$C$72))"),"")</f>
        <v/>
      </c>
      <c r="K2172" s="61" t="str">
        <f>IFERROR(__xludf.DUMMYFUNCTION("INDIRECT(""'收支紀錄'!K""&amp;TO_TEXT(ROW()-$C$72))"),"")</f>
        <v/>
      </c>
      <c r="L2172" s="61" t="str">
        <f>IFERROR(__xludf.DUMMYFUNCTION("INDIRECT(""'收支紀錄'!L""&amp;TO_TEXT(ROW()-$C$72))"),"")</f>
        <v/>
      </c>
      <c r="M2172" s="61" t="str">
        <f>IFERROR(__xludf.DUMMYFUNCTION("INDIRECT(""'收支紀錄'!M""&amp;TO_TEXT(ROW()-$C$72))"),"")</f>
        <v/>
      </c>
      <c r="N2172" s="61" t="str">
        <f>IFERROR(__xludf.DUMMYFUNCTION("INDIRECT(""'收支紀錄'!N""&amp;TO_TEXT(ROW()-$C$72))"),"")</f>
        <v/>
      </c>
      <c r="O2172" s="61" t="str">
        <f>IFERROR(__xludf.DUMMYFUNCTION("INDIRECT(""'收支紀錄'!O""&amp;TO_TEXT(ROW()-$C$72))"),"")</f>
        <v/>
      </c>
      <c r="P2172" s="61" t="str">
        <f>IFERROR(__xludf.DUMMYFUNCTION("INDIRECT(""'收支紀錄'!P""&amp;TO_TEXT(ROW()-$C$72))"),"")</f>
        <v/>
      </c>
      <c r="Q2172" s="61" t="str">
        <f>IFERROR(__xludf.DUMMYFUNCTION("INDIRECT(""'收支紀錄'!Q""&amp;TO_TEXT(ROW()-$C$72))"),"")</f>
        <v/>
      </c>
      <c r="R2172" s="61" t="str">
        <f>IFERROR(__xludf.DUMMYFUNCTION("INDIRECT(""'收支紀錄'!R""&amp;TO_TEXT(ROW()-$C$72))"),"")</f>
        <v/>
      </c>
      <c r="S2172" s="61" t="str">
        <f>IFERROR(__xludf.DUMMYFUNCTION("INDIRECT(""'收支紀錄'!S""&amp;TO_TEXT(ROW()-$C$72))"),"")</f>
        <v/>
      </c>
      <c r="T2172" s="61" t="str">
        <f>IFERROR(__xludf.DUMMYFUNCTION("INDIRECT(""'收支紀錄'!T""&amp;TO_TEXT(ROW()-$C$72))"),"")</f>
        <v/>
      </c>
      <c r="U2172" s="62" t="str">
        <f>IFERROR(__xludf.DUMMYFUNCTION("IF(T2172=""是"",TEXTJOIN("""", TRUE, ""$"", TO_TEXT(C2172), S2172),"""")"),"")</f>
        <v/>
      </c>
    </row>
  </sheetData>
  <mergeCells count="7">
    <mergeCell ref="B1:E1"/>
    <mergeCell ref="F1:L1"/>
    <mergeCell ref="B34:C34"/>
    <mergeCell ref="D34:E34"/>
    <mergeCell ref="F34:J34"/>
    <mergeCell ref="K34:P34"/>
    <mergeCell ref="Q34:R34"/>
  </mergeCells>
  <conditionalFormatting sqref="F70">
    <cfRule type="cellIs" dxfId="5" priority="1" operator="notEqual">
      <formula>0</formula>
    </cfRule>
  </conditionalFormatting>
  <conditionalFormatting sqref="F70">
    <cfRule type="cellIs" dxfId="6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63"/>
    <col customWidth="1" min="2" max="2" width="9.0"/>
    <col customWidth="1" min="3" max="3" width="8.75"/>
    <col customWidth="1" min="4" max="5" width="9.5"/>
    <col customWidth="1" min="6" max="6" width="48.63"/>
    <col customWidth="1" min="7" max="7" width="7.0"/>
    <col customWidth="1" min="8" max="9" width="9.0"/>
    <col customWidth="1" min="10" max="10" width="15.0"/>
    <col customWidth="1" min="11" max="11" width="9.0"/>
    <col customWidth="1" min="12" max="12" width="6.0"/>
    <col customWidth="1" min="13" max="14" width="10.63"/>
    <col customWidth="1" min="15" max="15" width="60.5"/>
    <col customWidth="1" min="16" max="17" width="10.63"/>
    <col customWidth="1" min="21" max="21" width="66.5"/>
  </cols>
  <sheetData>
    <row r="1">
      <c r="A1" s="64" t="s">
        <v>38</v>
      </c>
      <c r="B1" s="65"/>
      <c r="C1" s="66" t="s">
        <v>61</v>
      </c>
      <c r="D1" s="15"/>
      <c r="E1" s="15"/>
      <c r="F1" s="15"/>
      <c r="G1" s="15"/>
      <c r="H1" s="16"/>
      <c r="I1" s="66" t="s">
        <v>39</v>
      </c>
      <c r="J1" s="15"/>
      <c r="K1" s="15"/>
      <c r="L1" s="15"/>
      <c r="M1" s="15"/>
      <c r="N1" s="15"/>
      <c r="O1" s="15"/>
      <c r="P1" s="16"/>
      <c r="Q1" s="67" t="s">
        <v>399</v>
      </c>
      <c r="R1" s="68" t="s">
        <v>400</v>
      </c>
      <c r="S1" s="15"/>
      <c r="T1" s="16"/>
      <c r="U1" s="69" t="s">
        <v>18</v>
      </c>
    </row>
    <row r="2">
      <c r="A2" s="70" t="s">
        <v>401</v>
      </c>
      <c r="B2" s="71" t="s">
        <v>402</v>
      </c>
      <c r="C2" s="70" t="s">
        <v>403</v>
      </c>
      <c r="D2" s="72" t="s">
        <v>404</v>
      </c>
      <c r="E2" s="72" t="s">
        <v>405</v>
      </c>
      <c r="F2" s="73" t="s">
        <v>18</v>
      </c>
      <c r="G2" s="74" t="s">
        <v>406</v>
      </c>
      <c r="H2" s="75" t="s">
        <v>407</v>
      </c>
      <c r="I2" s="76" t="s">
        <v>40</v>
      </c>
      <c r="J2" s="73" t="s">
        <v>100</v>
      </c>
      <c r="K2" s="73" t="s">
        <v>375</v>
      </c>
      <c r="L2" s="73" t="s">
        <v>376</v>
      </c>
      <c r="M2" s="77" t="s">
        <v>139</v>
      </c>
      <c r="N2" s="73" t="s">
        <v>79</v>
      </c>
      <c r="O2" s="73" t="s">
        <v>18</v>
      </c>
      <c r="P2" s="74" t="s">
        <v>408</v>
      </c>
      <c r="Q2" s="65"/>
      <c r="R2" s="78" t="s">
        <v>409</v>
      </c>
      <c r="S2" s="79" t="s">
        <v>410</v>
      </c>
      <c r="T2" s="80" t="s">
        <v>411</v>
      </c>
      <c r="U2" s="81"/>
    </row>
    <row r="3">
      <c r="A3" s="82">
        <v>2018.0</v>
      </c>
      <c r="B3" s="83" t="s">
        <v>412</v>
      </c>
      <c r="C3" s="84">
        <v>55264.0</v>
      </c>
      <c r="D3" s="81"/>
      <c r="E3" s="81"/>
      <c r="F3" s="85" t="s">
        <v>413</v>
      </c>
      <c r="G3" s="86"/>
      <c r="H3" s="87">
        <f t="shared" ref="H3:H71" si="1">SUM(C3:E3)</f>
        <v>55264</v>
      </c>
      <c r="I3" s="81"/>
      <c r="J3" s="81"/>
      <c r="K3" s="81"/>
      <c r="L3" s="81"/>
      <c r="M3" s="81"/>
      <c r="N3" s="81"/>
      <c r="O3" s="81"/>
      <c r="P3" s="87">
        <f t="shared" ref="P3:P64" si="2">SUM(I3:N3)</f>
        <v>0</v>
      </c>
      <c r="Q3" s="87">
        <f t="shared" ref="Q3:Q71" si="3">H3+P3</f>
        <v>55264</v>
      </c>
      <c r="R3" s="88"/>
      <c r="S3" s="89"/>
      <c r="T3" s="90"/>
      <c r="U3" s="81"/>
    </row>
    <row r="4">
      <c r="A4" s="91"/>
      <c r="B4" s="92">
        <v>43405.0</v>
      </c>
      <c r="C4" s="84">
        <v>52002.0</v>
      </c>
      <c r="D4" s="81"/>
      <c r="E4" s="81"/>
      <c r="F4" s="81"/>
      <c r="G4" s="87" t="s">
        <v>414</v>
      </c>
      <c r="H4" s="87">
        <f t="shared" si="1"/>
        <v>52002</v>
      </c>
      <c r="I4" s="81"/>
      <c r="J4" s="81"/>
      <c r="K4" s="81"/>
      <c r="L4" s="81"/>
      <c r="M4" s="81"/>
      <c r="N4" s="81"/>
      <c r="O4" s="81"/>
      <c r="P4" s="87">
        <f t="shared" si="2"/>
        <v>0</v>
      </c>
      <c r="Q4" s="87">
        <f t="shared" si="3"/>
        <v>52002</v>
      </c>
      <c r="R4" s="93"/>
      <c r="S4" s="94"/>
      <c r="T4" s="95"/>
      <c r="U4" s="81"/>
    </row>
    <row r="5">
      <c r="A5" s="96"/>
      <c r="B5" s="97">
        <v>43435.0</v>
      </c>
      <c r="C5" s="98">
        <v>60334.0</v>
      </c>
      <c r="D5" s="99"/>
      <c r="E5" s="98">
        <v>18710.0</v>
      </c>
      <c r="F5" s="99"/>
      <c r="G5" s="100" t="s">
        <v>415</v>
      </c>
      <c r="H5" s="100">
        <f t="shared" si="1"/>
        <v>79044</v>
      </c>
      <c r="I5" s="99"/>
      <c r="J5" s="99"/>
      <c r="K5" s="99"/>
      <c r="L5" s="99"/>
      <c r="M5" s="99"/>
      <c r="N5" s="99"/>
      <c r="O5" s="99"/>
      <c r="P5" s="100">
        <f t="shared" si="2"/>
        <v>0</v>
      </c>
      <c r="Q5" s="100">
        <f t="shared" si="3"/>
        <v>79044</v>
      </c>
      <c r="R5" s="101"/>
      <c r="S5" s="102"/>
      <c r="T5" s="103"/>
      <c r="U5" s="81"/>
    </row>
    <row r="6">
      <c r="A6" s="104">
        <v>2019.0</v>
      </c>
      <c r="B6" s="92">
        <v>43466.0</v>
      </c>
      <c r="C6" s="84">
        <v>60000.0</v>
      </c>
      <c r="D6" s="84">
        <v>12009.0</v>
      </c>
      <c r="E6" s="81"/>
      <c r="F6" s="85" t="s">
        <v>416</v>
      </c>
      <c r="G6" s="87" t="s">
        <v>417</v>
      </c>
      <c r="H6" s="87">
        <f t="shared" si="1"/>
        <v>72009</v>
      </c>
      <c r="I6" s="81"/>
      <c r="J6" s="81"/>
      <c r="K6" s="81"/>
      <c r="L6" s="81"/>
      <c r="M6" s="84"/>
      <c r="N6" s="84">
        <v>600.0</v>
      </c>
      <c r="O6" s="81"/>
      <c r="P6" s="87">
        <f t="shared" si="2"/>
        <v>600</v>
      </c>
      <c r="Q6" s="87">
        <f t="shared" si="3"/>
        <v>72609</v>
      </c>
      <c r="R6" s="105" t="s">
        <v>418</v>
      </c>
      <c r="S6" s="106">
        <f>SUM(H6:H17)</f>
        <v>1273307</v>
      </c>
      <c r="T6" s="107">
        <f t="shared" ref="T6:T9" si="4">S6/12</f>
        <v>106108.9167</v>
      </c>
      <c r="U6" s="81"/>
    </row>
    <row r="7">
      <c r="B7" s="92">
        <v>43497.0</v>
      </c>
      <c r="C7" s="84">
        <v>69002.0</v>
      </c>
      <c r="D7" s="84">
        <v>23974.0</v>
      </c>
      <c r="E7" s="84">
        <v>500.0</v>
      </c>
      <c r="F7" s="81"/>
      <c r="G7" s="87" t="s">
        <v>419</v>
      </c>
      <c r="H7" s="87">
        <f t="shared" si="1"/>
        <v>93476</v>
      </c>
      <c r="I7" s="81"/>
      <c r="J7" s="81"/>
      <c r="K7" s="81"/>
      <c r="L7" s="81"/>
      <c r="M7" s="81"/>
      <c r="N7" s="81"/>
      <c r="O7" s="81"/>
      <c r="P7" s="87">
        <f t="shared" si="2"/>
        <v>0</v>
      </c>
      <c r="Q7" s="87">
        <f t="shared" si="3"/>
        <v>93476</v>
      </c>
      <c r="R7" s="108" t="s">
        <v>40</v>
      </c>
      <c r="S7" s="109">
        <f>SUM(I6:I17)</f>
        <v>0</v>
      </c>
      <c r="T7" s="110">
        <f t="shared" si="4"/>
        <v>0</v>
      </c>
      <c r="U7" s="81"/>
    </row>
    <row r="8">
      <c r="B8" s="92">
        <v>43525.0</v>
      </c>
      <c r="C8" s="84">
        <v>63002.0</v>
      </c>
      <c r="D8" s="84">
        <v>13194.0</v>
      </c>
      <c r="E8" s="81"/>
      <c r="F8" s="111"/>
      <c r="G8" s="87" t="s">
        <v>420</v>
      </c>
      <c r="H8" s="87">
        <f t="shared" si="1"/>
        <v>76196</v>
      </c>
      <c r="I8" s="81"/>
      <c r="J8" s="81"/>
      <c r="K8" s="81"/>
      <c r="L8" s="81"/>
      <c r="M8" s="84"/>
      <c r="N8" s="84">
        <v>100.0</v>
      </c>
      <c r="O8" s="85" t="s">
        <v>421</v>
      </c>
      <c r="P8" s="87">
        <f t="shared" si="2"/>
        <v>100</v>
      </c>
      <c r="Q8" s="87">
        <f t="shared" si="3"/>
        <v>76296</v>
      </c>
      <c r="R8" s="108" t="s">
        <v>422</v>
      </c>
      <c r="S8" s="112">
        <f>SUM(P6:P17)</f>
        <v>700</v>
      </c>
      <c r="T8" s="113">
        <f t="shared" si="4"/>
        <v>58.33333333</v>
      </c>
      <c r="U8" s="81"/>
    </row>
    <row r="9">
      <c r="B9" s="92">
        <v>43556.0</v>
      </c>
      <c r="C9" s="84">
        <v>63002.0</v>
      </c>
      <c r="D9" s="84">
        <v>11386.0</v>
      </c>
      <c r="E9" s="81"/>
      <c r="F9" s="81"/>
      <c r="G9" s="87" t="s">
        <v>423</v>
      </c>
      <c r="H9" s="87">
        <f t="shared" si="1"/>
        <v>74388</v>
      </c>
      <c r="I9" s="81"/>
      <c r="J9" s="81"/>
      <c r="K9" s="81"/>
      <c r="L9" s="81"/>
      <c r="M9" s="81"/>
      <c r="N9" s="81"/>
      <c r="O9" s="81"/>
      <c r="P9" s="87">
        <f t="shared" si="2"/>
        <v>0</v>
      </c>
      <c r="Q9" s="87">
        <f t="shared" si="3"/>
        <v>74388</v>
      </c>
      <c r="R9" s="108" t="s">
        <v>424</v>
      </c>
      <c r="S9" s="112">
        <f>SUM(Q6:Q17)</f>
        <v>1274007</v>
      </c>
      <c r="T9" s="113">
        <f t="shared" si="4"/>
        <v>106167.25</v>
      </c>
      <c r="U9" s="81"/>
    </row>
    <row r="10">
      <c r="B10" s="92">
        <v>43586.0</v>
      </c>
      <c r="C10" s="84">
        <v>63000.0</v>
      </c>
      <c r="D10" s="84">
        <v>22163.0</v>
      </c>
      <c r="E10" s="81"/>
      <c r="F10" s="81"/>
      <c r="G10" s="87" t="s">
        <v>425</v>
      </c>
      <c r="H10" s="87">
        <f t="shared" si="1"/>
        <v>85163</v>
      </c>
      <c r="I10" s="81"/>
      <c r="J10" s="81"/>
      <c r="K10" s="81"/>
      <c r="L10" s="81"/>
      <c r="M10" s="81"/>
      <c r="N10" s="81"/>
      <c r="O10" s="81"/>
      <c r="P10" s="87">
        <f t="shared" si="2"/>
        <v>0</v>
      </c>
      <c r="Q10" s="87">
        <f t="shared" si="3"/>
        <v>85163</v>
      </c>
      <c r="R10" s="93"/>
      <c r="S10" s="94"/>
      <c r="T10" s="95"/>
      <c r="U10" s="81"/>
    </row>
    <row r="11">
      <c r="B11" s="92">
        <v>43617.0</v>
      </c>
      <c r="C11" s="84">
        <v>63000.0</v>
      </c>
      <c r="D11" s="84">
        <v>25444.0</v>
      </c>
      <c r="E11" s="81"/>
      <c r="F11" s="81"/>
      <c r="G11" s="87" t="s">
        <v>426</v>
      </c>
      <c r="H11" s="87">
        <f t="shared" si="1"/>
        <v>88444</v>
      </c>
      <c r="I11" s="81"/>
      <c r="J11" s="81"/>
      <c r="K11" s="81"/>
      <c r="L11" s="81"/>
      <c r="M11" s="81"/>
      <c r="N11" s="81"/>
      <c r="O11" s="81"/>
      <c r="P11" s="87">
        <f t="shared" si="2"/>
        <v>0</v>
      </c>
      <c r="Q11" s="87">
        <f t="shared" si="3"/>
        <v>88444</v>
      </c>
      <c r="R11" s="93"/>
      <c r="S11" s="94"/>
      <c r="T11" s="95"/>
      <c r="U11" s="81"/>
    </row>
    <row r="12">
      <c r="B12" s="92">
        <v>43647.0</v>
      </c>
      <c r="C12" s="84">
        <v>63000.0</v>
      </c>
      <c r="D12" s="84">
        <v>12765.0</v>
      </c>
      <c r="E12" s="81"/>
      <c r="F12" s="81"/>
      <c r="G12" s="87" t="s">
        <v>427</v>
      </c>
      <c r="H12" s="87">
        <f t="shared" si="1"/>
        <v>75765</v>
      </c>
      <c r="I12" s="81"/>
      <c r="J12" s="81"/>
      <c r="K12" s="81"/>
      <c r="L12" s="81"/>
      <c r="M12" s="81"/>
      <c r="N12" s="81"/>
      <c r="O12" s="81"/>
      <c r="P12" s="87">
        <f t="shared" si="2"/>
        <v>0</v>
      </c>
      <c r="Q12" s="87">
        <f t="shared" si="3"/>
        <v>75765</v>
      </c>
      <c r="R12" s="93"/>
      <c r="S12" s="94"/>
      <c r="T12" s="95"/>
      <c r="U12" s="81"/>
    </row>
    <row r="13">
      <c r="B13" s="92">
        <v>43678.0</v>
      </c>
      <c r="C13" s="84">
        <v>63002.0</v>
      </c>
      <c r="D13" s="84">
        <v>19454.0</v>
      </c>
      <c r="E13" s="84">
        <v>3000.0</v>
      </c>
      <c r="F13" s="85" t="s">
        <v>428</v>
      </c>
      <c r="G13" s="87" t="s">
        <v>429</v>
      </c>
      <c r="H13" s="87">
        <f t="shared" si="1"/>
        <v>85456</v>
      </c>
      <c r="I13" s="81"/>
      <c r="J13" s="81"/>
      <c r="K13" s="81"/>
      <c r="L13" s="81"/>
      <c r="M13" s="81"/>
      <c r="N13" s="81"/>
      <c r="O13" s="81"/>
      <c r="P13" s="87">
        <f t="shared" si="2"/>
        <v>0</v>
      </c>
      <c r="Q13" s="87">
        <f t="shared" si="3"/>
        <v>85456</v>
      </c>
      <c r="R13" s="93"/>
      <c r="S13" s="94"/>
      <c r="T13" s="95"/>
      <c r="U13" s="81"/>
    </row>
    <row r="14">
      <c r="B14" s="92">
        <v>43709.0</v>
      </c>
      <c r="C14" s="84">
        <v>63000.0</v>
      </c>
      <c r="D14" s="84">
        <v>26360.0</v>
      </c>
      <c r="E14" s="81"/>
      <c r="F14" s="81"/>
      <c r="G14" s="87" t="s">
        <v>430</v>
      </c>
      <c r="H14" s="87">
        <f t="shared" si="1"/>
        <v>89360</v>
      </c>
      <c r="I14" s="81"/>
      <c r="J14" s="81"/>
      <c r="K14" s="81"/>
      <c r="L14" s="81"/>
      <c r="M14" s="81"/>
      <c r="N14" s="81"/>
      <c r="O14" s="81"/>
      <c r="P14" s="87">
        <f t="shared" si="2"/>
        <v>0</v>
      </c>
      <c r="Q14" s="87">
        <f t="shared" si="3"/>
        <v>89360</v>
      </c>
      <c r="R14" s="93"/>
      <c r="S14" s="94"/>
      <c r="T14" s="95"/>
      <c r="U14" s="81"/>
    </row>
    <row r="15">
      <c r="B15" s="92">
        <v>43739.0</v>
      </c>
      <c r="C15" s="84">
        <v>63002.0</v>
      </c>
      <c r="D15" s="84">
        <v>23669.0</v>
      </c>
      <c r="E15" s="81"/>
      <c r="F15" s="81"/>
      <c r="G15" s="87" t="s">
        <v>431</v>
      </c>
      <c r="H15" s="87">
        <f t="shared" si="1"/>
        <v>86671</v>
      </c>
      <c r="I15" s="81"/>
      <c r="J15" s="81"/>
      <c r="K15" s="81"/>
      <c r="L15" s="81"/>
      <c r="M15" s="81"/>
      <c r="N15" s="81"/>
      <c r="O15" s="81"/>
      <c r="P15" s="87">
        <f t="shared" si="2"/>
        <v>0</v>
      </c>
      <c r="Q15" s="87">
        <f t="shared" si="3"/>
        <v>86671</v>
      </c>
      <c r="R15" s="93"/>
      <c r="S15" s="94"/>
      <c r="T15" s="95"/>
      <c r="U15" s="81"/>
    </row>
    <row r="16">
      <c r="B16" s="92">
        <v>43770.0</v>
      </c>
      <c r="C16" s="84">
        <v>64890.0</v>
      </c>
      <c r="D16" s="84">
        <v>18121.0</v>
      </c>
      <c r="E16" s="84">
        <v>139569.0</v>
      </c>
      <c r="F16" s="85" t="s">
        <v>432</v>
      </c>
      <c r="G16" s="87" t="s">
        <v>433</v>
      </c>
      <c r="H16" s="87">
        <f t="shared" si="1"/>
        <v>222580</v>
      </c>
      <c r="I16" s="81"/>
      <c r="J16" s="81"/>
      <c r="K16" s="81"/>
      <c r="L16" s="81"/>
      <c r="M16" s="81"/>
      <c r="N16" s="81"/>
      <c r="O16" s="81"/>
      <c r="P16" s="87">
        <f t="shared" si="2"/>
        <v>0</v>
      </c>
      <c r="Q16" s="87">
        <f t="shared" si="3"/>
        <v>222580</v>
      </c>
      <c r="R16" s="93"/>
      <c r="S16" s="94"/>
      <c r="T16" s="95"/>
      <c r="U16" s="81"/>
    </row>
    <row r="17">
      <c r="A17" s="114"/>
      <c r="B17" s="97">
        <v>43800.0</v>
      </c>
      <c r="C17" s="98">
        <v>70389.0</v>
      </c>
      <c r="D17" s="98">
        <v>19962.0</v>
      </c>
      <c r="E17" s="98">
        <v>133448.0</v>
      </c>
      <c r="F17" s="115" t="s">
        <v>434</v>
      </c>
      <c r="G17" s="100" t="s">
        <v>435</v>
      </c>
      <c r="H17" s="100">
        <f t="shared" si="1"/>
        <v>223799</v>
      </c>
      <c r="I17" s="99"/>
      <c r="J17" s="99"/>
      <c r="K17" s="99"/>
      <c r="L17" s="99"/>
      <c r="M17" s="99"/>
      <c r="N17" s="99"/>
      <c r="O17" s="99"/>
      <c r="P17" s="100">
        <f t="shared" si="2"/>
        <v>0</v>
      </c>
      <c r="Q17" s="100">
        <f t="shared" si="3"/>
        <v>223799</v>
      </c>
      <c r="R17" s="93"/>
      <c r="S17" s="94"/>
      <c r="T17" s="95"/>
      <c r="U17" s="81"/>
    </row>
    <row r="18">
      <c r="A18" s="104">
        <v>2020.0</v>
      </c>
      <c r="B18" s="92">
        <v>43831.0</v>
      </c>
      <c r="C18" s="84">
        <v>68505.0</v>
      </c>
      <c r="D18" s="84">
        <v>16546.0</v>
      </c>
      <c r="E18" s="81"/>
      <c r="F18" s="81"/>
      <c r="G18" s="87" t="s">
        <v>436</v>
      </c>
      <c r="H18" s="87">
        <f t="shared" si="1"/>
        <v>85051</v>
      </c>
      <c r="I18" s="81"/>
      <c r="J18" s="81"/>
      <c r="K18" s="81"/>
      <c r="L18" s="81"/>
      <c r="M18" s="81"/>
      <c r="N18" s="81"/>
      <c r="O18" s="81"/>
      <c r="P18" s="87">
        <f t="shared" si="2"/>
        <v>0</v>
      </c>
      <c r="Q18" s="87">
        <f t="shared" si="3"/>
        <v>85051</v>
      </c>
      <c r="R18" s="105" t="s">
        <v>437</v>
      </c>
      <c r="S18" s="106">
        <f>SUM(H18:H29)</f>
        <v>812699</v>
      </c>
      <c r="T18" s="107">
        <f t="shared" ref="T18:T21" si="5">S18/12</f>
        <v>67724.91667</v>
      </c>
      <c r="U18" s="81"/>
    </row>
    <row r="19">
      <c r="B19" s="92">
        <v>43862.0</v>
      </c>
      <c r="C19" s="84">
        <v>68678.0</v>
      </c>
      <c r="D19" s="84">
        <v>18074.0</v>
      </c>
      <c r="E19" s="81"/>
      <c r="F19" s="81"/>
      <c r="G19" s="87" t="s">
        <v>438</v>
      </c>
      <c r="H19" s="87">
        <f t="shared" si="1"/>
        <v>86752</v>
      </c>
      <c r="I19" s="81"/>
      <c r="J19" s="84">
        <v>300.0</v>
      </c>
      <c r="K19" s="81"/>
      <c r="L19" s="81"/>
      <c r="M19" s="81"/>
      <c r="N19" s="81"/>
      <c r="O19" s="85" t="s">
        <v>439</v>
      </c>
      <c r="P19" s="87">
        <f t="shared" si="2"/>
        <v>300</v>
      </c>
      <c r="Q19" s="87">
        <f t="shared" si="3"/>
        <v>87052</v>
      </c>
      <c r="R19" s="108" t="s">
        <v>40</v>
      </c>
      <c r="S19" s="109">
        <f>SUM(I18:I29)</f>
        <v>0</v>
      </c>
      <c r="T19" s="110">
        <f t="shared" si="5"/>
        <v>0</v>
      </c>
      <c r="U19" s="81"/>
    </row>
    <row r="20">
      <c r="B20" s="92">
        <v>43891.0</v>
      </c>
      <c r="C20" s="84">
        <v>68461.0</v>
      </c>
      <c r="D20" s="84">
        <v>23881.0</v>
      </c>
      <c r="E20" s="81"/>
      <c r="F20" s="81"/>
      <c r="G20" s="87" t="s">
        <v>440</v>
      </c>
      <c r="H20" s="87">
        <f t="shared" si="1"/>
        <v>92342</v>
      </c>
      <c r="I20" s="81"/>
      <c r="J20" s="81"/>
      <c r="K20" s="81"/>
      <c r="L20" s="81"/>
      <c r="M20" s="81"/>
      <c r="N20" s="81"/>
      <c r="O20" s="81"/>
      <c r="P20" s="87">
        <f t="shared" si="2"/>
        <v>0</v>
      </c>
      <c r="Q20" s="87">
        <f t="shared" si="3"/>
        <v>92342</v>
      </c>
      <c r="R20" s="108" t="s">
        <v>441</v>
      </c>
      <c r="S20" s="112">
        <f>SUM(P18:P29)</f>
        <v>16200</v>
      </c>
      <c r="T20" s="113">
        <f t="shared" si="5"/>
        <v>1350</v>
      </c>
      <c r="U20" s="81"/>
    </row>
    <row r="21">
      <c r="B21" s="92">
        <v>43922.0</v>
      </c>
      <c r="C21" s="84">
        <v>68461.0</v>
      </c>
      <c r="D21" s="84">
        <v>22414.0</v>
      </c>
      <c r="E21" s="81"/>
      <c r="F21" s="81"/>
      <c r="G21" s="87" t="s">
        <v>442</v>
      </c>
      <c r="H21" s="87">
        <f t="shared" si="1"/>
        <v>90875</v>
      </c>
      <c r="I21" s="81"/>
      <c r="J21" s="81"/>
      <c r="K21" s="81"/>
      <c r="L21" s="81"/>
      <c r="M21" s="84"/>
      <c r="N21" s="84">
        <v>15000.0</v>
      </c>
      <c r="O21" s="85" t="s">
        <v>443</v>
      </c>
      <c r="P21" s="87">
        <f t="shared" si="2"/>
        <v>15000</v>
      </c>
      <c r="Q21" s="87">
        <f t="shared" si="3"/>
        <v>105875</v>
      </c>
      <c r="R21" s="108" t="s">
        <v>444</v>
      </c>
      <c r="S21" s="112">
        <f>SUM(Q18:Q29)</f>
        <v>828899</v>
      </c>
      <c r="T21" s="113">
        <f t="shared" si="5"/>
        <v>69074.91667</v>
      </c>
      <c r="U21" s="81"/>
    </row>
    <row r="22">
      <c r="B22" s="92">
        <v>43952.0</v>
      </c>
      <c r="C22" s="84">
        <v>0.0</v>
      </c>
      <c r="D22" s="84">
        <v>20578.0</v>
      </c>
      <c r="E22" s="81"/>
      <c r="F22" s="85" t="s">
        <v>445</v>
      </c>
      <c r="G22" s="86"/>
      <c r="H22" s="87">
        <f t="shared" si="1"/>
        <v>20578</v>
      </c>
      <c r="I22" s="81"/>
      <c r="J22" s="81"/>
      <c r="K22" s="81"/>
      <c r="L22" s="81"/>
      <c r="M22" s="81"/>
      <c r="N22" s="81"/>
      <c r="O22" s="81"/>
      <c r="P22" s="87">
        <f t="shared" si="2"/>
        <v>0</v>
      </c>
      <c r="Q22" s="87">
        <f t="shared" si="3"/>
        <v>20578</v>
      </c>
      <c r="R22" s="93"/>
      <c r="S22" s="94"/>
      <c r="T22" s="95"/>
      <c r="U22" s="81"/>
    </row>
    <row r="23">
      <c r="B23" s="92">
        <v>43983.0</v>
      </c>
      <c r="C23" s="84">
        <v>83742.0</v>
      </c>
      <c r="D23" s="84">
        <v>0.0</v>
      </c>
      <c r="E23" s="81"/>
      <c r="F23" s="85" t="s">
        <v>446</v>
      </c>
      <c r="G23" s="87" t="s">
        <v>447</v>
      </c>
      <c r="H23" s="87">
        <f t="shared" si="1"/>
        <v>83742</v>
      </c>
      <c r="I23" s="81"/>
      <c r="J23" s="81"/>
      <c r="K23" s="81"/>
      <c r="L23" s="81"/>
      <c r="M23" s="84"/>
      <c r="N23" s="84">
        <v>500.0</v>
      </c>
      <c r="O23" s="116" t="s">
        <v>448</v>
      </c>
      <c r="P23" s="87">
        <f t="shared" si="2"/>
        <v>500</v>
      </c>
      <c r="Q23" s="87">
        <f t="shared" si="3"/>
        <v>84242</v>
      </c>
      <c r="R23" s="93"/>
      <c r="S23" s="94"/>
      <c r="T23" s="95"/>
      <c r="U23" s="81"/>
    </row>
    <row r="24">
      <c r="B24" s="92">
        <v>44013.0</v>
      </c>
      <c r="C24" s="84">
        <v>59000.0</v>
      </c>
      <c r="D24" s="84">
        <v>0.0</v>
      </c>
      <c r="E24" s="81"/>
      <c r="F24" s="81"/>
      <c r="G24" s="87" t="s">
        <v>449</v>
      </c>
      <c r="H24" s="87">
        <f t="shared" si="1"/>
        <v>59000</v>
      </c>
      <c r="I24" s="81"/>
      <c r="J24" s="81"/>
      <c r="K24" s="81"/>
      <c r="L24" s="81"/>
      <c r="M24" s="81"/>
      <c r="N24" s="81"/>
      <c r="O24" s="81"/>
      <c r="P24" s="87">
        <f t="shared" si="2"/>
        <v>0</v>
      </c>
      <c r="Q24" s="87">
        <f t="shared" si="3"/>
        <v>59000</v>
      </c>
      <c r="R24" s="93"/>
      <c r="S24" s="94"/>
      <c r="T24" s="95"/>
      <c r="U24" s="81"/>
    </row>
    <row r="25">
      <c r="B25" s="92">
        <v>44044.0</v>
      </c>
      <c r="C25" s="84">
        <v>59000.0</v>
      </c>
      <c r="D25" s="84">
        <v>0.0</v>
      </c>
      <c r="E25" s="81"/>
      <c r="F25" s="81"/>
      <c r="G25" s="87" t="s">
        <v>450</v>
      </c>
      <c r="H25" s="87">
        <f t="shared" si="1"/>
        <v>59000</v>
      </c>
      <c r="I25" s="81"/>
      <c r="J25" s="81"/>
      <c r="K25" s="81"/>
      <c r="L25" s="81"/>
      <c r="M25" s="81"/>
      <c r="N25" s="81"/>
      <c r="O25" s="81"/>
      <c r="P25" s="87">
        <f t="shared" si="2"/>
        <v>0</v>
      </c>
      <c r="Q25" s="87">
        <f t="shared" si="3"/>
        <v>59000</v>
      </c>
      <c r="R25" s="93"/>
      <c r="S25" s="94"/>
      <c r="T25" s="95"/>
      <c r="U25" s="81"/>
    </row>
    <row r="26">
      <c r="B26" s="92">
        <v>44075.0</v>
      </c>
      <c r="C26" s="84">
        <v>59000.0</v>
      </c>
      <c r="D26" s="84">
        <v>327.0</v>
      </c>
      <c r="E26" s="81"/>
      <c r="F26" s="85" t="s">
        <v>451</v>
      </c>
      <c r="G26" s="87" t="s">
        <v>452</v>
      </c>
      <c r="H26" s="87">
        <f t="shared" si="1"/>
        <v>59327</v>
      </c>
      <c r="I26" s="81"/>
      <c r="J26" s="81"/>
      <c r="K26" s="81"/>
      <c r="L26" s="81"/>
      <c r="M26" s="81"/>
      <c r="N26" s="81"/>
      <c r="O26" s="81"/>
      <c r="P26" s="87">
        <f t="shared" si="2"/>
        <v>0</v>
      </c>
      <c r="Q26" s="87">
        <f t="shared" si="3"/>
        <v>59327</v>
      </c>
      <c r="R26" s="93"/>
      <c r="S26" s="94"/>
      <c r="T26" s="95"/>
      <c r="U26" s="81"/>
    </row>
    <row r="27">
      <c r="B27" s="92">
        <v>44105.0</v>
      </c>
      <c r="C27" s="84">
        <v>59000.0</v>
      </c>
      <c r="D27" s="84">
        <v>0.0</v>
      </c>
      <c r="E27" s="81"/>
      <c r="F27" s="81"/>
      <c r="G27" s="87" t="s">
        <v>453</v>
      </c>
      <c r="H27" s="87">
        <f t="shared" si="1"/>
        <v>59000</v>
      </c>
      <c r="I27" s="81"/>
      <c r="J27" s="81"/>
      <c r="K27" s="81"/>
      <c r="L27" s="81"/>
      <c r="M27" s="81"/>
      <c r="N27" s="81"/>
      <c r="O27" s="81"/>
      <c r="P27" s="87">
        <f t="shared" si="2"/>
        <v>0</v>
      </c>
      <c r="Q27" s="87">
        <f t="shared" si="3"/>
        <v>59000</v>
      </c>
      <c r="R27" s="93"/>
      <c r="S27" s="94"/>
      <c r="T27" s="95"/>
      <c r="U27" s="81"/>
    </row>
    <row r="28">
      <c r="B28" s="92">
        <v>44136.0</v>
      </c>
      <c r="C28" s="84">
        <v>58524.0</v>
      </c>
      <c r="D28" s="84">
        <v>0.0</v>
      </c>
      <c r="E28" s="81"/>
      <c r="F28" s="85" t="s">
        <v>454</v>
      </c>
      <c r="G28" s="87" t="s">
        <v>455</v>
      </c>
      <c r="H28" s="87">
        <f t="shared" si="1"/>
        <v>58524</v>
      </c>
      <c r="I28" s="81"/>
      <c r="J28" s="81"/>
      <c r="K28" s="81"/>
      <c r="L28" s="81"/>
      <c r="M28" s="81"/>
      <c r="N28" s="81"/>
      <c r="O28" s="81"/>
      <c r="P28" s="87">
        <f t="shared" si="2"/>
        <v>0</v>
      </c>
      <c r="Q28" s="87">
        <f t="shared" si="3"/>
        <v>58524</v>
      </c>
      <c r="R28" s="93"/>
      <c r="S28" s="94"/>
      <c r="T28" s="95"/>
      <c r="U28" s="81"/>
    </row>
    <row r="29">
      <c r="A29" s="114"/>
      <c r="B29" s="97">
        <v>44166.0</v>
      </c>
      <c r="C29" s="98">
        <v>58508.0</v>
      </c>
      <c r="D29" s="98">
        <v>0.0</v>
      </c>
      <c r="E29" s="99"/>
      <c r="F29" s="115" t="s">
        <v>456</v>
      </c>
      <c r="G29" s="100" t="s">
        <v>457</v>
      </c>
      <c r="H29" s="100">
        <f t="shared" si="1"/>
        <v>58508</v>
      </c>
      <c r="I29" s="99"/>
      <c r="J29" s="99"/>
      <c r="K29" s="98">
        <v>400.0</v>
      </c>
      <c r="L29" s="99"/>
      <c r="M29" s="99"/>
      <c r="N29" s="99"/>
      <c r="O29" s="115" t="s">
        <v>458</v>
      </c>
      <c r="P29" s="100">
        <f t="shared" si="2"/>
        <v>400</v>
      </c>
      <c r="Q29" s="100">
        <f t="shared" si="3"/>
        <v>58908</v>
      </c>
      <c r="R29" s="101"/>
      <c r="S29" s="102"/>
      <c r="T29" s="103"/>
      <c r="U29" s="81"/>
    </row>
    <row r="30">
      <c r="A30" s="117">
        <v>2021.0</v>
      </c>
      <c r="B30" s="92">
        <v>44197.0</v>
      </c>
      <c r="C30" s="84">
        <v>59000.0</v>
      </c>
      <c r="D30" s="84">
        <v>0.0</v>
      </c>
      <c r="E30" s="81"/>
      <c r="F30" s="81"/>
      <c r="G30" s="87" t="s">
        <v>459</v>
      </c>
      <c r="H30" s="87">
        <f t="shared" si="1"/>
        <v>59000</v>
      </c>
      <c r="I30" s="81"/>
      <c r="J30" s="81"/>
      <c r="K30" s="81"/>
      <c r="L30" s="81"/>
      <c r="M30" s="84"/>
      <c r="N30" s="84">
        <v>800.0</v>
      </c>
      <c r="O30" s="85" t="s">
        <v>460</v>
      </c>
      <c r="P30" s="87">
        <f t="shared" si="2"/>
        <v>800</v>
      </c>
      <c r="Q30" s="87">
        <f t="shared" si="3"/>
        <v>59800</v>
      </c>
      <c r="R30" s="105" t="s">
        <v>461</v>
      </c>
      <c r="S30" s="106">
        <f>SUM(H30:H41)</f>
        <v>842072</v>
      </c>
      <c r="T30" s="107">
        <f t="shared" ref="T30:T33" si="6">S30/12</f>
        <v>70172.66667</v>
      </c>
      <c r="U30" s="81"/>
    </row>
    <row r="31">
      <c r="B31" s="92">
        <v>44228.0</v>
      </c>
      <c r="C31" s="84">
        <v>59000.0</v>
      </c>
      <c r="D31" s="84">
        <v>0.0</v>
      </c>
      <c r="E31" s="84">
        <v>59000.0</v>
      </c>
      <c r="F31" s="85" t="s">
        <v>462</v>
      </c>
      <c r="G31" s="87" t="s">
        <v>463</v>
      </c>
      <c r="H31" s="87">
        <f t="shared" si="1"/>
        <v>118000</v>
      </c>
      <c r="I31" s="81"/>
      <c r="J31" s="84">
        <v>498.0</v>
      </c>
      <c r="K31" s="81"/>
      <c r="L31" s="81"/>
      <c r="M31" s="81"/>
      <c r="N31" s="81"/>
      <c r="O31" s="85" t="s">
        <v>464</v>
      </c>
      <c r="P31" s="87">
        <f t="shared" si="2"/>
        <v>498</v>
      </c>
      <c r="Q31" s="87">
        <f t="shared" si="3"/>
        <v>118498</v>
      </c>
      <c r="R31" s="108" t="s">
        <v>40</v>
      </c>
      <c r="S31" s="109">
        <f>SUM(I30:I41)</f>
        <v>0</v>
      </c>
      <c r="T31" s="110">
        <f t="shared" si="6"/>
        <v>0</v>
      </c>
      <c r="U31" s="81"/>
    </row>
    <row r="32">
      <c r="B32" s="92">
        <v>44256.0</v>
      </c>
      <c r="C32" s="84">
        <v>59000.0</v>
      </c>
      <c r="D32" s="84">
        <v>0.0</v>
      </c>
      <c r="E32" s="81"/>
      <c r="F32" s="81"/>
      <c r="G32" s="87" t="s">
        <v>465</v>
      </c>
      <c r="H32" s="87">
        <f t="shared" si="1"/>
        <v>59000</v>
      </c>
      <c r="I32" s="81"/>
      <c r="J32" s="81"/>
      <c r="K32" s="81"/>
      <c r="L32" s="81"/>
      <c r="M32" s="81"/>
      <c r="N32" s="81"/>
      <c r="O32" s="81"/>
      <c r="P32" s="87">
        <f t="shared" si="2"/>
        <v>0</v>
      </c>
      <c r="Q32" s="87">
        <f t="shared" si="3"/>
        <v>59000</v>
      </c>
      <c r="R32" s="108" t="s">
        <v>466</v>
      </c>
      <c r="S32" s="112">
        <f>SUM(P30:P41)</f>
        <v>47420</v>
      </c>
      <c r="T32" s="113">
        <f t="shared" si="6"/>
        <v>3951.666667</v>
      </c>
      <c r="U32" s="81"/>
    </row>
    <row r="33">
      <c r="B33" s="92">
        <v>44287.0</v>
      </c>
      <c r="C33" s="84">
        <v>59000.0</v>
      </c>
      <c r="D33" s="84">
        <v>0.0</v>
      </c>
      <c r="E33" s="81"/>
      <c r="F33" s="81"/>
      <c r="G33" s="87" t="s">
        <v>467</v>
      </c>
      <c r="H33" s="87">
        <f t="shared" si="1"/>
        <v>59000</v>
      </c>
      <c r="I33" s="81"/>
      <c r="J33" s="81"/>
      <c r="K33" s="81"/>
      <c r="L33" s="81"/>
      <c r="M33" s="81"/>
      <c r="N33" s="81"/>
      <c r="O33" s="81"/>
      <c r="P33" s="87">
        <f t="shared" si="2"/>
        <v>0</v>
      </c>
      <c r="Q33" s="87">
        <f t="shared" si="3"/>
        <v>59000</v>
      </c>
      <c r="R33" s="108" t="s">
        <v>468</v>
      </c>
      <c r="S33" s="112">
        <f>SUM(Q30:Q41)</f>
        <v>889492</v>
      </c>
      <c r="T33" s="113">
        <f t="shared" si="6"/>
        <v>74124.33333</v>
      </c>
      <c r="U33" s="81"/>
    </row>
    <row r="34">
      <c r="B34" s="92">
        <v>44317.0</v>
      </c>
      <c r="C34" s="84">
        <v>61422.0</v>
      </c>
      <c r="D34" s="84">
        <v>0.0</v>
      </c>
      <c r="E34" s="84">
        <v>0.0</v>
      </c>
      <c r="F34" s="81"/>
      <c r="G34" s="87" t="s">
        <v>469</v>
      </c>
      <c r="H34" s="87">
        <f t="shared" si="1"/>
        <v>61422</v>
      </c>
      <c r="I34" s="81"/>
      <c r="J34" s="81"/>
      <c r="K34" s="81"/>
      <c r="L34" s="81"/>
      <c r="M34" s="84"/>
      <c r="N34" s="84">
        <v>2422.0</v>
      </c>
      <c r="O34" s="85" t="s">
        <v>470</v>
      </c>
      <c r="P34" s="87">
        <f t="shared" si="2"/>
        <v>2422</v>
      </c>
      <c r="Q34" s="87">
        <f t="shared" si="3"/>
        <v>63844</v>
      </c>
      <c r="R34" s="93"/>
      <c r="S34" s="94"/>
      <c r="T34" s="95"/>
      <c r="U34" s="81"/>
    </row>
    <row r="35">
      <c r="B35" s="92">
        <v>44348.0</v>
      </c>
      <c r="C35" s="84">
        <v>60400.0</v>
      </c>
      <c r="D35" s="84">
        <v>2014.0</v>
      </c>
      <c r="E35" s="84">
        <v>43200.0</v>
      </c>
      <c r="F35" s="85" t="s">
        <v>471</v>
      </c>
      <c r="G35" s="87" t="s">
        <v>472</v>
      </c>
      <c r="H35" s="87">
        <f t="shared" si="1"/>
        <v>105614</v>
      </c>
      <c r="I35" s="81"/>
      <c r="J35" s="84">
        <v>200.0</v>
      </c>
      <c r="K35" s="81"/>
      <c r="L35" s="81"/>
      <c r="M35" s="81"/>
      <c r="N35" s="81"/>
      <c r="O35" s="85" t="s">
        <v>473</v>
      </c>
      <c r="P35" s="87">
        <f t="shared" si="2"/>
        <v>200</v>
      </c>
      <c r="Q35" s="87">
        <f t="shared" si="3"/>
        <v>105814</v>
      </c>
      <c r="R35" s="93"/>
      <c r="S35" s="94"/>
      <c r="T35" s="95"/>
      <c r="U35" s="81"/>
    </row>
    <row r="36">
      <c r="B36" s="92">
        <v>44378.0</v>
      </c>
      <c r="C36" s="84">
        <v>60400.0</v>
      </c>
      <c r="D36" s="84">
        <v>0.0</v>
      </c>
      <c r="E36" s="84">
        <v>0.0</v>
      </c>
      <c r="F36" s="81"/>
      <c r="G36" s="87" t="s">
        <v>474</v>
      </c>
      <c r="H36" s="87">
        <f t="shared" si="1"/>
        <v>60400</v>
      </c>
      <c r="I36" s="81"/>
      <c r="J36" s="81"/>
      <c r="K36" s="81"/>
      <c r="L36" s="81"/>
      <c r="M36" s="81"/>
      <c r="N36" s="81"/>
      <c r="O36" s="81"/>
      <c r="P36" s="87">
        <f t="shared" si="2"/>
        <v>0</v>
      </c>
      <c r="Q36" s="87">
        <f t="shared" si="3"/>
        <v>60400</v>
      </c>
      <c r="R36" s="93"/>
      <c r="S36" s="94"/>
      <c r="T36" s="95"/>
      <c r="U36" s="81"/>
    </row>
    <row r="37">
      <c r="B37" s="92">
        <v>44409.0</v>
      </c>
      <c r="C37" s="84">
        <v>60400.0</v>
      </c>
      <c r="D37" s="84">
        <v>0.0</v>
      </c>
      <c r="E37" s="84">
        <v>0.0</v>
      </c>
      <c r="F37" s="81"/>
      <c r="G37" s="87" t="s">
        <v>475</v>
      </c>
      <c r="H37" s="87">
        <f t="shared" si="1"/>
        <v>60400</v>
      </c>
      <c r="I37" s="81"/>
      <c r="J37" s="81"/>
      <c r="K37" s="81"/>
      <c r="L37" s="81"/>
      <c r="M37" s="81"/>
      <c r="N37" s="81"/>
      <c r="O37" s="81"/>
      <c r="P37" s="87">
        <f t="shared" si="2"/>
        <v>0</v>
      </c>
      <c r="Q37" s="87">
        <f t="shared" si="3"/>
        <v>60400</v>
      </c>
      <c r="R37" s="93"/>
      <c r="S37" s="94"/>
      <c r="T37" s="95"/>
      <c r="U37" s="81"/>
    </row>
    <row r="38">
      <c r="B38" s="92">
        <v>44440.0</v>
      </c>
      <c r="C38" s="84">
        <v>60400.0</v>
      </c>
      <c r="D38" s="84">
        <v>0.0</v>
      </c>
      <c r="E38" s="84">
        <v>0.0</v>
      </c>
      <c r="F38" s="81"/>
      <c r="G38" s="87" t="s">
        <v>476</v>
      </c>
      <c r="H38" s="87">
        <f t="shared" si="1"/>
        <v>60400</v>
      </c>
      <c r="I38" s="81"/>
      <c r="J38" s="81"/>
      <c r="K38" s="81"/>
      <c r="L38" s="84">
        <v>42000.0</v>
      </c>
      <c r="M38" s="84"/>
      <c r="N38" s="84">
        <v>800.0</v>
      </c>
      <c r="O38" s="85" t="s">
        <v>477</v>
      </c>
      <c r="P38" s="87">
        <f t="shared" si="2"/>
        <v>42800</v>
      </c>
      <c r="Q38" s="87">
        <f t="shared" si="3"/>
        <v>103200</v>
      </c>
      <c r="R38" s="93"/>
      <c r="S38" s="94"/>
      <c r="T38" s="95"/>
      <c r="U38" s="81"/>
    </row>
    <row r="39">
      <c r="B39" s="92">
        <v>44470.0</v>
      </c>
      <c r="C39" s="84">
        <v>60400.0</v>
      </c>
      <c r="D39" s="84">
        <v>426.0</v>
      </c>
      <c r="E39" s="84">
        <v>0.0</v>
      </c>
      <c r="F39" s="85" t="s">
        <v>478</v>
      </c>
      <c r="G39" s="87" t="s">
        <v>479</v>
      </c>
      <c r="H39" s="87">
        <f t="shared" si="1"/>
        <v>60826</v>
      </c>
      <c r="I39" s="81"/>
      <c r="J39" s="84">
        <v>200.0</v>
      </c>
      <c r="K39" s="81"/>
      <c r="L39" s="81"/>
      <c r="M39" s="84"/>
      <c r="N39" s="84">
        <v>500.0</v>
      </c>
      <c r="O39" s="85" t="s">
        <v>480</v>
      </c>
      <c r="P39" s="87">
        <f t="shared" si="2"/>
        <v>700</v>
      </c>
      <c r="Q39" s="87">
        <f t="shared" si="3"/>
        <v>61526</v>
      </c>
      <c r="R39" s="93"/>
      <c r="S39" s="94"/>
      <c r="T39" s="95"/>
      <c r="U39" s="81"/>
    </row>
    <row r="40">
      <c r="B40" s="92">
        <v>44501.0</v>
      </c>
      <c r="C40" s="84">
        <v>60400.0</v>
      </c>
      <c r="D40" s="84">
        <v>672.0</v>
      </c>
      <c r="E40" s="84">
        <v>0.0</v>
      </c>
      <c r="F40" s="85" t="s">
        <v>481</v>
      </c>
      <c r="G40" s="87" t="s">
        <v>482</v>
      </c>
      <c r="H40" s="87">
        <f t="shared" si="1"/>
        <v>61072</v>
      </c>
      <c r="I40" s="81"/>
      <c r="J40" s="81"/>
      <c r="K40" s="81"/>
      <c r="L40" s="81"/>
      <c r="M40" s="81"/>
      <c r="N40" s="81"/>
      <c r="O40" s="81"/>
      <c r="P40" s="87">
        <f t="shared" si="2"/>
        <v>0</v>
      </c>
      <c r="Q40" s="87">
        <f t="shared" si="3"/>
        <v>61072</v>
      </c>
      <c r="R40" s="93"/>
      <c r="S40" s="94"/>
      <c r="T40" s="95"/>
      <c r="U40" s="81"/>
    </row>
    <row r="41">
      <c r="A41" s="114"/>
      <c r="B41" s="97">
        <v>44531.0</v>
      </c>
      <c r="C41" s="98">
        <v>60400.0</v>
      </c>
      <c r="D41" s="98">
        <v>10138.0</v>
      </c>
      <c r="E41" s="98">
        <v>6400.0</v>
      </c>
      <c r="F41" s="115" t="s">
        <v>483</v>
      </c>
      <c r="G41" s="118" t="s">
        <v>484</v>
      </c>
      <c r="H41" s="100">
        <f t="shared" si="1"/>
        <v>76938</v>
      </c>
      <c r="I41" s="99"/>
      <c r="J41" s="99"/>
      <c r="K41" s="99"/>
      <c r="L41" s="99"/>
      <c r="M41" s="99"/>
      <c r="N41" s="99"/>
      <c r="O41" s="99"/>
      <c r="P41" s="100">
        <f t="shared" si="2"/>
        <v>0</v>
      </c>
      <c r="Q41" s="100">
        <f t="shared" si="3"/>
        <v>76938</v>
      </c>
      <c r="R41" s="93"/>
      <c r="S41" s="94"/>
      <c r="T41" s="95"/>
      <c r="U41" s="81"/>
    </row>
    <row r="42">
      <c r="A42" s="117">
        <v>2022.0</v>
      </c>
      <c r="B42" s="92">
        <v>44562.0</v>
      </c>
      <c r="C42" s="84">
        <v>60400.0</v>
      </c>
      <c r="D42" s="84">
        <v>8173.0</v>
      </c>
      <c r="E42" s="84">
        <v>90600.0</v>
      </c>
      <c r="F42" s="85" t="s">
        <v>485</v>
      </c>
      <c r="G42" s="119" t="s">
        <v>484</v>
      </c>
      <c r="H42" s="87">
        <f t="shared" si="1"/>
        <v>159173</v>
      </c>
      <c r="I42" s="120">
        <v>0.0</v>
      </c>
      <c r="J42" s="81"/>
      <c r="K42" s="81"/>
      <c r="L42" s="81"/>
      <c r="M42" s="81"/>
      <c r="N42" s="81"/>
      <c r="O42" s="81"/>
      <c r="P42" s="121">
        <f t="shared" si="2"/>
        <v>0</v>
      </c>
      <c r="Q42" s="121">
        <f t="shared" si="3"/>
        <v>159173</v>
      </c>
      <c r="R42" s="105" t="s">
        <v>486</v>
      </c>
      <c r="S42" s="106">
        <f>SUM(H42:H53)</f>
        <v>1110172</v>
      </c>
      <c r="T42" s="107">
        <f t="shared" ref="T42:T45" si="7">S42/12</f>
        <v>92514.33333</v>
      </c>
      <c r="U42" s="81"/>
    </row>
    <row r="43">
      <c r="B43" s="92">
        <v>44593.0</v>
      </c>
      <c r="C43" s="84">
        <v>60400.0</v>
      </c>
      <c r="D43" s="84">
        <v>0.0</v>
      </c>
      <c r="E43" s="84">
        <v>0.0</v>
      </c>
      <c r="F43" s="81"/>
      <c r="G43" s="119" t="s">
        <v>484</v>
      </c>
      <c r="H43" s="87">
        <f t="shared" si="1"/>
        <v>60400</v>
      </c>
      <c r="I43" s="120">
        <v>0.0</v>
      </c>
      <c r="J43" s="81"/>
      <c r="K43" s="81"/>
      <c r="L43" s="81"/>
      <c r="M43" s="84"/>
      <c r="N43" s="84">
        <v>1000.0</v>
      </c>
      <c r="O43" s="85" t="s">
        <v>487</v>
      </c>
      <c r="P43" s="121">
        <f t="shared" si="2"/>
        <v>1000</v>
      </c>
      <c r="Q43" s="121">
        <f t="shared" si="3"/>
        <v>61400</v>
      </c>
      <c r="R43" s="108" t="s">
        <v>40</v>
      </c>
      <c r="S43" s="109">
        <f>SUM(I42:I53)</f>
        <v>0</v>
      </c>
      <c r="T43" s="110">
        <f t="shared" si="7"/>
        <v>0</v>
      </c>
      <c r="U43" s="81"/>
    </row>
    <row r="44">
      <c r="B44" s="92">
        <v>44621.0</v>
      </c>
      <c r="C44" s="84">
        <v>67660.0</v>
      </c>
      <c r="D44" s="84">
        <v>0.0</v>
      </c>
      <c r="E44" s="84">
        <v>0.0</v>
      </c>
      <c r="F44" s="85" t="s">
        <v>488</v>
      </c>
      <c r="G44" s="119" t="s">
        <v>484</v>
      </c>
      <c r="H44" s="87">
        <f t="shared" si="1"/>
        <v>67660</v>
      </c>
      <c r="I44" s="120">
        <v>0.0</v>
      </c>
      <c r="J44" s="81"/>
      <c r="K44" s="81"/>
      <c r="L44" s="81"/>
      <c r="M44" s="81"/>
      <c r="N44" s="81"/>
      <c r="O44" s="81"/>
      <c r="P44" s="121">
        <f t="shared" si="2"/>
        <v>0</v>
      </c>
      <c r="Q44" s="121">
        <f t="shared" si="3"/>
        <v>67660</v>
      </c>
      <c r="R44" s="108" t="s">
        <v>489</v>
      </c>
      <c r="S44" s="112">
        <f>SUM(P42:P53)</f>
        <v>59350</v>
      </c>
      <c r="T44" s="113">
        <f t="shared" si="7"/>
        <v>4945.833333</v>
      </c>
      <c r="U44" s="81"/>
    </row>
    <row r="45">
      <c r="B45" s="92">
        <v>44652.0</v>
      </c>
      <c r="C45" s="84">
        <v>64820.0</v>
      </c>
      <c r="D45" s="84">
        <v>3200.0</v>
      </c>
      <c r="E45" s="84">
        <v>0.0</v>
      </c>
      <c r="F45" s="85" t="s">
        <v>490</v>
      </c>
      <c r="G45" s="119" t="s">
        <v>484</v>
      </c>
      <c r="H45" s="87">
        <f t="shared" si="1"/>
        <v>68020</v>
      </c>
      <c r="I45" s="120">
        <v>0.0</v>
      </c>
      <c r="J45" s="84">
        <v>800.0</v>
      </c>
      <c r="K45" s="81"/>
      <c r="L45" s="81"/>
      <c r="M45" s="81"/>
      <c r="N45" s="81"/>
      <c r="O45" s="85" t="s">
        <v>491</v>
      </c>
      <c r="P45" s="121">
        <f t="shared" si="2"/>
        <v>800</v>
      </c>
      <c r="Q45" s="121">
        <f t="shared" si="3"/>
        <v>68820</v>
      </c>
      <c r="R45" s="108" t="s">
        <v>492</v>
      </c>
      <c r="S45" s="112">
        <f>SUM(Q42:Q53)</f>
        <v>1169522</v>
      </c>
      <c r="T45" s="113">
        <f t="shared" si="7"/>
        <v>97460.16667</v>
      </c>
      <c r="U45" s="81"/>
    </row>
    <row r="46">
      <c r="B46" s="92">
        <v>44682.0</v>
      </c>
      <c r="C46" s="84">
        <v>64820.0</v>
      </c>
      <c r="D46" s="84">
        <v>2720.0</v>
      </c>
      <c r="E46" s="84">
        <v>66000.0</v>
      </c>
      <c r="F46" s="85" t="s">
        <v>493</v>
      </c>
      <c r="G46" s="119" t="s">
        <v>484</v>
      </c>
      <c r="H46" s="87">
        <f t="shared" si="1"/>
        <v>133540</v>
      </c>
      <c r="I46" s="120">
        <v>0.0</v>
      </c>
      <c r="J46" s="81"/>
      <c r="K46" s="81"/>
      <c r="L46" s="81"/>
      <c r="M46" s="84"/>
      <c r="N46" s="84">
        <v>8000.0</v>
      </c>
      <c r="O46" s="85" t="s">
        <v>494</v>
      </c>
      <c r="P46" s="121">
        <f t="shared" si="2"/>
        <v>8000</v>
      </c>
      <c r="Q46" s="121">
        <f t="shared" si="3"/>
        <v>141540</v>
      </c>
      <c r="R46" s="93"/>
      <c r="S46" s="94"/>
      <c r="T46" s="95"/>
      <c r="U46" s="81"/>
    </row>
    <row r="47">
      <c r="B47" s="92">
        <v>44713.0</v>
      </c>
      <c r="C47" s="84">
        <v>64820.0</v>
      </c>
      <c r="D47" s="84">
        <v>2000.0</v>
      </c>
      <c r="E47" s="84">
        <v>4862.0</v>
      </c>
      <c r="F47" s="85" t="s">
        <v>495</v>
      </c>
      <c r="G47" s="119" t="s">
        <v>484</v>
      </c>
      <c r="H47" s="87">
        <f t="shared" si="1"/>
        <v>71682</v>
      </c>
      <c r="I47" s="120">
        <v>0.0</v>
      </c>
      <c r="J47" s="84">
        <v>500.0</v>
      </c>
      <c r="K47" s="81"/>
      <c r="L47" s="81"/>
      <c r="M47" s="81"/>
      <c r="N47" s="81"/>
      <c r="O47" s="85" t="s">
        <v>496</v>
      </c>
      <c r="P47" s="121">
        <f t="shared" si="2"/>
        <v>500</v>
      </c>
      <c r="Q47" s="121">
        <f t="shared" si="3"/>
        <v>72182</v>
      </c>
      <c r="R47" s="93"/>
      <c r="S47" s="94"/>
      <c r="T47" s="95"/>
      <c r="U47" s="81"/>
    </row>
    <row r="48">
      <c r="B48" s="92">
        <v>44743.0</v>
      </c>
      <c r="C48" s="84">
        <v>39729.0</v>
      </c>
      <c r="D48" s="84">
        <v>2238.0</v>
      </c>
      <c r="E48" s="84">
        <v>0.0</v>
      </c>
      <c r="F48" s="85" t="s">
        <v>497</v>
      </c>
      <c r="G48" s="119" t="s">
        <v>484</v>
      </c>
      <c r="H48" s="87">
        <f t="shared" si="1"/>
        <v>41967</v>
      </c>
      <c r="I48" s="120">
        <v>0.0</v>
      </c>
      <c r="J48" s="81"/>
      <c r="K48" s="81"/>
      <c r="L48" s="81"/>
      <c r="M48" s="81"/>
      <c r="N48" s="81"/>
      <c r="O48" s="81"/>
      <c r="P48" s="121">
        <f t="shared" si="2"/>
        <v>0</v>
      </c>
      <c r="Q48" s="121">
        <f t="shared" si="3"/>
        <v>41967</v>
      </c>
      <c r="R48" s="93"/>
      <c r="S48" s="94"/>
      <c r="T48" s="95"/>
      <c r="U48" s="81"/>
    </row>
    <row r="49">
      <c r="B49" s="92">
        <v>44774.0</v>
      </c>
      <c r="C49" s="84">
        <v>95000.0</v>
      </c>
      <c r="D49" s="84">
        <v>1000.0</v>
      </c>
      <c r="E49" s="84">
        <v>0.0</v>
      </c>
      <c r="F49" s="85" t="s">
        <v>498</v>
      </c>
      <c r="G49" s="119" t="s">
        <v>499</v>
      </c>
      <c r="H49" s="87">
        <f t="shared" si="1"/>
        <v>96000</v>
      </c>
      <c r="I49" s="120">
        <v>0.0</v>
      </c>
      <c r="J49" s="84">
        <v>500.0</v>
      </c>
      <c r="K49" s="81"/>
      <c r="L49" s="81"/>
      <c r="M49" s="81"/>
      <c r="N49" s="81"/>
      <c r="O49" s="85" t="s">
        <v>496</v>
      </c>
      <c r="P49" s="121">
        <f t="shared" si="2"/>
        <v>500</v>
      </c>
      <c r="Q49" s="121">
        <f t="shared" si="3"/>
        <v>96500</v>
      </c>
      <c r="R49" s="93"/>
      <c r="S49" s="94"/>
      <c r="T49" s="95"/>
      <c r="U49" s="81"/>
    </row>
    <row r="50">
      <c r="B50" s="92">
        <v>44805.0</v>
      </c>
      <c r="C50" s="84">
        <v>93417.0</v>
      </c>
      <c r="D50" s="84">
        <v>0.0</v>
      </c>
      <c r="E50" s="84">
        <v>0.0</v>
      </c>
      <c r="F50" s="85" t="s">
        <v>500</v>
      </c>
      <c r="G50" s="119" t="s">
        <v>499</v>
      </c>
      <c r="H50" s="87">
        <f t="shared" si="1"/>
        <v>93417</v>
      </c>
      <c r="I50" s="120">
        <v>0.0</v>
      </c>
      <c r="J50" s="81"/>
      <c r="K50" s="81"/>
      <c r="L50" s="81"/>
      <c r="M50" s="81"/>
      <c r="N50" s="81"/>
      <c r="O50" s="81"/>
      <c r="P50" s="121">
        <f t="shared" si="2"/>
        <v>0</v>
      </c>
      <c r="Q50" s="121">
        <f t="shared" si="3"/>
        <v>93417</v>
      </c>
      <c r="R50" s="93"/>
      <c r="S50" s="94"/>
      <c r="T50" s="95"/>
      <c r="U50" s="81"/>
    </row>
    <row r="51">
      <c r="B51" s="92">
        <v>44835.0</v>
      </c>
      <c r="C51" s="84">
        <v>95000.0</v>
      </c>
      <c r="D51" s="84">
        <v>0.0</v>
      </c>
      <c r="E51" s="84">
        <v>0.0</v>
      </c>
      <c r="F51" s="81"/>
      <c r="G51" s="119" t="s">
        <v>499</v>
      </c>
      <c r="H51" s="87">
        <f t="shared" si="1"/>
        <v>95000</v>
      </c>
      <c r="I51" s="120">
        <v>0.0</v>
      </c>
      <c r="J51" s="84">
        <v>400.0</v>
      </c>
      <c r="K51" s="81"/>
      <c r="L51" s="81"/>
      <c r="M51" s="81"/>
      <c r="N51" s="81"/>
      <c r="O51" s="85" t="s">
        <v>501</v>
      </c>
      <c r="P51" s="121">
        <f t="shared" si="2"/>
        <v>400</v>
      </c>
      <c r="Q51" s="121">
        <f t="shared" si="3"/>
        <v>95400</v>
      </c>
      <c r="R51" s="93"/>
      <c r="S51" s="94"/>
      <c r="T51" s="95"/>
      <c r="U51" s="81"/>
    </row>
    <row r="52">
      <c r="B52" s="92">
        <v>44866.0</v>
      </c>
      <c r="C52" s="84">
        <v>95000.0</v>
      </c>
      <c r="D52" s="84">
        <v>25000.0</v>
      </c>
      <c r="E52" s="84">
        <v>0.0</v>
      </c>
      <c r="F52" s="85" t="s">
        <v>502</v>
      </c>
      <c r="G52" s="119" t="s">
        <v>499</v>
      </c>
      <c r="H52" s="87">
        <f t="shared" si="1"/>
        <v>120000</v>
      </c>
      <c r="I52" s="120">
        <v>0.0</v>
      </c>
      <c r="J52" s="84">
        <v>3150.0</v>
      </c>
      <c r="K52" s="81"/>
      <c r="L52" s="84">
        <v>42000.0</v>
      </c>
      <c r="M52" s="81"/>
      <c r="N52" s="81"/>
      <c r="O52" s="122" t="s">
        <v>503</v>
      </c>
      <c r="P52" s="121">
        <f t="shared" si="2"/>
        <v>45150</v>
      </c>
      <c r="Q52" s="121">
        <f t="shared" si="3"/>
        <v>165150</v>
      </c>
      <c r="R52" s="93"/>
      <c r="S52" s="94"/>
      <c r="T52" s="95"/>
      <c r="U52" s="81"/>
    </row>
    <row r="53">
      <c r="A53" s="114"/>
      <c r="B53" s="97">
        <v>44896.0</v>
      </c>
      <c r="C53" s="98">
        <v>95000.0</v>
      </c>
      <c r="D53" s="98">
        <v>8313.0</v>
      </c>
      <c r="E53" s="98">
        <v>0.0</v>
      </c>
      <c r="F53" s="115" t="s">
        <v>504</v>
      </c>
      <c r="G53" s="118" t="s">
        <v>499</v>
      </c>
      <c r="H53" s="100">
        <f t="shared" si="1"/>
        <v>103313</v>
      </c>
      <c r="I53" s="123">
        <v>0.0</v>
      </c>
      <c r="J53" s="98">
        <v>3000.0</v>
      </c>
      <c r="K53" s="99"/>
      <c r="L53" s="99"/>
      <c r="M53" s="99"/>
      <c r="N53" s="99"/>
      <c r="O53" s="115" t="s">
        <v>505</v>
      </c>
      <c r="P53" s="124">
        <f t="shared" si="2"/>
        <v>3000</v>
      </c>
      <c r="Q53" s="124">
        <f t="shared" si="3"/>
        <v>106313</v>
      </c>
      <c r="R53" s="101"/>
      <c r="S53" s="102"/>
      <c r="T53" s="103"/>
      <c r="U53" s="81"/>
    </row>
    <row r="54">
      <c r="A54" s="125">
        <v>2023.0</v>
      </c>
      <c r="B54" s="97">
        <v>44927.0</v>
      </c>
      <c r="C54" s="84">
        <v>95000.0</v>
      </c>
      <c r="D54" s="84">
        <v>0.0</v>
      </c>
      <c r="E54" s="84">
        <v>221582.0</v>
      </c>
      <c r="F54" s="85" t="s">
        <v>506</v>
      </c>
      <c r="G54" s="119" t="s">
        <v>499</v>
      </c>
      <c r="H54" s="87">
        <f t="shared" si="1"/>
        <v>316582</v>
      </c>
      <c r="I54" s="120">
        <v>0.0</v>
      </c>
      <c r="J54" s="81"/>
      <c r="K54" s="81"/>
      <c r="L54" s="81"/>
      <c r="M54" s="81"/>
      <c r="N54" s="81"/>
      <c r="O54" s="81"/>
      <c r="P54" s="121">
        <f t="shared" si="2"/>
        <v>0</v>
      </c>
      <c r="Q54" s="121">
        <f t="shared" si="3"/>
        <v>316582</v>
      </c>
      <c r="R54" s="105" t="s">
        <v>507</v>
      </c>
      <c r="S54" s="106">
        <f>SUM(H54:H65)</f>
        <v>1624898</v>
      </c>
      <c r="T54" s="107">
        <f t="shared" ref="T54:T57" si="8">S54/12</f>
        <v>135408.1667</v>
      </c>
      <c r="U54" s="81"/>
    </row>
    <row r="55">
      <c r="A55" s="91"/>
      <c r="B55" s="97">
        <v>44958.0</v>
      </c>
      <c r="C55" s="84">
        <v>95000.0</v>
      </c>
      <c r="D55" s="84">
        <v>0.0</v>
      </c>
      <c r="E55" s="84">
        <v>0.0</v>
      </c>
      <c r="F55" s="81"/>
      <c r="G55" s="119" t="s">
        <v>499</v>
      </c>
      <c r="H55" s="87">
        <f t="shared" si="1"/>
        <v>95000</v>
      </c>
      <c r="I55" s="120">
        <v>0.0</v>
      </c>
      <c r="J55" s="81"/>
      <c r="K55" s="84">
        <v>700.0</v>
      </c>
      <c r="L55" s="81"/>
      <c r="M55" s="84"/>
      <c r="N55" s="84">
        <v>3000.0</v>
      </c>
      <c r="O55" s="85" t="s">
        <v>508</v>
      </c>
      <c r="P55" s="121">
        <f t="shared" si="2"/>
        <v>3700</v>
      </c>
      <c r="Q55" s="121">
        <f t="shared" si="3"/>
        <v>98700</v>
      </c>
      <c r="R55" s="108" t="s">
        <v>40</v>
      </c>
      <c r="S55" s="109">
        <f>SUM(I54:I65)</f>
        <v>0</v>
      </c>
      <c r="T55" s="110">
        <f t="shared" si="8"/>
        <v>0</v>
      </c>
      <c r="U55" s="81"/>
    </row>
    <row r="56">
      <c r="A56" s="91"/>
      <c r="B56" s="97">
        <v>44986.0</v>
      </c>
      <c r="C56" s="84">
        <v>95000.0</v>
      </c>
      <c r="D56" s="84">
        <v>0.0</v>
      </c>
      <c r="E56" s="84">
        <v>0.0</v>
      </c>
      <c r="F56" s="81"/>
      <c r="G56" s="119" t="s">
        <v>499</v>
      </c>
      <c r="H56" s="87">
        <f t="shared" si="1"/>
        <v>95000</v>
      </c>
      <c r="I56" s="120">
        <v>0.0</v>
      </c>
      <c r="J56" s="81"/>
      <c r="K56" s="84">
        <v>1300.0</v>
      </c>
      <c r="L56" s="81"/>
      <c r="M56" s="81"/>
      <c r="N56" s="81"/>
      <c r="O56" s="85" t="s">
        <v>509</v>
      </c>
      <c r="P56" s="121">
        <f t="shared" si="2"/>
        <v>1300</v>
      </c>
      <c r="Q56" s="121">
        <f t="shared" si="3"/>
        <v>96300</v>
      </c>
      <c r="R56" s="108" t="s">
        <v>510</v>
      </c>
      <c r="S56" s="112">
        <f>SUM(P54:P65)</f>
        <v>22011</v>
      </c>
      <c r="T56" s="113">
        <f t="shared" si="8"/>
        <v>1834.25</v>
      </c>
      <c r="U56" s="81"/>
    </row>
    <row r="57">
      <c r="A57" s="91"/>
      <c r="B57" s="97">
        <v>45017.0</v>
      </c>
      <c r="C57" s="84">
        <v>95000.0</v>
      </c>
      <c r="D57" s="84">
        <v>1000.0</v>
      </c>
      <c r="E57" s="84">
        <v>0.0</v>
      </c>
      <c r="F57" s="85" t="s">
        <v>511</v>
      </c>
      <c r="G57" s="119" t="s">
        <v>499</v>
      </c>
      <c r="H57" s="87">
        <f t="shared" si="1"/>
        <v>96000</v>
      </c>
      <c r="I57" s="120">
        <v>0.0</v>
      </c>
      <c r="J57" s="81"/>
      <c r="K57" s="81"/>
      <c r="L57" s="81"/>
      <c r="M57" s="84"/>
      <c r="N57" s="84">
        <v>6000.0</v>
      </c>
      <c r="O57" s="85" t="s">
        <v>512</v>
      </c>
      <c r="P57" s="121">
        <f t="shared" si="2"/>
        <v>6000</v>
      </c>
      <c r="Q57" s="121">
        <f t="shared" si="3"/>
        <v>102000</v>
      </c>
      <c r="R57" s="108" t="s">
        <v>513</v>
      </c>
      <c r="S57" s="112">
        <f>SUM(Q54:Q65)</f>
        <v>1646909</v>
      </c>
      <c r="T57" s="113">
        <f t="shared" si="8"/>
        <v>137242.4167</v>
      </c>
      <c r="U57" s="81"/>
    </row>
    <row r="58">
      <c r="A58" s="91"/>
      <c r="B58" s="97">
        <v>45047.0</v>
      </c>
      <c r="C58" s="84">
        <v>98000.0</v>
      </c>
      <c r="D58" s="84">
        <v>2458.0</v>
      </c>
      <c r="E58" s="84">
        <v>0.0</v>
      </c>
      <c r="F58" s="85" t="s">
        <v>514</v>
      </c>
      <c r="G58" s="119" t="s">
        <v>499</v>
      </c>
      <c r="H58" s="87">
        <f t="shared" si="1"/>
        <v>100458</v>
      </c>
      <c r="I58" s="120">
        <v>0.0</v>
      </c>
      <c r="J58" s="81"/>
      <c r="K58" s="81"/>
      <c r="L58" s="81"/>
      <c r="M58" s="84"/>
      <c r="N58" s="84">
        <v>650.0</v>
      </c>
      <c r="O58" s="85" t="s">
        <v>515</v>
      </c>
      <c r="P58" s="121">
        <f t="shared" si="2"/>
        <v>650</v>
      </c>
      <c r="Q58" s="121">
        <f t="shared" si="3"/>
        <v>101108</v>
      </c>
      <c r="R58" s="93"/>
      <c r="S58" s="94"/>
      <c r="T58" s="95"/>
      <c r="U58" s="81"/>
    </row>
    <row r="59">
      <c r="A59" s="91"/>
      <c r="B59" s="97">
        <v>45078.0</v>
      </c>
      <c r="C59" s="84">
        <v>98000.0</v>
      </c>
      <c r="D59" s="84">
        <v>1000.0</v>
      </c>
      <c r="E59" s="84">
        <v>0.0</v>
      </c>
      <c r="F59" s="85" t="s">
        <v>516</v>
      </c>
      <c r="G59" s="119" t="s">
        <v>499</v>
      </c>
      <c r="H59" s="87">
        <f t="shared" si="1"/>
        <v>99000</v>
      </c>
      <c r="I59" s="120">
        <v>0.0</v>
      </c>
      <c r="J59" s="81"/>
      <c r="K59" s="81"/>
      <c r="L59" s="81"/>
      <c r="M59" s="81"/>
      <c r="N59" s="81"/>
      <c r="O59" s="81"/>
      <c r="P59" s="121">
        <f t="shared" si="2"/>
        <v>0</v>
      </c>
      <c r="Q59" s="121">
        <f t="shared" si="3"/>
        <v>99000</v>
      </c>
      <c r="R59" s="93"/>
      <c r="S59" s="94"/>
      <c r="T59" s="95"/>
      <c r="U59" s="81"/>
    </row>
    <row r="60">
      <c r="A60" s="91"/>
      <c r="B60" s="97">
        <v>45108.0</v>
      </c>
      <c r="C60" s="84">
        <v>98000.0</v>
      </c>
      <c r="D60" s="84">
        <v>2858.0</v>
      </c>
      <c r="E60" s="84">
        <v>150000.0</v>
      </c>
      <c r="F60" s="85" t="s">
        <v>517</v>
      </c>
      <c r="G60" s="119" t="s">
        <v>499</v>
      </c>
      <c r="H60" s="87">
        <f t="shared" si="1"/>
        <v>250858</v>
      </c>
      <c r="I60" s="120">
        <v>0.0</v>
      </c>
      <c r="J60" s="81"/>
      <c r="K60" s="81"/>
      <c r="L60" s="81"/>
      <c r="M60" s="84"/>
      <c r="N60" s="84">
        <v>4816.0</v>
      </c>
      <c r="O60" s="85" t="s">
        <v>518</v>
      </c>
      <c r="P60" s="121">
        <f t="shared" si="2"/>
        <v>4816</v>
      </c>
      <c r="Q60" s="121">
        <f t="shared" si="3"/>
        <v>255674</v>
      </c>
      <c r="R60" s="93"/>
      <c r="S60" s="94"/>
      <c r="T60" s="95"/>
      <c r="U60" s="81"/>
    </row>
    <row r="61">
      <c r="A61" s="91"/>
      <c r="B61" s="97">
        <v>45139.0</v>
      </c>
      <c r="C61" s="84">
        <v>98000.0</v>
      </c>
      <c r="D61" s="84">
        <v>1000.0</v>
      </c>
      <c r="E61" s="84">
        <v>0.0</v>
      </c>
      <c r="F61" s="85" t="s">
        <v>519</v>
      </c>
      <c r="G61" s="119" t="s">
        <v>499</v>
      </c>
      <c r="H61" s="87">
        <f t="shared" si="1"/>
        <v>99000</v>
      </c>
      <c r="I61" s="120">
        <v>0.0</v>
      </c>
      <c r="J61" s="81"/>
      <c r="K61" s="81"/>
      <c r="L61" s="81"/>
      <c r="M61" s="81"/>
      <c r="N61" s="81"/>
      <c r="O61" s="81"/>
      <c r="P61" s="121">
        <f t="shared" si="2"/>
        <v>0</v>
      </c>
      <c r="Q61" s="121">
        <f t="shared" si="3"/>
        <v>99000</v>
      </c>
      <c r="R61" s="93"/>
      <c r="S61" s="94"/>
      <c r="T61" s="95"/>
      <c r="U61" s="81"/>
    </row>
    <row r="62">
      <c r="A62" s="91"/>
      <c r="B62" s="97">
        <v>45170.0</v>
      </c>
      <c r="C62" s="84">
        <v>98000.0</v>
      </c>
      <c r="D62" s="84">
        <v>1000.0</v>
      </c>
      <c r="E62" s="84">
        <v>0.0</v>
      </c>
      <c r="F62" s="85" t="s">
        <v>520</v>
      </c>
      <c r="G62" s="119" t="s">
        <v>499</v>
      </c>
      <c r="H62" s="87">
        <f t="shared" si="1"/>
        <v>99000</v>
      </c>
      <c r="I62" s="120">
        <v>0.0</v>
      </c>
      <c r="J62" s="81"/>
      <c r="K62" s="81"/>
      <c r="L62" s="81"/>
      <c r="M62" s="84"/>
      <c r="N62" s="84">
        <v>5000.0</v>
      </c>
      <c r="O62" s="85" t="s">
        <v>521</v>
      </c>
      <c r="P62" s="121">
        <f t="shared" si="2"/>
        <v>5000</v>
      </c>
      <c r="Q62" s="121">
        <f t="shared" si="3"/>
        <v>104000</v>
      </c>
      <c r="R62" s="93"/>
      <c r="S62" s="94"/>
      <c r="T62" s="95"/>
      <c r="U62" s="81"/>
    </row>
    <row r="63">
      <c r="A63" s="91"/>
      <c r="B63" s="97">
        <v>45200.0</v>
      </c>
      <c r="C63" s="84">
        <v>98000.0</v>
      </c>
      <c r="D63" s="84">
        <v>0.0</v>
      </c>
      <c r="E63" s="84">
        <v>80000.0</v>
      </c>
      <c r="F63" s="126" t="s">
        <v>522</v>
      </c>
      <c r="G63" s="119" t="s">
        <v>499</v>
      </c>
      <c r="H63" s="87">
        <f t="shared" si="1"/>
        <v>178000</v>
      </c>
      <c r="I63" s="120">
        <v>0.0</v>
      </c>
      <c r="J63" s="81"/>
      <c r="K63" s="81"/>
      <c r="L63" s="81"/>
      <c r="M63" s="81"/>
      <c r="N63" s="81"/>
      <c r="O63" s="81"/>
      <c r="P63" s="121">
        <f t="shared" si="2"/>
        <v>0</v>
      </c>
      <c r="Q63" s="121">
        <f t="shared" si="3"/>
        <v>178000</v>
      </c>
      <c r="R63" s="93"/>
      <c r="S63" s="94"/>
      <c r="T63" s="95"/>
      <c r="U63" s="81"/>
    </row>
    <row r="64">
      <c r="A64" s="91"/>
      <c r="B64" s="97">
        <v>45231.0</v>
      </c>
      <c r="C64" s="84">
        <v>98000.0</v>
      </c>
      <c r="D64" s="84">
        <v>0.0</v>
      </c>
      <c r="E64" s="84">
        <v>0.0</v>
      </c>
      <c r="F64" s="81"/>
      <c r="G64" s="119" t="s">
        <v>499</v>
      </c>
      <c r="H64" s="87">
        <f t="shared" si="1"/>
        <v>98000</v>
      </c>
      <c r="I64" s="120">
        <v>0.0</v>
      </c>
      <c r="J64" s="81"/>
      <c r="K64" s="81"/>
      <c r="L64" s="81"/>
      <c r="M64" s="81"/>
      <c r="N64" s="81"/>
      <c r="O64" s="81"/>
      <c r="P64" s="121">
        <f t="shared" si="2"/>
        <v>0</v>
      </c>
      <c r="Q64" s="121">
        <f t="shared" si="3"/>
        <v>98000</v>
      </c>
      <c r="R64" s="93"/>
      <c r="S64" s="94"/>
      <c r="T64" s="95"/>
      <c r="U64" s="81"/>
    </row>
    <row r="65">
      <c r="A65" s="96"/>
      <c r="B65" s="97">
        <v>45261.0</v>
      </c>
      <c r="C65" s="98">
        <v>98000.0</v>
      </c>
      <c r="D65" s="98">
        <v>0.0</v>
      </c>
      <c r="E65" s="98">
        <v>0.0</v>
      </c>
      <c r="F65" s="99"/>
      <c r="G65" s="118" t="s">
        <v>499</v>
      </c>
      <c r="H65" s="100">
        <f t="shared" si="1"/>
        <v>98000</v>
      </c>
      <c r="I65" s="123">
        <v>0.0</v>
      </c>
      <c r="J65" s="99"/>
      <c r="K65" s="99"/>
      <c r="L65" s="99"/>
      <c r="M65" s="98"/>
      <c r="N65" s="98">
        <v>545.0</v>
      </c>
      <c r="O65" s="98" t="s">
        <v>523</v>
      </c>
      <c r="P65" s="124">
        <f t="shared" ref="P65:P71" si="9">SUM(I65:O65)</f>
        <v>545</v>
      </c>
      <c r="Q65" s="124">
        <f t="shared" si="3"/>
        <v>98545</v>
      </c>
      <c r="R65" s="93"/>
      <c r="S65" s="94"/>
      <c r="T65" s="95"/>
      <c r="U65" s="81"/>
    </row>
    <row r="66">
      <c r="A66" s="125">
        <v>2024.0</v>
      </c>
      <c r="B66" s="97">
        <v>45292.0</v>
      </c>
      <c r="C66" s="127">
        <v>98000.0</v>
      </c>
      <c r="D66" s="127">
        <v>20800.0</v>
      </c>
      <c r="E66" s="127">
        <v>564187.0</v>
      </c>
      <c r="F66" s="85" t="s">
        <v>216</v>
      </c>
      <c r="G66" s="119" t="s">
        <v>499</v>
      </c>
      <c r="H66" s="128">
        <f t="shared" si="1"/>
        <v>682987</v>
      </c>
      <c r="I66" s="120">
        <v>0.0</v>
      </c>
      <c r="J66" s="81"/>
      <c r="K66" s="81"/>
      <c r="L66" s="84">
        <v>3500.0</v>
      </c>
      <c r="M66" s="84"/>
      <c r="N66" s="84">
        <v>132.0</v>
      </c>
      <c r="O66" s="129" t="s">
        <v>524</v>
      </c>
      <c r="P66" s="121">
        <f t="shared" si="9"/>
        <v>3632</v>
      </c>
      <c r="Q66" s="121">
        <f t="shared" si="3"/>
        <v>686619</v>
      </c>
      <c r="R66" s="130" t="s">
        <v>525</v>
      </c>
      <c r="S66" s="106">
        <f>SUM(H66:H77)</f>
        <v>2000437</v>
      </c>
      <c r="T66" s="107">
        <f>S66/(12-COUNTBLANK(Q66:Q77))</f>
        <v>166703.0833</v>
      </c>
      <c r="U66" s="131" t="s">
        <v>526</v>
      </c>
    </row>
    <row r="67">
      <c r="A67" s="91"/>
      <c r="B67" s="97">
        <v>45323.0</v>
      </c>
      <c r="C67" s="127">
        <v>98000.0</v>
      </c>
      <c r="D67" s="127">
        <v>0.0</v>
      </c>
      <c r="E67" s="127">
        <v>0.0</v>
      </c>
      <c r="F67" s="85"/>
      <c r="G67" s="119" t="s">
        <v>499</v>
      </c>
      <c r="H67" s="128">
        <f t="shared" si="1"/>
        <v>98000</v>
      </c>
      <c r="I67" s="120">
        <v>0.0</v>
      </c>
      <c r="J67" s="81"/>
      <c r="K67" s="81"/>
      <c r="L67" s="81"/>
      <c r="M67" s="84"/>
      <c r="N67" s="84">
        <v>790.0</v>
      </c>
      <c r="O67" s="129" t="s">
        <v>527</v>
      </c>
      <c r="P67" s="121">
        <f t="shared" si="9"/>
        <v>790</v>
      </c>
      <c r="Q67" s="121">
        <f t="shared" si="3"/>
        <v>98790</v>
      </c>
      <c r="R67" s="85" t="s">
        <v>40</v>
      </c>
      <c r="S67" s="109">
        <f>SUM(I66:I77)</f>
        <v>59059</v>
      </c>
      <c r="T67" s="110">
        <f>S67/(12-COUNTBLANK(Q66:Q77))</f>
        <v>4921.583333</v>
      </c>
      <c r="U67" s="81"/>
    </row>
    <row r="68">
      <c r="A68" s="91"/>
      <c r="B68" s="97">
        <v>45352.0</v>
      </c>
      <c r="C68" s="127">
        <v>98000.0</v>
      </c>
      <c r="D68" s="127">
        <v>1500.0</v>
      </c>
      <c r="E68" s="127"/>
      <c r="F68" s="85" t="s">
        <v>528</v>
      </c>
      <c r="G68" s="119" t="s">
        <v>499</v>
      </c>
      <c r="H68" s="128">
        <f t="shared" si="1"/>
        <v>99500</v>
      </c>
      <c r="I68" s="120">
        <v>0.0</v>
      </c>
      <c r="J68" s="81"/>
      <c r="K68" s="81"/>
      <c r="L68" s="81"/>
      <c r="M68" s="81"/>
      <c r="N68" s="81"/>
      <c r="O68" s="129"/>
      <c r="P68" s="121">
        <f t="shared" si="9"/>
        <v>0</v>
      </c>
      <c r="Q68" s="121">
        <f t="shared" si="3"/>
        <v>99500</v>
      </c>
      <c r="R68" s="85" t="s">
        <v>529</v>
      </c>
      <c r="S68" s="112">
        <f>SUM(P66:P77)</f>
        <v>1405522</v>
      </c>
      <c r="T68" s="113">
        <f>S68/(12-COUNTBLANK(Q66:Q77))</f>
        <v>117126.8333</v>
      </c>
      <c r="U68" s="81"/>
    </row>
    <row r="69">
      <c r="A69" s="91"/>
      <c r="B69" s="97">
        <v>45383.0</v>
      </c>
      <c r="C69" s="127">
        <v>98000.0</v>
      </c>
      <c r="D69" s="127">
        <v>1000.0</v>
      </c>
      <c r="E69" s="127">
        <v>80000.0</v>
      </c>
      <c r="F69" s="85" t="s">
        <v>530</v>
      </c>
      <c r="G69" s="119" t="s">
        <v>499</v>
      </c>
      <c r="H69" s="128">
        <f t="shared" si="1"/>
        <v>179000</v>
      </c>
      <c r="I69" s="120">
        <v>0.0</v>
      </c>
      <c r="J69" s="84">
        <v>500.0</v>
      </c>
      <c r="K69" s="81"/>
      <c r="L69" s="81"/>
      <c r="M69" s="84"/>
      <c r="N69" s="84">
        <v>169.0</v>
      </c>
      <c r="O69" s="129" t="s">
        <v>531</v>
      </c>
      <c r="P69" s="121">
        <f t="shared" si="9"/>
        <v>669</v>
      </c>
      <c r="Q69" s="121">
        <f t="shared" si="3"/>
        <v>179669</v>
      </c>
      <c r="R69" s="108" t="s">
        <v>532</v>
      </c>
      <c r="S69" s="112">
        <f>SUM(Q66:Q77)</f>
        <v>3405959</v>
      </c>
      <c r="T69" s="113">
        <f>S69/(12-COUNTBLANK(Q66:Q77))</f>
        <v>283829.9167</v>
      </c>
      <c r="U69" s="81"/>
    </row>
    <row r="70">
      <c r="A70" s="91"/>
      <c r="B70" s="97">
        <v>45413.0</v>
      </c>
      <c r="C70" s="127">
        <v>102900.0</v>
      </c>
      <c r="D70" s="127">
        <v>0.0</v>
      </c>
      <c r="E70" s="127">
        <v>0.0</v>
      </c>
      <c r="F70" s="85"/>
      <c r="G70" s="119" t="s">
        <v>499</v>
      </c>
      <c r="H70" s="128">
        <f t="shared" si="1"/>
        <v>102900</v>
      </c>
      <c r="I70" s="120">
        <v>0.0</v>
      </c>
      <c r="J70" s="81"/>
      <c r="K70" s="81"/>
      <c r="L70" s="81"/>
      <c r="M70" s="132"/>
      <c r="N70" s="132">
        <v>322000.0</v>
      </c>
      <c r="O70" s="129" t="s">
        <v>533</v>
      </c>
      <c r="P70" s="121">
        <f t="shared" si="9"/>
        <v>322000</v>
      </c>
      <c r="Q70" s="121">
        <f t="shared" si="3"/>
        <v>424900</v>
      </c>
      <c r="R70" s="93"/>
      <c r="S70" s="94"/>
      <c r="T70" s="95"/>
      <c r="U70" s="81"/>
    </row>
    <row r="71">
      <c r="A71" s="91"/>
      <c r="B71" s="97">
        <v>45444.0</v>
      </c>
      <c r="C71" s="127">
        <v>102900.0</v>
      </c>
      <c r="D71" s="127">
        <v>1000.0</v>
      </c>
      <c r="E71" s="127"/>
      <c r="F71" s="85" t="s">
        <v>516</v>
      </c>
      <c r="G71" s="119" t="s">
        <v>499</v>
      </c>
      <c r="H71" s="128">
        <f t="shared" si="1"/>
        <v>103900</v>
      </c>
      <c r="I71" s="120">
        <v>0.0</v>
      </c>
      <c r="J71" s="81"/>
      <c r="K71" s="81"/>
      <c r="L71" s="81"/>
      <c r="M71" s="132"/>
      <c r="N71" s="132">
        <v>1000000.0</v>
      </c>
      <c r="O71" s="129" t="s">
        <v>534</v>
      </c>
      <c r="P71" s="121">
        <f t="shared" si="9"/>
        <v>1000000</v>
      </c>
      <c r="Q71" s="121">
        <f t="shared" si="3"/>
        <v>1103900</v>
      </c>
      <c r="R71" s="93"/>
      <c r="S71" s="94"/>
      <c r="T71" s="95"/>
      <c r="U71" s="81"/>
    </row>
    <row r="72">
      <c r="A72" s="91"/>
      <c r="B72" s="97">
        <v>45474.0</v>
      </c>
      <c r="C72" s="127">
        <f>IF(Calculation!B3=0,"",Calculation!B3)</f>
        <v>102900</v>
      </c>
      <c r="D72" s="127">
        <f>IF(Calculation!C3=0,"",Calculation!C3)</f>
        <v>22150</v>
      </c>
      <c r="E72" s="127">
        <f>IF(Calculation!D3=0,"",Calculation!D3)</f>
        <v>100000</v>
      </c>
      <c r="F72" s="129" t="str">
        <f>IFNA(Calculation!E3,"")</f>
        <v>$17150特休折現, $5000體檢補助, $100000七月獎金</v>
      </c>
      <c r="G72" s="119" t="s">
        <v>499</v>
      </c>
      <c r="H72" s="128">
        <f t="shared" ref="H72:H101" si="10">IF(SUM(C72:E72)=0,"",SUM(C72:E72))</f>
        <v>225050</v>
      </c>
      <c r="I72" s="132">
        <f>IF(Calculation!F3=0,"",Calculation!F3)</f>
        <v>9466</v>
      </c>
      <c r="J72" s="132" t="str">
        <f>IF(Calculation!G3=0,"",Calculation!G3)</f>
        <v/>
      </c>
      <c r="K72" s="132" t="str">
        <f>IF(Calculation!H3=0,"",Calculation!H3)</f>
        <v/>
      </c>
      <c r="L72" s="132" t="str">
        <f>IF(Calculation!I3=0,"",Calculation!I3)</f>
        <v/>
      </c>
      <c r="M72" s="132" t="str">
        <f>IF(Calculation!J3=0,"",Calculation!J3)</f>
        <v/>
      </c>
      <c r="N72" s="132" t="str">
        <f>IF(Calculation!K3=0,"",Calculation!K3)</f>
        <v/>
      </c>
      <c r="O72" s="133" t="str">
        <f>IFNA(Calculation!L3,"")</f>
        <v>$930 00751B, $1185元大金, $1990國泰金, $990台泥, $1491開發金, $1490正隆, $1390中再保</v>
      </c>
      <c r="P72" s="121">
        <f t="shared" ref="P72:P101" si="11">IF(SUM(I72:O72)=0,"",SUM(I72:O72))</f>
        <v>9466</v>
      </c>
      <c r="Q72" s="121">
        <f t="shared" ref="Q72:Q101" si="12">IF(H72+P72=0,"",H72+P72)</f>
        <v>234516</v>
      </c>
      <c r="R72" s="93"/>
      <c r="S72" s="94"/>
      <c r="T72" s="95"/>
      <c r="U72" s="81"/>
    </row>
    <row r="73">
      <c r="A73" s="91"/>
      <c r="B73" s="97">
        <v>45505.0</v>
      </c>
      <c r="C73" s="127">
        <f>IF(Calculation!B4=0,"",Calculation!B4)</f>
        <v>102900</v>
      </c>
      <c r="D73" s="127">
        <f>IF(Calculation!C4=0,"",Calculation!C4)</f>
        <v>1000</v>
      </c>
      <c r="E73" s="127" t="str">
        <f>IF(Calculation!D4=0,"",Calculation!D4)</f>
        <v/>
      </c>
      <c r="F73" s="129" t="str">
        <f>IFNA(Calculation!E4,"")</f>
        <v>$1000生日禮金</v>
      </c>
      <c r="G73" s="119" t="s">
        <v>499</v>
      </c>
      <c r="H73" s="128">
        <f t="shared" si="10"/>
        <v>103900</v>
      </c>
      <c r="I73" s="132">
        <f>IF(Calculation!F4=0,"",Calculation!F4)</f>
        <v>13981</v>
      </c>
      <c r="J73" s="132">
        <f>IF(Calculation!G4=0,"",Calculation!G4)</f>
        <v>200</v>
      </c>
      <c r="K73" s="132" t="str">
        <f>IF(Calculation!H4=0,"",Calculation!H4)</f>
        <v/>
      </c>
      <c r="L73" s="132" t="str">
        <f>IF(Calculation!I4=0,"",Calculation!I4)</f>
        <v/>
      </c>
      <c r="M73" s="132" t="str">
        <f>IF(Calculation!J4=0,"",Calculation!J4)</f>
        <v/>
      </c>
      <c r="N73" s="132">
        <f>IF(Calculation!K4=0,"",Calculation!K4)</f>
        <v>172</v>
      </c>
      <c r="O73" s="133" t="str">
        <f>IFNA(Calculation!L4,"")</f>
        <v>$172禾聯碩出借, $1190皇鼎, $200發票, $850山隆, $2090亞泥, $390聯邦銀, $693中鋼, $973台中銀行, $1846第一金, $1642玉山金, $1845台新金, $2462華南金</v>
      </c>
      <c r="P73" s="121">
        <f t="shared" si="11"/>
        <v>14353</v>
      </c>
      <c r="Q73" s="121">
        <f t="shared" si="12"/>
        <v>118253</v>
      </c>
      <c r="R73" s="93"/>
      <c r="S73" s="94"/>
      <c r="T73" s="95"/>
      <c r="U73" s="81"/>
    </row>
    <row r="74">
      <c r="A74" s="91"/>
      <c r="B74" s="97">
        <v>45536.0</v>
      </c>
      <c r="C74" s="127">
        <f>IF(Calculation!B5=0,"",Calculation!B5)</f>
        <v>102900</v>
      </c>
      <c r="D74" s="127">
        <f>IF(Calculation!C5=0,"",Calculation!C5)</f>
        <v>1000</v>
      </c>
      <c r="E74" s="127" t="str">
        <f>IF(Calculation!D5=0,"",Calculation!D5)</f>
        <v/>
      </c>
      <c r="F74" s="129" t="str">
        <f>IFNA(Calculation!E5,"")</f>
        <v>$1000中秋獎金</v>
      </c>
      <c r="G74" s="119" t="s">
        <v>499</v>
      </c>
      <c r="H74" s="128">
        <f t="shared" si="10"/>
        <v>103900</v>
      </c>
      <c r="I74" s="132">
        <f>IF(Calculation!F5=0,"",Calculation!F5)</f>
        <v>16544</v>
      </c>
      <c r="J74" s="132" t="str">
        <f>IF(Calculation!G5=0,"",Calculation!G5)</f>
        <v/>
      </c>
      <c r="K74" s="132" t="str">
        <f>IF(Calculation!H5=0,"",Calculation!H5)</f>
        <v/>
      </c>
      <c r="L74" s="132" t="str">
        <f>IF(Calculation!I5=0,"",Calculation!I5)</f>
        <v/>
      </c>
      <c r="M74" s="132" t="str">
        <f>IF(Calculation!J5=0,"",Calculation!J5)</f>
        <v/>
      </c>
      <c r="N74" s="132" t="str">
        <f>IF(Calculation!K5=0,"",Calculation!K5)</f>
        <v/>
      </c>
      <c r="O74" s="133" t="str">
        <f>IFNA(Calculation!L5,"")</f>
        <v>$3440元大美債, $2291台企銀, $1653兆豐金, $2590合庫金, $890高雄銀, $1690彰銀, $3990禾聯碩</v>
      </c>
      <c r="P74" s="121">
        <f t="shared" si="11"/>
        <v>16544</v>
      </c>
      <c r="Q74" s="121">
        <f t="shared" si="12"/>
        <v>120444</v>
      </c>
      <c r="R74" s="93"/>
      <c r="S74" s="94"/>
      <c r="T74" s="95"/>
      <c r="U74" s="81"/>
    </row>
    <row r="75">
      <c r="A75" s="91"/>
      <c r="B75" s="97">
        <v>45566.0</v>
      </c>
      <c r="C75" s="127" t="str">
        <f>IF(Calculation!B6=0,"",Calculation!B6)</f>
        <v/>
      </c>
      <c r="D75" s="127" t="str">
        <f>IF(Calculation!C6=0,"",Calculation!C6)</f>
        <v/>
      </c>
      <c r="E75" s="127">
        <f>IF(Calculation!D6=0,"",Calculation!D6)</f>
        <v>75500</v>
      </c>
      <c r="F75" s="129" t="str">
        <f>IFNA(Calculation!E6,"")</f>
        <v/>
      </c>
      <c r="G75" s="119" t="s">
        <v>499</v>
      </c>
      <c r="H75" s="128">
        <f t="shared" si="10"/>
        <v>75500</v>
      </c>
      <c r="I75" s="132">
        <f>IF(Calculation!F6=0,"",Calculation!F6)</f>
        <v>6970</v>
      </c>
      <c r="J75" s="132" t="str">
        <f>IF(Calculation!G6=0,"",Calculation!G6)</f>
        <v/>
      </c>
      <c r="K75" s="132" t="str">
        <f>IF(Calculation!H6=0,"",Calculation!H6)</f>
        <v/>
      </c>
      <c r="L75" s="132" t="str">
        <f>IF(Calculation!I6=0,"",Calculation!I6)</f>
        <v/>
      </c>
      <c r="M75" s="132">
        <f>IF(Calculation!J6=0,"",Calculation!J6)</f>
        <v>5000</v>
      </c>
      <c r="N75" s="132" t="str">
        <f>IF(Calculation!K6=0,"",Calculation!K6)</f>
        <v/>
      </c>
      <c r="O75" s="133" t="str">
        <f>IFNA(Calculation!L6,"")</f>
        <v>$5000文心1, $2290元大A級, $4190國泰美債, $490興富發</v>
      </c>
      <c r="P75" s="121">
        <f t="shared" si="11"/>
        <v>11970</v>
      </c>
      <c r="Q75" s="121">
        <f t="shared" si="12"/>
        <v>87470</v>
      </c>
      <c r="R75" s="93"/>
      <c r="S75" s="94"/>
      <c r="T75" s="95"/>
      <c r="U75" s="81"/>
    </row>
    <row r="76">
      <c r="A76" s="91"/>
      <c r="B76" s="97">
        <v>45597.0</v>
      </c>
      <c r="C76" s="127">
        <f>IF(Calculation!B7=0,"",Calculation!B7)</f>
        <v>102900</v>
      </c>
      <c r="D76" s="127">
        <f>IF(Calculation!C7=0,"",Calculation!C7)</f>
        <v>20000</v>
      </c>
      <c r="E76" s="127" t="str">
        <f>IF(Calculation!D7=0,"",Calculation!D7)</f>
        <v/>
      </c>
      <c r="F76" s="129" t="str">
        <f>IFNA(Calculation!E7,"")</f>
        <v>$20000旅遊補助</v>
      </c>
      <c r="G76" s="119" t="s">
        <v>499</v>
      </c>
      <c r="H76" s="128">
        <f t="shared" si="10"/>
        <v>122900</v>
      </c>
      <c r="I76" s="132">
        <f>IF(Calculation!F7=0,"",Calculation!F7)</f>
        <v>4748</v>
      </c>
      <c r="J76" s="132" t="str">
        <f>IF(Calculation!G7=0,"",Calculation!G7)</f>
        <v/>
      </c>
      <c r="K76" s="132" t="str">
        <f>IF(Calculation!H7=0,"",Calculation!H7)</f>
        <v/>
      </c>
      <c r="L76" s="132" t="str">
        <f>IF(Calculation!I7=0,"",Calculation!I7)</f>
        <v/>
      </c>
      <c r="M76" s="132">
        <f>IF(Calculation!J7=0,"",Calculation!J7)</f>
        <v>5000</v>
      </c>
      <c r="N76" s="132" t="str">
        <f>IF(Calculation!K7=0,"",Calculation!K7)</f>
        <v/>
      </c>
      <c r="O76" s="133" t="str">
        <f>IFNA(Calculation!L7,"")</f>
        <v>$5000文心1, $3953台灣中小, $795中信優息</v>
      </c>
      <c r="P76" s="121">
        <f t="shared" si="11"/>
        <v>9748</v>
      </c>
      <c r="Q76" s="121">
        <f t="shared" si="12"/>
        <v>132648</v>
      </c>
      <c r="R76" s="93"/>
      <c r="S76" s="94"/>
      <c r="T76" s="95"/>
      <c r="U76" s="134" t="s">
        <v>535</v>
      </c>
    </row>
    <row r="77">
      <c r="A77" s="96"/>
      <c r="B77" s="97">
        <v>45627.0</v>
      </c>
      <c r="C77" s="127">
        <f>IF(Calculation!B8=0,"",Calculation!B8)</f>
        <v>102900</v>
      </c>
      <c r="D77" s="127" t="str">
        <f>IF(Calculation!C8=0,"",Calculation!C8)</f>
        <v/>
      </c>
      <c r="E77" s="127" t="str">
        <f>IF(Calculation!D8=0,"",Calculation!D8)</f>
        <v/>
      </c>
      <c r="F77" s="129" t="str">
        <f>IFNA(Calculation!E8,"")</f>
        <v/>
      </c>
      <c r="G77" s="135" t="s">
        <v>499</v>
      </c>
      <c r="H77" s="128">
        <f t="shared" si="10"/>
        <v>102900</v>
      </c>
      <c r="I77" s="132">
        <f>IF(Calculation!F8=0,"",Calculation!F8)</f>
        <v>7350</v>
      </c>
      <c r="J77" s="132">
        <f>IF(Calculation!G8=0,"",Calculation!G8)</f>
        <v>4000</v>
      </c>
      <c r="K77" s="132" t="str">
        <f>IF(Calculation!H8=0,"",Calculation!H8)</f>
        <v/>
      </c>
      <c r="L77" s="132" t="str">
        <f>IF(Calculation!I8=0,"",Calculation!I8)</f>
        <v/>
      </c>
      <c r="M77" s="132">
        <f>IF(Calculation!J8=0,"",Calculation!J8)</f>
        <v>5000</v>
      </c>
      <c r="N77" s="132" t="str">
        <f>IF(Calculation!K8=0,"",Calculation!K8)</f>
        <v/>
      </c>
      <c r="O77" s="133" t="str">
        <f>IFNA(Calculation!L8,"")</f>
        <v>$4000發票中獎, $440富邦台50, $5090美債20, $1820中信優息</v>
      </c>
      <c r="P77" s="121">
        <f t="shared" si="11"/>
        <v>16350</v>
      </c>
      <c r="Q77" s="121">
        <f t="shared" si="12"/>
        <v>119250</v>
      </c>
      <c r="R77" s="93"/>
      <c r="S77" s="94"/>
      <c r="T77" s="95"/>
      <c r="U77" s="81"/>
    </row>
    <row r="78">
      <c r="A78" s="136">
        <v>2025.0</v>
      </c>
      <c r="B78" s="137">
        <v>45658.0</v>
      </c>
      <c r="C78" s="138">
        <f>IF(Calculation!B9=0,"",Calculation!B9)</f>
        <v>102900</v>
      </c>
      <c r="D78" s="138">
        <f>IF(Calculation!C9=0,"",Calculation!C9)</f>
        <v>447</v>
      </c>
      <c r="E78" s="138">
        <f>IF(Calculation!D9=0,"",Calculation!D9)</f>
        <v>536987</v>
      </c>
      <c r="F78" s="139" t="str">
        <f>IFNA(Calculation!E9,"")</f>
        <v>$536987註1, $447調休</v>
      </c>
      <c r="G78" s="140" t="s">
        <v>499</v>
      </c>
      <c r="H78" s="141">
        <f t="shared" si="10"/>
        <v>640334</v>
      </c>
      <c r="I78" s="142">
        <f>IF(Calculation!F9=0,"",Calculation!F9)</f>
        <v>8710</v>
      </c>
      <c r="J78" s="142">
        <f>IF(Calculation!G9=0,"",Calculation!G9)</f>
        <v>3659</v>
      </c>
      <c r="K78" s="142" t="str">
        <f>IF(Calculation!H9=0,"",Calculation!H9)</f>
        <v/>
      </c>
      <c r="L78" s="142" t="str">
        <f>IF(Calculation!I9=0,"",Calculation!I9)</f>
        <v/>
      </c>
      <c r="M78" s="142">
        <f>IF(Calculation!J9=0,"",Calculation!J9)</f>
        <v>5000</v>
      </c>
      <c r="N78" s="142" t="str">
        <f>IF(Calculation!K9=0,"",Calculation!K9)</f>
        <v/>
      </c>
      <c r="O78" s="143" t="str">
        <f>IFNA(Calculation!L9,"")</f>
        <v>$3659紅包自己抽寶, $6890元大A級, $1820中信優息</v>
      </c>
      <c r="P78" s="144">
        <f t="shared" si="11"/>
        <v>17369</v>
      </c>
      <c r="Q78" s="144">
        <f t="shared" si="12"/>
        <v>657703</v>
      </c>
      <c r="R78" s="130" t="s">
        <v>536</v>
      </c>
      <c r="S78" s="106">
        <f>SUM(H78:H89)</f>
        <v>2110214</v>
      </c>
      <c r="T78" s="107">
        <f>S78/(12-COUNTBLANK(Q78:Q89))</f>
        <v>175851.1667</v>
      </c>
      <c r="U78" s="145" t="s">
        <v>537</v>
      </c>
    </row>
    <row r="79">
      <c r="A79" s="146"/>
      <c r="B79" s="137">
        <v>45689.0</v>
      </c>
      <c r="C79" s="127">
        <f>IF(Calculation!B10=0,"",Calculation!B10)</f>
        <v>101185</v>
      </c>
      <c r="D79" s="127" t="str">
        <f>IF(Calculation!C10=0,"",Calculation!C10)</f>
        <v/>
      </c>
      <c r="E79" s="127" t="str">
        <f>IF(Calculation!D10=0,"",Calculation!D10)</f>
        <v/>
      </c>
      <c r="F79" s="129" t="str">
        <f>IFNA(Calculation!E10,"")</f>
        <v>$101185含請假扣款</v>
      </c>
      <c r="G79" s="135" t="s">
        <v>499</v>
      </c>
      <c r="H79" s="128">
        <f t="shared" si="10"/>
        <v>101185</v>
      </c>
      <c r="I79" s="132">
        <f>IF(Calculation!F10=0,"",Calculation!F10)</f>
        <v>1680</v>
      </c>
      <c r="J79" s="132" t="str">
        <f>IF(Calculation!G10=0,"",Calculation!G10)</f>
        <v/>
      </c>
      <c r="K79" s="132" t="str">
        <f>IF(Calculation!H10=0,"",Calculation!H10)</f>
        <v/>
      </c>
      <c r="L79" s="132" t="str">
        <f>IF(Calculation!I10=0,"",Calculation!I10)</f>
        <v/>
      </c>
      <c r="M79" s="132">
        <f>IF(Calculation!J10=0,"",Calculation!J10)</f>
        <v>5000</v>
      </c>
      <c r="N79" s="132">
        <f>IF(Calculation!K10=0,"",Calculation!K10)</f>
        <v>500</v>
      </c>
      <c r="O79" s="133" t="str">
        <f>IFNA(Calculation!L10,"")</f>
        <v>$500除濕機退稅, $1680中信優息</v>
      </c>
      <c r="P79" s="121">
        <f t="shared" si="11"/>
        <v>7180</v>
      </c>
      <c r="Q79" s="121">
        <f t="shared" si="12"/>
        <v>108365</v>
      </c>
      <c r="R79" s="85" t="s">
        <v>40</v>
      </c>
      <c r="S79" s="109">
        <f>SUM(I78:I89)</f>
        <v>118445</v>
      </c>
      <c r="T79" s="110">
        <f>S79/(12-COUNTBLANK(Q78:Q89))</f>
        <v>9870.416667</v>
      </c>
      <c r="U79" s="81"/>
    </row>
    <row r="80">
      <c r="A80" s="146"/>
      <c r="B80" s="137">
        <v>45717.0</v>
      </c>
      <c r="C80" s="127">
        <f>IF(Calculation!B11=0,"",Calculation!B11)</f>
        <v>101078</v>
      </c>
      <c r="D80" s="127">
        <f>IF(Calculation!C11=0,"",Calculation!C11)</f>
        <v>7563</v>
      </c>
      <c r="E80" s="127" t="str">
        <f>IF(Calculation!D11=0,"",Calculation!D11)</f>
        <v/>
      </c>
      <c r="F80" s="129" t="str">
        <f>IFNA(Calculation!E11,"")</f>
        <v>$101078 $1822請假扣款, $7443加班, $120加班誤餐費</v>
      </c>
      <c r="G80" s="135" t="s">
        <v>499</v>
      </c>
      <c r="H80" s="128">
        <f t="shared" si="10"/>
        <v>108641</v>
      </c>
      <c r="I80" s="132">
        <f>IF(Calculation!F11=0,"",Calculation!F11)</f>
        <v>6930</v>
      </c>
      <c r="J80" s="132" t="str">
        <f>IF(Calculation!G11=0,"",Calculation!G11)</f>
        <v/>
      </c>
      <c r="K80" s="132" t="str">
        <f>IF(Calculation!H11=0,"",Calculation!H11)</f>
        <v/>
      </c>
      <c r="L80" s="132" t="str">
        <f>IF(Calculation!I11=0,"",Calculation!I11)</f>
        <v/>
      </c>
      <c r="M80" s="132">
        <f>IF(Calculation!J11=0,"",Calculation!J11)</f>
        <v>5000</v>
      </c>
      <c r="N80" s="132" t="str">
        <f>IF(Calculation!K11=0,"",Calculation!K11)</f>
        <v/>
      </c>
      <c r="O80" s="133" t="str">
        <f>IFNA(Calculation!L11,"")</f>
        <v>$2430中信優息, $4500元大美債</v>
      </c>
      <c r="P80" s="121">
        <f t="shared" si="11"/>
        <v>11930</v>
      </c>
      <c r="Q80" s="121">
        <f t="shared" si="12"/>
        <v>120571</v>
      </c>
      <c r="R80" s="85" t="s">
        <v>538</v>
      </c>
      <c r="S80" s="112">
        <f>SUM(P78:P89)</f>
        <v>191604</v>
      </c>
      <c r="T80" s="113">
        <f>S80/(12-COUNTBLANK(Q78:Q89))</f>
        <v>15967</v>
      </c>
      <c r="U80" s="81"/>
    </row>
    <row r="81">
      <c r="A81" s="146"/>
      <c r="B81" s="137">
        <v>45748.0</v>
      </c>
      <c r="C81" s="127">
        <f>IF(Calculation!B12=0,"",Calculation!B12)</f>
        <v>102364</v>
      </c>
      <c r="D81" s="127">
        <f>IF(Calculation!C12=0,"",Calculation!C12)</f>
        <v>1000</v>
      </c>
      <c r="E81" s="127">
        <f>IF(Calculation!D12=0,"",Calculation!D12)</f>
        <v>75500</v>
      </c>
      <c r="F81" s="129" t="str">
        <f>IFNA(Calculation!E12,"")</f>
        <v>$102364 $536請假扣款, $1000勞動節, $75500績效</v>
      </c>
      <c r="G81" s="135" t="s">
        <v>499</v>
      </c>
      <c r="H81" s="128">
        <f t="shared" si="10"/>
        <v>178864</v>
      </c>
      <c r="I81" s="132">
        <f>IF(Calculation!F12=0,"",Calculation!F12)</f>
        <v>9782</v>
      </c>
      <c r="J81" s="132" t="str">
        <f>IF(Calculation!G12=0,"",Calculation!G12)</f>
        <v/>
      </c>
      <c r="K81" s="132" t="str">
        <f>IF(Calculation!H12=0,"",Calculation!H12)</f>
        <v/>
      </c>
      <c r="L81" s="132" t="str">
        <f>IF(Calculation!I12=0,"",Calculation!I12)</f>
        <v/>
      </c>
      <c r="M81" s="132">
        <f>IF(Calculation!J12=0,"",Calculation!J12)</f>
        <v>6000</v>
      </c>
      <c r="N81" s="132" t="str">
        <f>IF(Calculation!K12=0,"",Calculation!K12)</f>
        <v/>
      </c>
      <c r="O81" s="133" t="str">
        <f>IFNA(Calculation!L12,"")</f>
        <v>$2592中信優息, $7190元大A級</v>
      </c>
      <c r="P81" s="121">
        <f t="shared" si="11"/>
        <v>15782</v>
      </c>
      <c r="Q81" s="121">
        <f t="shared" si="12"/>
        <v>194646</v>
      </c>
      <c r="R81" s="108" t="s">
        <v>539</v>
      </c>
      <c r="S81" s="112">
        <f>SUM(Q78:Q89)</f>
        <v>2301818</v>
      </c>
      <c r="T81" s="113">
        <f>S81/(12-COUNTBLANK(Q78:Q89))</f>
        <v>191818.1667</v>
      </c>
      <c r="U81" s="81"/>
    </row>
    <row r="82">
      <c r="A82" s="146"/>
      <c r="B82" s="137">
        <v>45778.0</v>
      </c>
      <c r="C82" s="127">
        <f>IF(Calculation!B13=0,"",Calculation!B13)</f>
        <v>100649</v>
      </c>
      <c r="D82" s="127">
        <f>IF(Calculation!C13=0,"",Calculation!C13)</f>
        <v>1000</v>
      </c>
      <c r="E82" s="127" t="str">
        <f>IF(Calculation!D13=0,"",Calculation!D13)</f>
        <v/>
      </c>
      <c r="F82" s="129" t="str">
        <f>IFNA(Calculation!E13,"")</f>
        <v>$100649 $2251請假扣款, $1000端午節</v>
      </c>
      <c r="G82" s="135" t="s">
        <v>499</v>
      </c>
      <c r="H82" s="128">
        <f t="shared" si="10"/>
        <v>101649</v>
      </c>
      <c r="I82" s="132">
        <f>IF(Calculation!F13=0,"",Calculation!F13)</f>
        <v>2874</v>
      </c>
      <c r="J82" s="132" t="str">
        <f>IF(Calculation!G13=0,"",Calculation!G13)</f>
        <v/>
      </c>
      <c r="K82" s="132" t="str">
        <f>IF(Calculation!H13=0,"",Calculation!H13)</f>
        <v/>
      </c>
      <c r="L82" s="132" t="str">
        <f>IF(Calculation!I13=0,"",Calculation!I13)</f>
        <v/>
      </c>
      <c r="M82" s="132">
        <f>IF(Calculation!J13=0,"",Calculation!J13)</f>
        <v>6000</v>
      </c>
      <c r="N82" s="132" t="str">
        <f>IF(Calculation!K13=0,"",Calculation!K13)</f>
        <v/>
      </c>
      <c r="O82" s="133" t="str">
        <f>IFNA(Calculation!L13,"")</f>
        <v>$282台灣中小, $2592中信優息</v>
      </c>
      <c r="P82" s="121">
        <f t="shared" si="11"/>
        <v>8874</v>
      </c>
      <c r="Q82" s="121">
        <f t="shared" si="12"/>
        <v>110523</v>
      </c>
      <c r="R82" s="93"/>
      <c r="S82" s="94"/>
      <c r="T82" s="95"/>
      <c r="U82" s="81"/>
    </row>
    <row r="83">
      <c r="A83" s="146"/>
      <c r="B83" s="137">
        <v>45809.0</v>
      </c>
      <c r="C83" s="127">
        <f>IF(Calculation!B14=0,"",Calculation!B14)</f>
        <v>107300</v>
      </c>
      <c r="D83" s="127" t="str">
        <f>IF(Calculation!C14=0,"",Calculation!C14)</f>
        <v/>
      </c>
      <c r="E83" s="127" t="str">
        <f>IF(Calculation!D14=0,"",Calculation!D14)</f>
        <v/>
      </c>
      <c r="F83" s="129" t="str">
        <f>IFNA(Calculation!E14,"")</f>
        <v/>
      </c>
      <c r="G83" s="135" t="s">
        <v>499</v>
      </c>
      <c r="H83" s="128">
        <f t="shared" si="10"/>
        <v>107300</v>
      </c>
      <c r="I83" s="132">
        <f>IF(Calculation!F14=0,"",Calculation!F14)</f>
        <v>7856</v>
      </c>
      <c r="J83" s="132" t="str">
        <f>IF(Calculation!G14=0,"",Calculation!G14)</f>
        <v/>
      </c>
      <c r="K83" s="132" t="str">
        <f>IF(Calculation!H14=0,"",Calculation!H14)</f>
        <v/>
      </c>
      <c r="L83" s="132" t="str">
        <f>IF(Calculation!I14=0,"",Calculation!I14)</f>
        <v/>
      </c>
      <c r="M83" s="132">
        <f>IF(Calculation!J14=0,"",Calculation!J14)</f>
        <v>6000</v>
      </c>
      <c r="N83" s="132" t="str">
        <f>IF(Calculation!K14=0,"",Calculation!K14)</f>
        <v/>
      </c>
      <c r="O83" s="133" t="str">
        <f>IFNA(Calculation!L14,"")</f>
        <v>$2736中信優息, $5120元大美債</v>
      </c>
      <c r="P83" s="121">
        <f t="shared" si="11"/>
        <v>13856</v>
      </c>
      <c r="Q83" s="121">
        <f t="shared" si="12"/>
        <v>121156</v>
      </c>
      <c r="R83" s="93"/>
      <c r="S83" s="94"/>
      <c r="T83" s="95"/>
      <c r="U83" s="81"/>
    </row>
    <row r="84">
      <c r="A84" s="146"/>
      <c r="B84" s="137">
        <v>45839.0</v>
      </c>
      <c r="C84" s="127">
        <f>IF(Calculation!B15=0,"",Calculation!B15)</f>
        <v>107300</v>
      </c>
      <c r="D84" s="127" t="str">
        <f>IF(Calculation!C15=0,"",Calculation!C15)</f>
        <v/>
      </c>
      <c r="E84" s="127">
        <f>IF(Calculation!D15=0,"",Calculation!D15)</f>
        <v>101000</v>
      </c>
      <c r="F84" s="129" t="str">
        <f>IFNA(Calculation!E15,"")</f>
        <v/>
      </c>
      <c r="G84" s="135" t="s">
        <v>499</v>
      </c>
      <c r="H84" s="128">
        <f t="shared" si="10"/>
        <v>208300</v>
      </c>
      <c r="I84" s="132">
        <f>IF(Calculation!F15=0,"",Calculation!F15)</f>
        <v>21532</v>
      </c>
      <c r="J84" s="132" t="str">
        <f>IF(Calculation!G15=0,"",Calculation!G15)</f>
        <v/>
      </c>
      <c r="K84" s="132" t="str">
        <f>IF(Calculation!H15=0,"",Calculation!H15)</f>
        <v/>
      </c>
      <c r="L84" s="132" t="str">
        <f>IF(Calculation!I15=0,"",Calculation!I15)</f>
        <v/>
      </c>
      <c r="M84" s="132">
        <f>IF(Calculation!J15=0,"",Calculation!J15)</f>
        <v>6000</v>
      </c>
      <c r="N84" s="132" t="str">
        <f>IF(Calculation!K15=0,"",Calculation!K15)</f>
        <v/>
      </c>
      <c r="O84" s="133" t="str">
        <f>IFNA(Calculation!L15,"")</f>
        <v>$6960元大A級, $2622中信優息, $3790中再保, $1540元大金, $4040遠百, $890正隆, $1690凱基金</v>
      </c>
      <c r="P84" s="121">
        <f t="shared" si="11"/>
        <v>27532</v>
      </c>
      <c r="Q84" s="121">
        <f t="shared" si="12"/>
        <v>235832</v>
      </c>
      <c r="R84" s="93"/>
      <c r="S84" s="94"/>
      <c r="T84" s="95"/>
      <c r="U84" s="81"/>
    </row>
    <row r="85">
      <c r="A85" s="146"/>
      <c r="B85" s="137">
        <v>45870.0</v>
      </c>
      <c r="C85" s="127">
        <f>IF(Calculation!B16=0,"",Calculation!B16)</f>
        <v>106741</v>
      </c>
      <c r="D85" s="127">
        <f>IF(Calculation!C16=0,"",Calculation!C16)</f>
        <v>28459</v>
      </c>
      <c r="E85" s="127" t="str">
        <f>IF(Calculation!D16=0,"",Calculation!D16)</f>
        <v/>
      </c>
      <c r="F85" s="129" t="str">
        <f>IFNA(Calculation!E16,"")</f>
        <v>$106741 559病假, $2459特休, $5000體檢費, $1000生日禮金, $20000旅遊補助</v>
      </c>
      <c r="G85" s="135" t="s">
        <v>499</v>
      </c>
      <c r="H85" s="128">
        <f t="shared" si="10"/>
        <v>135200</v>
      </c>
      <c r="I85" s="132">
        <f>IF(Calculation!F16=0,"",Calculation!F16)</f>
        <v>17441</v>
      </c>
      <c r="J85" s="132" t="str">
        <f>IF(Calculation!G16=0,"",Calculation!G16)</f>
        <v/>
      </c>
      <c r="K85" s="132" t="str">
        <f>IF(Calculation!H16=0,"",Calculation!H16)</f>
        <v/>
      </c>
      <c r="L85" s="132" t="str">
        <f>IF(Calculation!I16=0,"",Calculation!I16)</f>
        <v/>
      </c>
      <c r="M85" s="132">
        <f>IF(Calculation!J16=0,"",Calculation!J16)</f>
        <v>6000</v>
      </c>
      <c r="N85" s="132" t="str">
        <f>IF(Calculation!K16=0,"",Calculation!K16)</f>
        <v/>
      </c>
      <c r="O85" s="133" t="str">
        <f>IFNA(Calculation!L16,"")</f>
        <v>$1674玉山金, $2508中信優息, $890山隆, $2290中信金, $8990海悅, $1089聯邦銀</v>
      </c>
      <c r="P85" s="121">
        <f t="shared" si="11"/>
        <v>23441</v>
      </c>
      <c r="Q85" s="121">
        <f t="shared" si="12"/>
        <v>158641</v>
      </c>
      <c r="R85" s="93"/>
      <c r="S85" s="94"/>
      <c r="T85" s="95"/>
      <c r="U85" s="81"/>
    </row>
    <row r="86">
      <c r="A86" s="146"/>
      <c r="B86" s="137">
        <v>45901.0</v>
      </c>
      <c r="C86" s="127">
        <f>IF(Calculation!B17=0,"",Calculation!B17)</f>
        <v>107076</v>
      </c>
      <c r="D86" s="127" t="str">
        <f>IF(Calculation!C17=0,"",Calculation!C17)</f>
        <v/>
      </c>
      <c r="E86" s="127" t="str">
        <f>IF(Calculation!D17=0,"",Calculation!D17)</f>
        <v/>
      </c>
      <c r="F86" s="129" t="str">
        <f>IFNA(Calculation!E17,"")</f>
        <v>$107076 $224病假</v>
      </c>
      <c r="G86" s="135" t="s">
        <v>499</v>
      </c>
      <c r="H86" s="128">
        <f t="shared" si="10"/>
        <v>107076</v>
      </c>
      <c r="I86" s="132">
        <f>IF(Calculation!F17=0,"",Calculation!F17)</f>
        <v>20460</v>
      </c>
      <c r="J86" s="132" t="str">
        <f>IF(Calculation!G17=0,"",Calculation!G17)</f>
        <v/>
      </c>
      <c r="K86" s="132" t="str">
        <f>IF(Calculation!H17=0,"",Calculation!H17)</f>
        <v/>
      </c>
      <c r="L86" s="132" t="str">
        <f>IF(Calculation!I17=0,"",Calculation!I17)</f>
        <v/>
      </c>
      <c r="M86" s="132">
        <f>IF(Calculation!J17=0,"",Calculation!J17)</f>
        <v>6000</v>
      </c>
      <c r="N86" s="132" t="str">
        <f>IF(Calculation!K17=0,"",Calculation!K17)</f>
        <v/>
      </c>
      <c r="O86" s="133" t="str">
        <f>IFNA(Calculation!L17,"")</f>
        <v>$990彰銀, $4470美債20年, $1590兆豐金, $3590台新新光, $2160中信優息, $770台中銀, $900永豐金, $5990遠東銀</v>
      </c>
      <c r="P86" s="121">
        <f t="shared" si="11"/>
        <v>26460</v>
      </c>
      <c r="Q86" s="121">
        <f t="shared" si="12"/>
        <v>133536</v>
      </c>
      <c r="R86" s="93"/>
      <c r="S86" s="94"/>
      <c r="T86" s="95"/>
      <c r="U86" s="81"/>
    </row>
    <row r="87">
      <c r="A87" s="146"/>
      <c r="B87" s="137">
        <v>45931.0</v>
      </c>
      <c r="C87" s="127">
        <f>IF(Calculation!B18=0,"",Calculation!B18)</f>
        <v>105065</v>
      </c>
      <c r="D87" s="127">
        <f>IF(Calculation!C18=0,"",Calculation!C18)</f>
        <v>1000</v>
      </c>
      <c r="E87" s="127">
        <f>IF(Calculation!D18=0,"",Calculation!D18)</f>
        <v>76000</v>
      </c>
      <c r="F87" s="129" t="str">
        <f>IFNA(Calculation!E18,"")</f>
        <v>$105065 $2235病假, $1000中秋節, $76000績效</v>
      </c>
      <c r="G87" s="135" t="s">
        <v>499</v>
      </c>
      <c r="H87" s="128">
        <f t="shared" si="10"/>
        <v>182065</v>
      </c>
      <c r="I87" s="132">
        <f>IF(Calculation!F18=0,"",Calculation!F18)</f>
        <v>11670</v>
      </c>
      <c r="J87" s="132" t="str">
        <f>IF(Calculation!G18=0,"",Calculation!G18)</f>
        <v/>
      </c>
      <c r="K87" s="132" t="str">
        <f>IF(Calculation!H18=0,"",Calculation!H18)</f>
        <v/>
      </c>
      <c r="L87" s="132" t="str">
        <f>IF(Calculation!I18=0,"",Calculation!I18)</f>
        <v/>
      </c>
      <c r="M87" s="132">
        <f>IF(Calculation!J18=0,"",Calculation!J18)</f>
        <v>6000</v>
      </c>
      <c r="N87" s="132" t="str">
        <f>IF(Calculation!K18=0,"",Calculation!K18)</f>
        <v/>
      </c>
      <c r="O87" s="133" t="str">
        <f>IFNA(Calculation!L18,"")</f>
        <v>$6960元大A級, $2520中信優息, $2190興富發</v>
      </c>
      <c r="P87" s="121">
        <f t="shared" si="11"/>
        <v>17670</v>
      </c>
      <c r="Q87" s="121">
        <f t="shared" si="12"/>
        <v>199735</v>
      </c>
      <c r="R87" s="93"/>
      <c r="S87" s="94"/>
      <c r="T87" s="95"/>
      <c r="U87" s="81"/>
    </row>
    <row r="88">
      <c r="A88" s="146"/>
      <c r="B88" s="137">
        <v>45962.0</v>
      </c>
      <c r="C88" s="127">
        <f>IF(Calculation!B19=0,"",Calculation!B19)</f>
        <v>107300</v>
      </c>
      <c r="D88" s="127" t="str">
        <f>IF(Calculation!C19=0,"",Calculation!C19)</f>
        <v/>
      </c>
      <c r="E88" s="127"/>
      <c r="F88" s="129" t="str">
        <f>IFNA(Calculation!E19,"")</f>
        <v/>
      </c>
      <c r="G88" s="135" t="s">
        <v>499</v>
      </c>
      <c r="H88" s="128">
        <f t="shared" si="10"/>
        <v>107300</v>
      </c>
      <c r="I88" s="132">
        <f>IF(Calculation!F19=0,"",Calculation!F19)</f>
        <v>2520</v>
      </c>
      <c r="J88" s="132" t="str">
        <f>IF(Calculation!G19=0,"",Calculation!G19)</f>
        <v/>
      </c>
      <c r="K88" s="132" t="str">
        <f>IF(Calculation!H19=0,"",Calculation!H19)</f>
        <v/>
      </c>
      <c r="L88" s="132" t="str">
        <f>IF(Calculation!I19=0,"",Calculation!I19)</f>
        <v/>
      </c>
      <c r="M88" s="132">
        <f>IF(Calculation!J19=0,"",Calculation!J19)</f>
        <v>6000</v>
      </c>
      <c r="N88" s="132" t="str">
        <f>IF(Calculation!K19=0,"",Calculation!K19)</f>
        <v/>
      </c>
      <c r="O88" s="133" t="str">
        <f>IFNA(Calculation!L19,"")</f>
        <v>$2520中信優息</v>
      </c>
      <c r="P88" s="121">
        <f t="shared" si="11"/>
        <v>8520</v>
      </c>
      <c r="Q88" s="121">
        <f t="shared" si="12"/>
        <v>115820</v>
      </c>
      <c r="R88" s="93"/>
      <c r="S88" s="94"/>
      <c r="T88" s="95"/>
      <c r="U88" s="81"/>
    </row>
    <row r="89">
      <c r="A89" s="147"/>
      <c r="B89" s="137">
        <v>45992.0</v>
      </c>
      <c r="C89" s="127">
        <f>IF(Calculation!B20=0,"",Calculation!B20)</f>
        <v>107300</v>
      </c>
      <c r="D89" s="127">
        <f>IF(Calculation!C20=0,"",Calculation!C20)</f>
        <v>25000</v>
      </c>
      <c r="E89" s="127" t="str">
        <f>IF(Calculation!D20=0,"",Calculation!D20)</f>
        <v/>
      </c>
      <c r="F89" s="129" t="str">
        <f>IFNA(Calculation!E20,"")</f>
        <v>$25000家庭日</v>
      </c>
      <c r="G89" s="135" t="s">
        <v>499</v>
      </c>
      <c r="H89" s="128">
        <f t="shared" si="10"/>
        <v>132300</v>
      </c>
      <c r="I89" s="132">
        <f>IF(Calculation!F20=0,"",Calculation!F20)</f>
        <v>6990</v>
      </c>
      <c r="J89" s="132" t="str">
        <f>IF(Calculation!G20=0,"",Calculation!G20)</f>
        <v/>
      </c>
      <c r="K89" s="132" t="str">
        <f>IF(Calculation!H20=0,"",Calculation!H20)</f>
        <v/>
      </c>
      <c r="L89" s="132" t="str">
        <f>IF(Calculation!I20=0,"",Calculation!I20)</f>
        <v/>
      </c>
      <c r="M89" s="132">
        <f>IF(Calculation!J20=0,"",Calculation!J20)</f>
        <v>6000</v>
      </c>
      <c r="N89" s="132" t="str">
        <f>IF(Calculation!K20=0,"",Calculation!K20)</f>
        <v/>
      </c>
      <c r="O89" s="133" t="str">
        <f>IFNA(Calculation!L20,"")</f>
        <v>$4470美債20年, $2520中信優息</v>
      </c>
      <c r="P89" s="121">
        <f t="shared" si="11"/>
        <v>12990</v>
      </c>
      <c r="Q89" s="121">
        <f t="shared" si="12"/>
        <v>145290</v>
      </c>
      <c r="R89" s="101"/>
      <c r="S89" s="102"/>
      <c r="T89" s="103"/>
      <c r="U89" s="81"/>
    </row>
    <row r="90">
      <c r="A90" s="148">
        <v>2026.0</v>
      </c>
      <c r="B90" s="149">
        <v>46023.0</v>
      </c>
      <c r="C90" s="138">
        <f>IF(Calculation!B21=0,"",Calculation!B21)</f>
        <v>107300</v>
      </c>
      <c r="D90" s="138" t="str">
        <f>IF(Calculation!C21=0,"",Calculation!C21)</f>
        <v/>
      </c>
      <c r="E90" s="138" t="str">
        <f>IF(Calculation!D21=0,"",Calculation!D21)</f>
        <v/>
      </c>
      <c r="F90" s="139" t="str">
        <f>IFNA(Calculation!E21,"")</f>
        <v/>
      </c>
      <c r="G90" s="140" t="s">
        <v>499</v>
      </c>
      <c r="H90" s="141">
        <f t="shared" si="10"/>
        <v>107300</v>
      </c>
      <c r="I90" s="142">
        <f>IF(Calculation!F21=0,"",Calculation!F21)</f>
        <v>924</v>
      </c>
      <c r="J90" s="142" t="str">
        <f>IF(Calculation!G21=0,"",Calculation!G21)</f>
        <v/>
      </c>
      <c r="K90" s="142" t="str">
        <f>IF(Calculation!H21=0,"",Calculation!H21)</f>
        <v/>
      </c>
      <c r="L90" s="142" t="str">
        <f>IF(Calculation!I21=0,"",Calculation!I21)</f>
        <v/>
      </c>
      <c r="M90" s="142">
        <f>IF(Calculation!J21=0,"",Calculation!J21)</f>
        <v>6000</v>
      </c>
      <c r="N90" s="142">
        <f>IF(Calculation!K21=0,"",Calculation!K21)</f>
        <v>934600</v>
      </c>
      <c r="O90" s="143" t="str">
        <f>IFNA(Calculation!L21,"")</f>
        <v>$934600台銀人壽解約, $924中信優息</v>
      </c>
      <c r="P90" s="144">
        <f t="shared" si="11"/>
        <v>941524</v>
      </c>
      <c r="Q90" s="144">
        <f t="shared" si="12"/>
        <v>1048824</v>
      </c>
      <c r="R90" s="130" t="s">
        <v>540</v>
      </c>
      <c r="S90" s="106">
        <f>SUM(H90:H101)</f>
        <v>1373270</v>
      </c>
      <c r="T90" s="107">
        <f>S90/(12-COUNTBLANK(Q90:Q101))</f>
        <v>196181.4286</v>
      </c>
      <c r="U90" s="81"/>
    </row>
    <row r="91">
      <c r="A91" s="146"/>
      <c r="B91" s="149">
        <v>46054.0</v>
      </c>
      <c r="C91" s="127">
        <f>IF(Calculation!B22=0,"",Calculation!B22)</f>
        <v>106853</v>
      </c>
      <c r="D91" s="127" t="str">
        <f>IF(Calculation!C22=0,"",Calculation!C22)</f>
        <v/>
      </c>
      <c r="E91" s="127">
        <f>IF(Calculation!D22=0,"",Calculation!D22)</f>
        <v>496487</v>
      </c>
      <c r="F91" s="129" t="str">
        <f>IFNA(Calculation!E22,"")</f>
        <v>$106853$447病假, $496487註1</v>
      </c>
      <c r="G91" s="135" t="s">
        <v>499</v>
      </c>
      <c r="H91" s="128">
        <f t="shared" si="10"/>
        <v>603340</v>
      </c>
      <c r="I91" s="132">
        <f>IF(Calculation!F22=0,"",Calculation!F22)</f>
        <v>2200</v>
      </c>
      <c r="J91" s="132" t="str">
        <f>IF(Calculation!G22=0,"",Calculation!G22)</f>
        <v/>
      </c>
      <c r="K91" s="132" t="str">
        <f>IF(Calculation!H22=0,"",Calculation!H22)</f>
        <v/>
      </c>
      <c r="L91" s="132" t="str">
        <f>IF(Calculation!I22=0,"",Calculation!I22)</f>
        <v/>
      </c>
      <c r="M91" s="132">
        <f>IF(Calculation!J22=0,"",Calculation!J22)</f>
        <v>6000</v>
      </c>
      <c r="N91" s="132" t="str">
        <f>IF(Calculation!K22=0,"",Calculation!K22)</f>
        <v/>
      </c>
      <c r="O91" s="133" t="str">
        <f>IFNA(Calculation!L22,"")</f>
        <v>$2200元大50</v>
      </c>
      <c r="P91" s="121">
        <f t="shared" si="11"/>
        <v>8200</v>
      </c>
      <c r="Q91" s="121">
        <f t="shared" si="12"/>
        <v>611540</v>
      </c>
      <c r="R91" s="85" t="s">
        <v>40</v>
      </c>
      <c r="S91" s="109">
        <f>SUM(I90:I101)</f>
        <v>5924</v>
      </c>
      <c r="T91" s="110">
        <f>S91/(12-COUNTBLANK(Q90:Q101))</f>
        <v>846.2857143</v>
      </c>
      <c r="U91" s="134" t="s">
        <v>541</v>
      </c>
    </row>
    <row r="92">
      <c r="A92" s="146"/>
      <c r="B92" s="149">
        <v>46082.0</v>
      </c>
      <c r="C92" s="127">
        <f>IF(Calculation!B23=0,"",Calculation!B23)</f>
        <v>107300</v>
      </c>
      <c r="D92" s="127" t="str">
        <f>IF(Calculation!C23=0,"",Calculation!C23)</f>
        <v/>
      </c>
      <c r="E92" s="127" t="str">
        <f>IF(Calculation!D23=0,"",Calculation!D23)</f>
        <v/>
      </c>
      <c r="F92" s="129" t="str">
        <f>IFNA(Calculation!E23,"")</f>
        <v/>
      </c>
      <c r="G92" s="135" t="s">
        <v>499</v>
      </c>
      <c r="H92" s="128">
        <f t="shared" si="10"/>
        <v>107300</v>
      </c>
      <c r="I92" s="132" t="str">
        <f>IF(Calculation!F23=0,"",Calculation!F23)</f>
        <v/>
      </c>
      <c r="J92" s="132" t="str">
        <f>IF(Calculation!G23=0,"",Calculation!G23)</f>
        <v/>
      </c>
      <c r="K92" s="132" t="str">
        <f>IF(Calculation!H23=0,"",Calculation!H23)</f>
        <v/>
      </c>
      <c r="L92" s="132" t="str">
        <f>IF(Calculation!I23=0,"",Calculation!I23)</f>
        <v/>
      </c>
      <c r="M92" s="132">
        <f>IF(Calculation!J23=0,"",Calculation!J23)</f>
        <v>6000</v>
      </c>
      <c r="N92" s="132" t="str">
        <f>IF(Calculation!K23=0,"",Calculation!K23)</f>
        <v/>
      </c>
      <c r="O92" s="133" t="str">
        <f>IFNA(Calculation!L23,"")</f>
        <v/>
      </c>
      <c r="P92" s="121">
        <f t="shared" si="11"/>
        <v>6000</v>
      </c>
      <c r="Q92" s="121">
        <f t="shared" si="12"/>
        <v>113300</v>
      </c>
      <c r="R92" s="85" t="s">
        <v>542</v>
      </c>
      <c r="S92" s="112">
        <f>SUM(P90:P101)</f>
        <v>982524</v>
      </c>
      <c r="T92" s="113">
        <f>S92/(12-COUNTBLANK(Q90:Q101))</f>
        <v>140360.5714</v>
      </c>
      <c r="U92" s="81"/>
    </row>
    <row r="93">
      <c r="A93" s="146"/>
      <c r="B93" s="149">
        <v>46113.0</v>
      </c>
      <c r="C93" s="127">
        <f>IF(Calculation!B24=0,"",Calculation!B24)</f>
        <v>107300</v>
      </c>
      <c r="D93" s="127">
        <f>IF(Calculation!C24=0,"",Calculation!C24)</f>
        <v>11927</v>
      </c>
      <c r="E93" s="127" t="str">
        <f>IF(Calculation!D24=0,"",Calculation!D24)</f>
        <v/>
      </c>
      <c r="F93" s="129" t="str">
        <f>IFNA(Calculation!E24,"")</f>
        <v>$5000其他加項(?)</v>
      </c>
      <c r="G93" s="135" t="s">
        <v>499</v>
      </c>
      <c r="H93" s="128">
        <f t="shared" si="10"/>
        <v>119227</v>
      </c>
      <c r="I93" s="132" t="str">
        <f>IF(Calculation!F24=0,"",Calculation!F24)</f>
        <v/>
      </c>
      <c r="J93" s="132" t="str">
        <f>IF(Calculation!G24=0,"",Calculation!G24)</f>
        <v/>
      </c>
      <c r="K93" s="132" t="str">
        <f>IF(Calculation!H24=0,"",Calculation!H24)</f>
        <v/>
      </c>
      <c r="L93" s="132" t="str">
        <f>IF(Calculation!I24=0,"",Calculation!I24)</f>
        <v/>
      </c>
      <c r="M93" s="132">
        <f>IF(Calculation!J24=0,"",Calculation!J24)</f>
        <v>6000</v>
      </c>
      <c r="N93" s="132" t="str">
        <f>IF(Calculation!K24=0,"",Calculation!K24)</f>
        <v/>
      </c>
      <c r="O93" s="133" t="str">
        <f>IFNA(Calculation!L24,"")</f>
        <v/>
      </c>
      <c r="P93" s="121">
        <f t="shared" si="11"/>
        <v>6000</v>
      </c>
      <c r="Q93" s="121">
        <f t="shared" si="12"/>
        <v>125227</v>
      </c>
      <c r="R93" s="108" t="s">
        <v>543</v>
      </c>
      <c r="S93" s="112">
        <f>SUM(Q90:Q101)</f>
        <v>2355794</v>
      </c>
      <c r="T93" s="113">
        <f>S93/(12-COUNTBLANK(Q90:Q101))</f>
        <v>336542</v>
      </c>
      <c r="U93" s="81"/>
    </row>
    <row r="94">
      <c r="A94" s="146"/>
      <c r="B94" s="149">
        <v>46143.0</v>
      </c>
      <c r="C94" s="127">
        <f>IF(Calculation!B25=0,"",Calculation!B25)</f>
        <v>105512</v>
      </c>
      <c r="D94" s="127">
        <f>IF(Calculation!C25=0,"",Calculation!C25)</f>
        <v>109991</v>
      </c>
      <c r="E94" s="127" t="str">
        <f>IF(Calculation!D25=0,"",Calculation!D25)</f>
        <v/>
      </c>
      <c r="F94" s="129" t="str">
        <f>IFNA(Calculation!E25,"")</f>
        <v>$105512 $1788請假, $107300家庭日獎金</v>
      </c>
      <c r="G94" s="135" t="s">
        <v>499</v>
      </c>
      <c r="H94" s="128">
        <f t="shared" si="10"/>
        <v>215503</v>
      </c>
      <c r="I94" s="132" t="str">
        <f>IF(Calculation!F25=0,"",Calculation!F25)</f>
        <v/>
      </c>
      <c r="J94" s="132" t="str">
        <f>IF(Calculation!G25=0,"",Calculation!G25)</f>
        <v/>
      </c>
      <c r="K94" s="132" t="str">
        <f>IF(Calculation!H25=0,"",Calculation!H25)</f>
        <v/>
      </c>
      <c r="L94" s="132" t="str">
        <f>IF(Calculation!I25=0,"",Calculation!I25)</f>
        <v/>
      </c>
      <c r="M94" s="132">
        <f>IF(Calculation!J25=0,"",Calculation!J25)</f>
        <v>6000</v>
      </c>
      <c r="N94" s="132" t="str">
        <f>IF(Calculation!K25=0,"",Calculation!K25)</f>
        <v/>
      </c>
      <c r="O94" s="133" t="str">
        <f>IFNA(Calculation!L25,"")</f>
        <v/>
      </c>
      <c r="P94" s="121">
        <f t="shared" si="11"/>
        <v>6000</v>
      </c>
      <c r="Q94" s="121">
        <f t="shared" si="12"/>
        <v>221503</v>
      </c>
      <c r="R94" s="93"/>
      <c r="S94" s="94"/>
      <c r="T94" s="95"/>
      <c r="U94" s="81"/>
    </row>
    <row r="95">
      <c r="A95" s="146"/>
      <c r="B95" s="149">
        <v>46174.0</v>
      </c>
      <c r="C95" s="127">
        <f>IF(Calculation!B26=0,"",Calculation!B26)</f>
        <v>110300</v>
      </c>
      <c r="D95" s="127" t="str">
        <f>IF(Calculation!C26=0,"",Calculation!C26)</f>
        <v/>
      </c>
      <c r="E95" s="127" t="str">
        <f>IF(Calculation!D26=0,"",Calculation!D26)</f>
        <v/>
      </c>
      <c r="F95" s="129" t="str">
        <f>IFNA(Calculation!E26,"")</f>
        <v/>
      </c>
      <c r="G95" s="135" t="s">
        <v>499</v>
      </c>
      <c r="H95" s="128">
        <f t="shared" si="10"/>
        <v>110300</v>
      </c>
      <c r="I95" s="132">
        <f>IF(Calculation!F26=0,"",Calculation!F26)</f>
        <v>2800</v>
      </c>
      <c r="J95" s="132" t="str">
        <f>IF(Calculation!G26=0,"",Calculation!G26)</f>
        <v/>
      </c>
      <c r="K95" s="132" t="str">
        <f>IF(Calculation!H26=0,"",Calculation!H26)</f>
        <v/>
      </c>
      <c r="L95" s="132" t="str">
        <f>IF(Calculation!I26=0,"",Calculation!I26)</f>
        <v/>
      </c>
      <c r="M95" s="132">
        <f>IF(Calculation!J26=0,"",Calculation!J26)</f>
        <v>6000</v>
      </c>
      <c r="N95" s="132" t="str">
        <f>IF(Calculation!K26=0,"",Calculation!K26)</f>
        <v/>
      </c>
      <c r="O95" s="133" t="str">
        <f>IFNA(Calculation!L26,"")</f>
        <v>$2800華通</v>
      </c>
      <c r="P95" s="121">
        <f t="shared" si="11"/>
        <v>8800</v>
      </c>
      <c r="Q95" s="121">
        <f t="shared" si="12"/>
        <v>119100</v>
      </c>
      <c r="R95" s="93"/>
      <c r="S95" s="94"/>
      <c r="T95" s="95"/>
      <c r="U95" s="81"/>
    </row>
    <row r="96">
      <c r="A96" s="146"/>
      <c r="B96" s="149">
        <v>46204.0</v>
      </c>
      <c r="C96" s="127">
        <f>IF(Calculation!B27=0,"",Calculation!B27)</f>
        <v>110300</v>
      </c>
      <c r="D96" s="127" t="str">
        <f>IF(Calculation!C27=0,"",Calculation!C27)</f>
        <v/>
      </c>
      <c r="E96" s="127" t="str">
        <f>IF(Calculation!D27=0,"",Calculation!D27)</f>
        <v/>
      </c>
      <c r="F96" s="129" t="str">
        <f>IFNA(Calculation!E27,"")</f>
        <v/>
      </c>
      <c r="G96" s="135" t="s">
        <v>499</v>
      </c>
      <c r="H96" s="128">
        <f t="shared" si="10"/>
        <v>110300</v>
      </c>
      <c r="I96" s="132" t="str">
        <f>IF(Calculation!F27=0,"",Calculation!F27)</f>
        <v/>
      </c>
      <c r="J96" s="132" t="str">
        <f>IF(Calculation!G27=0,"",Calculation!G27)</f>
        <v/>
      </c>
      <c r="K96" s="132" t="str">
        <f>IF(Calculation!H27=0,"",Calculation!H27)</f>
        <v/>
      </c>
      <c r="L96" s="132" t="str">
        <f>IF(Calculation!I27=0,"",Calculation!I27)</f>
        <v/>
      </c>
      <c r="M96" s="132">
        <f>IF(Calculation!J27=0,"",Calculation!J27)</f>
        <v>6000</v>
      </c>
      <c r="N96" s="132" t="str">
        <f>IF(Calculation!K27=0,"",Calculation!K27)</f>
        <v/>
      </c>
      <c r="O96" s="133" t="str">
        <f>IFNA(Calculation!L27,"")</f>
        <v/>
      </c>
      <c r="P96" s="121">
        <f t="shared" si="11"/>
        <v>6000</v>
      </c>
      <c r="Q96" s="121">
        <f t="shared" si="12"/>
        <v>116300</v>
      </c>
      <c r="R96" s="93"/>
      <c r="S96" s="94"/>
      <c r="T96" s="95"/>
      <c r="U96" s="81"/>
    </row>
    <row r="97">
      <c r="A97" s="146"/>
      <c r="B97" s="149">
        <v>46235.0</v>
      </c>
      <c r="C97" s="127" t="str">
        <f>IF(Calculation!B28=0,"",Calculation!B28)</f>
        <v/>
      </c>
      <c r="D97" s="127" t="str">
        <f>IF(Calculation!C28=0,"",Calculation!C28)</f>
        <v/>
      </c>
      <c r="E97" s="127" t="str">
        <f>IF(Calculation!D28=0,"",Calculation!D28)</f>
        <v/>
      </c>
      <c r="F97" s="129" t="str">
        <f>IFNA(Calculation!E28,"")</f>
        <v/>
      </c>
      <c r="G97" s="135" t="s">
        <v>499</v>
      </c>
      <c r="H97" s="150" t="str">
        <f t="shared" si="10"/>
        <v/>
      </c>
      <c r="I97" s="132" t="str">
        <f>IF(Calculation!F28=0,"",Calculation!F28)</f>
        <v/>
      </c>
      <c r="J97" s="132" t="str">
        <f>IF(Calculation!G28=0,"",Calculation!G28)</f>
        <v/>
      </c>
      <c r="K97" s="132" t="str">
        <f>IF(Calculation!H28=0,"",Calculation!H28)</f>
        <v/>
      </c>
      <c r="L97" s="132" t="str">
        <f>IF(Calculation!I28=0,"",Calculation!I28)</f>
        <v/>
      </c>
      <c r="M97" s="132" t="str">
        <f>IF(Calculation!J28=0,"",Calculation!J28)</f>
        <v/>
      </c>
      <c r="N97" s="132" t="str">
        <f>IF(Calculation!K28=0,"",Calculation!K28)</f>
        <v/>
      </c>
      <c r="O97" s="133" t="str">
        <f>IFNA(Calculation!L28,"")</f>
        <v/>
      </c>
      <c r="P97" s="121" t="str">
        <f t="shared" si="11"/>
        <v/>
      </c>
      <c r="Q97" s="121" t="str">
        <f t="shared" si="12"/>
        <v/>
      </c>
      <c r="R97" s="93"/>
      <c r="S97" s="94"/>
      <c r="T97" s="95"/>
      <c r="U97" s="81"/>
    </row>
    <row r="98">
      <c r="A98" s="146"/>
      <c r="B98" s="149">
        <v>46266.0</v>
      </c>
      <c r="C98" s="127" t="str">
        <f>IF(Calculation!B29=0,"",Calculation!B29)</f>
        <v/>
      </c>
      <c r="D98" s="127" t="str">
        <f>IF(Calculation!C29=0,"",Calculation!C29)</f>
        <v/>
      </c>
      <c r="E98" s="127" t="str">
        <f>IF(Calculation!D29=0,"",Calculation!D29)</f>
        <v/>
      </c>
      <c r="F98" s="129" t="str">
        <f>IFNA(Calculation!E29,"")</f>
        <v/>
      </c>
      <c r="G98" s="135" t="s">
        <v>499</v>
      </c>
      <c r="H98" s="150" t="str">
        <f t="shared" si="10"/>
        <v/>
      </c>
      <c r="I98" s="132" t="str">
        <f>IF(Calculation!F29=0,"",Calculation!F29)</f>
        <v/>
      </c>
      <c r="J98" s="132" t="str">
        <f>IF(Calculation!G29=0,"",Calculation!G29)</f>
        <v/>
      </c>
      <c r="K98" s="132" t="str">
        <f>IF(Calculation!H29=0,"",Calculation!H29)</f>
        <v/>
      </c>
      <c r="L98" s="132" t="str">
        <f>IF(Calculation!I29=0,"",Calculation!I29)</f>
        <v/>
      </c>
      <c r="M98" s="132" t="str">
        <f>IF(Calculation!J29=0,"",Calculation!J29)</f>
        <v/>
      </c>
      <c r="N98" s="132" t="str">
        <f>IF(Calculation!K29=0,"",Calculation!K29)</f>
        <v/>
      </c>
      <c r="O98" s="133" t="str">
        <f>IFNA(Calculation!L29,"")</f>
        <v/>
      </c>
      <c r="P98" s="121" t="str">
        <f t="shared" si="11"/>
        <v/>
      </c>
      <c r="Q98" s="121" t="str">
        <f t="shared" si="12"/>
        <v/>
      </c>
      <c r="R98" s="93"/>
      <c r="S98" s="94"/>
      <c r="T98" s="95"/>
      <c r="U98" s="81"/>
    </row>
    <row r="99">
      <c r="A99" s="146"/>
      <c r="B99" s="149">
        <v>46296.0</v>
      </c>
      <c r="C99" s="127" t="str">
        <f>IF(Calculation!B30=0,"",Calculation!B30)</f>
        <v/>
      </c>
      <c r="D99" s="127" t="str">
        <f>IF(Calculation!C30=0,"",Calculation!C30)</f>
        <v/>
      </c>
      <c r="E99" s="127" t="str">
        <f>IF(Calculation!D30=0,"",Calculation!D30)</f>
        <v/>
      </c>
      <c r="F99" s="129" t="str">
        <f>IFNA(Calculation!E30,"")</f>
        <v/>
      </c>
      <c r="G99" s="135" t="s">
        <v>499</v>
      </c>
      <c r="H99" s="150" t="str">
        <f t="shared" si="10"/>
        <v/>
      </c>
      <c r="I99" s="132" t="str">
        <f>IF(Calculation!F30=0,"",Calculation!F30)</f>
        <v/>
      </c>
      <c r="J99" s="132" t="str">
        <f>IF(Calculation!G30=0,"",Calculation!G30)</f>
        <v/>
      </c>
      <c r="K99" s="132" t="str">
        <f>IF(Calculation!H30=0,"",Calculation!H30)</f>
        <v/>
      </c>
      <c r="L99" s="132" t="str">
        <f>IF(Calculation!I30=0,"",Calculation!I30)</f>
        <v/>
      </c>
      <c r="M99" s="132" t="str">
        <f>IF(Calculation!J30=0,"",Calculation!J30)</f>
        <v/>
      </c>
      <c r="N99" s="132" t="str">
        <f>IF(Calculation!K30=0,"",Calculation!K30)</f>
        <v/>
      </c>
      <c r="O99" s="133" t="str">
        <f>IFNA(Calculation!L30,"")</f>
        <v/>
      </c>
      <c r="P99" s="121" t="str">
        <f t="shared" si="11"/>
        <v/>
      </c>
      <c r="Q99" s="121" t="str">
        <f t="shared" si="12"/>
        <v/>
      </c>
      <c r="R99" s="93"/>
      <c r="S99" s="94"/>
      <c r="T99" s="95"/>
      <c r="U99" s="81"/>
    </row>
    <row r="100">
      <c r="A100" s="146"/>
      <c r="B100" s="149">
        <v>46327.0</v>
      </c>
      <c r="C100" s="127" t="str">
        <f>IF(Calculation!B31=0,"",Calculation!B31)</f>
        <v/>
      </c>
      <c r="D100" s="127" t="str">
        <f>IF(Calculation!C31=0,"",Calculation!C31)</f>
        <v/>
      </c>
      <c r="E100" s="127" t="str">
        <f>IF(Calculation!D31=0,"",Calculation!D31)</f>
        <v/>
      </c>
      <c r="F100" s="129" t="str">
        <f>IFNA(Calculation!E31,"")</f>
        <v/>
      </c>
      <c r="G100" s="135" t="s">
        <v>499</v>
      </c>
      <c r="H100" s="150" t="str">
        <f t="shared" si="10"/>
        <v/>
      </c>
      <c r="I100" s="132" t="str">
        <f>IF(Calculation!F31=0,"",Calculation!F31)</f>
        <v/>
      </c>
      <c r="J100" s="132" t="str">
        <f>IF(Calculation!G31=0,"",Calculation!G31)</f>
        <v/>
      </c>
      <c r="K100" s="132" t="str">
        <f>IF(Calculation!H31=0,"",Calculation!H31)</f>
        <v/>
      </c>
      <c r="L100" s="132" t="str">
        <f>IF(Calculation!I31=0,"",Calculation!I31)</f>
        <v/>
      </c>
      <c r="M100" s="132" t="str">
        <f>IF(Calculation!J31=0,"",Calculation!J31)</f>
        <v/>
      </c>
      <c r="N100" s="132" t="str">
        <f>IF(Calculation!K31=0,"",Calculation!K31)</f>
        <v/>
      </c>
      <c r="O100" s="133" t="str">
        <f>IFNA(Calculation!L31,"")</f>
        <v/>
      </c>
      <c r="P100" s="121" t="str">
        <f t="shared" si="11"/>
        <v/>
      </c>
      <c r="Q100" s="121" t="str">
        <f t="shared" si="12"/>
        <v/>
      </c>
      <c r="R100" s="93"/>
      <c r="S100" s="94"/>
      <c r="T100" s="95"/>
      <c r="U100" s="81"/>
    </row>
    <row r="101">
      <c r="A101" s="147"/>
      <c r="B101" s="149">
        <v>46357.0</v>
      </c>
      <c r="C101" s="127" t="str">
        <f>IF(Calculation!B32=0,"",Calculation!B32)</f>
        <v/>
      </c>
      <c r="D101" s="127" t="str">
        <f>IF(Calculation!C32=0,"",Calculation!C32)</f>
        <v/>
      </c>
      <c r="E101" s="127" t="str">
        <f>IF(Calculation!D32=0,"",Calculation!D32)</f>
        <v/>
      </c>
      <c r="F101" s="129" t="str">
        <f>IFNA(Calculation!E32,"")</f>
        <v/>
      </c>
      <c r="G101" s="135" t="s">
        <v>499</v>
      </c>
      <c r="H101" s="150" t="str">
        <f t="shared" si="10"/>
        <v/>
      </c>
      <c r="I101" s="132" t="str">
        <f>IF(Calculation!F32=0,"",Calculation!F32)</f>
        <v/>
      </c>
      <c r="J101" s="132" t="str">
        <f>IF(Calculation!G32=0,"",Calculation!G32)</f>
        <v/>
      </c>
      <c r="K101" s="132" t="str">
        <f>IF(Calculation!H32=0,"",Calculation!H32)</f>
        <v/>
      </c>
      <c r="L101" s="132" t="str">
        <f>IF(Calculation!I32=0,"",Calculation!I32)</f>
        <v/>
      </c>
      <c r="M101" s="132" t="str">
        <f>IF(Calculation!J32=0,"",Calculation!J32)</f>
        <v/>
      </c>
      <c r="N101" s="132" t="str">
        <f>IF(Calculation!K32=0,"",Calculation!K32)</f>
        <v/>
      </c>
      <c r="O101" s="133" t="str">
        <f>IFNA(Calculation!L32,"")</f>
        <v/>
      </c>
      <c r="P101" s="121" t="str">
        <f t="shared" si="11"/>
        <v/>
      </c>
      <c r="Q101" s="121" t="str">
        <f t="shared" si="12"/>
        <v/>
      </c>
      <c r="R101" s="101"/>
      <c r="S101" s="102"/>
      <c r="T101" s="103"/>
      <c r="U101" s="81"/>
    </row>
    <row r="102">
      <c r="A102" s="86"/>
      <c r="B102" s="100" t="s">
        <v>544</v>
      </c>
      <c r="C102" s="151">
        <f t="shared" ref="C102:E102" si="13">SUM(C3:C65)</f>
        <v>4427056</v>
      </c>
      <c r="D102" s="151">
        <f t="shared" si="13"/>
        <v>405531</v>
      </c>
      <c r="E102" s="151">
        <f t="shared" si="13"/>
        <v>1016871</v>
      </c>
      <c r="F102" s="152"/>
      <c r="G102" s="153"/>
      <c r="H102" s="154">
        <f>SUM(H3:H65)</f>
        <v>5849458</v>
      </c>
      <c r="I102" s="155"/>
      <c r="J102" s="152"/>
      <c r="K102" s="152"/>
      <c r="L102" s="152"/>
      <c r="M102" s="152"/>
      <c r="N102" s="152"/>
      <c r="O102" s="156"/>
      <c r="P102" s="154">
        <f>SUM(P3:P65)</f>
        <v>145681</v>
      </c>
      <c r="Q102" s="157">
        <f>H102+P102</f>
        <v>5995139</v>
      </c>
      <c r="R102" s="155"/>
      <c r="S102" s="158"/>
      <c r="T102" s="159"/>
      <c r="U102" s="81"/>
    </row>
    <row r="103">
      <c r="A103" s="86"/>
      <c r="B103" s="100" t="s">
        <v>545</v>
      </c>
      <c r="C103" s="160">
        <f>AVERAGE(C3:C53)</f>
        <v>63981.4902</v>
      </c>
      <c r="D103" s="99"/>
      <c r="E103" s="99"/>
      <c r="F103" s="99"/>
      <c r="G103" s="161"/>
      <c r="H103" s="162">
        <f>AVERAGE(H3:H53)</f>
        <v>82834.5098</v>
      </c>
      <c r="I103" s="99"/>
      <c r="J103" s="99"/>
      <c r="K103" s="99"/>
      <c r="L103" s="99"/>
      <c r="M103" s="99"/>
      <c r="N103" s="99"/>
      <c r="O103" s="99"/>
      <c r="P103" s="162">
        <f>AVERAGE(P3:P65)</f>
        <v>2312.396825</v>
      </c>
      <c r="Q103" s="103"/>
      <c r="R103" s="101"/>
      <c r="S103" s="102"/>
      <c r="T103" s="103"/>
      <c r="U103" s="81"/>
    </row>
    <row r="104">
      <c r="U104" s="81"/>
    </row>
    <row r="105">
      <c r="U105" s="81"/>
    </row>
    <row r="106">
      <c r="U106" s="81"/>
    </row>
    <row r="107">
      <c r="U107" s="81"/>
    </row>
    <row r="108">
      <c r="U108" s="81"/>
    </row>
    <row r="109">
      <c r="U109" s="81"/>
    </row>
    <row r="110">
      <c r="U110" s="81"/>
    </row>
    <row r="111">
      <c r="U111" s="81"/>
    </row>
    <row r="112">
      <c r="U112" s="81"/>
    </row>
    <row r="113">
      <c r="U113" s="81"/>
    </row>
    <row r="114">
      <c r="U114" s="81"/>
    </row>
    <row r="115">
      <c r="U115" s="81"/>
    </row>
    <row r="116">
      <c r="U116" s="81"/>
    </row>
    <row r="117">
      <c r="U117" s="81"/>
    </row>
    <row r="118">
      <c r="U118" s="81"/>
    </row>
    <row r="119">
      <c r="U119" s="81"/>
    </row>
    <row r="120">
      <c r="U120" s="81"/>
    </row>
    <row r="121">
      <c r="U121" s="81"/>
    </row>
    <row r="122">
      <c r="U122" s="81"/>
    </row>
    <row r="123">
      <c r="U123" s="81"/>
    </row>
    <row r="124">
      <c r="U124" s="81"/>
    </row>
    <row r="125">
      <c r="U125" s="81"/>
    </row>
    <row r="126">
      <c r="U126" s="81"/>
    </row>
    <row r="127">
      <c r="U127" s="81"/>
    </row>
    <row r="128">
      <c r="U128" s="81"/>
    </row>
    <row r="129">
      <c r="U129" s="81"/>
    </row>
    <row r="130">
      <c r="U130" s="81"/>
    </row>
    <row r="131">
      <c r="U131" s="81"/>
    </row>
    <row r="132">
      <c r="U132" s="81"/>
    </row>
    <row r="133">
      <c r="U133" s="81"/>
    </row>
    <row r="134">
      <c r="U134" s="81"/>
    </row>
    <row r="135">
      <c r="U135" s="81"/>
    </row>
    <row r="136">
      <c r="U136" s="81"/>
    </row>
    <row r="137">
      <c r="U137" s="81"/>
    </row>
    <row r="138">
      <c r="U138" s="81"/>
    </row>
    <row r="139">
      <c r="U139" s="81"/>
    </row>
    <row r="140">
      <c r="U140" s="81"/>
    </row>
    <row r="141">
      <c r="U141" s="81"/>
    </row>
    <row r="142">
      <c r="U142" s="81"/>
    </row>
    <row r="143">
      <c r="U143" s="81"/>
    </row>
    <row r="144">
      <c r="U144" s="81"/>
    </row>
    <row r="145">
      <c r="U145" s="81"/>
    </row>
    <row r="146">
      <c r="U146" s="81"/>
    </row>
    <row r="147">
      <c r="U147" s="81"/>
    </row>
    <row r="148">
      <c r="U148" s="81"/>
    </row>
    <row r="149">
      <c r="U149" s="81"/>
    </row>
    <row r="150">
      <c r="U150" s="81"/>
    </row>
    <row r="151">
      <c r="U151" s="81"/>
    </row>
    <row r="152">
      <c r="U152" s="81"/>
    </row>
    <row r="153">
      <c r="U153" s="81"/>
    </row>
    <row r="154">
      <c r="U154" s="81"/>
    </row>
    <row r="155">
      <c r="U155" s="81"/>
    </row>
    <row r="156">
      <c r="U156" s="81"/>
    </row>
    <row r="157">
      <c r="U157" s="81"/>
    </row>
    <row r="158">
      <c r="U158" s="81"/>
    </row>
    <row r="159">
      <c r="U159" s="81"/>
    </row>
    <row r="160">
      <c r="U160" s="81"/>
    </row>
    <row r="161">
      <c r="U161" s="81"/>
    </row>
    <row r="162">
      <c r="U162" s="81"/>
    </row>
    <row r="163">
      <c r="U163" s="81"/>
    </row>
    <row r="164">
      <c r="U164" s="81"/>
    </row>
    <row r="165">
      <c r="U165" s="81"/>
    </row>
    <row r="166">
      <c r="U166" s="81"/>
    </row>
    <row r="167">
      <c r="U167" s="81"/>
    </row>
    <row r="168">
      <c r="U168" s="81"/>
    </row>
    <row r="169">
      <c r="U169" s="81"/>
    </row>
    <row r="170">
      <c r="U170" s="81"/>
    </row>
    <row r="171">
      <c r="U171" s="81"/>
    </row>
    <row r="172">
      <c r="U172" s="81"/>
    </row>
    <row r="173">
      <c r="U173" s="81"/>
    </row>
    <row r="174">
      <c r="U174" s="81"/>
    </row>
    <row r="175">
      <c r="U175" s="81"/>
    </row>
    <row r="176">
      <c r="U176" s="81"/>
    </row>
    <row r="177">
      <c r="U177" s="81"/>
    </row>
    <row r="178">
      <c r="U178" s="81"/>
    </row>
    <row r="179">
      <c r="U179" s="81"/>
    </row>
    <row r="180">
      <c r="U180" s="81"/>
    </row>
    <row r="181">
      <c r="U181" s="81"/>
    </row>
    <row r="182">
      <c r="U182" s="81"/>
    </row>
    <row r="183">
      <c r="U183" s="81"/>
    </row>
    <row r="184">
      <c r="U184" s="81"/>
    </row>
    <row r="185">
      <c r="U185" s="81"/>
    </row>
    <row r="186">
      <c r="U186" s="81"/>
    </row>
    <row r="187">
      <c r="U187" s="81"/>
    </row>
    <row r="188">
      <c r="U188" s="81"/>
    </row>
    <row r="189">
      <c r="U189" s="81"/>
    </row>
    <row r="190">
      <c r="U190" s="81"/>
    </row>
    <row r="191">
      <c r="U191" s="81"/>
    </row>
    <row r="192">
      <c r="U192" s="81"/>
    </row>
    <row r="193">
      <c r="U193" s="81"/>
    </row>
    <row r="194">
      <c r="U194" s="81"/>
    </row>
    <row r="195">
      <c r="U195" s="81"/>
    </row>
    <row r="196">
      <c r="U196" s="81"/>
    </row>
    <row r="197">
      <c r="U197" s="81"/>
    </row>
    <row r="198">
      <c r="U198" s="81"/>
    </row>
    <row r="199">
      <c r="U199" s="81"/>
    </row>
    <row r="200">
      <c r="U200" s="81"/>
    </row>
    <row r="201">
      <c r="U201" s="81"/>
    </row>
    <row r="202">
      <c r="U202" s="81"/>
    </row>
    <row r="203">
      <c r="U203" s="81"/>
    </row>
    <row r="204">
      <c r="U204" s="81"/>
    </row>
    <row r="205">
      <c r="U205" s="81"/>
    </row>
    <row r="206">
      <c r="U206" s="81"/>
    </row>
    <row r="207">
      <c r="U207" s="81"/>
    </row>
    <row r="208">
      <c r="U208" s="81"/>
    </row>
    <row r="209">
      <c r="U209" s="81"/>
    </row>
    <row r="210">
      <c r="U210" s="81"/>
    </row>
    <row r="211">
      <c r="U211" s="81"/>
    </row>
    <row r="212">
      <c r="U212" s="81"/>
    </row>
    <row r="213">
      <c r="U213" s="81"/>
    </row>
    <row r="214">
      <c r="U214" s="81"/>
    </row>
    <row r="215">
      <c r="U215" s="81"/>
    </row>
    <row r="216">
      <c r="U216" s="81"/>
    </row>
    <row r="217">
      <c r="U217" s="81"/>
    </row>
    <row r="218">
      <c r="U218" s="81"/>
    </row>
    <row r="219">
      <c r="U219" s="81"/>
    </row>
    <row r="220">
      <c r="U220" s="81"/>
    </row>
    <row r="221">
      <c r="U221" s="81"/>
    </row>
    <row r="222">
      <c r="U222" s="81"/>
    </row>
    <row r="223">
      <c r="U223" s="81"/>
    </row>
    <row r="224">
      <c r="U224" s="81"/>
    </row>
    <row r="225">
      <c r="U225" s="81"/>
    </row>
    <row r="226">
      <c r="U226" s="81"/>
    </row>
    <row r="227">
      <c r="U227" s="81"/>
    </row>
    <row r="228">
      <c r="U228" s="81"/>
    </row>
    <row r="229">
      <c r="U229" s="81"/>
    </row>
    <row r="230">
      <c r="U230" s="81"/>
    </row>
    <row r="231">
      <c r="U231" s="81"/>
    </row>
    <row r="232">
      <c r="U232" s="81"/>
    </row>
    <row r="233">
      <c r="U233" s="81"/>
    </row>
    <row r="234">
      <c r="U234" s="81"/>
    </row>
    <row r="235">
      <c r="U235" s="81"/>
    </row>
    <row r="236">
      <c r="U236" s="81"/>
    </row>
    <row r="237">
      <c r="U237" s="81"/>
    </row>
    <row r="238">
      <c r="U238" s="81"/>
    </row>
    <row r="239">
      <c r="U239" s="81"/>
    </row>
    <row r="240">
      <c r="U240" s="81"/>
    </row>
    <row r="241">
      <c r="U241" s="81"/>
    </row>
    <row r="242">
      <c r="U242" s="81"/>
    </row>
    <row r="243">
      <c r="U243" s="81"/>
    </row>
    <row r="244">
      <c r="U244" s="81"/>
    </row>
    <row r="245">
      <c r="U245" s="81"/>
    </row>
    <row r="246">
      <c r="U246" s="81"/>
    </row>
    <row r="247">
      <c r="U247" s="81"/>
    </row>
    <row r="248">
      <c r="U248" s="81"/>
    </row>
    <row r="249">
      <c r="U249" s="81"/>
    </row>
    <row r="250">
      <c r="U250" s="81"/>
    </row>
    <row r="251">
      <c r="U251" s="81"/>
    </row>
    <row r="252">
      <c r="U252" s="81"/>
    </row>
    <row r="253">
      <c r="U253" s="81"/>
    </row>
    <row r="254">
      <c r="U254" s="81"/>
    </row>
    <row r="255">
      <c r="U255" s="81"/>
    </row>
    <row r="256">
      <c r="U256" s="81"/>
    </row>
    <row r="257">
      <c r="U257" s="81"/>
    </row>
    <row r="258">
      <c r="U258" s="81"/>
    </row>
    <row r="259">
      <c r="U259" s="81"/>
    </row>
    <row r="260">
      <c r="U260" s="81"/>
    </row>
    <row r="261">
      <c r="U261" s="81"/>
    </row>
    <row r="262">
      <c r="U262" s="81"/>
    </row>
    <row r="263">
      <c r="U263" s="81"/>
    </row>
    <row r="264">
      <c r="U264" s="81"/>
    </row>
    <row r="265">
      <c r="U265" s="81"/>
    </row>
    <row r="266">
      <c r="U266" s="81"/>
    </row>
    <row r="267">
      <c r="U267" s="81"/>
    </row>
    <row r="268">
      <c r="U268" s="81"/>
    </row>
    <row r="269">
      <c r="U269" s="81"/>
    </row>
    <row r="270">
      <c r="U270" s="81"/>
    </row>
    <row r="271">
      <c r="U271" s="81"/>
    </row>
    <row r="272">
      <c r="U272" s="81"/>
    </row>
    <row r="273">
      <c r="U273" s="81"/>
    </row>
    <row r="274">
      <c r="U274" s="81"/>
    </row>
    <row r="275">
      <c r="U275" s="81"/>
    </row>
    <row r="276">
      <c r="U276" s="81"/>
    </row>
    <row r="277">
      <c r="U277" s="81"/>
    </row>
    <row r="278">
      <c r="U278" s="81"/>
    </row>
    <row r="279">
      <c r="U279" s="81"/>
    </row>
    <row r="280">
      <c r="U280" s="81"/>
    </row>
    <row r="281">
      <c r="U281" s="81"/>
    </row>
    <row r="282">
      <c r="U282" s="81"/>
    </row>
    <row r="283">
      <c r="U283" s="81"/>
    </row>
    <row r="284">
      <c r="U284" s="81"/>
    </row>
    <row r="285">
      <c r="U285" s="81"/>
    </row>
    <row r="286">
      <c r="U286" s="81"/>
    </row>
    <row r="287">
      <c r="U287" s="81"/>
    </row>
    <row r="288">
      <c r="U288" s="81"/>
    </row>
    <row r="289">
      <c r="U289" s="81"/>
    </row>
    <row r="290">
      <c r="U290" s="81"/>
    </row>
    <row r="291">
      <c r="U291" s="81"/>
    </row>
    <row r="292">
      <c r="U292" s="81"/>
    </row>
    <row r="293">
      <c r="U293" s="81"/>
    </row>
    <row r="294">
      <c r="U294" s="81"/>
    </row>
    <row r="295">
      <c r="U295" s="81"/>
    </row>
    <row r="296">
      <c r="U296" s="81"/>
    </row>
    <row r="297">
      <c r="U297" s="81"/>
    </row>
    <row r="298">
      <c r="U298" s="81"/>
    </row>
    <row r="299">
      <c r="U299" s="81"/>
    </row>
    <row r="300">
      <c r="U300" s="81"/>
    </row>
    <row r="301">
      <c r="U301" s="81"/>
    </row>
    <row r="302">
      <c r="U302" s="81"/>
    </row>
    <row r="303">
      <c r="U303" s="81"/>
    </row>
    <row r="304">
      <c r="U304" s="111"/>
    </row>
    <row r="305">
      <c r="U305" s="111"/>
    </row>
    <row r="306">
      <c r="U306" s="111"/>
    </row>
    <row r="307">
      <c r="U307" s="111"/>
    </row>
    <row r="308">
      <c r="U308" s="111"/>
    </row>
    <row r="309">
      <c r="U309" s="111"/>
    </row>
    <row r="310">
      <c r="U310" s="111"/>
    </row>
    <row r="311">
      <c r="U311" s="111"/>
    </row>
    <row r="312">
      <c r="U312" s="111"/>
    </row>
    <row r="313">
      <c r="U313" s="111"/>
    </row>
    <row r="314">
      <c r="U314" s="111"/>
    </row>
    <row r="315">
      <c r="U315" s="111"/>
    </row>
    <row r="316">
      <c r="U316" s="111"/>
    </row>
    <row r="317">
      <c r="U317" s="111"/>
    </row>
    <row r="318">
      <c r="U318" s="111"/>
    </row>
    <row r="319">
      <c r="U319" s="111"/>
    </row>
    <row r="320">
      <c r="U320" s="111"/>
    </row>
    <row r="321">
      <c r="U321" s="111"/>
    </row>
    <row r="322">
      <c r="U322" s="111"/>
    </row>
    <row r="323">
      <c r="U323" s="111"/>
    </row>
    <row r="324">
      <c r="U324" s="111"/>
    </row>
    <row r="325">
      <c r="U325" s="111"/>
    </row>
    <row r="326">
      <c r="U326" s="111"/>
    </row>
    <row r="327">
      <c r="U327" s="111"/>
    </row>
    <row r="328">
      <c r="U328" s="111"/>
    </row>
    <row r="329">
      <c r="U329" s="111"/>
    </row>
    <row r="330">
      <c r="U330" s="111"/>
    </row>
    <row r="331">
      <c r="U331" s="111"/>
    </row>
    <row r="332">
      <c r="U332" s="111"/>
    </row>
    <row r="333">
      <c r="U333" s="111"/>
    </row>
    <row r="334">
      <c r="U334" s="111"/>
    </row>
    <row r="335">
      <c r="U335" s="111"/>
    </row>
    <row r="336">
      <c r="U336" s="111"/>
    </row>
    <row r="337">
      <c r="U337" s="111"/>
    </row>
    <row r="338">
      <c r="U338" s="111"/>
    </row>
    <row r="339">
      <c r="U339" s="111"/>
    </row>
    <row r="340">
      <c r="U340" s="111"/>
    </row>
    <row r="341">
      <c r="U341" s="111"/>
    </row>
    <row r="342">
      <c r="U342" s="111"/>
    </row>
    <row r="343">
      <c r="U343" s="111"/>
    </row>
    <row r="344">
      <c r="U344" s="111"/>
    </row>
    <row r="345">
      <c r="U345" s="111"/>
    </row>
    <row r="346">
      <c r="U346" s="111"/>
    </row>
    <row r="347">
      <c r="U347" s="111"/>
    </row>
    <row r="348">
      <c r="U348" s="111"/>
    </row>
    <row r="349">
      <c r="U349" s="111"/>
    </row>
    <row r="350">
      <c r="U350" s="111"/>
    </row>
    <row r="351">
      <c r="U351" s="111"/>
    </row>
    <row r="352">
      <c r="U352" s="111"/>
    </row>
    <row r="353">
      <c r="U353" s="111"/>
    </row>
    <row r="354">
      <c r="U354" s="111"/>
    </row>
    <row r="355">
      <c r="U355" s="111"/>
    </row>
    <row r="356">
      <c r="U356" s="111"/>
    </row>
    <row r="357">
      <c r="U357" s="111"/>
    </row>
    <row r="358">
      <c r="U358" s="111"/>
    </row>
    <row r="359">
      <c r="U359" s="111"/>
    </row>
    <row r="360">
      <c r="U360" s="111"/>
    </row>
    <row r="361">
      <c r="U361" s="111"/>
    </row>
    <row r="362">
      <c r="U362" s="111"/>
    </row>
    <row r="363">
      <c r="U363" s="111"/>
    </row>
    <row r="364">
      <c r="U364" s="111"/>
    </row>
    <row r="365">
      <c r="U365" s="111"/>
    </row>
    <row r="366">
      <c r="U366" s="111"/>
    </row>
    <row r="367">
      <c r="U367" s="111"/>
    </row>
    <row r="368">
      <c r="U368" s="111"/>
    </row>
    <row r="369">
      <c r="U369" s="111"/>
    </row>
    <row r="370">
      <c r="U370" s="111"/>
    </row>
    <row r="371">
      <c r="U371" s="111"/>
    </row>
    <row r="372">
      <c r="U372" s="111"/>
    </row>
    <row r="373">
      <c r="U373" s="111"/>
    </row>
    <row r="374">
      <c r="U374" s="111"/>
    </row>
    <row r="375">
      <c r="U375" s="111"/>
    </row>
    <row r="376">
      <c r="U376" s="111"/>
    </row>
    <row r="377">
      <c r="U377" s="111"/>
    </row>
    <row r="378">
      <c r="U378" s="111"/>
    </row>
    <row r="379">
      <c r="U379" s="111"/>
    </row>
    <row r="380">
      <c r="U380" s="111"/>
    </row>
    <row r="381">
      <c r="U381" s="111"/>
    </row>
    <row r="382">
      <c r="U382" s="111"/>
    </row>
    <row r="383">
      <c r="U383" s="111"/>
    </row>
    <row r="384">
      <c r="U384" s="111"/>
    </row>
    <row r="385">
      <c r="U385" s="111"/>
    </row>
    <row r="386">
      <c r="U386" s="111"/>
    </row>
    <row r="387">
      <c r="U387" s="111"/>
    </row>
    <row r="388">
      <c r="U388" s="111"/>
    </row>
    <row r="389">
      <c r="U389" s="111"/>
    </row>
    <row r="390">
      <c r="U390" s="111"/>
    </row>
    <row r="391">
      <c r="U391" s="111"/>
    </row>
    <row r="392">
      <c r="U392" s="111"/>
    </row>
    <row r="393">
      <c r="U393" s="111"/>
    </row>
    <row r="394">
      <c r="U394" s="111"/>
    </row>
    <row r="395">
      <c r="U395" s="111"/>
    </row>
    <row r="396">
      <c r="U396" s="111"/>
    </row>
    <row r="397">
      <c r="U397" s="111"/>
    </row>
    <row r="398">
      <c r="U398" s="111"/>
    </row>
    <row r="399">
      <c r="U399" s="111"/>
    </row>
    <row r="400">
      <c r="U400" s="111"/>
    </row>
    <row r="401">
      <c r="U401" s="111"/>
    </row>
    <row r="402">
      <c r="U402" s="111"/>
    </row>
    <row r="403">
      <c r="U403" s="111"/>
    </row>
    <row r="404">
      <c r="U404" s="111"/>
    </row>
    <row r="405">
      <c r="U405" s="111"/>
    </row>
    <row r="406">
      <c r="U406" s="111"/>
    </row>
    <row r="407">
      <c r="U407" s="111"/>
    </row>
    <row r="408">
      <c r="U408" s="111"/>
    </row>
    <row r="409">
      <c r="U409" s="111"/>
    </row>
    <row r="410">
      <c r="U410" s="111"/>
    </row>
    <row r="411">
      <c r="U411" s="111"/>
    </row>
    <row r="412">
      <c r="U412" s="111"/>
    </row>
    <row r="413">
      <c r="U413" s="111"/>
    </row>
    <row r="414">
      <c r="U414" s="111"/>
    </row>
    <row r="415">
      <c r="U415" s="111"/>
    </row>
    <row r="416">
      <c r="U416" s="111"/>
    </row>
    <row r="417">
      <c r="U417" s="111"/>
    </row>
    <row r="418">
      <c r="U418" s="111"/>
    </row>
    <row r="419">
      <c r="U419" s="111"/>
    </row>
    <row r="420">
      <c r="U420" s="111"/>
    </row>
    <row r="421">
      <c r="U421" s="111"/>
    </row>
    <row r="422">
      <c r="U422" s="111"/>
    </row>
    <row r="423">
      <c r="U423" s="111"/>
    </row>
    <row r="424">
      <c r="U424" s="111"/>
    </row>
    <row r="425">
      <c r="U425" s="111"/>
    </row>
    <row r="426">
      <c r="U426" s="111"/>
    </row>
    <row r="427">
      <c r="U427" s="111"/>
    </row>
    <row r="428">
      <c r="U428" s="111"/>
    </row>
    <row r="429">
      <c r="U429" s="111"/>
    </row>
    <row r="430">
      <c r="U430" s="111"/>
    </row>
    <row r="431">
      <c r="U431" s="111"/>
    </row>
    <row r="432">
      <c r="U432" s="111"/>
    </row>
    <row r="433">
      <c r="U433" s="111"/>
    </row>
    <row r="434">
      <c r="U434" s="111"/>
    </row>
    <row r="435">
      <c r="U435" s="111"/>
    </row>
    <row r="436">
      <c r="U436" s="111"/>
    </row>
    <row r="437">
      <c r="U437" s="111"/>
    </row>
    <row r="438">
      <c r="U438" s="111"/>
    </row>
    <row r="439">
      <c r="U439" s="111"/>
    </row>
    <row r="440">
      <c r="U440" s="111"/>
    </row>
    <row r="441">
      <c r="U441" s="111"/>
    </row>
    <row r="442">
      <c r="U442" s="111"/>
    </row>
    <row r="443">
      <c r="U443" s="111"/>
    </row>
    <row r="444">
      <c r="U444" s="111"/>
    </row>
    <row r="445">
      <c r="U445" s="111"/>
    </row>
    <row r="446">
      <c r="U446" s="111"/>
    </row>
    <row r="447">
      <c r="U447" s="111"/>
    </row>
    <row r="448">
      <c r="U448" s="111"/>
    </row>
    <row r="449">
      <c r="U449" s="111"/>
    </row>
    <row r="450">
      <c r="U450" s="111"/>
    </row>
    <row r="451">
      <c r="U451" s="111"/>
    </row>
    <row r="452">
      <c r="U452" s="111"/>
    </row>
    <row r="453">
      <c r="U453" s="111"/>
    </row>
    <row r="454">
      <c r="U454" s="111"/>
    </row>
    <row r="455">
      <c r="U455" s="111"/>
    </row>
    <row r="456">
      <c r="U456" s="111"/>
    </row>
    <row r="457">
      <c r="U457" s="111"/>
    </row>
    <row r="458">
      <c r="U458" s="111"/>
    </row>
    <row r="459">
      <c r="U459" s="111"/>
    </row>
    <row r="460">
      <c r="U460" s="111"/>
    </row>
    <row r="461">
      <c r="U461" s="111"/>
    </row>
    <row r="462">
      <c r="U462" s="111"/>
    </row>
    <row r="463">
      <c r="U463" s="111"/>
    </row>
    <row r="464">
      <c r="U464" s="111"/>
    </row>
    <row r="465">
      <c r="U465" s="111"/>
    </row>
    <row r="466">
      <c r="U466" s="111"/>
    </row>
    <row r="467">
      <c r="U467" s="111"/>
    </row>
    <row r="468">
      <c r="U468" s="111"/>
    </row>
    <row r="469">
      <c r="U469" s="111"/>
    </row>
    <row r="470">
      <c r="U470" s="111"/>
    </row>
    <row r="471">
      <c r="U471" s="111"/>
    </row>
    <row r="472">
      <c r="U472" s="111"/>
    </row>
    <row r="473">
      <c r="U473" s="111"/>
    </row>
    <row r="474">
      <c r="U474" s="111"/>
    </row>
    <row r="475">
      <c r="U475" s="111"/>
    </row>
    <row r="476">
      <c r="U476" s="111"/>
    </row>
    <row r="477">
      <c r="U477" s="111"/>
    </row>
    <row r="478">
      <c r="U478" s="111"/>
    </row>
    <row r="479">
      <c r="U479" s="111"/>
    </row>
    <row r="480">
      <c r="U480" s="111"/>
    </row>
    <row r="481">
      <c r="U481" s="111"/>
    </row>
    <row r="482">
      <c r="U482" s="111"/>
    </row>
    <row r="483">
      <c r="U483" s="111"/>
    </row>
    <row r="484">
      <c r="U484" s="111"/>
    </row>
    <row r="485">
      <c r="U485" s="111"/>
    </row>
    <row r="486">
      <c r="U486" s="111"/>
    </row>
    <row r="487">
      <c r="U487" s="111"/>
    </row>
    <row r="488">
      <c r="U488" s="111"/>
    </row>
    <row r="489">
      <c r="U489" s="111"/>
    </row>
    <row r="490">
      <c r="U490" s="111"/>
    </row>
    <row r="491">
      <c r="U491" s="111"/>
    </row>
    <row r="492">
      <c r="U492" s="111"/>
    </row>
    <row r="493">
      <c r="U493" s="111"/>
    </row>
    <row r="494">
      <c r="U494" s="111"/>
    </row>
    <row r="495">
      <c r="U495" s="111"/>
    </row>
    <row r="496">
      <c r="U496" s="111"/>
    </row>
    <row r="497">
      <c r="U497" s="111"/>
    </row>
    <row r="498">
      <c r="U498" s="111"/>
    </row>
    <row r="499">
      <c r="U499" s="111"/>
    </row>
    <row r="500">
      <c r="U500" s="111"/>
    </row>
    <row r="501">
      <c r="U501" s="111"/>
    </row>
    <row r="502">
      <c r="U502" s="111"/>
    </row>
    <row r="503">
      <c r="U503" s="111"/>
    </row>
    <row r="504">
      <c r="U504" s="111"/>
    </row>
    <row r="505">
      <c r="U505" s="111"/>
    </row>
    <row r="506">
      <c r="U506" s="111"/>
    </row>
    <row r="507">
      <c r="U507" s="111"/>
    </row>
    <row r="508">
      <c r="U508" s="111"/>
    </row>
    <row r="509">
      <c r="U509" s="111"/>
    </row>
    <row r="510">
      <c r="U510" s="111"/>
    </row>
    <row r="511">
      <c r="U511" s="111"/>
    </row>
    <row r="512">
      <c r="U512" s="111"/>
    </row>
    <row r="513">
      <c r="U513" s="111"/>
    </row>
    <row r="514">
      <c r="U514" s="111"/>
    </row>
    <row r="515">
      <c r="U515" s="111"/>
    </row>
    <row r="516">
      <c r="U516" s="111"/>
    </row>
    <row r="517">
      <c r="U517" s="111"/>
    </row>
    <row r="518">
      <c r="U518" s="111"/>
    </row>
    <row r="519">
      <c r="U519" s="111"/>
    </row>
    <row r="520">
      <c r="U520" s="111"/>
    </row>
    <row r="521">
      <c r="U521" s="111"/>
    </row>
    <row r="522">
      <c r="U522" s="111"/>
    </row>
    <row r="523">
      <c r="U523" s="111"/>
    </row>
    <row r="524">
      <c r="U524" s="111"/>
    </row>
    <row r="525">
      <c r="U525" s="111"/>
    </row>
    <row r="526">
      <c r="U526" s="111"/>
    </row>
    <row r="527">
      <c r="U527" s="111"/>
    </row>
    <row r="528">
      <c r="U528" s="111"/>
    </row>
    <row r="529">
      <c r="U529" s="111"/>
    </row>
    <row r="530">
      <c r="U530" s="111"/>
    </row>
    <row r="531">
      <c r="U531" s="111"/>
    </row>
    <row r="532">
      <c r="U532" s="111"/>
    </row>
    <row r="533">
      <c r="U533" s="111"/>
    </row>
    <row r="534">
      <c r="U534" s="111"/>
    </row>
    <row r="535">
      <c r="U535" s="111"/>
    </row>
    <row r="536">
      <c r="U536" s="111"/>
    </row>
    <row r="537">
      <c r="U537" s="111"/>
    </row>
    <row r="538">
      <c r="U538" s="111"/>
    </row>
    <row r="539">
      <c r="U539" s="111"/>
    </row>
    <row r="540">
      <c r="U540" s="111"/>
    </row>
    <row r="541">
      <c r="U541" s="111"/>
    </row>
    <row r="542">
      <c r="U542" s="111"/>
    </row>
    <row r="543">
      <c r="U543" s="111"/>
    </row>
    <row r="544">
      <c r="U544" s="111"/>
    </row>
    <row r="545">
      <c r="U545" s="111"/>
    </row>
    <row r="546">
      <c r="U546" s="111"/>
    </row>
    <row r="547">
      <c r="U547" s="111"/>
    </row>
    <row r="548">
      <c r="U548" s="111"/>
    </row>
    <row r="549">
      <c r="U549" s="111"/>
    </row>
    <row r="550">
      <c r="U550" s="111"/>
    </row>
    <row r="551">
      <c r="U551" s="111"/>
    </row>
    <row r="552">
      <c r="U552" s="111"/>
    </row>
    <row r="553">
      <c r="U553" s="111"/>
    </row>
    <row r="554">
      <c r="U554" s="111"/>
    </row>
    <row r="555">
      <c r="U555" s="111"/>
    </row>
    <row r="556">
      <c r="U556" s="111"/>
    </row>
    <row r="557">
      <c r="U557" s="111"/>
    </row>
    <row r="558">
      <c r="U558" s="111"/>
    </row>
    <row r="559">
      <c r="U559" s="111"/>
    </row>
    <row r="560">
      <c r="U560" s="111"/>
    </row>
    <row r="561">
      <c r="U561" s="111"/>
    </row>
    <row r="562">
      <c r="U562" s="111"/>
    </row>
    <row r="563">
      <c r="U563" s="111"/>
    </row>
    <row r="564">
      <c r="U564" s="111"/>
    </row>
    <row r="565">
      <c r="U565" s="111"/>
    </row>
    <row r="566">
      <c r="U566" s="111"/>
    </row>
    <row r="567">
      <c r="U567" s="111"/>
    </row>
    <row r="568">
      <c r="U568" s="111"/>
    </row>
    <row r="569">
      <c r="U569" s="111"/>
    </row>
    <row r="570">
      <c r="U570" s="111"/>
    </row>
    <row r="571">
      <c r="U571" s="111"/>
    </row>
    <row r="572">
      <c r="U572" s="111"/>
    </row>
    <row r="573">
      <c r="U573" s="111"/>
    </row>
    <row r="574">
      <c r="U574" s="111"/>
    </row>
    <row r="575">
      <c r="U575" s="111"/>
    </row>
    <row r="576">
      <c r="U576" s="111"/>
    </row>
    <row r="577">
      <c r="U577" s="111"/>
    </row>
    <row r="578">
      <c r="U578" s="111"/>
    </row>
    <row r="579">
      <c r="U579" s="111"/>
    </row>
    <row r="580">
      <c r="U580" s="111"/>
    </row>
    <row r="581">
      <c r="U581" s="111"/>
    </row>
    <row r="582">
      <c r="U582" s="111"/>
    </row>
    <row r="583">
      <c r="U583" s="111"/>
    </row>
    <row r="584">
      <c r="U584" s="111"/>
    </row>
    <row r="585">
      <c r="U585" s="111"/>
    </row>
    <row r="586">
      <c r="U586" s="111"/>
    </row>
    <row r="587">
      <c r="U587" s="111"/>
    </row>
    <row r="588">
      <c r="U588" s="111"/>
    </row>
    <row r="589">
      <c r="U589" s="111"/>
    </row>
    <row r="590">
      <c r="U590" s="111"/>
    </row>
    <row r="591">
      <c r="U591" s="111"/>
    </row>
    <row r="592">
      <c r="U592" s="111"/>
    </row>
    <row r="593">
      <c r="U593" s="111"/>
    </row>
    <row r="594">
      <c r="U594" s="111"/>
    </row>
    <row r="595">
      <c r="U595" s="111"/>
    </row>
    <row r="596">
      <c r="U596" s="111"/>
    </row>
    <row r="597">
      <c r="U597" s="111"/>
    </row>
    <row r="598">
      <c r="U598" s="111"/>
    </row>
    <row r="599">
      <c r="U599" s="111"/>
    </row>
    <row r="600">
      <c r="U600" s="111"/>
    </row>
    <row r="601">
      <c r="U601" s="111"/>
    </row>
    <row r="602">
      <c r="U602" s="111"/>
    </row>
    <row r="603">
      <c r="U603" s="111"/>
    </row>
    <row r="604">
      <c r="U604" s="111"/>
    </row>
    <row r="605">
      <c r="U605" s="111"/>
    </row>
    <row r="606">
      <c r="U606" s="111"/>
    </row>
    <row r="607">
      <c r="U607" s="111"/>
    </row>
    <row r="608">
      <c r="U608" s="111"/>
    </row>
    <row r="609">
      <c r="U609" s="111"/>
    </row>
    <row r="610">
      <c r="U610" s="111"/>
    </row>
    <row r="611">
      <c r="U611" s="111"/>
    </row>
    <row r="612">
      <c r="U612" s="111"/>
    </row>
    <row r="613">
      <c r="U613" s="111"/>
    </row>
    <row r="614">
      <c r="U614" s="111"/>
    </row>
    <row r="615">
      <c r="U615" s="111"/>
    </row>
    <row r="616">
      <c r="U616" s="111"/>
    </row>
    <row r="617">
      <c r="U617" s="111"/>
    </row>
    <row r="618">
      <c r="U618" s="111"/>
    </row>
    <row r="619">
      <c r="U619" s="111"/>
    </row>
    <row r="620">
      <c r="U620" s="111"/>
    </row>
    <row r="621">
      <c r="U621" s="111"/>
    </row>
    <row r="622">
      <c r="U622" s="111"/>
    </row>
    <row r="623">
      <c r="U623" s="111"/>
    </row>
    <row r="624">
      <c r="U624" s="111"/>
    </row>
    <row r="625">
      <c r="U625" s="111"/>
    </row>
    <row r="626">
      <c r="U626" s="111"/>
    </row>
    <row r="627">
      <c r="U627" s="111"/>
    </row>
    <row r="628">
      <c r="U628" s="111"/>
    </row>
    <row r="629">
      <c r="U629" s="111"/>
    </row>
    <row r="630">
      <c r="U630" s="111"/>
    </row>
    <row r="631">
      <c r="U631" s="111"/>
    </row>
    <row r="632">
      <c r="U632" s="111"/>
    </row>
    <row r="633">
      <c r="U633" s="111"/>
    </row>
    <row r="634">
      <c r="U634" s="111"/>
    </row>
    <row r="635">
      <c r="U635" s="111"/>
    </row>
    <row r="636">
      <c r="U636" s="111"/>
    </row>
    <row r="637">
      <c r="U637" s="111"/>
    </row>
    <row r="638">
      <c r="U638" s="111"/>
    </row>
    <row r="639">
      <c r="U639" s="111"/>
    </row>
    <row r="640">
      <c r="U640" s="111"/>
    </row>
    <row r="641">
      <c r="U641" s="111"/>
    </row>
    <row r="642">
      <c r="U642" s="111"/>
    </row>
    <row r="643">
      <c r="U643" s="111"/>
    </row>
    <row r="644">
      <c r="U644" s="111"/>
    </row>
    <row r="645">
      <c r="U645" s="111"/>
    </row>
    <row r="646">
      <c r="U646" s="111"/>
    </row>
    <row r="647">
      <c r="U647" s="111"/>
    </row>
    <row r="648">
      <c r="U648" s="111"/>
    </row>
    <row r="649">
      <c r="U649" s="111"/>
    </row>
    <row r="650">
      <c r="U650" s="111"/>
    </row>
    <row r="651">
      <c r="U651" s="111"/>
    </row>
    <row r="652">
      <c r="U652" s="111"/>
    </row>
    <row r="653">
      <c r="U653" s="111"/>
    </row>
    <row r="654">
      <c r="U654" s="111"/>
    </row>
    <row r="655">
      <c r="U655" s="111"/>
    </row>
    <row r="656">
      <c r="U656" s="111"/>
    </row>
    <row r="657">
      <c r="U657" s="111"/>
    </row>
    <row r="658">
      <c r="U658" s="111"/>
    </row>
    <row r="659">
      <c r="U659" s="111"/>
    </row>
    <row r="660">
      <c r="U660" s="111"/>
    </row>
    <row r="661">
      <c r="U661" s="111"/>
    </row>
    <row r="662">
      <c r="U662" s="111"/>
    </row>
    <row r="663">
      <c r="U663" s="111"/>
    </row>
    <row r="664">
      <c r="U664" s="111"/>
    </row>
    <row r="665">
      <c r="U665" s="111"/>
    </row>
    <row r="666">
      <c r="U666" s="111"/>
    </row>
    <row r="667">
      <c r="U667" s="111"/>
    </row>
    <row r="668">
      <c r="U668" s="111"/>
    </row>
    <row r="669">
      <c r="U669" s="111"/>
    </row>
    <row r="670">
      <c r="U670" s="111"/>
    </row>
    <row r="671">
      <c r="U671" s="111"/>
    </row>
    <row r="672">
      <c r="U672" s="111"/>
    </row>
    <row r="673">
      <c r="U673" s="111"/>
    </row>
    <row r="674">
      <c r="U674" s="111"/>
    </row>
    <row r="675">
      <c r="U675" s="111"/>
    </row>
    <row r="676">
      <c r="U676" s="111"/>
    </row>
    <row r="677">
      <c r="U677" s="111"/>
    </row>
    <row r="678">
      <c r="U678" s="111"/>
    </row>
    <row r="679">
      <c r="U679" s="111"/>
    </row>
    <row r="680">
      <c r="U680" s="111"/>
    </row>
    <row r="681">
      <c r="U681" s="111"/>
    </row>
    <row r="682">
      <c r="U682" s="111"/>
    </row>
    <row r="683">
      <c r="U683" s="111"/>
    </row>
    <row r="684">
      <c r="U684" s="111"/>
    </row>
    <row r="685">
      <c r="U685" s="111"/>
    </row>
    <row r="686">
      <c r="U686" s="111"/>
    </row>
    <row r="687">
      <c r="U687" s="111"/>
    </row>
    <row r="688">
      <c r="U688" s="111"/>
    </row>
    <row r="689">
      <c r="U689" s="111"/>
    </row>
    <row r="690">
      <c r="U690" s="111"/>
    </row>
    <row r="691">
      <c r="U691" s="111"/>
    </row>
    <row r="692">
      <c r="U692" s="111"/>
    </row>
    <row r="693">
      <c r="U693" s="111"/>
    </row>
    <row r="694">
      <c r="U694" s="111"/>
    </row>
    <row r="695">
      <c r="U695" s="111"/>
    </row>
    <row r="696">
      <c r="U696" s="111"/>
    </row>
    <row r="697">
      <c r="U697" s="111"/>
    </row>
    <row r="698">
      <c r="U698" s="111"/>
    </row>
    <row r="699">
      <c r="U699" s="111"/>
    </row>
    <row r="700">
      <c r="U700" s="111"/>
    </row>
    <row r="701">
      <c r="U701" s="111"/>
    </row>
    <row r="702">
      <c r="U702" s="111"/>
    </row>
    <row r="703">
      <c r="U703" s="111"/>
    </row>
    <row r="704">
      <c r="U704" s="111"/>
    </row>
    <row r="705">
      <c r="U705" s="111"/>
    </row>
    <row r="706">
      <c r="U706" s="111"/>
    </row>
    <row r="707">
      <c r="U707" s="111"/>
    </row>
    <row r="708">
      <c r="U708" s="111"/>
    </row>
    <row r="709">
      <c r="U709" s="111"/>
    </row>
    <row r="710">
      <c r="U710" s="111"/>
    </row>
    <row r="711">
      <c r="U711" s="111"/>
    </row>
    <row r="712">
      <c r="U712" s="111"/>
    </row>
    <row r="713">
      <c r="U713" s="111"/>
    </row>
    <row r="714">
      <c r="U714" s="111"/>
    </row>
    <row r="715">
      <c r="U715" s="111"/>
    </row>
    <row r="716">
      <c r="U716" s="111"/>
    </row>
    <row r="717">
      <c r="U717" s="111"/>
    </row>
    <row r="718">
      <c r="U718" s="111"/>
    </row>
    <row r="719">
      <c r="U719" s="111"/>
    </row>
    <row r="720">
      <c r="U720" s="111"/>
    </row>
    <row r="721">
      <c r="U721" s="111"/>
    </row>
    <row r="722">
      <c r="U722" s="111"/>
    </row>
    <row r="723">
      <c r="U723" s="111"/>
    </row>
    <row r="724">
      <c r="U724" s="111"/>
    </row>
    <row r="725">
      <c r="U725" s="111"/>
    </row>
    <row r="726">
      <c r="U726" s="111"/>
    </row>
    <row r="727">
      <c r="U727" s="111"/>
    </row>
    <row r="728">
      <c r="U728" s="111"/>
    </row>
    <row r="729">
      <c r="U729" s="111"/>
    </row>
    <row r="730">
      <c r="U730" s="111"/>
    </row>
    <row r="731">
      <c r="U731" s="111"/>
    </row>
    <row r="732">
      <c r="U732" s="111"/>
    </row>
    <row r="733">
      <c r="U733" s="111"/>
    </row>
    <row r="734">
      <c r="U734" s="111"/>
    </row>
    <row r="735">
      <c r="U735" s="111"/>
    </row>
    <row r="736">
      <c r="U736" s="111"/>
    </row>
    <row r="737">
      <c r="U737" s="111"/>
    </row>
    <row r="738">
      <c r="U738" s="111"/>
    </row>
    <row r="739">
      <c r="U739" s="111"/>
    </row>
    <row r="740">
      <c r="U740" s="111"/>
    </row>
    <row r="741">
      <c r="U741" s="111"/>
    </row>
    <row r="742">
      <c r="U742" s="111"/>
    </row>
    <row r="743">
      <c r="U743" s="111"/>
    </row>
    <row r="744">
      <c r="U744" s="111"/>
    </row>
    <row r="745">
      <c r="U745" s="111"/>
    </row>
    <row r="746">
      <c r="U746" s="111"/>
    </row>
    <row r="747">
      <c r="U747" s="111"/>
    </row>
    <row r="748">
      <c r="U748" s="111"/>
    </row>
    <row r="749">
      <c r="U749" s="111"/>
    </row>
    <row r="750">
      <c r="U750" s="111"/>
    </row>
    <row r="751">
      <c r="U751" s="111"/>
    </row>
    <row r="752">
      <c r="U752" s="111"/>
    </row>
    <row r="753">
      <c r="U753" s="111"/>
    </row>
    <row r="754">
      <c r="U754" s="111"/>
    </row>
    <row r="755">
      <c r="U755" s="111"/>
    </row>
    <row r="756">
      <c r="U756" s="111"/>
    </row>
    <row r="757">
      <c r="U757" s="111"/>
    </row>
    <row r="758">
      <c r="U758" s="111"/>
    </row>
    <row r="759">
      <c r="U759" s="111"/>
    </row>
    <row r="760">
      <c r="U760" s="111"/>
    </row>
    <row r="761">
      <c r="U761" s="111"/>
    </row>
    <row r="762">
      <c r="U762" s="111"/>
    </row>
    <row r="763">
      <c r="U763" s="111"/>
    </row>
    <row r="764">
      <c r="U764" s="111"/>
    </row>
    <row r="765">
      <c r="U765" s="111"/>
    </row>
    <row r="766">
      <c r="U766" s="111"/>
    </row>
    <row r="767">
      <c r="U767" s="111"/>
    </row>
    <row r="768">
      <c r="U768" s="111"/>
    </row>
    <row r="769">
      <c r="U769" s="111"/>
    </row>
    <row r="770">
      <c r="U770" s="111"/>
    </row>
    <row r="771">
      <c r="U771" s="111"/>
    </row>
    <row r="772">
      <c r="U772" s="111"/>
    </row>
    <row r="773">
      <c r="U773" s="111"/>
    </row>
    <row r="774">
      <c r="U774" s="111"/>
    </row>
    <row r="775">
      <c r="U775" s="111"/>
    </row>
    <row r="776">
      <c r="U776" s="111"/>
    </row>
    <row r="777">
      <c r="U777" s="111"/>
    </row>
    <row r="778">
      <c r="U778" s="111"/>
    </row>
    <row r="779">
      <c r="U779" s="111"/>
    </row>
    <row r="780">
      <c r="U780" s="111"/>
    </row>
    <row r="781">
      <c r="U781" s="111"/>
    </row>
    <row r="782">
      <c r="U782" s="111"/>
    </row>
    <row r="783">
      <c r="U783" s="111"/>
    </row>
    <row r="784">
      <c r="U784" s="111"/>
    </row>
    <row r="785">
      <c r="U785" s="111"/>
    </row>
    <row r="786">
      <c r="U786" s="111"/>
    </row>
    <row r="787">
      <c r="U787" s="111"/>
    </row>
    <row r="788">
      <c r="U788" s="111"/>
    </row>
    <row r="789">
      <c r="U789" s="111"/>
    </row>
    <row r="790">
      <c r="U790" s="111"/>
    </row>
    <row r="791">
      <c r="U791" s="111"/>
    </row>
    <row r="792">
      <c r="U792" s="111"/>
    </row>
    <row r="793">
      <c r="U793" s="111"/>
    </row>
    <row r="794">
      <c r="U794" s="111"/>
    </row>
    <row r="795">
      <c r="U795" s="111"/>
    </row>
    <row r="796">
      <c r="U796" s="111"/>
    </row>
    <row r="797">
      <c r="U797" s="111"/>
    </row>
    <row r="798">
      <c r="U798" s="111"/>
    </row>
    <row r="799">
      <c r="U799" s="111"/>
    </row>
    <row r="800">
      <c r="U800" s="111"/>
    </row>
    <row r="801">
      <c r="U801" s="111"/>
    </row>
    <row r="802">
      <c r="U802" s="111"/>
    </row>
    <row r="803">
      <c r="U803" s="111"/>
    </row>
    <row r="804">
      <c r="U804" s="111"/>
    </row>
    <row r="805">
      <c r="U805" s="111"/>
    </row>
    <row r="806">
      <c r="U806" s="111"/>
    </row>
    <row r="807">
      <c r="U807" s="111"/>
    </row>
    <row r="808">
      <c r="U808" s="111"/>
    </row>
    <row r="809">
      <c r="U809" s="111"/>
    </row>
    <row r="810">
      <c r="U810" s="111"/>
    </row>
    <row r="811">
      <c r="U811" s="111"/>
    </row>
    <row r="812">
      <c r="U812" s="111"/>
    </row>
    <row r="813">
      <c r="U813" s="111"/>
    </row>
    <row r="814">
      <c r="U814" s="111"/>
    </row>
    <row r="815">
      <c r="U815" s="111"/>
    </row>
    <row r="816">
      <c r="U816" s="111"/>
    </row>
    <row r="817">
      <c r="U817" s="111"/>
    </row>
    <row r="818">
      <c r="U818" s="111"/>
    </row>
    <row r="819">
      <c r="U819" s="111"/>
    </row>
    <row r="820">
      <c r="U820" s="111"/>
    </row>
    <row r="821">
      <c r="U821" s="111"/>
    </row>
    <row r="822">
      <c r="U822" s="111"/>
    </row>
    <row r="823">
      <c r="U823" s="111"/>
    </row>
    <row r="824">
      <c r="U824" s="111"/>
    </row>
    <row r="825">
      <c r="U825" s="111"/>
    </row>
    <row r="826">
      <c r="U826" s="111"/>
    </row>
    <row r="827">
      <c r="U827" s="111"/>
    </row>
    <row r="828">
      <c r="U828" s="111"/>
    </row>
    <row r="829">
      <c r="U829" s="111"/>
    </row>
    <row r="830">
      <c r="U830" s="111"/>
    </row>
    <row r="831">
      <c r="U831" s="111"/>
    </row>
    <row r="832">
      <c r="U832" s="111"/>
    </row>
    <row r="833">
      <c r="U833" s="111"/>
    </row>
    <row r="834">
      <c r="U834" s="111"/>
    </row>
    <row r="835">
      <c r="U835" s="111"/>
    </row>
    <row r="836">
      <c r="U836" s="111"/>
    </row>
    <row r="837">
      <c r="U837" s="111"/>
    </row>
    <row r="838">
      <c r="U838" s="111"/>
    </row>
    <row r="839">
      <c r="U839" s="111"/>
    </row>
    <row r="840">
      <c r="U840" s="111"/>
    </row>
    <row r="841">
      <c r="U841" s="111"/>
    </row>
    <row r="842">
      <c r="U842" s="111"/>
    </row>
    <row r="843">
      <c r="U843" s="111"/>
    </row>
    <row r="844">
      <c r="U844" s="111"/>
    </row>
    <row r="845">
      <c r="U845" s="111"/>
    </row>
    <row r="846">
      <c r="U846" s="111"/>
    </row>
    <row r="847">
      <c r="U847" s="111"/>
    </row>
    <row r="848">
      <c r="U848" s="111"/>
    </row>
    <row r="849">
      <c r="U849" s="111"/>
    </row>
    <row r="850">
      <c r="U850" s="111"/>
    </row>
    <row r="851">
      <c r="U851" s="111"/>
    </row>
    <row r="852">
      <c r="U852" s="111"/>
    </row>
    <row r="853">
      <c r="U853" s="111"/>
    </row>
    <row r="854">
      <c r="U854" s="111"/>
    </row>
    <row r="855">
      <c r="U855" s="111"/>
    </row>
    <row r="856">
      <c r="U856" s="111"/>
    </row>
    <row r="857">
      <c r="U857" s="111"/>
    </row>
    <row r="858">
      <c r="U858" s="111"/>
    </row>
    <row r="859">
      <c r="U859" s="111"/>
    </row>
    <row r="860">
      <c r="U860" s="111"/>
    </row>
    <row r="861">
      <c r="U861" s="111"/>
    </row>
    <row r="862">
      <c r="U862" s="111"/>
    </row>
    <row r="863">
      <c r="U863" s="111"/>
    </row>
    <row r="864">
      <c r="U864" s="111"/>
    </row>
    <row r="865">
      <c r="U865" s="111"/>
    </row>
    <row r="866">
      <c r="U866" s="111"/>
    </row>
    <row r="867">
      <c r="U867" s="111"/>
    </row>
    <row r="868">
      <c r="U868" s="111"/>
    </row>
    <row r="869">
      <c r="U869" s="111"/>
    </row>
    <row r="870">
      <c r="U870" s="111"/>
    </row>
    <row r="871">
      <c r="U871" s="111"/>
    </row>
    <row r="872">
      <c r="U872" s="111"/>
    </row>
    <row r="873">
      <c r="U873" s="111"/>
    </row>
    <row r="874">
      <c r="U874" s="111"/>
    </row>
    <row r="875">
      <c r="U875" s="111"/>
    </row>
    <row r="876">
      <c r="U876" s="111"/>
    </row>
    <row r="877">
      <c r="U877" s="111"/>
    </row>
    <row r="878">
      <c r="U878" s="111"/>
    </row>
    <row r="879">
      <c r="U879" s="111"/>
    </row>
    <row r="880">
      <c r="U880" s="111"/>
    </row>
    <row r="881">
      <c r="U881" s="111"/>
    </row>
    <row r="882">
      <c r="U882" s="111"/>
    </row>
    <row r="883">
      <c r="U883" s="111"/>
    </row>
    <row r="884">
      <c r="U884" s="111"/>
    </row>
    <row r="885">
      <c r="U885" s="111"/>
    </row>
    <row r="886">
      <c r="U886" s="111"/>
    </row>
    <row r="887">
      <c r="U887" s="111"/>
    </row>
    <row r="888">
      <c r="U888" s="111"/>
    </row>
    <row r="889">
      <c r="U889" s="111"/>
    </row>
    <row r="890">
      <c r="U890" s="111"/>
    </row>
    <row r="891">
      <c r="U891" s="111"/>
    </row>
    <row r="892">
      <c r="U892" s="111"/>
    </row>
    <row r="893">
      <c r="U893" s="111"/>
    </row>
    <row r="894">
      <c r="U894" s="111"/>
    </row>
    <row r="895">
      <c r="U895" s="111"/>
    </row>
    <row r="896">
      <c r="U896" s="111"/>
    </row>
    <row r="897">
      <c r="U897" s="111"/>
    </row>
    <row r="898">
      <c r="U898" s="111"/>
    </row>
    <row r="899">
      <c r="U899" s="111"/>
    </row>
    <row r="900">
      <c r="U900" s="111"/>
    </row>
    <row r="901">
      <c r="U901" s="111"/>
    </row>
    <row r="902">
      <c r="U902" s="111"/>
    </row>
    <row r="903">
      <c r="U903" s="111"/>
    </row>
    <row r="904">
      <c r="U904" s="111"/>
    </row>
    <row r="905">
      <c r="U905" s="111"/>
    </row>
    <row r="906">
      <c r="U906" s="111"/>
    </row>
    <row r="907">
      <c r="U907" s="111"/>
    </row>
    <row r="908">
      <c r="U908" s="111"/>
    </row>
    <row r="909">
      <c r="U909" s="111"/>
    </row>
    <row r="910">
      <c r="U910" s="111"/>
    </row>
    <row r="911">
      <c r="U911" s="111"/>
    </row>
    <row r="912">
      <c r="U912" s="111"/>
    </row>
    <row r="913">
      <c r="U913" s="111"/>
    </row>
    <row r="914">
      <c r="U914" s="111"/>
    </row>
    <row r="915">
      <c r="U915" s="111"/>
    </row>
    <row r="916">
      <c r="U916" s="111"/>
    </row>
    <row r="917">
      <c r="U917" s="111"/>
    </row>
    <row r="918">
      <c r="U918" s="111"/>
    </row>
    <row r="919">
      <c r="U919" s="111"/>
    </row>
    <row r="920">
      <c r="U920" s="111"/>
    </row>
    <row r="921">
      <c r="U921" s="111"/>
    </row>
    <row r="922">
      <c r="U922" s="111"/>
    </row>
    <row r="923">
      <c r="U923" s="111"/>
    </row>
    <row r="924">
      <c r="U924" s="111"/>
    </row>
    <row r="925">
      <c r="U925" s="111"/>
    </row>
    <row r="926">
      <c r="U926" s="111"/>
    </row>
    <row r="927">
      <c r="U927" s="111"/>
    </row>
    <row r="928">
      <c r="U928" s="111"/>
    </row>
    <row r="929">
      <c r="U929" s="111"/>
    </row>
    <row r="930">
      <c r="U930" s="111"/>
    </row>
    <row r="931">
      <c r="U931" s="111"/>
    </row>
    <row r="932">
      <c r="U932" s="111"/>
    </row>
    <row r="933">
      <c r="U933" s="111"/>
    </row>
    <row r="934">
      <c r="U934" s="111"/>
    </row>
    <row r="935">
      <c r="U935" s="111"/>
    </row>
    <row r="936">
      <c r="U936" s="111"/>
    </row>
    <row r="937">
      <c r="U937" s="111"/>
    </row>
    <row r="938">
      <c r="U938" s="111"/>
    </row>
    <row r="939">
      <c r="U939" s="111"/>
    </row>
    <row r="940">
      <c r="U940" s="111"/>
    </row>
    <row r="941">
      <c r="U941" s="111"/>
    </row>
    <row r="942">
      <c r="U942" s="111"/>
    </row>
    <row r="943">
      <c r="U943" s="111"/>
    </row>
    <row r="944">
      <c r="U944" s="111"/>
    </row>
    <row r="945">
      <c r="U945" s="111"/>
    </row>
    <row r="946">
      <c r="U946" s="111"/>
    </row>
    <row r="947">
      <c r="U947" s="111"/>
    </row>
    <row r="948">
      <c r="U948" s="111"/>
    </row>
    <row r="949">
      <c r="U949" s="111"/>
    </row>
    <row r="950">
      <c r="U950" s="111"/>
    </row>
    <row r="951">
      <c r="U951" s="111"/>
    </row>
    <row r="952">
      <c r="U952" s="111"/>
    </row>
    <row r="953">
      <c r="U953" s="111"/>
    </row>
    <row r="954">
      <c r="U954" s="111"/>
    </row>
    <row r="955">
      <c r="U955" s="111"/>
    </row>
    <row r="956">
      <c r="U956" s="111"/>
    </row>
    <row r="957">
      <c r="U957" s="111"/>
    </row>
    <row r="958">
      <c r="U958" s="111"/>
    </row>
    <row r="959">
      <c r="U959" s="111"/>
    </row>
    <row r="960">
      <c r="U960" s="111"/>
    </row>
    <row r="961">
      <c r="U961" s="111"/>
    </row>
    <row r="962">
      <c r="U962" s="111"/>
    </row>
    <row r="963">
      <c r="U963" s="111"/>
    </row>
    <row r="964">
      <c r="U964" s="111"/>
    </row>
    <row r="965">
      <c r="U965" s="111"/>
    </row>
    <row r="966">
      <c r="U966" s="111"/>
    </row>
    <row r="967">
      <c r="U967" s="111"/>
    </row>
    <row r="968">
      <c r="U968" s="111"/>
    </row>
    <row r="969">
      <c r="U969" s="111"/>
    </row>
    <row r="970">
      <c r="U970" s="111"/>
    </row>
    <row r="971">
      <c r="U971" s="111"/>
    </row>
    <row r="972">
      <c r="U972" s="111"/>
    </row>
    <row r="973">
      <c r="U973" s="111"/>
    </row>
    <row r="974">
      <c r="U974" s="111"/>
    </row>
    <row r="975">
      <c r="U975" s="111"/>
    </row>
    <row r="976">
      <c r="U976" s="111"/>
    </row>
    <row r="977">
      <c r="U977" s="111"/>
    </row>
    <row r="978">
      <c r="U978" s="111"/>
    </row>
    <row r="979">
      <c r="U979" s="111"/>
    </row>
    <row r="980">
      <c r="U980" s="111"/>
    </row>
    <row r="981">
      <c r="U981" s="111"/>
    </row>
    <row r="982">
      <c r="U982" s="111"/>
    </row>
    <row r="983">
      <c r="U983" s="111"/>
    </row>
    <row r="984">
      <c r="U984" s="111"/>
    </row>
    <row r="985">
      <c r="U985" s="111"/>
    </row>
    <row r="986">
      <c r="U986" s="111"/>
    </row>
    <row r="987">
      <c r="U987" s="111"/>
    </row>
    <row r="988">
      <c r="U988" s="111"/>
    </row>
    <row r="989">
      <c r="U989" s="111"/>
    </row>
    <row r="990">
      <c r="U990" s="111"/>
    </row>
    <row r="991">
      <c r="U991" s="111"/>
    </row>
    <row r="992">
      <c r="U992" s="111"/>
    </row>
    <row r="993">
      <c r="U993" s="111"/>
    </row>
    <row r="994">
      <c r="U994" s="111"/>
    </row>
    <row r="995">
      <c r="U995" s="111"/>
    </row>
    <row r="996">
      <c r="U996" s="111"/>
    </row>
    <row r="997">
      <c r="U997" s="111"/>
    </row>
    <row r="998">
      <c r="U998" s="111"/>
    </row>
    <row r="999">
      <c r="U999" s="111"/>
    </row>
    <row r="1000">
      <c r="U1000" s="111"/>
    </row>
    <row r="1001">
      <c r="U1001" s="111"/>
    </row>
    <row r="1002">
      <c r="U1002" s="111"/>
    </row>
    <row r="1003">
      <c r="U1003" s="111"/>
    </row>
    <row r="1004">
      <c r="U1004" s="111"/>
    </row>
    <row r="1005">
      <c r="U1005" s="111"/>
    </row>
    <row r="1006">
      <c r="U1006" s="111"/>
    </row>
    <row r="1007">
      <c r="U1007" s="111"/>
    </row>
    <row r="1008">
      <c r="U1008" s="111"/>
    </row>
    <row r="1009">
      <c r="U1009" s="111"/>
    </row>
    <row r="1010">
      <c r="U1010" s="111"/>
    </row>
    <row r="1011">
      <c r="U1011" s="111"/>
    </row>
    <row r="1012">
      <c r="U1012" s="111"/>
    </row>
    <row r="1013">
      <c r="U1013" s="111"/>
    </row>
    <row r="1014">
      <c r="U1014" s="111"/>
    </row>
    <row r="1015">
      <c r="U1015" s="111"/>
    </row>
    <row r="1016">
      <c r="U1016" s="111"/>
    </row>
    <row r="1017">
      <c r="U1017" s="111"/>
    </row>
    <row r="1018">
      <c r="U1018" s="111"/>
    </row>
    <row r="1019">
      <c r="U1019" s="111"/>
    </row>
    <row r="1020">
      <c r="U1020" s="111"/>
    </row>
    <row r="1021">
      <c r="U1021" s="111"/>
    </row>
    <row r="1022">
      <c r="U1022" s="111"/>
    </row>
    <row r="1023">
      <c r="U1023" s="111"/>
    </row>
    <row r="1024">
      <c r="U1024" s="111"/>
    </row>
    <row r="1025">
      <c r="U1025" s="111"/>
    </row>
    <row r="1026">
      <c r="U1026" s="111"/>
    </row>
    <row r="1027">
      <c r="U1027" s="111"/>
    </row>
    <row r="1028">
      <c r="U1028" s="111"/>
    </row>
    <row r="1029">
      <c r="U1029" s="111"/>
    </row>
    <row r="1030">
      <c r="U1030" s="111"/>
    </row>
    <row r="1031">
      <c r="U1031" s="111"/>
    </row>
    <row r="1032">
      <c r="U1032" s="111"/>
    </row>
    <row r="1033">
      <c r="U1033" s="111"/>
    </row>
    <row r="1034">
      <c r="U1034" s="111"/>
    </row>
    <row r="1035">
      <c r="U1035" s="111"/>
    </row>
    <row r="1036">
      <c r="U1036" s="111"/>
    </row>
  </sheetData>
  <mergeCells count="14">
    <mergeCell ref="A18:A29"/>
    <mergeCell ref="A30:A41"/>
    <mergeCell ref="A42:A53"/>
    <mergeCell ref="A54:A65"/>
    <mergeCell ref="A66:A77"/>
    <mergeCell ref="A78:A89"/>
    <mergeCell ref="A90:A101"/>
    <mergeCell ref="A1:B1"/>
    <mergeCell ref="C1:H1"/>
    <mergeCell ref="I1:P1"/>
    <mergeCell ref="Q1:Q2"/>
    <mergeCell ref="R1:T1"/>
    <mergeCell ref="A3:A5"/>
    <mergeCell ref="A6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2" max="2" width="9.0"/>
    <col customWidth="1" min="3" max="3" width="10.0"/>
    <col customWidth="1" min="4" max="4" width="7.0"/>
    <col customWidth="1" min="5" max="5" width="10.0"/>
    <col customWidth="1" min="6" max="7" width="6.5"/>
    <col customWidth="1" min="8" max="8" width="5.38"/>
    <col customWidth="1" min="9" max="9" width="5.0"/>
    <col customWidth="1" min="10" max="10" width="8.13"/>
    <col customWidth="1" min="11" max="11" width="8.5"/>
    <col customWidth="1" min="12" max="12" width="13.13"/>
    <col customWidth="1" min="13" max="13" width="7.0"/>
    <col customWidth="1" min="14" max="14" width="6.5"/>
    <col customWidth="1" min="15" max="15" width="7.5"/>
    <col customWidth="1" min="16" max="16" width="7.0"/>
    <col customWidth="1" min="17" max="17" width="7.88"/>
    <col customWidth="1" min="18" max="18" width="10.38"/>
    <col customWidth="1" min="19" max="20" width="9.0"/>
    <col customWidth="1" min="21" max="21" width="10.0"/>
    <col customWidth="1" min="22" max="22" width="7.5"/>
    <col customWidth="1" min="23" max="23" width="6.5"/>
    <col customWidth="1" min="24" max="25" width="7.5"/>
    <col customWidth="1" min="26" max="26" width="9.0"/>
    <col customWidth="1" min="27" max="27" width="7.5"/>
    <col customWidth="1" min="28" max="28" width="12.25"/>
    <col customWidth="1" min="29" max="29" width="12.63"/>
    <col customWidth="1" min="30" max="30" width="10.0"/>
    <col customWidth="1" min="31" max="31" width="9.0"/>
    <col customWidth="1" min="32" max="32" width="9.13"/>
    <col customWidth="1" min="33" max="33" width="8.13"/>
    <col customWidth="1" min="34" max="34" width="230.0"/>
    <col customWidth="1" min="35" max="35" width="8.5"/>
    <col customWidth="1" min="36" max="37" width="0.38"/>
  </cols>
  <sheetData>
    <row r="1" ht="15.75" customHeight="1">
      <c r="A1" s="163" t="s">
        <v>381</v>
      </c>
      <c r="B1" s="16"/>
      <c r="C1" s="164" t="s">
        <v>377</v>
      </c>
      <c r="D1" s="16"/>
      <c r="E1" s="165" t="s">
        <v>380</v>
      </c>
      <c r="F1" s="166"/>
      <c r="G1" s="166"/>
      <c r="H1" s="166"/>
      <c r="I1" s="166"/>
      <c r="J1" s="167"/>
      <c r="K1" s="168" t="s">
        <v>546</v>
      </c>
      <c r="L1" s="164" t="s">
        <v>379</v>
      </c>
      <c r="M1" s="15"/>
      <c r="N1" s="15"/>
      <c r="O1" s="15"/>
      <c r="P1" s="16"/>
      <c r="Q1" s="169" t="s">
        <v>547</v>
      </c>
      <c r="R1" s="28"/>
      <c r="S1" s="170" t="s">
        <v>548</v>
      </c>
      <c r="T1" s="171" t="s">
        <v>549</v>
      </c>
      <c r="U1" s="164" t="s">
        <v>550</v>
      </c>
      <c r="V1" s="15"/>
      <c r="W1" s="15"/>
      <c r="X1" s="15"/>
      <c r="Y1" s="15"/>
      <c r="Z1" s="15"/>
      <c r="AA1" s="16"/>
      <c r="AB1" s="172" t="s">
        <v>551</v>
      </c>
      <c r="AC1" s="29"/>
      <c r="AD1" s="167" t="s">
        <v>552</v>
      </c>
      <c r="AE1" s="173" t="s">
        <v>553</v>
      </c>
      <c r="AF1" s="15"/>
      <c r="AG1" s="16"/>
      <c r="AH1" s="174"/>
      <c r="AI1" s="174"/>
      <c r="AJ1" s="174"/>
      <c r="AK1" s="174"/>
    </row>
    <row r="2" ht="31.5" customHeight="1">
      <c r="A2" s="175" t="s">
        <v>554</v>
      </c>
      <c r="B2" s="176" t="s">
        <v>555</v>
      </c>
      <c r="C2" s="176" t="s">
        <v>382</v>
      </c>
      <c r="D2" s="177" t="s">
        <v>50</v>
      </c>
      <c r="E2" s="176" t="s">
        <v>556</v>
      </c>
      <c r="F2" s="173" t="s">
        <v>235</v>
      </c>
      <c r="G2" s="173" t="s">
        <v>23</v>
      </c>
      <c r="H2" s="178" t="s">
        <v>77</v>
      </c>
      <c r="I2" s="178" t="s">
        <v>31</v>
      </c>
      <c r="J2" s="179" t="s">
        <v>176</v>
      </c>
      <c r="K2" s="176" t="s">
        <v>58</v>
      </c>
      <c r="L2" s="180" t="s">
        <v>383</v>
      </c>
      <c r="M2" s="173" t="s">
        <v>111</v>
      </c>
      <c r="N2" s="181" t="s">
        <v>90</v>
      </c>
      <c r="O2" s="181" t="s">
        <v>52</v>
      </c>
      <c r="P2" s="177" t="s">
        <v>124</v>
      </c>
      <c r="Q2" s="181" t="s">
        <v>379</v>
      </c>
      <c r="R2" s="175" t="s">
        <v>557</v>
      </c>
      <c r="S2" s="182" t="s">
        <v>558</v>
      </c>
      <c r="T2" s="181" t="s">
        <v>364</v>
      </c>
      <c r="U2" s="183" t="s">
        <v>377</v>
      </c>
      <c r="V2" s="184" t="s">
        <v>380</v>
      </c>
      <c r="W2" s="184" t="s">
        <v>546</v>
      </c>
      <c r="X2" s="185" t="s">
        <v>379</v>
      </c>
      <c r="Y2" s="184" t="s">
        <v>547</v>
      </c>
      <c r="Z2" s="184" t="s">
        <v>548</v>
      </c>
      <c r="AA2" s="186" t="s">
        <v>75</v>
      </c>
      <c r="AB2" s="171" t="s">
        <v>559</v>
      </c>
      <c r="AC2" s="186" t="s">
        <v>560</v>
      </c>
      <c r="AD2" s="177" t="s">
        <v>561</v>
      </c>
      <c r="AE2" s="187" t="s">
        <v>409</v>
      </c>
      <c r="AF2" s="188" t="s">
        <v>562</v>
      </c>
      <c r="AG2" s="188" t="s">
        <v>563</v>
      </c>
      <c r="AH2" s="189" t="s">
        <v>18</v>
      </c>
      <c r="AI2" s="190"/>
      <c r="AJ2" s="190"/>
      <c r="AK2" s="190"/>
    </row>
    <row r="3" ht="15.75" customHeight="1">
      <c r="A3" s="191">
        <v>2018.0</v>
      </c>
      <c r="B3" s="174" t="s">
        <v>412</v>
      </c>
      <c r="C3" s="192"/>
      <c r="D3" s="193"/>
      <c r="E3" s="194"/>
      <c r="F3" s="194"/>
      <c r="G3" s="194"/>
      <c r="H3" s="194"/>
      <c r="I3" s="194"/>
      <c r="J3" s="194"/>
      <c r="K3" s="192"/>
      <c r="L3" s="192"/>
      <c r="M3" s="194"/>
      <c r="N3" s="194"/>
      <c r="O3" s="194"/>
      <c r="P3" s="193"/>
      <c r="Q3" s="194"/>
      <c r="R3" s="194"/>
      <c r="S3" s="195"/>
      <c r="T3" s="196">
        <v>0.0</v>
      </c>
      <c r="U3" s="192" t="str">
        <f t="shared" ref="U3:U101" si="1">IF(SUM(C3:D3)=0,"",SUM(C3:D3))</f>
        <v/>
      </c>
      <c r="V3" s="194" t="str">
        <f t="shared" ref="V3:V101" si="2">IF(SUM(E3:J3)=0,"",SUM(E3:J3))</f>
        <v/>
      </c>
      <c r="W3" s="194" t="str">
        <f t="shared" ref="W3:W74" si="3">IF(SUM(K3)=0,"",SUM(K3))</f>
        <v/>
      </c>
      <c r="X3" s="194" t="str">
        <f t="shared" ref="X3:X101" si="4">IF(SUM(L3:P3)=0,"",SUM(L3:P3))</f>
        <v/>
      </c>
      <c r="Y3" s="194" t="str">
        <f t="shared" ref="Y3:Y101" si="5">IF(SUM(Q3:R3)=0,"",SUM(Q3:R3))</f>
        <v/>
      </c>
      <c r="Z3" s="194" t="str">
        <f t="shared" ref="Z3:Z101" si="6">IF(SUM(S3)=0,"",SUM(S3))</f>
        <v/>
      </c>
      <c r="AA3" s="193">
        <f t="shared" ref="AA3:AA48" si="7">T3</f>
        <v>0</v>
      </c>
      <c r="AB3" s="197" t="str">
        <f>IF(SUM(C3,J3)=0,"",SUM(C3,J3))</f>
        <v/>
      </c>
      <c r="AC3" s="197" t="str">
        <f t="shared" ref="AC3:AC113" si="8">IF(SUM(U3:X3)=0,"",SUM(U3:X3))</f>
        <v/>
      </c>
      <c r="AD3" s="197" t="str">
        <f t="shared" ref="AD3:AD101" si="9">IF(SUM(U3:AA3)=0,"",SUM(U3:AA3))</f>
        <v/>
      </c>
      <c r="AE3" s="198"/>
      <c r="AF3" s="199"/>
      <c r="AG3" s="199"/>
      <c r="AH3" s="200"/>
      <c r="AI3" s="174"/>
      <c r="AJ3" s="174"/>
      <c r="AK3" s="174"/>
    </row>
    <row r="4" ht="15.75" customHeight="1">
      <c r="B4" s="201">
        <v>43405.0</v>
      </c>
      <c r="C4" s="192">
        <v>11006.0</v>
      </c>
      <c r="D4" s="193"/>
      <c r="E4" s="194"/>
      <c r="F4" s="194"/>
      <c r="G4" s="194"/>
      <c r="H4" s="194"/>
      <c r="I4" s="194"/>
      <c r="J4" s="194"/>
      <c r="K4" s="192">
        <v>3063.0</v>
      </c>
      <c r="L4" s="192"/>
      <c r="M4" s="194"/>
      <c r="N4" s="194"/>
      <c r="O4" s="194"/>
      <c r="P4" s="193"/>
      <c r="Q4" s="194"/>
      <c r="R4" s="194"/>
      <c r="S4" s="195"/>
      <c r="T4" s="196">
        <v>0.0</v>
      </c>
      <c r="U4" s="192">
        <f t="shared" si="1"/>
        <v>11006</v>
      </c>
      <c r="V4" s="194" t="str">
        <f t="shared" si="2"/>
        <v/>
      </c>
      <c r="W4" s="194">
        <f t="shared" si="3"/>
        <v>3063</v>
      </c>
      <c r="X4" s="194" t="str">
        <f t="shared" si="4"/>
        <v/>
      </c>
      <c r="Y4" s="194" t="str">
        <f t="shared" si="5"/>
        <v/>
      </c>
      <c r="Z4" s="194" t="str">
        <f t="shared" si="6"/>
        <v/>
      </c>
      <c r="AA4" s="193">
        <f t="shared" si="7"/>
        <v>0</v>
      </c>
      <c r="AB4" s="197">
        <f t="shared" ref="AB4:AB65" si="10">IF(SUM(U4,V4)=0,"",SUM(U4,V4))</f>
        <v>11006</v>
      </c>
      <c r="AC4" s="197">
        <f t="shared" si="8"/>
        <v>14069</v>
      </c>
      <c r="AD4" s="197">
        <f t="shared" si="9"/>
        <v>14069</v>
      </c>
      <c r="AE4" s="190"/>
      <c r="AF4" s="202"/>
      <c r="AG4" s="202"/>
      <c r="AH4" s="203"/>
      <c r="AI4" s="174"/>
      <c r="AJ4" s="174"/>
      <c r="AK4" s="174"/>
    </row>
    <row r="5" ht="15.75" customHeight="1">
      <c r="B5" s="201">
        <v>43435.0</v>
      </c>
      <c r="C5" s="192">
        <v>18307.0</v>
      </c>
      <c r="D5" s="193"/>
      <c r="E5" s="204"/>
      <c r="F5" s="204"/>
      <c r="G5" s="204"/>
      <c r="H5" s="204"/>
      <c r="I5" s="204"/>
      <c r="J5" s="204"/>
      <c r="K5" s="192">
        <v>5157.0</v>
      </c>
      <c r="L5" s="192"/>
      <c r="M5" s="194"/>
      <c r="N5" s="194"/>
      <c r="O5" s="194"/>
      <c r="P5" s="193"/>
      <c r="Q5" s="194"/>
      <c r="R5" s="194"/>
      <c r="S5" s="195"/>
      <c r="T5" s="196">
        <v>0.0</v>
      </c>
      <c r="U5" s="192">
        <f t="shared" si="1"/>
        <v>18307</v>
      </c>
      <c r="V5" s="194" t="str">
        <f t="shared" si="2"/>
        <v/>
      </c>
      <c r="W5" s="194">
        <f t="shared" si="3"/>
        <v>5157</v>
      </c>
      <c r="X5" s="194" t="str">
        <f t="shared" si="4"/>
        <v/>
      </c>
      <c r="Y5" s="194" t="str">
        <f t="shared" si="5"/>
        <v/>
      </c>
      <c r="Z5" s="194" t="str">
        <f t="shared" si="6"/>
        <v/>
      </c>
      <c r="AA5" s="193">
        <f t="shared" si="7"/>
        <v>0</v>
      </c>
      <c r="AB5" s="205">
        <f t="shared" si="10"/>
        <v>18307</v>
      </c>
      <c r="AC5" s="197">
        <f t="shared" si="8"/>
        <v>23464</v>
      </c>
      <c r="AD5" s="197">
        <f t="shared" si="9"/>
        <v>23464</v>
      </c>
      <c r="AE5" s="206"/>
      <c r="AF5" s="207"/>
      <c r="AG5" s="207"/>
      <c r="AH5" s="208"/>
      <c r="AI5" s="174"/>
      <c r="AJ5" s="174"/>
      <c r="AK5" s="174"/>
    </row>
    <row r="6" ht="15.75" customHeight="1">
      <c r="A6" s="209">
        <v>2019.0</v>
      </c>
      <c r="B6" s="210">
        <v>43466.0</v>
      </c>
      <c r="C6" s="211">
        <v>12430.0</v>
      </c>
      <c r="D6" s="212"/>
      <c r="E6" s="192"/>
      <c r="F6" s="194"/>
      <c r="G6" s="194"/>
      <c r="H6" s="194"/>
      <c r="I6" s="194"/>
      <c r="J6" s="194"/>
      <c r="K6" s="211">
        <v>5811.0</v>
      </c>
      <c r="L6" s="211"/>
      <c r="M6" s="213"/>
      <c r="N6" s="213"/>
      <c r="O6" s="213"/>
      <c r="P6" s="212"/>
      <c r="Q6" s="213"/>
      <c r="R6" s="213"/>
      <c r="S6" s="214"/>
      <c r="T6" s="215">
        <v>0.0</v>
      </c>
      <c r="U6" s="211">
        <f t="shared" si="1"/>
        <v>12430</v>
      </c>
      <c r="V6" s="213" t="str">
        <f t="shared" si="2"/>
        <v/>
      </c>
      <c r="W6" s="213">
        <f t="shared" si="3"/>
        <v>5811</v>
      </c>
      <c r="X6" s="213" t="str">
        <f t="shared" si="4"/>
        <v/>
      </c>
      <c r="Y6" s="213" t="str">
        <f t="shared" si="5"/>
        <v/>
      </c>
      <c r="Z6" s="213" t="str">
        <f t="shared" si="6"/>
        <v/>
      </c>
      <c r="AA6" s="212">
        <f t="shared" si="7"/>
        <v>0</v>
      </c>
      <c r="AB6" s="197">
        <f t="shared" si="10"/>
        <v>12430</v>
      </c>
      <c r="AC6" s="216">
        <f t="shared" si="8"/>
        <v>18241</v>
      </c>
      <c r="AD6" s="217">
        <f t="shared" si="9"/>
        <v>18241</v>
      </c>
      <c r="AE6" s="198" t="s">
        <v>382</v>
      </c>
      <c r="AF6" s="199">
        <f>SUM(U6:U17)</f>
        <v>205269</v>
      </c>
      <c r="AG6" s="199">
        <f>AF6/(12-COUNTBLANK(AD6:AD17))</f>
        <v>17105.75</v>
      </c>
      <c r="AH6" s="200"/>
      <c r="AI6" s="174"/>
      <c r="AJ6" s="174"/>
      <c r="AK6" s="174"/>
    </row>
    <row r="7" ht="15.75" customHeight="1">
      <c r="A7" s="91"/>
      <c r="B7" s="201">
        <v>43497.0</v>
      </c>
      <c r="C7" s="192">
        <v>15332.0</v>
      </c>
      <c r="D7" s="193"/>
      <c r="E7" s="192"/>
      <c r="F7" s="194"/>
      <c r="G7" s="194"/>
      <c r="H7" s="194"/>
      <c r="I7" s="194"/>
      <c r="J7" s="194"/>
      <c r="K7" s="192">
        <v>5856.0</v>
      </c>
      <c r="L7" s="192"/>
      <c r="M7" s="194"/>
      <c r="N7" s="194"/>
      <c r="O7" s="194"/>
      <c r="P7" s="193"/>
      <c r="Q7" s="194"/>
      <c r="R7" s="194"/>
      <c r="S7" s="195"/>
      <c r="T7" s="196">
        <v>0.0</v>
      </c>
      <c r="U7" s="192">
        <f t="shared" si="1"/>
        <v>15332</v>
      </c>
      <c r="V7" s="194" t="str">
        <f t="shared" si="2"/>
        <v/>
      </c>
      <c r="W7" s="194">
        <f t="shared" si="3"/>
        <v>5856</v>
      </c>
      <c r="X7" s="194" t="str">
        <f t="shared" si="4"/>
        <v/>
      </c>
      <c r="Y7" s="194" t="str">
        <f t="shared" si="5"/>
        <v/>
      </c>
      <c r="Z7" s="194" t="str">
        <f t="shared" si="6"/>
        <v/>
      </c>
      <c r="AA7" s="193">
        <f t="shared" si="7"/>
        <v>0</v>
      </c>
      <c r="AB7" s="197">
        <f t="shared" si="10"/>
        <v>15332</v>
      </c>
      <c r="AC7" s="218">
        <f t="shared" si="8"/>
        <v>21188</v>
      </c>
      <c r="AD7" s="197">
        <f t="shared" si="9"/>
        <v>21188</v>
      </c>
      <c r="AE7" s="219" t="s">
        <v>380</v>
      </c>
      <c r="AF7" s="202">
        <f>SUM(V6:V17)</f>
        <v>0</v>
      </c>
      <c r="AG7" s="202">
        <f>AF7/(12-COUNTBLANK(AD6:AD17))</f>
        <v>0</v>
      </c>
      <c r="AH7" s="203"/>
      <c r="AI7" s="174"/>
      <c r="AJ7" s="174"/>
      <c r="AK7" s="174"/>
    </row>
    <row r="8" ht="15.75" customHeight="1">
      <c r="A8" s="91"/>
      <c r="B8" s="201">
        <v>43525.0</v>
      </c>
      <c r="C8" s="192">
        <v>15090.0</v>
      </c>
      <c r="D8" s="193"/>
      <c r="E8" s="192"/>
      <c r="F8" s="194"/>
      <c r="G8" s="194"/>
      <c r="H8" s="194"/>
      <c r="I8" s="194"/>
      <c r="J8" s="194"/>
      <c r="K8" s="192">
        <v>6989.0</v>
      </c>
      <c r="L8" s="192"/>
      <c r="M8" s="194"/>
      <c r="N8" s="194"/>
      <c r="O8" s="194"/>
      <c r="P8" s="193"/>
      <c r="Q8" s="194"/>
      <c r="R8" s="194"/>
      <c r="S8" s="195"/>
      <c r="T8" s="196">
        <v>0.0</v>
      </c>
      <c r="U8" s="192">
        <f t="shared" si="1"/>
        <v>15090</v>
      </c>
      <c r="V8" s="194" t="str">
        <f t="shared" si="2"/>
        <v/>
      </c>
      <c r="W8" s="194">
        <f t="shared" si="3"/>
        <v>6989</v>
      </c>
      <c r="X8" s="194" t="str">
        <f t="shared" si="4"/>
        <v/>
      </c>
      <c r="Y8" s="194" t="str">
        <f t="shared" si="5"/>
        <v/>
      </c>
      <c r="Z8" s="194" t="str">
        <f t="shared" si="6"/>
        <v/>
      </c>
      <c r="AA8" s="193">
        <f t="shared" si="7"/>
        <v>0</v>
      </c>
      <c r="AB8" s="197">
        <f t="shared" si="10"/>
        <v>15090</v>
      </c>
      <c r="AC8" s="218">
        <f t="shared" si="8"/>
        <v>22079</v>
      </c>
      <c r="AD8" s="197">
        <f t="shared" si="9"/>
        <v>22079</v>
      </c>
      <c r="AE8" s="219" t="s">
        <v>546</v>
      </c>
      <c r="AF8" s="220">
        <f>SUM(W6:W17)</f>
        <v>83795</v>
      </c>
      <c r="AG8" s="220">
        <f>AF8/(12-COUNTBLANK(AD6:AD17))</f>
        <v>6982.916667</v>
      </c>
      <c r="AH8" s="203"/>
      <c r="AI8" s="174"/>
      <c r="AJ8" s="174"/>
      <c r="AK8" s="174"/>
    </row>
    <row r="9" ht="15.75" customHeight="1">
      <c r="A9" s="91"/>
      <c r="B9" s="201">
        <v>43556.0</v>
      </c>
      <c r="C9" s="192">
        <v>12399.0</v>
      </c>
      <c r="D9" s="193"/>
      <c r="E9" s="192"/>
      <c r="F9" s="194"/>
      <c r="G9" s="194"/>
      <c r="H9" s="194"/>
      <c r="I9" s="194"/>
      <c r="J9" s="194"/>
      <c r="K9" s="192">
        <v>6989.0</v>
      </c>
      <c r="L9" s="192"/>
      <c r="M9" s="194"/>
      <c r="N9" s="194"/>
      <c r="O9" s="194"/>
      <c r="P9" s="193"/>
      <c r="Q9" s="194"/>
      <c r="R9" s="194"/>
      <c r="S9" s="195"/>
      <c r="T9" s="196">
        <v>0.0</v>
      </c>
      <c r="U9" s="192">
        <f t="shared" si="1"/>
        <v>12399</v>
      </c>
      <c r="V9" s="194" t="str">
        <f t="shared" si="2"/>
        <v/>
      </c>
      <c r="W9" s="194">
        <f t="shared" si="3"/>
        <v>6989</v>
      </c>
      <c r="X9" s="194" t="str">
        <f t="shared" si="4"/>
        <v/>
      </c>
      <c r="Y9" s="194" t="str">
        <f t="shared" si="5"/>
        <v/>
      </c>
      <c r="Z9" s="194" t="str">
        <f t="shared" si="6"/>
        <v/>
      </c>
      <c r="AA9" s="193">
        <f t="shared" si="7"/>
        <v>0</v>
      </c>
      <c r="AB9" s="197">
        <f t="shared" si="10"/>
        <v>12399</v>
      </c>
      <c r="AC9" s="218">
        <f t="shared" si="8"/>
        <v>19388</v>
      </c>
      <c r="AD9" s="197">
        <f t="shared" si="9"/>
        <v>19388</v>
      </c>
      <c r="AE9" s="219" t="s">
        <v>564</v>
      </c>
      <c r="AF9" s="220">
        <f>SUM(X6:X17)</f>
        <v>0</v>
      </c>
      <c r="AG9" s="220">
        <f>AF9/(12-COUNTBLANK(AD6:AD17))</f>
        <v>0</v>
      </c>
      <c r="AH9" s="203"/>
      <c r="AI9" s="174"/>
      <c r="AJ9" s="174"/>
      <c r="AK9" s="174"/>
    </row>
    <row r="10" ht="15.75" customHeight="1">
      <c r="A10" s="91"/>
      <c r="B10" s="201">
        <v>43586.0</v>
      </c>
      <c r="C10" s="192">
        <v>31182.0</v>
      </c>
      <c r="D10" s="193"/>
      <c r="E10" s="192"/>
      <c r="F10" s="194"/>
      <c r="G10" s="194"/>
      <c r="H10" s="194"/>
      <c r="I10" s="194"/>
      <c r="J10" s="194"/>
      <c r="K10" s="192">
        <v>6989.0</v>
      </c>
      <c r="L10" s="192"/>
      <c r="M10" s="194"/>
      <c r="N10" s="194"/>
      <c r="O10" s="194"/>
      <c r="P10" s="193"/>
      <c r="Q10" s="194"/>
      <c r="R10" s="194"/>
      <c r="S10" s="195"/>
      <c r="T10" s="196">
        <v>0.0</v>
      </c>
      <c r="U10" s="192">
        <f t="shared" si="1"/>
        <v>31182</v>
      </c>
      <c r="V10" s="194" t="str">
        <f t="shared" si="2"/>
        <v/>
      </c>
      <c r="W10" s="194">
        <f t="shared" si="3"/>
        <v>6989</v>
      </c>
      <c r="X10" s="194" t="str">
        <f t="shared" si="4"/>
        <v/>
      </c>
      <c r="Y10" s="194" t="str">
        <f t="shared" si="5"/>
        <v/>
      </c>
      <c r="Z10" s="194" t="str">
        <f t="shared" si="6"/>
        <v/>
      </c>
      <c r="AA10" s="193">
        <f t="shared" si="7"/>
        <v>0</v>
      </c>
      <c r="AB10" s="197">
        <f t="shared" si="10"/>
        <v>31182</v>
      </c>
      <c r="AC10" s="218">
        <f t="shared" si="8"/>
        <v>38171</v>
      </c>
      <c r="AD10" s="197">
        <f t="shared" si="9"/>
        <v>38171</v>
      </c>
      <c r="AE10" s="219" t="s">
        <v>547</v>
      </c>
      <c r="AF10" s="220">
        <f>SUM(Y6:Y17)</f>
        <v>0</v>
      </c>
      <c r="AG10" s="220">
        <f>AF10/(12-COUNTBLANK(AD6:AD17))</f>
        <v>0</v>
      </c>
      <c r="AH10" s="221" t="s">
        <v>565</v>
      </c>
      <c r="AI10" s="174"/>
      <c r="AJ10" s="174"/>
      <c r="AK10" s="174"/>
    </row>
    <row r="11" ht="15.75" customHeight="1">
      <c r="A11" s="91"/>
      <c r="B11" s="201">
        <v>43617.0</v>
      </c>
      <c r="C11" s="192">
        <v>18093.0</v>
      </c>
      <c r="D11" s="193"/>
      <c r="E11" s="192"/>
      <c r="F11" s="194"/>
      <c r="G11" s="194"/>
      <c r="H11" s="194"/>
      <c r="I11" s="194"/>
      <c r="J11" s="194"/>
      <c r="K11" s="192">
        <v>6989.0</v>
      </c>
      <c r="L11" s="192"/>
      <c r="M11" s="194"/>
      <c r="N11" s="194"/>
      <c r="O11" s="194"/>
      <c r="P11" s="193"/>
      <c r="Q11" s="194"/>
      <c r="R11" s="194"/>
      <c r="S11" s="195"/>
      <c r="T11" s="196">
        <v>0.0</v>
      </c>
      <c r="U11" s="192">
        <f t="shared" si="1"/>
        <v>18093</v>
      </c>
      <c r="V11" s="194" t="str">
        <f t="shared" si="2"/>
        <v/>
      </c>
      <c r="W11" s="194">
        <f t="shared" si="3"/>
        <v>6989</v>
      </c>
      <c r="X11" s="194" t="str">
        <f t="shared" si="4"/>
        <v/>
      </c>
      <c r="Y11" s="194" t="str">
        <f t="shared" si="5"/>
        <v/>
      </c>
      <c r="Z11" s="194" t="str">
        <f t="shared" si="6"/>
        <v/>
      </c>
      <c r="AA11" s="193">
        <f t="shared" si="7"/>
        <v>0</v>
      </c>
      <c r="AB11" s="197">
        <f t="shared" si="10"/>
        <v>18093</v>
      </c>
      <c r="AC11" s="218">
        <f t="shared" si="8"/>
        <v>25082</v>
      </c>
      <c r="AD11" s="197">
        <f t="shared" si="9"/>
        <v>25082</v>
      </c>
      <c r="AE11" s="219" t="s">
        <v>548</v>
      </c>
      <c r="AF11" s="202">
        <f>SUM(Z6:Z17)</f>
        <v>0</v>
      </c>
      <c r="AG11" s="202">
        <f>AF11/(12-COUNTBLANK(AD6:AD17))</f>
        <v>0</v>
      </c>
      <c r="AH11" s="221"/>
      <c r="AI11" s="174"/>
      <c r="AJ11" s="174"/>
      <c r="AK11" s="174"/>
    </row>
    <row r="12" ht="15.75" customHeight="1">
      <c r="A12" s="91"/>
      <c r="B12" s="201">
        <v>43647.0</v>
      </c>
      <c r="C12" s="192">
        <v>14090.0</v>
      </c>
      <c r="D12" s="193"/>
      <c r="E12" s="192"/>
      <c r="F12" s="194"/>
      <c r="G12" s="194"/>
      <c r="H12" s="194"/>
      <c r="I12" s="194"/>
      <c r="J12" s="194"/>
      <c r="K12" s="192">
        <v>6989.0</v>
      </c>
      <c r="L12" s="192"/>
      <c r="M12" s="194"/>
      <c r="N12" s="194"/>
      <c r="O12" s="194"/>
      <c r="P12" s="193"/>
      <c r="Q12" s="194"/>
      <c r="R12" s="194"/>
      <c r="S12" s="195"/>
      <c r="T12" s="196">
        <v>0.0</v>
      </c>
      <c r="U12" s="192">
        <f t="shared" si="1"/>
        <v>14090</v>
      </c>
      <c r="V12" s="194" t="str">
        <f t="shared" si="2"/>
        <v/>
      </c>
      <c r="W12" s="194">
        <f t="shared" si="3"/>
        <v>6989</v>
      </c>
      <c r="X12" s="194" t="str">
        <f t="shared" si="4"/>
        <v/>
      </c>
      <c r="Y12" s="194" t="str">
        <f t="shared" si="5"/>
        <v/>
      </c>
      <c r="Z12" s="194" t="str">
        <f t="shared" si="6"/>
        <v/>
      </c>
      <c r="AA12" s="193">
        <f t="shared" si="7"/>
        <v>0</v>
      </c>
      <c r="AB12" s="197">
        <f t="shared" si="10"/>
        <v>14090</v>
      </c>
      <c r="AC12" s="218">
        <f t="shared" si="8"/>
        <v>21079</v>
      </c>
      <c r="AD12" s="197">
        <f t="shared" si="9"/>
        <v>21079</v>
      </c>
      <c r="AE12" s="219" t="s">
        <v>75</v>
      </c>
      <c r="AF12" s="202">
        <f>SUM(AA6:AA17)</f>
        <v>13660</v>
      </c>
      <c r="AG12" s="202">
        <f>AF12/(12-COUNTBLANK(AD6:AD17))</f>
        <v>1138.333333</v>
      </c>
      <c r="AH12" s="221"/>
      <c r="AI12" s="174"/>
      <c r="AJ12" s="174"/>
      <c r="AK12" s="174"/>
    </row>
    <row r="13" ht="15.75" customHeight="1">
      <c r="A13" s="91"/>
      <c r="B13" s="201">
        <v>43678.0</v>
      </c>
      <c r="C13" s="192">
        <v>19685.0</v>
      </c>
      <c r="D13" s="193"/>
      <c r="E13" s="192"/>
      <c r="F13" s="194"/>
      <c r="G13" s="194"/>
      <c r="H13" s="194"/>
      <c r="I13" s="194"/>
      <c r="J13" s="194"/>
      <c r="K13" s="192">
        <v>6989.0</v>
      </c>
      <c r="L13" s="192"/>
      <c r="M13" s="194"/>
      <c r="N13" s="194"/>
      <c r="O13" s="194"/>
      <c r="P13" s="193"/>
      <c r="Q13" s="194"/>
      <c r="R13" s="194"/>
      <c r="S13" s="195"/>
      <c r="T13" s="196">
        <v>0.0</v>
      </c>
      <c r="U13" s="192">
        <f t="shared" si="1"/>
        <v>19685</v>
      </c>
      <c r="V13" s="194" t="str">
        <f t="shared" si="2"/>
        <v/>
      </c>
      <c r="W13" s="194">
        <f t="shared" si="3"/>
        <v>6989</v>
      </c>
      <c r="X13" s="194" t="str">
        <f t="shared" si="4"/>
        <v/>
      </c>
      <c r="Y13" s="194" t="str">
        <f t="shared" si="5"/>
        <v/>
      </c>
      <c r="Z13" s="194" t="str">
        <f t="shared" si="6"/>
        <v/>
      </c>
      <c r="AA13" s="193">
        <f t="shared" si="7"/>
        <v>0</v>
      </c>
      <c r="AB13" s="197">
        <f t="shared" si="10"/>
        <v>19685</v>
      </c>
      <c r="AC13" s="218">
        <f t="shared" si="8"/>
        <v>26674</v>
      </c>
      <c r="AD13" s="197">
        <f t="shared" si="9"/>
        <v>26674</v>
      </c>
      <c r="AE13" s="219" t="s">
        <v>566</v>
      </c>
      <c r="AF13" s="202">
        <f>SUM(AD6:AD17)</f>
        <v>302724</v>
      </c>
      <c r="AG13" s="202">
        <f>AF13/(12-COUNTBLANK(AD6:AD17))</f>
        <v>25227</v>
      </c>
      <c r="AH13" s="221"/>
      <c r="AI13" s="174"/>
      <c r="AJ13" s="174"/>
      <c r="AK13" s="174"/>
    </row>
    <row r="14" ht="15.75" customHeight="1">
      <c r="A14" s="91"/>
      <c r="B14" s="201">
        <v>43709.0</v>
      </c>
      <c r="C14" s="192">
        <v>22359.0</v>
      </c>
      <c r="D14" s="193"/>
      <c r="E14" s="192"/>
      <c r="F14" s="194"/>
      <c r="G14" s="194"/>
      <c r="H14" s="194"/>
      <c r="I14" s="194"/>
      <c r="J14" s="194"/>
      <c r="K14" s="192">
        <v>7537.0</v>
      </c>
      <c r="L14" s="192"/>
      <c r="M14" s="194"/>
      <c r="N14" s="194"/>
      <c r="O14" s="194"/>
      <c r="P14" s="193"/>
      <c r="Q14" s="194"/>
      <c r="R14" s="194"/>
      <c r="S14" s="195"/>
      <c r="T14" s="196">
        <v>0.0</v>
      </c>
      <c r="U14" s="192">
        <f t="shared" si="1"/>
        <v>22359</v>
      </c>
      <c r="V14" s="194" t="str">
        <f t="shared" si="2"/>
        <v/>
      </c>
      <c r="W14" s="194">
        <f t="shared" si="3"/>
        <v>7537</v>
      </c>
      <c r="X14" s="194" t="str">
        <f t="shared" si="4"/>
        <v/>
      </c>
      <c r="Y14" s="194" t="str">
        <f t="shared" si="5"/>
        <v/>
      </c>
      <c r="Z14" s="194" t="str">
        <f t="shared" si="6"/>
        <v/>
      </c>
      <c r="AA14" s="193">
        <f t="shared" si="7"/>
        <v>0</v>
      </c>
      <c r="AB14" s="197">
        <f t="shared" si="10"/>
        <v>22359</v>
      </c>
      <c r="AC14" s="218">
        <f t="shared" si="8"/>
        <v>29896</v>
      </c>
      <c r="AD14" s="197">
        <f t="shared" si="9"/>
        <v>29896</v>
      </c>
      <c r="AE14" s="190"/>
      <c r="AF14" s="202"/>
      <c r="AG14" s="202"/>
      <c r="AH14" s="221"/>
      <c r="AI14" s="174"/>
      <c r="AJ14" s="174"/>
      <c r="AK14" s="174"/>
    </row>
    <row r="15" ht="15.75" customHeight="1">
      <c r="A15" s="91"/>
      <c r="B15" s="201">
        <v>43739.0</v>
      </c>
      <c r="C15" s="192">
        <v>16348.0</v>
      </c>
      <c r="D15" s="193"/>
      <c r="E15" s="192"/>
      <c r="F15" s="194"/>
      <c r="G15" s="194"/>
      <c r="H15" s="194"/>
      <c r="I15" s="194"/>
      <c r="J15" s="194"/>
      <c r="K15" s="192">
        <v>7537.0</v>
      </c>
      <c r="L15" s="192"/>
      <c r="M15" s="194"/>
      <c r="N15" s="194"/>
      <c r="O15" s="194"/>
      <c r="P15" s="193"/>
      <c r="Q15" s="194"/>
      <c r="R15" s="194"/>
      <c r="S15" s="195"/>
      <c r="T15" s="196">
        <v>0.0</v>
      </c>
      <c r="U15" s="192">
        <f t="shared" si="1"/>
        <v>16348</v>
      </c>
      <c r="V15" s="194" t="str">
        <f t="shared" si="2"/>
        <v/>
      </c>
      <c r="W15" s="194">
        <f t="shared" si="3"/>
        <v>7537</v>
      </c>
      <c r="X15" s="194" t="str">
        <f t="shared" si="4"/>
        <v/>
      </c>
      <c r="Y15" s="194" t="str">
        <f t="shared" si="5"/>
        <v/>
      </c>
      <c r="Z15" s="194" t="str">
        <f t="shared" si="6"/>
        <v/>
      </c>
      <c r="AA15" s="193">
        <f t="shared" si="7"/>
        <v>0</v>
      </c>
      <c r="AB15" s="197">
        <f t="shared" si="10"/>
        <v>16348</v>
      </c>
      <c r="AC15" s="218">
        <f t="shared" si="8"/>
        <v>23885</v>
      </c>
      <c r="AD15" s="197">
        <f t="shared" si="9"/>
        <v>23885</v>
      </c>
      <c r="AE15" s="190"/>
      <c r="AF15" s="202"/>
      <c r="AG15" s="202"/>
      <c r="AH15" s="221"/>
      <c r="AI15" s="174"/>
      <c r="AJ15" s="174"/>
      <c r="AK15" s="174"/>
    </row>
    <row r="16" ht="15.75" customHeight="1">
      <c r="A16" s="91"/>
      <c r="B16" s="201">
        <v>43770.0</v>
      </c>
      <c r="C16" s="192">
        <v>12399.0</v>
      </c>
      <c r="D16" s="193"/>
      <c r="E16" s="192"/>
      <c r="F16" s="194"/>
      <c r="G16" s="194"/>
      <c r="H16" s="194"/>
      <c r="I16" s="194"/>
      <c r="J16" s="194"/>
      <c r="K16" s="192">
        <v>7546.0</v>
      </c>
      <c r="L16" s="192"/>
      <c r="M16" s="194"/>
      <c r="N16" s="194"/>
      <c r="O16" s="194"/>
      <c r="P16" s="193"/>
      <c r="Q16" s="194"/>
      <c r="R16" s="194"/>
      <c r="S16" s="195"/>
      <c r="T16" s="193">
        <v>6978.0</v>
      </c>
      <c r="U16" s="192">
        <f t="shared" si="1"/>
        <v>12399</v>
      </c>
      <c r="V16" s="194" t="str">
        <f t="shared" si="2"/>
        <v/>
      </c>
      <c r="W16" s="194">
        <f t="shared" si="3"/>
        <v>7546</v>
      </c>
      <c r="X16" s="194" t="str">
        <f t="shared" si="4"/>
        <v/>
      </c>
      <c r="Y16" s="194" t="str">
        <f t="shared" si="5"/>
        <v/>
      </c>
      <c r="Z16" s="194" t="str">
        <f t="shared" si="6"/>
        <v/>
      </c>
      <c r="AA16" s="193">
        <f t="shared" si="7"/>
        <v>6978</v>
      </c>
      <c r="AB16" s="197">
        <f t="shared" si="10"/>
        <v>12399</v>
      </c>
      <c r="AC16" s="218">
        <f t="shared" si="8"/>
        <v>19945</v>
      </c>
      <c r="AD16" s="197">
        <f t="shared" si="9"/>
        <v>26923</v>
      </c>
      <c r="AE16" s="190"/>
      <c r="AF16" s="202"/>
      <c r="AG16" s="202"/>
      <c r="AH16" s="221" t="s">
        <v>567</v>
      </c>
      <c r="AI16" s="174"/>
      <c r="AJ16" s="174"/>
      <c r="AK16" s="174"/>
    </row>
    <row r="17" ht="15.75" customHeight="1">
      <c r="A17" s="96"/>
      <c r="B17" s="222">
        <v>43800.0</v>
      </c>
      <c r="C17" s="223">
        <v>15862.0</v>
      </c>
      <c r="D17" s="224"/>
      <c r="E17" s="223"/>
      <c r="F17" s="204"/>
      <c r="G17" s="204"/>
      <c r="H17" s="204"/>
      <c r="I17" s="204"/>
      <c r="J17" s="204"/>
      <c r="K17" s="223">
        <v>7574.0</v>
      </c>
      <c r="L17" s="223"/>
      <c r="M17" s="204"/>
      <c r="N17" s="204"/>
      <c r="O17" s="204"/>
      <c r="P17" s="224"/>
      <c r="Q17" s="204"/>
      <c r="R17" s="204"/>
      <c r="S17" s="225"/>
      <c r="T17" s="224">
        <v>6682.0</v>
      </c>
      <c r="U17" s="223">
        <f t="shared" si="1"/>
        <v>15862</v>
      </c>
      <c r="V17" s="204" t="str">
        <f t="shared" si="2"/>
        <v/>
      </c>
      <c r="W17" s="204">
        <f t="shared" si="3"/>
        <v>7574</v>
      </c>
      <c r="X17" s="204" t="str">
        <f t="shared" si="4"/>
        <v/>
      </c>
      <c r="Y17" s="204" t="str">
        <f t="shared" si="5"/>
        <v/>
      </c>
      <c r="Z17" s="204" t="str">
        <f t="shared" si="6"/>
        <v/>
      </c>
      <c r="AA17" s="224">
        <f t="shared" si="7"/>
        <v>6682</v>
      </c>
      <c r="AB17" s="197">
        <f t="shared" si="10"/>
        <v>15862</v>
      </c>
      <c r="AC17" s="226">
        <f t="shared" si="8"/>
        <v>23436</v>
      </c>
      <c r="AD17" s="205">
        <f t="shared" si="9"/>
        <v>30118</v>
      </c>
      <c r="AE17" s="190"/>
      <c r="AF17" s="202"/>
      <c r="AG17" s="202"/>
      <c r="AH17" s="227" t="s">
        <v>568</v>
      </c>
      <c r="AI17" s="174"/>
      <c r="AJ17" s="174"/>
      <c r="AK17" s="174"/>
    </row>
    <row r="18" ht="15.75" customHeight="1">
      <c r="A18" s="228">
        <v>2020.0</v>
      </c>
      <c r="B18" s="201">
        <v>43831.0</v>
      </c>
      <c r="C18" s="192">
        <v>20542.0</v>
      </c>
      <c r="D18" s="193"/>
      <c r="E18" s="192"/>
      <c r="F18" s="194"/>
      <c r="G18" s="194"/>
      <c r="H18" s="194"/>
      <c r="I18" s="194"/>
      <c r="J18" s="194"/>
      <c r="K18" s="192">
        <v>4208.0</v>
      </c>
      <c r="L18" s="192"/>
      <c r="M18" s="194"/>
      <c r="N18" s="194"/>
      <c r="O18" s="194"/>
      <c r="P18" s="193"/>
      <c r="Q18" s="194"/>
      <c r="R18" s="194"/>
      <c r="S18" s="195"/>
      <c r="T18" s="196">
        <v>0.0</v>
      </c>
      <c r="U18" s="192">
        <f t="shared" si="1"/>
        <v>20542</v>
      </c>
      <c r="V18" s="194" t="str">
        <f t="shared" si="2"/>
        <v/>
      </c>
      <c r="W18" s="194">
        <f t="shared" si="3"/>
        <v>4208</v>
      </c>
      <c r="X18" s="194" t="str">
        <f t="shared" si="4"/>
        <v/>
      </c>
      <c r="Y18" s="194" t="str">
        <f t="shared" si="5"/>
        <v/>
      </c>
      <c r="Z18" s="194" t="str">
        <f t="shared" si="6"/>
        <v/>
      </c>
      <c r="AA18" s="193">
        <f t="shared" si="7"/>
        <v>0</v>
      </c>
      <c r="AB18" s="216">
        <f t="shared" si="10"/>
        <v>20542</v>
      </c>
      <c r="AC18" s="197">
        <f t="shared" si="8"/>
        <v>24750</v>
      </c>
      <c r="AD18" s="197">
        <f t="shared" si="9"/>
        <v>24750</v>
      </c>
      <c r="AE18" s="198" t="s">
        <v>382</v>
      </c>
      <c r="AF18" s="199">
        <f>SUM(U18:U29)</f>
        <v>232983</v>
      </c>
      <c r="AG18" s="199">
        <f>AF18/(12-COUNTBLANK(AD18:AD29))</f>
        <v>19415.25</v>
      </c>
      <c r="AH18" s="200"/>
      <c r="AI18" s="174"/>
      <c r="AJ18" s="174"/>
      <c r="AK18" s="174"/>
    </row>
    <row r="19" ht="15.75" customHeight="1">
      <c r="B19" s="201">
        <v>43862.0</v>
      </c>
      <c r="C19" s="192">
        <v>21637.0</v>
      </c>
      <c r="D19" s="193"/>
      <c r="E19" s="192"/>
      <c r="F19" s="194"/>
      <c r="G19" s="194"/>
      <c r="H19" s="194"/>
      <c r="I19" s="194"/>
      <c r="J19" s="194"/>
      <c r="K19" s="192">
        <v>4208.0</v>
      </c>
      <c r="L19" s="192"/>
      <c r="M19" s="194"/>
      <c r="N19" s="194"/>
      <c r="O19" s="194"/>
      <c r="P19" s="193"/>
      <c r="Q19" s="194"/>
      <c r="R19" s="194"/>
      <c r="S19" s="195"/>
      <c r="T19" s="196">
        <v>0.0</v>
      </c>
      <c r="U19" s="192">
        <f t="shared" si="1"/>
        <v>21637</v>
      </c>
      <c r="V19" s="194" t="str">
        <f t="shared" si="2"/>
        <v/>
      </c>
      <c r="W19" s="194">
        <f t="shared" si="3"/>
        <v>4208</v>
      </c>
      <c r="X19" s="194" t="str">
        <f t="shared" si="4"/>
        <v/>
      </c>
      <c r="Y19" s="194" t="str">
        <f t="shared" si="5"/>
        <v/>
      </c>
      <c r="Z19" s="194" t="str">
        <f t="shared" si="6"/>
        <v/>
      </c>
      <c r="AA19" s="193">
        <f t="shared" si="7"/>
        <v>0</v>
      </c>
      <c r="AB19" s="218">
        <f t="shared" si="10"/>
        <v>21637</v>
      </c>
      <c r="AC19" s="197">
        <f t="shared" si="8"/>
        <v>25845</v>
      </c>
      <c r="AD19" s="197">
        <f t="shared" si="9"/>
        <v>25845</v>
      </c>
      <c r="AE19" s="219" t="s">
        <v>380</v>
      </c>
      <c r="AF19" s="202">
        <f>SUM(V18:V29)</f>
        <v>0</v>
      </c>
      <c r="AG19" s="202">
        <f>AF19/(12-COUNTBLANK(AD18:AD29))</f>
        <v>0</v>
      </c>
      <c r="AH19" s="203"/>
      <c r="AI19" s="174"/>
      <c r="AJ19" s="174"/>
      <c r="AK19" s="174"/>
    </row>
    <row r="20" ht="15.75" customHeight="1">
      <c r="B20" s="201">
        <v>43891.0</v>
      </c>
      <c r="C20" s="192">
        <v>14066.0</v>
      </c>
      <c r="D20" s="193"/>
      <c r="E20" s="192"/>
      <c r="F20" s="194"/>
      <c r="G20" s="194"/>
      <c r="H20" s="194"/>
      <c r="I20" s="194"/>
      <c r="J20" s="194"/>
      <c r="K20" s="192">
        <v>4335.0</v>
      </c>
      <c r="L20" s="192"/>
      <c r="M20" s="194"/>
      <c r="N20" s="194"/>
      <c r="O20" s="194"/>
      <c r="P20" s="193"/>
      <c r="Q20" s="194"/>
      <c r="R20" s="194"/>
      <c r="S20" s="195"/>
      <c r="T20" s="196">
        <v>0.0</v>
      </c>
      <c r="U20" s="192">
        <f t="shared" si="1"/>
        <v>14066</v>
      </c>
      <c r="V20" s="194" t="str">
        <f t="shared" si="2"/>
        <v/>
      </c>
      <c r="W20" s="194">
        <f t="shared" si="3"/>
        <v>4335</v>
      </c>
      <c r="X20" s="194" t="str">
        <f t="shared" si="4"/>
        <v/>
      </c>
      <c r="Y20" s="194" t="str">
        <f t="shared" si="5"/>
        <v/>
      </c>
      <c r="Z20" s="194" t="str">
        <f t="shared" si="6"/>
        <v/>
      </c>
      <c r="AA20" s="193">
        <f t="shared" si="7"/>
        <v>0</v>
      </c>
      <c r="AB20" s="218">
        <f t="shared" si="10"/>
        <v>14066</v>
      </c>
      <c r="AC20" s="197">
        <f t="shared" si="8"/>
        <v>18401</v>
      </c>
      <c r="AD20" s="197">
        <f t="shared" si="9"/>
        <v>18401</v>
      </c>
      <c r="AE20" s="219" t="s">
        <v>546</v>
      </c>
      <c r="AF20" s="220">
        <f>SUM(W18:W29)</f>
        <v>44153</v>
      </c>
      <c r="AG20" s="220">
        <f>AF20/(12-COUNTBLANK(AD18:AD29))</f>
        <v>3679.416667</v>
      </c>
      <c r="AH20" s="203"/>
      <c r="AI20" s="174"/>
      <c r="AJ20" s="174"/>
      <c r="AK20" s="174"/>
    </row>
    <row r="21" ht="15.75" customHeight="1">
      <c r="B21" s="201">
        <v>43922.0</v>
      </c>
      <c r="C21" s="192">
        <v>17145.0</v>
      </c>
      <c r="D21" s="193"/>
      <c r="E21" s="192"/>
      <c r="F21" s="194"/>
      <c r="G21" s="194"/>
      <c r="H21" s="194"/>
      <c r="I21" s="194"/>
      <c r="J21" s="194"/>
      <c r="K21" s="192">
        <v>4335.0</v>
      </c>
      <c r="L21" s="192">
        <v>7500.0</v>
      </c>
      <c r="M21" s="194"/>
      <c r="N21" s="194"/>
      <c r="O21" s="194"/>
      <c r="P21" s="193"/>
      <c r="Q21" s="194"/>
      <c r="R21" s="194"/>
      <c r="S21" s="195"/>
      <c r="T21" s="196">
        <v>0.0</v>
      </c>
      <c r="U21" s="192">
        <f t="shared" si="1"/>
        <v>17145</v>
      </c>
      <c r="V21" s="194" t="str">
        <f t="shared" si="2"/>
        <v/>
      </c>
      <c r="W21" s="194">
        <f t="shared" si="3"/>
        <v>4335</v>
      </c>
      <c r="X21" s="194">
        <f t="shared" si="4"/>
        <v>7500</v>
      </c>
      <c r="Y21" s="194" t="str">
        <f t="shared" si="5"/>
        <v/>
      </c>
      <c r="Z21" s="194" t="str">
        <f t="shared" si="6"/>
        <v/>
      </c>
      <c r="AA21" s="193">
        <f t="shared" si="7"/>
        <v>0</v>
      </c>
      <c r="AB21" s="218">
        <f t="shared" si="10"/>
        <v>17145</v>
      </c>
      <c r="AC21" s="197">
        <f t="shared" si="8"/>
        <v>28980</v>
      </c>
      <c r="AD21" s="197">
        <f t="shared" si="9"/>
        <v>28980</v>
      </c>
      <c r="AE21" s="219" t="s">
        <v>564</v>
      </c>
      <c r="AF21" s="220">
        <f>SUM(X18:X29)</f>
        <v>63588</v>
      </c>
      <c r="AG21" s="220">
        <f>AF21/(12-COUNTBLANK(AD18:AD29))</f>
        <v>5299</v>
      </c>
      <c r="AH21" s="221"/>
      <c r="AI21" s="174"/>
      <c r="AJ21" s="174"/>
      <c r="AK21" s="174"/>
    </row>
    <row r="22" ht="15.75" customHeight="1">
      <c r="B22" s="201">
        <v>43952.0</v>
      </c>
      <c r="C22" s="192">
        <v>31405.0</v>
      </c>
      <c r="D22" s="193"/>
      <c r="E22" s="192"/>
      <c r="F22" s="194"/>
      <c r="G22" s="194"/>
      <c r="H22" s="194"/>
      <c r="I22" s="194"/>
      <c r="J22" s="194"/>
      <c r="K22" s="192">
        <v>0.0</v>
      </c>
      <c r="L22" s="192"/>
      <c r="M22" s="194"/>
      <c r="N22" s="194">
        <v>60.0</v>
      </c>
      <c r="O22" s="194">
        <v>297.0</v>
      </c>
      <c r="P22" s="193"/>
      <c r="Q22" s="194"/>
      <c r="R22" s="194"/>
      <c r="S22" s="195"/>
      <c r="T22" s="196">
        <v>0.0</v>
      </c>
      <c r="U22" s="192">
        <f t="shared" si="1"/>
        <v>31405</v>
      </c>
      <c r="V22" s="194" t="str">
        <f t="shared" si="2"/>
        <v/>
      </c>
      <c r="W22" s="194" t="str">
        <f t="shared" si="3"/>
        <v/>
      </c>
      <c r="X22" s="194">
        <f t="shared" si="4"/>
        <v>357</v>
      </c>
      <c r="Y22" s="194" t="str">
        <f t="shared" si="5"/>
        <v/>
      </c>
      <c r="Z22" s="194" t="str">
        <f t="shared" si="6"/>
        <v/>
      </c>
      <c r="AA22" s="193">
        <f t="shared" si="7"/>
        <v>0</v>
      </c>
      <c r="AB22" s="218">
        <f t="shared" si="10"/>
        <v>31405</v>
      </c>
      <c r="AC22" s="197">
        <f t="shared" si="8"/>
        <v>31762</v>
      </c>
      <c r="AD22" s="197">
        <f t="shared" si="9"/>
        <v>31762</v>
      </c>
      <c r="AE22" s="219" t="s">
        <v>547</v>
      </c>
      <c r="AF22" s="220">
        <f>SUM(Y18:Y29)</f>
        <v>0</v>
      </c>
      <c r="AG22" s="220">
        <f>AF22/(12-COUNTBLANK(AD18:AD29))</f>
        <v>0</v>
      </c>
      <c r="AH22" s="221"/>
      <c r="AI22" s="174"/>
      <c r="AJ22" s="174"/>
      <c r="AK22" s="174"/>
    </row>
    <row r="23" ht="15.75" customHeight="1">
      <c r="B23" s="201">
        <v>43983.0</v>
      </c>
      <c r="C23" s="192">
        <v>17164.0</v>
      </c>
      <c r="D23" s="193"/>
      <c r="E23" s="192"/>
      <c r="F23" s="194"/>
      <c r="G23" s="194"/>
      <c r="H23" s="194"/>
      <c r="I23" s="194"/>
      <c r="J23" s="194"/>
      <c r="K23" s="192">
        <v>3082.0</v>
      </c>
      <c r="L23" s="192">
        <v>7500.0</v>
      </c>
      <c r="M23" s="194"/>
      <c r="N23" s="194">
        <v>60.0</v>
      </c>
      <c r="O23" s="194">
        <v>440.0</v>
      </c>
      <c r="P23" s="193"/>
      <c r="Q23" s="194"/>
      <c r="R23" s="194"/>
      <c r="S23" s="195"/>
      <c r="T23" s="193">
        <v>26554.0</v>
      </c>
      <c r="U23" s="192">
        <f t="shared" si="1"/>
        <v>17164</v>
      </c>
      <c r="V23" s="194" t="str">
        <f t="shared" si="2"/>
        <v/>
      </c>
      <c r="W23" s="194">
        <f t="shared" si="3"/>
        <v>3082</v>
      </c>
      <c r="X23" s="194">
        <f t="shared" si="4"/>
        <v>8000</v>
      </c>
      <c r="Y23" s="194" t="str">
        <f t="shared" si="5"/>
        <v/>
      </c>
      <c r="Z23" s="194" t="str">
        <f t="shared" si="6"/>
        <v/>
      </c>
      <c r="AA23" s="193">
        <f t="shared" si="7"/>
        <v>26554</v>
      </c>
      <c r="AB23" s="218">
        <f t="shared" si="10"/>
        <v>17164</v>
      </c>
      <c r="AC23" s="197">
        <f t="shared" si="8"/>
        <v>28246</v>
      </c>
      <c r="AD23" s="197">
        <f t="shared" si="9"/>
        <v>54800</v>
      </c>
      <c r="AE23" s="219" t="s">
        <v>548</v>
      </c>
      <c r="AF23" s="202">
        <f>SUM(Z18:Z29)</f>
        <v>0</v>
      </c>
      <c r="AG23" s="202">
        <f>AF23/(12-COUNTBLANK(AD18:AD29))</f>
        <v>0</v>
      </c>
      <c r="AH23" s="221" t="s">
        <v>364</v>
      </c>
      <c r="AI23" s="174"/>
      <c r="AJ23" s="174"/>
      <c r="AK23" s="174"/>
    </row>
    <row r="24" ht="15.75" customHeight="1">
      <c r="B24" s="201">
        <v>44013.0</v>
      </c>
      <c r="C24" s="192">
        <v>15874.0</v>
      </c>
      <c r="D24" s="193"/>
      <c r="E24" s="192"/>
      <c r="F24" s="194"/>
      <c r="G24" s="194"/>
      <c r="H24" s="194"/>
      <c r="I24" s="194"/>
      <c r="J24" s="194"/>
      <c r="K24" s="192">
        <v>3687.0</v>
      </c>
      <c r="L24" s="192">
        <v>7500.0</v>
      </c>
      <c r="M24" s="194"/>
      <c r="N24" s="194">
        <v>60.0</v>
      </c>
      <c r="O24" s="194">
        <v>484.0</v>
      </c>
      <c r="P24" s="193"/>
      <c r="Q24" s="194"/>
      <c r="R24" s="194"/>
      <c r="S24" s="195"/>
      <c r="T24" s="196">
        <v>0.0</v>
      </c>
      <c r="U24" s="192">
        <f t="shared" si="1"/>
        <v>15874</v>
      </c>
      <c r="V24" s="194" t="str">
        <f t="shared" si="2"/>
        <v/>
      </c>
      <c r="W24" s="194">
        <f t="shared" si="3"/>
        <v>3687</v>
      </c>
      <c r="X24" s="194">
        <f t="shared" si="4"/>
        <v>8044</v>
      </c>
      <c r="Y24" s="194" t="str">
        <f t="shared" si="5"/>
        <v/>
      </c>
      <c r="Z24" s="194" t="str">
        <f t="shared" si="6"/>
        <v/>
      </c>
      <c r="AA24" s="193">
        <f t="shared" si="7"/>
        <v>0</v>
      </c>
      <c r="AB24" s="218">
        <f t="shared" si="10"/>
        <v>15874</v>
      </c>
      <c r="AC24" s="197">
        <f t="shared" si="8"/>
        <v>27605</v>
      </c>
      <c r="AD24" s="197">
        <f t="shared" si="9"/>
        <v>27605</v>
      </c>
      <c r="AE24" s="219" t="s">
        <v>75</v>
      </c>
      <c r="AF24" s="202">
        <f>SUM(AA18:AA29)</f>
        <v>26554</v>
      </c>
      <c r="AG24" s="202">
        <f>AF24/(12-COUNTBLANK(AD18:AD29))</f>
        <v>2212.833333</v>
      </c>
      <c r="AH24" s="221"/>
      <c r="AI24" s="174"/>
      <c r="AJ24" s="174"/>
      <c r="AK24" s="174"/>
    </row>
    <row r="25" ht="15.75" customHeight="1">
      <c r="B25" s="201">
        <v>44044.0</v>
      </c>
      <c r="C25" s="192">
        <v>16786.0</v>
      </c>
      <c r="D25" s="193"/>
      <c r="E25" s="192"/>
      <c r="F25" s="194"/>
      <c r="G25" s="194"/>
      <c r="H25" s="194"/>
      <c r="I25" s="194"/>
      <c r="J25" s="194"/>
      <c r="K25" s="192">
        <v>3687.0</v>
      </c>
      <c r="L25" s="192">
        <v>7500.0</v>
      </c>
      <c r="M25" s="194"/>
      <c r="N25" s="194">
        <v>75.0</v>
      </c>
      <c r="O25" s="194">
        <v>490.0</v>
      </c>
      <c r="P25" s="193"/>
      <c r="Q25" s="194"/>
      <c r="R25" s="194"/>
      <c r="S25" s="195"/>
      <c r="T25" s="196">
        <v>0.0</v>
      </c>
      <c r="U25" s="192">
        <f t="shared" si="1"/>
        <v>16786</v>
      </c>
      <c r="V25" s="194" t="str">
        <f t="shared" si="2"/>
        <v/>
      </c>
      <c r="W25" s="194">
        <f t="shared" si="3"/>
        <v>3687</v>
      </c>
      <c r="X25" s="194">
        <f t="shared" si="4"/>
        <v>8065</v>
      </c>
      <c r="Y25" s="194" t="str">
        <f t="shared" si="5"/>
        <v/>
      </c>
      <c r="Z25" s="194" t="str">
        <f t="shared" si="6"/>
        <v/>
      </c>
      <c r="AA25" s="193">
        <f t="shared" si="7"/>
        <v>0</v>
      </c>
      <c r="AB25" s="218">
        <f t="shared" si="10"/>
        <v>16786</v>
      </c>
      <c r="AC25" s="197">
        <f t="shared" si="8"/>
        <v>28538</v>
      </c>
      <c r="AD25" s="197">
        <f t="shared" si="9"/>
        <v>28538</v>
      </c>
      <c r="AE25" s="219" t="s">
        <v>566</v>
      </c>
      <c r="AF25" s="202">
        <f>SUM(AD18:AD29)</f>
        <v>367278</v>
      </c>
      <c r="AG25" s="202">
        <f>AF25/(12-COUNTBLANK(AD18:AD29))</f>
        <v>30606.5</v>
      </c>
      <c r="AH25" s="221" t="s">
        <v>569</v>
      </c>
      <c r="AI25" s="174"/>
      <c r="AJ25" s="174"/>
      <c r="AK25" s="174"/>
    </row>
    <row r="26" ht="15.75" customHeight="1">
      <c r="B26" s="201">
        <v>44075.0</v>
      </c>
      <c r="C26" s="192">
        <v>22056.0</v>
      </c>
      <c r="D26" s="193"/>
      <c r="E26" s="192"/>
      <c r="F26" s="194"/>
      <c r="G26" s="194"/>
      <c r="H26" s="194"/>
      <c r="I26" s="194"/>
      <c r="J26" s="194"/>
      <c r="K26" s="192">
        <v>3687.0</v>
      </c>
      <c r="L26" s="192">
        <v>7500.0</v>
      </c>
      <c r="M26" s="194"/>
      <c r="N26" s="194">
        <v>75.0</v>
      </c>
      <c r="O26" s="194">
        <v>462.0</v>
      </c>
      <c r="P26" s="193"/>
      <c r="Q26" s="194"/>
      <c r="R26" s="194"/>
      <c r="S26" s="195"/>
      <c r="T26" s="196">
        <v>0.0</v>
      </c>
      <c r="U26" s="192">
        <f t="shared" si="1"/>
        <v>22056</v>
      </c>
      <c r="V26" s="194" t="str">
        <f t="shared" si="2"/>
        <v/>
      </c>
      <c r="W26" s="194">
        <f t="shared" si="3"/>
        <v>3687</v>
      </c>
      <c r="X26" s="194">
        <f t="shared" si="4"/>
        <v>8037</v>
      </c>
      <c r="Y26" s="194" t="str">
        <f t="shared" si="5"/>
        <v/>
      </c>
      <c r="Z26" s="194" t="str">
        <f t="shared" si="6"/>
        <v/>
      </c>
      <c r="AA26" s="193">
        <f t="shared" si="7"/>
        <v>0</v>
      </c>
      <c r="AB26" s="218">
        <f t="shared" si="10"/>
        <v>22056</v>
      </c>
      <c r="AC26" s="197">
        <f t="shared" si="8"/>
        <v>33780</v>
      </c>
      <c r="AD26" s="197">
        <f t="shared" si="9"/>
        <v>33780</v>
      </c>
      <c r="AE26" s="190"/>
      <c r="AF26" s="202"/>
      <c r="AG26" s="202"/>
      <c r="AH26" s="221"/>
      <c r="AI26" s="174"/>
      <c r="AJ26" s="174"/>
      <c r="AK26" s="174"/>
    </row>
    <row r="27" ht="15.75" customHeight="1">
      <c r="B27" s="201">
        <v>44105.0</v>
      </c>
      <c r="C27" s="192">
        <v>18285.0</v>
      </c>
      <c r="D27" s="193"/>
      <c r="E27" s="192"/>
      <c r="F27" s="194"/>
      <c r="G27" s="194"/>
      <c r="H27" s="194"/>
      <c r="I27" s="194"/>
      <c r="J27" s="194"/>
      <c r="K27" s="192">
        <v>3687.0</v>
      </c>
      <c r="L27" s="192">
        <v>7500.0</v>
      </c>
      <c r="M27" s="194"/>
      <c r="N27" s="194">
        <v>60.0</v>
      </c>
      <c r="O27" s="194">
        <v>230.0</v>
      </c>
      <c r="P27" s="193"/>
      <c r="Q27" s="194"/>
      <c r="R27" s="194"/>
      <c r="S27" s="195"/>
      <c r="T27" s="196">
        <v>0.0</v>
      </c>
      <c r="U27" s="192">
        <f t="shared" si="1"/>
        <v>18285</v>
      </c>
      <c r="V27" s="194" t="str">
        <f t="shared" si="2"/>
        <v/>
      </c>
      <c r="W27" s="194">
        <f t="shared" si="3"/>
        <v>3687</v>
      </c>
      <c r="X27" s="194">
        <f t="shared" si="4"/>
        <v>7790</v>
      </c>
      <c r="Y27" s="194" t="str">
        <f t="shared" si="5"/>
        <v/>
      </c>
      <c r="Z27" s="194" t="str">
        <f t="shared" si="6"/>
        <v/>
      </c>
      <c r="AA27" s="193">
        <f t="shared" si="7"/>
        <v>0</v>
      </c>
      <c r="AB27" s="218">
        <f t="shared" si="10"/>
        <v>18285</v>
      </c>
      <c r="AC27" s="197">
        <f t="shared" si="8"/>
        <v>29762</v>
      </c>
      <c r="AD27" s="197">
        <f t="shared" si="9"/>
        <v>29762</v>
      </c>
      <c r="AE27" s="190"/>
      <c r="AF27" s="202"/>
      <c r="AG27" s="202"/>
      <c r="AH27" s="221"/>
      <c r="AI27" s="174"/>
      <c r="AJ27" s="174"/>
      <c r="AK27" s="174"/>
    </row>
    <row r="28" ht="15.75" customHeight="1">
      <c r="B28" s="201">
        <v>44136.0</v>
      </c>
      <c r="C28" s="192">
        <v>17417.0</v>
      </c>
      <c r="D28" s="193"/>
      <c r="E28" s="192"/>
      <c r="F28" s="194"/>
      <c r="G28" s="194"/>
      <c r="H28" s="194"/>
      <c r="I28" s="194"/>
      <c r="J28" s="194"/>
      <c r="K28" s="192">
        <v>3687.0</v>
      </c>
      <c r="L28" s="192">
        <v>7500.0</v>
      </c>
      <c r="M28" s="194"/>
      <c r="N28" s="194">
        <v>60.0</v>
      </c>
      <c r="O28" s="194">
        <v>285.0</v>
      </c>
      <c r="P28" s="193"/>
      <c r="Q28" s="194"/>
      <c r="R28" s="194"/>
      <c r="S28" s="195"/>
      <c r="T28" s="196">
        <v>0.0</v>
      </c>
      <c r="U28" s="192">
        <f t="shared" si="1"/>
        <v>17417</v>
      </c>
      <c r="V28" s="194" t="str">
        <f t="shared" si="2"/>
        <v/>
      </c>
      <c r="W28" s="194">
        <f t="shared" si="3"/>
        <v>3687</v>
      </c>
      <c r="X28" s="194">
        <f t="shared" si="4"/>
        <v>7845</v>
      </c>
      <c r="Y28" s="194" t="str">
        <f t="shared" si="5"/>
        <v/>
      </c>
      <c r="Z28" s="194" t="str">
        <f t="shared" si="6"/>
        <v/>
      </c>
      <c r="AA28" s="193">
        <f t="shared" si="7"/>
        <v>0</v>
      </c>
      <c r="AB28" s="218">
        <f t="shared" si="10"/>
        <v>17417</v>
      </c>
      <c r="AC28" s="197">
        <f t="shared" si="8"/>
        <v>28949</v>
      </c>
      <c r="AD28" s="197">
        <f t="shared" si="9"/>
        <v>28949</v>
      </c>
      <c r="AE28" s="190"/>
      <c r="AF28" s="202"/>
      <c r="AG28" s="202"/>
      <c r="AH28" s="229"/>
      <c r="AI28" s="174"/>
      <c r="AJ28" s="174"/>
      <c r="AK28" s="174"/>
    </row>
    <row r="29" ht="15.75" customHeight="1">
      <c r="A29" s="114"/>
      <c r="B29" s="222">
        <v>44166.0</v>
      </c>
      <c r="C29" s="223">
        <v>20606.0</v>
      </c>
      <c r="D29" s="224"/>
      <c r="E29" s="223"/>
      <c r="F29" s="204"/>
      <c r="G29" s="204"/>
      <c r="H29" s="204"/>
      <c r="I29" s="204"/>
      <c r="J29" s="204"/>
      <c r="K29" s="223">
        <v>5550.0</v>
      </c>
      <c r="L29" s="223">
        <v>7500.0</v>
      </c>
      <c r="M29" s="204"/>
      <c r="N29" s="204">
        <v>75.0</v>
      </c>
      <c r="O29" s="204">
        <v>375.0</v>
      </c>
      <c r="P29" s="224"/>
      <c r="Q29" s="204"/>
      <c r="R29" s="204"/>
      <c r="S29" s="225"/>
      <c r="T29" s="230">
        <v>0.0</v>
      </c>
      <c r="U29" s="192">
        <f t="shared" si="1"/>
        <v>20606</v>
      </c>
      <c r="V29" s="194" t="str">
        <f t="shared" si="2"/>
        <v/>
      </c>
      <c r="W29" s="194">
        <f t="shared" si="3"/>
        <v>5550</v>
      </c>
      <c r="X29" s="194">
        <f t="shared" si="4"/>
        <v>7950</v>
      </c>
      <c r="Y29" s="194" t="str">
        <f t="shared" si="5"/>
        <v/>
      </c>
      <c r="Z29" s="194" t="str">
        <f t="shared" si="6"/>
        <v/>
      </c>
      <c r="AA29" s="193">
        <f t="shared" si="7"/>
        <v>0</v>
      </c>
      <c r="AB29" s="226">
        <f t="shared" si="10"/>
        <v>20606</v>
      </c>
      <c r="AC29" s="197">
        <f t="shared" si="8"/>
        <v>34106</v>
      </c>
      <c r="AD29" s="197">
        <f t="shared" si="9"/>
        <v>34106</v>
      </c>
      <c r="AE29" s="206"/>
      <c r="AF29" s="207"/>
      <c r="AG29" s="207"/>
      <c r="AH29" s="227" t="s">
        <v>570</v>
      </c>
      <c r="AI29" s="174"/>
      <c r="AJ29" s="174"/>
      <c r="AK29" s="174"/>
    </row>
    <row r="30" ht="15.75" customHeight="1">
      <c r="A30" s="228">
        <v>2021.0</v>
      </c>
      <c r="B30" s="201">
        <v>44197.0</v>
      </c>
      <c r="C30" s="192">
        <v>18206.0</v>
      </c>
      <c r="D30" s="193"/>
      <c r="E30" s="192"/>
      <c r="F30" s="194"/>
      <c r="G30" s="194"/>
      <c r="H30" s="194"/>
      <c r="I30" s="194"/>
      <c r="J30" s="194"/>
      <c r="K30" s="192">
        <v>3733.0</v>
      </c>
      <c r="L30" s="192">
        <v>7500.0</v>
      </c>
      <c r="M30" s="194"/>
      <c r="N30" s="194">
        <v>60.0</v>
      </c>
      <c r="O30" s="194">
        <v>420.0</v>
      </c>
      <c r="P30" s="193"/>
      <c r="Q30" s="194"/>
      <c r="R30" s="194"/>
      <c r="S30" s="195"/>
      <c r="T30" s="196">
        <v>0.0</v>
      </c>
      <c r="U30" s="211">
        <f t="shared" si="1"/>
        <v>18206</v>
      </c>
      <c r="V30" s="213" t="str">
        <f t="shared" si="2"/>
        <v/>
      </c>
      <c r="W30" s="213">
        <f t="shared" si="3"/>
        <v>3733</v>
      </c>
      <c r="X30" s="213">
        <f t="shared" si="4"/>
        <v>7980</v>
      </c>
      <c r="Y30" s="213" t="str">
        <f t="shared" si="5"/>
        <v/>
      </c>
      <c r="Z30" s="213" t="str">
        <f t="shared" si="6"/>
        <v/>
      </c>
      <c r="AA30" s="212">
        <f t="shared" si="7"/>
        <v>0</v>
      </c>
      <c r="AB30" s="197">
        <f t="shared" si="10"/>
        <v>18206</v>
      </c>
      <c r="AC30" s="216">
        <f t="shared" si="8"/>
        <v>29919</v>
      </c>
      <c r="AD30" s="217">
        <f t="shared" si="9"/>
        <v>29919</v>
      </c>
      <c r="AE30" s="198" t="s">
        <v>382</v>
      </c>
      <c r="AF30" s="199">
        <f>SUM(U30:U41)</f>
        <v>324519</v>
      </c>
      <c r="AG30" s="199">
        <f>AF30/(12-COUNTBLANK(AD30:AD41))</f>
        <v>27043.25</v>
      </c>
      <c r="AH30" s="231"/>
      <c r="AI30" s="174"/>
      <c r="AJ30" s="174"/>
      <c r="AK30" s="174"/>
    </row>
    <row r="31" ht="15.75" customHeight="1">
      <c r="B31" s="201">
        <v>44228.0</v>
      </c>
      <c r="C31" s="192">
        <v>20171.0</v>
      </c>
      <c r="D31" s="193"/>
      <c r="E31" s="192"/>
      <c r="F31" s="194"/>
      <c r="G31" s="194"/>
      <c r="H31" s="194"/>
      <c r="I31" s="194"/>
      <c r="J31" s="194"/>
      <c r="K31" s="192">
        <v>4639.0</v>
      </c>
      <c r="L31" s="192">
        <v>7500.0</v>
      </c>
      <c r="M31" s="194"/>
      <c r="N31" s="194">
        <v>30.0</v>
      </c>
      <c r="O31" s="194">
        <v>250.0</v>
      </c>
      <c r="P31" s="193"/>
      <c r="Q31" s="194"/>
      <c r="R31" s="194"/>
      <c r="S31" s="195"/>
      <c r="T31" s="196">
        <v>0.0</v>
      </c>
      <c r="U31" s="192">
        <f t="shared" si="1"/>
        <v>20171</v>
      </c>
      <c r="V31" s="194" t="str">
        <f t="shared" si="2"/>
        <v/>
      </c>
      <c r="W31" s="194">
        <f t="shared" si="3"/>
        <v>4639</v>
      </c>
      <c r="X31" s="194">
        <f t="shared" si="4"/>
        <v>7780</v>
      </c>
      <c r="Y31" s="194" t="str">
        <f t="shared" si="5"/>
        <v/>
      </c>
      <c r="Z31" s="194" t="str">
        <f t="shared" si="6"/>
        <v/>
      </c>
      <c r="AA31" s="193">
        <f t="shared" si="7"/>
        <v>0</v>
      </c>
      <c r="AB31" s="197">
        <f t="shared" si="10"/>
        <v>20171</v>
      </c>
      <c r="AC31" s="218">
        <f t="shared" si="8"/>
        <v>32590</v>
      </c>
      <c r="AD31" s="197">
        <f t="shared" si="9"/>
        <v>32590</v>
      </c>
      <c r="AE31" s="219" t="s">
        <v>380</v>
      </c>
      <c r="AF31" s="202">
        <f>SUM(V30:V41)</f>
        <v>0</v>
      </c>
      <c r="AG31" s="202">
        <f>AF31/(12-COUNTBLANK(AD30:AD41))</f>
        <v>0</v>
      </c>
      <c r="AH31" s="221" t="s">
        <v>571</v>
      </c>
      <c r="AI31" s="174"/>
      <c r="AJ31" s="174"/>
      <c r="AK31" s="174"/>
    </row>
    <row r="32" ht="15.75" customHeight="1">
      <c r="B32" s="201">
        <v>44256.0</v>
      </c>
      <c r="C32" s="192">
        <v>12556.0</v>
      </c>
      <c r="D32" s="193"/>
      <c r="E32" s="192"/>
      <c r="F32" s="194"/>
      <c r="G32" s="194"/>
      <c r="H32" s="194"/>
      <c r="I32" s="194"/>
      <c r="J32" s="194"/>
      <c r="K32" s="192">
        <v>3821.0</v>
      </c>
      <c r="L32" s="192">
        <v>7500.0</v>
      </c>
      <c r="M32" s="194"/>
      <c r="N32" s="194">
        <v>75.0</v>
      </c>
      <c r="O32" s="194">
        <v>375.0</v>
      </c>
      <c r="P32" s="193"/>
      <c r="Q32" s="194"/>
      <c r="R32" s="194"/>
      <c r="S32" s="195"/>
      <c r="T32" s="196">
        <v>0.0</v>
      </c>
      <c r="U32" s="192">
        <f t="shared" si="1"/>
        <v>12556</v>
      </c>
      <c r="V32" s="194" t="str">
        <f t="shared" si="2"/>
        <v/>
      </c>
      <c r="W32" s="194">
        <f t="shared" si="3"/>
        <v>3821</v>
      </c>
      <c r="X32" s="194">
        <f t="shared" si="4"/>
        <v>7950</v>
      </c>
      <c r="Y32" s="194" t="str">
        <f t="shared" si="5"/>
        <v/>
      </c>
      <c r="Z32" s="194" t="str">
        <f t="shared" si="6"/>
        <v/>
      </c>
      <c r="AA32" s="193">
        <f t="shared" si="7"/>
        <v>0</v>
      </c>
      <c r="AB32" s="197">
        <f t="shared" si="10"/>
        <v>12556</v>
      </c>
      <c r="AC32" s="218">
        <f t="shared" si="8"/>
        <v>24327</v>
      </c>
      <c r="AD32" s="197">
        <f t="shared" si="9"/>
        <v>24327</v>
      </c>
      <c r="AE32" s="219" t="s">
        <v>546</v>
      </c>
      <c r="AF32" s="220">
        <f>SUM(W30:W41)</f>
        <v>46582</v>
      </c>
      <c r="AG32" s="220">
        <f>AF32/(12-COUNTBLANK(AD30:AD41))</f>
        <v>3881.833333</v>
      </c>
      <c r="AH32" s="221"/>
      <c r="AI32" s="174"/>
      <c r="AJ32" s="174"/>
      <c r="AK32" s="174"/>
    </row>
    <row r="33" ht="15.75" customHeight="1">
      <c r="B33" s="201">
        <v>44287.0</v>
      </c>
      <c r="C33" s="192">
        <v>18654.0</v>
      </c>
      <c r="D33" s="193"/>
      <c r="E33" s="192"/>
      <c r="F33" s="194"/>
      <c r="G33" s="194"/>
      <c r="H33" s="194"/>
      <c r="I33" s="194"/>
      <c r="J33" s="194"/>
      <c r="K33" s="192">
        <v>3821.0</v>
      </c>
      <c r="L33" s="192">
        <v>7500.0</v>
      </c>
      <c r="M33" s="194"/>
      <c r="N33" s="194">
        <v>45.0</v>
      </c>
      <c r="O33" s="194">
        <v>265.0</v>
      </c>
      <c r="P33" s="193"/>
      <c r="Q33" s="194"/>
      <c r="R33" s="194"/>
      <c r="S33" s="195"/>
      <c r="T33" s="196">
        <v>0.0</v>
      </c>
      <c r="U33" s="192">
        <f t="shared" si="1"/>
        <v>18654</v>
      </c>
      <c r="V33" s="194" t="str">
        <f t="shared" si="2"/>
        <v/>
      </c>
      <c r="W33" s="194">
        <f t="shared" si="3"/>
        <v>3821</v>
      </c>
      <c r="X33" s="194">
        <f t="shared" si="4"/>
        <v>7810</v>
      </c>
      <c r="Y33" s="194" t="str">
        <f t="shared" si="5"/>
        <v/>
      </c>
      <c r="Z33" s="194" t="str">
        <f t="shared" si="6"/>
        <v/>
      </c>
      <c r="AA33" s="193">
        <f t="shared" si="7"/>
        <v>0</v>
      </c>
      <c r="AB33" s="197">
        <f t="shared" si="10"/>
        <v>18654</v>
      </c>
      <c r="AC33" s="218">
        <f t="shared" si="8"/>
        <v>30285</v>
      </c>
      <c r="AD33" s="197">
        <f t="shared" si="9"/>
        <v>30285</v>
      </c>
      <c r="AE33" s="219" t="s">
        <v>564</v>
      </c>
      <c r="AF33" s="220">
        <f>SUM(X30:X41)</f>
        <v>134056</v>
      </c>
      <c r="AG33" s="220">
        <f>AF33/(12-COUNTBLANK(AD30:AD41))</f>
        <v>11171.33333</v>
      </c>
      <c r="AH33" s="221"/>
      <c r="AI33" s="174"/>
      <c r="AJ33" s="174"/>
      <c r="AK33" s="174"/>
    </row>
    <row r="34" ht="15.75" customHeight="1">
      <c r="B34" s="201">
        <v>44317.0</v>
      </c>
      <c r="C34" s="192">
        <v>14759.0</v>
      </c>
      <c r="D34" s="193"/>
      <c r="E34" s="192"/>
      <c r="F34" s="194"/>
      <c r="G34" s="194"/>
      <c r="H34" s="194"/>
      <c r="I34" s="194"/>
      <c r="J34" s="194"/>
      <c r="K34" s="192">
        <v>3821.0</v>
      </c>
      <c r="L34" s="192">
        <v>7500.0</v>
      </c>
      <c r="M34" s="194"/>
      <c r="N34" s="194">
        <v>60.0</v>
      </c>
      <c r="O34" s="194">
        <v>570.0</v>
      </c>
      <c r="P34" s="193"/>
      <c r="Q34" s="194"/>
      <c r="R34" s="194"/>
      <c r="S34" s="195"/>
      <c r="T34" s="193">
        <v>15807.0</v>
      </c>
      <c r="U34" s="192">
        <f t="shared" si="1"/>
        <v>14759</v>
      </c>
      <c r="V34" s="194" t="str">
        <f t="shared" si="2"/>
        <v/>
      </c>
      <c r="W34" s="194">
        <f t="shared" si="3"/>
        <v>3821</v>
      </c>
      <c r="X34" s="194">
        <f t="shared" si="4"/>
        <v>8130</v>
      </c>
      <c r="Y34" s="194" t="str">
        <f t="shared" si="5"/>
        <v/>
      </c>
      <c r="Z34" s="194" t="str">
        <f t="shared" si="6"/>
        <v/>
      </c>
      <c r="AA34" s="193">
        <f t="shared" si="7"/>
        <v>15807</v>
      </c>
      <c r="AB34" s="197">
        <f t="shared" si="10"/>
        <v>14759</v>
      </c>
      <c r="AC34" s="218">
        <f t="shared" si="8"/>
        <v>26710</v>
      </c>
      <c r="AD34" s="197">
        <f t="shared" si="9"/>
        <v>42517</v>
      </c>
      <c r="AE34" s="219" t="s">
        <v>547</v>
      </c>
      <c r="AF34" s="220">
        <f>SUM(Y30:Y41)</f>
        <v>0</v>
      </c>
      <c r="AG34" s="220">
        <f>AF34/(12-COUNTBLANK(AD30:AD41))</f>
        <v>0</v>
      </c>
      <c r="AH34" s="221" t="s">
        <v>364</v>
      </c>
      <c r="AI34" s="174"/>
      <c r="AJ34" s="174"/>
      <c r="AK34" s="174"/>
    </row>
    <row r="35" ht="15.75" customHeight="1">
      <c r="B35" s="201">
        <v>44348.0</v>
      </c>
      <c r="C35" s="192">
        <v>30563.0</v>
      </c>
      <c r="D35" s="193"/>
      <c r="E35" s="192"/>
      <c r="F35" s="194"/>
      <c r="G35" s="194"/>
      <c r="H35" s="194"/>
      <c r="I35" s="194"/>
      <c r="J35" s="194"/>
      <c r="K35" s="192">
        <v>3821.0</v>
      </c>
      <c r="L35" s="192">
        <v>7500.0</v>
      </c>
      <c r="M35" s="194"/>
      <c r="N35" s="194">
        <v>75.0</v>
      </c>
      <c r="O35" s="194">
        <v>555.0</v>
      </c>
      <c r="P35" s="193"/>
      <c r="Q35" s="194"/>
      <c r="R35" s="194"/>
      <c r="S35" s="195"/>
      <c r="T35" s="196">
        <v>0.0</v>
      </c>
      <c r="U35" s="192">
        <f t="shared" si="1"/>
        <v>30563</v>
      </c>
      <c r="V35" s="194" t="str">
        <f t="shared" si="2"/>
        <v/>
      </c>
      <c r="W35" s="194">
        <f t="shared" si="3"/>
        <v>3821</v>
      </c>
      <c r="X35" s="194">
        <f t="shared" si="4"/>
        <v>8130</v>
      </c>
      <c r="Y35" s="194" t="str">
        <f t="shared" si="5"/>
        <v/>
      </c>
      <c r="Z35" s="194" t="str">
        <f t="shared" si="6"/>
        <v/>
      </c>
      <c r="AA35" s="193">
        <f t="shared" si="7"/>
        <v>0</v>
      </c>
      <c r="AB35" s="197">
        <f t="shared" si="10"/>
        <v>30563</v>
      </c>
      <c r="AC35" s="218">
        <f t="shared" si="8"/>
        <v>42514</v>
      </c>
      <c r="AD35" s="197">
        <f t="shared" si="9"/>
        <v>42514</v>
      </c>
      <c r="AE35" s="219" t="s">
        <v>548</v>
      </c>
      <c r="AF35" s="202">
        <f>SUM(Z30:Z41)</f>
        <v>0</v>
      </c>
      <c r="AG35" s="202">
        <f>AF35/(12-COUNTBLANK(AD30:AD41))</f>
        <v>0</v>
      </c>
      <c r="AH35" s="221" t="s">
        <v>572</v>
      </c>
      <c r="AI35" s="174"/>
      <c r="AJ35" s="174"/>
      <c r="AK35" s="174"/>
    </row>
    <row r="36" ht="15.75" customHeight="1">
      <c r="B36" s="201">
        <v>44378.0</v>
      </c>
      <c r="C36" s="192">
        <v>10952.0</v>
      </c>
      <c r="D36" s="193"/>
      <c r="E36" s="192"/>
      <c r="F36" s="194"/>
      <c r="G36" s="194"/>
      <c r="H36" s="194"/>
      <c r="I36" s="194"/>
      <c r="J36" s="194"/>
      <c r="K36" s="192">
        <v>3821.0</v>
      </c>
      <c r="L36" s="192">
        <v>7500.0</v>
      </c>
      <c r="M36" s="194"/>
      <c r="N36" s="194">
        <v>60.0</v>
      </c>
      <c r="O36" s="194">
        <v>816.0</v>
      </c>
      <c r="P36" s="193"/>
      <c r="Q36" s="194"/>
      <c r="R36" s="194"/>
      <c r="S36" s="195"/>
      <c r="T36" s="196">
        <v>0.0</v>
      </c>
      <c r="U36" s="192">
        <f t="shared" si="1"/>
        <v>10952</v>
      </c>
      <c r="V36" s="194" t="str">
        <f t="shared" si="2"/>
        <v/>
      </c>
      <c r="W36" s="194">
        <f t="shared" si="3"/>
        <v>3821</v>
      </c>
      <c r="X36" s="194">
        <f t="shared" si="4"/>
        <v>8376</v>
      </c>
      <c r="Y36" s="194" t="str">
        <f t="shared" si="5"/>
        <v/>
      </c>
      <c r="Z36" s="194" t="str">
        <f t="shared" si="6"/>
        <v/>
      </c>
      <c r="AA36" s="193">
        <f t="shared" si="7"/>
        <v>0</v>
      </c>
      <c r="AB36" s="197">
        <f t="shared" si="10"/>
        <v>10952</v>
      </c>
      <c r="AC36" s="218">
        <f t="shared" si="8"/>
        <v>23149</v>
      </c>
      <c r="AD36" s="197">
        <f t="shared" si="9"/>
        <v>23149</v>
      </c>
      <c r="AE36" s="219" t="s">
        <v>75</v>
      </c>
      <c r="AF36" s="202">
        <f>SUM(AA30:AA41)</f>
        <v>16027</v>
      </c>
      <c r="AG36" s="202">
        <f>AF36/(12-COUNTBLANK(AD30:AD41))</f>
        <v>1335.583333</v>
      </c>
      <c r="AH36" s="221"/>
      <c r="AI36" s="174"/>
      <c r="AJ36" s="174"/>
      <c r="AK36" s="174"/>
    </row>
    <row r="37" ht="30.0" customHeight="1">
      <c r="B37" s="201">
        <v>44409.0</v>
      </c>
      <c r="C37" s="192">
        <v>34822.0</v>
      </c>
      <c r="D37" s="193"/>
      <c r="E37" s="192"/>
      <c r="F37" s="194"/>
      <c r="G37" s="194"/>
      <c r="H37" s="194"/>
      <c r="I37" s="194"/>
      <c r="J37" s="194"/>
      <c r="K37" s="192">
        <v>3821.0</v>
      </c>
      <c r="L37" s="192">
        <v>4000.0</v>
      </c>
      <c r="M37" s="194"/>
      <c r="N37" s="194">
        <v>60.0</v>
      </c>
      <c r="O37" s="194">
        <v>576.0</v>
      </c>
      <c r="P37" s="193"/>
      <c r="Q37" s="194"/>
      <c r="R37" s="194"/>
      <c r="S37" s="195"/>
      <c r="T37" s="196">
        <v>0.0</v>
      </c>
      <c r="U37" s="192">
        <f t="shared" si="1"/>
        <v>34822</v>
      </c>
      <c r="V37" s="194" t="str">
        <f t="shared" si="2"/>
        <v/>
      </c>
      <c r="W37" s="194">
        <f t="shared" si="3"/>
        <v>3821</v>
      </c>
      <c r="X37" s="194">
        <f t="shared" si="4"/>
        <v>4636</v>
      </c>
      <c r="Y37" s="194" t="str">
        <f t="shared" si="5"/>
        <v/>
      </c>
      <c r="Z37" s="194" t="str">
        <f t="shared" si="6"/>
        <v/>
      </c>
      <c r="AA37" s="193">
        <f t="shared" si="7"/>
        <v>0</v>
      </c>
      <c r="AB37" s="197">
        <f t="shared" si="10"/>
        <v>34822</v>
      </c>
      <c r="AC37" s="218">
        <f t="shared" si="8"/>
        <v>43279</v>
      </c>
      <c r="AD37" s="197">
        <f t="shared" si="9"/>
        <v>43279</v>
      </c>
      <c r="AE37" s="219" t="s">
        <v>566</v>
      </c>
      <c r="AF37" s="202">
        <f>SUM(AD30:AD41)</f>
        <v>521184</v>
      </c>
      <c r="AG37" s="202">
        <f>AF37/(12-COUNTBLANK(AD30:AD41))</f>
        <v>43432</v>
      </c>
      <c r="AH37" s="232" t="s">
        <v>573</v>
      </c>
      <c r="AI37" s="174"/>
      <c r="AJ37" s="174"/>
      <c r="AK37" s="174"/>
    </row>
    <row r="38" ht="15.75" customHeight="1">
      <c r="B38" s="201">
        <v>44440.0</v>
      </c>
      <c r="C38" s="192">
        <v>47148.0</v>
      </c>
      <c r="D38" s="193"/>
      <c r="E38" s="192"/>
      <c r="F38" s="194"/>
      <c r="G38" s="194"/>
      <c r="H38" s="194"/>
      <c r="I38" s="194"/>
      <c r="J38" s="194"/>
      <c r="K38" s="192">
        <v>3821.0</v>
      </c>
      <c r="L38" s="192">
        <v>15000.0</v>
      </c>
      <c r="M38" s="194"/>
      <c r="N38" s="194">
        <v>0.0</v>
      </c>
      <c r="O38" s="194">
        <v>0.0</v>
      </c>
      <c r="P38" s="193"/>
      <c r="Q38" s="194"/>
      <c r="R38" s="194"/>
      <c r="S38" s="195"/>
      <c r="T38" s="196">
        <v>0.0</v>
      </c>
      <c r="U38" s="192">
        <f t="shared" si="1"/>
        <v>47148</v>
      </c>
      <c r="V38" s="194" t="str">
        <f t="shared" si="2"/>
        <v/>
      </c>
      <c r="W38" s="194">
        <f t="shared" si="3"/>
        <v>3821</v>
      </c>
      <c r="X38" s="194">
        <f t="shared" si="4"/>
        <v>15000</v>
      </c>
      <c r="Y38" s="194" t="str">
        <f t="shared" si="5"/>
        <v/>
      </c>
      <c r="Z38" s="194" t="str">
        <f t="shared" si="6"/>
        <v/>
      </c>
      <c r="AA38" s="193">
        <f t="shared" si="7"/>
        <v>0</v>
      </c>
      <c r="AB38" s="197">
        <f t="shared" si="10"/>
        <v>47148</v>
      </c>
      <c r="AC38" s="218">
        <f t="shared" si="8"/>
        <v>65969</v>
      </c>
      <c r="AD38" s="197">
        <f t="shared" si="9"/>
        <v>65969</v>
      </c>
      <c r="AE38" s="190"/>
      <c r="AF38" s="202"/>
      <c r="AG38" s="202"/>
      <c r="AH38" s="221" t="s">
        <v>574</v>
      </c>
      <c r="AI38" s="174"/>
      <c r="AJ38" s="174"/>
      <c r="AK38" s="174"/>
    </row>
    <row r="39" ht="15.75" customHeight="1">
      <c r="B39" s="201">
        <v>44470.0</v>
      </c>
      <c r="C39" s="192">
        <v>31827.0</v>
      </c>
      <c r="D39" s="193"/>
      <c r="E39" s="192"/>
      <c r="F39" s="194"/>
      <c r="G39" s="194"/>
      <c r="H39" s="194"/>
      <c r="I39" s="194"/>
      <c r="J39" s="194"/>
      <c r="K39" s="192">
        <v>3821.0</v>
      </c>
      <c r="L39" s="192">
        <v>15000.0</v>
      </c>
      <c r="M39" s="194">
        <v>5800.0</v>
      </c>
      <c r="N39" s="194">
        <v>0.0</v>
      </c>
      <c r="O39" s="194">
        <v>800.0</v>
      </c>
      <c r="P39" s="193"/>
      <c r="Q39" s="194"/>
      <c r="R39" s="194"/>
      <c r="S39" s="195"/>
      <c r="T39" s="196">
        <v>0.0</v>
      </c>
      <c r="U39" s="192">
        <f t="shared" si="1"/>
        <v>31827</v>
      </c>
      <c r="V39" s="194" t="str">
        <f t="shared" si="2"/>
        <v/>
      </c>
      <c r="W39" s="194">
        <f t="shared" si="3"/>
        <v>3821</v>
      </c>
      <c r="X39" s="194">
        <f t="shared" si="4"/>
        <v>21600</v>
      </c>
      <c r="Y39" s="194" t="str">
        <f t="shared" si="5"/>
        <v/>
      </c>
      <c r="Z39" s="194" t="str">
        <f t="shared" si="6"/>
        <v/>
      </c>
      <c r="AA39" s="193">
        <f t="shared" si="7"/>
        <v>0</v>
      </c>
      <c r="AB39" s="197">
        <f t="shared" si="10"/>
        <v>31827</v>
      </c>
      <c r="AC39" s="218">
        <f t="shared" si="8"/>
        <v>57248</v>
      </c>
      <c r="AD39" s="197">
        <f t="shared" si="9"/>
        <v>57248</v>
      </c>
      <c r="AE39" s="190"/>
      <c r="AF39" s="202"/>
      <c r="AG39" s="202"/>
      <c r="AH39" s="221" t="s">
        <v>575</v>
      </c>
      <c r="AI39" s="174"/>
      <c r="AJ39" s="174"/>
      <c r="AK39" s="174"/>
    </row>
    <row r="40" ht="15.75" customHeight="1">
      <c r="B40" s="201">
        <v>44501.0</v>
      </c>
      <c r="C40" s="192">
        <v>57989.0</v>
      </c>
      <c r="D40" s="193"/>
      <c r="E40" s="192"/>
      <c r="F40" s="194"/>
      <c r="G40" s="194"/>
      <c r="H40" s="194"/>
      <c r="I40" s="194"/>
      <c r="J40" s="194"/>
      <c r="K40" s="192">
        <v>3821.0</v>
      </c>
      <c r="L40" s="192">
        <v>15000.0</v>
      </c>
      <c r="M40" s="194">
        <v>5300.0</v>
      </c>
      <c r="N40" s="194">
        <v>120.0</v>
      </c>
      <c r="O40" s="194">
        <v>0.0</v>
      </c>
      <c r="P40" s="193">
        <v>305.0</v>
      </c>
      <c r="Q40" s="194"/>
      <c r="R40" s="194"/>
      <c r="S40" s="195"/>
      <c r="T40" s="193">
        <v>220.0</v>
      </c>
      <c r="U40" s="192">
        <f t="shared" si="1"/>
        <v>57989</v>
      </c>
      <c r="V40" s="194" t="str">
        <f t="shared" si="2"/>
        <v/>
      </c>
      <c r="W40" s="194">
        <f t="shared" si="3"/>
        <v>3821</v>
      </c>
      <c r="X40" s="194">
        <f t="shared" si="4"/>
        <v>20725</v>
      </c>
      <c r="Y40" s="194" t="str">
        <f t="shared" si="5"/>
        <v/>
      </c>
      <c r="Z40" s="194" t="str">
        <f t="shared" si="6"/>
        <v/>
      </c>
      <c r="AA40" s="193">
        <f t="shared" si="7"/>
        <v>220</v>
      </c>
      <c r="AB40" s="197">
        <f t="shared" si="10"/>
        <v>57989</v>
      </c>
      <c r="AC40" s="218">
        <f t="shared" si="8"/>
        <v>82535</v>
      </c>
      <c r="AD40" s="197">
        <f t="shared" si="9"/>
        <v>82755</v>
      </c>
      <c r="AE40" s="190"/>
      <c r="AF40" s="202"/>
      <c r="AG40" s="202"/>
      <c r="AH40" s="221" t="s">
        <v>576</v>
      </c>
      <c r="AI40" s="174"/>
      <c r="AJ40" s="174"/>
      <c r="AK40" s="174"/>
    </row>
    <row r="41" ht="15.75" customHeight="1">
      <c r="B41" s="201">
        <v>44531.0</v>
      </c>
      <c r="C41" s="192">
        <v>26872.0</v>
      </c>
      <c r="D41" s="193"/>
      <c r="E41" s="192"/>
      <c r="F41" s="194"/>
      <c r="G41" s="194"/>
      <c r="H41" s="194"/>
      <c r="I41" s="194"/>
      <c r="J41" s="194"/>
      <c r="K41" s="192">
        <v>3821.0</v>
      </c>
      <c r="L41" s="192">
        <v>15000.0</v>
      </c>
      <c r="M41" s="194"/>
      <c r="N41" s="194"/>
      <c r="O41" s="194">
        <v>939.0</v>
      </c>
      <c r="P41" s="193"/>
      <c r="Q41" s="194"/>
      <c r="R41" s="194"/>
      <c r="S41" s="195"/>
      <c r="T41" s="196">
        <v>0.0</v>
      </c>
      <c r="U41" s="223">
        <f t="shared" si="1"/>
        <v>26872</v>
      </c>
      <c r="V41" s="204" t="str">
        <f t="shared" si="2"/>
        <v/>
      </c>
      <c r="W41" s="204">
        <f t="shared" si="3"/>
        <v>3821</v>
      </c>
      <c r="X41" s="204">
        <f t="shared" si="4"/>
        <v>15939</v>
      </c>
      <c r="Y41" s="204" t="str">
        <f t="shared" si="5"/>
        <v/>
      </c>
      <c r="Z41" s="204" t="str">
        <f t="shared" si="6"/>
        <v/>
      </c>
      <c r="AA41" s="224">
        <f t="shared" si="7"/>
        <v>0</v>
      </c>
      <c r="AB41" s="197">
        <f t="shared" si="10"/>
        <v>26872</v>
      </c>
      <c r="AC41" s="226">
        <f t="shared" si="8"/>
        <v>46632</v>
      </c>
      <c r="AD41" s="205">
        <f t="shared" si="9"/>
        <v>46632</v>
      </c>
      <c r="AE41" s="190"/>
      <c r="AF41" s="202"/>
      <c r="AG41" s="202"/>
      <c r="AH41" s="208"/>
      <c r="AI41" s="174"/>
      <c r="AJ41" s="174"/>
      <c r="AK41" s="174"/>
    </row>
    <row r="42" ht="15.75" customHeight="1">
      <c r="A42" s="233">
        <v>2022.0</v>
      </c>
      <c r="B42" s="210">
        <v>44562.0</v>
      </c>
      <c r="C42" s="211">
        <v>16546.0</v>
      </c>
      <c r="D42" s="212">
        <v>798.0</v>
      </c>
      <c r="E42" s="211"/>
      <c r="F42" s="213"/>
      <c r="G42" s="213"/>
      <c r="H42" s="213"/>
      <c r="I42" s="213"/>
      <c r="J42" s="213"/>
      <c r="K42" s="211">
        <v>3821.0</v>
      </c>
      <c r="L42" s="211">
        <v>15000.0</v>
      </c>
      <c r="M42" s="213">
        <v>5800.0</v>
      </c>
      <c r="N42" s="213">
        <v>156.0</v>
      </c>
      <c r="O42" s="213"/>
      <c r="P42" s="212">
        <v>398.0</v>
      </c>
      <c r="Q42" s="213"/>
      <c r="R42" s="213"/>
      <c r="S42" s="214"/>
      <c r="T42" s="212">
        <v>4530.0</v>
      </c>
      <c r="U42" s="192">
        <f t="shared" si="1"/>
        <v>17344</v>
      </c>
      <c r="V42" s="194" t="str">
        <f t="shared" si="2"/>
        <v/>
      </c>
      <c r="W42" s="194">
        <f t="shared" si="3"/>
        <v>3821</v>
      </c>
      <c r="X42" s="194">
        <f t="shared" si="4"/>
        <v>21354</v>
      </c>
      <c r="Y42" s="194" t="str">
        <f t="shared" si="5"/>
        <v/>
      </c>
      <c r="Z42" s="194" t="str">
        <f t="shared" si="6"/>
        <v/>
      </c>
      <c r="AA42" s="193">
        <f t="shared" si="7"/>
        <v>4530</v>
      </c>
      <c r="AB42" s="216">
        <f t="shared" si="10"/>
        <v>17344</v>
      </c>
      <c r="AC42" s="197">
        <f t="shared" si="8"/>
        <v>42519</v>
      </c>
      <c r="AD42" s="197">
        <f t="shared" si="9"/>
        <v>47049</v>
      </c>
      <c r="AE42" s="198" t="s">
        <v>382</v>
      </c>
      <c r="AF42" s="199">
        <f>SUM(U42:U53)</f>
        <v>323890</v>
      </c>
      <c r="AG42" s="199">
        <f>AF42/(12-COUNTBLANK(AD42:AD53))</f>
        <v>26990.83333</v>
      </c>
      <c r="AH42" s="231" t="s">
        <v>577</v>
      </c>
      <c r="AI42" s="174"/>
      <c r="AJ42" s="174"/>
      <c r="AK42" s="174"/>
    </row>
    <row r="43" ht="15.75" customHeight="1">
      <c r="B43" s="201">
        <v>44593.0</v>
      </c>
      <c r="C43" s="192">
        <v>38068.0</v>
      </c>
      <c r="D43" s="193"/>
      <c r="E43" s="192"/>
      <c r="F43" s="194"/>
      <c r="G43" s="194"/>
      <c r="H43" s="194"/>
      <c r="I43" s="194"/>
      <c r="J43" s="194"/>
      <c r="K43" s="192">
        <v>4094.0</v>
      </c>
      <c r="L43" s="192">
        <v>15000.0</v>
      </c>
      <c r="M43" s="194"/>
      <c r="N43" s="194"/>
      <c r="O43" s="194">
        <v>927.0</v>
      </c>
      <c r="P43" s="193"/>
      <c r="Q43" s="194"/>
      <c r="R43" s="194"/>
      <c r="S43" s="195"/>
      <c r="T43" s="196">
        <v>0.0</v>
      </c>
      <c r="U43" s="192">
        <f t="shared" si="1"/>
        <v>38068</v>
      </c>
      <c r="V43" s="194" t="str">
        <f t="shared" si="2"/>
        <v/>
      </c>
      <c r="W43" s="194">
        <f t="shared" si="3"/>
        <v>4094</v>
      </c>
      <c r="X43" s="194">
        <f t="shared" si="4"/>
        <v>15927</v>
      </c>
      <c r="Y43" s="194" t="str">
        <f t="shared" si="5"/>
        <v/>
      </c>
      <c r="Z43" s="194" t="str">
        <f t="shared" si="6"/>
        <v/>
      </c>
      <c r="AA43" s="193">
        <f t="shared" si="7"/>
        <v>0</v>
      </c>
      <c r="AB43" s="218">
        <f t="shared" si="10"/>
        <v>38068</v>
      </c>
      <c r="AC43" s="197">
        <f t="shared" si="8"/>
        <v>58089</v>
      </c>
      <c r="AD43" s="197">
        <f t="shared" si="9"/>
        <v>58089</v>
      </c>
      <c r="AE43" s="219" t="s">
        <v>380</v>
      </c>
      <c r="AF43" s="202">
        <f>SUM(V42:V53)</f>
        <v>0</v>
      </c>
      <c r="AG43" s="202">
        <f>AF43/(12-COUNTBLANK(AD42:AD53))</f>
        <v>0</v>
      </c>
      <c r="AH43" s="221" t="s">
        <v>578</v>
      </c>
      <c r="AI43" s="174"/>
      <c r="AJ43" s="174"/>
      <c r="AK43" s="174"/>
    </row>
    <row r="44" ht="15.75" customHeight="1">
      <c r="B44" s="201">
        <v>44621.0</v>
      </c>
      <c r="C44" s="192">
        <v>15685.0</v>
      </c>
      <c r="D44" s="193">
        <v>798.0</v>
      </c>
      <c r="E44" s="192"/>
      <c r="F44" s="194"/>
      <c r="G44" s="194"/>
      <c r="H44" s="194"/>
      <c r="I44" s="194"/>
      <c r="J44" s="194"/>
      <c r="K44" s="192">
        <v>4094.0</v>
      </c>
      <c r="L44" s="192">
        <v>15000.0</v>
      </c>
      <c r="M44" s="194">
        <v>5800.0</v>
      </c>
      <c r="N44" s="194">
        <v>179.0</v>
      </c>
      <c r="O44" s="194"/>
      <c r="P44" s="193">
        <v>457.0</v>
      </c>
      <c r="Q44" s="194"/>
      <c r="R44" s="194"/>
      <c r="S44" s="195"/>
      <c r="T44" s="196">
        <v>0.0</v>
      </c>
      <c r="U44" s="192">
        <f t="shared" si="1"/>
        <v>16483</v>
      </c>
      <c r="V44" s="194" t="str">
        <f t="shared" si="2"/>
        <v/>
      </c>
      <c r="W44" s="194">
        <f t="shared" si="3"/>
        <v>4094</v>
      </c>
      <c r="X44" s="194">
        <f t="shared" si="4"/>
        <v>21436</v>
      </c>
      <c r="Y44" s="194" t="str">
        <f t="shared" si="5"/>
        <v/>
      </c>
      <c r="Z44" s="194" t="str">
        <f t="shared" si="6"/>
        <v/>
      </c>
      <c r="AA44" s="193">
        <f t="shared" si="7"/>
        <v>0</v>
      </c>
      <c r="AB44" s="218">
        <f t="shared" si="10"/>
        <v>16483</v>
      </c>
      <c r="AC44" s="197">
        <f t="shared" si="8"/>
        <v>42013</v>
      </c>
      <c r="AD44" s="197">
        <f t="shared" si="9"/>
        <v>42013</v>
      </c>
      <c r="AE44" s="219" t="s">
        <v>546</v>
      </c>
      <c r="AF44" s="220">
        <f>SUM(W42:W53)</f>
        <v>52508</v>
      </c>
      <c r="AG44" s="220">
        <f>AF44/(12-COUNTBLANK(AD42:AD53))</f>
        <v>4375.666667</v>
      </c>
      <c r="AH44" s="221"/>
      <c r="AI44" s="174"/>
      <c r="AJ44" s="174"/>
      <c r="AK44" s="174"/>
    </row>
    <row r="45" ht="15.75" customHeight="1">
      <c r="B45" s="201">
        <v>44652.0</v>
      </c>
      <c r="C45" s="192">
        <v>21579.0</v>
      </c>
      <c r="D45" s="193"/>
      <c r="E45" s="192"/>
      <c r="F45" s="194"/>
      <c r="G45" s="194"/>
      <c r="H45" s="194"/>
      <c r="I45" s="194"/>
      <c r="J45" s="194"/>
      <c r="K45" s="192">
        <v>3958.0</v>
      </c>
      <c r="L45" s="192">
        <v>15000.0</v>
      </c>
      <c r="M45" s="194"/>
      <c r="N45" s="194"/>
      <c r="O45" s="194">
        <v>785.0</v>
      </c>
      <c r="P45" s="193"/>
      <c r="Q45" s="194"/>
      <c r="R45" s="194"/>
      <c r="S45" s="195"/>
      <c r="T45" s="196">
        <v>0.0</v>
      </c>
      <c r="U45" s="192">
        <f t="shared" si="1"/>
        <v>21579</v>
      </c>
      <c r="V45" s="194" t="str">
        <f t="shared" si="2"/>
        <v/>
      </c>
      <c r="W45" s="194">
        <f t="shared" si="3"/>
        <v>3958</v>
      </c>
      <c r="X45" s="194">
        <f t="shared" si="4"/>
        <v>15785</v>
      </c>
      <c r="Y45" s="194" t="str">
        <f t="shared" si="5"/>
        <v/>
      </c>
      <c r="Z45" s="194" t="str">
        <f t="shared" si="6"/>
        <v/>
      </c>
      <c r="AA45" s="193">
        <f t="shared" si="7"/>
        <v>0</v>
      </c>
      <c r="AB45" s="218">
        <f t="shared" si="10"/>
        <v>21579</v>
      </c>
      <c r="AC45" s="197">
        <f t="shared" si="8"/>
        <v>41322</v>
      </c>
      <c r="AD45" s="197">
        <f t="shared" si="9"/>
        <v>41322</v>
      </c>
      <c r="AE45" s="219" t="s">
        <v>564</v>
      </c>
      <c r="AF45" s="220">
        <f>SUM(X42:X53)</f>
        <v>241163</v>
      </c>
      <c r="AG45" s="220">
        <f>AF45/(12-COUNTBLANK(AD42:AD53))</f>
        <v>20096.91667</v>
      </c>
      <c r="AH45" s="221"/>
      <c r="AI45" s="174"/>
      <c r="AJ45" s="174"/>
      <c r="AK45" s="174"/>
    </row>
    <row r="46" ht="15.75" customHeight="1">
      <c r="B46" s="201">
        <v>44682.0</v>
      </c>
      <c r="C46" s="192">
        <v>18709.0</v>
      </c>
      <c r="D46" s="193">
        <v>823.0</v>
      </c>
      <c r="E46" s="192"/>
      <c r="F46" s="194"/>
      <c r="G46" s="194"/>
      <c r="H46" s="194"/>
      <c r="I46" s="194"/>
      <c r="J46" s="194"/>
      <c r="K46" s="192">
        <v>4094.0</v>
      </c>
      <c r="L46" s="192">
        <v>15000.0</v>
      </c>
      <c r="M46" s="194">
        <v>5800.0</v>
      </c>
      <c r="N46" s="194">
        <v>179.0</v>
      </c>
      <c r="O46" s="194"/>
      <c r="P46" s="193">
        <v>398.0</v>
      </c>
      <c r="Q46" s="194"/>
      <c r="R46" s="194"/>
      <c r="S46" s="195"/>
      <c r="T46" s="193">
        <v>19071.0</v>
      </c>
      <c r="U46" s="192">
        <f t="shared" si="1"/>
        <v>19532</v>
      </c>
      <c r="V46" s="194" t="str">
        <f t="shared" si="2"/>
        <v/>
      </c>
      <c r="W46" s="194">
        <f t="shared" si="3"/>
        <v>4094</v>
      </c>
      <c r="X46" s="194">
        <f t="shared" si="4"/>
        <v>21377</v>
      </c>
      <c r="Y46" s="194" t="str">
        <f t="shared" si="5"/>
        <v/>
      </c>
      <c r="Z46" s="194" t="str">
        <f t="shared" si="6"/>
        <v/>
      </c>
      <c r="AA46" s="193">
        <f t="shared" si="7"/>
        <v>19071</v>
      </c>
      <c r="AB46" s="218">
        <f t="shared" si="10"/>
        <v>19532</v>
      </c>
      <c r="AC46" s="197">
        <f t="shared" si="8"/>
        <v>45003</v>
      </c>
      <c r="AD46" s="197">
        <f t="shared" si="9"/>
        <v>64074</v>
      </c>
      <c r="AE46" s="219" t="s">
        <v>547</v>
      </c>
      <c r="AF46" s="220">
        <f>SUM(Y42:Y53)</f>
        <v>0</v>
      </c>
      <c r="AG46" s="220">
        <f>AF46/(12-COUNTBLANK(AD42:AD53))</f>
        <v>0</v>
      </c>
      <c r="AH46" s="221" t="s">
        <v>364</v>
      </c>
      <c r="AI46" s="174"/>
      <c r="AJ46" s="174"/>
      <c r="AK46" s="174"/>
    </row>
    <row r="47" ht="15.75" customHeight="1">
      <c r="B47" s="201">
        <v>44713.0</v>
      </c>
      <c r="C47" s="192">
        <v>35934.0</v>
      </c>
      <c r="D47" s="193"/>
      <c r="E47" s="192"/>
      <c r="F47" s="194"/>
      <c r="G47" s="194"/>
      <c r="H47" s="194"/>
      <c r="I47" s="194"/>
      <c r="J47" s="194"/>
      <c r="K47" s="192">
        <v>4231.0</v>
      </c>
      <c r="L47" s="192">
        <v>15000.0</v>
      </c>
      <c r="M47" s="194"/>
      <c r="N47" s="194"/>
      <c r="O47" s="194">
        <v>868.0</v>
      </c>
      <c r="P47" s="193"/>
      <c r="Q47" s="194"/>
      <c r="R47" s="194"/>
      <c r="S47" s="195"/>
      <c r="T47" s="196">
        <v>0.0</v>
      </c>
      <c r="U47" s="192">
        <f t="shared" si="1"/>
        <v>35934</v>
      </c>
      <c r="V47" s="194" t="str">
        <f t="shared" si="2"/>
        <v/>
      </c>
      <c r="W47" s="194">
        <f t="shared" si="3"/>
        <v>4231</v>
      </c>
      <c r="X47" s="194">
        <f t="shared" si="4"/>
        <v>15868</v>
      </c>
      <c r="Y47" s="194" t="str">
        <f t="shared" si="5"/>
        <v/>
      </c>
      <c r="Z47" s="194" t="str">
        <f t="shared" si="6"/>
        <v/>
      </c>
      <c r="AA47" s="193">
        <f t="shared" si="7"/>
        <v>0</v>
      </c>
      <c r="AB47" s="218">
        <f t="shared" si="10"/>
        <v>35934</v>
      </c>
      <c r="AC47" s="197">
        <f t="shared" si="8"/>
        <v>56033</v>
      </c>
      <c r="AD47" s="197">
        <f t="shared" si="9"/>
        <v>56033</v>
      </c>
      <c r="AE47" s="219" t="s">
        <v>548</v>
      </c>
      <c r="AF47" s="202">
        <f>SUM(Z42:Z53)</f>
        <v>0</v>
      </c>
      <c r="AG47" s="202">
        <f>AF47/(12-COUNTBLANK(AD42:AD53))</f>
        <v>0</v>
      </c>
      <c r="AH47" s="221"/>
      <c r="AI47" s="174"/>
      <c r="AJ47" s="174"/>
      <c r="AK47" s="174"/>
    </row>
    <row r="48" ht="15.75" customHeight="1">
      <c r="B48" s="201">
        <v>44743.0</v>
      </c>
      <c r="C48" s="192">
        <v>21243.0</v>
      </c>
      <c r="D48" s="193">
        <v>995.0</v>
      </c>
      <c r="E48" s="192"/>
      <c r="F48" s="194"/>
      <c r="G48" s="194"/>
      <c r="H48" s="194"/>
      <c r="I48" s="194"/>
      <c r="J48" s="194"/>
      <c r="K48" s="192">
        <v>0.0</v>
      </c>
      <c r="L48" s="192">
        <v>15000.0</v>
      </c>
      <c r="M48" s="194">
        <v>5800.0</v>
      </c>
      <c r="N48" s="194">
        <v>156.0</v>
      </c>
      <c r="O48" s="194"/>
      <c r="P48" s="193">
        <v>375.0</v>
      </c>
      <c r="Q48" s="194"/>
      <c r="R48" s="194"/>
      <c r="S48" s="195"/>
      <c r="T48" s="196">
        <v>0.0</v>
      </c>
      <c r="U48" s="192">
        <f t="shared" si="1"/>
        <v>22238</v>
      </c>
      <c r="V48" s="194" t="str">
        <f t="shared" si="2"/>
        <v/>
      </c>
      <c r="W48" s="194" t="str">
        <f t="shared" si="3"/>
        <v/>
      </c>
      <c r="X48" s="194">
        <f t="shared" si="4"/>
        <v>21331</v>
      </c>
      <c r="Y48" s="194" t="str">
        <f t="shared" si="5"/>
        <v/>
      </c>
      <c r="Z48" s="194" t="str">
        <f t="shared" si="6"/>
        <v/>
      </c>
      <c r="AA48" s="193">
        <f t="shared" si="7"/>
        <v>0</v>
      </c>
      <c r="AB48" s="218">
        <f t="shared" si="10"/>
        <v>22238</v>
      </c>
      <c r="AC48" s="197">
        <f t="shared" si="8"/>
        <v>43569</v>
      </c>
      <c r="AD48" s="197">
        <f t="shared" si="9"/>
        <v>43569</v>
      </c>
      <c r="AE48" s="219" t="s">
        <v>75</v>
      </c>
      <c r="AF48" s="202">
        <f>SUM(AA42:AA53)</f>
        <v>35457</v>
      </c>
      <c r="AG48" s="202">
        <f>AF48/(12-COUNTBLANK(AD42:AD53))</f>
        <v>2954.75</v>
      </c>
      <c r="AH48" s="221" t="s">
        <v>579</v>
      </c>
      <c r="AI48" s="174"/>
      <c r="AJ48" s="174"/>
      <c r="AK48" s="174"/>
    </row>
    <row r="49" ht="15.75" customHeight="1">
      <c r="B49" s="201">
        <v>44774.0</v>
      </c>
      <c r="C49" s="192">
        <v>13483.0</v>
      </c>
      <c r="D49" s="193"/>
      <c r="E49" s="192"/>
      <c r="F49" s="194"/>
      <c r="G49" s="194"/>
      <c r="H49" s="194"/>
      <c r="I49" s="194"/>
      <c r="J49" s="194"/>
      <c r="K49" s="192">
        <v>2552.0</v>
      </c>
      <c r="L49" s="192">
        <v>15000.0</v>
      </c>
      <c r="M49" s="194"/>
      <c r="N49" s="194"/>
      <c r="O49" s="194">
        <v>1172.0</v>
      </c>
      <c r="P49" s="193"/>
      <c r="Q49" s="194"/>
      <c r="R49" s="194"/>
      <c r="S49" s="195"/>
      <c r="T49" s="193">
        <v>2705.0</v>
      </c>
      <c r="U49" s="192">
        <f t="shared" si="1"/>
        <v>13483</v>
      </c>
      <c r="V49" s="194" t="str">
        <f t="shared" si="2"/>
        <v/>
      </c>
      <c r="W49" s="194">
        <f t="shared" si="3"/>
        <v>2552</v>
      </c>
      <c r="X49" s="194">
        <f t="shared" si="4"/>
        <v>16172</v>
      </c>
      <c r="Y49" s="194" t="str">
        <f t="shared" si="5"/>
        <v/>
      </c>
      <c r="Z49" s="194" t="str">
        <f t="shared" si="6"/>
        <v/>
      </c>
      <c r="AA49" s="193">
        <f t="shared" ref="AA49:AA101" si="11">IF(SUM(T49)=0,"",SUM(T49))</f>
        <v>2705</v>
      </c>
      <c r="AB49" s="218">
        <f t="shared" si="10"/>
        <v>13483</v>
      </c>
      <c r="AC49" s="197">
        <f t="shared" si="8"/>
        <v>32207</v>
      </c>
      <c r="AD49" s="197">
        <f t="shared" si="9"/>
        <v>34912</v>
      </c>
      <c r="AE49" s="219" t="s">
        <v>566</v>
      </c>
      <c r="AF49" s="202">
        <f>SUM(AD42:AD53)</f>
        <v>653018</v>
      </c>
      <c r="AG49" s="202">
        <f>AF49/(12-COUNTBLANK(AD42:AD53))</f>
        <v>54418.16667</v>
      </c>
      <c r="AH49" s="221" t="s">
        <v>580</v>
      </c>
      <c r="AI49" s="174"/>
      <c r="AJ49" s="174"/>
      <c r="AK49" s="174"/>
    </row>
    <row r="50" ht="15.75" customHeight="1">
      <c r="B50" s="201">
        <v>44805.0</v>
      </c>
      <c r="C50" s="192">
        <v>13033.0</v>
      </c>
      <c r="D50" s="193">
        <v>798.0</v>
      </c>
      <c r="E50" s="192"/>
      <c r="F50" s="194"/>
      <c r="G50" s="194"/>
      <c r="H50" s="194"/>
      <c r="I50" s="194"/>
      <c r="J50" s="194"/>
      <c r="K50" s="192">
        <v>6416.0</v>
      </c>
      <c r="L50" s="192">
        <v>15000.0</v>
      </c>
      <c r="M50" s="194">
        <v>5800.0</v>
      </c>
      <c r="N50" s="194">
        <v>187.0</v>
      </c>
      <c r="O50" s="194"/>
      <c r="P50" s="193">
        <v>282.0</v>
      </c>
      <c r="Q50" s="194"/>
      <c r="R50" s="194"/>
      <c r="S50" s="195"/>
      <c r="T50" s="193">
        <v>2178.0</v>
      </c>
      <c r="U50" s="192">
        <f t="shared" si="1"/>
        <v>13831</v>
      </c>
      <c r="V50" s="194" t="str">
        <f t="shared" si="2"/>
        <v/>
      </c>
      <c r="W50" s="194">
        <f t="shared" si="3"/>
        <v>6416</v>
      </c>
      <c r="X50" s="194">
        <f t="shared" si="4"/>
        <v>21269</v>
      </c>
      <c r="Y50" s="194" t="str">
        <f t="shared" si="5"/>
        <v/>
      </c>
      <c r="Z50" s="194" t="str">
        <f t="shared" si="6"/>
        <v/>
      </c>
      <c r="AA50" s="193">
        <f t="shared" si="11"/>
        <v>2178</v>
      </c>
      <c r="AB50" s="218">
        <f t="shared" si="10"/>
        <v>13831</v>
      </c>
      <c r="AC50" s="197">
        <f t="shared" si="8"/>
        <v>41516</v>
      </c>
      <c r="AD50" s="197">
        <f t="shared" si="9"/>
        <v>43694</v>
      </c>
      <c r="AE50" s="190"/>
      <c r="AF50" s="202"/>
      <c r="AG50" s="202"/>
      <c r="AH50" s="221" t="s">
        <v>581</v>
      </c>
      <c r="AI50" s="174"/>
      <c r="AJ50" s="174"/>
      <c r="AK50" s="174"/>
    </row>
    <row r="51" ht="15.75" customHeight="1">
      <c r="B51" s="201">
        <v>44835.0</v>
      </c>
      <c r="C51" s="192">
        <v>58119.0</v>
      </c>
      <c r="D51" s="193"/>
      <c r="E51" s="192"/>
      <c r="F51" s="194"/>
      <c r="G51" s="194"/>
      <c r="H51" s="194"/>
      <c r="I51" s="194"/>
      <c r="J51" s="194"/>
      <c r="K51" s="192">
        <v>6416.0</v>
      </c>
      <c r="L51" s="192">
        <v>21000.0</v>
      </c>
      <c r="M51" s="194"/>
      <c r="N51" s="194"/>
      <c r="O51" s="194">
        <v>1098.0</v>
      </c>
      <c r="P51" s="193"/>
      <c r="Q51" s="194"/>
      <c r="R51" s="194"/>
      <c r="S51" s="195"/>
      <c r="T51" s="193">
        <v>2232.0</v>
      </c>
      <c r="U51" s="192">
        <f t="shared" si="1"/>
        <v>58119</v>
      </c>
      <c r="V51" s="194" t="str">
        <f t="shared" si="2"/>
        <v/>
      </c>
      <c r="W51" s="194">
        <f t="shared" si="3"/>
        <v>6416</v>
      </c>
      <c r="X51" s="194">
        <f t="shared" si="4"/>
        <v>22098</v>
      </c>
      <c r="Y51" s="194" t="str">
        <f t="shared" si="5"/>
        <v/>
      </c>
      <c r="Z51" s="194" t="str">
        <f t="shared" si="6"/>
        <v/>
      </c>
      <c r="AA51" s="193">
        <f t="shared" si="11"/>
        <v>2232</v>
      </c>
      <c r="AB51" s="218">
        <f t="shared" si="10"/>
        <v>58119</v>
      </c>
      <c r="AC51" s="197">
        <f t="shared" si="8"/>
        <v>86633</v>
      </c>
      <c r="AD51" s="197">
        <f t="shared" si="9"/>
        <v>88865</v>
      </c>
      <c r="AE51" s="190"/>
      <c r="AF51" s="202"/>
      <c r="AG51" s="202"/>
      <c r="AH51" s="221" t="s">
        <v>582</v>
      </c>
      <c r="AI51" s="174"/>
      <c r="AJ51" s="174"/>
      <c r="AK51" s="174"/>
    </row>
    <row r="52" ht="15.75" customHeight="1">
      <c r="B52" s="201">
        <v>44866.0</v>
      </c>
      <c r="C52" s="192">
        <v>30762.0</v>
      </c>
      <c r="D52" s="193">
        <v>791.0</v>
      </c>
      <c r="E52" s="192"/>
      <c r="F52" s="194"/>
      <c r="G52" s="194"/>
      <c r="H52" s="194"/>
      <c r="I52" s="194"/>
      <c r="J52" s="194"/>
      <c r="K52" s="192">
        <v>6416.0</v>
      </c>
      <c r="L52" s="192">
        <v>21000.0</v>
      </c>
      <c r="M52" s="194">
        <v>5300.0</v>
      </c>
      <c r="N52" s="194">
        <v>110.0</v>
      </c>
      <c r="O52" s="194"/>
      <c r="P52" s="193">
        <v>270.0</v>
      </c>
      <c r="Q52" s="194"/>
      <c r="R52" s="194"/>
      <c r="S52" s="195"/>
      <c r="T52" s="193">
        <v>2482.0</v>
      </c>
      <c r="U52" s="192">
        <f t="shared" si="1"/>
        <v>31553</v>
      </c>
      <c r="V52" s="194" t="str">
        <f t="shared" si="2"/>
        <v/>
      </c>
      <c r="W52" s="194">
        <f t="shared" si="3"/>
        <v>6416</v>
      </c>
      <c r="X52" s="194">
        <f t="shared" si="4"/>
        <v>26680</v>
      </c>
      <c r="Y52" s="194" t="str">
        <f t="shared" si="5"/>
        <v/>
      </c>
      <c r="Z52" s="194" t="str">
        <f t="shared" si="6"/>
        <v/>
      </c>
      <c r="AA52" s="193">
        <f t="shared" si="11"/>
        <v>2482</v>
      </c>
      <c r="AB52" s="218">
        <f t="shared" si="10"/>
        <v>31553</v>
      </c>
      <c r="AC52" s="197">
        <f t="shared" si="8"/>
        <v>64649</v>
      </c>
      <c r="AD52" s="197">
        <f t="shared" si="9"/>
        <v>67131</v>
      </c>
      <c r="AE52" s="190"/>
      <c r="AF52" s="202"/>
      <c r="AG52" s="202"/>
      <c r="AH52" s="221" t="s">
        <v>583</v>
      </c>
      <c r="AI52" s="174"/>
      <c r="AJ52" s="174"/>
      <c r="AK52" s="174"/>
    </row>
    <row r="53" ht="15.75" customHeight="1">
      <c r="A53" s="114"/>
      <c r="B53" s="201">
        <v>44896.0</v>
      </c>
      <c r="C53" s="223">
        <v>35726.0</v>
      </c>
      <c r="D53" s="193"/>
      <c r="E53" s="223"/>
      <c r="F53" s="204"/>
      <c r="G53" s="204"/>
      <c r="H53" s="204"/>
      <c r="I53" s="204"/>
      <c r="J53" s="204"/>
      <c r="K53" s="223">
        <v>6416.0</v>
      </c>
      <c r="L53" s="192">
        <v>21000.0</v>
      </c>
      <c r="M53" s="204"/>
      <c r="N53" s="204"/>
      <c r="O53" s="204">
        <v>866.0</v>
      </c>
      <c r="P53" s="224"/>
      <c r="Q53" s="204"/>
      <c r="R53" s="204"/>
      <c r="S53" s="195"/>
      <c r="T53" s="224">
        <v>2259.0</v>
      </c>
      <c r="U53" s="192">
        <f t="shared" si="1"/>
        <v>35726</v>
      </c>
      <c r="V53" s="194" t="str">
        <f t="shared" si="2"/>
        <v/>
      </c>
      <c r="W53" s="194">
        <f t="shared" si="3"/>
        <v>6416</v>
      </c>
      <c r="X53" s="194">
        <f t="shared" si="4"/>
        <v>21866</v>
      </c>
      <c r="Y53" s="194" t="str">
        <f t="shared" si="5"/>
        <v/>
      </c>
      <c r="Z53" s="194" t="str">
        <f t="shared" si="6"/>
        <v/>
      </c>
      <c r="AA53" s="193">
        <f t="shared" si="11"/>
        <v>2259</v>
      </c>
      <c r="AB53" s="226">
        <f t="shared" si="10"/>
        <v>35726</v>
      </c>
      <c r="AC53" s="197">
        <f t="shared" si="8"/>
        <v>64008</v>
      </c>
      <c r="AD53" s="197">
        <f t="shared" si="9"/>
        <v>66267</v>
      </c>
      <c r="AE53" s="206"/>
      <c r="AF53" s="207"/>
      <c r="AG53" s="207"/>
      <c r="AH53" s="208"/>
      <c r="AI53" s="174"/>
      <c r="AJ53" s="174"/>
      <c r="AK53" s="174"/>
    </row>
    <row r="54" ht="15.75" customHeight="1">
      <c r="A54" s="233">
        <v>2023.0</v>
      </c>
      <c r="B54" s="210">
        <v>44927.0</v>
      </c>
      <c r="C54" s="211">
        <v>53398.0</v>
      </c>
      <c r="D54" s="212">
        <v>748.0</v>
      </c>
      <c r="E54" s="211"/>
      <c r="F54" s="213"/>
      <c r="G54" s="213"/>
      <c r="H54" s="213"/>
      <c r="I54" s="213"/>
      <c r="J54" s="213"/>
      <c r="K54" s="211">
        <v>6462.0</v>
      </c>
      <c r="L54" s="211">
        <v>21000.0</v>
      </c>
      <c r="M54" s="213">
        <v>5800.0</v>
      </c>
      <c r="N54" s="213">
        <v>133.0</v>
      </c>
      <c r="O54" s="213"/>
      <c r="P54" s="212">
        <v>293.0</v>
      </c>
      <c r="Q54" s="213"/>
      <c r="R54" s="213"/>
      <c r="S54" s="214"/>
      <c r="T54" s="212">
        <v>13886.0</v>
      </c>
      <c r="U54" s="211">
        <f t="shared" si="1"/>
        <v>54146</v>
      </c>
      <c r="V54" s="213" t="str">
        <f t="shared" si="2"/>
        <v/>
      </c>
      <c r="W54" s="213">
        <f t="shared" si="3"/>
        <v>6462</v>
      </c>
      <c r="X54" s="213">
        <f t="shared" si="4"/>
        <v>27226</v>
      </c>
      <c r="Y54" s="213" t="str">
        <f t="shared" si="5"/>
        <v/>
      </c>
      <c r="Z54" s="213" t="str">
        <f t="shared" si="6"/>
        <v/>
      </c>
      <c r="AA54" s="212">
        <f t="shared" si="11"/>
        <v>13886</v>
      </c>
      <c r="AB54" s="197">
        <f t="shared" si="10"/>
        <v>54146</v>
      </c>
      <c r="AC54" s="216">
        <f t="shared" si="8"/>
        <v>87834</v>
      </c>
      <c r="AD54" s="217">
        <f t="shared" si="9"/>
        <v>101720</v>
      </c>
      <c r="AE54" s="198" t="s">
        <v>382</v>
      </c>
      <c r="AF54" s="199">
        <f>SUM(U54:U65)</f>
        <v>420891</v>
      </c>
      <c r="AG54" s="199">
        <f>AF54/(12-COUNTBLANK(AD54:AD65))</f>
        <v>35074.25</v>
      </c>
      <c r="AH54" s="200" t="s">
        <v>584</v>
      </c>
      <c r="AI54" s="174"/>
      <c r="AJ54" s="174"/>
      <c r="AK54" s="174"/>
    </row>
    <row r="55" ht="15.75" customHeight="1">
      <c r="B55" s="210">
        <v>44958.0</v>
      </c>
      <c r="C55" s="192">
        <v>18927.0</v>
      </c>
      <c r="D55" s="193"/>
      <c r="E55" s="192"/>
      <c r="F55" s="194"/>
      <c r="G55" s="194"/>
      <c r="H55" s="194"/>
      <c r="I55" s="194"/>
      <c r="J55" s="194"/>
      <c r="K55" s="192">
        <v>6462.0</v>
      </c>
      <c r="L55" s="192">
        <v>21000.0</v>
      </c>
      <c r="M55" s="234"/>
      <c r="N55" s="194"/>
      <c r="O55" s="194">
        <v>760.0</v>
      </c>
      <c r="P55" s="193"/>
      <c r="Q55" s="194"/>
      <c r="R55" s="194"/>
      <c r="S55" s="195"/>
      <c r="T55" s="193">
        <v>2245.0</v>
      </c>
      <c r="U55" s="192">
        <f t="shared" si="1"/>
        <v>18927</v>
      </c>
      <c r="V55" s="194" t="str">
        <f t="shared" si="2"/>
        <v/>
      </c>
      <c r="W55" s="194">
        <f t="shared" si="3"/>
        <v>6462</v>
      </c>
      <c r="X55" s="194">
        <f t="shared" si="4"/>
        <v>21760</v>
      </c>
      <c r="Y55" s="194" t="str">
        <f t="shared" si="5"/>
        <v/>
      </c>
      <c r="Z55" s="194" t="str">
        <f t="shared" si="6"/>
        <v/>
      </c>
      <c r="AA55" s="193">
        <f t="shared" si="11"/>
        <v>2245</v>
      </c>
      <c r="AB55" s="197">
        <f t="shared" si="10"/>
        <v>18927</v>
      </c>
      <c r="AC55" s="218">
        <f t="shared" si="8"/>
        <v>47149</v>
      </c>
      <c r="AD55" s="197">
        <f t="shared" si="9"/>
        <v>49394</v>
      </c>
      <c r="AE55" s="219" t="s">
        <v>380</v>
      </c>
      <c r="AF55" s="202">
        <f>SUM(V54:V65)</f>
        <v>0</v>
      </c>
      <c r="AG55" s="202">
        <f>AF55/(12-COUNTBLANK(AD54:AD65))</f>
        <v>0</v>
      </c>
      <c r="AH55" s="203"/>
      <c r="AI55" s="174"/>
      <c r="AJ55" s="174"/>
      <c r="AK55" s="174"/>
    </row>
    <row r="56" ht="15.75" customHeight="1">
      <c r="B56" s="210">
        <v>44986.0</v>
      </c>
      <c r="C56" s="192">
        <v>18933.0</v>
      </c>
      <c r="D56" s="193">
        <v>699.0</v>
      </c>
      <c r="E56" s="192"/>
      <c r="F56" s="194"/>
      <c r="G56" s="194"/>
      <c r="H56" s="194"/>
      <c r="I56" s="194"/>
      <c r="J56" s="194"/>
      <c r="K56" s="192">
        <v>6462.0</v>
      </c>
      <c r="L56" s="192">
        <v>21000.0</v>
      </c>
      <c r="M56" s="194">
        <v>5800.0</v>
      </c>
      <c r="N56" s="194">
        <v>141.0</v>
      </c>
      <c r="O56" s="194"/>
      <c r="P56" s="193">
        <v>363.0</v>
      </c>
      <c r="Q56" s="194"/>
      <c r="R56" s="194"/>
      <c r="S56" s="195"/>
      <c r="T56" s="193">
        <v>2265.0</v>
      </c>
      <c r="U56" s="192">
        <f t="shared" si="1"/>
        <v>19632</v>
      </c>
      <c r="V56" s="194" t="str">
        <f t="shared" si="2"/>
        <v/>
      </c>
      <c r="W56" s="194">
        <f t="shared" si="3"/>
        <v>6462</v>
      </c>
      <c r="X56" s="194">
        <f t="shared" si="4"/>
        <v>27304</v>
      </c>
      <c r="Y56" s="194" t="str">
        <f t="shared" si="5"/>
        <v/>
      </c>
      <c r="Z56" s="194" t="str">
        <f t="shared" si="6"/>
        <v/>
      </c>
      <c r="AA56" s="193">
        <f t="shared" si="11"/>
        <v>2265</v>
      </c>
      <c r="AB56" s="197">
        <f t="shared" si="10"/>
        <v>19632</v>
      </c>
      <c r="AC56" s="218">
        <f t="shared" si="8"/>
        <v>53398</v>
      </c>
      <c r="AD56" s="197">
        <f t="shared" si="9"/>
        <v>55663</v>
      </c>
      <c r="AE56" s="219" t="s">
        <v>546</v>
      </c>
      <c r="AF56" s="220">
        <f>SUM(W54:W65)</f>
        <v>43048</v>
      </c>
      <c r="AG56" s="220">
        <f>AF56/(12-COUNTBLANK(AD54:AD65))</f>
        <v>3587.333333</v>
      </c>
      <c r="AH56" s="203"/>
      <c r="AI56" s="174"/>
      <c r="AJ56" s="174"/>
      <c r="AK56" s="174"/>
    </row>
    <row r="57" ht="15.75" customHeight="1">
      <c r="B57" s="210">
        <v>45017.0</v>
      </c>
      <c r="C57" s="192">
        <v>38342.0</v>
      </c>
      <c r="D57" s="193"/>
      <c r="E57" s="192"/>
      <c r="F57" s="194"/>
      <c r="G57" s="194"/>
      <c r="H57" s="194"/>
      <c r="I57" s="194"/>
      <c r="J57" s="194"/>
      <c r="K57" s="192">
        <v>2598.0</v>
      </c>
      <c r="L57" s="192">
        <v>21000.0</v>
      </c>
      <c r="M57" s="194"/>
      <c r="N57" s="194"/>
      <c r="O57" s="194">
        <v>821.0</v>
      </c>
      <c r="P57" s="193"/>
      <c r="Q57" s="194"/>
      <c r="R57" s="194"/>
      <c r="S57" s="195"/>
      <c r="T57" s="193">
        <v>2606.0</v>
      </c>
      <c r="U57" s="192">
        <f t="shared" si="1"/>
        <v>38342</v>
      </c>
      <c r="V57" s="194" t="str">
        <f t="shared" si="2"/>
        <v/>
      </c>
      <c r="W57" s="194">
        <f t="shared" si="3"/>
        <v>2598</v>
      </c>
      <c r="X57" s="194">
        <f t="shared" si="4"/>
        <v>21821</v>
      </c>
      <c r="Y57" s="194" t="str">
        <f t="shared" si="5"/>
        <v/>
      </c>
      <c r="Z57" s="194" t="str">
        <f t="shared" si="6"/>
        <v/>
      </c>
      <c r="AA57" s="193">
        <f t="shared" si="11"/>
        <v>2606</v>
      </c>
      <c r="AB57" s="197">
        <f t="shared" si="10"/>
        <v>38342</v>
      </c>
      <c r="AC57" s="218">
        <f t="shared" si="8"/>
        <v>62761</v>
      </c>
      <c r="AD57" s="197">
        <f t="shared" si="9"/>
        <v>65367</v>
      </c>
      <c r="AE57" s="219" t="s">
        <v>564</v>
      </c>
      <c r="AF57" s="220">
        <f>SUM(X54:X65)</f>
        <v>325534</v>
      </c>
      <c r="AG57" s="220">
        <f>AF57/(12-COUNTBLANK(AD54:AD65))</f>
        <v>27127.83333</v>
      </c>
      <c r="AH57" s="203"/>
      <c r="AI57" s="174"/>
      <c r="AJ57" s="174"/>
      <c r="AK57" s="174"/>
    </row>
    <row r="58" ht="15.75" customHeight="1">
      <c r="B58" s="210">
        <v>45047.0</v>
      </c>
      <c r="C58" s="192">
        <v>21107.0</v>
      </c>
      <c r="D58" s="193">
        <v>788.0</v>
      </c>
      <c r="E58" s="192"/>
      <c r="F58" s="194"/>
      <c r="G58" s="194"/>
      <c r="H58" s="194"/>
      <c r="I58" s="194"/>
      <c r="J58" s="194"/>
      <c r="K58" s="192">
        <v>2598.0</v>
      </c>
      <c r="L58" s="192">
        <v>21000.0</v>
      </c>
      <c r="M58" s="194">
        <v>5800.0</v>
      </c>
      <c r="N58" s="194">
        <v>179.0</v>
      </c>
      <c r="O58" s="194"/>
      <c r="P58" s="193">
        <v>457.0</v>
      </c>
      <c r="Q58" s="194"/>
      <c r="R58" s="194"/>
      <c r="S58" s="195"/>
      <c r="T58" s="193">
        <v>12962.0</v>
      </c>
      <c r="U58" s="192">
        <f t="shared" si="1"/>
        <v>21895</v>
      </c>
      <c r="V58" s="194" t="str">
        <f t="shared" si="2"/>
        <v/>
      </c>
      <c r="W58" s="194">
        <f t="shared" si="3"/>
        <v>2598</v>
      </c>
      <c r="X58" s="194">
        <f t="shared" si="4"/>
        <v>27436</v>
      </c>
      <c r="Y58" s="194" t="str">
        <f t="shared" si="5"/>
        <v/>
      </c>
      <c r="Z58" s="194" t="str">
        <f t="shared" si="6"/>
        <v/>
      </c>
      <c r="AA58" s="193">
        <f t="shared" si="11"/>
        <v>12962</v>
      </c>
      <c r="AB58" s="197">
        <f t="shared" si="10"/>
        <v>21895</v>
      </c>
      <c r="AC58" s="218">
        <f t="shared" si="8"/>
        <v>51929</v>
      </c>
      <c r="AD58" s="197">
        <f t="shared" si="9"/>
        <v>64891</v>
      </c>
      <c r="AE58" s="219" t="s">
        <v>547</v>
      </c>
      <c r="AF58" s="220">
        <f>SUM(Y54:Y65)</f>
        <v>0</v>
      </c>
      <c r="AG58" s="220">
        <f>AF58/(12-COUNTBLANK(AD54:AD65))</f>
        <v>0</v>
      </c>
      <c r="AH58" s="221" t="s">
        <v>585</v>
      </c>
      <c r="AI58" s="174"/>
      <c r="AJ58" s="174"/>
      <c r="AK58" s="174"/>
    </row>
    <row r="59" ht="15.75" customHeight="1">
      <c r="B59" s="210">
        <v>45078.0</v>
      </c>
      <c r="C59" s="192">
        <v>33011.0</v>
      </c>
      <c r="D59" s="193"/>
      <c r="E59" s="192"/>
      <c r="F59" s="194"/>
      <c r="G59" s="194"/>
      <c r="H59" s="194"/>
      <c r="I59" s="194"/>
      <c r="J59" s="194"/>
      <c r="K59" s="192">
        <v>2598.0</v>
      </c>
      <c r="L59" s="192">
        <v>21000.0</v>
      </c>
      <c r="M59" s="194"/>
      <c r="N59" s="194"/>
      <c r="O59" s="194">
        <v>962.0</v>
      </c>
      <c r="P59" s="193"/>
      <c r="Q59" s="194"/>
      <c r="R59" s="194"/>
      <c r="S59" s="195"/>
      <c r="T59" s="193">
        <v>2985.0</v>
      </c>
      <c r="U59" s="192">
        <f t="shared" si="1"/>
        <v>33011</v>
      </c>
      <c r="V59" s="194" t="str">
        <f t="shared" si="2"/>
        <v/>
      </c>
      <c r="W59" s="194">
        <f t="shared" si="3"/>
        <v>2598</v>
      </c>
      <c r="X59" s="194">
        <f t="shared" si="4"/>
        <v>21962</v>
      </c>
      <c r="Y59" s="194" t="str">
        <f t="shared" si="5"/>
        <v/>
      </c>
      <c r="Z59" s="194" t="str">
        <f t="shared" si="6"/>
        <v/>
      </c>
      <c r="AA59" s="193">
        <f t="shared" si="11"/>
        <v>2985</v>
      </c>
      <c r="AB59" s="197">
        <f t="shared" si="10"/>
        <v>33011</v>
      </c>
      <c r="AC59" s="218">
        <f t="shared" si="8"/>
        <v>57571</v>
      </c>
      <c r="AD59" s="197">
        <f t="shared" si="9"/>
        <v>60556</v>
      </c>
      <c r="AE59" s="219" t="s">
        <v>548</v>
      </c>
      <c r="AF59" s="202">
        <f>SUM(Z54:Z65)</f>
        <v>0</v>
      </c>
      <c r="AG59" s="202">
        <f>AF59/(12-COUNTBLANK(AD54:AD65))</f>
        <v>0</v>
      </c>
      <c r="AH59" s="221"/>
      <c r="AI59" s="174"/>
      <c r="AJ59" s="174"/>
      <c r="AK59" s="174"/>
    </row>
    <row r="60">
      <c r="B60" s="210">
        <v>45108.0</v>
      </c>
      <c r="C60" s="192">
        <v>20693.0</v>
      </c>
      <c r="D60" s="193">
        <v>698.0</v>
      </c>
      <c r="E60" s="192"/>
      <c r="F60" s="194"/>
      <c r="G60" s="194"/>
      <c r="H60" s="194"/>
      <c r="I60" s="194"/>
      <c r="J60" s="194"/>
      <c r="K60" s="192">
        <v>2598.0</v>
      </c>
      <c r="L60" s="192">
        <v>26000.0</v>
      </c>
      <c r="M60" s="194">
        <v>5800.0</v>
      </c>
      <c r="N60" s="194">
        <v>179.0</v>
      </c>
      <c r="O60" s="194"/>
      <c r="P60" s="193">
        <v>328.0</v>
      </c>
      <c r="Q60" s="194"/>
      <c r="R60" s="194"/>
      <c r="S60" s="195"/>
      <c r="T60" s="193">
        <v>10473.0</v>
      </c>
      <c r="U60" s="192">
        <f t="shared" si="1"/>
        <v>21391</v>
      </c>
      <c r="V60" s="194" t="str">
        <f t="shared" si="2"/>
        <v/>
      </c>
      <c r="W60" s="194">
        <f t="shared" si="3"/>
        <v>2598</v>
      </c>
      <c r="X60" s="194">
        <f t="shared" si="4"/>
        <v>32307</v>
      </c>
      <c r="Y60" s="194" t="str">
        <f t="shared" si="5"/>
        <v/>
      </c>
      <c r="Z60" s="194" t="str">
        <f t="shared" si="6"/>
        <v/>
      </c>
      <c r="AA60" s="193">
        <f t="shared" si="11"/>
        <v>10473</v>
      </c>
      <c r="AB60" s="197">
        <f t="shared" si="10"/>
        <v>21391</v>
      </c>
      <c r="AC60" s="218">
        <f t="shared" si="8"/>
        <v>56296</v>
      </c>
      <c r="AD60" s="197">
        <f t="shared" si="9"/>
        <v>66769</v>
      </c>
      <c r="AE60" s="219" t="s">
        <v>75</v>
      </c>
      <c r="AF60" s="202">
        <f>SUM(AA54:AA65)</f>
        <v>64374</v>
      </c>
      <c r="AG60" s="202">
        <f>AF60/(12-COUNTBLANK(AD54:AD65))</f>
        <v>5364.5</v>
      </c>
      <c r="AH60" s="221" t="s">
        <v>586</v>
      </c>
      <c r="AI60" s="174"/>
      <c r="AJ60" s="174"/>
      <c r="AK60" s="174"/>
    </row>
    <row r="61" ht="15.75" customHeight="1">
      <c r="B61" s="210">
        <v>45139.0</v>
      </c>
      <c r="C61" s="192">
        <v>28656.0</v>
      </c>
      <c r="D61" s="193"/>
      <c r="E61" s="192"/>
      <c r="F61" s="194"/>
      <c r="G61" s="194"/>
      <c r="H61" s="194"/>
      <c r="I61" s="194"/>
      <c r="J61" s="194"/>
      <c r="K61" s="192">
        <v>2598.0</v>
      </c>
      <c r="L61" s="192">
        <v>26000.0</v>
      </c>
      <c r="M61" s="194"/>
      <c r="N61" s="194"/>
      <c r="O61" s="194">
        <v>1317.0</v>
      </c>
      <c r="P61" s="193"/>
      <c r="Q61" s="194"/>
      <c r="R61" s="194"/>
      <c r="S61" s="195"/>
      <c r="T61" s="193">
        <v>2987.0</v>
      </c>
      <c r="U61" s="192">
        <f t="shared" si="1"/>
        <v>28656</v>
      </c>
      <c r="V61" s="194" t="str">
        <f t="shared" si="2"/>
        <v/>
      </c>
      <c r="W61" s="194">
        <f t="shared" si="3"/>
        <v>2598</v>
      </c>
      <c r="X61" s="194">
        <f t="shared" si="4"/>
        <v>27317</v>
      </c>
      <c r="Y61" s="194" t="str">
        <f t="shared" si="5"/>
        <v/>
      </c>
      <c r="Z61" s="194" t="str">
        <f t="shared" si="6"/>
        <v/>
      </c>
      <c r="AA61" s="193">
        <f t="shared" si="11"/>
        <v>2987</v>
      </c>
      <c r="AB61" s="197">
        <f t="shared" si="10"/>
        <v>28656</v>
      </c>
      <c r="AC61" s="218">
        <f t="shared" si="8"/>
        <v>58571</v>
      </c>
      <c r="AD61" s="197">
        <f t="shared" si="9"/>
        <v>61558</v>
      </c>
      <c r="AE61" s="219" t="s">
        <v>566</v>
      </c>
      <c r="AF61" s="202">
        <f>SUM(AD54:AD65)</f>
        <v>853847</v>
      </c>
      <c r="AG61" s="202">
        <f>AF61/(12-COUNTBLANK(AD54:AD65))</f>
        <v>71153.91667</v>
      </c>
      <c r="AH61" s="221" t="s">
        <v>587</v>
      </c>
      <c r="AI61" s="174"/>
      <c r="AJ61" s="174"/>
      <c r="AK61" s="174"/>
    </row>
    <row r="62" ht="15.75" customHeight="1">
      <c r="B62" s="210">
        <v>45170.0</v>
      </c>
      <c r="C62" s="192">
        <v>56414.0</v>
      </c>
      <c r="D62" s="193">
        <v>798.0</v>
      </c>
      <c r="E62" s="192"/>
      <c r="F62" s="194"/>
      <c r="G62" s="194"/>
      <c r="H62" s="194"/>
      <c r="I62" s="194"/>
      <c r="J62" s="194"/>
      <c r="K62" s="192">
        <v>2668.0</v>
      </c>
      <c r="L62" s="192">
        <v>26000.0</v>
      </c>
      <c r="M62" s="194">
        <v>5800.0</v>
      </c>
      <c r="N62" s="194">
        <v>195.0</v>
      </c>
      <c r="O62" s="194"/>
      <c r="P62" s="193">
        <v>305.0</v>
      </c>
      <c r="Q62" s="194"/>
      <c r="R62" s="194"/>
      <c r="S62" s="195"/>
      <c r="T62" s="193">
        <v>2997.0</v>
      </c>
      <c r="U62" s="192">
        <f t="shared" si="1"/>
        <v>57212</v>
      </c>
      <c r="V62" s="194" t="str">
        <f t="shared" si="2"/>
        <v/>
      </c>
      <c r="W62" s="194">
        <f t="shared" si="3"/>
        <v>2668</v>
      </c>
      <c r="X62" s="194">
        <f t="shared" si="4"/>
        <v>32300</v>
      </c>
      <c r="Y62" s="194" t="str">
        <f t="shared" si="5"/>
        <v/>
      </c>
      <c r="Z62" s="194" t="str">
        <f t="shared" si="6"/>
        <v/>
      </c>
      <c r="AA62" s="193">
        <f t="shared" si="11"/>
        <v>2997</v>
      </c>
      <c r="AB62" s="197">
        <f t="shared" si="10"/>
        <v>57212</v>
      </c>
      <c r="AC62" s="218">
        <f t="shared" si="8"/>
        <v>92180</v>
      </c>
      <c r="AD62" s="197">
        <f t="shared" si="9"/>
        <v>95177</v>
      </c>
      <c r="AE62" s="190"/>
      <c r="AF62" s="202"/>
      <c r="AG62" s="202"/>
      <c r="AH62" s="221" t="s">
        <v>588</v>
      </c>
      <c r="AI62" s="174"/>
      <c r="AJ62" s="174"/>
      <c r="AK62" s="174"/>
    </row>
    <row r="63" ht="15.75" customHeight="1">
      <c r="B63" s="210">
        <v>45200.0</v>
      </c>
      <c r="C63" s="192">
        <v>38043.0</v>
      </c>
      <c r="D63" s="193"/>
      <c r="E63" s="192"/>
      <c r="F63" s="194"/>
      <c r="G63" s="194"/>
      <c r="H63" s="194"/>
      <c r="I63" s="194"/>
      <c r="J63" s="194"/>
      <c r="K63" s="192">
        <v>2668.0</v>
      </c>
      <c r="L63" s="192">
        <v>26000.0</v>
      </c>
      <c r="M63" s="194"/>
      <c r="N63" s="194"/>
      <c r="O63" s="194">
        <v>1255.0</v>
      </c>
      <c r="P63" s="193"/>
      <c r="Q63" s="194"/>
      <c r="R63" s="194"/>
      <c r="S63" s="195"/>
      <c r="T63" s="193">
        <v>4192.0</v>
      </c>
      <c r="U63" s="192">
        <f t="shared" si="1"/>
        <v>38043</v>
      </c>
      <c r="V63" s="194" t="str">
        <f t="shared" si="2"/>
        <v/>
      </c>
      <c r="W63" s="194">
        <f t="shared" si="3"/>
        <v>2668</v>
      </c>
      <c r="X63" s="194">
        <f t="shared" si="4"/>
        <v>27255</v>
      </c>
      <c r="Y63" s="194" t="str">
        <f t="shared" si="5"/>
        <v/>
      </c>
      <c r="Z63" s="194" t="str">
        <f t="shared" si="6"/>
        <v/>
      </c>
      <c r="AA63" s="193">
        <f t="shared" si="11"/>
        <v>4192</v>
      </c>
      <c r="AB63" s="197">
        <f t="shared" si="10"/>
        <v>38043</v>
      </c>
      <c r="AC63" s="218">
        <f t="shared" si="8"/>
        <v>67966</v>
      </c>
      <c r="AD63" s="197">
        <f t="shared" si="9"/>
        <v>72158</v>
      </c>
      <c r="AE63" s="190"/>
      <c r="AF63" s="202"/>
      <c r="AG63" s="202"/>
      <c r="AH63" s="221" t="s">
        <v>589</v>
      </c>
      <c r="AI63" s="174"/>
      <c r="AJ63" s="174"/>
      <c r="AK63" s="174"/>
    </row>
    <row r="64" ht="15.75" customHeight="1">
      <c r="B64" s="210">
        <v>45231.0</v>
      </c>
      <c r="C64" s="192">
        <v>44512.0</v>
      </c>
      <c r="D64" s="193">
        <v>798.0</v>
      </c>
      <c r="E64" s="192"/>
      <c r="F64" s="194"/>
      <c r="G64" s="194"/>
      <c r="H64" s="194"/>
      <c r="I64" s="194"/>
      <c r="J64" s="194"/>
      <c r="K64" s="192">
        <v>2668.0</v>
      </c>
      <c r="L64" s="192">
        <v>26000.0</v>
      </c>
      <c r="M64" s="194">
        <v>5300.0</v>
      </c>
      <c r="N64" s="194">
        <v>174.0</v>
      </c>
      <c r="O64" s="194"/>
      <c r="P64" s="193">
        <v>375.0</v>
      </c>
      <c r="Q64" s="194"/>
      <c r="R64" s="194"/>
      <c r="S64" s="195"/>
      <c r="T64" s="193">
        <v>3789.0</v>
      </c>
      <c r="U64" s="192">
        <f t="shared" si="1"/>
        <v>45310</v>
      </c>
      <c r="V64" s="194" t="str">
        <f t="shared" si="2"/>
        <v/>
      </c>
      <c r="W64" s="194">
        <f t="shared" si="3"/>
        <v>2668</v>
      </c>
      <c r="X64" s="194">
        <f t="shared" si="4"/>
        <v>31849</v>
      </c>
      <c r="Y64" s="194" t="str">
        <f t="shared" si="5"/>
        <v/>
      </c>
      <c r="Z64" s="194" t="str">
        <f t="shared" si="6"/>
        <v/>
      </c>
      <c r="AA64" s="193">
        <f t="shared" si="11"/>
        <v>3789</v>
      </c>
      <c r="AB64" s="197">
        <f t="shared" si="10"/>
        <v>45310</v>
      </c>
      <c r="AC64" s="218">
        <f t="shared" si="8"/>
        <v>79827</v>
      </c>
      <c r="AD64" s="197">
        <f t="shared" si="9"/>
        <v>83616</v>
      </c>
      <c r="AE64" s="190"/>
      <c r="AF64" s="202"/>
      <c r="AG64" s="202"/>
      <c r="AH64" s="221" t="s">
        <v>590</v>
      </c>
      <c r="AI64" s="174"/>
      <c r="AJ64" s="174"/>
      <c r="AK64" s="174"/>
    </row>
    <row r="65" ht="15.75" customHeight="1">
      <c r="A65" s="114"/>
      <c r="B65" s="210">
        <v>45261.0</v>
      </c>
      <c r="C65" s="223">
        <v>44326.0</v>
      </c>
      <c r="D65" s="224"/>
      <c r="E65" s="223"/>
      <c r="F65" s="204"/>
      <c r="G65" s="204"/>
      <c r="H65" s="204"/>
      <c r="I65" s="204"/>
      <c r="J65" s="204"/>
      <c r="K65" s="223">
        <v>2668.0</v>
      </c>
      <c r="L65" s="223">
        <v>26000.0</v>
      </c>
      <c r="M65" s="204"/>
      <c r="N65" s="204"/>
      <c r="O65" s="204">
        <v>997.0</v>
      </c>
      <c r="P65" s="224"/>
      <c r="Q65" s="194"/>
      <c r="R65" s="194"/>
      <c r="S65" s="195"/>
      <c r="T65" s="224">
        <v>2987.0</v>
      </c>
      <c r="U65" s="223">
        <f t="shared" si="1"/>
        <v>44326</v>
      </c>
      <c r="V65" s="204" t="str">
        <f t="shared" si="2"/>
        <v/>
      </c>
      <c r="W65" s="204">
        <f t="shared" si="3"/>
        <v>2668</v>
      </c>
      <c r="X65" s="204">
        <f t="shared" si="4"/>
        <v>26997</v>
      </c>
      <c r="Y65" s="204" t="str">
        <f t="shared" si="5"/>
        <v/>
      </c>
      <c r="Z65" s="204" t="str">
        <f t="shared" si="6"/>
        <v/>
      </c>
      <c r="AA65" s="224">
        <f t="shared" si="11"/>
        <v>2987</v>
      </c>
      <c r="AB65" s="197">
        <f t="shared" si="10"/>
        <v>44326</v>
      </c>
      <c r="AC65" s="226">
        <f t="shared" si="8"/>
        <v>73991</v>
      </c>
      <c r="AD65" s="205">
        <f t="shared" si="9"/>
        <v>76978</v>
      </c>
      <c r="AE65" s="190"/>
      <c r="AF65" s="202"/>
      <c r="AG65" s="202"/>
      <c r="AH65" s="227" t="s">
        <v>591</v>
      </c>
      <c r="AI65" s="174"/>
      <c r="AJ65" s="174"/>
      <c r="AK65" s="174"/>
    </row>
    <row r="66" ht="15.75" customHeight="1">
      <c r="A66" s="233">
        <v>2024.0</v>
      </c>
      <c r="B66" s="210">
        <v>45292.0</v>
      </c>
      <c r="C66" s="211">
        <v>26537.0</v>
      </c>
      <c r="D66" s="212">
        <v>808.0</v>
      </c>
      <c r="E66" s="211">
        <v>37135.0</v>
      </c>
      <c r="F66" s="213"/>
      <c r="G66" s="213"/>
      <c r="H66" s="213"/>
      <c r="I66" s="213"/>
      <c r="J66" s="212"/>
      <c r="K66" s="214">
        <v>2668.0</v>
      </c>
      <c r="L66" s="211">
        <v>26000.0</v>
      </c>
      <c r="M66" s="213">
        <v>6602.0</v>
      </c>
      <c r="N66" s="213">
        <v>205.0</v>
      </c>
      <c r="O66" s="213"/>
      <c r="P66" s="213">
        <v>527.0</v>
      </c>
      <c r="Q66" s="211"/>
      <c r="R66" s="215">
        <f>IF(TODAY()&gt;=B66,'資產'!G68,"")</f>
        <v>12956</v>
      </c>
      <c r="S66" s="212">
        <f>'貸款'!I10</f>
        <v>903</v>
      </c>
      <c r="T66" s="212">
        <v>34205.0</v>
      </c>
      <c r="U66" s="192">
        <f t="shared" si="1"/>
        <v>27345</v>
      </c>
      <c r="V66" s="194">
        <f t="shared" si="2"/>
        <v>37135</v>
      </c>
      <c r="W66" s="194">
        <f t="shared" si="3"/>
        <v>2668</v>
      </c>
      <c r="X66" s="194">
        <f t="shared" si="4"/>
        <v>33334</v>
      </c>
      <c r="Y66" s="194">
        <f t="shared" si="5"/>
        <v>12956</v>
      </c>
      <c r="Z66" s="194">
        <f t="shared" si="6"/>
        <v>903</v>
      </c>
      <c r="AA66" s="194">
        <f t="shared" si="11"/>
        <v>34205</v>
      </c>
      <c r="AB66" s="216">
        <f t="shared" ref="AB66:AB77" si="12">IF(SUM(U66:V66)=0,"",SUM(U66:V66))</f>
        <v>64480</v>
      </c>
      <c r="AC66" s="197">
        <f t="shared" si="8"/>
        <v>100482</v>
      </c>
      <c r="AD66" s="197">
        <f t="shared" si="9"/>
        <v>148546</v>
      </c>
      <c r="AE66" s="198" t="s">
        <v>382</v>
      </c>
      <c r="AF66" s="199">
        <f>SUM(U66:U77)</f>
        <v>459385</v>
      </c>
      <c r="AG66" s="199">
        <f>AF66/(12-COUNTBLANK(AD66:AD77))</f>
        <v>38282.08333</v>
      </c>
      <c r="AH66" s="235" t="s">
        <v>592</v>
      </c>
      <c r="AI66" s="174"/>
      <c r="AJ66" s="174"/>
      <c r="AK66" s="174"/>
    </row>
    <row r="67" ht="15.75" customHeight="1">
      <c r="B67" s="210">
        <v>45323.0</v>
      </c>
      <c r="C67" s="192">
        <v>45443.0</v>
      </c>
      <c r="D67" s="193"/>
      <c r="E67" s="192"/>
      <c r="F67" s="194"/>
      <c r="G67" s="194">
        <v>130.0</v>
      </c>
      <c r="H67" s="194">
        <v>400.0</v>
      </c>
      <c r="I67" s="194">
        <v>120.0</v>
      </c>
      <c r="J67" s="193"/>
      <c r="K67" s="195">
        <v>2668.0</v>
      </c>
      <c r="L67" s="194">
        <v>26000.0</v>
      </c>
      <c r="M67" s="234"/>
      <c r="N67" s="194"/>
      <c r="O67" s="194">
        <v>905.0</v>
      </c>
      <c r="P67" s="194"/>
      <c r="Q67" s="192"/>
      <c r="R67" s="196">
        <f>IF(TODAY()&gt;=B67,'資產'!G69,"")</f>
        <v>12740</v>
      </c>
      <c r="S67" s="193">
        <f>'貸款'!I11</f>
        <v>824</v>
      </c>
      <c r="T67" s="194">
        <v>2453.0</v>
      </c>
      <c r="U67" s="192">
        <f t="shared" si="1"/>
        <v>45443</v>
      </c>
      <c r="V67" s="194">
        <f t="shared" si="2"/>
        <v>650</v>
      </c>
      <c r="W67" s="194">
        <f t="shared" si="3"/>
        <v>2668</v>
      </c>
      <c r="X67" s="194">
        <f t="shared" si="4"/>
        <v>26905</v>
      </c>
      <c r="Y67" s="194">
        <f t="shared" si="5"/>
        <v>12740</v>
      </c>
      <c r="Z67" s="194">
        <f t="shared" si="6"/>
        <v>824</v>
      </c>
      <c r="AA67" s="194">
        <f t="shared" si="11"/>
        <v>2453</v>
      </c>
      <c r="AB67" s="218">
        <f t="shared" si="12"/>
        <v>46093</v>
      </c>
      <c r="AC67" s="197">
        <f t="shared" si="8"/>
        <v>75666</v>
      </c>
      <c r="AD67" s="197">
        <f t="shared" si="9"/>
        <v>91683</v>
      </c>
      <c r="AE67" s="219" t="s">
        <v>380</v>
      </c>
      <c r="AF67" s="202">
        <f>SUM(V66:V77)</f>
        <v>74675</v>
      </c>
      <c r="AG67" s="202">
        <f>AF67/(12-COUNTBLANK(AD66:AD77))</f>
        <v>6222.916667</v>
      </c>
      <c r="AH67" s="221" t="s">
        <v>593</v>
      </c>
      <c r="AI67" s="174"/>
      <c r="AJ67" s="174"/>
      <c r="AK67" s="174"/>
    </row>
    <row r="68" ht="15.75" customHeight="1">
      <c r="B68" s="210">
        <v>45352.0</v>
      </c>
      <c r="C68" s="192">
        <v>30870.0</v>
      </c>
      <c r="D68" s="193">
        <v>788.0</v>
      </c>
      <c r="E68" s="192"/>
      <c r="F68" s="194">
        <v>1875.0</v>
      </c>
      <c r="G68" s="194">
        <v>4598.0</v>
      </c>
      <c r="H68" s="194">
        <v>400.0</v>
      </c>
      <c r="I68" s="194">
        <v>270.0</v>
      </c>
      <c r="J68" s="193">
        <v>70.0</v>
      </c>
      <c r="K68" s="195">
        <v>2668.0</v>
      </c>
      <c r="L68" s="194">
        <v>26000.0</v>
      </c>
      <c r="M68" s="194">
        <v>6602.0</v>
      </c>
      <c r="N68" s="194">
        <v>213.0</v>
      </c>
      <c r="O68" s="194"/>
      <c r="P68" s="194">
        <v>480.0</v>
      </c>
      <c r="Q68" s="192"/>
      <c r="R68" s="196">
        <f>IF(TODAY()&gt;=B68,'資產'!G70,"")</f>
        <v>12527</v>
      </c>
      <c r="S68" s="193">
        <f>'貸款'!I12</f>
        <v>815</v>
      </c>
      <c r="T68" s="194">
        <v>2461.0</v>
      </c>
      <c r="U68" s="192">
        <f t="shared" si="1"/>
        <v>31658</v>
      </c>
      <c r="V68" s="194">
        <f t="shared" si="2"/>
        <v>7213</v>
      </c>
      <c r="W68" s="194">
        <f t="shared" si="3"/>
        <v>2668</v>
      </c>
      <c r="X68" s="194">
        <f t="shared" si="4"/>
        <v>33295</v>
      </c>
      <c r="Y68" s="194">
        <f t="shared" si="5"/>
        <v>12527</v>
      </c>
      <c r="Z68" s="194">
        <f t="shared" si="6"/>
        <v>815</v>
      </c>
      <c r="AA68" s="194">
        <f t="shared" si="11"/>
        <v>2461</v>
      </c>
      <c r="AB68" s="218">
        <f t="shared" si="12"/>
        <v>38871</v>
      </c>
      <c r="AC68" s="197">
        <f t="shared" si="8"/>
        <v>74834</v>
      </c>
      <c r="AD68" s="197">
        <f t="shared" si="9"/>
        <v>90637</v>
      </c>
      <c r="AE68" s="219" t="s">
        <v>546</v>
      </c>
      <c r="AF68" s="220">
        <f>SUM(W66:W77)</f>
        <v>29756</v>
      </c>
      <c r="AG68" s="220">
        <f>AF68/(12-COUNTBLANK(AD66:AD77))</f>
        <v>2479.666667</v>
      </c>
      <c r="AH68" s="221"/>
      <c r="AI68" s="174"/>
      <c r="AJ68" s="174"/>
      <c r="AK68" s="174"/>
    </row>
    <row r="69" ht="15.75" customHeight="1">
      <c r="B69" s="210">
        <v>45383.0</v>
      </c>
      <c r="C69" s="192">
        <v>31924.0</v>
      </c>
      <c r="D69" s="193"/>
      <c r="E69" s="192"/>
      <c r="F69" s="194">
        <v>0.0</v>
      </c>
      <c r="G69" s="194">
        <v>3050.0</v>
      </c>
      <c r="H69" s="194">
        <v>800.0</v>
      </c>
      <c r="I69" s="194">
        <v>120.0</v>
      </c>
      <c r="J69" s="193">
        <v>170.0</v>
      </c>
      <c r="K69" s="195">
        <v>2668.0</v>
      </c>
      <c r="L69" s="192">
        <v>26000.0</v>
      </c>
      <c r="M69" s="194"/>
      <c r="N69" s="194"/>
      <c r="O69" s="194">
        <v>869.0</v>
      </c>
      <c r="P69" s="194"/>
      <c r="Q69" s="192"/>
      <c r="R69" s="196">
        <f>IF(TODAY()&gt;=B69,'資產'!G71,"")</f>
        <v>12318</v>
      </c>
      <c r="S69" s="193">
        <f>'貸款'!I13</f>
        <v>806</v>
      </c>
      <c r="T69" s="193">
        <v>4421.0</v>
      </c>
      <c r="U69" s="192">
        <f t="shared" si="1"/>
        <v>31924</v>
      </c>
      <c r="V69" s="194">
        <f t="shared" si="2"/>
        <v>4140</v>
      </c>
      <c r="W69" s="194">
        <f t="shared" si="3"/>
        <v>2668</v>
      </c>
      <c r="X69" s="194">
        <f t="shared" si="4"/>
        <v>26869</v>
      </c>
      <c r="Y69" s="194">
        <f t="shared" si="5"/>
        <v>12318</v>
      </c>
      <c r="Z69" s="194">
        <f t="shared" si="6"/>
        <v>806</v>
      </c>
      <c r="AA69" s="194">
        <f t="shared" si="11"/>
        <v>4421</v>
      </c>
      <c r="AB69" s="218">
        <f t="shared" si="12"/>
        <v>36064</v>
      </c>
      <c r="AC69" s="197">
        <f t="shared" si="8"/>
        <v>65601</v>
      </c>
      <c r="AD69" s="197">
        <f t="shared" si="9"/>
        <v>83146</v>
      </c>
      <c r="AE69" s="219" t="s">
        <v>564</v>
      </c>
      <c r="AF69" s="220">
        <f>SUM(X66:X77)</f>
        <v>362206</v>
      </c>
      <c r="AG69" s="220">
        <f>AF69/(12-COUNTBLANK(AD66:AD77))</f>
        <v>30183.83333</v>
      </c>
      <c r="AH69" s="221" t="s">
        <v>594</v>
      </c>
      <c r="AI69" s="174"/>
      <c r="AJ69" s="174"/>
      <c r="AK69" s="174"/>
    </row>
    <row r="70" ht="15.75" customHeight="1">
      <c r="B70" s="210">
        <v>45413.0</v>
      </c>
      <c r="C70" s="192">
        <v>28434.0</v>
      </c>
      <c r="D70" s="193">
        <v>776.0</v>
      </c>
      <c r="E70" s="192"/>
      <c r="F70" s="194">
        <v>0.0</v>
      </c>
      <c r="G70" s="194">
        <v>4644.0</v>
      </c>
      <c r="H70" s="194">
        <v>400.0</v>
      </c>
      <c r="I70" s="194">
        <v>0.0</v>
      </c>
      <c r="J70" s="193">
        <v>150.0</v>
      </c>
      <c r="K70" s="195">
        <v>2668.0</v>
      </c>
      <c r="L70" s="192">
        <v>26000.0</v>
      </c>
      <c r="M70" s="194">
        <v>6602.0</v>
      </c>
      <c r="N70" s="194">
        <v>174.0</v>
      </c>
      <c r="O70" s="194"/>
      <c r="P70" s="194">
        <v>480.0</v>
      </c>
      <c r="Q70" s="192"/>
      <c r="R70" s="196">
        <f>IF(TODAY()&gt;=B70,'資產'!G72,"")</f>
        <v>12113</v>
      </c>
      <c r="S70" s="193">
        <f>'貸款'!I14</f>
        <v>836</v>
      </c>
      <c r="T70" s="193">
        <v>25011.0</v>
      </c>
      <c r="U70" s="192">
        <f t="shared" si="1"/>
        <v>29210</v>
      </c>
      <c r="V70" s="194">
        <f t="shared" si="2"/>
        <v>5194</v>
      </c>
      <c r="W70" s="194">
        <f t="shared" si="3"/>
        <v>2668</v>
      </c>
      <c r="X70" s="194">
        <f t="shared" si="4"/>
        <v>33256</v>
      </c>
      <c r="Y70" s="194">
        <f t="shared" si="5"/>
        <v>12113</v>
      </c>
      <c r="Z70" s="194">
        <f t="shared" si="6"/>
        <v>836</v>
      </c>
      <c r="AA70" s="194">
        <f t="shared" si="11"/>
        <v>25011</v>
      </c>
      <c r="AB70" s="218">
        <f t="shared" si="12"/>
        <v>34404</v>
      </c>
      <c r="AC70" s="197">
        <f t="shared" si="8"/>
        <v>70328</v>
      </c>
      <c r="AD70" s="197">
        <f t="shared" si="9"/>
        <v>108288</v>
      </c>
      <c r="AE70" s="219" t="s">
        <v>547</v>
      </c>
      <c r="AF70" s="220">
        <f>SUM(Y66:Y77)</f>
        <v>141978</v>
      </c>
      <c r="AG70" s="220">
        <f>AF70/(12-COUNTBLANK(AD66:AD77))</f>
        <v>11831.5</v>
      </c>
      <c r="AH70" s="221" t="s">
        <v>595</v>
      </c>
      <c r="AI70" s="174"/>
      <c r="AJ70" s="174"/>
      <c r="AK70" s="174"/>
    </row>
    <row r="71" ht="15.75" customHeight="1">
      <c r="B71" s="210">
        <v>45444.0</v>
      </c>
      <c r="C71" s="192">
        <v>37677.0</v>
      </c>
      <c r="D71" s="193"/>
      <c r="E71" s="192"/>
      <c r="F71" s="194">
        <v>2340.0</v>
      </c>
      <c r="G71" s="194">
        <v>2957.0</v>
      </c>
      <c r="H71" s="194">
        <v>400.0</v>
      </c>
      <c r="I71" s="194">
        <v>313.0</v>
      </c>
      <c r="J71" s="193"/>
      <c r="K71" s="195">
        <v>2701.0</v>
      </c>
      <c r="L71" s="192">
        <v>26000.0</v>
      </c>
      <c r="M71" s="194"/>
      <c r="N71" s="194"/>
      <c r="O71" s="194">
        <v>1259.0</v>
      </c>
      <c r="P71" s="194"/>
      <c r="Q71" s="192"/>
      <c r="R71" s="196">
        <f>IF(TODAY()&gt;=B71,'資產'!G73,"")</f>
        <v>11911</v>
      </c>
      <c r="S71" s="193">
        <f>'貸款'!I15</f>
        <v>848.0453</v>
      </c>
      <c r="T71" s="193">
        <v>3322.0</v>
      </c>
      <c r="U71" s="192">
        <f t="shared" si="1"/>
        <v>37677</v>
      </c>
      <c r="V71" s="194">
        <f t="shared" si="2"/>
        <v>6010</v>
      </c>
      <c r="W71" s="194">
        <f t="shared" si="3"/>
        <v>2701</v>
      </c>
      <c r="X71" s="194">
        <f t="shared" si="4"/>
        <v>27259</v>
      </c>
      <c r="Y71" s="194">
        <f t="shared" si="5"/>
        <v>11911</v>
      </c>
      <c r="Z71" s="194">
        <f t="shared" si="6"/>
        <v>848.0453</v>
      </c>
      <c r="AA71" s="194">
        <f t="shared" si="11"/>
        <v>3322</v>
      </c>
      <c r="AB71" s="218">
        <f t="shared" si="12"/>
        <v>43687</v>
      </c>
      <c r="AC71" s="197">
        <f t="shared" si="8"/>
        <v>73647</v>
      </c>
      <c r="AD71" s="197">
        <f t="shared" si="9"/>
        <v>89728.0453</v>
      </c>
      <c r="AE71" s="219" t="s">
        <v>548</v>
      </c>
      <c r="AF71" s="202">
        <f>SUM(Z66:Z77)</f>
        <v>9912.3249</v>
      </c>
      <c r="AG71" s="202">
        <f>AF71/(12-COUNTBLANK(AD66:AD77))</f>
        <v>826.027075</v>
      </c>
      <c r="AH71" s="221" t="s">
        <v>596</v>
      </c>
      <c r="AI71" s="174"/>
      <c r="AJ71" s="174"/>
      <c r="AK71" s="174"/>
    </row>
    <row r="72" ht="15.75" customHeight="1">
      <c r="B72" s="137">
        <v>45474.0</v>
      </c>
      <c r="C72" s="236">
        <f>IF(Calculation!B36=0,"",Calculation!B36)</f>
        <v>20888</v>
      </c>
      <c r="D72" s="237">
        <f>IF(Calculation!C36=0,"",Calculation!C36)</f>
        <v>728</v>
      </c>
      <c r="E72" s="238" t="str">
        <f>IF(Calculation!K36=0,"",Calculation!K36)</f>
        <v/>
      </c>
      <c r="F72" s="236" t="str">
        <f>IF(Calculation!L36=0,"",Calculation!L36)</f>
        <v/>
      </c>
      <c r="G72" s="236">
        <f>IF(Calculation!M36=0,"",Calculation!M36)</f>
        <v>1421</v>
      </c>
      <c r="H72" s="236">
        <f>IF(Calculation!N36=0,"",Calculation!N36)</f>
        <v>800</v>
      </c>
      <c r="I72" s="236">
        <f>IF(Calculation!O36=0,"",Calculation!O36)</f>
        <v>115</v>
      </c>
      <c r="J72" s="237" t="str">
        <f>IF(Calculation!P36=0,"",Calculation!P36)</f>
        <v/>
      </c>
      <c r="K72" s="239">
        <f>IF(Calculation!D36=0,"",Calculation!D36)</f>
        <v>2701</v>
      </c>
      <c r="L72" s="192">
        <v>26000.0</v>
      </c>
      <c r="M72" s="194">
        <v>6602.0</v>
      </c>
      <c r="N72" s="194">
        <v>205.0</v>
      </c>
      <c r="O72" s="194"/>
      <c r="P72" s="240">
        <v>410.0</v>
      </c>
      <c r="Q72" s="238"/>
      <c r="R72" s="196">
        <f>IF(TODAY()&gt;=B72,'資產'!G74,"")</f>
        <v>11713</v>
      </c>
      <c r="S72" s="193">
        <f>'貸款'!I16</f>
        <v>838.1702</v>
      </c>
      <c r="T72" s="236">
        <f>IF(Calculation!E36=0,"",Calculation!E36)</f>
        <v>7110</v>
      </c>
      <c r="U72" s="192">
        <f t="shared" si="1"/>
        <v>21616</v>
      </c>
      <c r="V72" s="194">
        <f t="shared" si="2"/>
        <v>2336</v>
      </c>
      <c r="W72" s="194">
        <f t="shared" si="3"/>
        <v>2701</v>
      </c>
      <c r="X72" s="194">
        <f t="shared" si="4"/>
        <v>33217</v>
      </c>
      <c r="Y72" s="194">
        <f t="shared" si="5"/>
        <v>11713</v>
      </c>
      <c r="Z72" s="194">
        <f t="shared" si="6"/>
        <v>838.1702</v>
      </c>
      <c r="AA72" s="194">
        <f t="shared" si="11"/>
        <v>7110</v>
      </c>
      <c r="AB72" s="218">
        <f t="shared" si="12"/>
        <v>23952</v>
      </c>
      <c r="AC72" s="197">
        <f t="shared" si="8"/>
        <v>59870</v>
      </c>
      <c r="AD72" s="197">
        <f t="shared" si="9"/>
        <v>79531.1702</v>
      </c>
      <c r="AE72" s="219" t="s">
        <v>75</v>
      </c>
      <c r="AF72" s="202">
        <f>SUM(AA66:AA77)</f>
        <v>93616</v>
      </c>
      <c r="AG72" s="202">
        <f>AF72/(12-COUNTBLANK(AD66:AD77))</f>
        <v>7801.333333</v>
      </c>
      <c r="AH72" s="221" t="str">
        <f>IFNA(Calculation!S36,"")</f>
        <v>$6600中瑋萬豪婚禮2人, $384竹南電費, $7110獎金稅</v>
      </c>
      <c r="AI72" s="174"/>
      <c r="AJ72" s="174"/>
      <c r="AK72" s="174"/>
    </row>
    <row r="73" ht="15.75" customHeight="1">
      <c r="B73" s="137">
        <v>45505.0</v>
      </c>
      <c r="C73" s="236">
        <f>IF(Calculation!B37=0,"",Calculation!B37)</f>
        <v>52528</v>
      </c>
      <c r="D73" s="237" t="str">
        <f>IF(Calculation!C37=0,"",Calculation!C37)</f>
        <v/>
      </c>
      <c r="E73" s="238" t="str">
        <f>IF(Calculation!K37=0,"",Calculation!K37)</f>
        <v/>
      </c>
      <c r="F73" s="236" t="str">
        <f>IF(Calculation!L37=0,"",Calculation!L37)</f>
        <v/>
      </c>
      <c r="G73" s="236">
        <f>IF(Calculation!M37=0,"",Calculation!M37)</f>
        <v>1706</v>
      </c>
      <c r="H73" s="236" t="str">
        <f>IF(Calculation!N37=0,"",Calculation!N37)</f>
        <v/>
      </c>
      <c r="I73" s="236" t="str">
        <f>IF(Calculation!O37=0,"",Calculation!O37)</f>
        <v/>
      </c>
      <c r="J73" s="237" t="str">
        <f>IF(Calculation!P37=0,"",Calculation!P37)</f>
        <v/>
      </c>
      <c r="K73" s="239">
        <f>IF(Calculation!D37=0,"",Calculation!D37)</f>
        <v>2701</v>
      </c>
      <c r="L73" s="236">
        <f>IF(Calculation!F37=0,"",Calculation!F37)</f>
        <v>26000</v>
      </c>
      <c r="M73" s="236" t="str">
        <f>IF(Calculation!G37=0,"",Calculation!G37)</f>
        <v/>
      </c>
      <c r="N73" s="236" t="str">
        <f>IF(Calculation!H37=0,"",Calculation!H37)</f>
        <v/>
      </c>
      <c r="O73" s="236">
        <f>IF(Calculation!I37=0,"",Calculation!I37)</f>
        <v>1679</v>
      </c>
      <c r="P73" s="236" t="str">
        <f>IF(Calculation!J37=0,"",Calculation!J37)</f>
        <v/>
      </c>
      <c r="Q73" s="238"/>
      <c r="R73" s="196">
        <f>IF(TODAY()&gt;=B73,'資產'!G75,"")</f>
        <v>11517</v>
      </c>
      <c r="S73" s="193">
        <f>'貸款'!I17</f>
        <v>828.2775</v>
      </c>
      <c r="T73" s="236">
        <f>IF(Calculation!E37=0,"",Calculation!E37)</f>
        <v>3260</v>
      </c>
      <c r="U73" s="192">
        <f t="shared" si="1"/>
        <v>52528</v>
      </c>
      <c r="V73" s="194">
        <f t="shared" si="2"/>
        <v>1706</v>
      </c>
      <c r="W73" s="194">
        <f t="shared" si="3"/>
        <v>2701</v>
      </c>
      <c r="X73" s="194">
        <f t="shared" si="4"/>
        <v>27679</v>
      </c>
      <c r="Y73" s="194">
        <f t="shared" si="5"/>
        <v>11517</v>
      </c>
      <c r="Z73" s="194">
        <f t="shared" si="6"/>
        <v>828.2775</v>
      </c>
      <c r="AA73" s="194">
        <f t="shared" si="11"/>
        <v>3260</v>
      </c>
      <c r="AB73" s="218">
        <f t="shared" si="12"/>
        <v>54234</v>
      </c>
      <c r="AC73" s="197">
        <f t="shared" si="8"/>
        <v>84614</v>
      </c>
      <c r="AD73" s="197">
        <f t="shared" si="9"/>
        <v>100219.2775</v>
      </c>
      <c r="AE73" s="219" t="s">
        <v>566</v>
      </c>
      <c r="AF73" s="202">
        <f>SUM(AD66:AD77)</f>
        <v>1171528.325</v>
      </c>
      <c r="AG73" s="202">
        <f>AF73/(12-COUNTBLANK(AD66:AD77))</f>
        <v>97627.36041</v>
      </c>
      <c r="AH73" s="221" t="str">
        <f>IFNA(Calculation!S37,"")</f>
        <v>$1888麟洋紀念酒, $40000韓國旅遊兩人(大概值)</v>
      </c>
      <c r="AI73" s="174"/>
      <c r="AJ73" s="174"/>
      <c r="AK73" s="174"/>
    </row>
    <row r="74" ht="15.75" customHeight="1">
      <c r="B74" s="137">
        <v>45536.0</v>
      </c>
      <c r="C74" s="236">
        <f>IF(Calculation!B38=0,"",Calculation!B38)</f>
        <v>28800</v>
      </c>
      <c r="D74" s="237">
        <f>IF(Calculation!C38=0,"",Calculation!C38)</f>
        <v>798</v>
      </c>
      <c r="E74" s="238" t="str">
        <f>IF(Calculation!K38=0,"",Calculation!K38)</f>
        <v/>
      </c>
      <c r="F74" s="236" t="str">
        <f>IF(Calculation!L38=0,"",Calculation!L38)</f>
        <v/>
      </c>
      <c r="G74" s="236">
        <f>IF(Calculation!M38=0,"",Calculation!M38)</f>
        <v>2185</v>
      </c>
      <c r="H74" s="236" t="str">
        <f>IF(Calculation!N38=0,"",Calculation!N38)</f>
        <v/>
      </c>
      <c r="I74" s="236">
        <f>IF(Calculation!O38=0,"",Calculation!O38)</f>
        <v>220</v>
      </c>
      <c r="J74" s="237" t="str">
        <f>IF(Calculation!P38=0,"",Calculation!P38)</f>
        <v/>
      </c>
      <c r="K74" s="239">
        <f>IF(Calculation!D38=0,"",Calculation!D38)</f>
        <v>2771</v>
      </c>
      <c r="L74" s="236">
        <f>IF(Calculation!F38=0,"",Calculation!F38)</f>
        <v>26000</v>
      </c>
      <c r="M74" s="236">
        <f>IF(Calculation!G38=0,"",Calculation!G38)</f>
        <v>6602</v>
      </c>
      <c r="N74" s="236">
        <f>IF(Calculation!H38=0,"",Calculation!H38)</f>
        <v>205</v>
      </c>
      <c r="O74" s="236" t="str">
        <f>IF(Calculation!I38=0,"",Calculation!I38)</f>
        <v/>
      </c>
      <c r="P74" s="236">
        <f>IF(Calculation!J38=0,"",Calculation!J38)</f>
        <v>305</v>
      </c>
      <c r="Q74" s="238"/>
      <c r="R74" s="196">
        <f>IF(TODAY()&gt;=B74,'資產'!G76,"")</f>
        <v>11326</v>
      </c>
      <c r="S74" s="193">
        <f>IF(TODAY()&gt;=B74,'貸款'!I18,"")</f>
        <v>818.3673</v>
      </c>
      <c r="T74" s="236">
        <f>IF(Calculation!E38=0,"",Calculation!E38)</f>
        <v>3260</v>
      </c>
      <c r="U74" s="192">
        <f t="shared" si="1"/>
        <v>29598</v>
      </c>
      <c r="V74" s="194">
        <f t="shared" si="2"/>
        <v>2405</v>
      </c>
      <c r="W74" s="194">
        <f t="shared" si="3"/>
        <v>2771</v>
      </c>
      <c r="X74" s="194">
        <f t="shared" si="4"/>
        <v>33112</v>
      </c>
      <c r="Y74" s="194">
        <f t="shared" si="5"/>
        <v>11326</v>
      </c>
      <c r="Z74" s="194">
        <f t="shared" si="6"/>
        <v>818.3673</v>
      </c>
      <c r="AA74" s="194">
        <f t="shared" si="11"/>
        <v>3260</v>
      </c>
      <c r="AB74" s="218">
        <f t="shared" si="12"/>
        <v>32003</v>
      </c>
      <c r="AC74" s="197">
        <f t="shared" si="8"/>
        <v>67886</v>
      </c>
      <c r="AD74" s="197">
        <f t="shared" si="9"/>
        <v>83290.3673</v>
      </c>
      <c r="AE74" s="190"/>
      <c r="AF74" s="202"/>
      <c r="AG74" s="202"/>
      <c r="AH74" s="221" t="str">
        <f>IFNA(Calculation!S38,"")</f>
        <v>$5000培揚婚禮兩人, $3010高雄寒軒</v>
      </c>
      <c r="AI74" s="174"/>
      <c r="AJ74" s="174"/>
      <c r="AK74" s="174"/>
    </row>
    <row r="75" ht="15.75" customHeight="1">
      <c r="B75" s="137">
        <v>45566.0</v>
      </c>
      <c r="C75" s="236">
        <f>IF(Calculation!B39=0,"",Calculation!B39)</f>
        <v>104344</v>
      </c>
      <c r="D75" s="237" t="str">
        <f>IF(Calculation!C39=0,"",Calculation!C39)</f>
        <v/>
      </c>
      <c r="E75" s="238" t="str">
        <f>IF(Calculation!K39=0,"",Calculation!K39)</f>
        <v/>
      </c>
      <c r="F75" s="236" t="str">
        <f>IF(Calculation!L39=0,"",Calculation!L39)</f>
        <v/>
      </c>
      <c r="G75" s="236">
        <f>IF(Calculation!M39=0,"",Calculation!M39)</f>
        <v>2961</v>
      </c>
      <c r="H75" s="236">
        <f>IF(Calculation!N39=0,"",Calculation!N39)</f>
        <v>400</v>
      </c>
      <c r="I75" s="236">
        <f>IF(Calculation!O39=0,"",Calculation!O39)</f>
        <v>400</v>
      </c>
      <c r="J75" s="237" t="str">
        <f>IF(Calculation!P39=0,"",Calculation!P39)</f>
        <v/>
      </c>
      <c r="K75" s="241">
        <v>0.0</v>
      </c>
      <c r="L75" s="236">
        <f>IF(Calculation!F39=0,"",Calculation!F39)</f>
        <v>26000</v>
      </c>
      <c r="M75" s="236" t="str">
        <f>IF(Calculation!G39=0,"",Calculation!G39)</f>
        <v/>
      </c>
      <c r="N75" s="236" t="str">
        <f>IF(Calculation!H39=0,"",Calculation!H39)</f>
        <v/>
      </c>
      <c r="O75" s="236">
        <f>IF(Calculation!I39=0,"",Calculation!I39)</f>
        <v>1444</v>
      </c>
      <c r="P75" s="236" t="str">
        <f>IF(Calculation!J39=0,"",Calculation!J39)</f>
        <v/>
      </c>
      <c r="Q75" s="238"/>
      <c r="R75" s="196">
        <f>IF(TODAY()&gt;=B75,'資產'!G77,"")</f>
        <v>11137</v>
      </c>
      <c r="S75" s="193">
        <f>IF(TODAY()&gt;=B75,'貸款'!I19,"")</f>
        <v>808.4395</v>
      </c>
      <c r="T75" s="236">
        <f>IF(Calculation!E39=0,"",Calculation!E39)</f>
        <v>1593</v>
      </c>
      <c r="U75" s="192">
        <f t="shared" si="1"/>
        <v>104344</v>
      </c>
      <c r="V75" s="194">
        <f t="shared" si="2"/>
        <v>3761</v>
      </c>
      <c r="W75" s="240">
        <v>0.0</v>
      </c>
      <c r="X75" s="194">
        <f t="shared" si="4"/>
        <v>27444</v>
      </c>
      <c r="Y75" s="194">
        <f t="shared" si="5"/>
        <v>11137</v>
      </c>
      <c r="Z75" s="194">
        <f t="shared" si="6"/>
        <v>808.4395</v>
      </c>
      <c r="AA75" s="194">
        <f t="shared" si="11"/>
        <v>1593</v>
      </c>
      <c r="AB75" s="218">
        <f t="shared" si="12"/>
        <v>108105</v>
      </c>
      <c r="AC75" s="197">
        <f t="shared" si="8"/>
        <v>135549</v>
      </c>
      <c r="AD75" s="197">
        <f t="shared" si="9"/>
        <v>149087.4395</v>
      </c>
      <c r="AE75" s="190"/>
      <c r="AF75" s="202"/>
      <c r="AG75" s="202"/>
      <c r="AH75" s="221" t="str">
        <f>IFNA(Calculation!S39,"")</f>
        <v>$5700溪頭米堤飯店訂金, $13167米堤飯店*3間（$6289*3-$5700訂金）, $13180燦坤AirPods pro2 $6590*2, $38910燦坤Panasonic 15公斤熱泵除濕式滾筒衣機&lt;NA-V150RPH-K（夜幕黑）$53910-$15000寶補助, $3494寶鞋*2, $3578我鞋*2, $7999IKEA-MILSBO-玻璃門櫃, $1593獎金補充保費</v>
      </c>
      <c r="AI75" s="174"/>
      <c r="AJ75" s="174"/>
      <c r="AK75" s="174"/>
    </row>
    <row r="76" ht="15.75" customHeight="1">
      <c r="B76" s="137">
        <v>45597.0</v>
      </c>
      <c r="C76" s="236">
        <f>IF(Calculation!B40=0,"",Calculation!B40)</f>
        <v>18420</v>
      </c>
      <c r="D76" s="237">
        <f>IF(Calculation!C40=0,"",Calculation!C40)</f>
        <v>788</v>
      </c>
      <c r="E76" s="238" t="str">
        <f>IF(Calculation!K40=0,"",Calculation!K40)</f>
        <v/>
      </c>
      <c r="F76" s="236" t="str">
        <f>IF(Calculation!L40=0,"",Calculation!L40)</f>
        <v/>
      </c>
      <c r="G76" s="236">
        <f>IF(Calculation!M40=0,"",Calculation!M40)</f>
        <v>2661</v>
      </c>
      <c r="H76" s="236" t="str">
        <f>IF(Calculation!N40=0,"",Calculation!N40)</f>
        <v/>
      </c>
      <c r="I76" s="236">
        <f>IF(Calculation!O40=0,"",Calculation!O40)</f>
        <v>20</v>
      </c>
      <c r="J76" s="237">
        <f>IF(Calculation!P40=0,"",Calculation!P40)</f>
        <v>300</v>
      </c>
      <c r="K76" s="239">
        <f>IF(Calculation!D40=0,"",Calculation!D40)</f>
        <v>2771</v>
      </c>
      <c r="L76" s="236">
        <f>IF(Calculation!F40=0,"",Calculation!F40)</f>
        <v>26000</v>
      </c>
      <c r="M76" s="236">
        <f>IF(Calculation!G40=0,"",Calculation!G40)</f>
        <v>6102</v>
      </c>
      <c r="N76" s="236">
        <f>IF(Calculation!H40=0,"",Calculation!H40)</f>
        <v>151</v>
      </c>
      <c r="O76" s="236" t="str">
        <f>IF(Calculation!I40=0,"",Calculation!I40)</f>
        <v/>
      </c>
      <c r="P76" s="236">
        <f>IF(Calculation!J40=0,"",Calculation!J40)</f>
        <v>387</v>
      </c>
      <c r="Q76" s="238"/>
      <c r="R76" s="196">
        <f>IF(TODAY()&gt;=B76,'資產'!G78,"")</f>
        <v>10951</v>
      </c>
      <c r="S76" s="193">
        <f>IF(TODAY()&gt;=B76,'貸款'!I20,"")</f>
        <v>798.4941</v>
      </c>
      <c r="T76" s="236">
        <f>IF(Calculation!E40=0,"",Calculation!E40)</f>
        <v>3260</v>
      </c>
      <c r="U76" s="192">
        <f t="shared" si="1"/>
        <v>19208</v>
      </c>
      <c r="V76" s="194">
        <f t="shared" si="2"/>
        <v>2981</v>
      </c>
      <c r="W76" s="194">
        <f t="shared" ref="W76:W101" si="13">IF(SUM(K76)=0,"",SUM(K76))</f>
        <v>2771</v>
      </c>
      <c r="X76" s="194">
        <f t="shared" si="4"/>
        <v>32640</v>
      </c>
      <c r="Y76" s="194">
        <f t="shared" si="5"/>
        <v>10951</v>
      </c>
      <c r="Z76" s="194">
        <f t="shared" si="6"/>
        <v>798.4941</v>
      </c>
      <c r="AA76" s="194">
        <f t="shared" si="11"/>
        <v>3260</v>
      </c>
      <c r="AB76" s="218">
        <f t="shared" si="12"/>
        <v>22189</v>
      </c>
      <c r="AC76" s="197">
        <f t="shared" si="8"/>
        <v>57600</v>
      </c>
      <c r="AD76" s="197">
        <f t="shared" si="9"/>
        <v>72609.4941</v>
      </c>
      <c r="AE76" s="190"/>
      <c r="AF76" s="202"/>
      <c r="AG76" s="202"/>
      <c r="AH76" s="221" t="str">
        <f>IFNA(Calculation!S40,"")</f>
        <v>$0此月開始,前月薪資扣款項目計入當月項目, $700請蓋幫買寶禮物, $233好市多續約，可參考照片-$2000寶補助隔週各項費用但記於此</v>
      </c>
      <c r="AI76" s="174"/>
      <c r="AJ76" s="174"/>
      <c r="AK76" s="174"/>
    </row>
    <row r="77" ht="15.75" customHeight="1">
      <c r="A77" s="114"/>
      <c r="B77" s="137">
        <v>45627.0</v>
      </c>
      <c r="C77" s="236">
        <f>IF(Calculation!B41=0,"",Calculation!B41)</f>
        <v>28834</v>
      </c>
      <c r="D77" s="237" t="str">
        <f>IF(Calculation!C41=0,"",Calculation!C41)</f>
        <v/>
      </c>
      <c r="E77" s="238" t="str">
        <f>IF(Calculation!K41=0,"",Calculation!K41)</f>
        <v/>
      </c>
      <c r="F77" s="236" t="str">
        <f>IF(Calculation!L41=0,"",Calculation!L41)</f>
        <v/>
      </c>
      <c r="G77" s="236">
        <f>IF(Calculation!M41=0,"",Calculation!M41)</f>
        <v>704</v>
      </c>
      <c r="H77" s="236">
        <f>IF(Calculation!N41=0,"",Calculation!N41)</f>
        <v>400</v>
      </c>
      <c r="I77" s="236">
        <f>IF(Calculation!O41=0,"",Calculation!O41)</f>
        <v>40</v>
      </c>
      <c r="J77" s="237" t="str">
        <f>IF(Calculation!P41=0,"",Calculation!P41)</f>
        <v/>
      </c>
      <c r="K77" s="239">
        <f>IF(Calculation!D41=0,"",Calculation!D41)</f>
        <v>2771</v>
      </c>
      <c r="L77" s="236">
        <f>IF(Calculation!F41=0,"",Calculation!F41)</f>
        <v>26000</v>
      </c>
      <c r="M77" s="236" t="str">
        <f>IF(Calculation!G41=0,"",Calculation!G41)</f>
        <v/>
      </c>
      <c r="N77" s="236" t="str">
        <f>IF(Calculation!H41=0,"",Calculation!H41)</f>
        <v/>
      </c>
      <c r="O77" s="236">
        <f>IF(Calculation!I41=0,"",Calculation!I41)</f>
        <v>1196</v>
      </c>
      <c r="P77" s="236" t="str">
        <f>IF(Calculation!J41=0,"",Calculation!J41)</f>
        <v/>
      </c>
      <c r="Q77" s="238"/>
      <c r="R77" s="196">
        <f>IF(TODAY()&gt;=B77,'資產'!G79,"")</f>
        <v>10769</v>
      </c>
      <c r="S77" s="193">
        <f>IF(TODAY()&gt;=B77,'貸款'!I21,"")</f>
        <v>788.531</v>
      </c>
      <c r="T77" s="236">
        <f>IF(Calculation!E41=0,"",Calculation!E41)</f>
        <v>3260</v>
      </c>
      <c r="U77" s="192">
        <f t="shared" si="1"/>
        <v>28834</v>
      </c>
      <c r="V77" s="194">
        <f t="shared" si="2"/>
        <v>1144</v>
      </c>
      <c r="W77" s="194">
        <f t="shared" si="13"/>
        <v>2771</v>
      </c>
      <c r="X77" s="194">
        <f t="shared" si="4"/>
        <v>27196</v>
      </c>
      <c r="Y77" s="194">
        <f t="shared" si="5"/>
        <v>10769</v>
      </c>
      <c r="Z77" s="194">
        <f t="shared" si="6"/>
        <v>788.531</v>
      </c>
      <c r="AA77" s="194">
        <f t="shared" si="11"/>
        <v>3260</v>
      </c>
      <c r="AB77" s="226">
        <f t="shared" si="12"/>
        <v>29978</v>
      </c>
      <c r="AC77" s="197">
        <f t="shared" si="8"/>
        <v>59945</v>
      </c>
      <c r="AD77" s="197">
        <f t="shared" si="9"/>
        <v>74762.531</v>
      </c>
      <c r="AE77" s="190"/>
      <c r="AF77" s="202"/>
      <c r="AG77" s="202"/>
      <c r="AH77" s="221" t="str">
        <f>IFNA(Calculation!S41,"")</f>
        <v>$4358台南大員皇冠酒店, $3688除濕機hdh-12dy030B, $1171機車保險</v>
      </c>
      <c r="AI77" s="174"/>
      <c r="AJ77" s="174"/>
      <c r="AK77" s="174"/>
    </row>
    <row r="78" ht="15.75" customHeight="1">
      <c r="A78" s="233">
        <v>2025.0</v>
      </c>
      <c r="B78" s="210">
        <v>45658.0</v>
      </c>
      <c r="C78" s="242">
        <f>IF(Calculation!B42=0,"",Calculation!B42)</f>
        <v>73622</v>
      </c>
      <c r="D78" s="243">
        <f>IF(Calculation!C42=0,"",Calculation!C42)</f>
        <v>698</v>
      </c>
      <c r="E78" s="242">
        <f>IF(Calculation!K42=0,"",Calculation!K42)</f>
        <v>28854</v>
      </c>
      <c r="F78" s="244" t="str">
        <f>IF(Calculation!L42=0,"",Calculation!L42)</f>
        <v/>
      </c>
      <c r="G78" s="244">
        <f>IF(Calculation!M42=0,"",Calculation!M42)</f>
        <v>819</v>
      </c>
      <c r="H78" s="244" t="str">
        <f>IF(Calculation!N42=0,"",Calculation!N42)</f>
        <v/>
      </c>
      <c r="I78" s="244">
        <f>IF(Calculation!O42=0,"",Calculation!O42)</f>
        <v>12</v>
      </c>
      <c r="J78" s="243" t="str">
        <f>IF(Calculation!P42=0,"",Calculation!P42)</f>
        <v/>
      </c>
      <c r="K78" s="245">
        <f>IF(Calculation!D42=0,"",Calculation!D42)</f>
        <v>2738</v>
      </c>
      <c r="L78" s="242">
        <f>IF(Calculation!F42=0,"",Calculation!F42)</f>
        <v>26000</v>
      </c>
      <c r="M78" s="244">
        <f>IF(Calculation!G42=0,"",Calculation!G42)</f>
        <v>7802</v>
      </c>
      <c r="N78" s="244">
        <f>IF(Calculation!H42=0,"",Calculation!H42)</f>
        <v>197</v>
      </c>
      <c r="O78" s="244" t="str">
        <f>IF(Calculation!I42=0,"",Calculation!I42)</f>
        <v/>
      </c>
      <c r="P78" s="243">
        <f>IF(Calculation!J42=0,"",Calculation!J42)</f>
        <v>445</v>
      </c>
      <c r="Q78" s="242"/>
      <c r="R78" s="215">
        <f>IF(TODAY()&gt;=B78,'資產'!G80,"")</f>
        <v>10589</v>
      </c>
      <c r="S78" s="214">
        <f>IF(TODAY()&gt;=B78,'貸款'!I22,"")</f>
        <v>778.5503</v>
      </c>
      <c r="T78" s="245">
        <f>IF(Calculation!E42=0,"",Calculation!E42)</f>
        <v>34163</v>
      </c>
      <c r="U78" s="211">
        <f t="shared" si="1"/>
        <v>74320</v>
      </c>
      <c r="V78" s="213">
        <f t="shared" si="2"/>
        <v>29685</v>
      </c>
      <c r="W78" s="213">
        <f t="shared" si="13"/>
        <v>2738</v>
      </c>
      <c r="X78" s="213">
        <f t="shared" si="4"/>
        <v>34444</v>
      </c>
      <c r="Y78" s="213">
        <f t="shared" si="5"/>
        <v>10589</v>
      </c>
      <c r="Z78" s="213">
        <f t="shared" si="6"/>
        <v>778.5503</v>
      </c>
      <c r="AA78" s="213">
        <f t="shared" si="11"/>
        <v>34163</v>
      </c>
      <c r="AB78" s="216">
        <f t="shared" ref="AB78:AB101" si="14">IF(SUM(C78:J78)=0,"",SUM(C78:J78))</f>
        <v>104005</v>
      </c>
      <c r="AC78" s="217">
        <f t="shared" si="8"/>
        <v>141187</v>
      </c>
      <c r="AD78" s="216">
        <f t="shared" si="9"/>
        <v>186717.5503</v>
      </c>
      <c r="AE78" s="198" t="s">
        <v>382</v>
      </c>
      <c r="AF78" s="199">
        <f>SUM(U78:U89)</f>
        <v>715824</v>
      </c>
      <c r="AG78" s="199">
        <f>AF78/(12-COUNTBLANK(AD78:AD89))</f>
        <v>59652</v>
      </c>
      <c r="AH78" s="231" t="str">
        <f>IFNA(Calculation!S42,"")</f>
        <v>$5373澳門機票trip.com, $4000道格婚禮, $12000珠海行轉給蓋, $2999華齊堂燕窩禮盒, $13152寶紅包自己抽, $1599虎航台北-澳門機票（未搭乘，含之後退的機場稅費$500）, $6000給爸紅包</v>
      </c>
      <c r="AI78" s="174"/>
      <c r="AJ78" s="174"/>
      <c r="AK78" s="174"/>
    </row>
    <row r="79" ht="15.75" customHeight="1">
      <c r="B79" s="210">
        <v>45689.0</v>
      </c>
      <c r="C79" s="238">
        <f>IF(Calculation!B43=0,"",Calculation!B43)</f>
        <v>22026</v>
      </c>
      <c r="D79" s="237" t="str">
        <f>IF(Calculation!C43=0,"",Calculation!C43)</f>
        <v/>
      </c>
      <c r="E79" s="238" t="str">
        <f>IF(Calculation!K43=0,"",Calculation!K43)</f>
        <v/>
      </c>
      <c r="F79" s="236" t="str">
        <f>IF(Calculation!L43=0,"",Calculation!L43)</f>
        <v/>
      </c>
      <c r="G79" s="236">
        <f>IF(Calculation!M43=0,"",Calculation!M43)</f>
        <v>2755</v>
      </c>
      <c r="H79" s="236">
        <f>IF(Calculation!N43=0,"",Calculation!N43)</f>
        <v>400</v>
      </c>
      <c r="I79" s="236">
        <f>IF(Calculation!O43=0,"",Calculation!O43)</f>
        <v>285</v>
      </c>
      <c r="J79" s="237" t="str">
        <f>IF(Calculation!P43=0,"",Calculation!P43)</f>
        <v/>
      </c>
      <c r="K79" s="239">
        <f>IF(Calculation!D43=0,"",Calculation!D43)</f>
        <v>2816</v>
      </c>
      <c r="L79" s="238">
        <f>IF(Calculation!F43=0,"",Calculation!F43)</f>
        <v>26000</v>
      </c>
      <c r="M79" s="236" t="str">
        <f>IF(Calculation!G43=0,"",Calculation!G43)</f>
        <v/>
      </c>
      <c r="N79" s="236" t="str">
        <f>IF(Calculation!H43=0,"",Calculation!H43)</f>
        <v/>
      </c>
      <c r="O79" s="236">
        <f>IF(Calculation!I43=0,"",Calculation!I43)</f>
        <v>1154</v>
      </c>
      <c r="P79" s="237" t="str">
        <f>IF(Calculation!J43=0,"",Calculation!J43)</f>
        <v/>
      </c>
      <c r="Q79" s="238"/>
      <c r="R79" s="196">
        <f>IF(TODAY()&gt;=B79,'資產'!G81,"")</f>
        <v>10413</v>
      </c>
      <c r="S79" s="195">
        <f>IF(TODAY()&gt;=B79,'貸款'!I23,"")</f>
        <v>768.5518</v>
      </c>
      <c r="T79" s="239">
        <f>IF(Calculation!E43=0,"",Calculation!E43)</f>
        <v>3080</v>
      </c>
      <c r="U79" s="192">
        <f t="shared" si="1"/>
        <v>22026</v>
      </c>
      <c r="V79" s="194">
        <f t="shared" si="2"/>
        <v>3440</v>
      </c>
      <c r="W79" s="194">
        <f t="shared" si="13"/>
        <v>2816</v>
      </c>
      <c r="X79" s="194">
        <f t="shared" si="4"/>
        <v>27154</v>
      </c>
      <c r="Y79" s="194">
        <f t="shared" si="5"/>
        <v>10413</v>
      </c>
      <c r="Z79" s="194">
        <f t="shared" si="6"/>
        <v>768.5518</v>
      </c>
      <c r="AA79" s="194">
        <f t="shared" si="11"/>
        <v>3080</v>
      </c>
      <c r="AB79" s="218">
        <f t="shared" si="14"/>
        <v>25466</v>
      </c>
      <c r="AC79" s="197">
        <f t="shared" si="8"/>
        <v>55436</v>
      </c>
      <c r="AD79" s="218">
        <f t="shared" si="9"/>
        <v>69697.5518</v>
      </c>
      <c r="AE79" s="219" t="s">
        <v>380</v>
      </c>
      <c r="AF79" s="202">
        <f>SUM(V78:V89)</f>
        <v>72154</v>
      </c>
      <c r="AG79" s="202">
        <f>AF79/(12-COUNTBLANK(AD78:AD89))</f>
        <v>6012.833333</v>
      </c>
      <c r="AH79" s="221" t="str">
        <f>IFNA(Calculation!S43,"")</f>
        <v/>
      </c>
      <c r="AI79" s="174"/>
      <c r="AJ79" s="174"/>
      <c r="AK79" s="174"/>
    </row>
    <row r="80" ht="15.75" customHeight="1">
      <c r="B80" s="210">
        <v>45717.0</v>
      </c>
      <c r="C80" s="238">
        <f>IF(Calculation!B44=0,"",Calculation!B44)</f>
        <v>66528</v>
      </c>
      <c r="D80" s="237">
        <f>IF(Calculation!C44=0,"",Calculation!C44)</f>
        <v>722</v>
      </c>
      <c r="E80" s="238" t="str">
        <f>IF(Calculation!K44=0,"",Calculation!K44)</f>
        <v/>
      </c>
      <c r="F80" s="236">
        <f>IF(Calculation!L44=0,"",Calculation!L44)</f>
        <v>4162</v>
      </c>
      <c r="G80" s="236">
        <f>IF(Calculation!M44=0,"",Calculation!M44)</f>
        <v>985</v>
      </c>
      <c r="H80" s="236" t="str">
        <f>IF(Calculation!N44=0,"",Calculation!N44)</f>
        <v/>
      </c>
      <c r="I80" s="236">
        <f>IF(Calculation!O44=0,"",Calculation!O44)</f>
        <v>281</v>
      </c>
      <c r="J80" s="237">
        <f>IF(Calculation!P44=0,"",Calculation!P44)</f>
        <v>100</v>
      </c>
      <c r="K80" s="239">
        <f>IF(Calculation!D44=0,"",Calculation!D44)</f>
        <v>2816</v>
      </c>
      <c r="L80" s="238">
        <f>IF(Calculation!F44=0,"",Calculation!F44)</f>
        <v>26000</v>
      </c>
      <c r="M80" s="236">
        <f>IF(Calculation!G44=0,"",Calculation!G44)</f>
        <v>7802</v>
      </c>
      <c r="N80" s="236">
        <f>IF(Calculation!H44=0,"",Calculation!H44)</f>
        <v>197</v>
      </c>
      <c r="O80" s="236" t="str">
        <f>IF(Calculation!I44=0,"",Calculation!I44)</f>
        <v/>
      </c>
      <c r="P80" s="237">
        <f>IF(Calculation!J44=0,"",Calculation!J44)</f>
        <v>608</v>
      </c>
      <c r="Q80" s="238"/>
      <c r="R80" s="196">
        <f>IF(TODAY()&gt;=B80,'資產'!G82,"")</f>
        <v>10239</v>
      </c>
      <c r="S80" s="195">
        <f>IF(TODAY()&gt;=B80,'貸款'!I24,"")</f>
        <v>758.5356</v>
      </c>
      <c r="T80" s="239">
        <f>IF(Calculation!E44=0,"",Calculation!E44)</f>
        <v>3080</v>
      </c>
      <c r="U80" s="192">
        <f t="shared" si="1"/>
        <v>67250</v>
      </c>
      <c r="V80" s="194">
        <f t="shared" si="2"/>
        <v>5528</v>
      </c>
      <c r="W80" s="194">
        <f t="shared" si="13"/>
        <v>2816</v>
      </c>
      <c r="X80" s="194">
        <f t="shared" si="4"/>
        <v>34607</v>
      </c>
      <c r="Y80" s="194">
        <f t="shared" si="5"/>
        <v>10239</v>
      </c>
      <c r="Z80" s="194">
        <f t="shared" si="6"/>
        <v>758.5356</v>
      </c>
      <c r="AA80" s="193">
        <f t="shared" si="11"/>
        <v>3080</v>
      </c>
      <c r="AB80" s="218">
        <f t="shared" si="14"/>
        <v>72778</v>
      </c>
      <c r="AC80" s="218">
        <f t="shared" si="8"/>
        <v>110201</v>
      </c>
      <c r="AD80" s="218">
        <f t="shared" si="9"/>
        <v>124278.5356</v>
      </c>
      <c r="AE80" s="219" t="s">
        <v>546</v>
      </c>
      <c r="AF80" s="220">
        <f>SUM(W78:W89)</f>
        <v>41152</v>
      </c>
      <c r="AG80" s="220">
        <f>AF80/(12-COUNTBLANK(AD78:AD89))</f>
        <v>3429.333333</v>
      </c>
      <c r="AH80" s="221" t="str">
        <f>IFNA(Calculation!S44,"")</f>
        <v>$49000哥洗衣機</v>
      </c>
      <c r="AI80" s="174"/>
      <c r="AJ80" s="174"/>
      <c r="AK80" s="174"/>
    </row>
    <row r="81" ht="15.75" customHeight="1">
      <c r="B81" s="210">
        <v>45748.0</v>
      </c>
      <c r="C81" s="238">
        <f>IF(Calculation!B45=0,"",Calculation!B45)</f>
        <v>32937</v>
      </c>
      <c r="D81" s="237" t="str">
        <f>IF(Calculation!C45=0,"",Calculation!C45)</f>
        <v/>
      </c>
      <c r="E81" s="238">
        <f>IF(Calculation!K45=0,"",Calculation!K45)</f>
        <v>7120</v>
      </c>
      <c r="F81" s="236" t="str">
        <f>IF(Calculation!L45=0,"",Calculation!L45)</f>
        <v/>
      </c>
      <c r="G81" s="236">
        <f>IF(Calculation!M45=0,"",Calculation!M45)</f>
        <v>1312</v>
      </c>
      <c r="H81" s="236" t="str">
        <f>IF(Calculation!N45=0,"",Calculation!N45)</f>
        <v/>
      </c>
      <c r="I81" s="236">
        <f>IF(Calculation!O45=0,"",Calculation!O45)</f>
        <v>420</v>
      </c>
      <c r="J81" s="237" t="str">
        <f>IF(Calculation!P45=0,"",Calculation!P45)</f>
        <v/>
      </c>
      <c r="K81" s="239">
        <f>IF(Calculation!D45=0,"",Calculation!D45)</f>
        <v>2816</v>
      </c>
      <c r="L81" s="238">
        <f>IF(Calculation!F45=0,"",Calculation!F45)</f>
        <v>26000</v>
      </c>
      <c r="M81" s="236" t="str">
        <f>IF(Calculation!G45=0,"",Calculation!G45)</f>
        <v/>
      </c>
      <c r="N81" s="236" t="str">
        <f>IF(Calculation!H45=0,"",Calculation!H45)</f>
        <v/>
      </c>
      <c r="O81" s="236">
        <f>IF(Calculation!I45=0,"",Calculation!I45)</f>
        <v>1068</v>
      </c>
      <c r="P81" s="237" t="str">
        <f>IF(Calculation!J45=0,"",Calculation!J45)</f>
        <v/>
      </c>
      <c r="Q81" s="238"/>
      <c r="R81" s="196">
        <f>IF(TODAY()&gt;=B81,'資產'!G83,"")</f>
        <v>10068</v>
      </c>
      <c r="S81" s="195">
        <f>IF(TODAY()&gt;=B81,'貸款'!I25,"")</f>
        <v>748.5016</v>
      </c>
      <c r="T81" s="239">
        <f>IF(Calculation!E45=0,"",Calculation!E45)</f>
        <v>4793</v>
      </c>
      <c r="U81" s="192">
        <f t="shared" si="1"/>
        <v>32937</v>
      </c>
      <c r="V81" s="194">
        <f t="shared" si="2"/>
        <v>8852</v>
      </c>
      <c r="W81" s="194">
        <f t="shared" si="13"/>
        <v>2816</v>
      </c>
      <c r="X81" s="194">
        <f t="shared" si="4"/>
        <v>27068</v>
      </c>
      <c r="Y81" s="194">
        <f t="shared" si="5"/>
        <v>10068</v>
      </c>
      <c r="Z81" s="194">
        <f t="shared" si="6"/>
        <v>748.5016</v>
      </c>
      <c r="AA81" s="193">
        <f t="shared" si="11"/>
        <v>4793</v>
      </c>
      <c r="AB81" s="218">
        <f t="shared" si="14"/>
        <v>41789</v>
      </c>
      <c r="AC81" s="218">
        <f t="shared" si="8"/>
        <v>71673</v>
      </c>
      <c r="AD81" s="218">
        <f t="shared" si="9"/>
        <v>87282.5016</v>
      </c>
      <c r="AE81" s="219" t="s">
        <v>564</v>
      </c>
      <c r="AF81" s="220">
        <f>SUM(X78:X89)</f>
        <v>370541</v>
      </c>
      <c r="AG81" s="220">
        <f>AF81/(12-COUNTBLANK(AD78:AD89))</f>
        <v>30878.41667</v>
      </c>
      <c r="AH81" s="221" t="str">
        <f>IFNA(Calculation!S45,"")</f>
        <v>$4000牙齒膠原蛋白, $6626三鐵226k接力, $7120牌照稅, $5694泓品牛排, $2744海底撈</v>
      </c>
      <c r="AI81" s="174"/>
      <c r="AJ81" s="174"/>
      <c r="AK81" s="174"/>
    </row>
    <row r="82" ht="15.75" customHeight="1">
      <c r="B82" s="210">
        <v>45778.0</v>
      </c>
      <c r="C82" s="238">
        <f>IF(Calculation!B46=0,"",Calculation!B46)</f>
        <v>37321</v>
      </c>
      <c r="D82" s="237">
        <f>IF(Calculation!C46=0,"",Calculation!C46)</f>
        <v>788</v>
      </c>
      <c r="E82" s="238" t="str">
        <f>IF(Calculation!K46=0,"",Calculation!K46)</f>
        <v/>
      </c>
      <c r="F82" s="236" t="str">
        <f>IF(Calculation!L46=0,"",Calculation!L46)</f>
        <v/>
      </c>
      <c r="G82" s="236">
        <f>IF(Calculation!M46=0,"",Calculation!M46)</f>
        <v>976</v>
      </c>
      <c r="H82" s="236" t="str">
        <f>IF(Calculation!N46=0,"",Calculation!N46)</f>
        <v/>
      </c>
      <c r="I82" s="236">
        <f>IF(Calculation!O46=0,"",Calculation!O46)</f>
        <v>264</v>
      </c>
      <c r="J82" s="237" t="str">
        <f>IF(Calculation!P46=0,"",Calculation!P46)</f>
        <v/>
      </c>
      <c r="K82" s="239">
        <f>IF(Calculation!D46=0,"",Calculation!D46)</f>
        <v>2826</v>
      </c>
      <c r="L82" s="238">
        <f>IF(Calculation!F46=0,"",Calculation!F46)</f>
        <v>26000</v>
      </c>
      <c r="M82" s="236">
        <f>IF(Calculation!G46=0,"",Calculation!G46)</f>
        <v>7802</v>
      </c>
      <c r="N82" s="236">
        <f>IF(Calculation!H46=0,"",Calculation!H46)</f>
        <v>220</v>
      </c>
      <c r="O82" s="236" t="str">
        <f>IF(Calculation!I46=0,"",Calculation!I46)</f>
        <v/>
      </c>
      <c r="P82" s="237">
        <f>IF(Calculation!J46=0,"",Calculation!J46)</f>
        <v>585</v>
      </c>
      <c r="Q82" s="238"/>
      <c r="R82" s="196">
        <f>IF(TODAY()&gt;=B82,'資產'!G84,"")</f>
        <v>9901</v>
      </c>
      <c r="S82" s="195">
        <f>IF(TODAY()&gt;=B82,'貸款'!I26,"")</f>
        <v>738.4497</v>
      </c>
      <c r="T82" s="239">
        <f>IF(Calculation!E46=0,"",Calculation!E46)</f>
        <v>3080</v>
      </c>
      <c r="U82" s="192">
        <f t="shared" si="1"/>
        <v>38109</v>
      </c>
      <c r="V82" s="194">
        <f t="shared" si="2"/>
        <v>1240</v>
      </c>
      <c r="W82" s="194">
        <f t="shared" si="13"/>
        <v>2826</v>
      </c>
      <c r="X82" s="194">
        <f t="shared" si="4"/>
        <v>34607</v>
      </c>
      <c r="Y82" s="194">
        <f t="shared" si="5"/>
        <v>9901</v>
      </c>
      <c r="Z82" s="194">
        <f t="shared" si="6"/>
        <v>738.4497</v>
      </c>
      <c r="AA82" s="193">
        <f t="shared" si="11"/>
        <v>3080</v>
      </c>
      <c r="AB82" s="218">
        <f t="shared" si="14"/>
        <v>39349</v>
      </c>
      <c r="AC82" s="218">
        <f t="shared" si="8"/>
        <v>76782</v>
      </c>
      <c r="AD82" s="218">
        <f t="shared" si="9"/>
        <v>90501.4497</v>
      </c>
      <c r="AE82" s="219" t="s">
        <v>547</v>
      </c>
      <c r="AF82" s="220">
        <f>SUM(Y78:Y89)</f>
        <v>116046</v>
      </c>
      <c r="AG82" s="220">
        <f>AF82/(12-COUNTBLANK(AD78:AD89))</f>
        <v>9670.5</v>
      </c>
      <c r="AH82" s="221" t="str">
        <f>IFNA(Calculation!S46,"")</f>
        <v>$30, $5800, $4328IKEA水龍頭</v>
      </c>
      <c r="AI82" s="174"/>
      <c r="AJ82" s="174"/>
      <c r="AK82" s="174"/>
    </row>
    <row r="83" ht="15.75" customHeight="1">
      <c r="B83" s="210">
        <v>45809.0</v>
      </c>
      <c r="C83" s="238">
        <f>IF(Calculation!B47=0,"",Calculation!B47)</f>
        <v>76482</v>
      </c>
      <c r="D83" s="237" t="str">
        <f>IF(Calculation!C47=0,"",Calculation!C47)</f>
        <v/>
      </c>
      <c r="E83" s="238" t="str">
        <f>IF(Calculation!K47=0,"",Calculation!K47)</f>
        <v/>
      </c>
      <c r="F83" s="236" t="str">
        <f>IF(Calculation!L47=0,"",Calculation!L47)</f>
        <v/>
      </c>
      <c r="G83" s="236">
        <f>IF(Calculation!M47=0,"",Calculation!M47)</f>
        <v>2100</v>
      </c>
      <c r="H83" s="236">
        <f>IF(Calculation!N47=0,"",Calculation!N47)</f>
        <v>400</v>
      </c>
      <c r="I83" s="236">
        <f>IF(Calculation!O47=0,"",Calculation!O47)</f>
        <v>340</v>
      </c>
      <c r="J83" s="237" t="str">
        <f>IF(Calculation!P47=0,"",Calculation!P47)</f>
        <v/>
      </c>
      <c r="K83" s="239">
        <f>IF(Calculation!D47=0,"",Calculation!D47)</f>
        <v>2828</v>
      </c>
      <c r="L83" s="238">
        <f>IF(Calculation!F47=0,"",Calculation!F47)</f>
        <v>26000</v>
      </c>
      <c r="M83" s="236" t="str">
        <f>IF(Calculation!G47=0,"",Calculation!G47)</f>
        <v/>
      </c>
      <c r="N83" s="236" t="str">
        <f>IF(Calculation!H47=0,"",Calculation!H47)</f>
        <v/>
      </c>
      <c r="O83" s="236">
        <f>IF(Calculation!I47=0,"",Calculation!I47)</f>
        <v>1303</v>
      </c>
      <c r="P83" s="237" t="str">
        <f>IF(Calculation!J47=0,"",Calculation!J47)</f>
        <v/>
      </c>
      <c r="Q83" s="238"/>
      <c r="R83" s="196">
        <f>IF(TODAY()&gt;=B83,'資產'!G85,"")</f>
        <v>9736</v>
      </c>
      <c r="S83" s="195">
        <f>IF(TODAY()&gt;=B83,'貸款'!I27,"")</f>
        <v>728.3801</v>
      </c>
      <c r="T83" s="239">
        <f>IF(Calculation!E47=0,"",Calculation!E47)</f>
        <v>3860</v>
      </c>
      <c r="U83" s="192">
        <f t="shared" si="1"/>
        <v>76482</v>
      </c>
      <c r="V83" s="194">
        <f t="shared" si="2"/>
        <v>2840</v>
      </c>
      <c r="W83" s="194">
        <f t="shared" si="13"/>
        <v>2828</v>
      </c>
      <c r="X83" s="194">
        <f t="shared" si="4"/>
        <v>27303</v>
      </c>
      <c r="Y83" s="194">
        <f t="shared" si="5"/>
        <v>9736</v>
      </c>
      <c r="Z83" s="194">
        <f t="shared" si="6"/>
        <v>728.3801</v>
      </c>
      <c r="AA83" s="193">
        <f t="shared" si="11"/>
        <v>3860</v>
      </c>
      <c r="AB83" s="218">
        <f t="shared" si="14"/>
        <v>79322</v>
      </c>
      <c r="AC83" s="218">
        <f t="shared" si="8"/>
        <v>109453</v>
      </c>
      <c r="AD83" s="218">
        <f t="shared" si="9"/>
        <v>123777.3801</v>
      </c>
      <c r="AE83" s="219" t="s">
        <v>548</v>
      </c>
      <c r="AF83" s="202">
        <f>SUM(Z78:Z89)</f>
        <v>7629.5583</v>
      </c>
      <c r="AG83" s="202">
        <f>AF83/(12-COUNTBLANK(AD78:AD89))</f>
        <v>635.796525</v>
      </c>
      <c r="AH83" s="221" t="str">
        <f>IFNA(Calculation!S47,"")</f>
        <v>$20000哥生小孩紅包, $5000根管治療, $1500機車清油管, $15000長庚體檢, $6900H2O豪華景觀客房, $8052豪享自助餐*6人</v>
      </c>
      <c r="AI83" s="174"/>
      <c r="AJ83" s="174"/>
      <c r="AK83" s="174"/>
    </row>
    <row r="84" ht="15.75" customHeight="1">
      <c r="B84" s="210">
        <v>45839.0</v>
      </c>
      <c r="C84" s="238">
        <f>IF(Calculation!B48=0,"",Calculation!B48)</f>
        <v>137494</v>
      </c>
      <c r="D84" s="237">
        <f>IF(Calculation!C48=0,"",Calculation!C48)</f>
        <v>728</v>
      </c>
      <c r="E84" s="238">
        <f>IF(Calculation!K48=0,"",Calculation!K48)</f>
        <v>5250</v>
      </c>
      <c r="F84" s="236" t="str">
        <f>IF(Calculation!L48=0,"",Calculation!L48)</f>
        <v/>
      </c>
      <c r="G84" s="236">
        <f>IF(Calculation!M48=0,"",Calculation!M48)</f>
        <v>1055</v>
      </c>
      <c r="H84" s="236" t="str">
        <f>IF(Calculation!N48=0,"",Calculation!N48)</f>
        <v/>
      </c>
      <c r="I84" s="236">
        <f>IF(Calculation!O48=0,"",Calculation!O48)</f>
        <v>594</v>
      </c>
      <c r="J84" s="237" t="str">
        <f>IF(Calculation!P48=0,"",Calculation!P48)</f>
        <v/>
      </c>
      <c r="K84" s="239">
        <f>IF(Calculation!D48=0,"",Calculation!D48)</f>
        <v>2828</v>
      </c>
      <c r="L84" s="238">
        <f>IF(Calculation!F48=0,"",Calculation!F48)</f>
        <v>26000</v>
      </c>
      <c r="M84" s="236">
        <f>IF(Calculation!G48=0,"",Calculation!G48)</f>
        <v>7802</v>
      </c>
      <c r="N84" s="236">
        <f>IF(Calculation!H48=0,"",Calculation!H48)</f>
        <v>197</v>
      </c>
      <c r="O84" s="236" t="str">
        <f>IF(Calculation!I48=0,"",Calculation!I48)</f>
        <v/>
      </c>
      <c r="P84" s="237">
        <f>IF(Calculation!J48=0,"",Calculation!J48)</f>
        <v>422</v>
      </c>
      <c r="Q84" s="238"/>
      <c r="R84" s="196">
        <f>IF(TODAY()&gt;=B84,'資產'!G86,"")</f>
        <v>9573</v>
      </c>
      <c r="S84" s="195">
        <f>IF(TODAY()&gt;=B84,'貸款'!I28,"")</f>
        <v>718.2926</v>
      </c>
      <c r="T84" s="239">
        <f>IF(Calculation!E48=0,"",Calculation!E48)</f>
        <v>11041</v>
      </c>
      <c r="U84" s="192">
        <f t="shared" si="1"/>
        <v>138222</v>
      </c>
      <c r="V84" s="194">
        <f t="shared" si="2"/>
        <v>6899</v>
      </c>
      <c r="W84" s="194">
        <f t="shared" si="13"/>
        <v>2828</v>
      </c>
      <c r="X84" s="194">
        <f t="shared" si="4"/>
        <v>34421</v>
      </c>
      <c r="Y84" s="194">
        <f t="shared" si="5"/>
        <v>9573</v>
      </c>
      <c r="Z84" s="194">
        <f t="shared" si="6"/>
        <v>718.2926</v>
      </c>
      <c r="AA84" s="193">
        <f t="shared" si="11"/>
        <v>11041</v>
      </c>
      <c r="AB84" s="218">
        <f t="shared" si="14"/>
        <v>145121</v>
      </c>
      <c r="AC84" s="218">
        <f t="shared" si="8"/>
        <v>182370</v>
      </c>
      <c r="AD84" s="218">
        <f t="shared" si="9"/>
        <v>203702.2926</v>
      </c>
      <c r="AE84" s="219" t="s">
        <v>75</v>
      </c>
      <c r="AF84" s="202">
        <f>SUM(AA78:AA89)</f>
        <v>81977</v>
      </c>
      <c r="AG84" s="202">
        <f>AF84/(12-COUNTBLANK(AD78:AD89))</f>
        <v>6831.416667</v>
      </c>
      <c r="AH84" s="221" t="str">
        <f>IFNA(Calculation!S48,"")</f>
        <v>$5000根管治療, $5000根管治療, $4800汽車燃料費, $2163拼多多廚房櫃, $103622婚戒</v>
      </c>
      <c r="AI84" s="174"/>
      <c r="AJ84" s="174"/>
      <c r="AK84" s="174"/>
    </row>
    <row r="85" ht="15.75" customHeight="1">
      <c r="B85" s="210">
        <v>45870.0</v>
      </c>
      <c r="C85" s="238">
        <f>IF(Calculation!B49=0,"",Calculation!B49)</f>
        <v>21493</v>
      </c>
      <c r="D85" s="237" t="str">
        <f>IF(Calculation!C49=0,"",Calculation!C49)</f>
        <v/>
      </c>
      <c r="E85" s="238" t="str">
        <f>IF(Calculation!K49=0,"",Calculation!K49)</f>
        <v/>
      </c>
      <c r="F85" s="236" t="str">
        <f>IF(Calculation!L49=0,"",Calculation!L49)</f>
        <v/>
      </c>
      <c r="G85" s="236">
        <f>IF(Calculation!M49=0,"",Calculation!M49)</f>
        <v>2613</v>
      </c>
      <c r="H85" s="236">
        <f>IF(Calculation!N49=0,"",Calculation!N49)</f>
        <v>400</v>
      </c>
      <c r="I85" s="236">
        <f>IF(Calculation!O49=0,"",Calculation!O49)</f>
        <v>376</v>
      </c>
      <c r="J85" s="237">
        <f>IF(Calculation!P49=0,"",Calculation!P49)</f>
        <v>600</v>
      </c>
      <c r="K85" s="239">
        <f>IF(Calculation!D49=0,"",Calculation!D49)</f>
        <v>2828</v>
      </c>
      <c r="L85" s="238">
        <f>IF(Calculation!F49=0,"",Calculation!F49)</f>
        <v>26000</v>
      </c>
      <c r="M85" s="236" t="str">
        <f>IF(Calculation!G49=0,"",Calculation!G49)</f>
        <v/>
      </c>
      <c r="N85" s="236" t="str">
        <f>IF(Calculation!H49=0,"",Calculation!H49)</f>
        <v/>
      </c>
      <c r="O85" s="236">
        <f>IF(Calculation!I49=0,"",Calculation!I49)</f>
        <v>1701</v>
      </c>
      <c r="P85" s="237" t="str">
        <f>IF(Calculation!J49=0,"",Calculation!J49)</f>
        <v/>
      </c>
      <c r="Q85" s="238"/>
      <c r="R85" s="196">
        <f>IF(TODAY()&gt;=B85,'資產'!G87,"")</f>
        <v>9414</v>
      </c>
      <c r="S85" s="195">
        <f>IF(TODAY()&gt;=B85,'貸款'!I29,"")</f>
        <v>708.1871</v>
      </c>
      <c r="T85" s="239">
        <f>IF(Calculation!E49=0,"",Calculation!E49)</f>
        <v>4400</v>
      </c>
      <c r="U85" s="192">
        <f t="shared" si="1"/>
        <v>21493</v>
      </c>
      <c r="V85" s="194">
        <f t="shared" si="2"/>
        <v>3989</v>
      </c>
      <c r="W85" s="194">
        <f t="shared" si="13"/>
        <v>2828</v>
      </c>
      <c r="X85" s="194">
        <f t="shared" si="4"/>
        <v>27701</v>
      </c>
      <c r="Y85" s="194">
        <f t="shared" si="5"/>
        <v>9414</v>
      </c>
      <c r="Z85" s="194">
        <f t="shared" si="6"/>
        <v>708.1871</v>
      </c>
      <c r="AA85" s="193">
        <f t="shared" si="11"/>
        <v>4400</v>
      </c>
      <c r="AB85" s="218">
        <f t="shared" si="14"/>
        <v>25482</v>
      </c>
      <c r="AC85" s="218">
        <f t="shared" si="8"/>
        <v>56011</v>
      </c>
      <c r="AD85" s="218">
        <f t="shared" si="9"/>
        <v>70533.1871</v>
      </c>
      <c r="AE85" s="219" t="s">
        <v>566</v>
      </c>
      <c r="AF85" s="202">
        <f>SUM(AD78:AD89)</f>
        <v>1405323.558</v>
      </c>
      <c r="AG85" s="202">
        <f>AF85/(12-COUNTBLANK(AD78:AD89))</f>
        <v>117110.2965</v>
      </c>
      <c r="AH85" s="221" t="str">
        <f>IFNA(Calculation!S49,"")</f>
        <v>$5000根管治療</v>
      </c>
      <c r="AI85" s="174"/>
      <c r="AJ85" s="174"/>
      <c r="AK85" s="174"/>
    </row>
    <row r="86" ht="15.75" customHeight="1">
      <c r="B86" s="210">
        <v>45901.0</v>
      </c>
      <c r="C86" s="238">
        <f>IF(Calculation!B50=0,"",Calculation!B50)</f>
        <v>27123</v>
      </c>
      <c r="D86" s="237">
        <f>IF(Calculation!C50=0,"",Calculation!C50)</f>
        <v>698</v>
      </c>
      <c r="E86" s="238" t="str">
        <f>IF(Calculation!K50=0,"",Calculation!K50)</f>
        <v/>
      </c>
      <c r="F86" s="236" t="str">
        <f>IF(Calculation!L50=0,"",Calculation!L50)</f>
        <v/>
      </c>
      <c r="G86" s="236">
        <f>IF(Calculation!M50=0,"",Calculation!M50)</f>
        <v>2268</v>
      </c>
      <c r="H86" s="236">
        <f>IF(Calculation!N50=0,"",Calculation!N50)</f>
        <v>400</v>
      </c>
      <c r="I86" s="236">
        <f>IF(Calculation!O50=0,"",Calculation!O50)</f>
        <v>299</v>
      </c>
      <c r="J86" s="237" t="str">
        <f>IF(Calculation!P50=0,"",Calculation!P50)</f>
        <v/>
      </c>
      <c r="K86" s="239">
        <f>IF(Calculation!D50=0,"",Calculation!D50)</f>
        <v>2828</v>
      </c>
      <c r="L86" s="238">
        <f>IF(Calculation!F50=0,"",Calculation!F50)</f>
        <v>26000</v>
      </c>
      <c r="M86" s="236">
        <f>IF(Calculation!G50=0,"",Calculation!G50)</f>
        <v>7802</v>
      </c>
      <c r="N86" s="236">
        <f>IF(Calculation!H50=0,"",Calculation!H50)</f>
        <v>205</v>
      </c>
      <c r="O86" s="236" t="str">
        <f>IF(Calculation!I50=0,"",Calculation!I50)</f>
        <v/>
      </c>
      <c r="P86" s="237">
        <f>IF(Calculation!J50=0,"",Calculation!J50)</f>
        <v>433</v>
      </c>
      <c r="Q86" s="238"/>
      <c r="R86" s="196">
        <f>IF(TODAY()&gt;=B86,'資產'!G88,"")</f>
        <v>9257</v>
      </c>
      <c r="S86" s="195">
        <f>IF(TODAY()&gt;=B86,'貸款'!I30,"")</f>
        <v>698.0638</v>
      </c>
      <c r="T86" s="239">
        <f>IF(Calculation!E50=0,"",Calculation!E50)</f>
        <v>3860</v>
      </c>
      <c r="U86" s="192">
        <f t="shared" si="1"/>
        <v>27821</v>
      </c>
      <c r="V86" s="194">
        <f t="shared" si="2"/>
        <v>2967</v>
      </c>
      <c r="W86" s="194">
        <f t="shared" si="13"/>
        <v>2828</v>
      </c>
      <c r="X86" s="194">
        <f t="shared" si="4"/>
        <v>34440</v>
      </c>
      <c r="Y86" s="194">
        <f t="shared" si="5"/>
        <v>9257</v>
      </c>
      <c r="Z86" s="194">
        <f t="shared" si="6"/>
        <v>698.0638</v>
      </c>
      <c r="AA86" s="193">
        <f t="shared" si="11"/>
        <v>3860</v>
      </c>
      <c r="AB86" s="218">
        <f t="shared" si="14"/>
        <v>30788</v>
      </c>
      <c r="AC86" s="218">
        <f t="shared" si="8"/>
        <v>68056</v>
      </c>
      <c r="AD86" s="218">
        <f t="shared" si="9"/>
        <v>81871.0638</v>
      </c>
      <c r="AE86" s="190"/>
      <c r="AF86" s="202"/>
      <c r="AG86" s="202"/>
      <c r="AH86" s="221" t="str">
        <f>IFNA(Calculation!S50,"")</f>
        <v>$1800點痣</v>
      </c>
      <c r="AI86" s="174"/>
      <c r="AJ86" s="174"/>
      <c r="AK86" s="174"/>
    </row>
    <row r="87" ht="15.75" customHeight="1">
      <c r="B87" s="210">
        <v>45931.0</v>
      </c>
      <c r="C87" s="238">
        <f>IF(Calculation!B51=0,"",Calculation!B51)</f>
        <v>78516</v>
      </c>
      <c r="D87" s="237" t="str">
        <f>IF(Calculation!C51=0,"",Calculation!C51)</f>
        <v/>
      </c>
      <c r="E87" s="238" t="str">
        <f>IF(Calculation!K51=0,"",Calculation!K51)</f>
        <v/>
      </c>
      <c r="F87" s="236" t="str">
        <f>IF(Calculation!L51=0,"",Calculation!L51)</f>
        <v/>
      </c>
      <c r="G87" s="236">
        <f>IF(Calculation!M51=0,"",Calculation!M51)</f>
        <v>219</v>
      </c>
      <c r="H87" s="236" t="str">
        <f>IF(Calculation!N51=0,"",Calculation!N51)</f>
        <v/>
      </c>
      <c r="I87" s="236">
        <f>IF(Calculation!O51=0,"",Calculation!O51)</f>
        <v>95</v>
      </c>
      <c r="J87" s="237" t="str">
        <f>IF(Calculation!P51=0,"",Calculation!P51)</f>
        <v/>
      </c>
      <c r="K87" s="239">
        <f>IF(Calculation!D51=0,"",Calculation!D51)</f>
        <v>2898</v>
      </c>
      <c r="L87" s="238">
        <f>IF(Calculation!F51=0,"",Calculation!F51)</f>
        <v>26000</v>
      </c>
      <c r="M87" s="236" t="str">
        <f>IF(Calculation!G51=0,"",Calculation!G51)</f>
        <v/>
      </c>
      <c r="N87" s="236" t="str">
        <f>IF(Calculation!H51=0,"",Calculation!H51)</f>
        <v/>
      </c>
      <c r="O87" s="236">
        <f>IF(Calculation!I51=0,"",Calculation!I51)</f>
        <v>1746</v>
      </c>
      <c r="P87" s="237" t="str">
        <f>IF(Calculation!J51=0,"",Calculation!J51)</f>
        <v/>
      </c>
      <c r="Q87" s="238"/>
      <c r="R87" s="196">
        <f>IF(TODAY()&gt;=B87,'資產'!G89,"")</f>
        <v>9103</v>
      </c>
      <c r="S87" s="195">
        <f>IF(TODAY()&gt;=B87,'貸款'!I31,"")</f>
        <v>332.935</v>
      </c>
      <c r="T87" s="239">
        <f>IF(Calculation!E51=0,"",Calculation!E51)</f>
        <v>3620</v>
      </c>
      <c r="U87" s="192">
        <f t="shared" si="1"/>
        <v>78516</v>
      </c>
      <c r="V87" s="194">
        <f t="shared" si="2"/>
        <v>314</v>
      </c>
      <c r="W87" s="194">
        <f t="shared" si="13"/>
        <v>2898</v>
      </c>
      <c r="X87" s="194">
        <f t="shared" si="4"/>
        <v>27746</v>
      </c>
      <c r="Y87" s="194">
        <f t="shared" si="5"/>
        <v>9103</v>
      </c>
      <c r="Z87" s="194">
        <f t="shared" si="6"/>
        <v>332.935</v>
      </c>
      <c r="AA87" s="193">
        <f t="shared" si="11"/>
        <v>3620</v>
      </c>
      <c r="AB87" s="218">
        <f t="shared" si="14"/>
        <v>78830</v>
      </c>
      <c r="AC87" s="218">
        <f t="shared" si="8"/>
        <v>109474</v>
      </c>
      <c r="AD87" s="218">
        <f t="shared" si="9"/>
        <v>122529.935</v>
      </c>
      <c r="AE87" s="190"/>
      <c r="AF87" s="202"/>
      <c r="AG87" s="202"/>
      <c r="AH87" s="221" t="str">
        <f>IFNA(Calculation!S51,"")</f>
        <v>$6000贊助寶學畫畫, $48900冰箱</v>
      </c>
      <c r="AI87" s="174"/>
      <c r="AJ87" s="174"/>
      <c r="AK87" s="174"/>
    </row>
    <row r="88" ht="15.75" customHeight="1">
      <c r="B88" s="210">
        <v>45962.0</v>
      </c>
      <c r="C88" s="238">
        <f>IF(Calculation!B52=0,"",Calculation!B52)</f>
        <v>101959</v>
      </c>
      <c r="D88" s="237">
        <f>IF(Calculation!C52=0,"",Calculation!C52)</f>
        <v>794</v>
      </c>
      <c r="E88" s="238" t="str">
        <f>IF(Calculation!K52=0,"",Calculation!K52)</f>
        <v/>
      </c>
      <c r="F88" s="236" t="str">
        <f>IF(Calculation!L52=0,"",Calculation!L52)</f>
        <v/>
      </c>
      <c r="G88" s="236">
        <f>IF(Calculation!M52=0,"",Calculation!M52)</f>
        <v>1714</v>
      </c>
      <c r="H88" s="236" t="str">
        <f>IF(Calculation!N52=0,"",Calculation!N52)</f>
        <v/>
      </c>
      <c r="I88" s="236">
        <f>IF(Calculation!O52=0,"",Calculation!O52)</f>
        <v>95</v>
      </c>
      <c r="J88" s="237">
        <f>IF(Calculation!P52=0,"",Calculation!P52)</f>
        <v>180</v>
      </c>
      <c r="K88" s="239">
        <f>IF(Calculation!D52=0,"",Calculation!D52)</f>
        <v>6201</v>
      </c>
      <c r="L88" s="238">
        <f>IF(Calculation!F52=0,"",Calculation!F52)</f>
        <v>26000</v>
      </c>
      <c r="M88" s="236">
        <f>IF(Calculation!G52=0,"",Calculation!G52)</f>
        <v>7302</v>
      </c>
      <c r="N88" s="236">
        <f>IF(Calculation!H52=0,"",Calculation!H52)</f>
        <v>213</v>
      </c>
      <c r="O88" s="236" t="str">
        <f>IF(Calculation!I52=0,"",Calculation!I52)</f>
        <v/>
      </c>
      <c r="P88" s="237">
        <f>IF(Calculation!J52=0,"",Calculation!J52)</f>
        <v>433</v>
      </c>
      <c r="Q88" s="238"/>
      <c r="R88" s="196">
        <f>IF(TODAY()&gt;=B88,'資產'!G90,"")</f>
        <v>8951</v>
      </c>
      <c r="S88" s="195">
        <f>IF(TODAY()&gt;=B88,'貸款'!I32,"")</f>
        <v>328.0181</v>
      </c>
      <c r="T88" s="239">
        <f>IF(Calculation!E52=0,"",Calculation!E52)</f>
        <v>3500</v>
      </c>
      <c r="U88" s="192">
        <f t="shared" si="1"/>
        <v>102753</v>
      </c>
      <c r="V88" s="194">
        <f t="shared" si="2"/>
        <v>1989</v>
      </c>
      <c r="W88" s="194">
        <f t="shared" si="13"/>
        <v>6201</v>
      </c>
      <c r="X88" s="194">
        <f t="shared" si="4"/>
        <v>33948</v>
      </c>
      <c r="Y88" s="194">
        <f t="shared" si="5"/>
        <v>8951</v>
      </c>
      <c r="Z88" s="194">
        <f t="shared" si="6"/>
        <v>328.0181</v>
      </c>
      <c r="AA88" s="193">
        <f t="shared" si="11"/>
        <v>3500</v>
      </c>
      <c r="AB88" s="218">
        <f t="shared" si="14"/>
        <v>104742</v>
      </c>
      <c r="AC88" s="218">
        <f t="shared" si="8"/>
        <v>144891</v>
      </c>
      <c r="AD88" s="218">
        <f t="shared" si="9"/>
        <v>157670.0181</v>
      </c>
      <c r="AE88" s="190"/>
      <c r="AF88" s="202"/>
      <c r="AG88" s="202"/>
      <c r="AH88" s="221" t="str">
        <f>IFNA(Calculation!S52,"")</f>
        <v>$58492日本大阪行, $5900濾芯, $8400速達通網路, $14900除濕機</v>
      </c>
      <c r="AI88" s="174"/>
      <c r="AJ88" s="174"/>
      <c r="AK88" s="174"/>
    </row>
    <row r="89" ht="15.75" customHeight="1">
      <c r="A89" s="114"/>
      <c r="B89" s="210">
        <v>45992.0</v>
      </c>
      <c r="C89" s="238">
        <f>IF(Calculation!B53=0,"",Calculation!B53)</f>
        <v>35895</v>
      </c>
      <c r="D89" s="237" t="str">
        <f>IF(Calculation!C53=0,"",Calculation!C53)</f>
        <v/>
      </c>
      <c r="E89" s="238" t="str">
        <f>IF(Calculation!K53=0,"",Calculation!K53)</f>
        <v/>
      </c>
      <c r="F89" s="236" t="str">
        <f>IF(Calculation!L53=0,"",Calculation!L53)</f>
        <v/>
      </c>
      <c r="G89" s="236">
        <f>IF(Calculation!M53=0,"",Calculation!M53)</f>
        <v>3090</v>
      </c>
      <c r="H89" s="236">
        <f>IF(Calculation!N53=0,"",Calculation!N53)</f>
        <v>800</v>
      </c>
      <c r="I89" s="236">
        <f>IF(Calculation!O53=0,"",Calculation!O53)</f>
        <v>521</v>
      </c>
      <c r="J89" s="237" t="str">
        <f>IF(Calculation!P53=0,"",Calculation!P53)</f>
        <v/>
      </c>
      <c r="K89" s="239">
        <f>IF(Calculation!D53=0,"",Calculation!D53)</f>
        <v>6729</v>
      </c>
      <c r="L89" s="238">
        <f>IF(Calculation!F53=0,"",Calculation!F53)</f>
        <v>26000</v>
      </c>
      <c r="M89" s="236" t="str">
        <f>IF(Calculation!G53=0,"",Calculation!G53)</f>
        <v/>
      </c>
      <c r="N89" s="236" t="str">
        <f>IF(Calculation!H53=0,"",Calculation!H53)</f>
        <v/>
      </c>
      <c r="O89" s="236">
        <f>IF(Calculation!I53=0,"",Calculation!I53)</f>
        <v>1102</v>
      </c>
      <c r="P89" s="237" t="str">
        <f>IF(Calculation!J53=0,"",Calculation!J53)</f>
        <v/>
      </c>
      <c r="Q89" s="238"/>
      <c r="R89" s="196">
        <f>IF(TODAY()&gt;=B89,'資產'!G91,"")</f>
        <v>8802</v>
      </c>
      <c r="S89" s="195">
        <f>IF(TODAY()&gt;=B89,'貸款'!I33,"")</f>
        <v>323.0926</v>
      </c>
      <c r="T89" s="239">
        <f>IF(Calculation!E53=0,"",Calculation!E53)</f>
        <v>3500</v>
      </c>
      <c r="U89" s="192">
        <f t="shared" si="1"/>
        <v>35895</v>
      </c>
      <c r="V89" s="194">
        <f t="shared" si="2"/>
        <v>4411</v>
      </c>
      <c r="W89" s="194">
        <f t="shared" si="13"/>
        <v>6729</v>
      </c>
      <c r="X89" s="194">
        <f t="shared" si="4"/>
        <v>27102</v>
      </c>
      <c r="Y89" s="194">
        <f t="shared" si="5"/>
        <v>8802</v>
      </c>
      <c r="Z89" s="194">
        <f t="shared" si="6"/>
        <v>323.0926</v>
      </c>
      <c r="AA89" s="193">
        <f t="shared" si="11"/>
        <v>3500</v>
      </c>
      <c r="AB89" s="218">
        <f t="shared" si="14"/>
        <v>40306</v>
      </c>
      <c r="AC89" s="218">
        <f t="shared" si="8"/>
        <v>74137</v>
      </c>
      <c r="AD89" s="218">
        <f t="shared" si="9"/>
        <v>86762.0926</v>
      </c>
      <c r="AE89" s="190"/>
      <c r="AF89" s="202"/>
      <c r="AG89" s="202"/>
      <c r="AH89" s="221" t="str">
        <f>IFNA(Calculation!S53,"")</f>
        <v>$4400冠州新公司</v>
      </c>
      <c r="AI89" s="174"/>
      <c r="AJ89" s="174"/>
      <c r="AK89" s="174"/>
    </row>
    <row r="90" ht="15.75" customHeight="1">
      <c r="A90" s="233">
        <v>2026.0</v>
      </c>
      <c r="B90" s="210">
        <v>46023.0</v>
      </c>
      <c r="C90" s="242">
        <f>IF(Calculation!B54=0,"",Calculation!B54)</f>
        <v>71564</v>
      </c>
      <c r="D90" s="243">
        <f>IF(Calculation!C54=0,"",Calculation!C54)</f>
        <v>788</v>
      </c>
      <c r="E90" s="242">
        <f>IF(Calculation!K54=0,"",Calculation!K54)</f>
        <v>27434</v>
      </c>
      <c r="F90" s="244" t="str">
        <f>IF(Calculation!L54=0,"",Calculation!L54)</f>
        <v/>
      </c>
      <c r="G90" s="244">
        <f>IF(Calculation!M54=0,"",Calculation!M54)</f>
        <v>2460</v>
      </c>
      <c r="H90" s="244" t="str">
        <f>IF(Calculation!N54=0,"",Calculation!N54)</f>
        <v/>
      </c>
      <c r="I90" s="244">
        <f>IF(Calculation!O54=0,"",Calculation!O54)</f>
        <v>504</v>
      </c>
      <c r="J90" s="243">
        <f>IF(Calculation!P54=0,"",Calculation!P54)</f>
        <v>250</v>
      </c>
      <c r="K90" s="245">
        <f>IF(Calculation!D54=0,"",Calculation!D54)</f>
        <v>6156</v>
      </c>
      <c r="L90" s="242">
        <f>IF(Calculation!F54=0,"",Calculation!F54)</f>
        <v>26000</v>
      </c>
      <c r="M90" s="244">
        <f>IF(Calculation!G54=0,"",Calculation!G54)</f>
        <v>7802</v>
      </c>
      <c r="N90" s="244">
        <f>IF(Calculation!H54=0,"",Calculation!H54)</f>
        <v>197</v>
      </c>
      <c r="O90" s="244" t="str">
        <f>IF(Calculation!I54=0,"",Calculation!I54)</f>
        <v/>
      </c>
      <c r="P90" s="243">
        <f>IF(Calculation!J54=0,"",Calculation!J54)</f>
        <v>550</v>
      </c>
      <c r="Q90" s="242"/>
      <c r="R90" s="246">
        <f>IF(TODAY()&gt;=B90,'資產'!G92,"")</f>
        <v>8655</v>
      </c>
      <c r="S90" s="214">
        <f>IF(TODAY()&gt;=B90,'貸款'!I34,"")</f>
        <v>318.1583</v>
      </c>
      <c r="T90" s="244">
        <f>IF(Calculation!E54=0,"",Calculation!E54)</f>
        <v>3450</v>
      </c>
      <c r="U90" s="211">
        <f t="shared" si="1"/>
        <v>72352</v>
      </c>
      <c r="V90" s="213">
        <f t="shared" si="2"/>
        <v>30648</v>
      </c>
      <c r="W90" s="213">
        <f t="shared" si="13"/>
        <v>6156</v>
      </c>
      <c r="X90" s="213">
        <f t="shared" si="4"/>
        <v>34549</v>
      </c>
      <c r="Y90" s="213">
        <f t="shared" si="5"/>
        <v>8655</v>
      </c>
      <c r="Z90" s="213">
        <f t="shared" si="6"/>
        <v>318.1583</v>
      </c>
      <c r="AA90" s="212">
        <f t="shared" si="11"/>
        <v>3450</v>
      </c>
      <c r="AB90" s="247">
        <f t="shared" si="14"/>
        <v>103000</v>
      </c>
      <c r="AC90" s="216">
        <f t="shared" si="8"/>
        <v>143705</v>
      </c>
      <c r="AD90" s="217">
        <f t="shared" si="9"/>
        <v>156128.1583</v>
      </c>
      <c r="AE90" s="198" t="s">
        <v>382</v>
      </c>
      <c r="AF90" s="199">
        <f>SUM(U90:U101)</f>
        <v>302910</v>
      </c>
      <c r="AG90" s="199">
        <f>AF90/(12-COUNTBLANK(AD90:AD101))</f>
        <v>37863.75</v>
      </c>
      <c r="AH90" s="231" t="str">
        <f>IFNA(Calculation!S54,"")</f>
        <v>$26583汽車乙式保險, $52900婚紗</v>
      </c>
      <c r="AI90" s="174"/>
      <c r="AJ90" s="174"/>
      <c r="AK90" s="174"/>
    </row>
    <row r="91" ht="15.75" customHeight="1">
      <c r="B91" s="210">
        <v>46054.0</v>
      </c>
      <c r="C91" s="238">
        <f>IF(Calculation!B55=0,"",Calculation!B55)</f>
        <v>40521</v>
      </c>
      <c r="D91" s="237" t="str">
        <f>IF(Calculation!C55=0,"",Calculation!C55)</f>
        <v/>
      </c>
      <c r="E91" s="238" t="str">
        <f>IF(Calculation!K55=0,"",Calculation!K55)</f>
        <v/>
      </c>
      <c r="F91" s="236" t="str">
        <f>IF(Calculation!L55=0,"",Calculation!L55)</f>
        <v/>
      </c>
      <c r="G91" s="236">
        <f>IF(Calculation!M55=0,"",Calculation!M55)</f>
        <v>1519</v>
      </c>
      <c r="H91" s="236" t="str">
        <f>IF(Calculation!N55=0,"",Calculation!N55)</f>
        <v/>
      </c>
      <c r="I91" s="236">
        <f>IF(Calculation!O55=0,"",Calculation!O55)</f>
        <v>70</v>
      </c>
      <c r="J91" s="237">
        <f>IF(Calculation!P55=0,"",Calculation!P55)</f>
        <v>4500</v>
      </c>
      <c r="K91" s="239">
        <f>IF(Calculation!D55=0,"",Calculation!D55)</f>
        <v>6156</v>
      </c>
      <c r="L91" s="238">
        <f>IF(Calculation!F55=0,"",Calculation!F55)</f>
        <v>26000</v>
      </c>
      <c r="M91" s="236" t="str">
        <f>IF(Calculation!G55=0,"",Calculation!G55)</f>
        <v/>
      </c>
      <c r="N91" s="236" t="str">
        <f>IF(Calculation!H55=0,"",Calculation!H55)</f>
        <v/>
      </c>
      <c r="O91" s="236">
        <f>IF(Calculation!I55=0,"",Calculation!I55)</f>
        <v>965</v>
      </c>
      <c r="P91" s="237" t="str">
        <f>IF(Calculation!J55=0,"",Calculation!J55)</f>
        <v/>
      </c>
      <c r="Q91" s="238"/>
      <c r="R91" s="240">
        <f>IF(TODAY()&gt;=B91,'資產'!G93,"")</f>
        <v>8511</v>
      </c>
      <c r="S91" s="195">
        <f>IF(TODAY()&gt;=B91,'貸款'!I35,"")</f>
        <v>313.2152</v>
      </c>
      <c r="T91" s="236">
        <f>IF(Calculation!E55=0,"",Calculation!E55)</f>
        <v>3390</v>
      </c>
      <c r="U91" s="192">
        <f t="shared" si="1"/>
        <v>40521</v>
      </c>
      <c r="V91" s="194">
        <f t="shared" si="2"/>
        <v>6089</v>
      </c>
      <c r="W91" s="194">
        <f t="shared" si="13"/>
        <v>6156</v>
      </c>
      <c r="X91" s="194">
        <f t="shared" si="4"/>
        <v>26965</v>
      </c>
      <c r="Y91" s="194">
        <f t="shared" si="5"/>
        <v>8511</v>
      </c>
      <c r="Z91" s="194">
        <f t="shared" si="6"/>
        <v>313.2152</v>
      </c>
      <c r="AA91" s="193">
        <f t="shared" si="11"/>
        <v>3390</v>
      </c>
      <c r="AB91" s="248">
        <f t="shared" si="14"/>
        <v>46610</v>
      </c>
      <c r="AC91" s="218">
        <f t="shared" si="8"/>
        <v>79731</v>
      </c>
      <c r="AD91" s="197">
        <f t="shared" si="9"/>
        <v>91945.2152</v>
      </c>
      <c r="AE91" s="219" t="s">
        <v>380</v>
      </c>
      <c r="AF91" s="202">
        <f>SUM(V90:V101)</f>
        <v>68934</v>
      </c>
      <c r="AG91" s="202">
        <f>AF91/(12-COUNTBLANK(AD90:AD101))</f>
        <v>8616.75</v>
      </c>
      <c r="AH91" s="221" t="str">
        <f>IFNA(Calculation!S55,"")</f>
        <v>$4500換輪胎, $12200紅包奶$2000，姪子$2000，寶$8200</v>
      </c>
      <c r="AI91" s="174"/>
      <c r="AJ91" s="174"/>
      <c r="AK91" s="174"/>
    </row>
    <row r="92" ht="15.75" customHeight="1">
      <c r="B92" s="210">
        <v>46082.0</v>
      </c>
      <c r="C92" s="238">
        <f>IF(Calculation!B56=0,"",Calculation!B56)</f>
        <v>42070</v>
      </c>
      <c r="D92" s="237">
        <f>IF(Calculation!C56=0,"",Calculation!C56)</f>
        <v>638</v>
      </c>
      <c r="E92" s="238" t="str">
        <f>IF(Calculation!K56=0,"",Calculation!K56)</f>
        <v/>
      </c>
      <c r="F92" s="236" t="str">
        <f>IF(Calculation!L56=0,"",Calculation!L56)</f>
        <v/>
      </c>
      <c r="G92" s="236">
        <f>IF(Calculation!M56=0,"",Calculation!M56)</f>
        <v>1847</v>
      </c>
      <c r="H92" s="236">
        <f>IF(Calculation!N56=0,"",Calculation!N56)</f>
        <v>400</v>
      </c>
      <c r="I92" s="236">
        <f>IF(Calculation!O56=0,"",Calculation!O56)</f>
        <v>606</v>
      </c>
      <c r="J92" s="237">
        <f>IF(Calculation!P56=0,"",Calculation!P56)</f>
        <v>200</v>
      </c>
      <c r="K92" s="239">
        <f>IF(Calculation!D56=0,"",Calculation!D56)</f>
        <v>6201</v>
      </c>
      <c r="L92" s="238">
        <f>IF(Calculation!F56=0,"",Calculation!F56)</f>
        <v>26000</v>
      </c>
      <c r="M92" s="236">
        <f>IF(Calculation!G56=0,"",Calculation!G56)</f>
        <v>7802</v>
      </c>
      <c r="N92" s="236">
        <f>IF(Calculation!H56=0,"",Calculation!H56)</f>
        <v>205</v>
      </c>
      <c r="O92" s="236" t="str">
        <f>IF(Calculation!I56=0,"",Calculation!I56)</f>
        <v/>
      </c>
      <c r="P92" s="237">
        <f>IF(Calculation!J56=0,"",Calculation!J56)</f>
        <v>528</v>
      </c>
      <c r="Q92" s="238"/>
      <c r="R92" s="240">
        <f>IF(TODAY()&gt;=B92,'資產'!G94,"")</f>
        <v>8369</v>
      </c>
      <c r="S92" s="195">
        <f>IF(TODAY()&gt;=B92,'貸款'!I36,"")</f>
        <v>308.2634</v>
      </c>
      <c r="T92" s="236">
        <f>IF(Calculation!E56=0,"",Calculation!E56)</f>
        <v>3450</v>
      </c>
      <c r="U92" s="192">
        <f t="shared" si="1"/>
        <v>42708</v>
      </c>
      <c r="V92" s="194">
        <f t="shared" si="2"/>
        <v>3053</v>
      </c>
      <c r="W92" s="194">
        <f t="shared" si="13"/>
        <v>6201</v>
      </c>
      <c r="X92" s="194">
        <f t="shared" si="4"/>
        <v>34535</v>
      </c>
      <c r="Y92" s="194">
        <f t="shared" si="5"/>
        <v>8369</v>
      </c>
      <c r="Z92" s="194">
        <f t="shared" si="6"/>
        <v>308.2634</v>
      </c>
      <c r="AA92" s="193">
        <f t="shared" si="11"/>
        <v>3450</v>
      </c>
      <c r="AB92" s="248">
        <f t="shared" si="14"/>
        <v>45761</v>
      </c>
      <c r="AC92" s="218">
        <f t="shared" si="8"/>
        <v>86497</v>
      </c>
      <c r="AD92" s="197">
        <f t="shared" si="9"/>
        <v>98624.2634</v>
      </c>
      <c r="AE92" s="219" t="s">
        <v>546</v>
      </c>
      <c r="AF92" s="220">
        <f>SUM(W90:W101)</f>
        <v>45691</v>
      </c>
      <c r="AG92" s="220">
        <f>AF92/(12-COUNTBLANK(AD90:AD101))</f>
        <v>5711.375</v>
      </c>
      <c r="AH92" s="221" t="str">
        <f>IFNA(Calculation!S56,"")</f>
        <v>$2800金太太婚紗場地, $5000捐款</v>
      </c>
      <c r="AI92" s="174"/>
      <c r="AJ92" s="174"/>
      <c r="AK92" s="174"/>
    </row>
    <row r="93" ht="15.75" customHeight="1">
      <c r="B93" s="210">
        <v>46113.0</v>
      </c>
      <c r="C93" s="238">
        <f>IF(Calculation!B57=0,"",Calculation!B57)</f>
        <v>25523</v>
      </c>
      <c r="D93" s="237" t="str">
        <f>IF(Calculation!C57=0,"",Calculation!C57)</f>
        <v/>
      </c>
      <c r="E93" s="238">
        <f>IF(Calculation!K57=0,"",Calculation!K57)</f>
        <v>7120</v>
      </c>
      <c r="F93" s="236" t="str">
        <f>IF(Calculation!L57=0,"",Calculation!L57)</f>
        <v/>
      </c>
      <c r="G93" s="236">
        <f>IF(Calculation!M57=0,"",Calculation!M57)</f>
        <v>1745</v>
      </c>
      <c r="H93" s="236" t="str">
        <f>IF(Calculation!N57=0,"",Calculation!N57)</f>
        <v/>
      </c>
      <c r="I93" s="236">
        <f>IF(Calculation!O57=0,"",Calculation!O57)</f>
        <v>142</v>
      </c>
      <c r="J93" s="237">
        <f>IF(Calculation!P57=0,"",Calculation!P57)</f>
        <v>1200</v>
      </c>
      <c r="K93" s="239">
        <f>IF(Calculation!D57=0,"",Calculation!D57)</f>
        <v>6307</v>
      </c>
      <c r="L93" s="238">
        <f>IF(Calculation!F57=0,"",Calculation!F57)</f>
        <v>26000</v>
      </c>
      <c r="M93" s="236" t="str">
        <f>IF(Calculation!G57=0,"",Calculation!G57)</f>
        <v/>
      </c>
      <c r="N93" s="236" t="str">
        <f>IF(Calculation!H57=0,"",Calculation!H57)</f>
        <v/>
      </c>
      <c r="O93" s="236">
        <f>IF(Calculation!I57=0,"",Calculation!I57)</f>
        <v>1050</v>
      </c>
      <c r="P93" s="237" t="str">
        <f>IF(Calculation!J57=0,"",Calculation!J57)</f>
        <v/>
      </c>
      <c r="Q93" s="238"/>
      <c r="R93" s="240">
        <f>IF(TODAY()&gt;=B93,'資產'!G95,"")</f>
        <v>8229</v>
      </c>
      <c r="S93" s="195">
        <f>IF(TODAY()&gt;=B93,'貸款'!I37,"")</f>
        <v>140</v>
      </c>
      <c r="T93" s="236">
        <f>IF(Calculation!E57=0,"",Calculation!E57)</f>
        <v>4050</v>
      </c>
      <c r="U93" s="192">
        <f t="shared" si="1"/>
        <v>25523</v>
      </c>
      <c r="V93" s="194">
        <f t="shared" si="2"/>
        <v>10207</v>
      </c>
      <c r="W93" s="194">
        <f t="shared" si="13"/>
        <v>6307</v>
      </c>
      <c r="X93" s="194">
        <f t="shared" si="4"/>
        <v>27050</v>
      </c>
      <c r="Y93" s="194">
        <f t="shared" si="5"/>
        <v>8229</v>
      </c>
      <c r="Z93" s="194">
        <f t="shared" si="6"/>
        <v>140</v>
      </c>
      <c r="AA93" s="193">
        <f t="shared" si="11"/>
        <v>4050</v>
      </c>
      <c r="AB93" s="248">
        <f t="shared" si="14"/>
        <v>35730</v>
      </c>
      <c r="AC93" s="218">
        <f t="shared" si="8"/>
        <v>69087</v>
      </c>
      <c r="AD93" s="197">
        <f t="shared" si="9"/>
        <v>81506</v>
      </c>
      <c r="AE93" s="219" t="s">
        <v>564</v>
      </c>
      <c r="AF93" s="220">
        <f>SUM(X90:X101)</f>
        <v>192759</v>
      </c>
      <c r="AG93" s="220">
        <f>AF93/(12-COUNTBLANK(AD90:AD101))</f>
        <v>24094.875</v>
      </c>
      <c r="AH93" s="221" t="str">
        <f>IFNA(Calculation!S57,"")</f>
        <v>$3956寶puma鞋+運動內衣, $7120牌照稅</v>
      </c>
      <c r="AI93" s="174"/>
      <c r="AJ93" s="174"/>
      <c r="AK93" s="174"/>
    </row>
    <row r="94" ht="15.75" customHeight="1">
      <c r="B94" s="210">
        <v>46143.0</v>
      </c>
      <c r="C94" s="238">
        <f>IF(Calculation!B58=0,"",Calculation!B58)</f>
        <v>24041</v>
      </c>
      <c r="D94" s="237">
        <f>IF(Calculation!C58=0,"",Calculation!C58)</f>
        <v>1506</v>
      </c>
      <c r="E94" s="238" t="str">
        <f>IF(Calculation!K58=0,"",Calculation!K58)</f>
        <v/>
      </c>
      <c r="F94" s="236">
        <f>IF(Calculation!L58=0,"",Calculation!L58)</f>
        <v>10670</v>
      </c>
      <c r="G94" s="236">
        <f>IF(Calculation!M58=0,"",Calculation!M58)</f>
        <v>2580</v>
      </c>
      <c r="H94" s="236">
        <f>IF(Calculation!N58=0,"",Calculation!N58)</f>
        <v>400</v>
      </c>
      <c r="I94" s="236">
        <f>IF(Calculation!O58=0,"",Calculation!O58)</f>
        <v>80</v>
      </c>
      <c r="J94" s="237">
        <f>IF(Calculation!P58=0,"",Calculation!P58)</f>
        <v>50</v>
      </c>
      <c r="K94" s="239">
        <f>IF(Calculation!D58=0,"",Calculation!D58)</f>
        <v>8465</v>
      </c>
      <c r="L94" s="238">
        <f>IF(Calculation!F58=0,"",Calculation!F58)</f>
        <v>26000</v>
      </c>
      <c r="M94" s="236">
        <f>IF(Calculation!G58=0,"",Calculation!G58)</f>
        <v>7802</v>
      </c>
      <c r="N94" s="236">
        <f>IF(Calculation!H58=0,"",Calculation!H58)</f>
        <v>230</v>
      </c>
      <c r="O94" s="236" t="str">
        <f>IF(Calculation!I58=0,"",Calculation!I58)</f>
        <v/>
      </c>
      <c r="P94" s="237">
        <f>IF(Calculation!J58=0,"",Calculation!J58)</f>
        <v>558</v>
      </c>
      <c r="Q94" s="238"/>
      <c r="R94" s="240">
        <f>IF(TODAY()&gt;=B94,'資產'!G96,"")</f>
        <v>8092</v>
      </c>
      <c r="S94" s="195">
        <f>IF(TODAY()&gt;=B94,'貸款'!I38,"")</f>
        <v>2300</v>
      </c>
      <c r="T94" s="236">
        <f>IF(Calculation!E58=0,"",Calculation!E58)</f>
        <v>104379</v>
      </c>
      <c r="U94" s="192">
        <f t="shared" si="1"/>
        <v>25547</v>
      </c>
      <c r="V94" s="194">
        <f t="shared" si="2"/>
        <v>13780</v>
      </c>
      <c r="W94" s="194">
        <f t="shared" si="13"/>
        <v>8465</v>
      </c>
      <c r="X94" s="194">
        <f t="shared" si="4"/>
        <v>34590</v>
      </c>
      <c r="Y94" s="194">
        <f t="shared" si="5"/>
        <v>8092</v>
      </c>
      <c r="Z94" s="194">
        <f t="shared" si="6"/>
        <v>2300</v>
      </c>
      <c r="AA94" s="193">
        <f t="shared" si="11"/>
        <v>104379</v>
      </c>
      <c r="AB94" s="248">
        <f t="shared" si="14"/>
        <v>39327</v>
      </c>
      <c r="AC94" s="218">
        <f t="shared" si="8"/>
        <v>82382</v>
      </c>
      <c r="AD94" s="197">
        <f t="shared" si="9"/>
        <v>197153</v>
      </c>
      <c r="AE94" s="219" t="s">
        <v>547</v>
      </c>
      <c r="AF94" s="220">
        <f>SUM(Y90:Y101)</f>
        <v>57638</v>
      </c>
      <c r="AG94" s="220">
        <f>AF94/(12-COUNTBLANK(AD90:AD101))</f>
        <v>7204.75</v>
      </c>
      <c r="AH94" s="221" t="str">
        <f>IFNA(Calculation!S58,"")</f>
        <v>$95804所得稅</v>
      </c>
      <c r="AI94" s="174"/>
      <c r="AJ94" s="174"/>
      <c r="AK94" s="174"/>
    </row>
    <row r="95" ht="15.75" customHeight="1">
      <c r="B95" s="210">
        <v>46174.0</v>
      </c>
      <c r="C95" s="238">
        <f>IF(Calculation!B59=0,"",Calculation!B59)</f>
        <v>85490</v>
      </c>
      <c r="D95" s="237" t="str">
        <f>IF(Calculation!C59=0,"",Calculation!C59)</f>
        <v/>
      </c>
      <c r="E95" s="238" t="str">
        <f>IF(Calculation!K59=0,"",Calculation!K59)</f>
        <v/>
      </c>
      <c r="F95" s="236" t="str">
        <f>IF(Calculation!L59=0,"",Calculation!L59)</f>
        <v/>
      </c>
      <c r="G95" s="236">
        <f>IF(Calculation!M59=0,"",Calculation!M59)</f>
        <v>3080</v>
      </c>
      <c r="H95" s="236">
        <f>IF(Calculation!N59=0,"",Calculation!N59)</f>
        <v>800</v>
      </c>
      <c r="I95" s="236">
        <f>IF(Calculation!O59=0,"",Calculation!O59)</f>
        <v>356</v>
      </c>
      <c r="J95" s="237" t="str">
        <f>IF(Calculation!P59=0,"",Calculation!P59)</f>
        <v/>
      </c>
      <c r="K95" s="239">
        <f>IF(Calculation!D59=0,"",Calculation!D59)</f>
        <v>6203</v>
      </c>
      <c r="L95" s="238">
        <f>IF(Calculation!F59=0,"",Calculation!F59)</f>
        <v>26000</v>
      </c>
      <c r="M95" s="236" t="str">
        <f>IF(Calculation!G59=0,"",Calculation!G59)</f>
        <v/>
      </c>
      <c r="N95" s="236" t="str">
        <f>IF(Calculation!H59=0,"",Calculation!H59)</f>
        <v/>
      </c>
      <c r="O95" s="236">
        <f>IF(Calculation!I59=0,"",Calculation!I59)</f>
        <v>1268</v>
      </c>
      <c r="P95" s="237" t="str">
        <f>IF(Calculation!J59=0,"",Calculation!J59)</f>
        <v/>
      </c>
      <c r="Q95" s="238"/>
      <c r="R95" s="240">
        <f>IF(TODAY()&gt;=B95,'資產'!G97,"")</f>
        <v>7957</v>
      </c>
      <c r="S95" s="195">
        <f>IF(TODAY()&gt;=B95,'貸款'!I39,"")</f>
        <v>1917</v>
      </c>
      <c r="T95" s="236">
        <f>IF(Calculation!E59=0,"",Calculation!E59)</f>
        <v>3810</v>
      </c>
      <c r="U95" s="192">
        <f t="shared" si="1"/>
        <v>85490</v>
      </c>
      <c r="V95" s="194">
        <f t="shared" si="2"/>
        <v>4236</v>
      </c>
      <c r="W95" s="194">
        <f t="shared" si="13"/>
        <v>6203</v>
      </c>
      <c r="X95" s="194">
        <f t="shared" si="4"/>
        <v>27268</v>
      </c>
      <c r="Y95" s="194">
        <f t="shared" si="5"/>
        <v>7957</v>
      </c>
      <c r="Z95" s="194">
        <f t="shared" si="6"/>
        <v>1917</v>
      </c>
      <c r="AA95" s="193">
        <f t="shared" si="11"/>
        <v>3810</v>
      </c>
      <c r="AB95" s="248">
        <f t="shared" si="14"/>
        <v>89726</v>
      </c>
      <c r="AC95" s="218">
        <f t="shared" si="8"/>
        <v>123197</v>
      </c>
      <c r="AD95" s="197">
        <f t="shared" si="9"/>
        <v>136881</v>
      </c>
      <c r="AE95" s="219" t="s">
        <v>548</v>
      </c>
      <c r="AF95" s="202">
        <f>SUM(Z90:Z101)</f>
        <v>7192.6369</v>
      </c>
      <c r="AG95" s="202">
        <f>AF95/(12-COUNTBLANK(AD90:AD101))</f>
        <v>899.0796125</v>
      </c>
      <c r="AH95" s="221" t="str">
        <f>IFNA(Calculation!S59,"")</f>
        <v>$68521韓國旅遊</v>
      </c>
      <c r="AI95" s="174"/>
      <c r="AJ95" s="174"/>
      <c r="AK95" s="174"/>
    </row>
    <row r="96" ht="15.75" customHeight="1">
      <c r="B96" s="210">
        <v>46204.0</v>
      </c>
      <c r="C96" s="238">
        <f>IF(Calculation!B60=0,"",Calculation!B60)</f>
        <v>8739</v>
      </c>
      <c r="D96" s="237" t="str">
        <f>IF(Calculation!C60=0,"",Calculation!C60)</f>
        <v/>
      </c>
      <c r="E96" s="238" t="str">
        <f>IF(Calculation!K60=0,"",Calculation!K60)</f>
        <v/>
      </c>
      <c r="F96" s="236" t="str">
        <f>IF(Calculation!L60=0,"",Calculation!L60)</f>
        <v/>
      </c>
      <c r="G96" s="236">
        <f>IF(Calculation!M60=0,"",Calculation!M60)</f>
        <v>921</v>
      </c>
      <c r="H96" s="236" t="str">
        <f>IF(Calculation!N60=0,"",Calculation!N60)</f>
        <v/>
      </c>
      <c r="I96" s="236" t="str">
        <f>IF(Calculation!O60=0,"",Calculation!O60)</f>
        <v/>
      </c>
      <c r="J96" s="237" t="str">
        <f>IF(Calculation!P60=0,"",Calculation!P60)</f>
        <v/>
      </c>
      <c r="K96" s="239">
        <f>IF(Calculation!D60=0,"",Calculation!D60)</f>
        <v>6203</v>
      </c>
      <c r="L96" s="238" t="str">
        <f>IF(Calculation!F60=0,"",Calculation!F60)</f>
        <v/>
      </c>
      <c r="M96" s="236">
        <f>IF(Calculation!G60=0,"",Calculation!G60)</f>
        <v>7802</v>
      </c>
      <c r="N96" s="236" t="str">
        <f>IF(Calculation!H60=0,"",Calculation!H60)</f>
        <v/>
      </c>
      <c r="O96" s="236" t="str">
        <f>IF(Calculation!I60=0,"",Calculation!I60)</f>
        <v/>
      </c>
      <c r="P96" s="237" t="str">
        <f>IF(Calculation!J60=0,"",Calculation!J60)</f>
        <v/>
      </c>
      <c r="Q96" s="238"/>
      <c r="R96" s="240">
        <f>IF(TODAY()&gt;=B96,'資產'!G98,"")</f>
        <v>7825</v>
      </c>
      <c r="S96" s="195">
        <f>IF(TODAY()&gt;=B96,'貸款'!I40,"")</f>
        <v>1896</v>
      </c>
      <c r="T96" s="236">
        <f>IF(Calculation!E60=0,"",Calculation!E60)</f>
        <v>3810</v>
      </c>
      <c r="U96" s="192">
        <f t="shared" si="1"/>
        <v>8739</v>
      </c>
      <c r="V96" s="194">
        <f t="shared" si="2"/>
        <v>921</v>
      </c>
      <c r="W96" s="194">
        <f t="shared" si="13"/>
        <v>6203</v>
      </c>
      <c r="X96" s="194">
        <f t="shared" si="4"/>
        <v>7802</v>
      </c>
      <c r="Y96" s="194">
        <f t="shared" si="5"/>
        <v>7825</v>
      </c>
      <c r="Z96" s="194">
        <f t="shared" si="6"/>
        <v>1896</v>
      </c>
      <c r="AA96" s="193">
        <f t="shared" si="11"/>
        <v>3810</v>
      </c>
      <c r="AB96" s="248">
        <f t="shared" si="14"/>
        <v>9660</v>
      </c>
      <c r="AC96" s="218">
        <f t="shared" si="8"/>
        <v>23665</v>
      </c>
      <c r="AD96" s="197">
        <f t="shared" si="9"/>
        <v>37196</v>
      </c>
      <c r="AE96" s="219" t="s">
        <v>75</v>
      </c>
      <c r="AF96" s="202">
        <f>SUM(AA90:AA101)</f>
        <v>126339</v>
      </c>
      <c r="AG96" s="202">
        <f>AF96/(12-COUNTBLANK(AD90:AD101))</f>
        <v>15792.375</v>
      </c>
      <c r="AH96" s="221" t="str">
        <f>IFNA(Calculation!S60,"")</f>
        <v/>
      </c>
      <c r="AI96" s="174"/>
      <c r="AJ96" s="174"/>
      <c r="AK96" s="174"/>
    </row>
    <row r="97" ht="15.75" customHeight="1">
      <c r="B97" s="210">
        <v>46235.0</v>
      </c>
      <c r="C97" s="238" t="str">
        <f>IF(Calculation!B61=0,"",Calculation!B61)</f>
        <v/>
      </c>
      <c r="D97" s="237" t="str">
        <f>IF(Calculation!C61=0,"",Calculation!C61)</f>
        <v/>
      </c>
      <c r="E97" s="238" t="str">
        <f>IF(Calculation!K61=0,"",Calculation!K61)</f>
        <v/>
      </c>
      <c r="F97" s="236" t="str">
        <f>IF(Calculation!L61=0,"",Calculation!L61)</f>
        <v/>
      </c>
      <c r="G97" s="236" t="str">
        <f>IF(Calculation!M61=0,"",Calculation!M61)</f>
        <v/>
      </c>
      <c r="H97" s="236" t="str">
        <f>IF(Calculation!N61=0,"",Calculation!N61)</f>
        <v/>
      </c>
      <c r="I97" s="236" t="str">
        <f>IF(Calculation!O61=0,"",Calculation!O61)</f>
        <v/>
      </c>
      <c r="J97" s="237" t="str">
        <f>IF(Calculation!P61=0,"",Calculation!P61)</f>
        <v/>
      </c>
      <c r="K97" s="239" t="str">
        <f>IF(Calculation!D61=0,"",Calculation!D61)</f>
        <v/>
      </c>
      <c r="L97" s="238" t="str">
        <f>IF(Calculation!F61=0,"",Calculation!F61)</f>
        <v/>
      </c>
      <c r="M97" s="236" t="str">
        <f>IF(Calculation!G61=0,"",Calculation!G61)</f>
        <v/>
      </c>
      <c r="N97" s="236" t="str">
        <f>IF(Calculation!H61=0,"",Calculation!H61)</f>
        <v/>
      </c>
      <c r="O97" s="236" t="str">
        <f>IF(Calculation!I61=0,"",Calculation!I61)</f>
        <v/>
      </c>
      <c r="P97" s="237" t="str">
        <f>IF(Calculation!J61=0,"",Calculation!J61)</f>
        <v/>
      </c>
      <c r="Q97" s="238"/>
      <c r="R97" s="240" t="str">
        <f>IF(TODAY()&gt;=B97,'資產'!G99,"")</f>
        <v/>
      </c>
      <c r="S97" s="195" t="str">
        <f>IF(TODAY()&gt;=B97,'貸款'!I41,"")</f>
        <v/>
      </c>
      <c r="T97" s="236" t="str">
        <f>IF(Calculation!E61=0,"",Calculation!E61)</f>
        <v/>
      </c>
      <c r="U97" s="192" t="str">
        <f t="shared" si="1"/>
        <v/>
      </c>
      <c r="V97" s="194" t="str">
        <f t="shared" si="2"/>
        <v/>
      </c>
      <c r="W97" s="194" t="str">
        <f t="shared" si="13"/>
        <v/>
      </c>
      <c r="X97" s="194" t="str">
        <f t="shared" si="4"/>
        <v/>
      </c>
      <c r="Y97" s="194" t="str">
        <f t="shared" si="5"/>
        <v/>
      </c>
      <c r="Z97" s="194" t="str">
        <f t="shared" si="6"/>
        <v/>
      </c>
      <c r="AA97" s="193" t="str">
        <f t="shared" si="11"/>
        <v/>
      </c>
      <c r="AB97" s="248" t="str">
        <f t="shared" si="14"/>
        <v/>
      </c>
      <c r="AC97" s="218" t="str">
        <f t="shared" si="8"/>
        <v/>
      </c>
      <c r="AD97" s="197" t="str">
        <f t="shared" si="9"/>
        <v/>
      </c>
      <c r="AE97" s="219" t="s">
        <v>566</v>
      </c>
      <c r="AF97" s="202">
        <f>SUM(AD90:AD101)</f>
        <v>801463.6369</v>
      </c>
      <c r="AG97" s="202">
        <f>AF97/(12-COUNTBLANK(AD90:AD101))</f>
        <v>100182.9546</v>
      </c>
      <c r="AH97" s="221" t="str">
        <f>IFNA(Calculation!S61,"")</f>
        <v/>
      </c>
      <c r="AI97" s="174"/>
      <c r="AJ97" s="174"/>
      <c r="AK97" s="174"/>
    </row>
    <row r="98" ht="15.75" customHeight="1">
      <c r="B98" s="210">
        <v>46266.0</v>
      </c>
      <c r="C98" s="238" t="str">
        <f>IF(Calculation!B62=0,"",Calculation!B62)</f>
        <v/>
      </c>
      <c r="D98" s="237" t="str">
        <f>IF(Calculation!C62=0,"",Calculation!C62)</f>
        <v/>
      </c>
      <c r="E98" s="238" t="str">
        <f>IF(Calculation!K62=0,"",Calculation!K62)</f>
        <v/>
      </c>
      <c r="F98" s="236" t="str">
        <f>IF(Calculation!L62=0,"",Calculation!L62)</f>
        <v/>
      </c>
      <c r="G98" s="236" t="str">
        <f>IF(Calculation!M62=0,"",Calculation!M62)</f>
        <v/>
      </c>
      <c r="H98" s="236" t="str">
        <f>IF(Calculation!N62=0,"",Calculation!N62)</f>
        <v/>
      </c>
      <c r="I98" s="236" t="str">
        <f>IF(Calculation!O62=0,"",Calculation!O62)</f>
        <v/>
      </c>
      <c r="J98" s="237" t="str">
        <f>IF(Calculation!P62=0,"",Calculation!P62)</f>
        <v/>
      </c>
      <c r="K98" s="239" t="str">
        <f>IF(Calculation!D62=0,"",Calculation!D62)</f>
        <v/>
      </c>
      <c r="L98" s="238" t="str">
        <f>IF(Calculation!F62=0,"",Calculation!F62)</f>
        <v/>
      </c>
      <c r="M98" s="236" t="str">
        <f>IF(Calculation!G62=0,"",Calculation!G62)</f>
        <v/>
      </c>
      <c r="N98" s="236" t="str">
        <f>IF(Calculation!H62=0,"",Calculation!H62)</f>
        <v/>
      </c>
      <c r="O98" s="236" t="str">
        <f>IF(Calculation!I62=0,"",Calculation!I62)</f>
        <v/>
      </c>
      <c r="P98" s="237" t="str">
        <f>IF(Calculation!J62=0,"",Calculation!J62)</f>
        <v/>
      </c>
      <c r="Q98" s="238"/>
      <c r="R98" s="240" t="str">
        <f>IF(TODAY()&gt;=B98,'資產'!G100,"")</f>
        <v/>
      </c>
      <c r="S98" s="195" t="str">
        <f>IF(TODAY()&gt;=B98,'貸款'!I42,"")</f>
        <v/>
      </c>
      <c r="T98" s="236" t="str">
        <f>IF(Calculation!E62=0,"",Calculation!E62)</f>
        <v/>
      </c>
      <c r="U98" s="192" t="str">
        <f t="shared" si="1"/>
        <v/>
      </c>
      <c r="V98" s="194" t="str">
        <f t="shared" si="2"/>
        <v/>
      </c>
      <c r="W98" s="194" t="str">
        <f t="shared" si="13"/>
        <v/>
      </c>
      <c r="X98" s="194" t="str">
        <f t="shared" si="4"/>
        <v/>
      </c>
      <c r="Y98" s="194" t="str">
        <f t="shared" si="5"/>
        <v/>
      </c>
      <c r="Z98" s="194" t="str">
        <f t="shared" si="6"/>
        <v/>
      </c>
      <c r="AA98" s="193" t="str">
        <f t="shared" si="11"/>
        <v/>
      </c>
      <c r="AB98" s="248" t="str">
        <f t="shared" si="14"/>
        <v/>
      </c>
      <c r="AC98" s="218" t="str">
        <f t="shared" si="8"/>
        <v/>
      </c>
      <c r="AD98" s="197" t="str">
        <f t="shared" si="9"/>
        <v/>
      </c>
      <c r="AE98" s="190"/>
      <c r="AF98" s="202"/>
      <c r="AG98" s="202"/>
      <c r="AH98" s="221" t="str">
        <f>IFNA(Calculation!S62,"")</f>
        <v/>
      </c>
      <c r="AI98" s="174"/>
      <c r="AJ98" s="174"/>
      <c r="AK98" s="174"/>
    </row>
    <row r="99" ht="15.75" customHeight="1">
      <c r="B99" s="210">
        <v>46296.0</v>
      </c>
      <c r="C99" s="238">
        <f>IF(Calculation!B63=0,"",Calculation!B63)</f>
        <v>2030</v>
      </c>
      <c r="D99" s="237" t="str">
        <f>IF(Calculation!C63=0,"",Calculation!C63)</f>
        <v/>
      </c>
      <c r="E99" s="238" t="str">
        <f>IF(Calculation!K63=0,"",Calculation!K63)</f>
        <v/>
      </c>
      <c r="F99" s="236" t="str">
        <f>IF(Calculation!L63=0,"",Calculation!L63)</f>
        <v/>
      </c>
      <c r="G99" s="236" t="str">
        <f>IF(Calculation!M63=0,"",Calculation!M63)</f>
        <v/>
      </c>
      <c r="H99" s="236" t="str">
        <f>IF(Calculation!N63=0,"",Calculation!N63)</f>
        <v/>
      </c>
      <c r="I99" s="236" t="str">
        <f>IF(Calculation!O63=0,"",Calculation!O63)</f>
        <v/>
      </c>
      <c r="J99" s="237" t="str">
        <f>IF(Calculation!P63=0,"",Calculation!P63)</f>
        <v/>
      </c>
      <c r="K99" s="239" t="str">
        <f>IF(Calculation!D63=0,"",Calculation!D63)</f>
        <v/>
      </c>
      <c r="L99" s="238" t="str">
        <f>IF(Calculation!F63=0,"",Calculation!F63)</f>
        <v/>
      </c>
      <c r="M99" s="236" t="str">
        <f>IF(Calculation!G63=0,"",Calculation!G63)</f>
        <v/>
      </c>
      <c r="N99" s="236" t="str">
        <f>IF(Calculation!H63=0,"",Calculation!H63)</f>
        <v/>
      </c>
      <c r="O99" s="236" t="str">
        <f>IF(Calculation!I63=0,"",Calculation!I63)</f>
        <v/>
      </c>
      <c r="P99" s="237" t="str">
        <f>IF(Calculation!J63=0,"",Calculation!J63)</f>
        <v/>
      </c>
      <c r="Q99" s="238"/>
      <c r="R99" s="240" t="str">
        <f>IF(TODAY()&gt;=B99,'資產'!G101,"")</f>
        <v/>
      </c>
      <c r="S99" s="195" t="str">
        <f>IF(TODAY()&gt;=B99,'貸款'!I43,"")</f>
        <v/>
      </c>
      <c r="T99" s="236" t="str">
        <f>IF(Calculation!E63=0,"",Calculation!E63)</f>
        <v/>
      </c>
      <c r="U99" s="192">
        <f t="shared" si="1"/>
        <v>2030</v>
      </c>
      <c r="V99" s="194" t="str">
        <f t="shared" si="2"/>
        <v/>
      </c>
      <c r="W99" s="194" t="str">
        <f t="shared" si="13"/>
        <v/>
      </c>
      <c r="X99" s="194" t="str">
        <f t="shared" si="4"/>
        <v/>
      </c>
      <c r="Y99" s="194" t="str">
        <f t="shared" si="5"/>
        <v/>
      </c>
      <c r="Z99" s="194" t="str">
        <f t="shared" si="6"/>
        <v/>
      </c>
      <c r="AA99" s="193" t="str">
        <f t="shared" si="11"/>
        <v/>
      </c>
      <c r="AB99" s="248">
        <f t="shared" si="14"/>
        <v>2030</v>
      </c>
      <c r="AC99" s="218">
        <f t="shared" si="8"/>
        <v>2030</v>
      </c>
      <c r="AD99" s="197">
        <f t="shared" si="9"/>
        <v>2030</v>
      </c>
      <c r="AE99" s="190"/>
      <c r="AF99" s="202"/>
      <c r="AG99" s="202"/>
      <c r="AH99" s="221" t="str">
        <f>IFNA(Calculation!S63,"")</f>
        <v/>
      </c>
      <c r="AI99" s="174"/>
      <c r="AJ99" s="174"/>
      <c r="AK99" s="174"/>
    </row>
    <row r="100" ht="15.75" customHeight="1">
      <c r="B100" s="210">
        <v>46327.0</v>
      </c>
      <c r="C100" s="238" t="str">
        <f>IF(Calculation!B64=0,"",Calculation!B64)</f>
        <v/>
      </c>
      <c r="D100" s="237" t="str">
        <f>IF(Calculation!C64=0,"",Calculation!C64)</f>
        <v/>
      </c>
      <c r="E100" s="238" t="str">
        <f>IF(Calculation!K64=0,"",Calculation!K64)</f>
        <v/>
      </c>
      <c r="F100" s="236" t="str">
        <f>IF(Calculation!L64=0,"",Calculation!L64)</f>
        <v/>
      </c>
      <c r="G100" s="236" t="str">
        <f>IF(Calculation!M64=0,"",Calculation!M64)</f>
        <v/>
      </c>
      <c r="H100" s="236" t="str">
        <f>IF(Calculation!N64=0,"",Calculation!N64)</f>
        <v/>
      </c>
      <c r="I100" s="236" t="str">
        <f>IF(Calculation!O64=0,"",Calculation!O64)</f>
        <v/>
      </c>
      <c r="J100" s="237" t="str">
        <f>IF(Calculation!P64=0,"",Calculation!P64)</f>
        <v/>
      </c>
      <c r="K100" s="239" t="str">
        <f>IF(Calculation!D64=0,"",Calculation!D64)</f>
        <v/>
      </c>
      <c r="L100" s="238" t="str">
        <f>IF(Calculation!F64=0,"",Calculation!F64)</f>
        <v/>
      </c>
      <c r="M100" s="236" t="str">
        <f>IF(Calculation!G64=0,"",Calculation!G64)</f>
        <v/>
      </c>
      <c r="N100" s="236" t="str">
        <f>IF(Calculation!H64=0,"",Calculation!H64)</f>
        <v/>
      </c>
      <c r="O100" s="236" t="str">
        <f>IF(Calculation!I64=0,"",Calculation!I64)</f>
        <v/>
      </c>
      <c r="P100" s="237" t="str">
        <f>IF(Calculation!J64=0,"",Calculation!J64)</f>
        <v/>
      </c>
      <c r="Q100" s="238"/>
      <c r="R100" s="240" t="str">
        <f>IF(TODAY()&gt;=B100,'資產'!G102,"")</f>
        <v/>
      </c>
      <c r="S100" s="195" t="str">
        <f>IF(TODAY()&gt;=B100,'貸款'!I44,"")</f>
        <v/>
      </c>
      <c r="T100" s="236" t="str">
        <f>IF(Calculation!E64=0,"",Calculation!E64)</f>
        <v/>
      </c>
      <c r="U100" s="192" t="str">
        <f t="shared" si="1"/>
        <v/>
      </c>
      <c r="V100" s="194" t="str">
        <f t="shared" si="2"/>
        <v/>
      </c>
      <c r="W100" s="194" t="str">
        <f t="shared" si="13"/>
        <v/>
      </c>
      <c r="X100" s="194" t="str">
        <f t="shared" si="4"/>
        <v/>
      </c>
      <c r="Y100" s="194" t="str">
        <f t="shared" si="5"/>
        <v/>
      </c>
      <c r="Z100" s="194" t="str">
        <f t="shared" si="6"/>
        <v/>
      </c>
      <c r="AA100" s="193" t="str">
        <f t="shared" si="11"/>
        <v/>
      </c>
      <c r="AB100" s="248" t="str">
        <f t="shared" si="14"/>
        <v/>
      </c>
      <c r="AC100" s="218" t="str">
        <f t="shared" si="8"/>
        <v/>
      </c>
      <c r="AD100" s="197" t="str">
        <f t="shared" si="9"/>
        <v/>
      </c>
      <c r="AE100" s="190"/>
      <c r="AF100" s="202"/>
      <c r="AG100" s="202"/>
      <c r="AH100" s="221" t="str">
        <f>IFNA(Calculation!S64,"")</f>
        <v/>
      </c>
      <c r="AI100" s="174"/>
      <c r="AJ100" s="174"/>
      <c r="AK100" s="174"/>
    </row>
    <row r="101" ht="15.75" customHeight="1">
      <c r="A101" s="114"/>
      <c r="B101" s="210">
        <v>46357.0</v>
      </c>
      <c r="C101" s="249" t="str">
        <f>IF(Calculation!B65=0,"",Calculation!B65)</f>
        <v/>
      </c>
      <c r="D101" s="250" t="str">
        <f>IF(Calculation!C65=0,"",Calculation!C65)</f>
        <v/>
      </c>
      <c r="E101" s="249" t="str">
        <f>IF(Calculation!K65=0,"",Calculation!K65)</f>
        <v/>
      </c>
      <c r="F101" s="251" t="str">
        <f>IF(Calculation!L65=0,"",Calculation!L65)</f>
        <v/>
      </c>
      <c r="G101" s="251" t="str">
        <f>IF(Calculation!M65=0,"",Calculation!M65)</f>
        <v/>
      </c>
      <c r="H101" s="251" t="str">
        <f>IF(Calculation!N65=0,"",Calculation!N65)</f>
        <v/>
      </c>
      <c r="I101" s="251" t="str">
        <f>IF(Calculation!O65=0,"",Calculation!O65)</f>
        <v/>
      </c>
      <c r="J101" s="250" t="str">
        <f>IF(Calculation!P65=0,"",Calculation!P65)</f>
        <v/>
      </c>
      <c r="K101" s="252" t="str">
        <f>IF(Calculation!D65=0,"",Calculation!D65)</f>
        <v/>
      </c>
      <c r="L101" s="249" t="str">
        <f>IF(Calculation!F65=0,"",Calculation!F65)</f>
        <v/>
      </c>
      <c r="M101" s="251" t="str">
        <f>IF(Calculation!G65=0,"",Calculation!G65)</f>
        <v/>
      </c>
      <c r="N101" s="251" t="str">
        <f>IF(Calculation!H65=0,"",Calculation!H65)</f>
        <v/>
      </c>
      <c r="O101" s="251" t="str">
        <f>IF(Calculation!I65=0,"",Calculation!I65)</f>
        <v/>
      </c>
      <c r="P101" s="250" t="str">
        <f>IF(Calculation!J65=0,"",Calculation!J65)</f>
        <v/>
      </c>
      <c r="Q101" s="249"/>
      <c r="R101" s="253" t="str">
        <f>IF(TODAY()&gt;=B101,'資產'!G103,"")</f>
        <v/>
      </c>
      <c r="S101" s="225" t="str">
        <f>IF(TODAY()&gt;=B101,'貸款'!I45,"")</f>
        <v/>
      </c>
      <c r="T101" s="251" t="str">
        <f>IF(Calculation!E65=0,"",Calculation!E65)</f>
        <v/>
      </c>
      <c r="U101" s="223" t="str">
        <f t="shared" si="1"/>
        <v/>
      </c>
      <c r="V101" s="204" t="str">
        <f t="shared" si="2"/>
        <v/>
      </c>
      <c r="W101" s="204" t="str">
        <f t="shared" si="13"/>
        <v/>
      </c>
      <c r="X101" s="204" t="str">
        <f t="shared" si="4"/>
        <v/>
      </c>
      <c r="Y101" s="204" t="str">
        <f t="shared" si="5"/>
        <v/>
      </c>
      <c r="Z101" s="204" t="str">
        <f t="shared" si="6"/>
        <v/>
      </c>
      <c r="AA101" s="224" t="str">
        <f t="shared" si="11"/>
        <v/>
      </c>
      <c r="AB101" s="254" t="str">
        <f t="shared" si="14"/>
        <v/>
      </c>
      <c r="AC101" s="226" t="str">
        <f t="shared" si="8"/>
        <v/>
      </c>
      <c r="AD101" s="205" t="str">
        <f t="shared" si="9"/>
        <v/>
      </c>
      <c r="AE101" s="190"/>
      <c r="AF101" s="202"/>
      <c r="AG101" s="202"/>
      <c r="AH101" s="221" t="str">
        <f>IFNA(Calculation!S65,"")</f>
        <v/>
      </c>
      <c r="AI101" s="174"/>
      <c r="AJ101" s="174"/>
      <c r="AK101" s="174"/>
    </row>
    <row r="102" ht="15.75" customHeight="1">
      <c r="A102" s="233">
        <v>2027.0</v>
      </c>
      <c r="B102" s="210">
        <v>46388.0</v>
      </c>
      <c r="C102" s="255"/>
      <c r="D102" s="256"/>
      <c r="E102" s="255"/>
      <c r="F102" s="257"/>
      <c r="G102" s="257"/>
      <c r="H102" s="257"/>
      <c r="I102" s="257"/>
      <c r="J102" s="257"/>
      <c r="K102" s="258"/>
      <c r="L102" s="255"/>
      <c r="M102" s="257"/>
      <c r="N102" s="257"/>
      <c r="O102" s="257"/>
      <c r="P102" s="257"/>
      <c r="Q102" s="255"/>
      <c r="R102" s="240" t="str">
        <f>IF(TODAY()&gt;=B102,'資產'!G104,"")</f>
        <v/>
      </c>
      <c r="S102" s="195" t="str">
        <f>IF(TODAY()&gt;=B102,'貸款'!I46,"")</f>
        <v/>
      </c>
      <c r="T102" s="256"/>
      <c r="U102" s="255"/>
      <c r="V102" s="257"/>
      <c r="W102" s="257"/>
      <c r="X102" s="257"/>
      <c r="Y102" s="257"/>
      <c r="Z102" s="257"/>
      <c r="AA102" s="256"/>
      <c r="AB102" s="256"/>
      <c r="AC102" s="218" t="str">
        <f t="shared" si="8"/>
        <v/>
      </c>
      <c r="AD102" s="256"/>
      <c r="AE102" s="198" t="s">
        <v>382</v>
      </c>
      <c r="AF102" s="199">
        <f>SUM(U102:U113)</f>
        <v>0</v>
      </c>
      <c r="AG102" s="199">
        <f>AF102/(12-COUNTBLANK(AD102:AD113))</f>
        <v>0</v>
      </c>
      <c r="AH102" s="231"/>
      <c r="AI102" s="174"/>
      <c r="AJ102" s="174"/>
      <c r="AK102" s="174"/>
    </row>
    <row r="103" ht="15.75" customHeight="1">
      <c r="B103" s="210">
        <v>46419.0</v>
      </c>
      <c r="C103" s="255"/>
      <c r="D103" s="256"/>
      <c r="E103" s="255"/>
      <c r="F103" s="257"/>
      <c r="G103" s="257"/>
      <c r="H103" s="257"/>
      <c r="I103" s="257"/>
      <c r="J103" s="257"/>
      <c r="K103" s="258"/>
      <c r="L103" s="257"/>
      <c r="M103" s="259"/>
      <c r="N103" s="257"/>
      <c r="O103" s="257"/>
      <c r="P103" s="257"/>
      <c r="Q103" s="255"/>
      <c r="R103" s="240" t="str">
        <f>IF(TODAY()&gt;=B103,'資產'!G105,"")</f>
        <v/>
      </c>
      <c r="S103" s="195" t="str">
        <f>IF(TODAY()&gt;=B103,'貸款'!I47,"")</f>
        <v/>
      </c>
      <c r="T103" s="257"/>
      <c r="U103" s="255"/>
      <c r="V103" s="257"/>
      <c r="W103" s="257"/>
      <c r="X103" s="257"/>
      <c r="Y103" s="257"/>
      <c r="Z103" s="257"/>
      <c r="AA103" s="256"/>
      <c r="AB103" s="256"/>
      <c r="AC103" s="218" t="str">
        <f t="shared" si="8"/>
        <v/>
      </c>
      <c r="AD103" s="256"/>
      <c r="AE103" s="219" t="s">
        <v>380</v>
      </c>
      <c r="AF103" s="202">
        <f>SUM(V102:V113)</f>
        <v>0</v>
      </c>
      <c r="AG103" s="202">
        <f>AF103/(12-COUNTBLANK(AD102:AD113))</f>
        <v>0</v>
      </c>
      <c r="AH103" s="221"/>
      <c r="AI103" s="174"/>
      <c r="AJ103" s="174"/>
      <c r="AK103" s="174"/>
    </row>
    <row r="104" ht="15.75" customHeight="1">
      <c r="B104" s="210">
        <v>46447.0</v>
      </c>
      <c r="C104" s="255"/>
      <c r="D104" s="256"/>
      <c r="E104" s="255"/>
      <c r="F104" s="257"/>
      <c r="G104" s="257"/>
      <c r="H104" s="257"/>
      <c r="I104" s="257"/>
      <c r="J104" s="257"/>
      <c r="K104" s="258"/>
      <c r="L104" s="257"/>
      <c r="M104" s="257"/>
      <c r="N104" s="257"/>
      <c r="O104" s="257"/>
      <c r="P104" s="257"/>
      <c r="Q104" s="255"/>
      <c r="R104" s="240" t="str">
        <f>IF(TODAY()&gt;=B104,'資產'!G106,"")</f>
        <v/>
      </c>
      <c r="S104" s="195" t="str">
        <f>IF(TODAY()&gt;=B104,'貸款'!I48,"")</f>
        <v/>
      </c>
      <c r="T104" s="257"/>
      <c r="U104" s="255"/>
      <c r="V104" s="257"/>
      <c r="W104" s="257"/>
      <c r="X104" s="257"/>
      <c r="Y104" s="257"/>
      <c r="Z104" s="257"/>
      <c r="AA104" s="256"/>
      <c r="AB104" s="256"/>
      <c r="AC104" s="218" t="str">
        <f t="shared" si="8"/>
        <v/>
      </c>
      <c r="AD104" s="256"/>
      <c r="AE104" s="219" t="s">
        <v>546</v>
      </c>
      <c r="AF104" s="220">
        <f>SUM(W102:W113)</f>
        <v>0</v>
      </c>
      <c r="AG104" s="220">
        <f>AF104/(12-COUNTBLANK(AD102:AD113))</f>
        <v>0</v>
      </c>
      <c r="AH104" s="221"/>
      <c r="AI104" s="174"/>
      <c r="AJ104" s="174"/>
      <c r="AK104" s="174"/>
    </row>
    <row r="105" ht="15.75" customHeight="1">
      <c r="B105" s="210">
        <v>46478.0</v>
      </c>
      <c r="C105" s="255"/>
      <c r="D105" s="256"/>
      <c r="E105" s="255"/>
      <c r="F105" s="257"/>
      <c r="G105" s="257"/>
      <c r="H105" s="257"/>
      <c r="I105" s="257"/>
      <c r="J105" s="257"/>
      <c r="K105" s="258"/>
      <c r="L105" s="255"/>
      <c r="M105" s="257"/>
      <c r="N105" s="257"/>
      <c r="O105" s="257"/>
      <c r="P105" s="257"/>
      <c r="Q105" s="255"/>
      <c r="R105" s="240" t="str">
        <f>IF(TODAY()&gt;=B105,'資產'!G107,"")</f>
        <v/>
      </c>
      <c r="S105" s="195" t="str">
        <f>IF(TODAY()&gt;=B105,'貸款'!I49,"")</f>
        <v/>
      </c>
      <c r="T105" s="256"/>
      <c r="U105" s="255"/>
      <c r="V105" s="257"/>
      <c r="W105" s="257"/>
      <c r="X105" s="257"/>
      <c r="Y105" s="257"/>
      <c r="Z105" s="257"/>
      <c r="AA105" s="256"/>
      <c r="AB105" s="256"/>
      <c r="AC105" s="218" t="str">
        <f t="shared" si="8"/>
        <v/>
      </c>
      <c r="AD105" s="256"/>
      <c r="AE105" s="219" t="s">
        <v>564</v>
      </c>
      <c r="AF105" s="220">
        <f>SUM(X102:X113)</f>
        <v>0</v>
      </c>
      <c r="AG105" s="220">
        <f>AF105/(12-COUNTBLANK(AD102:AD113))</f>
        <v>0</v>
      </c>
      <c r="AH105" s="221"/>
      <c r="AI105" s="174"/>
      <c r="AJ105" s="174"/>
      <c r="AK105" s="174"/>
    </row>
    <row r="106" ht="15.75" customHeight="1">
      <c r="B106" s="210">
        <v>46508.0</v>
      </c>
      <c r="C106" s="255"/>
      <c r="D106" s="256"/>
      <c r="E106" s="255"/>
      <c r="F106" s="257"/>
      <c r="G106" s="257"/>
      <c r="H106" s="257"/>
      <c r="I106" s="257"/>
      <c r="J106" s="257"/>
      <c r="K106" s="255"/>
      <c r="L106" s="255"/>
      <c r="M106" s="257"/>
      <c r="N106" s="257"/>
      <c r="O106" s="257"/>
      <c r="P106" s="257"/>
      <c r="Q106" s="255"/>
      <c r="R106" s="240" t="str">
        <f>IF(TODAY()&gt;=B106,'資產'!G108,"")</f>
        <v/>
      </c>
      <c r="S106" s="195" t="str">
        <f>IF(TODAY()&gt;=B106,'貸款'!I50,"")</f>
        <v/>
      </c>
      <c r="T106" s="256"/>
      <c r="U106" s="255"/>
      <c r="V106" s="257"/>
      <c r="W106" s="257"/>
      <c r="X106" s="257"/>
      <c r="Y106" s="257"/>
      <c r="Z106" s="257"/>
      <c r="AA106" s="256"/>
      <c r="AB106" s="256"/>
      <c r="AC106" s="218" t="str">
        <f t="shared" si="8"/>
        <v/>
      </c>
      <c r="AD106" s="256"/>
      <c r="AE106" s="219" t="s">
        <v>547</v>
      </c>
      <c r="AF106" s="220" t="str">
        <f>SUM(Y102:Y113)</f>
        <v>#REF!</v>
      </c>
      <c r="AG106" s="220" t="str">
        <f>AF106/(12-COUNTBLANK(AD102:AD113))</f>
        <v>#REF!</v>
      </c>
      <c r="AH106" s="221"/>
      <c r="AI106" s="174"/>
      <c r="AJ106" s="174"/>
      <c r="AK106" s="174"/>
    </row>
    <row r="107" ht="15.75" customHeight="1">
      <c r="B107" s="210">
        <v>46539.0</v>
      </c>
      <c r="C107" s="255"/>
      <c r="D107" s="256"/>
      <c r="E107" s="255"/>
      <c r="F107" s="257"/>
      <c r="G107" s="257"/>
      <c r="H107" s="257"/>
      <c r="I107" s="257"/>
      <c r="J107" s="257"/>
      <c r="K107" s="255"/>
      <c r="L107" s="255"/>
      <c r="M107" s="257"/>
      <c r="N107" s="257"/>
      <c r="O107" s="257"/>
      <c r="P107" s="257"/>
      <c r="Q107" s="255"/>
      <c r="R107" s="240" t="str">
        <f>IF(TODAY()&gt;=B107,'資產'!G109,"")</f>
        <v/>
      </c>
      <c r="S107" s="195" t="str">
        <f>IF(TODAY()&gt;=B107,'貸款'!I51,"")</f>
        <v/>
      </c>
      <c r="T107" s="256"/>
      <c r="U107" s="255"/>
      <c r="V107" s="257"/>
      <c r="W107" s="257"/>
      <c r="X107" s="257"/>
      <c r="Y107" s="257"/>
      <c r="Z107" s="257"/>
      <c r="AA107" s="256"/>
      <c r="AB107" s="256"/>
      <c r="AC107" s="218" t="str">
        <f t="shared" si="8"/>
        <v/>
      </c>
      <c r="AD107" s="256"/>
      <c r="AE107" s="219" t="s">
        <v>548</v>
      </c>
      <c r="AF107" s="202">
        <f>SUM(Z102:Z113)</f>
        <v>0</v>
      </c>
      <c r="AG107" s="202">
        <f>AF107/(12-COUNTBLANK(AD102:AD113))</f>
        <v>0</v>
      </c>
      <c r="AH107" s="221"/>
      <c r="AI107" s="174"/>
      <c r="AJ107" s="174"/>
      <c r="AK107" s="174"/>
    </row>
    <row r="108" ht="15.75" customHeight="1">
      <c r="B108" s="210">
        <v>46569.0</v>
      </c>
      <c r="C108" s="255"/>
      <c r="D108" s="256"/>
      <c r="E108" s="255"/>
      <c r="F108" s="257"/>
      <c r="G108" s="257"/>
      <c r="H108" s="257"/>
      <c r="I108" s="257"/>
      <c r="J108" s="257"/>
      <c r="K108" s="255"/>
      <c r="L108" s="255"/>
      <c r="M108" s="257"/>
      <c r="N108" s="257"/>
      <c r="O108" s="257"/>
      <c r="P108" s="257"/>
      <c r="Q108" s="255"/>
      <c r="R108" s="240" t="str">
        <f>IF(TODAY()&gt;=B108,'資產'!G110,"")</f>
        <v/>
      </c>
      <c r="S108" s="195" t="str">
        <f>IF(TODAY()&gt;=B108,'貸款'!I52,"")</f>
        <v/>
      </c>
      <c r="T108" s="256"/>
      <c r="U108" s="255"/>
      <c r="V108" s="257"/>
      <c r="W108" s="257"/>
      <c r="X108" s="257"/>
      <c r="Y108" s="257"/>
      <c r="Z108" s="257"/>
      <c r="AA108" s="256"/>
      <c r="AB108" s="256"/>
      <c r="AC108" s="218" t="str">
        <f t="shared" si="8"/>
        <v/>
      </c>
      <c r="AD108" s="256"/>
      <c r="AE108" s="219" t="s">
        <v>75</v>
      </c>
      <c r="AF108" s="202" t="str">
        <f>SUM(AA102:AA113)</f>
        <v>#REF!</v>
      </c>
      <c r="AG108" s="202" t="str">
        <f>AF108/(12-COUNTBLANK(AD102:AD113))</f>
        <v>#REF!</v>
      </c>
      <c r="AH108" s="221"/>
      <c r="AI108" s="174"/>
      <c r="AJ108" s="174"/>
      <c r="AK108" s="174"/>
    </row>
    <row r="109" ht="15.75" customHeight="1">
      <c r="B109" s="210">
        <v>46600.0</v>
      </c>
      <c r="C109" s="255"/>
      <c r="D109" s="256"/>
      <c r="E109" s="255"/>
      <c r="F109" s="257"/>
      <c r="G109" s="257"/>
      <c r="H109" s="257"/>
      <c r="I109" s="257"/>
      <c r="J109" s="257"/>
      <c r="K109" s="255"/>
      <c r="L109" s="255"/>
      <c r="M109" s="257"/>
      <c r="N109" s="257"/>
      <c r="O109" s="257"/>
      <c r="P109" s="257"/>
      <c r="Q109" s="255"/>
      <c r="R109" s="240" t="str">
        <f>IF(TODAY()&gt;=B109,'資產'!G111,"")</f>
        <v/>
      </c>
      <c r="S109" s="195" t="str">
        <f>IF(TODAY()&gt;=B109,'貸款'!I53,"")</f>
        <v/>
      </c>
      <c r="T109" s="256"/>
      <c r="U109" s="255"/>
      <c r="V109" s="257"/>
      <c r="W109" s="257"/>
      <c r="X109" s="257"/>
      <c r="Y109" s="257"/>
      <c r="Z109" s="257"/>
      <c r="AA109" s="256"/>
      <c r="AB109" s="256"/>
      <c r="AC109" s="218" t="str">
        <f t="shared" si="8"/>
        <v/>
      </c>
      <c r="AD109" s="256"/>
      <c r="AE109" s="219" t="s">
        <v>566</v>
      </c>
      <c r="AF109" s="202" t="str">
        <f>SUM(AD102:AD113)</f>
        <v>#REF!</v>
      </c>
      <c r="AG109" s="202" t="str">
        <f>AF109/(12-COUNTBLANK(AD102:AD113))</f>
        <v>#REF!</v>
      </c>
      <c r="AH109" s="221"/>
      <c r="AI109" s="174"/>
      <c r="AJ109" s="174"/>
      <c r="AK109" s="174"/>
    </row>
    <row r="110" ht="15.75" customHeight="1">
      <c r="B110" s="210">
        <v>46631.0</v>
      </c>
      <c r="C110" s="255"/>
      <c r="D110" s="256"/>
      <c r="E110" s="255"/>
      <c r="F110" s="257"/>
      <c r="G110" s="257"/>
      <c r="H110" s="257"/>
      <c r="I110" s="257"/>
      <c r="J110" s="257"/>
      <c r="K110" s="255"/>
      <c r="L110" s="255"/>
      <c r="M110" s="257"/>
      <c r="N110" s="257"/>
      <c r="O110" s="257"/>
      <c r="P110" s="257"/>
      <c r="Q110" s="255"/>
      <c r="R110" s="240" t="str">
        <f>IF(TODAY()&gt;=B110,'資產'!G112,"")</f>
        <v/>
      </c>
      <c r="S110" s="195" t="str">
        <f>IF(TODAY()&gt;=B110,'貸款'!I54,"")</f>
        <v/>
      </c>
      <c r="T110" s="256"/>
      <c r="U110" s="255"/>
      <c r="V110" s="257"/>
      <c r="W110" s="257"/>
      <c r="X110" s="257"/>
      <c r="Y110" s="257"/>
      <c r="Z110" s="257"/>
      <c r="AA110" s="256"/>
      <c r="AB110" s="256"/>
      <c r="AC110" s="218" t="str">
        <f t="shared" si="8"/>
        <v/>
      </c>
      <c r="AD110" s="256"/>
      <c r="AE110" s="190"/>
      <c r="AF110" s="202"/>
      <c r="AG110" s="202"/>
      <c r="AH110" s="221"/>
      <c r="AI110" s="174"/>
      <c r="AJ110" s="174"/>
      <c r="AK110" s="174"/>
    </row>
    <row r="111" ht="15.75" customHeight="1">
      <c r="B111" s="210">
        <v>46661.0</v>
      </c>
      <c r="C111" s="255"/>
      <c r="D111" s="256"/>
      <c r="E111" s="255"/>
      <c r="F111" s="257"/>
      <c r="G111" s="257"/>
      <c r="H111" s="257"/>
      <c r="I111" s="257"/>
      <c r="J111" s="257"/>
      <c r="K111" s="255"/>
      <c r="L111" s="255"/>
      <c r="M111" s="257"/>
      <c r="N111" s="257"/>
      <c r="O111" s="257"/>
      <c r="P111" s="257"/>
      <c r="Q111" s="255"/>
      <c r="R111" s="240" t="str">
        <f>IF(TODAY()&gt;=B111,'資產'!G113,"")</f>
        <v/>
      </c>
      <c r="S111" s="195" t="str">
        <f>IF(TODAY()&gt;=B111,'貸款'!I55,"")</f>
        <v/>
      </c>
      <c r="T111" s="256"/>
      <c r="U111" s="255"/>
      <c r="V111" s="257"/>
      <c r="W111" s="257"/>
      <c r="X111" s="257"/>
      <c r="Y111" s="257"/>
      <c r="Z111" s="257"/>
      <c r="AA111" s="256"/>
      <c r="AB111" s="256"/>
      <c r="AC111" s="218" t="str">
        <f t="shared" si="8"/>
        <v/>
      </c>
      <c r="AD111" s="256"/>
      <c r="AE111" s="190"/>
      <c r="AF111" s="202"/>
      <c r="AG111" s="202"/>
      <c r="AH111" s="221"/>
      <c r="AI111" s="174"/>
      <c r="AJ111" s="174"/>
      <c r="AK111" s="174"/>
    </row>
    <row r="112" ht="15.75" customHeight="1">
      <c r="B112" s="210">
        <v>46692.0</v>
      </c>
      <c r="C112" s="255"/>
      <c r="D112" s="256"/>
      <c r="E112" s="255"/>
      <c r="F112" s="257"/>
      <c r="G112" s="257"/>
      <c r="H112" s="257"/>
      <c r="I112" s="257"/>
      <c r="J112" s="257"/>
      <c r="K112" s="255"/>
      <c r="L112" s="255"/>
      <c r="M112" s="257"/>
      <c r="N112" s="257"/>
      <c r="O112" s="257"/>
      <c r="P112" s="257"/>
      <c r="Q112" s="255"/>
      <c r="R112" s="240" t="str">
        <f>IF(TODAY()&gt;=B112,'資產'!G114,"")</f>
        <v/>
      </c>
      <c r="S112" s="195" t="str">
        <f>IF(TODAY()&gt;=B112,'貸款'!I56,"")</f>
        <v/>
      </c>
      <c r="T112" s="256"/>
      <c r="U112" s="255"/>
      <c r="V112" s="257"/>
      <c r="W112" s="257"/>
      <c r="X112" s="257"/>
      <c r="Y112" s="257"/>
      <c r="Z112" s="257"/>
      <c r="AA112" s="256"/>
      <c r="AB112" s="256"/>
      <c r="AC112" s="218" t="str">
        <f t="shared" si="8"/>
        <v/>
      </c>
      <c r="AD112" s="256"/>
      <c r="AE112" s="190"/>
      <c r="AF112" s="202"/>
      <c r="AG112" s="202"/>
      <c r="AH112" s="221"/>
      <c r="AI112" s="174"/>
      <c r="AJ112" s="174"/>
      <c r="AK112" s="174"/>
    </row>
    <row r="113" ht="15.75" customHeight="1">
      <c r="A113" s="114"/>
      <c r="B113" s="210">
        <v>46722.0</v>
      </c>
      <c r="C113" s="260"/>
      <c r="D113" s="261"/>
      <c r="E113" s="260"/>
      <c r="F113" s="262"/>
      <c r="G113" s="262"/>
      <c r="H113" s="262"/>
      <c r="I113" s="262"/>
      <c r="J113" s="262"/>
      <c r="K113" s="260"/>
      <c r="L113" s="260"/>
      <c r="M113" s="262"/>
      <c r="N113" s="262"/>
      <c r="O113" s="262"/>
      <c r="P113" s="262"/>
      <c r="Q113" s="260"/>
      <c r="R113" s="253" t="str">
        <f>IF(TODAY()&gt;=B113,'資產'!G115,"")</f>
        <v/>
      </c>
      <c r="S113" s="225" t="str">
        <f>IF(TODAY()&gt;=B113,'貸款'!I57,"")</f>
        <v/>
      </c>
      <c r="T113" s="261"/>
      <c r="U113" s="260" t="str">
        <f>IF(SUM(C113:D113)=0,"",SUM(C113:D113))</f>
        <v/>
      </c>
      <c r="V113" s="262"/>
      <c r="W113" s="262"/>
      <c r="X113" s="262" t="str">
        <f>IF(SUM(L113:P113)=0,"",SUM(L113:P113))</f>
        <v/>
      </c>
      <c r="Y113" s="262" t="str">
        <f>IF(SUM(#REF!)=0,"",SUM(#REF!))</f>
        <v>#REF!</v>
      </c>
      <c r="Z113" s="262" t="str">
        <f>IF(SUM(E113:J113)=0,"",SUM(E113:J113))</f>
        <v/>
      </c>
      <c r="AA113" s="261" t="str">
        <f>IF(SUM(#REF!)=0,"",SUM(#REF!))</f>
        <v>#REF!</v>
      </c>
      <c r="AB113" s="261"/>
      <c r="AC113" s="226" t="str">
        <f t="shared" si="8"/>
        <v/>
      </c>
      <c r="AD113" s="261" t="str">
        <f>IF(SUM(U113:Z113)=0,"",SUM(U113:Z113))</f>
        <v>#REF!</v>
      </c>
      <c r="AE113" s="190"/>
      <c r="AF113" s="202"/>
      <c r="AG113" s="202"/>
      <c r="AH113" s="227"/>
      <c r="AI113" s="174"/>
      <c r="AJ113" s="174"/>
      <c r="AK113" s="174"/>
    </row>
    <row r="114" ht="15.75" customHeight="1">
      <c r="A114" s="263"/>
      <c r="B114" s="263" t="s">
        <v>544</v>
      </c>
      <c r="C114" s="211">
        <f>SUM(C4:C65)</f>
        <v>1527333</v>
      </c>
      <c r="D114" s="264"/>
      <c r="E114" s="265"/>
      <c r="F114" s="263"/>
      <c r="G114" s="263"/>
      <c r="H114" s="263"/>
      <c r="I114" s="263"/>
      <c r="J114" s="263"/>
      <c r="K114" s="211">
        <f t="shared" ref="K114:L114" si="15">SUM(K4:K65)</f>
        <v>278306</v>
      </c>
      <c r="L114" s="211">
        <f t="shared" si="15"/>
        <v>656500</v>
      </c>
      <c r="M114" s="263"/>
      <c r="N114" s="213">
        <f t="shared" ref="N114:P114" si="16">SUM(N4:N65)</f>
        <v>3078</v>
      </c>
      <c r="O114" s="213">
        <f t="shared" si="16"/>
        <v>20457</v>
      </c>
      <c r="P114" s="213">
        <f t="shared" si="16"/>
        <v>4606</v>
      </c>
      <c r="Q114" s="266"/>
      <c r="R114" s="267"/>
      <c r="S114" s="268"/>
      <c r="T114" s="212">
        <f t="shared" ref="T114:U114" si="17">SUM(T4:T65)</f>
        <v>156072</v>
      </c>
      <c r="U114" s="223">
        <f t="shared" si="17"/>
        <v>1536865</v>
      </c>
      <c r="V114" s="262"/>
      <c r="W114" s="262"/>
      <c r="X114" s="262"/>
      <c r="Y114" s="262"/>
      <c r="Z114" s="262"/>
      <c r="AA114" s="261"/>
      <c r="AB114" s="268"/>
      <c r="AC114" s="269"/>
      <c r="AD114" s="193">
        <f>SUM(AD4:AD65)</f>
        <v>2735584</v>
      </c>
      <c r="AE114" s="270"/>
      <c r="AF114" s="271"/>
      <c r="AG114" s="271"/>
      <c r="AH114" s="272"/>
      <c r="AI114" s="174"/>
      <c r="AJ114" s="174"/>
      <c r="AK114" s="174"/>
    </row>
    <row r="115" ht="15.75" customHeight="1">
      <c r="A115" s="273"/>
      <c r="B115" s="273" t="s">
        <v>597</v>
      </c>
      <c r="C115" s="274">
        <f>AVERAGE(C4:C53)</f>
        <v>22219.42</v>
      </c>
      <c r="D115" s="275"/>
      <c r="E115" s="266"/>
      <c r="F115" s="273"/>
      <c r="G115" s="273"/>
      <c r="H115" s="273"/>
      <c r="I115" s="273"/>
      <c r="J115" s="273"/>
      <c r="K115" s="274">
        <f>AVERAGE(K4:K53)</f>
        <v>4705.16</v>
      </c>
      <c r="L115" s="266"/>
      <c r="M115" s="273"/>
      <c r="N115" s="273"/>
      <c r="O115" s="273"/>
      <c r="P115" s="273"/>
      <c r="Q115" s="266"/>
      <c r="R115" s="267"/>
      <c r="S115" s="268"/>
      <c r="T115" s="269"/>
      <c r="U115" s="276">
        <f>AVERAGE(U4:U53)</f>
        <v>22319.48</v>
      </c>
      <c r="V115" s="277"/>
      <c r="W115" s="277"/>
      <c r="X115" s="277"/>
      <c r="Y115" s="277"/>
      <c r="Z115" s="277"/>
      <c r="AA115" s="278"/>
      <c r="AB115" s="278"/>
      <c r="AC115" s="278"/>
      <c r="AD115" s="275">
        <f>AVERAGE(AD4:AD53)</f>
        <v>37634.74</v>
      </c>
      <c r="AE115" s="279"/>
      <c r="AF115" s="207"/>
      <c r="AG115" s="207"/>
      <c r="AH115" s="280"/>
      <c r="AI115" s="257"/>
      <c r="AJ115" s="257"/>
      <c r="AK115" s="257"/>
    </row>
    <row r="116" ht="15.7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281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</row>
    <row r="117" ht="15.75" customHeight="1">
      <c r="A117" s="174"/>
      <c r="B117" s="174"/>
      <c r="C117" s="174"/>
      <c r="D117" s="174"/>
      <c r="E117" s="174"/>
      <c r="F117" s="174"/>
      <c r="G117" s="282"/>
      <c r="H117" s="282"/>
      <c r="I117" s="174"/>
      <c r="J117" s="174"/>
      <c r="K117" s="174"/>
      <c r="L117" s="174"/>
      <c r="M117" s="174"/>
      <c r="N117" s="174"/>
      <c r="O117" s="174"/>
      <c r="P117" s="174"/>
      <c r="Q117" s="174"/>
      <c r="R117" s="281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</row>
    <row r="118" ht="15.7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281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</row>
    <row r="119" ht="15.7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281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</row>
    <row r="120" ht="15.7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281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</row>
    <row r="121" ht="15.7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281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</row>
    <row r="122" ht="15.7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281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</row>
    <row r="123" ht="15.7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281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</row>
    <row r="124" ht="15.7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281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</row>
    <row r="125" ht="15.7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281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</row>
    <row r="126" ht="15.7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281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</row>
    <row r="127" ht="15.7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281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</row>
    <row r="128" ht="15.7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281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</row>
    <row r="129" ht="15.7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281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</row>
    <row r="130" ht="15.7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281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</row>
    <row r="131" ht="15.7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281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</row>
    <row r="132" ht="15.7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281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</row>
    <row r="133" ht="15.7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281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</row>
    <row r="134" ht="15.7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281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</row>
    <row r="135" ht="15.7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281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</row>
    <row r="136" ht="15.7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281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</row>
    <row r="137" ht="15.7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281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</row>
    <row r="138" ht="15.7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281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</row>
    <row r="139" ht="15.7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281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</row>
    <row r="140" ht="15.7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281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</row>
    <row r="141" ht="15.7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281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</row>
    <row r="142" ht="15.7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281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</row>
    <row r="143" ht="15.7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281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</row>
    <row r="144" ht="15.7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281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</row>
    <row r="145" ht="15.7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281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</row>
    <row r="146" ht="15.7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281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</row>
    <row r="147" ht="15.7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281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</row>
    <row r="148" ht="15.7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281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</row>
    <row r="149" ht="15.7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281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</row>
    <row r="150" ht="15.7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281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</row>
    <row r="151" ht="15.7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281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</row>
    <row r="152" ht="15.7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281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</row>
    <row r="153" ht="15.7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281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</row>
    <row r="154" ht="15.7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281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</row>
    <row r="155" ht="15.7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281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</row>
    <row r="156" ht="15.7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281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</row>
    <row r="157" ht="15.7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281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</row>
    <row r="158" ht="15.7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281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</row>
    <row r="159" ht="15.7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281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</row>
    <row r="160" ht="15.7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281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</row>
    <row r="161" ht="15.7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281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</row>
    <row r="162" ht="15.7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281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</row>
    <row r="163" ht="15.7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281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</row>
    <row r="164" ht="15.7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281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</row>
    <row r="165" ht="15.7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281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</row>
    <row r="166" ht="15.7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281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</row>
    <row r="167" ht="15.7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281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</row>
    <row r="168" ht="15.7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281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</row>
    <row r="169" ht="15.7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281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</row>
    <row r="170" ht="15.7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281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</row>
    <row r="171" ht="15.7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281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</row>
    <row r="172" ht="15.7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281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</row>
    <row r="173" ht="15.7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281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</row>
    <row r="174" ht="15.7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281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</row>
    <row r="175" ht="15.7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281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</row>
    <row r="176" ht="15.7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281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</row>
    <row r="177" ht="15.7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281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</row>
    <row r="178" ht="15.7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281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</row>
    <row r="179" ht="15.7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281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</row>
    <row r="180" ht="15.7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281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</row>
    <row r="181" ht="15.7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281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</row>
    <row r="182" ht="15.7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281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</row>
    <row r="183" ht="15.7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281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</row>
    <row r="184" ht="15.7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281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</row>
    <row r="185" ht="15.7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281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</row>
    <row r="186" ht="15.7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</row>
    <row r="187" ht="15.7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</row>
    <row r="188" ht="15.7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</row>
    <row r="189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</row>
    <row r="190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</row>
    <row r="19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</row>
    <row r="192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</row>
    <row r="193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</row>
    <row r="194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</row>
    <row r="195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</row>
    <row r="196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</row>
    <row r="197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</row>
    <row r="198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</row>
    <row r="199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</row>
    <row r="200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</row>
    <row r="20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</row>
    <row r="202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</row>
    <row r="203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</row>
    <row r="204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</row>
    <row r="205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</row>
    <row r="206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</row>
    <row r="207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</row>
    <row r="208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</row>
    <row r="209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</row>
    <row r="210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</row>
    <row r="21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</row>
    <row r="212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</row>
    <row r="213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</row>
    <row r="214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</row>
    <row r="215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</row>
    <row r="216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</row>
    <row r="217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</row>
    <row r="218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</row>
    <row r="219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</row>
    <row r="220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</row>
    <row r="22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</row>
    <row r="222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</row>
    <row r="223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</row>
    <row r="224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</row>
    <row r="225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</row>
    <row r="226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</row>
    <row r="227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</row>
    <row r="228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</row>
    <row r="229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</row>
    <row r="230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</row>
    <row r="23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</row>
    <row r="232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</row>
    <row r="233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</row>
    <row r="234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</row>
    <row r="235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</row>
    <row r="236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</row>
    <row r="237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</row>
    <row r="238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</row>
    <row r="239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</row>
    <row r="240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</row>
    <row r="24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</row>
    <row r="242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</row>
    <row r="243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</row>
    <row r="244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</row>
    <row r="245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</row>
    <row r="246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</row>
    <row r="247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</row>
    <row r="248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  <c r="AF270" s="174"/>
      <c r="AG270" s="174"/>
      <c r="AH270" s="174"/>
      <c r="AI270" s="174"/>
      <c r="AJ270" s="174"/>
      <c r="AK270" s="174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  <c r="AF271" s="174"/>
      <c r="AG271" s="174"/>
      <c r="AH271" s="174"/>
      <c r="AI271" s="174"/>
      <c r="AJ271" s="174"/>
      <c r="AK271" s="174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  <c r="AF272" s="174"/>
      <c r="AG272" s="174"/>
      <c r="AH272" s="174"/>
      <c r="AI272" s="174"/>
      <c r="AJ272" s="174"/>
      <c r="AK272" s="174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  <c r="AF273" s="174"/>
      <c r="AG273" s="174"/>
      <c r="AH273" s="174"/>
      <c r="AI273" s="174"/>
      <c r="AJ273" s="174"/>
      <c r="AK273" s="174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  <c r="AF274" s="174"/>
      <c r="AG274" s="174"/>
      <c r="AH274" s="174"/>
      <c r="AI274" s="174"/>
      <c r="AJ274" s="174"/>
      <c r="AK274" s="174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  <c r="AF275" s="174"/>
      <c r="AG275" s="174"/>
      <c r="AH275" s="174"/>
      <c r="AI275" s="174"/>
      <c r="AJ275" s="174"/>
      <c r="AK275" s="174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  <c r="AF276" s="174"/>
      <c r="AG276" s="174"/>
      <c r="AH276" s="174"/>
      <c r="AI276" s="174"/>
      <c r="AJ276" s="174"/>
      <c r="AK276" s="174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  <c r="AF277" s="174"/>
      <c r="AG277" s="174"/>
      <c r="AH277" s="174"/>
      <c r="AI277" s="174"/>
      <c r="AJ277" s="174"/>
      <c r="AK277" s="174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  <c r="AF278" s="174"/>
      <c r="AG278" s="174"/>
      <c r="AH278" s="174"/>
      <c r="AI278" s="174"/>
      <c r="AJ278" s="174"/>
      <c r="AK278" s="174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  <c r="AF279" s="174"/>
      <c r="AG279" s="174"/>
      <c r="AH279" s="174"/>
      <c r="AI279" s="174"/>
      <c r="AJ279" s="174"/>
      <c r="AK279" s="174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  <c r="AF280" s="174"/>
      <c r="AG280" s="174"/>
      <c r="AH280" s="174"/>
      <c r="AI280" s="174"/>
      <c r="AJ280" s="174"/>
      <c r="AK280" s="174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  <c r="AF281" s="174"/>
      <c r="AG281" s="174"/>
      <c r="AH281" s="174"/>
      <c r="AI281" s="174"/>
      <c r="AJ281" s="174"/>
      <c r="AK281" s="174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  <c r="AF282" s="174"/>
      <c r="AG282" s="174"/>
      <c r="AH282" s="174"/>
      <c r="AI282" s="174"/>
      <c r="AJ282" s="174"/>
      <c r="AK282" s="174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  <c r="AF284" s="174"/>
      <c r="AG284" s="174"/>
      <c r="AH284" s="174"/>
      <c r="AI284" s="174"/>
      <c r="AJ284" s="174"/>
      <c r="AK284" s="174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  <c r="AF285" s="174"/>
      <c r="AG285" s="174"/>
      <c r="AH285" s="174"/>
      <c r="AI285" s="174"/>
      <c r="AJ285" s="174"/>
      <c r="AK285" s="174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  <c r="AF286" s="174"/>
      <c r="AG286" s="174"/>
      <c r="AH286" s="174"/>
      <c r="AI286" s="174"/>
      <c r="AJ286" s="174"/>
      <c r="AK286" s="174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  <c r="AF287" s="174"/>
      <c r="AG287" s="174"/>
      <c r="AH287" s="174"/>
      <c r="AI287" s="174"/>
      <c r="AJ287" s="174"/>
      <c r="AK287" s="174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  <c r="AF288" s="174"/>
      <c r="AG288" s="174"/>
      <c r="AH288" s="174"/>
      <c r="AI288" s="174"/>
      <c r="AJ288" s="174"/>
      <c r="AK288" s="174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  <c r="AF289" s="174"/>
      <c r="AG289" s="174"/>
      <c r="AH289" s="174"/>
      <c r="AI289" s="174"/>
      <c r="AJ289" s="174"/>
      <c r="AK289" s="174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  <c r="AF290" s="174"/>
      <c r="AG290" s="174"/>
      <c r="AH290" s="174"/>
      <c r="AI290" s="174"/>
      <c r="AJ290" s="174"/>
      <c r="AK290" s="174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  <c r="AF291" s="174"/>
      <c r="AG291" s="174"/>
      <c r="AH291" s="174"/>
      <c r="AI291" s="174"/>
      <c r="AJ291" s="174"/>
      <c r="AK291" s="174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  <c r="AF292" s="174"/>
      <c r="AG292" s="174"/>
      <c r="AH292" s="174"/>
      <c r="AI292" s="174"/>
      <c r="AJ292" s="174"/>
      <c r="AK292" s="174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  <c r="AF293" s="174"/>
      <c r="AG293" s="174"/>
      <c r="AH293" s="174"/>
      <c r="AI293" s="174"/>
      <c r="AJ293" s="174"/>
      <c r="AK293" s="174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  <c r="AF294" s="174"/>
      <c r="AG294" s="174"/>
      <c r="AH294" s="174"/>
      <c r="AI294" s="174"/>
      <c r="AJ294" s="174"/>
      <c r="AK294" s="174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  <c r="AF295" s="174"/>
      <c r="AG295" s="174"/>
      <c r="AH295" s="174"/>
      <c r="AI295" s="174"/>
      <c r="AJ295" s="174"/>
      <c r="AK295" s="174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  <c r="AF296" s="174"/>
      <c r="AG296" s="174"/>
      <c r="AH296" s="174"/>
      <c r="AI296" s="174"/>
      <c r="AJ296" s="174"/>
      <c r="AK296" s="174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  <c r="AF297" s="174"/>
      <c r="AG297" s="174"/>
      <c r="AH297" s="174"/>
      <c r="AI297" s="174"/>
      <c r="AJ297" s="174"/>
      <c r="AK297" s="174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  <c r="AF298" s="174"/>
      <c r="AG298" s="174"/>
      <c r="AH298" s="174"/>
      <c r="AI298" s="174"/>
      <c r="AJ298" s="174"/>
      <c r="AK298" s="174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  <c r="AF299" s="174"/>
      <c r="AG299" s="174"/>
      <c r="AH299" s="174"/>
      <c r="AI299" s="174"/>
      <c r="AJ299" s="174"/>
      <c r="AK299" s="174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  <c r="AF300" s="174"/>
      <c r="AG300" s="174"/>
      <c r="AH300" s="174"/>
      <c r="AI300" s="174"/>
      <c r="AJ300" s="174"/>
      <c r="AK300" s="174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  <c r="AF301" s="174"/>
      <c r="AG301" s="174"/>
      <c r="AH301" s="174"/>
      <c r="AI301" s="174"/>
      <c r="AJ301" s="174"/>
      <c r="AK301" s="174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  <c r="AF302" s="174"/>
      <c r="AG302" s="174"/>
      <c r="AH302" s="174"/>
      <c r="AI302" s="174"/>
      <c r="AJ302" s="174"/>
      <c r="AK302" s="174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  <c r="AF303" s="174"/>
      <c r="AG303" s="174"/>
      <c r="AH303" s="174"/>
      <c r="AI303" s="174"/>
      <c r="AJ303" s="174"/>
      <c r="AK303" s="174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  <c r="AF304" s="174"/>
      <c r="AG304" s="174"/>
      <c r="AH304" s="174"/>
      <c r="AI304" s="174"/>
      <c r="AJ304" s="174"/>
      <c r="AK304" s="174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  <c r="AG305" s="174"/>
      <c r="AH305" s="174"/>
      <c r="AI305" s="174"/>
      <c r="AJ305" s="174"/>
      <c r="AK305" s="174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  <c r="AF306" s="174"/>
      <c r="AG306" s="174"/>
      <c r="AH306" s="174"/>
      <c r="AI306" s="174"/>
      <c r="AJ306" s="174"/>
      <c r="AK306" s="174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  <c r="AF307" s="174"/>
      <c r="AG307" s="174"/>
      <c r="AH307" s="174"/>
      <c r="AI307" s="174"/>
      <c r="AJ307" s="174"/>
      <c r="AK307" s="174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  <c r="AF308" s="174"/>
      <c r="AG308" s="174"/>
      <c r="AH308" s="174"/>
      <c r="AI308" s="174"/>
      <c r="AJ308" s="174"/>
      <c r="AK308" s="174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  <c r="AF309" s="174"/>
      <c r="AG309" s="174"/>
      <c r="AH309" s="174"/>
      <c r="AI309" s="174"/>
      <c r="AJ309" s="174"/>
      <c r="AK309" s="174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  <c r="AF310" s="174"/>
      <c r="AG310" s="174"/>
      <c r="AH310" s="174"/>
      <c r="AI310" s="174"/>
      <c r="AJ310" s="174"/>
      <c r="AK310" s="174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  <c r="AF311" s="174"/>
      <c r="AG311" s="174"/>
      <c r="AH311" s="174"/>
      <c r="AI311" s="174"/>
      <c r="AJ311" s="174"/>
      <c r="AK311" s="174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74"/>
      <c r="AG312" s="174"/>
      <c r="AH312" s="174"/>
      <c r="AI312" s="174"/>
      <c r="AJ312" s="174"/>
      <c r="AK312" s="174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  <c r="AF313" s="174"/>
      <c r="AG313" s="174"/>
      <c r="AH313" s="174"/>
      <c r="AI313" s="174"/>
      <c r="AJ313" s="174"/>
      <c r="AK313" s="174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  <c r="AF314" s="174"/>
      <c r="AG314" s="174"/>
      <c r="AH314" s="174"/>
      <c r="AI314" s="174"/>
      <c r="AJ314" s="174"/>
      <c r="AK314" s="174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  <c r="AF315" s="174"/>
      <c r="AG315" s="174"/>
      <c r="AH315" s="174"/>
      <c r="AI315" s="174"/>
      <c r="AJ315" s="174"/>
      <c r="AK315" s="174"/>
    </row>
    <row r="316" ht="15.75" customHeight="1">
      <c r="AE316" s="283"/>
    </row>
    <row r="317" ht="15.75" customHeight="1">
      <c r="AE317" s="283"/>
    </row>
    <row r="318" ht="15.75" customHeight="1">
      <c r="AE318" s="283"/>
    </row>
    <row r="319" ht="15.75" customHeight="1">
      <c r="AE319" s="283"/>
    </row>
    <row r="320" ht="15.75" customHeight="1">
      <c r="AE320" s="283"/>
    </row>
    <row r="321" ht="15.75" customHeight="1">
      <c r="AE321" s="283"/>
    </row>
    <row r="322" ht="15.75" customHeight="1">
      <c r="AE322" s="283"/>
    </row>
    <row r="323" ht="15.75" customHeight="1">
      <c r="AE323" s="283"/>
    </row>
    <row r="324" ht="15.75" customHeight="1">
      <c r="AE324" s="283"/>
    </row>
    <row r="325" ht="15.75" customHeight="1">
      <c r="AE325" s="283"/>
    </row>
    <row r="326" ht="15.75" customHeight="1">
      <c r="AE326" s="283"/>
    </row>
    <row r="327" ht="15.75" customHeight="1">
      <c r="AE327" s="283"/>
    </row>
    <row r="328" ht="15.75" customHeight="1">
      <c r="AE328" s="283"/>
    </row>
    <row r="329" ht="15.75" customHeight="1">
      <c r="AE329" s="283"/>
    </row>
    <row r="330" ht="15.75" customHeight="1">
      <c r="AE330" s="283"/>
    </row>
    <row r="331" ht="15.75" customHeight="1">
      <c r="AE331" s="283"/>
    </row>
    <row r="332" ht="15.75" customHeight="1">
      <c r="AE332" s="283"/>
    </row>
    <row r="333" ht="15.75" customHeight="1">
      <c r="AE333" s="283"/>
    </row>
    <row r="334" ht="15.75" customHeight="1">
      <c r="AE334" s="283"/>
    </row>
    <row r="335" ht="15.75" customHeight="1">
      <c r="AE335" s="283"/>
    </row>
    <row r="336" ht="15.75" customHeight="1">
      <c r="AE336" s="283"/>
    </row>
    <row r="337" ht="15.75" customHeight="1">
      <c r="AE337" s="283"/>
    </row>
    <row r="338" ht="15.75" customHeight="1">
      <c r="AE338" s="283"/>
    </row>
    <row r="339" ht="15.75" customHeight="1">
      <c r="AE339" s="283"/>
    </row>
    <row r="340" ht="15.75" customHeight="1">
      <c r="AE340" s="283"/>
    </row>
    <row r="341" ht="15.75" customHeight="1">
      <c r="AE341" s="283"/>
    </row>
    <row r="342" ht="15.75" customHeight="1">
      <c r="AE342" s="283"/>
    </row>
    <row r="343" ht="15.75" customHeight="1">
      <c r="AE343" s="283"/>
    </row>
    <row r="344" ht="15.75" customHeight="1">
      <c r="AE344" s="283"/>
    </row>
    <row r="345" ht="15.75" customHeight="1">
      <c r="AE345" s="283"/>
    </row>
    <row r="346" ht="15.75" customHeight="1">
      <c r="AE346" s="283"/>
    </row>
    <row r="347" ht="15.75" customHeight="1">
      <c r="AE347" s="283"/>
    </row>
    <row r="348" ht="15.75" customHeight="1">
      <c r="AE348" s="283"/>
    </row>
    <row r="349" ht="15.75" customHeight="1">
      <c r="AE349" s="283"/>
    </row>
    <row r="350" ht="15.75" customHeight="1">
      <c r="AE350" s="283"/>
    </row>
    <row r="351" ht="15.75" customHeight="1">
      <c r="AE351" s="283"/>
    </row>
    <row r="352" ht="15.75" customHeight="1">
      <c r="AE352" s="283"/>
    </row>
    <row r="353" ht="15.75" customHeight="1">
      <c r="AE353" s="283"/>
    </row>
    <row r="354" ht="15.75" customHeight="1">
      <c r="AE354" s="283"/>
    </row>
    <row r="355" ht="15.75" customHeight="1">
      <c r="AE355" s="283"/>
    </row>
    <row r="356" ht="15.75" customHeight="1">
      <c r="AE356" s="283"/>
    </row>
    <row r="357" ht="15.75" customHeight="1">
      <c r="AE357" s="283"/>
    </row>
    <row r="358" ht="15.75" customHeight="1">
      <c r="AE358" s="283"/>
    </row>
    <row r="359" ht="15.75" customHeight="1">
      <c r="AE359" s="283"/>
    </row>
    <row r="360" ht="15.75" customHeight="1">
      <c r="AE360" s="283"/>
    </row>
    <row r="361" ht="15.75" customHeight="1">
      <c r="AE361" s="283"/>
    </row>
    <row r="362" ht="15.75" customHeight="1">
      <c r="AE362" s="283"/>
    </row>
    <row r="363" ht="15.75" customHeight="1">
      <c r="AE363" s="283"/>
    </row>
    <row r="364" ht="15.75" customHeight="1">
      <c r="AE364" s="283"/>
    </row>
    <row r="365" ht="15.75" customHeight="1">
      <c r="AE365" s="283"/>
    </row>
    <row r="366" ht="15.75" customHeight="1">
      <c r="AE366" s="283"/>
    </row>
    <row r="367" ht="15.75" customHeight="1">
      <c r="AE367" s="283"/>
    </row>
    <row r="368" ht="15.75" customHeight="1">
      <c r="AE368" s="283"/>
    </row>
    <row r="369" ht="15.75" customHeight="1">
      <c r="AE369" s="283"/>
    </row>
    <row r="370" ht="15.75" customHeight="1">
      <c r="AE370" s="283"/>
    </row>
    <row r="371" ht="15.75" customHeight="1">
      <c r="AE371" s="283"/>
    </row>
    <row r="372" ht="15.75" customHeight="1">
      <c r="AE372" s="283"/>
    </row>
    <row r="373" ht="15.75" customHeight="1">
      <c r="AE373" s="283"/>
    </row>
    <row r="374" ht="15.75" customHeight="1">
      <c r="AE374" s="283"/>
    </row>
    <row r="375" ht="15.75" customHeight="1">
      <c r="AE375" s="283"/>
    </row>
    <row r="376" ht="15.75" customHeight="1">
      <c r="AE376" s="283"/>
    </row>
    <row r="377" ht="15.75" customHeight="1">
      <c r="AE377" s="283"/>
    </row>
    <row r="378" ht="15.75" customHeight="1">
      <c r="AE378" s="283"/>
    </row>
    <row r="379" ht="15.75" customHeight="1">
      <c r="AE379" s="283"/>
    </row>
    <row r="380" ht="15.75" customHeight="1">
      <c r="AE380" s="283"/>
    </row>
    <row r="381" ht="15.75" customHeight="1">
      <c r="AE381" s="283"/>
    </row>
    <row r="382" ht="15.75" customHeight="1">
      <c r="AE382" s="283"/>
    </row>
    <row r="383" ht="15.75" customHeight="1">
      <c r="AE383" s="283"/>
    </row>
    <row r="384" ht="15.75" customHeight="1">
      <c r="AE384" s="283"/>
    </row>
    <row r="385" ht="15.75" customHeight="1">
      <c r="AE385" s="283"/>
    </row>
    <row r="386" ht="15.75" customHeight="1">
      <c r="AE386" s="283"/>
    </row>
    <row r="387" ht="15.75" customHeight="1">
      <c r="AE387" s="283"/>
    </row>
    <row r="388" ht="15.75" customHeight="1">
      <c r="AE388" s="283"/>
    </row>
    <row r="389" ht="15.75" customHeight="1">
      <c r="AE389" s="283"/>
    </row>
    <row r="390" ht="15.75" customHeight="1">
      <c r="AE390" s="283"/>
    </row>
    <row r="391" ht="15.75" customHeight="1">
      <c r="AE391" s="283"/>
    </row>
    <row r="392" ht="15.75" customHeight="1">
      <c r="AE392" s="283"/>
    </row>
    <row r="393" ht="15.75" customHeight="1">
      <c r="AE393" s="283"/>
    </row>
    <row r="394" ht="15.75" customHeight="1">
      <c r="AE394" s="283"/>
    </row>
    <row r="395" ht="15.75" customHeight="1">
      <c r="AE395" s="283"/>
    </row>
    <row r="396" ht="15.75" customHeight="1">
      <c r="AE396" s="283"/>
    </row>
    <row r="397" ht="15.75" customHeight="1">
      <c r="AE397" s="283"/>
    </row>
    <row r="398" ht="15.75" customHeight="1">
      <c r="AE398" s="283"/>
    </row>
    <row r="399" ht="15.75" customHeight="1">
      <c r="AE399" s="283"/>
    </row>
    <row r="400" ht="15.75" customHeight="1">
      <c r="AE400" s="283"/>
    </row>
    <row r="401" ht="15.75" customHeight="1">
      <c r="AE401" s="283"/>
    </row>
    <row r="402" ht="15.75" customHeight="1">
      <c r="AE402" s="283"/>
    </row>
    <row r="403" ht="15.75" customHeight="1">
      <c r="AE403" s="283"/>
    </row>
    <row r="404" ht="15.75" customHeight="1">
      <c r="AE404" s="283"/>
    </row>
    <row r="405" ht="15.75" customHeight="1">
      <c r="AE405" s="283"/>
    </row>
    <row r="406" ht="15.75" customHeight="1">
      <c r="AE406" s="283"/>
    </row>
    <row r="407" ht="15.75" customHeight="1">
      <c r="AE407" s="283"/>
    </row>
    <row r="408" ht="15.75" customHeight="1">
      <c r="AE408" s="283"/>
    </row>
    <row r="409" ht="15.75" customHeight="1">
      <c r="AE409" s="283"/>
    </row>
    <row r="410" ht="15.75" customHeight="1">
      <c r="AE410" s="283"/>
    </row>
    <row r="411" ht="15.75" customHeight="1">
      <c r="AE411" s="283"/>
    </row>
    <row r="412" ht="15.75" customHeight="1">
      <c r="AE412" s="283"/>
    </row>
    <row r="413" ht="15.75" customHeight="1">
      <c r="AE413" s="283"/>
    </row>
    <row r="414" ht="15.75" customHeight="1">
      <c r="AE414" s="283"/>
    </row>
    <row r="415" ht="15.75" customHeight="1">
      <c r="AE415" s="283"/>
    </row>
    <row r="416" ht="15.75" customHeight="1">
      <c r="AE416" s="283"/>
    </row>
    <row r="417" ht="15.75" customHeight="1">
      <c r="AE417" s="283"/>
    </row>
    <row r="418" ht="15.75" customHeight="1">
      <c r="AE418" s="283"/>
    </row>
    <row r="419" ht="15.75" customHeight="1">
      <c r="AE419" s="283"/>
    </row>
    <row r="420" ht="15.75" customHeight="1">
      <c r="AE420" s="283"/>
    </row>
    <row r="421" ht="15.75" customHeight="1">
      <c r="AE421" s="283"/>
    </row>
    <row r="422" ht="15.75" customHeight="1">
      <c r="AE422" s="283"/>
    </row>
    <row r="423" ht="15.75" customHeight="1">
      <c r="AE423" s="283"/>
    </row>
    <row r="424" ht="15.75" customHeight="1">
      <c r="AE424" s="283"/>
    </row>
    <row r="425" ht="15.75" customHeight="1">
      <c r="AE425" s="283"/>
    </row>
    <row r="426" ht="15.75" customHeight="1">
      <c r="AE426" s="283"/>
    </row>
    <row r="427" ht="15.75" customHeight="1">
      <c r="AE427" s="283"/>
    </row>
    <row r="428" ht="15.75" customHeight="1">
      <c r="AE428" s="283"/>
    </row>
    <row r="429" ht="15.75" customHeight="1">
      <c r="AE429" s="283"/>
    </row>
    <row r="430" ht="15.75" customHeight="1">
      <c r="AE430" s="283"/>
    </row>
    <row r="431" ht="15.75" customHeight="1">
      <c r="AE431" s="283"/>
    </row>
    <row r="432" ht="15.75" customHeight="1">
      <c r="AE432" s="283"/>
    </row>
    <row r="433" ht="15.75" customHeight="1">
      <c r="AE433" s="283"/>
    </row>
    <row r="434" ht="15.75" customHeight="1">
      <c r="AE434" s="283"/>
    </row>
    <row r="435" ht="15.75" customHeight="1">
      <c r="AE435" s="283"/>
    </row>
    <row r="436" ht="15.75" customHeight="1">
      <c r="AE436" s="283"/>
    </row>
    <row r="437" ht="15.75" customHeight="1">
      <c r="AE437" s="283"/>
    </row>
    <row r="438" ht="15.75" customHeight="1">
      <c r="AE438" s="283"/>
    </row>
    <row r="439" ht="15.75" customHeight="1">
      <c r="AE439" s="283"/>
    </row>
    <row r="440" ht="15.75" customHeight="1">
      <c r="AE440" s="283"/>
    </row>
    <row r="441" ht="15.75" customHeight="1">
      <c r="AE441" s="283"/>
    </row>
    <row r="442" ht="15.75" customHeight="1">
      <c r="AE442" s="283"/>
    </row>
    <row r="443" ht="15.75" customHeight="1">
      <c r="AE443" s="283"/>
    </row>
    <row r="444" ht="15.75" customHeight="1">
      <c r="AE444" s="283"/>
    </row>
    <row r="445" ht="15.75" customHeight="1">
      <c r="AE445" s="283"/>
    </row>
    <row r="446" ht="15.75" customHeight="1">
      <c r="AE446" s="283"/>
    </row>
    <row r="447" ht="15.75" customHeight="1">
      <c r="AE447" s="283"/>
    </row>
    <row r="448" ht="15.75" customHeight="1">
      <c r="AE448" s="283"/>
    </row>
    <row r="449" ht="15.75" customHeight="1">
      <c r="AE449" s="283"/>
    </row>
    <row r="450" ht="15.75" customHeight="1">
      <c r="AE450" s="283"/>
    </row>
    <row r="451" ht="15.75" customHeight="1">
      <c r="AE451" s="283"/>
    </row>
    <row r="452" ht="15.75" customHeight="1">
      <c r="AE452" s="283"/>
    </row>
    <row r="453" ht="15.75" customHeight="1">
      <c r="AE453" s="283"/>
    </row>
    <row r="454" ht="15.75" customHeight="1">
      <c r="AE454" s="283"/>
    </row>
    <row r="455" ht="15.75" customHeight="1">
      <c r="AE455" s="283"/>
    </row>
    <row r="456" ht="15.75" customHeight="1">
      <c r="AE456" s="283"/>
    </row>
    <row r="457" ht="15.75" customHeight="1">
      <c r="AE457" s="283"/>
    </row>
    <row r="458" ht="15.75" customHeight="1">
      <c r="AE458" s="283"/>
    </row>
    <row r="459" ht="15.75" customHeight="1">
      <c r="AE459" s="283"/>
    </row>
    <row r="460" ht="15.75" customHeight="1">
      <c r="AE460" s="283"/>
    </row>
    <row r="461" ht="15.75" customHeight="1">
      <c r="AE461" s="283"/>
    </row>
    <row r="462" ht="15.75" customHeight="1">
      <c r="AE462" s="283"/>
    </row>
    <row r="463" ht="15.75" customHeight="1">
      <c r="AE463" s="283"/>
    </row>
    <row r="464" ht="15.75" customHeight="1">
      <c r="AE464" s="283"/>
    </row>
    <row r="465" ht="15.75" customHeight="1">
      <c r="AE465" s="283"/>
    </row>
    <row r="466" ht="15.75" customHeight="1">
      <c r="AE466" s="283"/>
    </row>
    <row r="467" ht="15.75" customHeight="1">
      <c r="AE467" s="283"/>
    </row>
    <row r="468" ht="15.75" customHeight="1">
      <c r="AE468" s="283"/>
    </row>
    <row r="469" ht="15.75" customHeight="1">
      <c r="AE469" s="283"/>
    </row>
    <row r="470" ht="15.75" customHeight="1">
      <c r="AE470" s="283"/>
    </row>
    <row r="471" ht="15.75" customHeight="1">
      <c r="AE471" s="283"/>
    </row>
    <row r="472" ht="15.75" customHeight="1">
      <c r="AE472" s="283"/>
    </row>
    <row r="473" ht="15.75" customHeight="1">
      <c r="AE473" s="283"/>
    </row>
    <row r="474" ht="15.75" customHeight="1">
      <c r="AE474" s="283"/>
    </row>
    <row r="475" ht="15.75" customHeight="1">
      <c r="AE475" s="283"/>
    </row>
    <row r="476" ht="15.75" customHeight="1">
      <c r="AE476" s="283"/>
    </row>
    <row r="477" ht="15.75" customHeight="1">
      <c r="AE477" s="283"/>
    </row>
    <row r="478" ht="15.75" customHeight="1">
      <c r="AE478" s="283"/>
    </row>
    <row r="479" ht="15.75" customHeight="1">
      <c r="AE479" s="283"/>
    </row>
    <row r="480" ht="15.75" customHeight="1">
      <c r="AE480" s="283"/>
    </row>
    <row r="481" ht="15.75" customHeight="1">
      <c r="AE481" s="283"/>
    </row>
    <row r="482" ht="15.75" customHeight="1">
      <c r="AE482" s="283"/>
    </row>
    <row r="483" ht="15.75" customHeight="1">
      <c r="AE483" s="283"/>
    </row>
    <row r="484" ht="15.75" customHeight="1">
      <c r="AE484" s="283"/>
    </row>
    <row r="485" ht="15.75" customHeight="1">
      <c r="AE485" s="283"/>
    </row>
    <row r="486" ht="15.75" customHeight="1">
      <c r="AE486" s="283"/>
    </row>
    <row r="487" ht="15.75" customHeight="1">
      <c r="AE487" s="283"/>
    </row>
    <row r="488" ht="15.75" customHeight="1">
      <c r="AE488" s="283"/>
    </row>
    <row r="489" ht="15.75" customHeight="1">
      <c r="AE489" s="283"/>
    </row>
    <row r="490" ht="15.75" customHeight="1">
      <c r="AE490" s="283"/>
    </row>
    <row r="491" ht="15.75" customHeight="1">
      <c r="AE491" s="283"/>
    </row>
    <row r="492" ht="15.75" customHeight="1">
      <c r="AE492" s="283"/>
    </row>
    <row r="493" ht="15.75" customHeight="1">
      <c r="AE493" s="283"/>
    </row>
    <row r="494" ht="15.75" customHeight="1">
      <c r="AE494" s="283"/>
    </row>
    <row r="495" ht="15.75" customHeight="1">
      <c r="AE495" s="283"/>
    </row>
    <row r="496" ht="15.75" customHeight="1">
      <c r="AE496" s="283"/>
    </row>
    <row r="497" ht="15.75" customHeight="1">
      <c r="AE497" s="283"/>
    </row>
    <row r="498" ht="15.75" customHeight="1">
      <c r="AE498" s="283"/>
    </row>
    <row r="499" ht="15.75" customHeight="1">
      <c r="AE499" s="283"/>
    </row>
    <row r="500" ht="15.75" customHeight="1">
      <c r="AE500" s="283"/>
    </row>
    <row r="501" ht="15.75" customHeight="1">
      <c r="AE501" s="283"/>
    </row>
    <row r="502" ht="15.75" customHeight="1">
      <c r="AE502" s="283"/>
    </row>
    <row r="503" ht="15.75" customHeight="1">
      <c r="AE503" s="283"/>
    </row>
    <row r="504" ht="15.75" customHeight="1">
      <c r="AE504" s="283"/>
    </row>
    <row r="505" ht="15.75" customHeight="1">
      <c r="AE505" s="283"/>
    </row>
    <row r="506" ht="15.75" customHeight="1">
      <c r="AE506" s="283"/>
    </row>
    <row r="507" ht="15.75" customHeight="1">
      <c r="AE507" s="283"/>
    </row>
    <row r="508" ht="15.75" customHeight="1">
      <c r="AE508" s="283"/>
    </row>
    <row r="509" ht="15.75" customHeight="1">
      <c r="AE509" s="283"/>
    </row>
    <row r="510" ht="15.75" customHeight="1">
      <c r="AE510" s="283"/>
    </row>
    <row r="511" ht="15.75" customHeight="1">
      <c r="AE511" s="283"/>
    </row>
    <row r="512" ht="15.75" customHeight="1">
      <c r="AE512" s="283"/>
    </row>
    <row r="513" ht="15.75" customHeight="1">
      <c r="AE513" s="283"/>
    </row>
    <row r="514" ht="15.75" customHeight="1">
      <c r="AE514" s="283"/>
    </row>
    <row r="515" ht="15.75" customHeight="1">
      <c r="AE515" s="283"/>
    </row>
    <row r="516" ht="15.75" customHeight="1">
      <c r="AE516" s="283"/>
    </row>
    <row r="517" ht="15.75" customHeight="1">
      <c r="AE517" s="283"/>
    </row>
    <row r="518" ht="15.75" customHeight="1">
      <c r="AE518" s="283"/>
    </row>
    <row r="519" ht="15.75" customHeight="1">
      <c r="AE519" s="283"/>
    </row>
    <row r="520" ht="15.75" customHeight="1">
      <c r="AE520" s="283"/>
    </row>
    <row r="521" ht="15.75" customHeight="1">
      <c r="AE521" s="283"/>
    </row>
    <row r="522" ht="15.75" customHeight="1">
      <c r="AE522" s="283"/>
    </row>
    <row r="523" ht="15.75" customHeight="1">
      <c r="AE523" s="283"/>
    </row>
    <row r="524" ht="15.75" customHeight="1">
      <c r="AE524" s="283"/>
    </row>
    <row r="525" ht="15.75" customHeight="1">
      <c r="AE525" s="283"/>
    </row>
    <row r="526" ht="15.75" customHeight="1">
      <c r="AE526" s="283"/>
    </row>
    <row r="527" ht="15.75" customHeight="1">
      <c r="AE527" s="283"/>
    </row>
    <row r="528" ht="15.75" customHeight="1">
      <c r="AE528" s="283"/>
    </row>
    <row r="529" ht="15.75" customHeight="1">
      <c r="AE529" s="283"/>
    </row>
    <row r="530" ht="15.75" customHeight="1">
      <c r="AE530" s="283"/>
    </row>
    <row r="531" ht="15.75" customHeight="1">
      <c r="AE531" s="283"/>
    </row>
    <row r="532" ht="15.75" customHeight="1">
      <c r="AE532" s="283"/>
    </row>
    <row r="533" ht="15.75" customHeight="1">
      <c r="AE533" s="283"/>
    </row>
    <row r="534" ht="15.75" customHeight="1">
      <c r="AE534" s="283"/>
    </row>
    <row r="535" ht="15.75" customHeight="1">
      <c r="AE535" s="283"/>
    </row>
    <row r="536" ht="15.75" customHeight="1">
      <c r="AE536" s="283"/>
    </row>
    <row r="537" ht="15.75" customHeight="1">
      <c r="AE537" s="283"/>
    </row>
    <row r="538" ht="15.75" customHeight="1">
      <c r="AE538" s="283"/>
    </row>
    <row r="539" ht="15.75" customHeight="1">
      <c r="AE539" s="283"/>
    </row>
    <row r="540" ht="15.75" customHeight="1">
      <c r="AE540" s="283"/>
    </row>
    <row r="541" ht="15.75" customHeight="1">
      <c r="AE541" s="283"/>
    </row>
    <row r="542" ht="15.75" customHeight="1">
      <c r="AE542" s="283"/>
    </row>
    <row r="543" ht="15.75" customHeight="1">
      <c r="AE543" s="283"/>
    </row>
    <row r="544" ht="15.75" customHeight="1">
      <c r="AE544" s="283"/>
    </row>
    <row r="545" ht="15.75" customHeight="1">
      <c r="AE545" s="283"/>
    </row>
    <row r="546" ht="15.75" customHeight="1">
      <c r="AE546" s="283"/>
    </row>
    <row r="547" ht="15.75" customHeight="1">
      <c r="AE547" s="283"/>
    </row>
    <row r="548" ht="15.75" customHeight="1">
      <c r="AE548" s="283"/>
    </row>
    <row r="549" ht="15.75" customHeight="1">
      <c r="AE549" s="283"/>
    </row>
    <row r="550" ht="15.75" customHeight="1">
      <c r="AE550" s="283"/>
    </row>
    <row r="551" ht="15.75" customHeight="1">
      <c r="AE551" s="283"/>
    </row>
    <row r="552" ht="15.75" customHeight="1">
      <c r="AE552" s="283"/>
    </row>
    <row r="553" ht="15.75" customHeight="1">
      <c r="AE553" s="283"/>
    </row>
    <row r="554" ht="15.75" customHeight="1">
      <c r="AE554" s="283"/>
    </row>
    <row r="555" ht="15.75" customHeight="1">
      <c r="AE555" s="283"/>
    </row>
    <row r="556" ht="15.75" customHeight="1">
      <c r="AE556" s="283"/>
    </row>
    <row r="557" ht="15.75" customHeight="1">
      <c r="AE557" s="283"/>
    </row>
    <row r="558" ht="15.75" customHeight="1">
      <c r="AE558" s="283"/>
    </row>
    <row r="559" ht="15.75" customHeight="1">
      <c r="AE559" s="283"/>
    </row>
    <row r="560" ht="15.75" customHeight="1">
      <c r="AE560" s="283"/>
    </row>
    <row r="561" ht="15.75" customHeight="1">
      <c r="AE561" s="283"/>
    </row>
    <row r="562" ht="15.75" customHeight="1">
      <c r="AE562" s="283"/>
    </row>
    <row r="563" ht="15.75" customHeight="1">
      <c r="AE563" s="283"/>
    </row>
    <row r="564" ht="15.75" customHeight="1">
      <c r="AE564" s="283"/>
    </row>
    <row r="565" ht="15.75" customHeight="1">
      <c r="AE565" s="283"/>
    </row>
    <row r="566" ht="15.75" customHeight="1">
      <c r="AE566" s="283"/>
    </row>
    <row r="567" ht="15.75" customHeight="1">
      <c r="AE567" s="283"/>
    </row>
    <row r="568" ht="15.75" customHeight="1">
      <c r="AE568" s="283"/>
    </row>
    <row r="569" ht="15.75" customHeight="1">
      <c r="AE569" s="283"/>
    </row>
    <row r="570" ht="15.75" customHeight="1">
      <c r="AE570" s="283"/>
    </row>
    <row r="571" ht="15.75" customHeight="1">
      <c r="AE571" s="283"/>
    </row>
    <row r="572" ht="15.75" customHeight="1">
      <c r="AE572" s="283"/>
    </row>
    <row r="573" ht="15.75" customHeight="1">
      <c r="AE573" s="283"/>
    </row>
    <row r="574" ht="15.75" customHeight="1">
      <c r="AE574" s="283"/>
    </row>
    <row r="575" ht="15.75" customHeight="1">
      <c r="AE575" s="283"/>
    </row>
    <row r="576" ht="15.75" customHeight="1">
      <c r="AE576" s="283"/>
    </row>
    <row r="577" ht="15.75" customHeight="1">
      <c r="AE577" s="283"/>
    </row>
    <row r="578" ht="15.75" customHeight="1">
      <c r="AE578" s="283"/>
    </row>
    <row r="579" ht="15.75" customHeight="1">
      <c r="AE579" s="283"/>
    </row>
    <row r="580" ht="15.75" customHeight="1">
      <c r="AE580" s="283"/>
    </row>
    <row r="581" ht="15.75" customHeight="1">
      <c r="AE581" s="283"/>
    </row>
    <row r="582" ht="15.75" customHeight="1">
      <c r="AE582" s="283"/>
    </row>
    <row r="583" ht="15.75" customHeight="1">
      <c r="AE583" s="283"/>
    </row>
    <row r="584" ht="15.75" customHeight="1">
      <c r="AE584" s="283"/>
    </row>
    <row r="585" ht="15.75" customHeight="1">
      <c r="AE585" s="283"/>
    </row>
    <row r="586" ht="15.75" customHeight="1">
      <c r="AE586" s="283"/>
    </row>
    <row r="587" ht="15.75" customHeight="1">
      <c r="AE587" s="283"/>
    </row>
    <row r="588" ht="15.75" customHeight="1">
      <c r="AE588" s="283"/>
    </row>
    <row r="589" ht="15.75" customHeight="1">
      <c r="AE589" s="283"/>
    </row>
    <row r="590" ht="15.75" customHeight="1">
      <c r="AE590" s="283"/>
    </row>
    <row r="591" ht="15.75" customHeight="1">
      <c r="AE591" s="283"/>
    </row>
    <row r="592" ht="15.75" customHeight="1">
      <c r="AE592" s="283"/>
    </row>
    <row r="593" ht="15.75" customHeight="1">
      <c r="AE593" s="283"/>
    </row>
    <row r="594" ht="15.75" customHeight="1">
      <c r="AE594" s="283"/>
    </row>
    <row r="595" ht="15.75" customHeight="1">
      <c r="AE595" s="283"/>
    </row>
    <row r="596" ht="15.75" customHeight="1">
      <c r="AE596" s="283"/>
    </row>
    <row r="597" ht="15.75" customHeight="1">
      <c r="AE597" s="283"/>
    </row>
    <row r="598" ht="15.75" customHeight="1">
      <c r="AE598" s="283"/>
    </row>
    <row r="599" ht="15.75" customHeight="1">
      <c r="AE599" s="283"/>
    </row>
    <row r="600" ht="15.75" customHeight="1">
      <c r="AE600" s="283"/>
    </row>
    <row r="601" ht="15.75" customHeight="1">
      <c r="AE601" s="283"/>
    </row>
    <row r="602" ht="15.75" customHeight="1">
      <c r="AE602" s="283"/>
    </row>
    <row r="603" ht="15.75" customHeight="1">
      <c r="AE603" s="283"/>
    </row>
    <row r="604" ht="15.75" customHeight="1">
      <c r="AE604" s="283"/>
    </row>
    <row r="605" ht="15.75" customHeight="1">
      <c r="AE605" s="283"/>
    </row>
    <row r="606" ht="15.75" customHeight="1">
      <c r="AE606" s="283"/>
    </row>
    <row r="607" ht="15.75" customHeight="1">
      <c r="AE607" s="283"/>
    </row>
    <row r="608" ht="15.75" customHeight="1">
      <c r="AE608" s="283"/>
    </row>
    <row r="609" ht="15.75" customHeight="1">
      <c r="AE609" s="283"/>
    </row>
    <row r="610" ht="15.75" customHeight="1">
      <c r="AE610" s="283"/>
    </row>
    <row r="611" ht="15.75" customHeight="1">
      <c r="AE611" s="283"/>
    </row>
    <row r="612" ht="15.75" customHeight="1">
      <c r="AE612" s="283"/>
    </row>
    <row r="613" ht="15.75" customHeight="1">
      <c r="AE613" s="283"/>
    </row>
    <row r="614" ht="15.75" customHeight="1">
      <c r="AE614" s="283"/>
    </row>
    <row r="615" ht="15.75" customHeight="1">
      <c r="AE615" s="283"/>
    </row>
    <row r="616" ht="15.75" customHeight="1">
      <c r="AE616" s="283"/>
    </row>
    <row r="617" ht="15.75" customHeight="1">
      <c r="AE617" s="283"/>
    </row>
    <row r="618" ht="15.75" customHeight="1">
      <c r="AE618" s="283"/>
    </row>
    <row r="619" ht="15.75" customHeight="1">
      <c r="AE619" s="283"/>
    </row>
    <row r="620" ht="15.75" customHeight="1">
      <c r="AE620" s="283"/>
    </row>
    <row r="621" ht="15.75" customHeight="1">
      <c r="AE621" s="283"/>
    </row>
    <row r="622" ht="15.75" customHeight="1">
      <c r="AE622" s="283"/>
    </row>
    <row r="623" ht="15.75" customHeight="1">
      <c r="AE623" s="283"/>
    </row>
    <row r="624" ht="15.75" customHeight="1">
      <c r="AE624" s="283"/>
    </row>
    <row r="625" ht="15.75" customHeight="1">
      <c r="AE625" s="283"/>
    </row>
    <row r="626" ht="15.75" customHeight="1">
      <c r="AE626" s="283"/>
    </row>
    <row r="627" ht="15.75" customHeight="1">
      <c r="AE627" s="283"/>
    </row>
    <row r="628" ht="15.75" customHeight="1">
      <c r="AE628" s="283"/>
    </row>
    <row r="629" ht="15.75" customHeight="1">
      <c r="AE629" s="283"/>
    </row>
    <row r="630" ht="15.75" customHeight="1">
      <c r="AE630" s="283"/>
    </row>
    <row r="631" ht="15.75" customHeight="1">
      <c r="AE631" s="283"/>
    </row>
    <row r="632" ht="15.75" customHeight="1">
      <c r="AE632" s="283"/>
    </row>
    <row r="633" ht="15.75" customHeight="1">
      <c r="AE633" s="283"/>
    </row>
    <row r="634" ht="15.75" customHeight="1">
      <c r="AE634" s="283"/>
    </row>
    <row r="635" ht="15.75" customHeight="1">
      <c r="AE635" s="283"/>
    </row>
    <row r="636" ht="15.75" customHeight="1">
      <c r="AE636" s="283"/>
    </row>
    <row r="637" ht="15.75" customHeight="1">
      <c r="AE637" s="283"/>
    </row>
    <row r="638" ht="15.75" customHeight="1">
      <c r="AE638" s="283"/>
    </row>
    <row r="639" ht="15.75" customHeight="1">
      <c r="AE639" s="283"/>
    </row>
    <row r="640" ht="15.75" customHeight="1">
      <c r="AE640" s="283"/>
    </row>
    <row r="641" ht="15.75" customHeight="1">
      <c r="AE641" s="283"/>
    </row>
    <row r="642" ht="15.75" customHeight="1">
      <c r="AE642" s="283"/>
    </row>
    <row r="643" ht="15.75" customHeight="1">
      <c r="AE643" s="283"/>
    </row>
    <row r="644" ht="15.75" customHeight="1">
      <c r="AE644" s="283"/>
    </row>
    <row r="645" ht="15.75" customHeight="1">
      <c r="AE645" s="283"/>
    </row>
    <row r="646" ht="15.75" customHeight="1">
      <c r="AE646" s="283"/>
    </row>
    <row r="647" ht="15.75" customHeight="1">
      <c r="AE647" s="283"/>
    </row>
    <row r="648" ht="15.75" customHeight="1">
      <c r="AE648" s="283"/>
    </row>
    <row r="649" ht="15.75" customHeight="1">
      <c r="AE649" s="283"/>
    </row>
    <row r="650" ht="15.75" customHeight="1">
      <c r="AE650" s="283"/>
    </row>
    <row r="651" ht="15.75" customHeight="1">
      <c r="AE651" s="283"/>
    </row>
    <row r="652" ht="15.75" customHeight="1">
      <c r="AE652" s="283"/>
    </row>
    <row r="653" ht="15.75" customHeight="1">
      <c r="AE653" s="283"/>
    </row>
    <row r="654" ht="15.75" customHeight="1">
      <c r="AE654" s="283"/>
    </row>
    <row r="655" ht="15.75" customHeight="1">
      <c r="AE655" s="283"/>
    </row>
    <row r="656" ht="15.75" customHeight="1">
      <c r="AE656" s="283"/>
    </row>
    <row r="657" ht="15.75" customHeight="1">
      <c r="AE657" s="283"/>
    </row>
    <row r="658" ht="15.75" customHeight="1">
      <c r="AE658" s="283"/>
    </row>
    <row r="659" ht="15.75" customHeight="1">
      <c r="AE659" s="283"/>
    </row>
    <row r="660" ht="15.75" customHeight="1">
      <c r="AE660" s="283"/>
    </row>
    <row r="661" ht="15.75" customHeight="1">
      <c r="AE661" s="283"/>
    </row>
    <row r="662" ht="15.75" customHeight="1">
      <c r="AE662" s="283"/>
    </row>
    <row r="663" ht="15.75" customHeight="1">
      <c r="AE663" s="283"/>
    </row>
    <row r="664" ht="15.75" customHeight="1">
      <c r="AE664" s="283"/>
    </row>
    <row r="665" ht="15.75" customHeight="1">
      <c r="AE665" s="283"/>
    </row>
    <row r="666" ht="15.75" customHeight="1">
      <c r="AE666" s="283"/>
    </row>
    <row r="667" ht="15.75" customHeight="1">
      <c r="AE667" s="283"/>
    </row>
    <row r="668" ht="15.75" customHeight="1">
      <c r="AE668" s="283"/>
    </row>
    <row r="669" ht="15.75" customHeight="1">
      <c r="AE669" s="283"/>
    </row>
    <row r="670" ht="15.75" customHeight="1">
      <c r="AE670" s="283"/>
    </row>
    <row r="671" ht="15.75" customHeight="1">
      <c r="AE671" s="283"/>
    </row>
    <row r="672" ht="15.75" customHeight="1">
      <c r="AE672" s="283"/>
    </row>
    <row r="673" ht="15.75" customHeight="1">
      <c r="AE673" s="283"/>
    </row>
    <row r="674" ht="15.75" customHeight="1">
      <c r="AE674" s="283"/>
    </row>
    <row r="675" ht="15.75" customHeight="1">
      <c r="AE675" s="283"/>
    </row>
    <row r="676" ht="15.75" customHeight="1">
      <c r="AE676" s="283"/>
    </row>
    <row r="677" ht="15.75" customHeight="1">
      <c r="AE677" s="283"/>
    </row>
    <row r="678" ht="15.75" customHeight="1">
      <c r="AE678" s="283"/>
    </row>
    <row r="679" ht="15.75" customHeight="1">
      <c r="AE679" s="283"/>
    </row>
    <row r="680" ht="15.75" customHeight="1">
      <c r="AE680" s="283"/>
    </row>
    <row r="681" ht="15.75" customHeight="1">
      <c r="AE681" s="283"/>
    </row>
    <row r="682" ht="15.75" customHeight="1">
      <c r="AE682" s="283"/>
    </row>
    <row r="683" ht="15.75" customHeight="1">
      <c r="AE683" s="283"/>
    </row>
    <row r="684" ht="15.75" customHeight="1">
      <c r="AE684" s="283"/>
    </row>
    <row r="685" ht="15.75" customHeight="1">
      <c r="AE685" s="283"/>
    </row>
    <row r="686" ht="15.75" customHeight="1">
      <c r="AE686" s="283"/>
    </row>
    <row r="687" ht="15.75" customHeight="1">
      <c r="AE687" s="283"/>
    </row>
    <row r="688" ht="15.75" customHeight="1">
      <c r="AE688" s="283"/>
    </row>
    <row r="689" ht="15.75" customHeight="1">
      <c r="AE689" s="283"/>
    </row>
    <row r="690" ht="15.75" customHeight="1">
      <c r="AE690" s="283"/>
    </row>
    <row r="691" ht="15.75" customHeight="1">
      <c r="AE691" s="283"/>
    </row>
    <row r="692" ht="15.75" customHeight="1">
      <c r="AE692" s="283"/>
    </row>
    <row r="693" ht="15.75" customHeight="1">
      <c r="AE693" s="283"/>
    </row>
    <row r="694" ht="15.75" customHeight="1">
      <c r="AE694" s="283"/>
    </row>
    <row r="695" ht="15.75" customHeight="1">
      <c r="AE695" s="283"/>
    </row>
    <row r="696" ht="15.75" customHeight="1">
      <c r="AE696" s="283"/>
    </row>
    <row r="697" ht="15.75" customHeight="1">
      <c r="AE697" s="283"/>
    </row>
    <row r="698" ht="15.75" customHeight="1">
      <c r="AE698" s="283"/>
    </row>
    <row r="699" ht="15.75" customHeight="1">
      <c r="AE699" s="283"/>
    </row>
    <row r="700" ht="15.75" customHeight="1">
      <c r="AE700" s="283"/>
    </row>
    <row r="701" ht="15.75" customHeight="1">
      <c r="AE701" s="283"/>
    </row>
    <row r="702" ht="15.75" customHeight="1">
      <c r="AE702" s="283"/>
    </row>
    <row r="703" ht="15.75" customHeight="1">
      <c r="AE703" s="283"/>
    </row>
    <row r="704" ht="15.75" customHeight="1">
      <c r="AE704" s="283"/>
    </row>
    <row r="705" ht="15.75" customHeight="1">
      <c r="AE705" s="283"/>
    </row>
    <row r="706" ht="15.75" customHeight="1">
      <c r="AE706" s="283"/>
    </row>
    <row r="707" ht="15.75" customHeight="1">
      <c r="AE707" s="283"/>
    </row>
    <row r="708" ht="15.75" customHeight="1">
      <c r="AE708" s="283"/>
    </row>
    <row r="709" ht="15.75" customHeight="1">
      <c r="AE709" s="283"/>
    </row>
    <row r="710" ht="15.75" customHeight="1">
      <c r="AE710" s="283"/>
    </row>
    <row r="711" ht="15.75" customHeight="1">
      <c r="AE711" s="283"/>
    </row>
    <row r="712" ht="15.75" customHeight="1">
      <c r="AE712" s="283"/>
    </row>
    <row r="713" ht="15.75" customHeight="1">
      <c r="AE713" s="283"/>
    </row>
    <row r="714" ht="15.75" customHeight="1">
      <c r="AE714" s="283"/>
    </row>
    <row r="715" ht="15.75" customHeight="1">
      <c r="AE715" s="283"/>
    </row>
    <row r="716" ht="15.75" customHeight="1">
      <c r="AE716" s="283"/>
    </row>
    <row r="717" ht="15.75" customHeight="1">
      <c r="AE717" s="283"/>
    </row>
    <row r="718" ht="15.75" customHeight="1">
      <c r="AE718" s="283"/>
    </row>
    <row r="719" ht="15.75" customHeight="1">
      <c r="AE719" s="283"/>
    </row>
    <row r="720" ht="15.75" customHeight="1">
      <c r="AE720" s="283"/>
    </row>
    <row r="721" ht="15.75" customHeight="1">
      <c r="AE721" s="283"/>
    </row>
    <row r="722" ht="15.75" customHeight="1">
      <c r="AE722" s="283"/>
    </row>
    <row r="723" ht="15.75" customHeight="1">
      <c r="AE723" s="283"/>
    </row>
    <row r="724" ht="15.75" customHeight="1">
      <c r="AE724" s="283"/>
    </row>
    <row r="725" ht="15.75" customHeight="1">
      <c r="AE725" s="283"/>
    </row>
    <row r="726" ht="15.75" customHeight="1">
      <c r="AE726" s="283"/>
    </row>
    <row r="727" ht="15.75" customHeight="1">
      <c r="AE727" s="283"/>
    </row>
    <row r="728" ht="15.75" customHeight="1">
      <c r="AE728" s="283"/>
    </row>
    <row r="729" ht="15.75" customHeight="1">
      <c r="AE729" s="283"/>
    </row>
    <row r="730" ht="15.75" customHeight="1">
      <c r="AE730" s="283"/>
    </row>
    <row r="731" ht="15.75" customHeight="1">
      <c r="AE731" s="283"/>
    </row>
    <row r="732" ht="15.75" customHeight="1">
      <c r="AE732" s="283"/>
    </row>
    <row r="733" ht="15.75" customHeight="1">
      <c r="AE733" s="283"/>
    </row>
    <row r="734" ht="15.75" customHeight="1">
      <c r="AE734" s="283"/>
    </row>
    <row r="735" ht="15.75" customHeight="1">
      <c r="AE735" s="283"/>
    </row>
    <row r="736" ht="15.75" customHeight="1">
      <c r="AE736" s="283"/>
    </row>
    <row r="737" ht="15.75" customHeight="1">
      <c r="AE737" s="283"/>
    </row>
    <row r="738" ht="15.75" customHeight="1">
      <c r="AE738" s="283"/>
    </row>
    <row r="739" ht="15.75" customHeight="1">
      <c r="AE739" s="283"/>
    </row>
    <row r="740" ht="15.75" customHeight="1">
      <c r="AE740" s="283"/>
    </row>
    <row r="741" ht="15.75" customHeight="1">
      <c r="AE741" s="283"/>
    </row>
    <row r="742" ht="15.75" customHeight="1">
      <c r="AE742" s="283"/>
    </row>
    <row r="743" ht="15.75" customHeight="1">
      <c r="AE743" s="283"/>
    </row>
    <row r="744" ht="15.75" customHeight="1">
      <c r="AE744" s="283"/>
    </row>
    <row r="745" ht="15.75" customHeight="1">
      <c r="AE745" s="283"/>
    </row>
    <row r="746" ht="15.75" customHeight="1">
      <c r="AE746" s="283"/>
    </row>
    <row r="747" ht="15.75" customHeight="1">
      <c r="AE747" s="283"/>
    </row>
    <row r="748" ht="15.75" customHeight="1">
      <c r="AE748" s="283"/>
    </row>
    <row r="749" ht="15.75" customHeight="1">
      <c r="AE749" s="283"/>
    </row>
    <row r="750" ht="15.75" customHeight="1">
      <c r="AE750" s="283"/>
    </row>
    <row r="751" ht="15.75" customHeight="1">
      <c r="AE751" s="283"/>
    </row>
    <row r="752" ht="15.75" customHeight="1">
      <c r="AE752" s="283"/>
    </row>
    <row r="753" ht="15.75" customHeight="1">
      <c r="AE753" s="283"/>
    </row>
    <row r="754" ht="15.75" customHeight="1">
      <c r="AE754" s="283"/>
    </row>
    <row r="755" ht="15.75" customHeight="1">
      <c r="AE755" s="283"/>
    </row>
    <row r="756" ht="15.75" customHeight="1">
      <c r="AE756" s="283"/>
    </row>
    <row r="757" ht="15.75" customHeight="1">
      <c r="AE757" s="283"/>
    </row>
    <row r="758" ht="15.75" customHeight="1">
      <c r="AE758" s="283"/>
    </row>
    <row r="759" ht="15.75" customHeight="1">
      <c r="AE759" s="283"/>
    </row>
    <row r="760" ht="15.75" customHeight="1">
      <c r="AE760" s="283"/>
    </row>
    <row r="761" ht="15.75" customHeight="1">
      <c r="AE761" s="283"/>
    </row>
    <row r="762" ht="15.75" customHeight="1">
      <c r="AE762" s="283"/>
    </row>
    <row r="763" ht="15.75" customHeight="1">
      <c r="AE763" s="283"/>
    </row>
    <row r="764" ht="15.75" customHeight="1">
      <c r="AE764" s="283"/>
    </row>
    <row r="765" ht="15.75" customHeight="1">
      <c r="AE765" s="283"/>
    </row>
    <row r="766" ht="15.75" customHeight="1">
      <c r="AE766" s="283"/>
    </row>
    <row r="767" ht="15.75" customHeight="1">
      <c r="AE767" s="283"/>
    </row>
    <row r="768" ht="15.75" customHeight="1">
      <c r="AE768" s="283"/>
    </row>
    <row r="769" ht="15.75" customHeight="1">
      <c r="AE769" s="283"/>
    </row>
    <row r="770" ht="15.75" customHeight="1">
      <c r="AE770" s="283"/>
    </row>
    <row r="771" ht="15.75" customHeight="1">
      <c r="AE771" s="283"/>
    </row>
    <row r="772" ht="15.75" customHeight="1">
      <c r="AE772" s="283"/>
    </row>
    <row r="773" ht="15.75" customHeight="1">
      <c r="AE773" s="283"/>
    </row>
    <row r="774" ht="15.75" customHeight="1">
      <c r="AE774" s="283"/>
    </row>
    <row r="775" ht="15.75" customHeight="1">
      <c r="AE775" s="283"/>
    </row>
    <row r="776" ht="15.75" customHeight="1">
      <c r="AE776" s="283"/>
    </row>
    <row r="777" ht="15.75" customHeight="1">
      <c r="AE777" s="283"/>
    </row>
    <row r="778" ht="15.75" customHeight="1">
      <c r="AE778" s="283"/>
    </row>
    <row r="779" ht="15.75" customHeight="1">
      <c r="AE779" s="283"/>
    </row>
    <row r="780" ht="15.75" customHeight="1">
      <c r="AE780" s="283"/>
    </row>
    <row r="781" ht="15.75" customHeight="1">
      <c r="AE781" s="283"/>
    </row>
    <row r="782" ht="15.75" customHeight="1">
      <c r="AE782" s="283"/>
    </row>
    <row r="783" ht="15.75" customHeight="1">
      <c r="AE783" s="283"/>
    </row>
    <row r="784" ht="15.75" customHeight="1">
      <c r="AE784" s="283"/>
    </row>
    <row r="785" ht="15.75" customHeight="1">
      <c r="AE785" s="283"/>
    </row>
    <row r="786" ht="15.75" customHeight="1">
      <c r="AE786" s="283"/>
    </row>
    <row r="787" ht="15.75" customHeight="1">
      <c r="AE787" s="283"/>
    </row>
    <row r="788" ht="15.75" customHeight="1">
      <c r="AE788" s="283"/>
    </row>
    <row r="789" ht="15.75" customHeight="1">
      <c r="AE789" s="283"/>
    </row>
    <row r="790" ht="15.75" customHeight="1">
      <c r="AE790" s="283"/>
    </row>
    <row r="791" ht="15.75" customHeight="1">
      <c r="AE791" s="283"/>
    </row>
    <row r="792" ht="15.75" customHeight="1">
      <c r="AE792" s="283"/>
    </row>
    <row r="793" ht="15.75" customHeight="1">
      <c r="AE793" s="283"/>
    </row>
    <row r="794" ht="15.75" customHeight="1">
      <c r="AE794" s="283"/>
    </row>
    <row r="795" ht="15.75" customHeight="1">
      <c r="AE795" s="283"/>
    </row>
    <row r="796" ht="15.75" customHeight="1">
      <c r="AE796" s="283"/>
    </row>
    <row r="797" ht="15.75" customHeight="1">
      <c r="AE797" s="283"/>
    </row>
    <row r="798" ht="15.75" customHeight="1">
      <c r="AE798" s="283"/>
    </row>
    <row r="799" ht="15.75" customHeight="1">
      <c r="AE799" s="283"/>
    </row>
    <row r="800" ht="15.75" customHeight="1">
      <c r="AE800" s="283"/>
    </row>
    <row r="801" ht="15.75" customHeight="1">
      <c r="AE801" s="283"/>
    </row>
    <row r="802" ht="15.75" customHeight="1">
      <c r="AE802" s="283"/>
    </row>
    <row r="803" ht="15.75" customHeight="1">
      <c r="AE803" s="283"/>
    </row>
    <row r="804" ht="15.75" customHeight="1">
      <c r="AE804" s="283"/>
    </row>
    <row r="805" ht="15.75" customHeight="1">
      <c r="AE805" s="283"/>
    </row>
    <row r="806" ht="15.75" customHeight="1">
      <c r="AE806" s="283"/>
    </row>
    <row r="807" ht="15.75" customHeight="1">
      <c r="AE807" s="283"/>
    </row>
    <row r="808" ht="15.75" customHeight="1">
      <c r="AE808" s="283"/>
    </row>
    <row r="809" ht="15.75" customHeight="1">
      <c r="AE809" s="283"/>
    </row>
    <row r="810" ht="15.75" customHeight="1">
      <c r="AE810" s="283"/>
    </row>
    <row r="811" ht="15.75" customHeight="1">
      <c r="AE811" s="283"/>
    </row>
    <row r="812" ht="15.75" customHeight="1">
      <c r="AE812" s="283"/>
    </row>
    <row r="813" ht="15.75" customHeight="1">
      <c r="AE813" s="283"/>
    </row>
    <row r="814" ht="15.75" customHeight="1">
      <c r="AE814" s="283"/>
    </row>
    <row r="815" ht="15.75" customHeight="1">
      <c r="AE815" s="283"/>
    </row>
    <row r="816" ht="15.75" customHeight="1">
      <c r="AE816" s="283"/>
    </row>
    <row r="817" ht="15.75" customHeight="1">
      <c r="AE817" s="283"/>
    </row>
    <row r="818" ht="15.75" customHeight="1">
      <c r="AE818" s="283"/>
    </row>
    <row r="819" ht="15.75" customHeight="1">
      <c r="AE819" s="283"/>
    </row>
    <row r="820" ht="15.75" customHeight="1">
      <c r="AE820" s="283"/>
    </row>
    <row r="821" ht="15.75" customHeight="1">
      <c r="AE821" s="283"/>
    </row>
    <row r="822" ht="15.75" customHeight="1">
      <c r="AE822" s="283"/>
    </row>
    <row r="823" ht="15.75" customHeight="1">
      <c r="AE823" s="283"/>
    </row>
    <row r="824" ht="15.75" customHeight="1">
      <c r="AE824" s="283"/>
    </row>
    <row r="825" ht="15.75" customHeight="1">
      <c r="AE825" s="283"/>
    </row>
    <row r="826" ht="15.75" customHeight="1">
      <c r="AE826" s="283"/>
    </row>
    <row r="827" ht="15.75" customHeight="1">
      <c r="AE827" s="283"/>
    </row>
    <row r="828" ht="15.75" customHeight="1">
      <c r="AE828" s="283"/>
    </row>
    <row r="829" ht="15.75" customHeight="1">
      <c r="AE829" s="283"/>
    </row>
    <row r="830" ht="15.75" customHeight="1">
      <c r="AE830" s="283"/>
    </row>
    <row r="831" ht="15.75" customHeight="1">
      <c r="AE831" s="283"/>
    </row>
    <row r="832" ht="15.75" customHeight="1">
      <c r="AE832" s="283"/>
    </row>
    <row r="833" ht="15.75" customHeight="1">
      <c r="AE833" s="283"/>
    </row>
    <row r="834" ht="15.75" customHeight="1">
      <c r="AE834" s="283"/>
    </row>
    <row r="835" ht="15.75" customHeight="1">
      <c r="AE835" s="283"/>
    </row>
    <row r="836" ht="15.75" customHeight="1">
      <c r="AE836" s="283"/>
    </row>
    <row r="837" ht="15.75" customHeight="1">
      <c r="AE837" s="283"/>
    </row>
    <row r="838" ht="15.75" customHeight="1">
      <c r="AE838" s="283"/>
    </row>
    <row r="839" ht="15.75" customHeight="1">
      <c r="AE839" s="283"/>
    </row>
    <row r="840" ht="15.75" customHeight="1">
      <c r="AE840" s="283"/>
    </row>
    <row r="841" ht="15.75" customHeight="1">
      <c r="AE841" s="283"/>
    </row>
    <row r="842" ht="15.75" customHeight="1">
      <c r="AE842" s="283"/>
    </row>
    <row r="843" ht="15.75" customHeight="1">
      <c r="AE843" s="283"/>
    </row>
    <row r="844" ht="15.75" customHeight="1">
      <c r="AE844" s="283"/>
    </row>
    <row r="845" ht="15.75" customHeight="1">
      <c r="AE845" s="283"/>
    </row>
    <row r="846" ht="15.75" customHeight="1">
      <c r="AE846" s="283"/>
    </row>
    <row r="847" ht="15.75" customHeight="1">
      <c r="AE847" s="283"/>
    </row>
    <row r="848" ht="15.75" customHeight="1">
      <c r="AE848" s="283"/>
    </row>
    <row r="849" ht="15.75" customHeight="1">
      <c r="AE849" s="283"/>
    </row>
    <row r="850" ht="15.75" customHeight="1">
      <c r="AE850" s="283"/>
    </row>
    <row r="851" ht="15.75" customHeight="1">
      <c r="AE851" s="283"/>
    </row>
    <row r="852" ht="15.75" customHeight="1">
      <c r="AE852" s="283"/>
    </row>
    <row r="853" ht="15.75" customHeight="1">
      <c r="AE853" s="283"/>
    </row>
    <row r="854" ht="15.75" customHeight="1">
      <c r="AE854" s="283"/>
    </row>
    <row r="855" ht="15.75" customHeight="1">
      <c r="AE855" s="283"/>
    </row>
    <row r="856" ht="15.75" customHeight="1">
      <c r="AE856" s="283"/>
    </row>
    <row r="857" ht="15.75" customHeight="1">
      <c r="AE857" s="283"/>
    </row>
    <row r="858" ht="15.75" customHeight="1">
      <c r="AE858" s="283"/>
    </row>
    <row r="859" ht="15.75" customHeight="1">
      <c r="AE859" s="283"/>
    </row>
    <row r="860" ht="15.75" customHeight="1">
      <c r="AE860" s="283"/>
    </row>
    <row r="861" ht="15.75" customHeight="1">
      <c r="AE861" s="283"/>
    </row>
    <row r="862" ht="15.75" customHeight="1">
      <c r="AE862" s="283"/>
    </row>
    <row r="863" ht="15.75" customHeight="1">
      <c r="AE863" s="283"/>
    </row>
    <row r="864" ht="15.75" customHeight="1">
      <c r="AE864" s="283"/>
    </row>
    <row r="865" ht="15.75" customHeight="1">
      <c r="AE865" s="283"/>
    </row>
    <row r="866" ht="15.75" customHeight="1">
      <c r="AE866" s="283"/>
    </row>
    <row r="867" ht="15.75" customHeight="1">
      <c r="AE867" s="283"/>
    </row>
    <row r="868" ht="15.75" customHeight="1">
      <c r="AE868" s="283"/>
    </row>
    <row r="869" ht="15.75" customHeight="1">
      <c r="AE869" s="283"/>
    </row>
    <row r="870" ht="15.75" customHeight="1">
      <c r="AE870" s="283"/>
    </row>
    <row r="871" ht="15.75" customHeight="1">
      <c r="AE871" s="283"/>
    </row>
    <row r="872" ht="15.75" customHeight="1">
      <c r="AE872" s="283"/>
    </row>
    <row r="873" ht="15.75" customHeight="1">
      <c r="AE873" s="283"/>
    </row>
    <row r="874" ht="15.75" customHeight="1">
      <c r="AE874" s="283"/>
    </row>
    <row r="875" ht="15.75" customHeight="1">
      <c r="AE875" s="283"/>
    </row>
    <row r="876" ht="15.75" customHeight="1">
      <c r="AE876" s="283"/>
    </row>
    <row r="877" ht="15.75" customHeight="1">
      <c r="AE877" s="283"/>
    </row>
    <row r="878" ht="15.75" customHeight="1">
      <c r="AE878" s="283"/>
    </row>
    <row r="879" ht="15.75" customHeight="1">
      <c r="AE879" s="283"/>
    </row>
    <row r="880" ht="15.75" customHeight="1">
      <c r="AE880" s="283"/>
    </row>
    <row r="881" ht="15.75" customHeight="1">
      <c r="AE881" s="283"/>
    </row>
    <row r="882" ht="15.75" customHeight="1">
      <c r="AE882" s="283"/>
    </row>
    <row r="883" ht="15.75" customHeight="1">
      <c r="AE883" s="283"/>
    </row>
    <row r="884" ht="15.75" customHeight="1">
      <c r="AE884" s="283"/>
    </row>
    <row r="885" ht="15.75" customHeight="1">
      <c r="AE885" s="283"/>
    </row>
    <row r="886" ht="15.75" customHeight="1">
      <c r="AE886" s="283"/>
    </row>
    <row r="887" ht="15.75" customHeight="1">
      <c r="AE887" s="283"/>
    </row>
    <row r="888" ht="15.75" customHeight="1">
      <c r="AE888" s="283"/>
    </row>
    <row r="889" ht="15.75" customHeight="1">
      <c r="AE889" s="283"/>
    </row>
    <row r="890" ht="15.75" customHeight="1">
      <c r="AE890" s="283"/>
    </row>
    <row r="891" ht="15.75" customHeight="1">
      <c r="AE891" s="283"/>
    </row>
    <row r="892" ht="15.75" customHeight="1">
      <c r="AE892" s="283"/>
    </row>
    <row r="893" ht="15.75" customHeight="1">
      <c r="AE893" s="283"/>
    </row>
    <row r="894" ht="15.75" customHeight="1">
      <c r="AE894" s="283"/>
    </row>
    <row r="895" ht="15.75" customHeight="1">
      <c r="AE895" s="283"/>
    </row>
    <row r="896" ht="15.75" customHeight="1">
      <c r="AE896" s="283"/>
    </row>
    <row r="897" ht="15.75" customHeight="1">
      <c r="AE897" s="283"/>
    </row>
    <row r="898" ht="15.75" customHeight="1">
      <c r="AE898" s="283"/>
    </row>
    <row r="899" ht="15.75" customHeight="1">
      <c r="AE899" s="283"/>
    </row>
    <row r="900" ht="15.75" customHeight="1">
      <c r="AE900" s="283"/>
    </row>
    <row r="901" ht="15.75" customHeight="1">
      <c r="AE901" s="283"/>
    </row>
    <row r="902" ht="15.75" customHeight="1">
      <c r="AE902" s="283"/>
    </row>
    <row r="903" ht="15.75" customHeight="1">
      <c r="AE903" s="283"/>
    </row>
    <row r="904" ht="15.75" customHeight="1">
      <c r="AE904" s="283"/>
    </row>
    <row r="905" ht="15.75" customHeight="1">
      <c r="AE905" s="283"/>
    </row>
    <row r="906" ht="15.75" customHeight="1">
      <c r="AE906" s="283"/>
    </row>
    <row r="907" ht="15.75" customHeight="1">
      <c r="AE907" s="283"/>
    </row>
    <row r="908" ht="15.75" customHeight="1">
      <c r="AE908" s="283"/>
    </row>
    <row r="909" ht="15.75" customHeight="1">
      <c r="AE909" s="283"/>
    </row>
    <row r="910" ht="15.75" customHeight="1">
      <c r="AE910" s="283"/>
    </row>
    <row r="911" ht="15.75" customHeight="1">
      <c r="AE911" s="283"/>
    </row>
    <row r="912" ht="15.75" customHeight="1">
      <c r="AE912" s="283"/>
    </row>
    <row r="913" ht="15.75" customHeight="1">
      <c r="AE913" s="283"/>
    </row>
    <row r="914" ht="15.75" customHeight="1">
      <c r="AE914" s="283"/>
    </row>
    <row r="915" ht="15.75" customHeight="1">
      <c r="AE915" s="283"/>
    </row>
    <row r="916" ht="15.75" customHeight="1">
      <c r="AE916" s="283"/>
    </row>
    <row r="917" ht="15.75" customHeight="1">
      <c r="AE917" s="283"/>
    </row>
    <row r="918" ht="15.75" customHeight="1">
      <c r="AE918" s="283"/>
    </row>
    <row r="919" ht="15.75" customHeight="1">
      <c r="AE919" s="283"/>
    </row>
    <row r="920" ht="15.75" customHeight="1">
      <c r="AE920" s="283"/>
    </row>
    <row r="921" ht="15.75" customHeight="1">
      <c r="AE921" s="283"/>
    </row>
    <row r="922" ht="15.75" customHeight="1">
      <c r="AE922" s="283"/>
    </row>
    <row r="923" ht="15.75" customHeight="1">
      <c r="AE923" s="283"/>
    </row>
    <row r="924" ht="15.75" customHeight="1">
      <c r="AE924" s="283"/>
    </row>
    <row r="925" ht="15.75" customHeight="1">
      <c r="AE925" s="283"/>
    </row>
    <row r="926" ht="15.75" customHeight="1">
      <c r="AE926" s="283"/>
    </row>
    <row r="927" ht="15.75" customHeight="1">
      <c r="AE927" s="283"/>
    </row>
    <row r="928" ht="15.75" customHeight="1">
      <c r="AE928" s="283"/>
    </row>
    <row r="929" ht="15.75" customHeight="1">
      <c r="AE929" s="283"/>
    </row>
    <row r="930" ht="15.75" customHeight="1">
      <c r="AE930" s="283"/>
    </row>
    <row r="931" ht="15.75" customHeight="1">
      <c r="AE931" s="283"/>
    </row>
    <row r="932" ht="15.75" customHeight="1">
      <c r="AE932" s="283"/>
    </row>
    <row r="933" ht="15.75" customHeight="1">
      <c r="AE933" s="283"/>
    </row>
    <row r="934" ht="15.75" customHeight="1">
      <c r="AE934" s="283"/>
    </row>
    <row r="935" ht="15.75" customHeight="1">
      <c r="AE935" s="283"/>
    </row>
    <row r="936" ht="15.75" customHeight="1">
      <c r="AE936" s="283"/>
    </row>
    <row r="937" ht="15.75" customHeight="1">
      <c r="AE937" s="283"/>
    </row>
    <row r="938" ht="15.75" customHeight="1">
      <c r="AE938" s="283"/>
    </row>
    <row r="939" ht="15.75" customHeight="1">
      <c r="AE939" s="283"/>
    </row>
    <row r="940" ht="15.75" customHeight="1">
      <c r="AE940" s="283"/>
    </row>
    <row r="941" ht="15.75" customHeight="1">
      <c r="AE941" s="283"/>
    </row>
    <row r="942" ht="15.75" customHeight="1">
      <c r="AE942" s="283"/>
    </row>
    <row r="943" ht="15.75" customHeight="1">
      <c r="AE943" s="283"/>
    </row>
    <row r="944" ht="15.75" customHeight="1">
      <c r="AE944" s="283"/>
    </row>
    <row r="945" ht="15.75" customHeight="1">
      <c r="AE945" s="283"/>
    </row>
    <row r="946" ht="15.75" customHeight="1">
      <c r="AE946" s="283"/>
    </row>
    <row r="947" ht="15.75" customHeight="1">
      <c r="AE947" s="283"/>
    </row>
    <row r="948" ht="15.75" customHeight="1">
      <c r="AE948" s="283"/>
    </row>
    <row r="949" ht="15.75" customHeight="1">
      <c r="AE949" s="283"/>
    </row>
    <row r="950" ht="15.75" customHeight="1">
      <c r="AE950" s="283"/>
    </row>
    <row r="951" ht="15.75" customHeight="1">
      <c r="AE951" s="283"/>
    </row>
    <row r="952" ht="15.75" customHeight="1">
      <c r="AE952" s="283"/>
    </row>
    <row r="953" ht="15.75" customHeight="1">
      <c r="AE953" s="283"/>
    </row>
    <row r="954" ht="15.75" customHeight="1">
      <c r="AE954" s="283"/>
    </row>
    <row r="955" ht="15.75" customHeight="1">
      <c r="AE955" s="283"/>
    </row>
    <row r="956" ht="15.75" customHeight="1">
      <c r="AE956" s="283"/>
    </row>
    <row r="957" ht="15.75" customHeight="1">
      <c r="AE957" s="283"/>
    </row>
    <row r="958" ht="15.75" customHeight="1">
      <c r="AE958" s="283"/>
    </row>
    <row r="959" ht="15.75" customHeight="1">
      <c r="AE959" s="283"/>
    </row>
    <row r="960" ht="15.75" customHeight="1">
      <c r="AE960" s="283"/>
    </row>
    <row r="961" ht="15.75" customHeight="1">
      <c r="AE961" s="283"/>
    </row>
    <row r="962" ht="15.75" customHeight="1">
      <c r="AE962" s="283"/>
    </row>
    <row r="963" ht="15.75" customHeight="1">
      <c r="AE963" s="283"/>
    </row>
    <row r="964" ht="15.75" customHeight="1">
      <c r="AE964" s="283"/>
    </row>
    <row r="965" ht="15.75" customHeight="1">
      <c r="AE965" s="283"/>
    </row>
    <row r="966" ht="15.75" customHeight="1">
      <c r="AE966" s="283"/>
    </row>
    <row r="967" ht="15.75" customHeight="1">
      <c r="AE967" s="283"/>
    </row>
    <row r="968" ht="15.75" customHeight="1">
      <c r="AE968" s="283"/>
    </row>
    <row r="969" ht="15.75" customHeight="1">
      <c r="AE969" s="283"/>
    </row>
    <row r="970" ht="15.75" customHeight="1">
      <c r="AE970" s="283"/>
    </row>
    <row r="971" ht="15.75" customHeight="1">
      <c r="AE971" s="283"/>
    </row>
    <row r="972" ht="15.75" customHeight="1">
      <c r="AE972" s="283"/>
    </row>
    <row r="973" ht="15.75" customHeight="1">
      <c r="AE973" s="283"/>
    </row>
    <row r="974" ht="15.75" customHeight="1">
      <c r="AE974" s="283"/>
    </row>
    <row r="975" ht="15.75" customHeight="1">
      <c r="AE975" s="283"/>
    </row>
    <row r="976" ht="15.75" customHeight="1">
      <c r="AE976" s="283"/>
    </row>
    <row r="977" ht="15.75" customHeight="1">
      <c r="AE977" s="283"/>
    </row>
    <row r="978" ht="15.75" customHeight="1">
      <c r="AE978" s="283"/>
    </row>
    <row r="979" ht="15.75" customHeight="1">
      <c r="AE979" s="283"/>
    </row>
    <row r="980" ht="15.75" customHeight="1">
      <c r="AE980" s="283"/>
    </row>
    <row r="981" ht="15.75" customHeight="1">
      <c r="AE981" s="283"/>
    </row>
    <row r="982" ht="15.75" customHeight="1">
      <c r="AE982" s="283"/>
    </row>
    <row r="983" ht="15.75" customHeight="1">
      <c r="AE983" s="283"/>
    </row>
    <row r="984" ht="15.75" customHeight="1">
      <c r="AE984" s="283"/>
    </row>
    <row r="985" ht="15.75" customHeight="1">
      <c r="AE985" s="283"/>
    </row>
    <row r="986" ht="15.75" customHeight="1">
      <c r="AE986" s="283"/>
    </row>
    <row r="987" ht="15.75" customHeight="1">
      <c r="AE987" s="283"/>
    </row>
    <row r="988" ht="15.75" customHeight="1">
      <c r="AE988" s="283"/>
    </row>
    <row r="989" ht="15.75" customHeight="1">
      <c r="AE989" s="283"/>
    </row>
    <row r="990" ht="15.75" customHeight="1">
      <c r="AE990" s="283"/>
    </row>
    <row r="991" ht="15.75" customHeight="1">
      <c r="AE991" s="283"/>
    </row>
    <row r="992" ht="15.75" customHeight="1">
      <c r="AE992" s="283"/>
    </row>
    <row r="993" ht="15.75" customHeight="1">
      <c r="AE993" s="283"/>
    </row>
    <row r="994" ht="15.75" customHeight="1">
      <c r="AE994" s="283"/>
    </row>
    <row r="995" ht="15.75" customHeight="1">
      <c r="AE995" s="283"/>
    </row>
    <row r="996" ht="15.75" customHeight="1">
      <c r="AE996" s="283"/>
    </row>
    <row r="997" ht="15.75" customHeight="1">
      <c r="AE997" s="283"/>
    </row>
    <row r="998" ht="15.75" customHeight="1">
      <c r="AE998" s="283"/>
    </row>
    <row r="999" ht="15.75" customHeight="1">
      <c r="AE999" s="283"/>
    </row>
    <row r="1000" ht="15.75" customHeight="1">
      <c r="AE1000" s="283"/>
    </row>
    <row r="1001" ht="15.75" customHeight="1">
      <c r="AE1001" s="283"/>
    </row>
    <row r="1002" ht="15.75" customHeight="1">
      <c r="AE1002" s="283"/>
    </row>
    <row r="1003" ht="15.75" customHeight="1">
      <c r="AE1003" s="283"/>
    </row>
    <row r="1004" ht="15.75" customHeight="1">
      <c r="AE1004" s="283"/>
    </row>
    <row r="1005" ht="15.75" customHeight="1">
      <c r="AE1005" s="283"/>
    </row>
    <row r="1006" ht="15.75" customHeight="1">
      <c r="AE1006" s="283"/>
    </row>
    <row r="1007" ht="15.75" customHeight="1">
      <c r="AE1007" s="283"/>
    </row>
    <row r="1008" ht="15.75" customHeight="1">
      <c r="AE1008" s="283"/>
    </row>
    <row r="1009" ht="15.75" customHeight="1">
      <c r="AE1009" s="283"/>
    </row>
    <row r="1010" ht="15.75" customHeight="1">
      <c r="AE1010" s="283"/>
    </row>
    <row r="1011" ht="15.75" customHeight="1">
      <c r="AE1011" s="283"/>
    </row>
    <row r="1012" ht="15.75" customHeight="1">
      <c r="AE1012" s="283"/>
    </row>
    <row r="1013" ht="15.75" customHeight="1">
      <c r="AE1013" s="283"/>
    </row>
    <row r="1014" ht="15.75" customHeight="1">
      <c r="AE1014" s="283"/>
    </row>
    <row r="1015" ht="15.75" customHeight="1">
      <c r="AE1015" s="283"/>
    </row>
    <row r="1016" ht="15.75" customHeight="1">
      <c r="AE1016" s="283"/>
    </row>
    <row r="1017" ht="15.75" customHeight="1">
      <c r="AE1017" s="283"/>
    </row>
    <row r="1018" ht="15.75" customHeight="1">
      <c r="AE1018" s="283"/>
    </row>
    <row r="1019" ht="15.75" customHeight="1">
      <c r="AE1019" s="283"/>
    </row>
    <row r="1020" ht="15.75" customHeight="1">
      <c r="AE1020" s="283"/>
    </row>
    <row r="1021" ht="15.75" customHeight="1">
      <c r="AE1021" s="283"/>
    </row>
    <row r="1022" ht="15.75" customHeight="1">
      <c r="AE1022" s="283"/>
    </row>
    <row r="1023" ht="15.75" customHeight="1">
      <c r="AE1023" s="283"/>
    </row>
    <row r="1024" ht="15.75" customHeight="1">
      <c r="AE1024" s="283"/>
    </row>
    <row r="1025" ht="15.75" customHeight="1">
      <c r="AE1025" s="283"/>
    </row>
    <row r="1026" ht="15.75" customHeight="1">
      <c r="AE1026" s="283"/>
    </row>
    <row r="1027" ht="15.75" customHeight="1">
      <c r="AE1027" s="283"/>
    </row>
    <row r="1028" ht="15.75" customHeight="1">
      <c r="AE1028" s="283"/>
    </row>
    <row r="1029" ht="15.75" customHeight="1">
      <c r="AE1029" s="283"/>
    </row>
    <row r="1030" ht="15.75" customHeight="1">
      <c r="AE1030" s="283"/>
    </row>
    <row r="1031" ht="15.75" customHeight="1">
      <c r="AE1031" s="283"/>
    </row>
    <row r="1032" ht="15.75" customHeight="1">
      <c r="AE1032" s="283"/>
    </row>
    <row r="1033" ht="15.75" customHeight="1">
      <c r="AE1033" s="283"/>
    </row>
    <row r="1034" ht="15.75" customHeight="1">
      <c r="AE1034" s="283"/>
    </row>
    <row r="1035" ht="15.75" customHeight="1">
      <c r="AE1035" s="283"/>
    </row>
    <row r="1036" ht="15.75" customHeight="1">
      <c r="AE1036" s="283"/>
    </row>
    <row r="1037" ht="15.75" customHeight="1">
      <c r="AE1037" s="283"/>
    </row>
    <row r="1038" ht="15.75" customHeight="1">
      <c r="AE1038" s="283"/>
    </row>
    <row r="1039" ht="15.75" customHeight="1">
      <c r="AE1039" s="283"/>
    </row>
    <row r="1040" ht="15.75" customHeight="1">
      <c r="AE1040" s="283"/>
    </row>
    <row r="1041" ht="15.75" customHeight="1">
      <c r="AE1041" s="283"/>
    </row>
    <row r="1042" ht="15.75" customHeight="1">
      <c r="AE1042" s="283"/>
    </row>
    <row r="1043" ht="15.75" customHeight="1">
      <c r="AE1043" s="283"/>
    </row>
    <row r="1044" ht="15.75" customHeight="1">
      <c r="AE1044" s="283"/>
    </row>
    <row r="1045" ht="15.75" customHeight="1">
      <c r="AE1045" s="283"/>
    </row>
    <row r="1046" ht="15.75" customHeight="1">
      <c r="AE1046" s="283"/>
    </row>
    <row r="1047" ht="15.75" customHeight="1">
      <c r="AE1047" s="283"/>
    </row>
    <row r="1048" ht="15.75" customHeight="1">
      <c r="AE1048" s="283"/>
    </row>
  </sheetData>
  <mergeCells count="17">
    <mergeCell ref="A1:B1"/>
    <mergeCell ref="C1:D1"/>
    <mergeCell ref="L1:P1"/>
    <mergeCell ref="Q1:R1"/>
    <mergeCell ref="U1:AA1"/>
    <mergeCell ref="AB1:AC1"/>
    <mergeCell ref="AE1:AG1"/>
    <mergeCell ref="A78:A89"/>
    <mergeCell ref="A90:A101"/>
    <mergeCell ref="A102:A113"/>
    <mergeCell ref="A3:A5"/>
    <mergeCell ref="A6:A17"/>
    <mergeCell ref="A18:A29"/>
    <mergeCell ref="A30:A41"/>
    <mergeCell ref="A42:A53"/>
    <mergeCell ref="A54:A65"/>
    <mergeCell ref="A66:A7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.63"/>
    <col customWidth="1" min="3" max="3" width="14.38"/>
    <col customWidth="1" min="4" max="4" width="13.0"/>
    <col customWidth="1" min="5" max="5" width="25.63"/>
    <col customWidth="1" min="6" max="7" width="11.75"/>
    <col customWidth="1" min="8" max="9" width="9.0"/>
    <col customWidth="1" min="10" max="10" width="24.0"/>
    <col customWidth="1" min="11" max="29" width="1.38"/>
  </cols>
  <sheetData>
    <row r="1" ht="15.0" customHeight="1">
      <c r="A1" s="284" t="s">
        <v>598</v>
      </c>
      <c r="B1" s="285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</row>
    <row r="2" ht="15.0" customHeight="1">
      <c r="A2" s="287"/>
      <c r="B2" s="288"/>
      <c r="C2" s="289" t="s">
        <v>599</v>
      </c>
      <c r="D2" s="29"/>
      <c r="E2" s="290" t="s">
        <v>600</v>
      </c>
      <c r="F2" s="291" t="s">
        <v>601</v>
      </c>
      <c r="G2" s="29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</row>
    <row r="3" ht="15.0" customHeight="1">
      <c r="A3" s="292"/>
      <c r="B3" s="292"/>
      <c r="C3" s="293" t="s">
        <v>602</v>
      </c>
      <c r="D3" s="294">
        <v>500000.0</v>
      </c>
      <c r="E3" s="295"/>
      <c r="F3" s="293" t="s">
        <v>602</v>
      </c>
      <c r="G3" s="296">
        <v>1000000.0</v>
      </c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</row>
    <row r="4" ht="15.0" customHeight="1">
      <c r="A4" s="292"/>
      <c r="B4" s="292"/>
      <c r="C4" s="293" t="s">
        <v>603</v>
      </c>
      <c r="D4" s="297">
        <v>0.02</v>
      </c>
      <c r="E4" s="298"/>
      <c r="F4" s="293" t="s">
        <v>603</v>
      </c>
      <c r="G4" s="299">
        <v>0.023</v>
      </c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ht="15.0" customHeight="1">
      <c r="A5" s="300"/>
      <c r="B5" s="300"/>
      <c r="C5" s="293" t="s">
        <v>604</v>
      </c>
      <c r="D5" s="297" t="s">
        <v>605</v>
      </c>
      <c r="E5" s="298"/>
      <c r="F5" s="293" t="s">
        <v>604</v>
      </c>
      <c r="G5" s="297" t="s">
        <v>605</v>
      </c>
      <c r="H5" s="301"/>
      <c r="I5" s="301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</row>
    <row r="6" ht="15.0" customHeight="1">
      <c r="A6" s="300"/>
      <c r="B6" s="300"/>
      <c r="C6" s="293" t="s">
        <v>606</v>
      </c>
      <c r="D6" s="302">
        <v>45307.0</v>
      </c>
      <c r="E6" s="303"/>
      <c r="F6" s="293" t="s">
        <v>606</v>
      </c>
      <c r="G6" s="304">
        <v>46139.0</v>
      </c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</row>
    <row r="7" ht="15.0" customHeight="1">
      <c r="A7" s="300"/>
      <c r="B7" s="300"/>
      <c r="C7" s="293" t="s">
        <v>607</v>
      </c>
      <c r="D7" s="302" t="s">
        <v>608</v>
      </c>
      <c r="E7" s="303"/>
      <c r="F7" s="293" t="s">
        <v>607</v>
      </c>
      <c r="G7" s="305" t="s">
        <v>609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</row>
    <row r="8" ht="15.0" customHeight="1">
      <c r="A8" s="300"/>
      <c r="B8" s="300"/>
      <c r="C8" s="293" t="s">
        <v>610</v>
      </c>
      <c r="D8" s="306">
        <v>6384.0</v>
      </c>
      <c r="E8" s="307"/>
      <c r="F8" s="293" t="s">
        <v>610</v>
      </c>
      <c r="G8" s="308">
        <v>12900.0</v>
      </c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</row>
    <row r="9">
      <c r="A9" s="309" t="s">
        <v>554</v>
      </c>
      <c r="B9" s="310" t="s">
        <v>555</v>
      </c>
      <c r="C9" s="311" t="s">
        <v>611</v>
      </c>
      <c r="D9" s="312" t="s">
        <v>612</v>
      </c>
      <c r="E9" s="313" t="s">
        <v>613</v>
      </c>
      <c r="F9" s="313" t="s">
        <v>614</v>
      </c>
      <c r="G9" s="313" t="s">
        <v>615</v>
      </c>
      <c r="H9" s="313" t="s">
        <v>616</v>
      </c>
      <c r="I9" s="313" t="s">
        <v>617</v>
      </c>
      <c r="J9" s="313" t="s">
        <v>618</v>
      </c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</row>
    <row r="10">
      <c r="A10" s="314">
        <v>2024.0</v>
      </c>
      <c r="B10" s="315">
        <v>45292.0</v>
      </c>
      <c r="C10" s="316">
        <v>0.0</v>
      </c>
      <c r="D10" s="317">
        <v>0.0</v>
      </c>
      <c r="E10" s="318">
        <v>0.0</v>
      </c>
      <c r="F10" s="319">
        <v>0.0</v>
      </c>
      <c r="G10" s="318">
        <v>0.0</v>
      </c>
      <c r="H10" s="318">
        <v>903.0</v>
      </c>
      <c r="I10" s="318">
        <f t="shared" ref="I10:I36" si="1">G10+H10</f>
        <v>903</v>
      </c>
      <c r="J10" s="320" t="s">
        <v>619</v>
      </c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</row>
    <row r="11">
      <c r="A11" s="91"/>
      <c r="B11" s="321">
        <v>45323.0</v>
      </c>
      <c r="C11" s="322">
        <v>1.0</v>
      </c>
      <c r="D11" s="323">
        <v>500000.0</v>
      </c>
      <c r="E11" s="323">
        <v>6384.0</v>
      </c>
      <c r="F11" s="323">
        <v>5551.0</v>
      </c>
      <c r="G11" s="324">
        <v>824.0</v>
      </c>
      <c r="H11" s="323"/>
      <c r="I11" s="323">
        <f t="shared" si="1"/>
        <v>824</v>
      </c>
      <c r="J11" s="325"/>
      <c r="K11" s="32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</row>
    <row r="12">
      <c r="A12" s="91"/>
      <c r="B12" s="321">
        <v>45352.0</v>
      </c>
      <c r="C12" s="322">
        <f t="shared" ref="C12:C37" si="2">C11+1</f>
        <v>2</v>
      </c>
      <c r="D12" s="323">
        <v>494449.0</v>
      </c>
      <c r="E12" s="323">
        <v>6384.0</v>
      </c>
      <c r="F12" s="323">
        <v>5560.0</v>
      </c>
      <c r="G12" s="324">
        <v>815.0</v>
      </c>
      <c r="H12" s="323"/>
      <c r="I12" s="323">
        <f t="shared" si="1"/>
        <v>815</v>
      </c>
      <c r="J12" s="325"/>
      <c r="K12" s="32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</row>
    <row r="13">
      <c r="A13" s="91"/>
      <c r="B13" s="321">
        <v>45383.0</v>
      </c>
      <c r="C13" s="322">
        <f t="shared" si="2"/>
        <v>3</v>
      </c>
      <c r="D13" s="323">
        <v>488889.0</v>
      </c>
      <c r="E13" s="323">
        <v>6384.0</v>
      </c>
      <c r="F13" s="323">
        <v>5569.0</v>
      </c>
      <c r="G13" s="324">
        <v>806.0</v>
      </c>
      <c r="H13" s="323"/>
      <c r="I13" s="323">
        <f t="shared" si="1"/>
        <v>806</v>
      </c>
      <c r="J13" s="325"/>
      <c r="K13" s="32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</row>
    <row r="14">
      <c r="A14" s="91"/>
      <c r="B14" s="321">
        <v>45413.0</v>
      </c>
      <c r="C14" s="322">
        <f t="shared" si="2"/>
        <v>4</v>
      </c>
      <c r="D14" s="323">
        <v>483320.0</v>
      </c>
      <c r="E14" s="323">
        <v>6384.0</v>
      </c>
      <c r="F14" s="323">
        <v>5548.0</v>
      </c>
      <c r="G14" s="324">
        <v>836.0</v>
      </c>
      <c r="H14" s="323"/>
      <c r="I14" s="323">
        <f t="shared" si="1"/>
        <v>836</v>
      </c>
      <c r="J14" s="327" t="s">
        <v>620</v>
      </c>
      <c r="K14" s="32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</row>
    <row r="15">
      <c r="A15" s="91"/>
      <c r="B15" s="321">
        <v>45444.0</v>
      </c>
      <c r="C15" s="322">
        <f t="shared" si="2"/>
        <v>5</v>
      </c>
      <c r="D15" s="323">
        <f t="shared" ref="D15:D30" si="3">D14-F14</f>
        <v>477772</v>
      </c>
      <c r="E15" s="323">
        <v>6411.0</v>
      </c>
      <c r="F15" s="323">
        <v>5563.449</v>
      </c>
      <c r="G15" s="324">
        <v>848.0453</v>
      </c>
      <c r="H15" s="323"/>
      <c r="I15" s="323">
        <f t="shared" si="1"/>
        <v>848.0453</v>
      </c>
      <c r="J15" s="259"/>
      <c r="K15" s="32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</row>
    <row r="16">
      <c r="A16" s="91"/>
      <c r="B16" s="321">
        <v>45474.0</v>
      </c>
      <c r="C16" s="322">
        <f t="shared" si="2"/>
        <v>6</v>
      </c>
      <c r="D16" s="323">
        <f t="shared" si="3"/>
        <v>472208.551</v>
      </c>
      <c r="E16" s="323">
        <v>6411.0</v>
      </c>
      <c r="F16" s="323">
        <v>5573.3241</v>
      </c>
      <c r="G16" s="324">
        <v>838.1702</v>
      </c>
      <c r="H16" s="323"/>
      <c r="I16" s="323">
        <f t="shared" si="1"/>
        <v>838.1702</v>
      </c>
      <c r="J16" s="325"/>
      <c r="K16" s="32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</row>
    <row r="17">
      <c r="A17" s="91"/>
      <c r="B17" s="321">
        <v>45505.0</v>
      </c>
      <c r="C17" s="322">
        <f t="shared" si="2"/>
        <v>7</v>
      </c>
      <c r="D17" s="323">
        <f t="shared" si="3"/>
        <v>466635.2269</v>
      </c>
      <c r="E17" s="323">
        <v>6411.0</v>
      </c>
      <c r="F17" s="323">
        <v>5583.2168</v>
      </c>
      <c r="G17" s="324">
        <v>828.2775</v>
      </c>
      <c r="H17" s="323"/>
      <c r="I17" s="323">
        <f t="shared" si="1"/>
        <v>828.2775</v>
      </c>
      <c r="J17" s="325"/>
      <c r="K17" s="32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</row>
    <row r="18">
      <c r="A18" s="91"/>
      <c r="B18" s="321">
        <v>45536.0</v>
      </c>
      <c r="C18" s="322">
        <f t="shared" si="2"/>
        <v>8</v>
      </c>
      <c r="D18" s="323">
        <f t="shared" si="3"/>
        <v>461052.0101</v>
      </c>
      <c r="E18" s="323">
        <v>6411.0</v>
      </c>
      <c r="F18" s="323">
        <v>5593.127</v>
      </c>
      <c r="G18" s="324">
        <v>818.3673</v>
      </c>
      <c r="H18" s="323"/>
      <c r="I18" s="323">
        <f t="shared" si="1"/>
        <v>818.3673</v>
      </c>
      <c r="J18" s="325"/>
      <c r="K18" s="32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</row>
    <row r="19">
      <c r="A19" s="91"/>
      <c r="B19" s="321">
        <v>45566.0</v>
      </c>
      <c r="C19" s="322">
        <f t="shared" si="2"/>
        <v>9</v>
      </c>
      <c r="D19" s="323">
        <f t="shared" si="3"/>
        <v>455458.8831</v>
      </c>
      <c r="E19" s="323">
        <v>6411.0</v>
      </c>
      <c r="F19" s="323">
        <v>5603.0548</v>
      </c>
      <c r="G19" s="324">
        <v>808.4395</v>
      </c>
      <c r="H19" s="323"/>
      <c r="I19" s="323">
        <f t="shared" si="1"/>
        <v>808.4395</v>
      </c>
      <c r="J19" s="325"/>
      <c r="K19" s="32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</row>
    <row r="20">
      <c r="A20" s="91"/>
      <c r="B20" s="321">
        <v>45597.0</v>
      </c>
      <c r="C20" s="322">
        <f t="shared" si="2"/>
        <v>10</v>
      </c>
      <c r="D20" s="323">
        <f t="shared" si="3"/>
        <v>449855.8283</v>
      </c>
      <c r="E20" s="323">
        <v>6411.0</v>
      </c>
      <c r="F20" s="323">
        <v>5613.0002</v>
      </c>
      <c r="G20" s="324">
        <v>798.4941</v>
      </c>
      <c r="H20" s="323"/>
      <c r="I20" s="323">
        <f t="shared" si="1"/>
        <v>798.4941</v>
      </c>
      <c r="J20" s="325"/>
      <c r="K20" s="32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</row>
    <row r="21">
      <c r="A21" s="96"/>
      <c r="B21" s="328">
        <v>45627.0</v>
      </c>
      <c r="C21" s="322">
        <f t="shared" si="2"/>
        <v>11</v>
      </c>
      <c r="D21" s="323">
        <f t="shared" si="3"/>
        <v>444242.8281</v>
      </c>
      <c r="E21" s="323">
        <v>6411.0</v>
      </c>
      <c r="F21" s="323">
        <v>5622.9633</v>
      </c>
      <c r="G21" s="324">
        <v>788.531</v>
      </c>
      <c r="H21" s="323"/>
      <c r="I21" s="323">
        <f t="shared" si="1"/>
        <v>788.531</v>
      </c>
      <c r="J21" s="325"/>
      <c r="K21" s="32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</row>
    <row r="22">
      <c r="A22" s="314">
        <v>2025.0</v>
      </c>
      <c r="B22" s="315">
        <v>45658.0</v>
      </c>
      <c r="C22" s="329">
        <f t="shared" si="2"/>
        <v>12</v>
      </c>
      <c r="D22" s="330">
        <f t="shared" si="3"/>
        <v>438619.8648</v>
      </c>
      <c r="E22" s="318">
        <v>6411.0</v>
      </c>
      <c r="F22" s="318">
        <v>5632.944</v>
      </c>
      <c r="G22" s="331">
        <v>778.5503</v>
      </c>
      <c r="H22" s="318"/>
      <c r="I22" s="318">
        <f t="shared" si="1"/>
        <v>778.5503</v>
      </c>
      <c r="J22" s="332"/>
      <c r="K22" s="333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</row>
    <row r="23">
      <c r="A23" s="91"/>
      <c r="B23" s="315">
        <v>45689.0</v>
      </c>
      <c r="C23" s="334">
        <f t="shared" si="2"/>
        <v>13</v>
      </c>
      <c r="D23" s="335">
        <f t="shared" si="3"/>
        <v>432986.9208</v>
      </c>
      <c r="E23" s="323">
        <v>6411.0</v>
      </c>
      <c r="F23" s="323">
        <v>5642.9425</v>
      </c>
      <c r="G23" s="324">
        <v>768.5518</v>
      </c>
      <c r="H23" s="323"/>
      <c r="I23" s="323">
        <f t="shared" si="1"/>
        <v>768.5518</v>
      </c>
      <c r="J23" s="325"/>
      <c r="K23" s="333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</row>
    <row r="24">
      <c r="A24" s="91"/>
      <c r="B24" s="315">
        <v>45717.0</v>
      </c>
      <c r="C24" s="334">
        <f t="shared" si="2"/>
        <v>14</v>
      </c>
      <c r="D24" s="335">
        <f t="shared" si="3"/>
        <v>427343.9783</v>
      </c>
      <c r="E24" s="323">
        <v>6411.0</v>
      </c>
      <c r="F24" s="323">
        <v>5652.9587</v>
      </c>
      <c r="G24" s="324">
        <v>758.5356</v>
      </c>
      <c r="H24" s="323"/>
      <c r="I24" s="323">
        <f t="shared" si="1"/>
        <v>758.5356</v>
      </c>
      <c r="J24" s="325"/>
      <c r="K24" s="333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</row>
    <row r="25">
      <c r="A25" s="91"/>
      <c r="B25" s="315">
        <v>45748.0</v>
      </c>
      <c r="C25" s="334">
        <f t="shared" si="2"/>
        <v>15</v>
      </c>
      <c r="D25" s="335">
        <f t="shared" si="3"/>
        <v>421691.0196</v>
      </c>
      <c r="E25" s="323">
        <v>6411.0</v>
      </c>
      <c r="F25" s="323">
        <v>5662.9927</v>
      </c>
      <c r="G25" s="324">
        <v>748.5016</v>
      </c>
      <c r="H25" s="323"/>
      <c r="I25" s="323">
        <f t="shared" si="1"/>
        <v>748.5016</v>
      </c>
      <c r="J25" s="325"/>
      <c r="K25" s="333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</row>
    <row r="26">
      <c r="A26" s="91"/>
      <c r="B26" s="315">
        <v>45778.0</v>
      </c>
      <c r="C26" s="334">
        <f t="shared" si="2"/>
        <v>16</v>
      </c>
      <c r="D26" s="335">
        <f t="shared" si="3"/>
        <v>416028.0269</v>
      </c>
      <c r="E26" s="323">
        <v>6411.0</v>
      </c>
      <c r="F26" s="323">
        <v>5673.0446</v>
      </c>
      <c r="G26" s="324">
        <v>738.4497</v>
      </c>
      <c r="H26" s="323"/>
      <c r="I26" s="323">
        <f t="shared" si="1"/>
        <v>738.4497</v>
      </c>
      <c r="J26" s="325"/>
      <c r="K26" s="295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</row>
    <row r="27">
      <c r="A27" s="91"/>
      <c r="B27" s="315">
        <v>45809.0</v>
      </c>
      <c r="C27" s="334">
        <f t="shared" si="2"/>
        <v>17</v>
      </c>
      <c r="D27" s="335">
        <f t="shared" si="3"/>
        <v>410354.9823</v>
      </c>
      <c r="E27" s="323">
        <v>6411.0</v>
      </c>
      <c r="F27" s="323">
        <v>5683.1142</v>
      </c>
      <c r="G27" s="324">
        <v>728.3801</v>
      </c>
      <c r="H27" s="323"/>
      <c r="I27" s="323">
        <f t="shared" si="1"/>
        <v>728.3801</v>
      </c>
      <c r="J27" s="325"/>
      <c r="K27" s="295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</row>
    <row r="28">
      <c r="A28" s="91"/>
      <c r="B28" s="315">
        <v>45839.0</v>
      </c>
      <c r="C28" s="334">
        <f t="shared" si="2"/>
        <v>18</v>
      </c>
      <c r="D28" s="335">
        <f t="shared" si="3"/>
        <v>404671.8681</v>
      </c>
      <c r="E28" s="323">
        <v>6411.0</v>
      </c>
      <c r="F28" s="323">
        <v>5693.2017</v>
      </c>
      <c r="G28" s="324">
        <v>718.2926</v>
      </c>
      <c r="H28" s="323"/>
      <c r="I28" s="323">
        <f t="shared" si="1"/>
        <v>718.2926</v>
      </c>
      <c r="J28" s="325"/>
      <c r="K28" s="300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</row>
    <row r="29">
      <c r="A29" s="91"/>
      <c r="B29" s="315">
        <v>45870.0</v>
      </c>
      <c r="C29" s="334">
        <f t="shared" si="2"/>
        <v>19</v>
      </c>
      <c r="D29" s="335">
        <f t="shared" si="3"/>
        <v>398978.6664</v>
      </c>
      <c r="E29" s="323">
        <v>6411.0</v>
      </c>
      <c r="F29" s="323">
        <v>5703.3072</v>
      </c>
      <c r="G29" s="324">
        <v>708.1871</v>
      </c>
      <c r="H29" s="323"/>
      <c r="I29" s="323">
        <f t="shared" si="1"/>
        <v>708.1871</v>
      </c>
      <c r="J29" s="325"/>
      <c r="K29" s="300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</row>
    <row r="30">
      <c r="A30" s="91"/>
      <c r="B30" s="315">
        <v>45901.0</v>
      </c>
      <c r="C30" s="334">
        <f t="shared" si="2"/>
        <v>20</v>
      </c>
      <c r="D30" s="335">
        <f t="shared" si="3"/>
        <v>393275.3592</v>
      </c>
      <c r="E30" s="323">
        <v>6411.0</v>
      </c>
      <c r="F30" s="323">
        <v>5713.4305</v>
      </c>
      <c r="G30" s="324">
        <v>698.0638</v>
      </c>
      <c r="H30" s="323"/>
      <c r="I30" s="323">
        <f t="shared" si="1"/>
        <v>698.0638</v>
      </c>
      <c r="J30" s="336" t="s">
        <v>621</v>
      </c>
      <c r="K30" s="300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</row>
    <row r="31">
      <c r="A31" s="91"/>
      <c r="B31" s="315">
        <v>45931.0</v>
      </c>
      <c r="C31" s="334">
        <f t="shared" si="2"/>
        <v>21</v>
      </c>
      <c r="D31" s="337">
        <v>187569.0</v>
      </c>
      <c r="E31" s="338">
        <v>3102.9817</v>
      </c>
      <c r="F31" s="338">
        <v>2770.0467</v>
      </c>
      <c r="G31" s="339">
        <v>332.935</v>
      </c>
      <c r="H31" s="323"/>
      <c r="I31" s="323">
        <f t="shared" si="1"/>
        <v>332.935</v>
      </c>
      <c r="J31" s="325"/>
      <c r="K31" s="300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</row>
    <row r="32">
      <c r="A32" s="91"/>
      <c r="B32" s="315">
        <v>45962.0</v>
      </c>
      <c r="C32" s="334">
        <f t="shared" si="2"/>
        <v>22</v>
      </c>
      <c r="D32" s="335">
        <f t="shared" ref="D32:D37" si="4">D31-F31</f>
        <v>184798.9533</v>
      </c>
      <c r="E32" s="338">
        <v>3102.9817</v>
      </c>
      <c r="F32" s="338">
        <v>2774.9636</v>
      </c>
      <c r="G32" s="339">
        <v>328.0181</v>
      </c>
      <c r="H32" s="323"/>
      <c r="I32" s="323">
        <f t="shared" si="1"/>
        <v>328.0181</v>
      </c>
      <c r="J32" s="325"/>
      <c r="K32" s="300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</row>
    <row r="33">
      <c r="A33" s="96"/>
      <c r="B33" s="315">
        <v>45992.0</v>
      </c>
      <c r="C33" s="340">
        <f t="shared" si="2"/>
        <v>23</v>
      </c>
      <c r="D33" s="341">
        <f t="shared" si="4"/>
        <v>182023.9897</v>
      </c>
      <c r="E33" s="342">
        <v>3102.9817</v>
      </c>
      <c r="F33" s="342">
        <v>2779.8891</v>
      </c>
      <c r="G33" s="343">
        <v>323.0926</v>
      </c>
      <c r="H33" s="344"/>
      <c r="I33" s="344">
        <f t="shared" si="1"/>
        <v>323.0926</v>
      </c>
      <c r="J33" s="345"/>
      <c r="K33" s="300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</row>
    <row r="34">
      <c r="A34" s="314">
        <v>2026.0</v>
      </c>
      <c r="B34" s="315">
        <v>46023.0</v>
      </c>
      <c r="C34" s="329">
        <f t="shared" si="2"/>
        <v>24</v>
      </c>
      <c r="D34" s="330">
        <f t="shared" si="4"/>
        <v>179244.1006</v>
      </c>
      <c r="E34" s="338">
        <v>3102.9817</v>
      </c>
      <c r="F34" s="319">
        <v>2784.8234</v>
      </c>
      <c r="G34" s="346">
        <v>318.1583</v>
      </c>
      <c r="H34" s="318"/>
      <c r="I34" s="318">
        <f t="shared" si="1"/>
        <v>318.1583</v>
      </c>
      <c r="J34" s="332"/>
      <c r="K34" s="300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</row>
    <row r="35">
      <c r="A35" s="91"/>
      <c r="B35" s="315">
        <v>46054.0</v>
      </c>
      <c r="C35" s="334">
        <f t="shared" si="2"/>
        <v>25</v>
      </c>
      <c r="D35" s="335">
        <f t="shared" si="4"/>
        <v>176459.2772</v>
      </c>
      <c r="E35" s="338">
        <v>3102.9817</v>
      </c>
      <c r="F35" s="338">
        <v>2789.7665</v>
      </c>
      <c r="G35" s="339">
        <v>313.2152</v>
      </c>
      <c r="H35" s="323"/>
      <c r="I35" s="323">
        <f t="shared" si="1"/>
        <v>313.2152</v>
      </c>
      <c r="J35" s="325"/>
      <c r="K35" s="300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</row>
    <row r="36">
      <c r="A36" s="91"/>
      <c r="B36" s="315">
        <v>46082.0</v>
      </c>
      <c r="C36" s="334">
        <f t="shared" si="2"/>
        <v>26</v>
      </c>
      <c r="D36" s="335">
        <f t="shared" si="4"/>
        <v>173669.5107</v>
      </c>
      <c r="E36" s="338">
        <v>3102.9817</v>
      </c>
      <c r="F36" s="338">
        <v>2794.7183</v>
      </c>
      <c r="G36" s="339">
        <v>308.2634</v>
      </c>
      <c r="H36" s="323"/>
      <c r="I36" s="323">
        <f t="shared" si="1"/>
        <v>308.2634</v>
      </c>
      <c r="J36" s="325"/>
      <c r="K36" s="300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</row>
    <row r="37">
      <c r="A37" s="91"/>
      <c r="B37" s="315">
        <v>46113.0</v>
      </c>
      <c r="C37" s="334">
        <f t="shared" si="2"/>
        <v>27</v>
      </c>
      <c r="D37" s="335">
        <f t="shared" si="4"/>
        <v>170874.7924</v>
      </c>
      <c r="E37" s="338">
        <v>3102.9817</v>
      </c>
      <c r="F37" s="338">
        <v>2799.6789</v>
      </c>
      <c r="G37" s="339">
        <v>303.3028</v>
      </c>
      <c r="H37" s="323"/>
      <c r="I37" s="338">
        <v>140.0</v>
      </c>
      <c r="J37" s="336" t="s">
        <v>622</v>
      </c>
      <c r="K37" s="300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</row>
    <row r="38">
      <c r="A38" s="91"/>
      <c r="B38" s="347">
        <v>46143.0</v>
      </c>
      <c r="C38" s="348">
        <v>1.0</v>
      </c>
      <c r="D38" s="349">
        <v>1000000.0</v>
      </c>
      <c r="E38" s="349">
        <v>0.0</v>
      </c>
      <c r="F38" s="349">
        <v>0.0</v>
      </c>
      <c r="G38" s="350">
        <v>0.0</v>
      </c>
      <c r="H38" s="349">
        <v>2300.0</v>
      </c>
      <c r="I38" s="351">
        <f t="shared" ref="I38:I122" si="5">G38+H38</f>
        <v>2300</v>
      </c>
      <c r="J38" s="352" t="s">
        <v>623</v>
      </c>
      <c r="K38" s="300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</row>
    <row r="39">
      <c r="A39" s="91"/>
      <c r="B39" s="315">
        <v>46174.0</v>
      </c>
      <c r="C39" s="353">
        <v>2.0</v>
      </c>
      <c r="D39" s="354">
        <v>989017.0</v>
      </c>
      <c r="E39" s="338">
        <f t="shared" ref="E39:E122" si="6">F39+G39</f>
        <v>12900</v>
      </c>
      <c r="F39" s="355">
        <v>10983.0</v>
      </c>
      <c r="G39" s="355">
        <v>1917.0</v>
      </c>
      <c r="H39" s="323"/>
      <c r="I39" s="323">
        <f t="shared" si="5"/>
        <v>1917</v>
      </c>
      <c r="J39" s="325"/>
      <c r="K39" s="300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</row>
    <row r="40">
      <c r="A40" s="91"/>
      <c r="B40" s="315">
        <v>46204.0</v>
      </c>
      <c r="C40" s="322">
        <f t="shared" ref="C40:C122" si="7">C39+1</f>
        <v>3</v>
      </c>
      <c r="D40" s="356">
        <v>978013.0</v>
      </c>
      <c r="E40" s="338">
        <f t="shared" si="6"/>
        <v>12900</v>
      </c>
      <c r="F40" s="357">
        <v>11004.0</v>
      </c>
      <c r="G40" s="357">
        <v>1896.0</v>
      </c>
      <c r="H40" s="323"/>
      <c r="I40" s="323">
        <f t="shared" si="5"/>
        <v>1896</v>
      </c>
      <c r="J40" s="325"/>
      <c r="K40" s="300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>
      <c r="A41" s="91"/>
      <c r="B41" s="315">
        <v>46235.0</v>
      </c>
      <c r="C41" s="322">
        <f t="shared" si="7"/>
        <v>4</v>
      </c>
      <c r="D41" s="356">
        <v>966988.0</v>
      </c>
      <c r="E41" s="338">
        <f t="shared" si="6"/>
        <v>12900</v>
      </c>
      <c r="F41" s="357">
        <v>11025.0</v>
      </c>
      <c r="G41" s="357">
        <v>1875.0</v>
      </c>
      <c r="H41" s="323"/>
      <c r="I41" s="323">
        <f t="shared" si="5"/>
        <v>1875</v>
      </c>
      <c r="J41" s="325"/>
      <c r="K41" s="300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>
      <c r="A42" s="91"/>
      <c r="B42" s="315">
        <v>46266.0</v>
      </c>
      <c r="C42" s="322">
        <f t="shared" si="7"/>
        <v>5</v>
      </c>
      <c r="D42" s="356">
        <v>955941.0</v>
      </c>
      <c r="E42" s="338">
        <f t="shared" si="6"/>
        <v>12900</v>
      </c>
      <c r="F42" s="357">
        <v>11047.0</v>
      </c>
      <c r="G42" s="357">
        <v>1853.0</v>
      </c>
      <c r="H42" s="323"/>
      <c r="I42" s="323">
        <f t="shared" si="5"/>
        <v>1853</v>
      </c>
      <c r="J42" s="325"/>
      <c r="K42" s="300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>
      <c r="A43" s="91"/>
      <c r="B43" s="315">
        <v>46296.0</v>
      </c>
      <c r="C43" s="322">
        <f t="shared" si="7"/>
        <v>6</v>
      </c>
      <c r="D43" s="356">
        <v>944873.0</v>
      </c>
      <c r="E43" s="338">
        <f t="shared" si="6"/>
        <v>12900</v>
      </c>
      <c r="F43" s="357">
        <v>11068.0</v>
      </c>
      <c r="G43" s="357">
        <v>1832.0</v>
      </c>
      <c r="H43" s="323"/>
      <c r="I43" s="323">
        <f t="shared" si="5"/>
        <v>1832</v>
      </c>
      <c r="J43" s="325"/>
      <c r="K43" s="300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>
      <c r="A44" s="91"/>
      <c r="B44" s="315">
        <v>46327.0</v>
      </c>
      <c r="C44" s="322">
        <f t="shared" si="7"/>
        <v>7</v>
      </c>
      <c r="D44" s="356">
        <v>933784.0</v>
      </c>
      <c r="E44" s="338">
        <f t="shared" si="6"/>
        <v>12900</v>
      </c>
      <c r="F44" s="357">
        <v>11089.0</v>
      </c>
      <c r="G44" s="357">
        <v>1811.0</v>
      </c>
      <c r="H44" s="323"/>
      <c r="I44" s="323">
        <f t="shared" si="5"/>
        <v>1811</v>
      </c>
      <c r="J44" s="325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>
      <c r="A45" s="96"/>
      <c r="B45" s="315">
        <v>46357.0</v>
      </c>
      <c r="C45" s="358">
        <f t="shared" si="7"/>
        <v>8</v>
      </c>
      <c r="D45" s="359">
        <v>922674.0</v>
      </c>
      <c r="E45" s="338">
        <f t="shared" si="6"/>
        <v>12900</v>
      </c>
      <c r="F45" s="360">
        <v>11110.0</v>
      </c>
      <c r="G45" s="360">
        <v>1790.0</v>
      </c>
      <c r="H45" s="344"/>
      <c r="I45" s="323">
        <f t="shared" si="5"/>
        <v>1790</v>
      </c>
      <c r="J45" s="345"/>
      <c r="K45" s="300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>
      <c r="A46" s="314">
        <v>2027.0</v>
      </c>
      <c r="B46" s="315">
        <v>46388.0</v>
      </c>
      <c r="C46" s="316">
        <f t="shared" si="7"/>
        <v>9</v>
      </c>
      <c r="D46" s="361">
        <v>911542.0</v>
      </c>
      <c r="E46" s="319">
        <f t="shared" si="6"/>
        <v>12900</v>
      </c>
      <c r="F46" s="362">
        <v>11132.0</v>
      </c>
      <c r="G46" s="362">
        <v>1768.0</v>
      </c>
      <c r="H46" s="318"/>
      <c r="I46" s="318">
        <f t="shared" si="5"/>
        <v>1768</v>
      </c>
      <c r="J46" s="332"/>
      <c r="K46" s="300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</row>
    <row r="47">
      <c r="A47" s="91"/>
      <c r="B47" s="315">
        <v>46419.0</v>
      </c>
      <c r="C47" s="322">
        <f t="shared" si="7"/>
        <v>10</v>
      </c>
      <c r="D47" s="356">
        <v>900389.0</v>
      </c>
      <c r="E47" s="338">
        <f t="shared" si="6"/>
        <v>12900</v>
      </c>
      <c r="F47" s="357">
        <v>11153.0</v>
      </c>
      <c r="G47" s="357">
        <v>1747.0</v>
      </c>
      <c r="H47" s="323"/>
      <c r="I47" s="323">
        <f t="shared" si="5"/>
        <v>1747</v>
      </c>
      <c r="J47" s="325"/>
      <c r="K47" s="300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</row>
    <row r="48">
      <c r="A48" s="91"/>
      <c r="B48" s="315">
        <v>46447.0</v>
      </c>
      <c r="C48" s="322">
        <f t="shared" si="7"/>
        <v>11</v>
      </c>
      <c r="D48" s="356">
        <v>889215.0</v>
      </c>
      <c r="E48" s="338">
        <f t="shared" si="6"/>
        <v>12900</v>
      </c>
      <c r="F48" s="357">
        <v>11174.0</v>
      </c>
      <c r="G48" s="357">
        <v>1726.0</v>
      </c>
      <c r="H48" s="323"/>
      <c r="I48" s="323">
        <f t="shared" si="5"/>
        <v>1726</v>
      </c>
      <c r="J48" s="325"/>
      <c r="K48" s="300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</row>
    <row r="49">
      <c r="A49" s="91"/>
      <c r="B49" s="315">
        <v>46478.0</v>
      </c>
      <c r="C49" s="322">
        <f t="shared" si="7"/>
        <v>12</v>
      </c>
      <c r="D49" s="356">
        <v>878019.0</v>
      </c>
      <c r="E49" s="338">
        <f t="shared" si="6"/>
        <v>12900</v>
      </c>
      <c r="F49" s="357">
        <v>11196.0</v>
      </c>
      <c r="G49" s="357">
        <v>1704.0</v>
      </c>
      <c r="H49" s="323"/>
      <c r="I49" s="323">
        <f t="shared" si="5"/>
        <v>1704</v>
      </c>
      <c r="J49" s="325"/>
      <c r="K49" s="300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  <c r="AC49" s="286"/>
    </row>
    <row r="50">
      <c r="A50" s="91"/>
      <c r="B50" s="315">
        <v>46508.0</v>
      </c>
      <c r="C50" s="322">
        <f t="shared" si="7"/>
        <v>13</v>
      </c>
      <c r="D50" s="356">
        <v>866802.0</v>
      </c>
      <c r="E50" s="338">
        <f t="shared" si="6"/>
        <v>12900</v>
      </c>
      <c r="F50" s="357">
        <v>11217.0</v>
      </c>
      <c r="G50" s="357">
        <v>1683.0</v>
      </c>
      <c r="H50" s="323"/>
      <c r="I50" s="323">
        <f t="shared" si="5"/>
        <v>1683</v>
      </c>
      <c r="J50" s="325"/>
      <c r="K50" s="300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</row>
    <row r="51">
      <c r="A51" s="91"/>
      <c r="B51" s="315">
        <v>46539.0</v>
      </c>
      <c r="C51" s="322">
        <f t="shared" si="7"/>
        <v>14</v>
      </c>
      <c r="D51" s="356">
        <v>855563.0</v>
      </c>
      <c r="E51" s="338">
        <f t="shared" si="6"/>
        <v>12900</v>
      </c>
      <c r="F51" s="357">
        <v>11239.0</v>
      </c>
      <c r="G51" s="357">
        <v>1661.0</v>
      </c>
      <c r="H51" s="323"/>
      <c r="I51" s="323">
        <f t="shared" si="5"/>
        <v>1661</v>
      </c>
      <c r="J51" s="325"/>
      <c r="K51" s="300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</row>
    <row r="52">
      <c r="A52" s="91"/>
      <c r="B52" s="315">
        <v>46569.0</v>
      </c>
      <c r="C52" s="322">
        <f t="shared" si="7"/>
        <v>15</v>
      </c>
      <c r="D52" s="356">
        <v>844303.0</v>
      </c>
      <c r="E52" s="338">
        <f t="shared" si="6"/>
        <v>12900</v>
      </c>
      <c r="F52" s="357">
        <v>11260.0</v>
      </c>
      <c r="G52" s="357">
        <v>1640.0</v>
      </c>
      <c r="H52" s="323"/>
      <c r="I52" s="323">
        <f t="shared" si="5"/>
        <v>1640</v>
      </c>
      <c r="J52" s="325"/>
      <c r="K52" s="300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</row>
    <row r="53">
      <c r="A53" s="91"/>
      <c r="B53" s="315">
        <v>46600.0</v>
      </c>
      <c r="C53" s="322">
        <f t="shared" si="7"/>
        <v>16</v>
      </c>
      <c r="D53" s="356">
        <v>833021.0</v>
      </c>
      <c r="E53" s="338">
        <f t="shared" si="6"/>
        <v>12900</v>
      </c>
      <c r="F53" s="357">
        <v>11282.0</v>
      </c>
      <c r="G53" s="357">
        <v>1618.0</v>
      </c>
      <c r="H53" s="323"/>
      <c r="I53" s="323">
        <f t="shared" si="5"/>
        <v>1618</v>
      </c>
      <c r="J53" s="325"/>
      <c r="K53" s="300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</row>
    <row r="54">
      <c r="A54" s="91"/>
      <c r="B54" s="315">
        <v>46631.0</v>
      </c>
      <c r="C54" s="322">
        <f t="shared" si="7"/>
        <v>17</v>
      </c>
      <c r="D54" s="356">
        <v>821718.0</v>
      </c>
      <c r="E54" s="338">
        <f t="shared" si="6"/>
        <v>12900</v>
      </c>
      <c r="F54" s="357">
        <v>11303.0</v>
      </c>
      <c r="G54" s="357">
        <v>1597.0</v>
      </c>
      <c r="H54" s="323"/>
      <c r="I54" s="323">
        <f t="shared" si="5"/>
        <v>1597</v>
      </c>
      <c r="J54" s="325"/>
      <c r="K54" s="300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</row>
    <row r="55">
      <c r="A55" s="91"/>
      <c r="B55" s="315">
        <v>46661.0</v>
      </c>
      <c r="C55" s="322">
        <f t="shared" si="7"/>
        <v>18</v>
      </c>
      <c r="D55" s="356">
        <v>810393.0</v>
      </c>
      <c r="E55" s="338">
        <f t="shared" si="6"/>
        <v>12900</v>
      </c>
      <c r="F55" s="357">
        <v>11325.0</v>
      </c>
      <c r="G55" s="357">
        <v>1575.0</v>
      </c>
      <c r="H55" s="323"/>
      <c r="I55" s="323">
        <f t="shared" si="5"/>
        <v>1575</v>
      </c>
      <c r="J55" s="325"/>
      <c r="K55" s="300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</row>
    <row r="56">
      <c r="A56" s="91"/>
      <c r="B56" s="315">
        <v>46692.0</v>
      </c>
      <c r="C56" s="322">
        <f t="shared" si="7"/>
        <v>19</v>
      </c>
      <c r="D56" s="356">
        <v>799046.0</v>
      </c>
      <c r="E56" s="338">
        <f t="shared" si="6"/>
        <v>12900</v>
      </c>
      <c r="F56" s="357">
        <v>11347.0</v>
      </c>
      <c r="G56" s="357">
        <v>1553.0</v>
      </c>
      <c r="H56" s="323"/>
      <c r="I56" s="323">
        <f t="shared" si="5"/>
        <v>1553</v>
      </c>
      <c r="J56" s="325"/>
      <c r="K56" s="300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</row>
    <row r="57">
      <c r="A57" s="91"/>
      <c r="B57" s="315">
        <v>46722.0</v>
      </c>
      <c r="C57" s="358">
        <f t="shared" si="7"/>
        <v>20</v>
      </c>
      <c r="D57" s="363">
        <v>787678.0</v>
      </c>
      <c r="E57" s="342">
        <f t="shared" si="6"/>
        <v>12900</v>
      </c>
      <c r="F57" s="364">
        <v>11368.0</v>
      </c>
      <c r="G57" s="364">
        <v>1532.0</v>
      </c>
      <c r="H57" s="344"/>
      <c r="I57" s="344">
        <f t="shared" si="5"/>
        <v>1532</v>
      </c>
      <c r="J57" s="345"/>
      <c r="K57" s="300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</row>
    <row r="58">
      <c r="A58" s="314">
        <v>2028.0</v>
      </c>
      <c r="B58" s="315">
        <v>46753.0</v>
      </c>
      <c r="C58" s="316">
        <f t="shared" si="7"/>
        <v>21</v>
      </c>
      <c r="D58" s="361">
        <v>776288.0</v>
      </c>
      <c r="E58" s="319">
        <f t="shared" si="6"/>
        <v>12900</v>
      </c>
      <c r="F58" s="362">
        <v>11390.0</v>
      </c>
      <c r="G58" s="362">
        <v>1510.0</v>
      </c>
      <c r="H58" s="318"/>
      <c r="I58" s="318">
        <f t="shared" si="5"/>
        <v>1510</v>
      </c>
      <c r="J58" s="332"/>
      <c r="K58" s="300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</row>
    <row r="59">
      <c r="A59" s="91"/>
      <c r="B59" s="315">
        <v>46784.0</v>
      </c>
      <c r="C59" s="322">
        <f t="shared" si="7"/>
        <v>22</v>
      </c>
      <c r="D59" s="356">
        <v>764876.0</v>
      </c>
      <c r="E59" s="338">
        <f t="shared" si="6"/>
        <v>12900</v>
      </c>
      <c r="F59" s="357">
        <v>11412.0</v>
      </c>
      <c r="G59" s="357">
        <v>1488.0</v>
      </c>
      <c r="H59" s="323"/>
      <c r="I59" s="323">
        <f t="shared" si="5"/>
        <v>1488</v>
      </c>
      <c r="J59" s="325"/>
      <c r="K59" s="300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</row>
    <row r="60">
      <c r="A60" s="91"/>
      <c r="B60" s="315">
        <v>46813.0</v>
      </c>
      <c r="C60" s="322">
        <f t="shared" si="7"/>
        <v>23</v>
      </c>
      <c r="D60" s="356">
        <v>753442.0</v>
      </c>
      <c r="E60" s="338">
        <f t="shared" si="6"/>
        <v>12900</v>
      </c>
      <c r="F60" s="357">
        <v>11434.0</v>
      </c>
      <c r="G60" s="357">
        <v>1466.0</v>
      </c>
      <c r="H60" s="323"/>
      <c r="I60" s="323">
        <f t="shared" si="5"/>
        <v>1466</v>
      </c>
      <c r="J60" s="325"/>
      <c r="K60" s="300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</row>
    <row r="61">
      <c r="A61" s="91"/>
      <c r="B61" s="315">
        <v>46844.0</v>
      </c>
      <c r="C61" s="322">
        <f t="shared" si="7"/>
        <v>24</v>
      </c>
      <c r="D61" s="356">
        <v>741986.0</v>
      </c>
      <c r="E61" s="338">
        <f t="shared" si="6"/>
        <v>12900</v>
      </c>
      <c r="F61" s="357">
        <v>11456.0</v>
      </c>
      <c r="G61" s="357">
        <v>1444.0</v>
      </c>
      <c r="H61" s="323"/>
      <c r="I61" s="323">
        <f t="shared" si="5"/>
        <v>1444</v>
      </c>
      <c r="J61" s="325"/>
      <c r="K61" s="300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</row>
    <row r="62">
      <c r="A62" s="91"/>
      <c r="B62" s="315">
        <v>46874.0</v>
      </c>
      <c r="C62" s="322">
        <f t="shared" si="7"/>
        <v>25</v>
      </c>
      <c r="D62" s="356">
        <v>730508.0</v>
      </c>
      <c r="E62" s="338">
        <f t="shared" si="6"/>
        <v>12900</v>
      </c>
      <c r="F62" s="357">
        <v>11478.0</v>
      </c>
      <c r="G62" s="357">
        <v>1422.0</v>
      </c>
      <c r="H62" s="323"/>
      <c r="I62" s="323">
        <f t="shared" si="5"/>
        <v>1422</v>
      </c>
      <c r="J62" s="325"/>
      <c r="K62" s="300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</row>
    <row r="63">
      <c r="A63" s="91"/>
      <c r="B63" s="315">
        <v>46905.0</v>
      </c>
      <c r="C63" s="322">
        <f t="shared" si="7"/>
        <v>26</v>
      </c>
      <c r="D63" s="356">
        <v>719008.0</v>
      </c>
      <c r="E63" s="338">
        <f t="shared" si="6"/>
        <v>12900</v>
      </c>
      <c r="F63" s="357">
        <v>11500.0</v>
      </c>
      <c r="G63" s="357">
        <v>1400.0</v>
      </c>
      <c r="H63" s="323"/>
      <c r="I63" s="323">
        <f t="shared" si="5"/>
        <v>1400</v>
      </c>
      <c r="J63" s="325"/>
      <c r="K63" s="300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</row>
    <row r="64">
      <c r="A64" s="91"/>
      <c r="B64" s="315">
        <v>46935.0</v>
      </c>
      <c r="C64" s="322">
        <f t="shared" si="7"/>
        <v>27</v>
      </c>
      <c r="D64" s="356">
        <v>707486.0</v>
      </c>
      <c r="E64" s="338">
        <f t="shared" si="6"/>
        <v>12900</v>
      </c>
      <c r="F64" s="357">
        <v>11522.0</v>
      </c>
      <c r="G64" s="357">
        <v>1378.0</v>
      </c>
      <c r="H64" s="323"/>
      <c r="I64" s="323">
        <f t="shared" si="5"/>
        <v>1378</v>
      </c>
      <c r="J64" s="325"/>
      <c r="K64" s="300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</row>
    <row r="65">
      <c r="A65" s="91"/>
      <c r="B65" s="315">
        <v>46966.0</v>
      </c>
      <c r="C65" s="322">
        <f t="shared" si="7"/>
        <v>28</v>
      </c>
      <c r="D65" s="356">
        <v>695942.0</v>
      </c>
      <c r="E65" s="338">
        <f t="shared" si="6"/>
        <v>12900</v>
      </c>
      <c r="F65" s="357">
        <v>11544.0</v>
      </c>
      <c r="G65" s="357">
        <v>1356.0</v>
      </c>
      <c r="H65" s="323"/>
      <c r="I65" s="323">
        <f t="shared" si="5"/>
        <v>1356</v>
      </c>
      <c r="J65" s="325"/>
      <c r="K65" s="300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</row>
    <row r="66">
      <c r="A66" s="91"/>
      <c r="B66" s="315">
        <v>46997.0</v>
      </c>
      <c r="C66" s="322">
        <f t="shared" si="7"/>
        <v>29</v>
      </c>
      <c r="D66" s="356">
        <v>684376.0</v>
      </c>
      <c r="E66" s="338">
        <f t="shared" si="6"/>
        <v>12900</v>
      </c>
      <c r="F66" s="357">
        <v>11566.0</v>
      </c>
      <c r="G66" s="357">
        <v>1334.0</v>
      </c>
      <c r="H66" s="323"/>
      <c r="I66" s="323">
        <f t="shared" si="5"/>
        <v>1334</v>
      </c>
      <c r="J66" s="325"/>
      <c r="K66" s="300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</row>
    <row r="67">
      <c r="A67" s="91"/>
      <c r="B67" s="315">
        <v>47027.0</v>
      </c>
      <c r="C67" s="322">
        <f t="shared" si="7"/>
        <v>30</v>
      </c>
      <c r="D67" s="356">
        <v>672788.0</v>
      </c>
      <c r="E67" s="338">
        <f t="shared" si="6"/>
        <v>12900</v>
      </c>
      <c r="F67" s="357">
        <v>11588.0</v>
      </c>
      <c r="G67" s="357">
        <v>1312.0</v>
      </c>
      <c r="H67" s="323"/>
      <c r="I67" s="323">
        <f t="shared" si="5"/>
        <v>1312</v>
      </c>
      <c r="J67" s="325"/>
      <c r="K67" s="300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</row>
    <row r="68">
      <c r="A68" s="91"/>
      <c r="B68" s="315">
        <v>47058.0</v>
      </c>
      <c r="C68" s="322">
        <f t="shared" si="7"/>
        <v>31</v>
      </c>
      <c r="D68" s="356">
        <v>661178.0</v>
      </c>
      <c r="E68" s="338">
        <f t="shared" si="6"/>
        <v>12900</v>
      </c>
      <c r="F68" s="357">
        <v>11610.0</v>
      </c>
      <c r="G68" s="357">
        <v>1290.0</v>
      </c>
      <c r="H68" s="323"/>
      <c r="I68" s="323">
        <f t="shared" si="5"/>
        <v>1290</v>
      </c>
      <c r="J68" s="325"/>
      <c r="K68" s="300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</row>
    <row r="69">
      <c r="A69" s="96"/>
      <c r="B69" s="365">
        <v>47088.0</v>
      </c>
      <c r="C69" s="358">
        <f t="shared" si="7"/>
        <v>32</v>
      </c>
      <c r="D69" s="363">
        <v>649545.0</v>
      </c>
      <c r="E69" s="342">
        <f t="shared" si="6"/>
        <v>12900</v>
      </c>
      <c r="F69" s="364">
        <v>11633.0</v>
      </c>
      <c r="G69" s="364">
        <v>1267.0</v>
      </c>
      <c r="H69" s="344"/>
      <c r="I69" s="344">
        <f t="shared" si="5"/>
        <v>1267</v>
      </c>
      <c r="J69" s="345"/>
      <c r="K69" s="300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  <c r="AC69" s="286"/>
    </row>
    <row r="70">
      <c r="A70" s="286"/>
      <c r="B70" s="286"/>
      <c r="C70" s="324">
        <f t="shared" si="7"/>
        <v>33</v>
      </c>
      <c r="D70" s="355">
        <v>637890.0</v>
      </c>
      <c r="E70" s="338">
        <f t="shared" si="6"/>
        <v>12900</v>
      </c>
      <c r="F70" s="355">
        <v>11655.0</v>
      </c>
      <c r="G70" s="355">
        <v>1245.0</v>
      </c>
      <c r="H70" s="323"/>
      <c r="I70" s="323">
        <f t="shared" si="5"/>
        <v>1245</v>
      </c>
      <c r="J70" s="317"/>
      <c r="K70" s="300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</row>
    <row r="71">
      <c r="A71" s="286"/>
      <c r="B71" s="286"/>
      <c r="C71" s="324">
        <f t="shared" si="7"/>
        <v>34</v>
      </c>
      <c r="D71" s="357">
        <v>626213.0</v>
      </c>
      <c r="E71" s="338">
        <f t="shared" si="6"/>
        <v>12900</v>
      </c>
      <c r="F71" s="357">
        <v>11677.0</v>
      </c>
      <c r="G71" s="357">
        <v>1223.0</v>
      </c>
      <c r="H71" s="323"/>
      <c r="I71" s="323">
        <f t="shared" si="5"/>
        <v>1223</v>
      </c>
      <c r="J71" s="317"/>
      <c r="K71" s="300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</row>
    <row r="72">
      <c r="A72" s="286"/>
      <c r="B72" s="286"/>
      <c r="C72" s="324">
        <f t="shared" si="7"/>
        <v>35</v>
      </c>
      <c r="D72" s="357">
        <v>614513.0</v>
      </c>
      <c r="E72" s="338">
        <f t="shared" si="6"/>
        <v>12900</v>
      </c>
      <c r="F72" s="357">
        <v>11700.0</v>
      </c>
      <c r="G72" s="357">
        <v>1200.0</v>
      </c>
      <c r="H72" s="323"/>
      <c r="I72" s="323">
        <f t="shared" si="5"/>
        <v>1200</v>
      </c>
      <c r="J72" s="317"/>
      <c r="K72" s="300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</row>
    <row r="73">
      <c r="A73" s="286"/>
      <c r="B73" s="286"/>
      <c r="C73" s="324">
        <f t="shared" si="7"/>
        <v>36</v>
      </c>
      <c r="D73" s="357">
        <v>602791.0</v>
      </c>
      <c r="E73" s="338">
        <f t="shared" si="6"/>
        <v>12900</v>
      </c>
      <c r="F73" s="357">
        <v>11722.0</v>
      </c>
      <c r="G73" s="357">
        <v>1178.0</v>
      </c>
      <c r="H73" s="323"/>
      <c r="I73" s="323">
        <f t="shared" si="5"/>
        <v>1178</v>
      </c>
      <c r="J73" s="317"/>
      <c r="K73" s="300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</row>
    <row r="74">
      <c r="A74" s="286"/>
      <c r="B74" s="286"/>
      <c r="C74" s="324">
        <f t="shared" si="7"/>
        <v>37</v>
      </c>
      <c r="D74" s="357">
        <v>591046.0</v>
      </c>
      <c r="E74" s="338">
        <f t="shared" si="6"/>
        <v>12900</v>
      </c>
      <c r="F74" s="357">
        <v>11745.0</v>
      </c>
      <c r="G74" s="357">
        <v>1155.0</v>
      </c>
      <c r="H74" s="323"/>
      <c r="I74" s="323">
        <f t="shared" si="5"/>
        <v>1155</v>
      </c>
      <c r="J74" s="317"/>
      <c r="K74" s="300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</row>
    <row r="75">
      <c r="A75" s="286"/>
      <c r="B75" s="286"/>
      <c r="C75" s="324">
        <f t="shared" si="7"/>
        <v>38</v>
      </c>
      <c r="D75" s="357">
        <v>579279.0</v>
      </c>
      <c r="E75" s="338">
        <f t="shared" si="6"/>
        <v>12900</v>
      </c>
      <c r="F75" s="357">
        <v>11767.0</v>
      </c>
      <c r="G75" s="357">
        <v>1133.0</v>
      </c>
      <c r="H75" s="323"/>
      <c r="I75" s="323">
        <f t="shared" si="5"/>
        <v>1133</v>
      </c>
      <c r="J75" s="317"/>
      <c r="K75" s="300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</row>
    <row r="76">
      <c r="A76" s="286"/>
      <c r="B76" s="286"/>
      <c r="C76" s="324">
        <f t="shared" si="7"/>
        <v>39</v>
      </c>
      <c r="D76" s="357">
        <v>567489.0</v>
      </c>
      <c r="E76" s="338">
        <f t="shared" si="6"/>
        <v>12900</v>
      </c>
      <c r="F76" s="357">
        <v>11790.0</v>
      </c>
      <c r="G76" s="357">
        <v>1110.0</v>
      </c>
      <c r="H76" s="323"/>
      <c r="I76" s="323">
        <f t="shared" si="5"/>
        <v>1110</v>
      </c>
      <c r="J76" s="317"/>
      <c r="K76" s="300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</row>
    <row r="77">
      <c r="A77" s="286"/>
      <c r="B77" s="286"/>
      <c r="C77" s="324">
        <f t="shared" si="7"/>
        <v>40</v>
      </c>
      <c r="D77" s="357">
        <v>555677.0</v>
      </c>
      <c r="E77" s="338">
        <f t="shared" si="6"/>
        <v>12900</v>
      </c>
      <c r="F77" s="357">
        <v>11812.0</v>
      </c>
      <c r="G77" s="357">
        <v>1088.0</v>
      </c>
      <c r="H77" s="323"/>
      <c r="I77" s="323">
        <f t="shared" si="5"/>
        <v>1088</v>
      </c>
      <c r="J77" s="317"/>
      <c r="K77" s="300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  <c r="AC77" s="286"/>
    </row>
    <row r="78">
      <c r="A78" s="286"/>
      <c r="B78" s="286"/>
      <c r="C78" s="324">
        <f t="shared" si="7"/>
        <v>41</v>
      </c>
      <c r="D78" s="357">
        <v>543842.0</v>
      </c>
      <c r="E78" s="338">
        <f t="shared" si="6"/>
        <v>12900</v>
      </c>
      <c r="F78" s="357">
        <v>11835.0</v>
      </c>
      <c r="G78" s="357">
        <v>1065.0</v>
      </c>
      <c r="H78" s="323"/>
      <c r="I78" s="323">
        <f t="shared" si="5"/>
        <v>1065</v>
      </c>
      <c r="J78" s="317"/>
      <c r="K78" s="300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</row>
    <row r="79">
      <c r="A79" s="286"/>
      <c r="B79" s="286"/>
      <c r="C79" s="324">
        <f t="shared" si="7"/>
        <v>42</v>
      </c>
      <c r="D79" s="357">
        <v>531984.0</v>
      </c>
      <c r="E79" s="338">
        <f t="shared" si="6"/>
        <v>12900</v>
      </c>
      <c r="F79" s="357">
        <v>11858.0</v>
      </c>
      <c r="G79" s="357">
        <v>1042.0</v>
      </c>
      <c r="H79" s="323"/>
      <c r="I79" s="323">
        <f t="shared" si="5"/>
        <v>1042</v>
      </c>
      <c r="J79" s="317"/>
      <c r="K79" s="300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</row>
    <row r="80">
      <c r="A80" s="286"/>
      <c r="B80" s="286"/>
      <c r="C80" s="324">
        <f t="shared" si="7"/>
        <v>43</v>
      </c>
      <c r="D80" s="357">
        <v>520104.0</v>
      </c>
      <c r="E80" s="338">
        <f t="shared" si="6"/>
        <v>12900</v>
      </c>
      <c r="F80" s="357">
        <v>11880.0</v>
      </c>
      <c r="G80" s="357">
        <v>1020.0</v>
      </c>
      <c r="H80" s="323"/>
      <c r="I80" s="323">
        <f t="shared" si="5"/>
        <v>1020</v>
      </c>
      <c r="J80" s="317"/>
      <c r="K80" s="300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</row>
    <row r="81">
      <c r="A81" s="286"/>
      <c r="B81" s="286"/>
      <c r="C81" s="324">
        <f t="shared" si="7"/>
        <v>44</v>
      </c>
      <c r="D81" s="357">
        <v>508201.0</v>
      </c>
      <c r="E81" s="338">
        <f t="shared" si="6"/>
        <v>12900</v>
      </c>
      <c r="F81" s="357">
        <v>11903.0</v>
      </c>
      <c r="G81" s="357">
        <v>997.0</v>
      </c>
      <c r="H81" s="323"/>
      <c r="I81" s="323">
        <f t="shared" si="5"/>
        <v>997</v>
      </c>
      <c r="J81" s="317"/>
      <c r="K81" s="300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  <c r="AC81" s="286"/>
    </row>
    <row r="82">
      <c r="A82" s="286"/>
      <c r="B82" s="286"/>
      <c r="C82" s="324">
        <f t="shared" si="7"/>
        <v>45</v>
      </c>
      <c r="D82" s="357">
        <v>496275.0</v>
      </c>
      <c r="E82" s="338">
        <f t="shared" si="6"/>
        <v>12900</v>
      </c>
      <c r="F82" s="357">
        <v>11926.0</v>
      </c>
      <c r="G82" s="357">
        <v>974.0</v>
      </c>
      <c r="H82" s="323"/>
      <c r="I82" s="323">
        <f t="shared" si="5"/>
        <v>974</v>
      </c>
      <c r="J82" s="317"/>
      <c r="K82" s="300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</row>
    <row r="83">
      <c r="A83" s="286"/>
      <c r="B83" s="286"/>
      <c r="C83" s="324">
        <f t="shared" si="7"/>
        <v>46</v>
      </c>
      <c r="D83" s="357">
        <v>484326.0</v>
      </c>
      <c r="E83" s="338">
        <f t="shared" si="6"/>
        <v>12900</v>
      </c>
      <c r="F83" s="357">
        <v>11949.0</v>
      </c>
      <c r="G83" s="357">
        <v>951.0</v>
      </c>
      <c r="H83" s="323"/>
      <c r="I83" s="323">
        <f t="shared" si="5"/>
        <v>951</v>
      </c>
      <c r="J83" s="317"/>
      <c r="K83" s="300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</row>
    <row r="84">
      <c r="A84" s="286"/>
      <c r="B84" s="286"/>
      <c r="C84" s="324">
        <f t="shared" si="7"/>
        <v>47</v>
      </c>
      <c r="D84" s="357">
        <v>472354.0</v>
      </c>
      <c r="E84" s="338">
        <f t="shared" si="6"/>
        <v>12900</v>
      </c>
      <c r="F84" s="357">
        <v>11972.0</v>
      </c>
      <c r="G84" s="357">
        <v>928.0</v>
      </c>
      <c r="H84" s="323"/>
      <c r="I84" s="323">
        <f t="shared" si="5"/>
        <v>928</v>
      </c>
      <c r="J84" s="317"/>
      <c r="K84" s="300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</row>
    <row r="85">
      <c r="A85" s="286"/>
      <c r="B85" s="286"/>
      <c r="C85" s="324">
        <f t="shared" si="7"/>
        <v>48</v>
      </c>
      <c r="D85" s="357">
        <v>460359.0</v>
      </c>
      <c r="E85" s="338">
        <f t="shared" si="6"/>
        <v>12900</v>
      </c>
      <c r="F85" s="357">
        <v>11995.0</v>
      </c>
      <c r="G85" s="357">
        <v>905.0</v>
      </c>
      <c r="H85" s="323"/>
      <c r="I85" s="323">
        <f t="shared" si="5"/>
        <v>905</v>
      </c>
      <c r="J85" s="317"/>
      <c r="K85" s="300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</row>
    <row r="86">
      <c r="A86" s="286"/>
      <c r="B86" s="286"/>
      <c r="C86" s="324">
        <f t="shared" si="7"/>
        <v>49</v>
      </c>
      <c r="D86" s="357">
        <v>448341.0</v>
      </c>
      <c r="E86" s="338">
        <f t="shared" si="6"/>
        <v>12900</v>
      </c>
      <c r="F86" s="357">
        <v>12018.0</v>
      </c>
      <c r="G86" s="357">
        <v>882.0</v>
      </c>
      <c r="H86" s="323"/>
      <c r="I86" s="323">
        <f t="shared" si="5"/>
        <v>882</v>
      </c>
      <c r="J86" s="317"/>
      <c r="K86" s="300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</row>
    <row r="87">
      <c r="A87" s="286"/>
      <c r="B87" s="286"/>
      <c r="C87" s="324">
        <f t="shared" si="7"/>
        <v>50</v>
      </c>
      <c r="D87" s="357">
        <v>436300.0</v>
      </c>
      <c r="E87" s="338">
        <f t="shared" si="6"/>
        <v>12900</v>
      </c>
      <c r="F87" s="357">
        <v>12041.0</v>
      </c>
      <c r="G87" s="357">
        <v>859.0</v>
      </c>
      <c r="H87" s="323"/>
      <c r="I87" s="323">
        <f t="shared" si="5"/>
        <v>859</v>
      </c>
      <c r="J87" s="317"/>
      <c r="K87" s="300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</row>
    <row r="88">
      <c r="A88" s="286"/>
      <c r="B88" s="286"/>
      <c r="C88" s="324">
        <f t="shared" si="7"/>
        <v>51</v>
      </c>
      <c r="D88" s="357">
        <v>424236.0</v>
      </c>
      <c r="E88" s="338">
        <f t="shared" si="6"/>
        <v>12900</v>
      </c>
      <c r="F88" s="357">
        <v>12064.0</v>
      </c>
      <c r="G88" s="357">
        <v>836.0</v>
      </c>
      <c r="H88" s="323"/>
      <c r="I88" s="323">
        <f t="shared" si="5"/>
        <v>836</v>
      </c>
      <c r="J88" s="317"/>
      <c r="K88" s="300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</row>
    <row r="89">
      <c r="A89" s="286"/>
      <c r="B89" s="286"/>
      <c r="C89" s="324">
        <f t="shared" si="7"/>
        <v>52</v>
      </c>
      <c r="D89" s="357">
        <v>412149.0</v>
      </c>
      <c r="E89" s="338">
        <f t="shared" si="6"/>
        <v>12900</v>
      </c>
      <c r="F89" s="357">
        <v>12087.0</v>
      </c>
      <c r="G89" s="357">
        <v>813.0</v>
      </c>
      <c r="H89" s="323"/>
      <c r="I89" s="323">
        <f t="shared" si="5"/>
        <v>813</v>
      </c>
      <c r="J89" s="317"/>
      <c r="K89" s="300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</row>
    <row r="90">
      <c r="A90" s="286"/>
      <c r="B90" s="286"/>
      <c r="C90" s="324">
        <f t="shared" si="7"/>
        <v>53</v>
      </c>
      <c r="D90" s="357">
        <v>400039.0</v>
      </c>
      <c r="E90" s="338">
        <f t="shared" si="6"/>
        <v>12900</v>
      </c>
      <c r="F90" s="357">
        <v>12110.0</v>
      </c>
      <c r="G90" s="357">
        <v>790.0</v>
      </c>
      <c r="H90" s="323"/>
      <c r="I90" s="323">
        <f t="shared" si="5"/>
        <v>790</v>
      </c>
      <c r="J90" s="317"/>
      <c r="K90" s="300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</row>
    <row r="91">
      <c r="A91" s="286"/>
      <c r="B91" s="286"/>
      <c r="C91" s="324">
        <f t="shared" si="7"/>
        <v>54</v>
      </c>
      <c r="D91" s="357">
        <v>387906.0</v>
      </c>
      <c r="E91" s="338">
        <f t="shared" si="6"/>
        <v>12900</v>
      </c>
      <c r="F91" s="357">
        <v>12133.0</v>
      </c>
      <c r="G91" s="357">
        <v>767.0</v>
      </c>
      <c r="H91" s="323"/>
      <c r="I91" s="323">
        <f t="shared" si="5"/>
        <v>767</v>
      </c>
      <c r="J91" s="317"/>
      <c r="K91" s="300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</row>
    <row r="92">
      <c r="A92" s="286"/>
      <c r="B92" s="286"/>
      <c r="C92" s="324">
        <f t="shared" si="7"/>
        <v>55</v>
      </c>
      <c r="D92" s="357">
        <v>375749.0</v>
      </c>
      <c r="E92" s="338">
        <f t="shared" si="6"/>
        <v>12900</v>
      </c>
      <c r="F92" s="357">
        <v>12157.0</v>
      </c>
      <c r="G92" s="357">
        <v>743.0</v>
      </c>
      <c r="H92" s="323"/>
      <c r="I92" s="323">
        <f t="shared" si="5"/>
        <v>743</v>
      </c>
      <c r="J92" s="317"/>
      <c r="K92" s="300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</row>
    <row r="93">
      <c r="A93" s="286"/>
      <c r="B93" s="286"/>
      <c r="C93" s="324">
        <f t="shared" si="7"/>
        <v>56</v>
      </c>
      <c r="D93" s="357">
        <v>363569.0</v>
      </c>
      <c r="E93" s="338">
        <f t="shared" si="6"/>
        <v>12900</v>
      </c>
      <c r="F93" s="357">
        <v>12180.0</v>
      </c>
      <c r="G93" s="357">
        <v>720.0</v>
      </c>
      <c r="H93" s="323"/>
      <c r="I93" s="323">
        <f t="shared" si="5"/>
        <v>720</v>
      </c>
      <c r="J93" s="317"/>
      <c r="K93" s="300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</row>
    <row r="94">
      <c r="A94" s="286"/>
      <c r="B94" s="286"/>
      <c r="C94" s="324">
        <f t="shared" si="7"/>
        <v>57</v>
      </c>
      <c r="D94" s="357">
        <v>351366.0</v>
      </c>
      <c r="E94" s="338">
        <f t="shared" si="6"/>
        <v>12900</v>
      </c>
      <c r="F94" s="357">
        <v>12203.0</v>
      </c>
      <c r="G94" s="357">
        <v>697.0</v>
      </c>
      <c r="H94" s="323"/>
      <c r="I94" s="323">
        <f t="shared" si="5"/>
        <v>697</v>
      </c>
      <c r="J94" s="317"/>
      <c r="K94" s="300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</row>
    <row r="95">
      <c r="A95" s="286"/>
      <c r="B95" s="286"/>
      <c r="C95" s="324">
        <f t="shared" si="7"/>
        <v>58</v>
      </c>
      <c r="D95" s="357">
        <v>339139.0</v>
      </c>
      <c r="E95" s="338">
        <f t="shared" si="6"/>
        <v>12900</v>
      </c>
      <c r="F95" s="357">
        <v>12227.0</v>
      </c>
      <c r="G95" s="366">
        <v>673.0</v>
      </c>
      <c r="H95" s="286"/>
      <c r="I95" s="323">
        <f t="shared" si="5"/>
        <v>673</v>
      </c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</row>
    <row r="96">
      <c r="A96" s="286"/>
      <c r="B96" s="286"/>
      <c r="C96" s="324">
        <f t="shared" si="7"/>
        <v>59</v>
      </c>
      <c r="D96" s="357">
        <v>326889.0</v>
      </c>
      <c r="E96" s="338">
        <f t="shared" si="6"/>
        <v>12900</v>
      </c>
      <c r="F96" s="357">
        <v>12250.0</v>
      </c>
      <c r="G96" s="366">
        <v>650.0</v>
      </c>
      <c r="H96" s="286"/>
      <c r="I96" s="323">
        <f t="shared" si="5"/>
        <v>650</v>
      </c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</row>
    <row r="97">
      <c r="A97" s="286"/>
      <c r="B97" s="286"/>
      <c r="C97" s="324">
        <f t="shared" si="7"/>
        <v>60</v>
      </c>
      <c r="D97" s="357">
        <v>314616.0</v>
      </c>
      <c r="E97" s="338">
        <f t="shared" si="6"/>
        <v>12900</v>
      </c>
      <c r="F97" s="357">
        <v>12273.0</v>
      </c>
      <c r="G97" s="366">
        <v>627.0</v>
      </c>
      <c r="H97" s="286"/>
      <c r="I97" s="323">
        <f t="shared" si="5"/>
        <v>627</v>
      </c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</row>
    <row r="98">
      <c r="A98" s="286"/>
      <c r="B98" s="286"/>
      <c r="C98" s="324">
        <f t="shared" si="7"/>
        <v>61</v>
      </c>
      <c r="D98" s="357">
        <v>302319.0</v>
      </c>
      <c r="E98" s="338">
        <f t="shared" si="6"/>
        <v>12900</v>
      </c>
      <c r="F98" s="357">
        <v>12297.0</v>
      </c>
      <c r="G98" s="366">
        <v>603.0</v>
      </c>
      <c r="H98" s="286"/>
      <c r="I98" s="323">
        <f t="shared" si="5"/>
        <v>603</v>
      </c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</row>
    <row r="99">
      <c r="A99" s="286"/>
      <c r="B99" s="286"/>
      <c r="C99" s="324">
        <f t="shared" si="7"/>
        <v>62</v>
      </c>
      <c r="D99" s="357">
        <v>289998.0</v>
      </c>
      <c r="E99" s="338">
        <f t="shared" si="6"/>
        <v>12900</v>
      </c>
      <c r="F99" s="357">
        <v>12321.0</v>
      </c>
      <c r="G99" s="366">
        <v>579.0</v>
      </c>
      <c r="H99" s="286"/>
      <c r="I99" s="323">
        <f t="shared" si="5"/>
        <v>579</v>
      </c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</row>
    <row r="100">
      <c r="A100" s="286"/>
      <c r="B100" s="286"/>
      <c r="C100" s="324">
        <f t="shared" si="7"/>
        <v>63</v>
      </c>
      <c r="D100" s="357">
        <v>277654.0</v>
      </c>
      <c r="E100" s="338">
        <f t="shared" si="6"/>
        <v>12900</v>
      </c>
      <c r="F100" s="357">
        <v>12344.0</v>
      </c>
      <c r="G100" s="366">
        <v>556.0</v>
      </c>
      <c r="H100" s="286"/>
      <c r="I100" s="323">
        <f t="shared" si="5"/>
        <v>556</v>
      </c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</row>
    <row r="101">
      <c r="A101" s="286"/>
      <c r="B101" s="286"/>
      <c r="C101" s="324">
        <f t="shared" si="7"/>
        <v>64</v>
      </c>
      <c r="D101" s="357">
        <v>265286.0</v>
      </c>
      <c r="E101" s="338">
        <f t="shared" si="6"/>
        <v>12900</v>
      </c>
      <c r="F101" s="357">
        <v>12368.0</v>
      </c>
      <c r="G101" s="366">
        <v>532.0</v>
      </c>
      <c r="H101" s="286"/>
      <c r="I101" s="323">
        <f t="shared" si="5"/>
        <v>532</v>
      </c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</row>
    <row r="102">
      <c r="A102" s="286"/>
      <c r="B102" s="286"/>
      <c r="C102" s="324">
        <f t="shared" si="7"/>
        <v>65</v>
      </c>
      <c r="D102" s="357">
        <v>252894.0</v>
      </c>
      <c r="E102" s="338">
        <f t="shared" si="6"/>
        <v>12900</v>
      </c>
      <c r="F102" s="357">
        <v>12392.0</v>
      </c>
      <c r="G102" s="366">
        <v>508.0</v>
      </c>
      <c r="H102" s="286"/>
      <c r="I102" s="323">
        <f t="shared" si="5"/>
        <v>508</v>
      </c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</row>
    <row r="103">
      <c r="A103" s="286"/>
      <c r="B103" s="286"/>
      <c r="C103" s="324">
        <f t="shared" si="7"/>
        <v>66</v>
      </c>
      <c r="D103" s="357">
        <v>240479.0</v>
      </c>
      <c r="E103" s="338">
        <f t="shared" si="6"/>
        <v>12900</v>
      </c>
      <c r="F103" s="357">
        <v>12415.0</v>
      </c>
      <c r="G103" s="366">
        <v>485.0</v>
      </c>
      <c r="H103" s="286"/>
      <c r="I103" s="323">
        <f t="shared" si="5"/>
        <v>485</v>
      </c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</row>
    <row r="104">
      <c r="A104" s="286"/>
      <c r="B104" s="286"/>
      <c r="C104" s="324">
        <f t="shared" si="7"/>
        <v>67</v>
      </c>
      <c r="D104" s="357">
        <v>228040.0</v>
      </c>
      <c r="E104" s="338">
        <f t="shared" si="6"/>
        <v>12900</v>
      </c>
      <c r="F104" s="357">
        <v>12439.0</v>
      </c>
      <c r="G104" s="366">
        <v>461.0</v>
      </c>
      <c r="H104" s="286"/>
      <c r="I104" s="323">
        <f t="shared" si="5"/>
        <v>461</v>
      </c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</row>
    <row r="105">
      <c r="A105" s="286"/>
      <c r="B105" s="286"/>
      <c r="C105" s="324">
        <f t="shared" si="7"/>
        <v>68</v>
      </c>
      <c r="D105" s="357">
        <v>215577.0</v>
      </c>
      <c r="E105" s="338">
        <f t="shared" si="6"/>
        <v>12900</v>
      </c>
      <c r="F105" s="357">
        <v>12463.0</v>
      </c>
      <c r="G105" s="366">
        <v>437.0</v>
      </c>
      <c r="H105" s="286"/>
      <c r="I105" s="323">
        <f t="shared" si="5"/>
        <v>437</v>
      </c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</row>
    <row r="106">
      <c r="A106" s="286"/>
      <c r="B106" s="286"/>
      <c r="C106" s="324">
        <f t="shared" si="7"/>
        <v>69</v>
      </c>
      <c r="D106" s="357">
        <v>203090.0</v>
      </c>
      <c r="E106" s="338">
        <f t="shared" si="6"/>
        <v>12900</v>
      </c>
      <c r="F106" s="357">
        <v>12487.0</v>
      </c>
      <c r="G106" s="366">
        <v>413.0</v>
      </c>
      <c r="H106" s="286"/>
      <c r="I106" s="323">
        <f t="shared" si="5"/>
        <v>413</v>
      </c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</row>
    <row r="107">
      <c r="A107" s="286"/>
      <c r="B107" s="286"/>
      <c r="C107" s="324">
        <f t="shared" si="7"/>
        <v>70</v>
      </c>
      <c r="D107" s="357">
        <v>190579.0</v>
      </c>
      <c r="E107" s="338">
        <f t="shared" si="6"/>
        <v>12900</v>
      </c>
      <c r="F107" s="357">
        <v>12511.0</v>
      </c>
      <c r="G107" s="366">
        <v>389.0</v>
      </c>
      <c r="H107" s="286"/>
      <c r="I107" s="323">
        <f t="shared" si="5"/>
        <v>389</v>
      </c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</row>
    <row r="108">
      <c r="A108" s="286"/>
      <c r="B108" s="286"/>
      <c r="C108" s="324">
        <f t="shared" si="7"/>
        <v>71</v>
      </c>
      <c r="D108" s="357">
        <v>178044.0</v>
      </c>
      <c r="E108" s="338">
        <f t="shared" si="6"/>
        <v>12900</v>
      </c>
      <c r="F108" s="357">
        <v>12535.0</v>
      </c>
      <c r="G108" s="366">
        <v>365.0</v>
      </c>
      <c r="H108" s="286"/>
      <c r="I108" s="323">
        <f t="shared" si="5"/>
        <v>365</v>
      </c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</row>
    <row r="109">
      <c r="A109" s="286"/>
      <c r="B109" s="286"/>
      <c r="C109" s="324">
        <f t="shared" si="7"/>
        <v>72</v>
      </c>
      <c r="D109" s="357">
        <v>165485.0</v>
      </c>
      <c r="E109" s="338">
        <f t="shared" si="6"/>
        <v>12900</v>
      </c>
      <c r="F109" s="357">
        <v>12559.0</v>
      </c>
      <c r="G109" s="366">
        <v>341.0</v>
      </c>
      <c r="H109" s="286"/>
      <c r="I109" s="323">
        <f t="shared" si="5"/>
        <v>341</v>
      </c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</row>
    <row r="110">
      <c r="A110" s="286"/>
      <c r="B110" s="286"/>
      <c r="C110" s="324">
        <f t="shared" si="7"/>
        <v>73</v>
      </c>
      <c r="D110" s="357">
        <v>152902.0</v>
      </c>
      <c r="E110" s="338">
        <f t="shared" si="6"/>
        <v>12900</v>
      </c>
      <c r="F110" s="357">
        <v>12583.0</v>
      </c>
      <c r="G110" s="366">
        <v>317.0</v>
      </c>
      <c r="H110" s="286"/>
      <c r="I110" s="323">
        <f t="shared" si="5"/>
        <v>317</v>
      </c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</row>
    <row r="111">
      <c r="A111" s="286"/>
      <c r="B111" s="286"/>
      <c r="C111" s="324">
        <f t="shared" si="7"/>
        <v>74</v>
      </c>
      <c r="D111" s="357">
        <v>140295.0</v>
      </c>
      <c r="E111" s="338">
        <f t="shared" si="6"/>
        <v>12900</v>
      </c>
      <c r="F111" s="357">
        <v>12607.0</v>
      </c>
      <c r="G111" s="366">
        <v>293.0</v>
      </c>
      <c r="H111" s="286"/>
      <c r="I111" s="323">
        <f t="shared" si="5"/>
        <v>293</v>
      </c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</row>
    <row r="112">
      <c r="A112" s="286"/>
      <c r="B112" s="286"/>
      <c r="C112" s="324">
        <f t="shared" si="7"/>
        <v>75</v>
      </c>
      <c r="D112" s="357">
        <v>127664.0</v>
      </c>
      <c r="E112" s="338">
        <f t="shared" si="6"/>
        <v>12900</v>
      </c>
      <c r="F112" s="357">
        <v>12631.0</v>
      </c>
      <c r="G112" s="366">
        <v>269.0</v>
      </c>
      <c r="H112" s="286"/>
      <c r="I112" s="323">
        <f t="shared" si="5"/>
        <v>269</v>
      </c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</row>
    <row r="113">
      <c r="A113" s="286"/>
      <c r="B113" s="286"/>
      <c r="C113" s="324">
        <f t="shared" si="7"/>
        <v>76</v>
      </c>
      <c r="D113" s="357">
        <v>115009.0</v>
      </c>
      <c r="E113" s="338">
        <f t="shared" si="6"/>
        <v>12900</v>
      </c>
      <c r="F113" s="357">
        <v>12655.0</v>
      </c>
      <c r="G113" s="366">
        <v>245.0</v>
      </c>
      <c r="H113" s="286"/>
      <c r="I113" s="323">
        <f t="shared" si="5"/>
        <v>245</v>
      </c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</row>
    <row r="114">
      <c r="A114" s="286"/>
      <c r="B114" s="286"/>
      <c r="C114" s="324">
        <f t="shared" si="7"/>
        <v>77</v>
      </c>
      <c r="D114" s="357">
        <v>102329.0</v>
      </c>
      <c r="E114" s="338">
        <f t="shared" si="6"/>
        <v>12900</v>
      </c>
      <c r="F114" s="357">
        <v>12680.0</v>
      </c>
      <c r="G114" s="366">
        <v>220.0</v>
      </c>
      <c r="H114" s="286"/>
      <c r="I114" s="323">
        <f t="shared" si="5"/>
        <v>220</v>
      </c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</row>
    <row r="115">
      <c r="A115" s="286"/>
      <c r="B115" s="286"/>
      <c r="C115" s="324">
        <f t="shared" si="7"/>
        <v>78</v>
      </c>
      <c r="D115" s="357">
        <v>89625.0</v>
      </c>
      <c r="E115" s="338">
        <f t="shared" si="6"/>
        <v>12900</v>
      </c>
      <c r="F115" s="357">
        <v>12704.0</v>
      </c>
      <c r="G115" s="366">
        <v>196.0</v>
      </c>
      <c r="H115" s="286"/>
      <c r="I115" s="323">
        <f t="shared" si="5"/>
        <v>196</v>
      </c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</row>
    <row r="116">
      <c r="A116" s="286"/>
      <c r="B116" s="286"/>
      <c r="C116" s="324">
        <f t="shared" si="7"/>
        <v>79</v>
      </c>
      <c r="D116" s="357">
        <v>76897.0</v>
      </c>
      <c r="E116" s="338">
        <f t="shared" si="6"/>
        <v>12900</v>
      </c>
      <c r="F116" s="357">
        <v>12728.0</v>
      </c>
      <c r="G116" s="366">
        <v>172.0</v>
      </c>
      <c r="H116" s="286"/>
      <c r="I116" s="323">
        <f t="shared" si="5"/>
        <v>172</v>
      </c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</row>
    <row r="117">
      <c r="A117" s="286"/>
      <c r="B117" s="286"/>
      <c r="C117" s="324">
        <f t="shared" si="7"/>
        <v>80</v>
      </c>
      <c r="D117" s="357">
        <v>64144.0</v>
      </c>
      <c r="E117" s="338">
        <f t="shared" si="6"/>
        <v>12900</v>
      </c>
      <c r="F117" s="357">
        <v>12753.0</v>
      </c>
      <c r="G117" s="366">
        <v>147.0</v>
      </c>
      <c r="H117" s="286"/>
      <c r="I117" s="323">
        <f t="shared" si="5"/>
        <v>147</v>
      </c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</row>
    <row r="118">
      <c r="A118" s="286"/>
      <c r="B118" s="286"/>
      <c r="C118" s="324">
        <f t="shared" si="7"/>
        <v>81</v>
      </c>
      <c r="D118" s="357">
        <v>51367.0</v>
      </c>
      <c r="E118" s="338">
        <f t="shared" si="6"/>
        <v>12900</v>
      </c>
      <c r="F118" s="357">
        <v>12777.0</v>
      </c>
      <c r="G118" s="366">
        <v>123.0</v>
      </c>
      <c r="H118" s="286"/>
      <c r="I118" s="323">
        <f t="shared" si="5"/>
        <v>123</v>
      </c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</row>
    <row r="119">
      <c r="A119" s="286"/>
      <c r="B119" s="286"/>
      <c r="C119" s="324">
        <f t="shared" si="7"/>
        <v>82</v>
      </c>
      <c r="D119" s="357">
        <v>38565.0</v>
      </c>
      <c r="E119" s="338">
        <f t="shared" si="6"/>
        <v>12900</v>
      </c>
      <c r="F119" s="357">
        <v>12802.0</v>
      </c>
      <c r="G119" s="366">
        <v>98.0</v>
      </c>
      <c r="H119" s="286"/>
      <c r="I119" s="323">
        <f t="shared" si="5"/>
        <v>98</v>
      </c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</row>
    <row r="120">
      <c r="A120" s="286"/>
      <c r="B120" s="286"/>
      <c r="C120" s="324">
        <f t="shared" si="7"/>
        <v>83</v>
      </c>
      <c r="D120" s="357">
        <v>25739.0</v>
      </c>
      <c r="E120" s="338">
        <f t="shared" si="6"/>
        <v>12900</v>
      </c>
      <c r="F120" s="357">
        <v>12826.0</v>
      </c>
      <c r="G120" s="366">
        <v>74.0</v>
      </c>
      <c r="H120" s="286"/>
      <c r="I120" s="323">
        <f t="shared" si="5"/>
        <v>74</v>
      </c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</row>
    <row r="121">
      <c r="A121" s="286"/>
      <c r="B121" s="286"/>
      <c r="C121" s="324">
        <f t="shared" si="7"/>
        <v>84</v>
      </c>
      <c r="D121" s="357">
        <v>12888.0</v>
      </c>
      <c r="E121" s="338">
        <f t="shared" si="6"/>
        <v>12900</v>
      </c>
      <c r="F121" s="357">
        <v>12851.0</v>
      </c>
      <c r="G121" s="366">
        <v>49.0</v>
      </c>
      <c r="H121" s="286"/>
      <c r="I121" s="323">
        <f t="shared" si="5"/>
        <v>49</v>
      </c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</row>
    <row r="122">
      <c r="A122" s="286"/>
      <c r="B122" s="286"/>
      <c r="C122" s="324">
        <f t="shared" si="7"/>
        <v>85</v>
      </c>
      <c r="D122" s="367">
        <v>0.0</v>
      </c>
      <c r="E122" s="338">
        <f t="shared" si="6"/>
        <v>12913</v>
      </c>
      <c r="F122" s="357">
        <v>12888.0</v>
      </c>
      <c r="G122" s="366">
        <v>25.0</v>
      </c>
      <c r="H122" s="286"/>
      <c r="I122" s="323">
        <f t="shared" si="5"/>
        <v>25</v>
      </c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</row>
    <row r="123">
      <c r="A123" s="286"/>
      <c r="B123" s="286"/>
      <c r="C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</row>
    <row r="124">
      <c r="A124" s="286"/>
      <c r="B124" s="286"/>
      <c r="C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</row>
    <row r="125">
      <c r="A125" s="286"/>
      <c r="B125" s="286"/>
      <c r="C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</row>
    <row r="126">
      <c r="A126" s="286"/>
      <c r="B126" s="286"/>
      <c r="C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</row>
    <row r="127">
      <c r="A127" s="286"/>
      <c r="B127" s="286"/>
      <c r="C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</row>
    <row r="128">
      <c r="A128" s="286"/>
      <c r="B128" s="286"/>
      <c r="C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</row>
    <row r="129">
      <c r="A129" s="286"/>
      <c r="B129" s="286"/>
      <c r="C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</row>
    <row r="130">
      <c r="A130" s="286"/>
      <c r="B130" s="286"/>
      <c r="C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</row>
    <row r="131">
      <c r="A131" s="286"/>
      <c r="B131" s="286"/>
      <c r="C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</row>
    <row r="132">
      <c r="A132" s="286"/>
      <c r="B132" s="286"/>
      <c r="C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</row>
    <row r="133">
      <c r="A133" s="286"/>
      <c r="B133" s="286"/>
      <c r="C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</row>
    <row r="134">
      <c r="A134" s="286"/>
      <c r="B134" s="286"/>
      <c r="C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</row>
    <row r="135">
      <c r="A135" s="286"/>
      <c r="B135" s="286"/>
      <c r="C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</row>
    <row r="136">
      <c r="A136" s="286"/>
      <c r="B136" s="286"/>
      <c r="C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</row>
    <row r="137">
      <c r="A137" s="286"/>
      <c r="B137" s="286"/>
      <c r="C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</row>
    <row r="138">
      <c r="A138" s="286"/>
      <c r="B138" s="286"/>
      <c r="C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</row>
    <row r="139">
      <c r="A139" s="286"/>
      <c r="B139" s="286"/>
      <c r="C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</row>
    <row r="140">
      <c r="A140" s="286"/>
      <c r="B140" s="286"/>
      <c r="C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</row>
    <row r="141">
      <c r="A141" s="286"/>
      <c r="B141" s="286"/>
      <c r="C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</row>
    <row r="142">
      <c r="A142" s="286"/>
      <c r="B142" s="286"/>
      <c r="C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</row>
    <row r="143">
      <c r="A143" s="286"/>
      <c r="B143" s="286"/>
      <c r="C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</row>
    <row r="144">
      <c r="A144" s="286"/>
      <c r="B144" s="286"/>
      <c r="C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</row>
    <row r="145">
      <c r="A145" s="286"/>
      <c r="B145" s="286"/>
      <c r="C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</row>
    <row r="146">
      <c r="A146" s="286"/>
      <c r="B146" s="286"/>
      <c r="C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</row>
    <row r="147">
      <c r="A147" s="286"/>
      <c r="B147" s="286"/>
      <c r="C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</row>
    <row r="148">
      <c r="A148" s="286"/>
      <c r="B148" s="286"/>
      <c r="C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</row>
    <row r="149">
      <c r="A149" s="286"/>
      <c r="B149" s="286"/>
      <c r="C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</row>
    <row r="150">
      <c r="A150" s="286"/>
      <c r="B150" s="286"/>
      <c r="C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</row>
    <row r="151">
      <c r="A151" s="286"/>
      <c r="B151" s="286"/>
      <c r="C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</row>
    <row r="152">
      <c r="A152" s="286"/>
      <c r="B152" s="286"/>
      <c r="C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</row>
    <row r="153">
      <c r="A153" s="286"/>
      <c r="B153" s="286"/>
      <c r="C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</row>
    <row r="154">
      <c r="A154" s="286"/>
      <c r="B154" s="286"/>
      <c r="C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</row>
    <row r="155">
      <c r="A155" s="286"/>
      <c r="B155" s="286"/>
      <c r="C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</row>
    <row r="156">
      <c r="A156" s="286"/>
      <c r="B156" s="286"/>
      <c r="C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</row>
    <row r="157">
      <c r="A157" s="286"/>
      <c r="B157" s="286"/>
      <c r="C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</row>
    <row r="158">
      <c r="A158" s="286"/>
      <c r="B158" s="286"/>
      <c r="C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</row>
    <row r="159">
      <c r="A159" s="286"/>
      <c r="B159" s="286"/>
      <c r="C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</row>
    <row r="160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</row>
    <row r="16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</row>
    <row r="162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</row>
    <row r="163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</row>
    <row r="164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</row>
    <row r="165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</row>
    <row r="166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</row>
    <row r="167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</row>
    <row r="168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</row>
    <row r="169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</row>
    <row r="170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</row>
    <row r="17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</row>
    <row r="172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</row>
    <row r="173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</row>
    <row r="174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</row>
    <row r="175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</row>
    <row r="176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</row>
    <row r="177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</row>
    <row r="178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</row>
    <row r="179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</row>
    <row r="180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</row>
    <row r="18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</row>
    <row r="182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</row>
    <row r="183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</row>
    <row r="184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</row>
    <row r="185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</row>
    <row r="186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</row>
    <row r="187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</row>
    <row r="188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</row>
    <row r="189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</row>
    <row r="190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</row>
    <row r="19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</row>
    <row r="192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</row>
    <row r="193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</row>
    <row r="194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</row>
    <row r="195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</row>
    <row r="196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</row>
    <row r="197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</row>
    <row r="198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</row>
    <row r="199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</row>
    <row r="200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</row>
    <row r="20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</row>
    <row r="20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</row>
    <row r="203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</row>
    <row r="204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</row>
    <row r="205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</row>
    <row r="206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</row>
    <row r="207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</row>
    <row r="208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</row>
    <row r="209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</row>
    <row r="210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</row>
    <row r="21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</row>
    <row r="21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</row>
    <row r="213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</row>
    <row r="214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</row>
    <row r="215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</row>
    <row r="216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</row>
    <row r="217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</row>
    <row r="218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</row>
    <row r="219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</row>
    <row r="220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</row>
    <row r="22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</row>
    <row r="22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</row>
    <row r="223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</row>
    <row r="224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</row>
    <row r="225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</row>
    <row r="226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</row>
    <row r="227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</row>
    <row r="228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</row>
    <row r="229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</row>
    <row r="230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</row>
    <row r="23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</row>
    <row r="232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</row>
    <row r="233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</row>
    <row r="234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</row>
    <row r="235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</row>
    <row r="236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</row>
    <row r="237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</row>
    <row r="238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</row>
    <row r="239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</row>
    <row r="240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</row>
    <row r="24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</row>
    <row r="24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</row>
    <row r="243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</row>
    <row r="244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</row>
    <row r="245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</row>
    <row r="246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</row>
    <row r="247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</row>
    <row r="248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</row>
    <row r="249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</row>
    <row r="250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</row>
    <row r="25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</row>
    <row r="25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</row>
    <row r="253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</row>
    <row r="254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</row>
    <row r="255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</row>
    <row r="256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</row>
    <row r="257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</row>
    <row r="258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</row>
    <row r="259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</row>
    <row r="260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</row>
    <row r="26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</row>
    <row r="262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</row>
    <row r="263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</row>
    <row r="264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</row>
    <row r="265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</row>
    <row r="266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</row>
    <row r="267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</row>
    <row r="268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</row>
    <row r="269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</row>
    <row r="270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</row>
    <row r="27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</row>
    <row r="27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</row>
    <row r="273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</row>
    <row r="274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</row>
    <row r="275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</row>
    <row r="276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</row>
    <row r="277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</row>
    <row r="278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</row>
    <row r="279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</row>
    <row r="280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</row>
    <row r="28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</row>
    <row r="28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</row>
    <row r="283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</row>
    <row r="284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</row>
    <row r="285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</row>
    <row r="286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</row>
    <row r="287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</row>
    <row r="288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</row>
    <row r="289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</row>
    <row r="290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</row>
    <row r="29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</row>
    <row r="292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</row>
    <row r="293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</row>
    <row r="294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</row>
    <row r="295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</row>
    <row r="296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</row>
    <row r="297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</row>
    <row r="298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</row>
    <row r="299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</row>
    <row r="300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</row>
    <row r="30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</row>
    <row r="302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</row>
    <row r="303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</row>
    <row r="304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</row>
    <row r="305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</row>
    <row r="306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</row>
    <row r="307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</row>
    <row r="308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</row>
    <row r="309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</row>
    <row r="310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</row>
    <row r="31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</row>
    <row r="312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</row>
    <row r="313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</row>
    <row r="314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</row>
    <row r="315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</row>
    <row r="316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</row>
    <row r="317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</row>
    <row r="318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</row>
    <row r="319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</row>
    <row r="320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</row>
    <row r="32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</row>
    <row r="322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</row>
    <row r="323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</row>
    <row r="324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</row>
    <row r="325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</row>
    <row r="326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</row>
    <row r="327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</row>
    <row r="328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</row>
    <row r="329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</row>
    <row r="330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</row>
    <row r="33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</row>
    <row r="332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</row>
    <row r="333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</row>
    <row r="334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</row>
    <row r="335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</row>
    <row r="336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</row>
    <row r="337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</row>
    <row r="338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</row>
    <row r="339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</row>
    <row r="340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</row>
    <row r="34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</row>
    <row r="342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</row>
    <row r="343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</row>
    <row r="344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</row>
    <row r="345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</row>
    <row r="346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</row>
    <row r="347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</row>
    <row r="348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</row>
    <row r="349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</row>
    <row r="350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</row>
    <row r="35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</row>
    <row r="352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</row>
    <row r="353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</row>
    <row r="354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</row>
    <row r="355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</row>
    <row r="356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</row>
    <row r="357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</row>
    <row r="358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</row>
    <row r="359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</row>
    <row r="360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</row>
    <row r="36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</row>
    <row r="362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</row>
    <row r="363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</row>
    <row r="364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</row>
    <row r="365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</row>
    <row r="366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</row>
    <row r="367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</row>
    <row r="368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</row>
    <row r="369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</row>
    <row r="370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</row>
    <row r="37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</row>
    <row r="372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</row>
    <row r="373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</row>
    <row r="374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</row>
    <row r="375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</row>
    <row r="376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</row>
    <row r="377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</row>
    <row r="378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</row>
    <row r="379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</row>
    <row r="380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</row>
    <row r="38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</row>
    <row r="382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</row>
    <row r="383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</row>
    <row r="384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</row>
    <row r="385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</row>
    <row r="386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</row>
    <row r="387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</row>
    <row r="388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</row>
    <row r="389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</row>
    <row r="390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</row>
    <row r="39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</row>
    <row r="392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</row>
    <row r="393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</row>
    <row r="394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</row>
    <row r="395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</row>
    <row r="396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</row>
    <row r="397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</row>
    <row r="398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</row>
    <row r="399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</row>
    <row r="400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</row>
    <row r="40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</row>
    <row r="402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</row>
    <row r="403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</row>
    <row r="404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</row>
    <row r="405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</row>
    <row r="406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</row>
    <row r="407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</row>
    <row r="408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</row>
    <row r="409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</row>
    <row r="410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</row>
    <row r="41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</row>
    <row r="412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</row>
    <row r="413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</row>
    <row r="414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</row>
    <row r="415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</row>
    <row r="416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</row>
    <row r="417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</row>
    <row r="418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</row>
    <row r="419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</row>
    <row r="420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</row>
    <row r="42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</row>
    <row r="422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</row>
    <row r="423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</row>
    <row r="424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</row>
    <row r="425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</row>
    <row r="426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</row>
    <row r="427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</row>
    <row r="428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</row>
    <row r="429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</row>
    <row r="430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</row>
    <row r="43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</row>
    <row r="432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</row>
    <row r="433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</row>
    <row r="434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</row>
    <row r="435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</row>
    <row r="436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</row>
    <row r="437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</row>
    <row r="438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</row>
    <row r="439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</row>
    <row r="440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</row>
    <row r="44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</row>
    <row r="442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</row>
    <row r="443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</row>
    <row r="444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</row>
    <row r="445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</row>
    <row r="446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</row>
    <row r="447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</row>
    <row r="448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</row>
    <row r="449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</row>
    <row r="450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</row>
    <row r="45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</row>
    <row r="452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</row>
    <row r="453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</row>
    <row r="454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</row>
    <row r="455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</row>
    <row r="456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</row>
    <row r="457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</row>
    <row r="458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</row>
    <row r="459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</row>
    <row r="460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</row>
    <row r="46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</row>
    <row r="462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</row>
    <row r="463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</row>
    <row r="464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</row>
    <row r="465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</row>
    <row r="466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</row>
    <row r="467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</row>
    <row r="468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</row>
    <row r="469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</row>
    <row r="470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</row>
    <row r="47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</row>
    <row r="472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</row>
    <row r="473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</row>
    <row r="474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</row>
    <row r="475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</row>
    <row r="476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</row>
    <row r="477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</row>
    <row r="478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</row>
    <row r="479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</row>
    <row r="480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</row>
    <row r="48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</row>
    <row r="482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</row>
    <row r="483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</row>
    <row r="484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</row>
    <row r="485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</row>
    <row r="486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</row>
    <row r="487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</row>
    <row r="488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</row>
    <row r="489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</row>
    <row r="490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</row>
    <row r="49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</row>
    <row r="492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</row>
    <row r="493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</row>
    <row r="494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</row>
    <row r="495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</row>
    <row r="496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</row>
    <row r="497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</row>
    <row r="498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</row>
    <row r="499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</row>
    <row r="500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</row>
    <row r="50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</row>
    <row r="502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</row>
    <row r="503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</row>
    <row r="504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</row>
    <row r="505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</row>
    <row r="506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</row>
    <row r="507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</row>
    <row r="508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</row>
    <row r="509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</row>
    <row r="510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</row>
    <row r="51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</row>
    <row r="512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</row>
    <row r="513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</row>
    <row r="514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</row>
    <row r="515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</row>
    <row r="516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</row>
    <row r="517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</row>
    <row r="518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</row>
    <row r="519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</row>
    <row r="520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</row>
    <row r="52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</row>
    <row r="522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</row>
    <row r="523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</row>
    <row r="524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</row>
    <row r="525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</row>
    <row r="526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</row>
    <row r="527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</row>
    <row r="528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</row>
    <row r="529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</row>
    <row r="530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</row>
    <row r="53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</row>
    <row r="532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</row>
    <row r="533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</row>
    <row r="534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</row>
    <row r="535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</row>
    <row r="536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</row>
    <row r="537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</row>
    <row r="538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</row>
    <row r="539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</row>
    <row r="540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</row>
    <row r="54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</row>
    <row r="542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</row>
    <row r="543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</row>
    <row r="544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</row>
    <row r="545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</row>
    <row r="546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</row>
    <row r="547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</row>
    <row r="548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</row>
    <row r="549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</row>
    <row r="550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</row>
    <row r="55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</row>
    <row r="552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</row>
    <row r="553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</row>
    <row r="554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</row>
    <row r="555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</row>
    <row r="556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</row>
    <row r="557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</row>
    <row r="558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</row>
    <row r="559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</row>
    <row r="560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  <c r="AC560" s="286"/>
    </row>
    <row r="56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</row>
    <row r="562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</row>
    <row r="563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</row>
    <row r="564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  <c r="AC564" s="286"/>
    </row>
    <row r="565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  <c r="AC565" s="286"/>
    </row>
    <row r="566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</row>
    <row r="567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</row>
    <row r="568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</row>
    <row r="569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  <c r="AC569" s="286"/>
    </row>
    <row r="570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  <c r="AC570" s="286"/>
    </row>
    <row r="57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</row>
    <row r="572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</row>
    <row r="573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</row>
    <row r="574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  <c r="AC574" s="286"/>
    </row>
    <row r="575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  <c r="AC575" s="286"/>
    </row>
    <row r="576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</row>
    <row r="577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</row>
    <row r="578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</row>
    <row r="579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</row>
    <row r="580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</row>
    <row r="58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</row>
    <row r="582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</row>
    <row r="583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</row>
    <row r="584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  <c r="AC584" s="286"/>
    </row>
    <row r="585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  <c r="AC585" s="286"/>
    </row>
    <row r="586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</row>
    <row r="587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</row>
    <row r="588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</row>
    <row r="589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</row>
    <row r="590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</row>
    <row r="59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</row>
    <row r="592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</row>
    <row r="593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</row>
    <row r="594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</row>
    <row r="595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</row>
    <row r="596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</row>
    <row r="597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</row>
    <row r="598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</row>
    <row r="599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</row>
    <row r="600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</row>
    <row r="60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</row>
    <row r="602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</row>
    <row r="603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</row>
    <row r="604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</row>
    <row r="605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</row>
    <row r="606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</row>
    <row r="607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</row>
    <row r="608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</row>
    <row r="609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</row>
    <row r="610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</row>
    <row r="61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</row>
    <row r="612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</row>
    <row r="613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</row>
    <row r="614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</row>
    <row r="615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</row>
    <row r="616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</row>
    <row r="617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</row>
    <row r="618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</row>
    <row r="619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</row>
    <row r="620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</row>
    <row r="62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</row>
    <row r="622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</row>
    <row r="623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</row>
    <row r="624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</row>
    <row r="625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</row>
    <row r="626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</row>
    <row r="627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</row>
    <row r="628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</row>
    <row r="629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</row>
    <row r="630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</row>
    <row r="63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</row>
    <row r="632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</row>
    <row r="633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</row>
    <row r="634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</row>
    <row r="635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</row>
    <row r="636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</row>
    <row r="637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</row>
    <row r="638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</row>
    <row r="639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</row>
    <row r="640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</row>
    <row r="64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</row>
    <row r="642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</row>
    <row r="643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</row>
    <row r="644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</row>
    <row r="645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</row>
    <row r="646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</row>
    <row r="647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</row>
    <row r="648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</row>
    <row r="649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</row>
    <row r="650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</row>
    <row r="65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</row>
    <row r="652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</row>
    <row r="653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</row>
    <row r="654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</row>
    <row r="655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</row>
    <row r="656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</row>
    <row r="657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</row>
    <row r="658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</row>
    <row r="659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</row>
    <row r="660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</row>
    <row r="66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</row>
    <row r="662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</row>
    <row r="663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</row>
    <row r="664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</row>
    <row r="665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</row>
    <row r="666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</row>
    <row r="667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</row>
    <row r="668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</row>
    <row r="669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</row>
    <row r="670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</row>
    <row r="67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</row>
    <row r="672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</row>
    <row r="673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</row>
    <row r="674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</row>
    <row r="675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</row>
    <row r="676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</row>
    <row r="677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</row>
    <row r="678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</row>
    <row r="679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</row>
    <row r="680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</row>
    <row r="68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</row>
    <row r="682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</row>
    <row r="683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</row>
    <row r="684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</row>
    <row r="685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</row>
    <row r="686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</row>
    <row r="687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</row>
    <row r="688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</row>
    <row r="689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</row>
    <row r="690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</row>
    <row r="69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</row>
    <row r="692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</row>
    <row r="693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</row>
    <row r="694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</row>
    <row r="695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</row>
    <row r="696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</row>
    <row r="697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</row>
    <row r="698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</row>
    <row r="699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</row>
    <row r="700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</row>
    <row r="70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</row>
    <row r="702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</row>
    <row r="703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</row>
    <row r="704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</row>
    <row r="705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</row>
    <row r="706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</row>
    <row r="707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</row>
    <row r="708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</row>
    <row r="709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</row>
    <row r="710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</row>
    <row r="71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</row>
    <row r="712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</row>
    <row r="713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</row>
    <row r="714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</row>
    <row r="715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</row>
    <row r="716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</row>
    <row r="717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</row>
    <row r="718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</row>
    <row r="719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</row>
    <row r="720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</row>
    <row r="72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</row>
    <row r="722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</row>
    <row r="723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</row>
    <row r="724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</row>
    <row r="725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</row>
    <row r="726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</row>
    <row r="727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</row>
    <row r="728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</row>
    <row r="729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</row>
    <row r="730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</row>
    <row r="73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</row>
    <row r="732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</row>
    <row r="733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</row>
    <row r="734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</row>
    <row r="735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</row>
    <row r="736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</row>
    <row r="737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</row>
    <row r="738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</row>
    <row r="739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</row>
    <row r="740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</row>
    <row r="74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</row>
    <row r="742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</row>
    <row r="743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</row>
    <row r="744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</row>
    <row r="745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</row>
    <row r="746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</row>
    <row r="747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</row>
    <row r="748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</row>
    <row r="749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</row>
    <row r="750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</row>
    <row r="75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</row>
    <row r="752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</row>
    <row r="753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</row>
    <row r="754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</row>
    <row r="755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</row>
    <row r="756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</row>
    <row r="757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</row>
    <row r="758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</row>
    <row r="759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</row>
    <row r="760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</row>
    <row r="76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</row>
    <row r="762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</row>
    <row r="763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</row>
    <row r="764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</row>
    <row r="765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</row>
    <row r="766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</row>
    <row r="767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</row>
    <row r="768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</row>
    <row r="769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</row>
    <row r="770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</row>
    <row r="77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</row>
    <row r="772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</row>
    <row r="773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</row>
    <row r="774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</row>
    <row r="775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</row>
    <row r="776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</row>
    <row r="777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</row>
    <row r="778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</row>
    <row r="779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</row>
    <row r="780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</row>
    <row r="78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</row>
    <row r="782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</row>
    <row r="783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</row>
    <row r="784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</row>
    <row r="785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</row>
    <row r="786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</row>
    <row r="787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</row>
    <row r="788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</row>
    <row r="789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</row>
    <row r="790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</row>
    <row r="79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</row>
    <row r="792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</row>
    <row r="793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</row>
    <row r="794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  <c r="AC794" s="286"/>
    </row>
    <row r="795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  <c r="AC795" s="286"/>
    </row>
    <row r="796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</row>
    <row r="797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</row>
    <row r="798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</row>
    <row r="799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</row>
    <row r="800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</row>
    <row r="80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</row>
    <row r="802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</row>
    <row r="803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</row>
    <row r="804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86"/>
    </row>
    <row r="805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</row>
    <row r="806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</row>
    <row r="807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</row>
    <row r="808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</row>
    <row r="809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</row>
    <row r="810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</row>
    <row r="81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</row>
    <row r="812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</row>
    <row r="813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</row>
    <row r="814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</row>
    <row r="815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</row>
    <row r="816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</row>
    <row r="817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</row>
    <row r="818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</row>
    <row r="819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</row>
    <row r="820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</row>
    <row r="82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</row>
    <row r="822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</row>
    <row r="823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</row>
    <row r="824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</row>
    <row r="825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</row>
    <row r="826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</row>
    <row r="827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</row>
    <row r="828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</row>
    <row r="829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</row>
    <row r="830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</row>
    <row r="83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</row>
    <row r="832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</row>
    <row r="833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</row>
    <row r="834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</row>
    <row r="835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</row>
    <row r="836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</row>
    <row r="837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</row>
    <row r="838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</row>
    <row r="839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</row>
    <row r="840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</row>
    <row r="84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</row>
    <row r="842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</row>
    <row r="843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</row>
    <row r="844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</row>
    <row r="845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</row>
    <row r="846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</row>
    <row r="847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</row>
    <row r="848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</row>
    <row r="849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</row>
    <row r="850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</row>
    <row r="85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</row>
    <row r="852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</row>
    <row r="853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</row>
    <row r="854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</row>
    <row r="855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</row>
    <row r="856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</row>
    <row r="857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</row>
    <row r="858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</row>
    <row r="859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</row>
    <row r="860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</row>
    <row r="86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</row>
    <row r="862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</row>
    <row r="863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</row>
    <row r="864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</row>
    <row r="865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</row>
    <row r="866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</row>
    <row r="867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</row>
    <row r="868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</row>
    <row r="869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</row>
    <row r="870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</row>
    <row r="87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</row>
    <row r="872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</row>
    <row r="873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</row>
    <row r="874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</row>
    <row r="875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</row>
    <row r="876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</row>
    <row r="877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</row>
    <row r="878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</row>
    <row r="879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</row>
    <row r="880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</row>
    <row r="88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</row>
    <row r="882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</row>
    <row r="883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</row>
    <row r="884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</row>
    <row r="885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</row>
    <row r="886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</row>
    <row r="887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</row>
    <row r="888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</row>
    <row r="889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</row>
    <row r="890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</row>
    <row r="89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</row>
    <row r="892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</row>
    <row r="893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</row>
    <row r="894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</row>
    <row r="895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</row>
    <row r="896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</row>
    <row r="897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</row>
    <row r="898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</row>
    <row r="899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</row>
    <row r="900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</row>
    <row r="90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</row>
    <row r="902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</row>
    <row r="903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</row>
    <row r="904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</row>
    <row r="905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</row>
    <row r="906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</row>
    <row r="907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</row>
    <row r="908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</row>
    <row r="909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</row>
    <row r="910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</row>
    <row r="91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</row>
    <row r="912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</row>
    <row r="913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</row>
    <row r="914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</row>
    <row r="915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</row>
    <row r="916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</row>
    <row r="917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</row>
    <row r="918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</row>
    <row r="919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</row>
    <row r="920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</row>
    <row r="92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</row>
    <row r="922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</row>
    <row r="923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</row>
    <row r="924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</row>
    <row r="925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</row>
    <row r="926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</row>
    <row r="927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</row>
    <row r="928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</row>
    <row r="929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</row>
    <row r="930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</row>
    <row r="93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</row>
    <row r="932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</row>
    <row r="933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</row>
    <row r="934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</row>
    <row r="935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</row>
    <row r="936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</row>
    <row r="937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</row>
    <row r="938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</row>
    <row r="939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</row>
    <row r="940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</row>
    <row r="94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</row>
    <row r="942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</row>
    <row r="943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</row>
    <row r="944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</row>
    <row r="945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</row>
    <row r="946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</row>
    <row r="947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</row>
    <row r="948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</row>
    <row r="949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</row>
    <row r="950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</row>
    <row r="95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</row>
    <row r="952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  <c r="AC952" s="286"/>
    </row>
    <row r="953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</row>
    <row r="954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</row>
    <row r="955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</row>
    <row r="956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</row>
    <row r="957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</row>
    <row r="958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</row>
    <row r="959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</row>
    <row r="960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</row>
    <row r="96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</row>
    <row r="962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</row>
    <row r="963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</row>
    <row r="964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</row>
    <row r="965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</row>
    <row r="966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</row>
    <row r="967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</row>
    <row r="968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</row>
    <row r="969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</row>
    <row r="970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</row>
    <row r="97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</row>
    <row r="972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</row>
    <row r="973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</row>
    <row r="974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</row>
    <row r="975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</row>
    <row r="976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</row>
    <row r="977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</row>
    <row r="978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</row>
    <row r="979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</row>
    <row r="980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</row>
    <row r="98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</row>
    <row r="982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</row>
    <row r="983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</row>
    <row r="984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</row>
    <row r="985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</row>
    <row r="986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</row>
    <row r="987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</row>
    <row r="988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</row>
    <row r="989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</row>
    <row r="990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</row>
    <row r="99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</row>
    <row r="992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  <c r="AC992" s="286"/>
    </row>
    <row r="993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  <c r="AC993" s="286"/>
    </row>
    <row r="994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  <c r="AC994" s="286"/>
    </row>
    <row r="995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</row>
    <row r="996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</row>
    <row r="997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</row>
    <row r="998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</row>
    <row r="999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</row>
    <row r="1000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</row>
  </sheetData>
  <mergeCells count="8">
    <mergeCell ref="A1:B2"/>
    <mergeCell ref="C2:D2"/>
    <mergeCell ref="F2:G2"/>
    <mergeCell ref="A10:A21"/>
    <mergeCell ref="A22:A33"/>
    <mergeCell ref="A34:A45"/>
    <mergeCell ref="A46:A57"/>
    <mergeCell ref="A58:A6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5.0"/>
    <col customWidth="1" min="2" max="2" width="9.0"/>
    <col customWidth="1" min="3" max="4" width="10.38"/>
    <col customWidth="1" min="5" max="5" width="10.0"/>
    <col customWidth="1" min="6" max="7" width="10.38"/>
    <col customWidth="1" min="8" max="8" width="8.5"/>
    <col customWidth="1" min="9" max="10" width="10.38"/>
    <col customWidth="1" min="11" max="11" width="8.38"/>
    <col customWidth="1" min="12" max="12" width="11.5"/>
    <col customWidth="1" min="13" max="13" width="11.0"/>
    <col customWidth="1" min="14" max="14" width="7.5"/>
    <col customWidth="1" min="15" max="15" width="11.63"/>
    <col customWidth="1" min="16" max="16" width="11.0"/>
    <col customWidth="1" min="17" max="17" width="7.5"/>
    <col customWidth="1" min="18" max="18" width="61.88"/>
    <col customWidth="1" min="19" max="25" width="0.38"/>
  </cols>
  <sheetData>
    <row r="1" ht="15.75" customHeight="1">
      <c r="A1" s="368" t="s">
        <v>624</v>
      </c>
      <c r="B1" s="16"/>
      <c r="C1" s="369" t="s">
        <v>625</v>
      </c>
      <c r="D1" s="28"/>
      <c r="E1" s="29"/>
      <c r="F1" s="369" t="s">
        <v>626</v>
      </c>
      <c r="G1" s="28"/>
      <c r="H1" s="29"/>
      <c r="I1" s="370" t="s">
        <v>627</v>
      </c>
      <c r="J1" s="28"/>
      <c r="K1" s="29"/>
      <c r="L1" s="370" t="s">
        <v>627</v>
      </c>
      <c r="M1" s="28"/>
      <c r="N1" s="29"/>
      <c r="O1" s="370" t="s">
        <v>627</v>
      </c>
      <c r="P1" s="28"/>
      <c r="Q1" s="29"/>
      <c r="R1" s="174"/>
      <c r="S1" s="174"/>
      <c r="T1" s="174"/>
      <c r="U1" s="174"/>
      <c r="V1" s="174"/>
      <c r="W1" s="174"/>
      <c r="X1" s="174"/>
      <c r="Y1" s="174"/>
    </row>
    <row r="2" ht="16.5" customHeight="1">
      <c r="A2" s="171"/>
      <c r="B2" s="171"/>
      <c r="C2" s="371" t="s">
        <v>628</v>
      </c>
      <c r="D2" s="28"/>
      <c r="E2" s="28"/>
      <c r="F2" s="369" t="s">
        <v>629</v>
      </c>
      <c r="G2" s="28"/>
      <c r="H2" s="29"/>
      <c r="I2" s="370" t="s">
        <v>630</v>
      </c>
      <c r="J2" s="28"/>
      <c r="K2" s="29"/>
      <c r="L2" s="370" t="s">
        <v>630</v>
      </c>
      <c r="M2" s="28"/>
      <c r="N2" s="29"/>
      <c r="O2" s="370" t="s">
        <v>630</v>
      </c>
      <c r="P2" s="28"/>
      <c r="Q2" s="29"/>
      <c r="R2" s="372"/>
      <c r="S2" s="190"/>
      <c r="T2" s="190"/>
      <c r="U2" s="190"/>
      <c r="V2" s="190"/>
      <c r="W2" s="190"/>
      <c r="X2" s="190"/>
      <c r="Y2" s="190"/>
    </row>
    <row r="3" ht="16.5" customHeight="1">
      <c r="A3" s="180" t="s">
        <v>409</v>
      </c>
      <c r="B3" s="16"/>
      <c r="C3" s="176" t="s">
        <v>631</v>
      </c>
      <c r="D3" s="15"/>
      <c r="E3" s="16"/>
      <c r="F3" s="181" t="s">
        <v>632</v>
      </c>
      <c r="G3" s="15"/>
      <c r="H3" s="15"/>
      <c r="I3" s="180" t="s">
        <v>633</v>
      </c>
      <c r="J3" s="15"/>
      <c r="K3" s="15"/>
      <c r="L3" s="180" t="s">
        <v>634</v>
      </c>
      <c r="M3" s="15"/>
      <c r="N3" s="15"/>
      <c r="O3" s="180" t="s">
        <v>635</v>
      </c>
      <c r="P3" s="15"/>
      <c r="Q3" s="15"/>
      <c r="R3" s="189"/>
      <c r="S3" s="190"/>
      <c r="T3" s="190"/>
      <c r="U3" s="190"/>
      <c r="V3" s="190"/>
      <c r="W3" s="190"/>
      <c r="X3" s="190"/>
      <c r="Y3" s="190"/>
    </row>
    <row r="4" ht="16.5" customHeight="1">
      <c r="A4" s="175" t="s">
        <v>554</v>
      </c>
      <c r="B4" s="176" t="s">
        <v>555</v>
      </c>
      <c r="C4" s="373" t="s">
        <v>636</v>
      </c>
      <c r="D4" s="373" t="s">
        <v>637</v>
      </c>
      <c r="E4" s="373" t="s">
        <v>638</v>
      </c>
      <c r="F4" s="373" t="s">
        <v>636</v>
      </c>
      <c r="G4" s="373" t="s">
        <v>637</v>
      </c>
      <c r="H4" s="373" t="s">
        <v>638</v>
      </c>
      <c r="I4" s="373" t="s">
        <v>636</v>
      </c>
      <c r="J4" s="373" t="s">
        <v>639</v>
      </c>
      <c r="K4" s="373" t="s">
        <v>638</v>
      </c>
      <c r="L4" s="373" t="s">
        <v>636</v>
      </c>
      <c r="M4" s="373" t="s">
        <v>639</v>
      </c>
      <c r="N4" s="373" t="s">
        <v>638</v>
      </c>
      <c r="O4" s="373" t="s">
        <v>636</v>
      </c>
      <c r="P4" s="373" t="s">
        <v>639</v>
      </c>
      <c r="Q4" s="373" t="s">
        <v>638</v>
      </c>
      <c r="R4" s="189" t="s">
        <v>18</v>
      </c>
      <c r="S4" s="190"/>
      <c r="T4" s="190"/>
      <c r="U4" s="190"/>
      <c r="V4" s="190"/>
      <c r="W4" s="190"/>
      <c r="X4" s="190"/>
      <c r="Y4" s="190"/>
    </row>
    <row r="5" ht="15.75" hidden="1" customHeight="1">
      <c r="A5" s="191">
        <v>2018.0</v>
      </c>
      <c r="B5" s="174" t="s">
        <v>412</v>
      </c>
      <c r="C5" s="374">
        <v>0.0</v>
      </c>
      <c r="D5" s="375">
        <v>0.0</v>
      </c>
      <c r="E5" s="376">
        <v>0.0</v>
      </c>
      <c r="F5" s="374">
        <v>0.0</v>
      </c>
      <c r="G5" s="375">
        <v>0.0</v>
      </c>
      <c r="H5" s="376">
        <v>0.0</v>
      </c>
      <c r="I5" s="374">
        <v>0.0</v>
      </c>
      <c r="J5" s="375">
        <v>0.0</v>
      </c>
      <c r="K5" s="376">
        <v>0.0</v>
      </c>
      <c r="L5" s="377" t="s">
        <v>640</v>
      </c>
      <c r="M5" s="378">
        <v>31.0</v>
      </c>
      <c r="N5" s="376">
        <v>0.0</v>
      </c>
      <c r="O5" s="377" t="s">
        <v>640</v>
      </c>
      <c r="P5" s="378">
        <f>M5</f>
        <v>31</v>
      </c>
      <c r="Q5" s="376">
        <v>0.0</v>
      </c>
      <c r="R5" s="379"/>
      <c r="S5" s="174"/>
      <c r="T5" s="174"/>
      <c r="U5" s="174"/>
      <c r="V5" s="174"/>
      <c r="W5" s="174"/>
      <c r="X5" s="174"/>
      <c r="Y5" s="174"/>
    </row>
    <row r="6" ht="15.75" hidden="1" customHeight="1">
      <c r="B6" s="201">
        <v>43405.0</v>
      </c>
      <c r="C6" s="380">
        <v>0.0</v>
      </c>
      <c r="D6" s="381">
        <v>0.0</v>
      </c>
      <c r="E6" s="382">
        <v>0.0</v>
      </c>
      <c r="F6" s="380">
        <v>0.0</v>
      </c>
      <c r="G6" s="381">
        <v>0.0</v>
      </c>
      <c r="H6" s="382">
        <v>0.0</v>
      </c>
      <c r="I6" s="380">
        <v>0.0</v>
      </c>
      <c r="J6" s="381">
        <v>0.0</v>
      </c>
      <c r="K6" s="382">
        <v>0.0</v>
      </c>
      <c r="L6" s="380">
        <v>0.0</v>
      </c>
      <c r="M6" s="381">
        <v>0.0</v>
      </c>
      <c r="N6" s="382">
        <v>0.0</v>
      </c>
      <c r="O6" s="380">
        <v>0.0</v>
      </c>
      <c r="P6" s="381">
        <v>0.0</v>
      </c>
      <c r="Q6" s="382">
        <v>0.0</v>
      </c>
      <c r="R6" s="383"/>
      <c r="S6" s="174"/>
      <c r="T6" s="174"/>
      <c r="U6" s="174"/>
      <c r="V6" s="174"/>
      <c r="W6" s="174"/>
      <c r="X6" s="174"/>
      <c r="Y6" s="174"/>
    </row>
    <row r="7" ht="15.75" hidden="1" customHeight="1">
      <c r="B7" s="201">
        <v>43435.0</v>
      </c>
      <c r="C7" s="380">
        <v>0.0</v>
      </c>
      <c r="D7" s="381">
        <v>0.0</v>
      </c>
      <c r="E7" s="382">
        <v>0.0</v>
      </c>
      <c r="F7" s="380">
        <v>0.0</v>
      </c>
      <c r="G7" s="381">
        <v>0.0</v>
      </c>
      <c r="H7" s="382">
        <v>0.0</v>
      </c>
      <c r="I7" s="380">
        <v>0.0</v>
      </c>
      <c r="J7" s="381">
        <v>0.0</v>
      </c>
      <c r="K7" s="382">
        <v>0.0</v>
      </c>
      <c r="L7" s="380">
        <v>0.0</v>
      </c>
      <c r="M7" s="381">
        <v>0.0</v>
      </c>
      <c r="N7" s="382">
        <v>0.0</v>
      </c>
      <c r="O7" s="380">
        <v>0.0</v>
      </c>
      <c r="P7" s="381">
        <v>0.0</v>
      </c>
      <c r="Q7" s="382">
        <v>0.0</v>
      </c>
      <c r="R7" s="384"/>
      <c r="S7" s="174"/>
      <c r="T7" s="174"/>
      <c r="U7" s="174"/>
      <c r="V7" s="174"/>
      <c r="W7" s="174"/>
      <c r="X7" s="174"/>
      <c r="Y7" s="174"/>
    </row>
    <row r="8" ht="15.75" hidden="1" customHeight="1">
      <c r="A8" s="209">
        <v>2019.0</v>
      </c>
      <c r="B8" s="210">
        <v>43466.0</v>
      </c>
      <c r="C8" s="374">
        <v>0.0</v>
      </c>
      <c r="D8" s="375">
        <v>0.0</v>
      </c>
      <c r="E8" s="376">
        <v>0.0</v>
      </c>
      <c r="F8" s="374">
        <v>0.0</v>
      </c>
      <c r="G8" s="375">
        <v>0.0</v>
      </c>
      <c r="H8" s="376">
        <v>0.0</v>
      </c>
      <c r="I8" s="374">
        <v>0.0</v>
      </c>
      <c r="J8" s="375">
        <v>0.0</v>
      </c>
      <c r="K8" s="376">
        <v>0.0</v>
      </c>
      <c r="L8" s="374">
        <v>0.0</v>
      </c>
      <c r="M8" s="375">
        <v>0.0</v>
      </c>
      <c r="N8" s="376">
        <v>0.0</v>
      </c>
      <c r="O8" s="374">
        <v>0.0</v>
      </c>
      <c r="P8" s="375">
        <v>0.0</v>
      </c>
      <c r="Q8" s="376">
        <v>0.0</v>
      </c>
      <c r="R8" s="379"/>
      <c r="S8" s="174"/>
      <c r="T8" s="174"/>
      <c r="U8" s="174"/>
      <c r="V8" s="174"/>
      <c r="W8" s="174"/>
      <c r="X8" s="174"/>
      <c r="Y8" s="174"/>
    </row>
    <row r="9" ht="15.75" hidden="1" customHeight="1">
      <c r="A9" s="91"/>
      <c r="B9" s="201">
        <v>43497.0</v>
      </c>
      <c r="C9" s="380">
        <v>0.0</v>
      </c>
      <c r="D9" s="381">
        <v>0.0</v>
      </c>
      <c r="E9" s="382">
        <v>0.0</v>
      </c>
      <c r="F9" s="380">
        <v>0.0</v>
      </c>
      <c r="G9" s="381">
        <v>0.0</v>
      </c>
      <c r="H9" s="382">
        <v>0.0</v>
      </c>
      <c r="I9" s="380">
        <v>0.0</v>
      </c>
      <c r="J9" s="381">
        <v>0.0</v>
      </c>
      <c r="K9" s="382">
        <v>0.0</v>
      </c>
      <c r="L9" s="380">
        <v>0.0</v>
      </c>
      <c r="M9" s="381">
        <v>0.0</v>
      </c>
      <c r="N9" s="382">
        <v>0.0</v>
      </c>
      <c r="O9" s="380">
        <v>0.0</v>
      </c>
      <c r="P9" s="381">
        <v>0.0</v>
      </c>
      <c r="Q9" s="382">
        <v>0.0</v>
      </c>
      <c r="R9" s="383"/>
      <c r="S9" s="174"/>
      <c r="T9" s="174"/>
      <c r="U9" s="174"/>
      <c r="V9" s="174"/>
      <c r="W9" s="174"/>
      <c r="X9" s="174"/>
      <c r="Y9" s="174"/>
    </row>
    <row r="10" ht="15.75" hidden="1" customHeight="1">
      <c r="A10" s="91"/>
      <c r="B10" s="201">
        <v>43525.0</v>
      </c>
      <c r="C10" s="380">
        <v>0.0</v>
      </c>
      <c r="D10" s="381">
        <v>0.0</v>
      </c>
      <c r="E10" s="382">
        <v>0.0</v>
      </c>
      <c r="F10" s="380">
        <v>0.0</v>
      </c>
      <c r="G10" s="381">
        <v>0.0</v>
      </c>
      <c r="H10" s="382">
        <v>0.0</v>
      </c>
      <c r="I10" s="380">
        <v>0.0</v>
      </c>
      <c r="J10" s="381">
        <v>0.0</v>
      </c>
      <c r="K10" s="382">
        <v>0.0</v>
      </c>
      <c r="L10" s="380">
        <v>0.0</v>
      </c>
      <c r="M10" s="381">
        <v>0.0</v>
      </c>
      <c r="N10" s="382">
        <v>0.0</v>
      </c>
      <c r="O10" s="380">
        <v>0.0</v>
      </c>
      <c r="P10" s="381">
        <v>0.0</v>
      </c>
      <c r="Q10" s="382">
        <v>0.0</v>
      </c>
      <c r="R10" s="383"/>
      <c r="S10" s="174"/>
      <c r="T10" s="174"/>
      <c r="U10" s="174"/>
      <c r="V10" s="174"/>
      <c r="W10" s="174"/>
      <c r="X10" s="174"/>
      <c r="Y10" s="174"/>
    </row>
    <row r="11" ht="15.75" hidden="1" customHeight="1">
      <c r="A11" s="91"/>
      <c r="B11" s="201">
        <v>43556.0</v>
      </c>
      <c r="C11" s="380">
        <v>0.0</v>
      </c>
      <c r="D11" s="381">
        <v>0.0</v>
      </c>
      <c r="E11" s="382">
        <v>0.0</v>
      </c>
      <c r="F11" s="380">
        <v>0.0</v>
      </c>
      <c r="G11" s="381">
        <v>0.0</v>
      </c>
      <c r="H11" s="382">
        <v>0.0</v>
      </c>
      <c r="I11" s="380">
        <v>0.0</v>
      </c>
      <c r="J11" s="381">
        <v>0.0</v>
      </c>
      <c r="K11" s="382">
        <v>0.0</v>
      </c>
      <c r="L11" s="380">
        <v>0.0</v>
      </c>
      <c r="M11" s="381">
        <v>0.0</v>
      </c>
      <c r="N11" s="382">
        <v>0.0</v>
      </c>
      <c r="O11" s="380">
        <v>0.0</v>
      </c>
      <c r="P11" s="381">
        <v>0.0</v>
      </c>
      <c r="Q11" s="382">
        <v>0.0</v>
      </c>
      <c r="R11" s="383"/>
      <c r="S11" s="174"/>
      <c r="T11" s="174"/>
      <c r="U11" s="174"/>
      <c r="V11" s="174"/>
      <c r="W11" s="174"/>
      <c r="X11" s="174"/>
      <c r="Y11" s="174"/>
    </row>
    <row r="12" ht="15.75" hidden="1" customHeight="1">
      <c r="A12" s="91"/>
      <c r="B12" s="201">
        <v>43586.0</v>
      </c>
      <c r="C12" s="380">
        <v>0.0</v>
      </c>
      <c r="D12" s="381">
        <v>0.0</v>
      </c>
      <c r="E12" s="382">
        <v>0.0</v>
      </c>
      <c r="F12" s="380">
        <v>0.0</v>
      </c>
      <c r="G12" s="381">
        <v>0.0</v>
      </c>
      <c r="H12" s="382">
        <v>0.0</v>
      </c>
      <c r="I12" s="380">
        <v>0.0</v>
      </c>
      <c r="J12" s="381">
        <v>0.0</v>
      </c>
      <c r="K12" s="382">
        <v>0.0</v>
      </c>
      <c r="L12" s="380">
        <v>0.0</v>
      </c>
      <c r="M12" s="381">
        <v>0.0</v>
      </c>
      <c r="N12" s="382">
        <v>0.0</v>
      </c>
      <c r="O12" s="380">
        <v>0.0</v>
      </c>
      <c r="P12" s="381">
        <v>0.0</v>
      </c>
      <c r="Q12" s="382">
        <v>0.0</v>
      </c>
      <c r="R12" s="385"/>
      <c r="S12" s="174"/>
      <c r="T12" s="174"/>
      <c r="U12" s="174"/>
      <c r="V12" s="174"/>
      <c r="W12" s="174"/>
      <c r="X12" s="174"/>
      <c r="Y12" s="174"/>
    </row>
    <row r="13" ht="15.75" hidden="1" customHeight="1">
      <c r="A13" s="91"/>
      <c r="B13" s="201">
        <v>43617.0</v>
      </c>
      <c r="C13" s="380">
        <v>0.0</v>
      </c>
      <c r="D13" s="381">
        <v>0.0</v>
      </c>
      <c r="E13" s="382">
        <v>0.0</v>
      </c>
      <c r="F13" s="380">
        <v>0.0</v>
      </c>
      <c r="G13" s="381">
        <v>0.0</v>
      </c>
      <c r="H13" s="382">
        <v>0.0</v>
      </c>
      <c r="I13" s="380">
        <v>0.0</v>
      </c>
      <c r="J13" s="381">
        <v>0.0</v>
      </c>
      <c r="K13" s="382">
        <v>0.0</v>
      </c>
      <c r="L13" s="380">
        <v>0.0</v>
      </c>
      <c r="M13" s="381">
        <v>0.0</v>
      </c>
      <c r="N13" s="382">
        <v>0.0</v>
      </c>
      <c r="O13" s="380">
        <v>0.0</v>
      </c>
      <c r="P13" s="381">
        <v>0.0</v>
      </c>
      <c r="Q13" s="382">
        <v>0.0</v>
      </c>
      <c r="R13" s="385"/>
      <c r="S13" s="174"/>
      <c r="T13" s="174"/>
      <c r="U13" s="174"/>
      <c r="V13" s="174"/>
      <c r="W13" s="174"/>
      <c r="X13" s="174"/>
      <c r="Y13" s="174"/>
    </row>
    <row r="14" ht="15.75" hidden="1" customHeight="1">
      <c r="A14" s="91"/>
      <c r="B14" s="201">
        <v>43647.0</v>
      </c>
      <c r="C14" s="380">
        <v>0.0</v>
      </c>
      <c r="D14" s="381">
        <v>0.0</v>
      </c>
      <c r="E14" s="382">
        <v>0.0</v>
      </c>
      <c r="F14" s="380">
        <v>0.0</v>
      </c>
      <c r="G14" s="381">
        <v>0.0</v>
      </c>
      <c r="H14" s="382">
        <v>0.0</v>
      </c>
      <c r="I14" s="380">
        <v>0.0</v>
      </c>
      <c r="J14" s="381">
        <v>0.0</v>
      </c>
      <c r="K14" s="382">
        <v>0.0</v>
      </c>
      <c r="L14" s="380">
        <v>0.0</v>
      </c>
      <c r="M14" s="381">
        <v>0.0</v>
      </c>
      <c r="N14" s="382">
        <v>0.0</v>
      </c>
      <c r="O14" s="380">
        <v>0.0</v>
      </c>
      <c r="P14" s="381">
        <v>0.0</v>
      </c>
      <c r="Q14" s="382">
        <v>0.0</v>
      </c>
      <c r="R14" s="385"/>
      <c r="S14" s="174"/>
      <c r="T14" s="174"/>
      <c r="U14" s="174"/>
      <c r="V14" s="174"/>
      <c r="W14" s="174"/>
      <c r="X14" s="174"/>
      <c r="Y14" s="174"/>
    </row>
    <row r="15" ht="15.75" hidden="1" customHeight="1">
      <c r="A15" s="91"/>
      <c r="B15" s="201">
        <v>43678.0</v>
      </c>
      <c r="C15" s="380">
        <v>0.0</v>
      </c>
      <c r="D15" s="381">
        <v>0.0</v>
      </c>
      <c r="E15" s="382">
        <v>0.0</v>
      </c>
      <c r="F15" s="380">
        <v>0.0</v>
      </c>
      <c r="G15" s="381">
        <v>0.0</v>
      </c>
      <c r="H15" s="382">
        <v>0.0</v>
      </c>
      <c r="I15" s="380">
        <v>0.0</v>
      </c>
      <c r="J15" s="381">
        <v>0.0</v>
      </c>
      <c r="K15" s="382">
        <v>0.0</v>
      </c>
      <c r="L15" s="380">
        <v>0.0</v>
      </c>
      <c r="M15" s="381">
        <v>0.0</v>
      </c>
      <c r="N15" s="382">
        <v>0.0</v>
      </c>
      <c r="O15" s="380">
        <v>0.0</v>
      </c>
      <c r="P15" s="381">
        <v>0.0</v>
      </c>
      <c r="Q15" s="382">
        <v>0.0</v>
      </c>
      <c r="R15" s="385"/>
      <c r="S15" s="174"/>
      <c r="T15" s="174"/>
      <c r="U15" s="174"/>
      <c r="V15" s="174"/>
      <c r="W15" s="174"/>
      <c r="X15" s="174"/>
      <c r="Y15" s="174"/>
    </row>
    <row r="16" ht="15.75" hidden="1" customHeight="1">
      <c r="A16" s="91"/>
      <c r="B16" s="201">
        <v>43709.0</v>
      </c>
      <c r="C16" s="380">
        <v>0.0</v>
      </c>
      <c r="D16" s="381">
        <v>0.0</v>
      </c>
      <c r="E16" s="382">
        <v>0.0</v>
      </c>
      <c r="F16" s="380">
        <v>0.0</v>
      </c>
      <c r="G16" s="381">
        <v>0.0</v>
      </c>
      <c r="H16" s="382">
        <v>0.0</v>
      </c>
      <c r="I16" s="380">
        <v>0.0</v>
      </c>
      <c r="J16" s="381">
        <v>0.0</v>
      </c>
      <c r="K16" s="382">
        <v>0.0</v>
      </c>
      <c r="L16" s="380">
        <v>0.0</v>
      </c>
      <c r="M16" s="381">
        <v>0.0</v>
      </c>
      <c r="N16" s="382">
        <v>0.0</v>
      </c>
      <c r="O16" s="380">
        <v>0.0</v>
      </c>
      <c r="P16" s="381">
        <v>0.0</v>
      </c>
      <c r="Q16" s="382">
        <v>0.0</v>
      </c>
      <c r="R16" s="385"/>
      <c r="S16" s="174"/>
      <c r="T16" s="174"/>
      <c r="U16" s="174"/>
      <c r="V16" s="174"/>
      <c r="W16" s="174"/>
      <c r="X16" s="174"/>
      <c r="Y16" s="174"/>
    </row>
    <row r="17" ht="15.75" hidden="1" customHeight="1">
      <c r="A17" s="91"/>
      <c r="B17" s="201">
        <v>43739.0</v>
      </c>
      <c r="C17" s="380">
        <v>0.0</v>
      </c>
      <c r="D17" s="381">
        <v>0.0</v>
      </c>
      <c r="E17" s="382">
        <v>0.0</v>
      </c>
      <c r="F17" s="380">
        <v>0.0</v>
      </c>
      <c r="G17" s="381">
        <v>0.0</v>
      </c>
      <c r="H17" s="382">
        <v>0.0</v>
      </c>
      <c r="I17" s="380">
        <v>0.0</v>
      </c>
      <c r="J17" s="381">
        <v>0.0</v>
      </c>
      <c r="K17" s="382">
        <v>0.0</v>
      </c>
      <c r="L17" s="380">
        <v>0.0</v>
      </c>
      <c r="M17" s="381">
        <v>0.0</v>
      </c>
      <c r="N17" s="382">
        <v>0.0</v>
      </c>
      <c r="O17" s="380">
        <v>0.0</v>
      </c>
      <c r="P17" s="381">
        <v>0.0</v>
      </c>
      <c r="Q17" s="382">
        <v>0.0</v>
      </c>
      <c r="R17" s="385"/>
      <c r="S17" s="174"/>
      <c r="T17" s="174"/>
      <c r="U17" s="174"/>
      <c r="V17" s="174"/>
      <c r="W17" s="174"/>
      <c r="X17" s="174"/>
      <c r="Y17" s="174"/>
    </row>
    <row r="18" ht="15.75" hidden="1" customHeight="1">
      <c r="A18" s="91"/>
      <c r="B18" s="201">
        <v>43770.0</v>
      </c>
      <c r="C18" s="380">
        <v>0.0</v>
      </c>
      <c r="D18" s="381">
        <v>0.0</v>
      </c>
      <c r="E18" s="382">
        <v>0.0</v>
      </c>
      <c r="F18" s="380">
        <v>0.0</v>
      </c>
      <c r="G18" s="381">
        <v>0.0</v>
      </c>
      <c r="H18" s="382">
        <v>0.0</v>
      </c>
      <c r="I18" s="380">
        <v>0.0</v>
      </c>
      <c r="J18" s="381">
        <v>0.0</v>
      </c>
      <c r="K18" s="382">
        <v>0.0</v>
      </c>
      <c r="L18" s="380">
        <v>0.0</v>
      </c>
      <c r="M18" s="381">
        <v>0.0</v>
      </c>
      <c r="N18" s="382">
        <v>0.0</v>
      </c>
      <c r="O18" s="380">
        <v>0.0</v>
      </c>
      <c r="P18" s="381">
        <v>0.0</v>
      </c>
      <c r="Q18" s="382">
        <v>0.0</v>
      </c>
      <c r="R18" s="385"/>
      <c r="S18" s="174"/>
      <c r="T18" s="174"/>
      <c r="U18" s="174"/>
      <c r="V18" s="174"/>
      <c r="W18" s="174"/>
      <c r="X18" s="174"/>
      <c r="Y18" s="174"/>
    </row>
    <row r="19" ht="15.75" hidden="1" customHeight="1">
      <c r="A19" s="96"/>
      <c r="B19" s="222">
        <v>43800.0</v>
      </c>
      <c r="C19" s="386">
        <v>0.0</v>
      </c>
      <c r="D19" s="387">
        <v>0.0</v>
      </c>
      <c r="E19" s="388">
        <v>0.0</v>
      </c>
      <c r="F19" s="386">
        <v>0.0</v>
      </c>
      <c r="G19" s="387">
        <v>0.0</v>
      </c>
      <c r="H19" s="388">
        <v>0.0</v>
      </c>
      <c r="I19" s="386">
        <v>0.0</v>
      </c>
      <c r="J19" s="387">
        <v>0.0</v>
      </c>
      <c r="K19" s="388">
        <v>0.0</v>
      </c>
      <c r="L19" s="386">
        <v>0.0</v>
      </c>
      <c r="M19" s="387">
        <v>0.0</v>
      </c>
      <c r="N19" s="388">
        <v>0.0</v>
      </c>
      <c r="O19" s="386">
        <v>0.0</v>
      </c>
      <c r="P19" s="387">
        <v>0.0</v>
      </c>
      <c r="Q19" s="388">
        <v>0.0</v>
      </c>
      <c r="R19" s="389"/>
      <c r="S19" s="174"/>
      <c r="T19" s="174"/>
      <c r="U19" s="174"/>
      <c r="V19" s="174"/>
      <c r="W19" s="174"/>
      <c r="X19" s="174"/>
      <c r="Y19" s="174"/>
    </row>
    <row r="20" ht="15.75" hidden="1" customHeight="1">
      <c r="A20" s="228">
        <v>2020.0</v>
      </c>
      <c r="B20" s="201">
        <v>43831.0</v>
      </c>
      <c r="C20" s="374">
        <v>0.0</v>
      </c>
      <c r="D20" s="375">
        <v>0.0</v>
      </c>
      <c r="E20" s="376">
        <v>0.0</v>
      </c>
      <c r="F20" s="374">
        <v>0.0</v>
      </c>
      <c r="G20" s="375">
        <v>0.0</v>
      </c>
      <c r="H20" s="376">
        <v>0.0</v>
      </c>
      <c r="I20" s="374">
        <v>0.0</v>
      </c>
      <c r="J20" s="375">
        <v>0.0</v>
      </c>
      <c r="K20" s="376">
        <v>0.0</v>
      </c>
      <c r="L20" s="374">
        <v>0.0</v>
      </c>
      <c r="M20" s="375">
        <v>0.0</v>
      </c>
      <c r="N20" s="376">
        <v>0.0</v>
      </c>
      <c r="O20" s="374">
        <v>0.0</v>
      </c>
      <c r="P20" s="375">
        <v>0.0</v>
      </c>
      <c r="Q20" s="376">
        <v>0.0</v>
      </c>
      <c r="R20" s="379"/>
      <c r="S20" s="174"/>
      <c r="T20" s="174"/>
      <c r="U20" s="174"/>
      <c r="V20" s="174"/>
      <c r="W20" s="174"/>
      <c r="X20" s="174"/>
      <c r="Y20" s="174"/>
    </row>
    <row r="21" ht="15.75" hidden="1" customHeight="1">
      <c r="B21" s="201">
        <v>43862.0</v>
      </c>
      <c r="C21" s="380">
        <v>0.0</v>
      </c>
      <c r="D21" s="381">
        <v>0.0</v>
      </c>
      <c r="E21" s="382">
        <v>0.0</v>
      </c>
      <c r="F21" s="380">
        <v>0.0</v>
      </c>
      <c r="G21" s="381">
        <v>0.0</v>
      </c>
      <c r="H21" s="382">
        <v>0.0</v>
      </c>
      <c r="I21" s="380">
        <v>0.0</v>
      </c>
      <c r="J21" s="381">
        <v>0.0</v>
      </c>
      <c r="K21" s="382">
        <v>0.0</v>
      </c>
      <c r="L21" s="380">
        <v>0.0</v>
      </c>
      <c r="M21" s="381">
        <v>0.0</v>
      </c>
      <c r="N21" s="382">
        <v>0.0</v>
      </c>
      <c r="O21" s="380">
        <v>0.0</v>
      </c>
      <c r="P21" s="381">
        <v>0.0</v>
      </c>
      <c r="Q21" s="382">
        <v>0.0</v>
      </c>
      <c r="R21" s="383"/>
      <c r="S21" s="174"/>
      <c r="T21" s="174"/>
      <c r="U21" s="174"/>
      <c r="V21" s="174"/>
      <c r="W21" s="174"/>
      <c r="X21" s="174"/>
      <c r="Y21" s="174"/>
    </row>
    <row r="22" ht="15.75" hidden="1" customHeight="1">
      <c r="B22" s="201">
        <v>43891.0</v>
      </c>
      <c r="C22" s="380">
        <v>0.0</v>
      </c>
      <c r="D22" s="381">
        <v>0.0</v>
      </c>
      <c r="E22" s="382">
        <v>0.0</v>
      </c>
      <c r="F22" s="380">
        <v>0.0</v>
      </c>
      <c r="G22" s="381">
        <v>0.0</v>
      </c>
      <c r="H22" s="382">
        <v>0.0</v>
      </c>
      <c r="I22" s="380">
        <v>0.0</v>
      </c>
      <c r="J22" s="381">
        <v>0.0</v>
      </c>
      <c r="K22" s="382">
        <v>0.0</v>
      </c>
      <c r="L22" s="380">
        <v>0.0</v>
      </c>
      <c r="M22" s="381">
        <v>0.0</v>
      </c>
      <c r="N22" s="382">
        <v>0.0</v>
      </c>
      <c r="O22" s="380">
        <v>0.0</v>
      </c>
      <c r="P22" s="381">
        <v>0.0</v>
      </c>
      <c r="Q22" s="382">
        <v>0.0</v>
      </c>
      <c r="R22" s="383"/>
      <c r="S22" s="174"/>
      <c r="T22" s="174"/>
      <c r="U22" s="174"/>
      <c r="V22" s="174"/>
      <c r="W22" s="174"/>
      <c r="X22" s="174"/>
      <c r="Y22" s="174"/>
    </row>
    <row r="23" ht="15.75" hidden="1" customHeight="1">
      <c r="B23" s="201">
        <v>43922.0</v>
      </c>
      <c r="C23" s="380">
        <v>0.0</v>
      </c>
      <c r="D23" s="381">
        <v>0.0</v>
      </c>
      <c r="E23" s="382">
        <v>0.0</v>
      </c>
      <c r="F23" s="380">
        <v>0.0</v>
      </c>
      <c r="G23" s="381">
        <v>0.0</v>
      </c>
      <c r="H23" s="382">
        <v>0.0</v>
      </c>
      <c r="I23" s="380">
        <v>0.0</v>
      </c>
      <c r="J23" s="381">
        <v>0.0</v>
      </c>
      <c r="K23" s="382">
        <v>0.0</v>
      </c>
      <c r="L23" s="380">
        <v>0.0</v>
      </c>
      <c r="M23" s="381">
        <v>0.0</v>
      </c>
      <c r="N23" s="382">
        <v>0.0</v>
      </c>
      <c r="O23" s="380">
        <v>0.0</v>
      </c>
      <c r="P23" s="381">
        <v>0.0</v>
      </c>
      <c r="Q23" s="382">
        <v>0.0</v>
      </c>
      <c r="R23" s="385"/>
      <c r="S23" s="174"/>
      <c r="T23" s="174"/>
      <c r="U23" s="174"/>
      <c r="V23" s="174"/>
      <c r="W23" s="174"/>
      <c r="X23" s="174"/>
      <c r="Y23" s="174"/>
    </row>
    <row r="24" ht="15.75" hidden="1" customHeight="1">
      <c r="B24" s="201">
        <v>43952.0</v>
      </c>
      <c r="C24" s="380">
        <v>0.0</v>
      </c>
      <c r="D24" s="381">
        <v>0.0</v>
      </c>
      <c r="E24" s="382">
        <v>0.0</v>
      </c>
      <c r="F24" s="380">
        <v>0.0</v>
      </c>
      <c r="G24" s="381">
        <v>0.0</v>
      </c>
      <c r="H24" s="382">
        <v>0.0</v>
      </c>
      <c r="I24" s="380">
        <v>0.0</v>
      </c>
      <c r="J24" s="381">
        <v>0.0</v>
      </c>
      <c r="K24" s="382">
        <v>0.0</v>
      </c>
      <c r="L24" s="380">
        <v>0.0</v>
      </c>
      <c r="M24" s="381">
        <v>0.0</v>
      </c>
      <c r="N24" s="382">
        <v>0.0</v>
      </c>
      <c r="O24" s="380">
        <v>0.0</v>
      </c>
      <c r="P24" s="381">
        <v>0.0</v>
      </c>
      <c r="Q24" s="382">
        <v>0.0</v>
      </c>
      <c r="R24" s="385"/>
      <c r="S24" s="174"/>
      <c r="T24" s="174"/>
      <c r="U24" s="174"/>
      <c r="V24" s="174"/>
      <c r="W24" s="174"/>
      <c r="X24" s="174"/>
      <c r="Y24" s="174"/>
    </row>
    <row r="25" ht="15.75" hidden="1" customHeight="1">
      <c r="B25" s="201">
        <v>43983.0</v>
      </c>
      <c r="C25" s="380">
        <v>0.0</v>
      </c>
      <c r="D25" s="381">
        <v>0.0</v>
      </c>
      <c r="E25" s="382">
        <v>0.0</v>
      </c>
      <c r="F25" s="380">
        <v>0.0</v>
      </c>
      <c r="G25" s="381">
        <v>0.0</v>
      </c>
      <c r="H25" s="382">
        <v>0.0</v>
      </c>
      <c r="I25" s="380">
        <v>0.0</v>
      </c>
      <c r="J25" s="381">
        <v>0.0</v>
      </c>
      <c r="K25" s="382">
        <v>0.0</v>
      </c>
      <c r="L25" s="380">
        <v>0.0</v>
      </c>
      <c r="M25" s="381">
        <v>0.0</v>
      </c>
      <c r="N25" s="382">
        <v>0.0</v>
      </c>
      <c r="O25" s="380">
        <v>0.0</v>
      </c>
      <c r="P25" s="381">
        <v>0.0</v>
      </c>
      <c r="Q25" s="382">
        <v>0.0</v>
      </c>
      <c r="R25" s="385"/>
      <c r="S25" s="174"/>
      <c r="T25" s="174"/>
      <c r="U25" s="174"/>
      <c r="V25" s="174"/>
      <c r="W25" s="174"/>
      <c r="X25" s="174"/>
      <c r="Y25" s="174"/>
    </row>
    <row r="26" ht="15.75" hidden="1" customHeight="1">
      <c r="B26" s="201">
        <v>44013.0</v>
      </c>
      <c r="C26" s="380">
        <v>0.0</v>
      </c>
      <c r="D26" s="381">
        <v>0.0</v>
      </c>
      <c r="E26" s="382">
        <v>0.0</v>
      </c>
      <c r="F26" s="380">
        <v>0.0</v>
      </c>
      <c r="G26" s="381">
        <v>0.0</v>
      </c>
      <c r="H26" s="382">
        <v>0.0</v>
      </c>
      <c r="I26" s="380">
        <v>0.0</v>
      </c>
      <c r="J26" s="381">
        <v>0.0</v>
      </c>
      <c r="K26" s="382">
        <v>0.0</v>
      </c>
      <c r="L26" s="380">
        <v>0.0</v>
      </c>
      <c r="M26" s="381">
        <v>0.0</v>
      </c>
      <c r="N26" s="382">
        <v>0.0</v>
      </c>
      <c r="O26" s="380">
        <v>0.0</v>
      </c>
      <c r="P26" s="381">
        <v>0.0</v>
      </c>
      <c r="Q26" s="382">
        <v>0.0</v>
      </c>
      <c r="R26" s="385"/>
      <c r="S26" s="174"/>
      <c r="T26" s="174"/>
      <c r="U26" s="174"/>
      <c r="V26" s="174"/>
      <c r="W26" s="174"/>
      <c r="X26" s="174"/>
      <c r="Y26" s="174"/>
    </row>
    <row r="27" ht="15.75" hidden="1" customHeight="1">
      <c r="B27" s="201">
        <v>44044.0</v>
      </c>
      <c r="C27" s="380">
        <v>0.0</v>
      </c>
      <c r="D27" s="381">
        <v>0.0</v>
      </c>
      <c r="E27" s="382">
        <v>0.0</v>
      </c>
      <c r="F27" s="380">
        <v>0.0</v>
      </c>
      <c r="G27" s="381">
        <v>0.0</v>
      </c>
      <c r="H27" s="382">
        <v>0.0</v>
      </c>
      <c r="I27" s="380">
        <v>0.0</v>
      </c>
      <c r="J27" s="381">
        <v>0.0</v>
      </c>
      <c r="K27" s="382">
        <v>0.0</v>
      </c>
      <c r="L27" s="380">
        <v>0.0</v>
      </c>
      <c r="M27" s="381">
        <v>0.0</v>
      </c>
      <c r="N27" s="382">
        <v>0.0</v>
      </c>
      <c r="O27" s="380">
        <v>0.0</v>
      </c>
      <c r="P27" s="381">
        <v>0.0</v>
      </c>
      <c r="Q27" s="382">
        <v>0.0</v>
      </c>
      <c r="R27" s="385"/>
      <c r="S27" s="174"/>
      <c r="T27" s="174"/>
      <c r="U27" s="174"/>
      <c r="V27" s="174"/>
      <c r="W27" s="174"/>
      <c r="X27" s="174"/>
      <c r="Y27" s="174"/>
    </row>
    <row r="28" ht="15.75" hidden="1" customHeight="1">
      <c r="B28" s="201">
        <v>44075.0</v>
      </c>
      <c r="C28" s="380">
        <v>0.0</v>
      </c>
      <c r="D28" s="381">
        <v>0.0</v>
      </c>
      <c r="E28" s="382">
        <v>0.0</v>
      </c>
      <c r="F28" s="380">
        <v>0.0</v>
      </c>
      <c r="G28" s="381">
        <v>0.0</v>
      </c>
      <c r="H28" s="382">
        <v>0.0</v>
      </c>
      <c r="I28" s="380">
        <v>0.0</v>
      </c>
      <c r="J28" s="381">
        <v>0.0</v>
      </c>
      <c r="K28" s="382">
        <v>0.0</v>
      </c>
      <c r="L28" s="380">
        <v>0.0</v>
      </c>
      <c r="M28" s="381">
        <v>0.0</v>
      </c>
      <c r="N28" s="382">
        <v>0.0</v>
      </c>
      <c r="O28" s="380">
        <v>0.0</v>
      </c>
      <c r="P28" s="381">
        <v>0.0</v>
      </c>
      <c r="Q28" s="382">
        <v>0.0</v>
      </c>
      <c r="R28" s="385"/>
      <c r="S28" s="174"/>
      <c r="T28" s="174"/>
      <c r="U28" s="174"/>
      <c r="V28" s="174"/>
      <c r="W28" s="174"/>
      <c r="X28" s="174"/>
      <c r="Y28" s="174"/>
    </row>
    <row r="29" ht="15.75" hidden="1" customHeight="1">
      <c r="B29" s="201">
        <v>44105.0</v>
      </c>
      <c r="C29" s="380">
        <v>0.0</v>
      </c>
      <c r="D29" s="381">
        <v>0.0</v>
      </c>
      <c r="E29" s="382">
        <v>0.0</v>
      </c>
      <c r="F29" s="380">
        <v>0.0</v>
      </c>
      <c r="G29" s="381">
        <v>0.0</v>
      </c>
      <c r="H29" s="382">
        <v>0.0</v>
      </c>
      <c r="I29" s="380">
        <v>0.0</v>
      </c>
      <c r="J29" s="381">
        <v>0.0</v>
      </c>
      <c r="K29" s="382">
        <v>0.0</v>
      </c>
      <c r="L29" s="380">
        <v>0.0</v>
      </c>
      <c r="M29" s="381">
        <v>0.0</v>
      </c>
      <c r="N29" s="382">
        <v>0.0</v>
      </c>
      <c r="O29" s="380">
        <v>0.0</v>
      </c>
      <c r="P29" s="381">
        <v>0.0</v>
      </c>
      <c r="Q29" s="382">
        <v>0.0</v>
      </c>
      <c r="R29" s="385"/>
      <c r="S29" s="174"/>
      <c r="T29" s="174"/>
      <c r="U29" s="174"/>
      <c r="V29" s="174"/>
      <c r="W29" s="174"/>
      <c r="X29" s="174"/>
      <c r="Y29" s="174"/>
    </row>
    <row r="30" ht="15.75" hidden="1" customHeight="1">
      <c r="B30" s="201">
        <v>44136.0</v>
      </c>
      <c r="C30" s="380">
        <v>0.0</v>
      </c>
      <c r="D30" s="381">
        <v>0.0</v>
      </c>
      <c r="E30" s="382">
        <v>0.0</v>
      </c>
      <c r="F30" s="380">
        <v>0.0</v>
      </c>
      <c r="G30" s="381">
        <v>0.0</v>
      </c>
      <c r="H30" s="382">
        <v>0.0</v>
      </c>
      <c r="I30" s="380">
        <v>0.0</v>
      </c>
      <c r="J30" s="381">
        <v>0.0</v>
      </c>
      <c r="K30" s="382">
        <v>0.0</v>
      </c>
      <c r="L30" s="380">
        <v>0.0</v>
      </c>
      <c r="M30" s="381">
        <v>0.0</v>
      </c>
      <c r="N30" s="382">
        <v>0.0</v>
      </c>
      <c r="O30" s="380">
        <v>0.0</v>
      </c>
      <c r="P30" s="381">
        <v>0.0</v>
      </c>
      <c r="Q30" s="382">
        <v>0.0</v>
      </c>
      <c r="R30" s="390"/>
      <c r="S30" s="174"/>
      <c r="T30" s="174"/>
      <c r="U30" s="174"/>
      <c r="V30" s="174"/>
      <c r="W30" s="174"/>
      <c r="X30" s="174"/>
      <c r="Y30" s="174"/>
    </row>
    <row r="31" ht="15.75" hidden="1" customHeight="1">
      <c r="A31" s="114"/>
      <c r="B31" s="222">
        <v>44166.0</v>
      </c>
      <c r="C31" s="386">
        <v>0.0</v>
      </c>
      <c r="D31" s="387">
        <v>0.0</v>
      </c>
      <c r="E31" s="388">
        <v>0.0</v>
      </c>
      <c r="F31" s="386">
        <v>0.0</v>
      </c>
      <c r="G31" s="387">
        <v>0.0</v>
      </c>
      <c r="H31" s="388">
        <v>0.0</v>
      </c>
      <c r="I31" s="386">
        <v>0.0</v>
      </c>
      <c r="J31" s="387">
        <v>0.0</v>
      </c>
      <c r="K31" s="388">
        <v>0.0</v>
      </c>
      <c r="L31" s="386">
        <v>0.0</v>
      </c>
      <c r="M31" s="387">
        <v>0.0</v>
      </c>
      <c r="N31" s="388">
        <v>0.0</v>
      </c>
      <c r="O31" s="386">
        <v>0.0</v>
      </c>
      <c r="P31" s="387">
        <v>0.0</v>
      </c>
      <c r="Q31" s="388">
        <v>0.0</v>
      </c>
      <c r="R31" s="389"/>
      <c r="S31" s="174"/>
      <c r="T31" s="174"/>
      <c r="U31" s="174"/>
      <c r="V31" s="174"/>
      <c r="W31" s="174"/>
      <c r="X31" s="174"/>
      <c r="Y31" s="174"/>
    </row>
    <row r="32" ht="15.75" hidden="1" customHeight="1">
      <c r="A32" s="228">
        <v>2021.0</v>
      </c>
      <c r="B32" s="201">
        <v>44197.0</v>
      </c>
      <c r="C32" s="374">
        <v>0.0</v>
      </c>
      <c r="D32" s="375">
        <v>0.0</v>
      </c>
      <c r="E32" s="376">
        <v>0.0</v>
      </c>
      <c r="F32" s="374">
        <v>0.0</v>
      </c>
      <c r="G32" s="375">
        <v>0.0</v>
      </c>
      <c r="H32" s="376">
        <v>0.0</v>
      </c>
      <c r="I32" s="374">
        <v>0.0</v>
      </c>
      <c r="J32" s="375">
        <v>0.0</v>
      </c>
      <c r="K32" s="376">
        <v>0.0</v>
      </c>
      <c r="L32" s="374">
        <v>0.0</v>
      </c>
      <c r="M32" s="375">
        <v>0.0</v>
      </c>
      <c r="N32" s="376">
        <v>0.0</v>
      </c>
      <c r="O32" s="374">
        <v>0.0</v>
      </c>
      <c r="P32" s="375">
        <v>0.0</v>
      </c>
      <c r="Q32" s="376">
        <v>0.0</v>
      </c>
      <c r="R32" s="391"/>
      <c r="S32" s="174"/>
      <c r="T32" s="174"/>
      <c r="U32" s="174"/>
      <c r="V32" s="174"/>
      <c r="W32" s="174"/>
      <c r="X32" s="174"/>
      <c r="Y32" s="174"/>
    </row>
    <row r="33" ht="15.75" hidden="1" customHeight="1">
      <c r="B33" s="201">
        <v>44228.0</v>
      </c>
      <c r="C33" s="380">
        <v>0.0</v>
      </c>
      <c r="D33" s="381">
        <v>0.0</v>
      </c>
      <c r="E33" s="382">
        <v>0.0</v>
      </c>
      <c r="F33" s="380">
        <v>0.0</v>
      </c>
      <c r="G33" s="381">
        <v>0.0</v>
      </c>
      <c r="H33" s="382">
        <v>0.0</v>
      </c>
      <c r="I33" s="380">
        <v>0.0</v>
      </c>
      <c r="J33" s="381">
        <v>0.0</v>
      </c>
      <c r="K33" s="382">
        <v>0.0</v>
      </c>
      <c r="L33" s="380">
        <v>0.0</v>
      </c>
      <c r="M33" s="381">
        <v>0.0</v>
      </c>
      <c r="N33" s="382">
        <v>0.0</v>
      </c>
      <c r="O33" s="380">
        <v>0.0</v>
      </c>
      <c r="P33" s="381">
        <v>0.0</v>
      </c>
      <c r="Q33" s="382">
        <v>0.0</v>
      </c>
      <c r="R33" s="385"/>
      <c r="S33" s="174"/>
      <c r="T33" s="174"/>
      <c r="U33" s="174"/>
      <c r="V33" s="174"/>
      <c r="W33" s="174"/>
      <c r="X33" s="174"/>
      <c r="Y33" s="174"/>
    </row>
    <row r="34" ht="15.75" hidden="1" customHeight="1">
      <c r="B34" s="201">
        <v>44256.0</v>
      </c>
      <c r="C34" s="380">
        <v>0.0</v>
      </c>
      <c r="D34" s="381">
        <v>0.0</v>
      </c>
      <c r="E34" s="382">
        <v>0.0</v>
      </c>
      <c r="F34" s="380">
        <v>0.0</v>
      </c>
      <c r="G34" s="381">
        <v>0.0</v>
      </c>
      <c r="H34" s="382">
        <v>0.0</v>
      </c>
      <c r="I34" s="380">
        <v>0.0</v>
      </c>
      <c r="J34" s="381">
        <v>0.0</v>
      </c>
      <c r="K34" s="382">
        <v>0.0</v>
      </c>
      <c r="L34" s="380">
        <v>0.0</v>
      </c>
      <c r="M34" s="381">
        <v>0.0</v>
      </c>
      <c r="N34" s="382">
        <v>0.0</v>
      </c>
      <c r="O34" s="380">
        <v>0.0</v>
      </c>
      <c r="P34" s="381">
        <v>0.0</v>
      </c>
      <c r="Q34" s="382">
        <v>0.0</v>
      </c>
      <c r="R34" s="385"/>
      <c r="S34" s="174"/>
      <c r="T34" s="174"/>
      <c r="U34" s="174"/>
      <c r="V34" s="174"/>
      <c r="W34" s="174"/>
      <c r="X34" s="174"/>
      <c r="Y34" s="174"/>
    </row>
    <row r="35" ht="15.75" hidden="1" customHeight="1">
      <c r="B35" s="201">
        <v>44287.0</v>
      </c>
      <c r="C35" s="380">
        <v>0.0</v>
      </c>
      <c r="D35" s="381">
        <v>0.0</v>
      </c>
      <c r="E35" s="382">
        <v>0.0</v>
      </c>
      <c r="F35" s="380">
        <v>0.0</v>
      </c>
      <c r="G35" s="381">
        <v>0.0</v>
      </c>
      <c r="H35" s="382">
        <v>0.0</v>
      </c>
      <c r="I35" s="380">
        <v>0.0</v>
      </c>
      <c r="J35" s="381">
        <v>0.0</v>
      </c>
      <c r="K35" s="382">
        <v>0.0</v>
      </c>
      <c r="L35" s="380">
        <v>0.0</v>
      </c>
      <c r="M35" s="381">
        <v>0.0</v>
      </c>
      <c r="N35" s="382">
        <v>0.0</v>
      </c>
      <c r="O35" s="380">
        <v>0.0</v>
      </c>
      <c r="P35" s="381">
        <v>0.0</v>
      </c>
      <c r="Q35" s="382">
        <v>0.0</v>
      </c>
      <c r="R35" s="385"/>
      <c r="S35" s="174"/>
      <c r="T35" s="174"/>
      <c r="U35" s="174"/>
      <c r="V35" s="174"/>
      <c r="W35" s="174"/>
      <c r="X35" s="174"/>
      <c r="Y35" s="174"/>
    </row>
    <row r="36" ht="15.75" hidden="1" customHeight="1">
      <c r="B36" s="201">
        <v>44317.0</v>
      </c>
      <c r="C36" s="380">
        <v>0.0</v>
      </c>
      <c r="D36" s="381">
        <v>0.0</v>
      </c>
      <c r="E36" s="382">
        <v>0.0</v>
      </c>
      <c r="F36" s="380">
        <v>0.0</v>
      </c>
      <c r="G36" s="381">
        <v>0.0</v>
      </c>
      <c r="H36" s="382">
        <v>0.0</v>
      </c>
      <c r="I36" s="380">
        <v>0.0</v>
      </c>
      <c r="J36" s="381">
        <v>0.0</v>
      </c>
      <c r="K36" s="382">
        <v>0.0</v>
      </c>
      <c r="L36" s="380">
        <v>0.0</v>
      </c>
      <c r="M36" s="381">
        <v>0.0</v>
      </c>
      <c r="N36" s="382">
        <v>0.0</v>
      </c>
      <c r="O36" s="380">
        <v>0.0</v>
      </c>
      <c r="P36" s="381">
        <v>0.0</v>
      </c>
      <c r="Q36" s="382">
        <v>0.0</v>
      </c>
      <c r="R36" s="385"/>
      <c r="S36" s="174"/>
      <c r="T36" s="174"/>
      <c r="U36" s="174"/>
      <c r="V36" s="174"/>
      <c r="W36" s="174"/>
      <c r="X36" s="174"/>
      <c r="Y36" s="174"/>
    </row>
    <row r="37" ht="15.75" hidden="1" customHeight="1">
      <c r="B37" s="201">
        <v>44348.0</v>
      </c>
      <c r="C37" s="380">
        <v>0.0</v>
      </c>
      <c r="D37" s="381">
        <v>0.0</v>
      </c>
      <c r="E37" s="382">
        <v>0.0</v>
      </c>
      <c r="F37" s="380">
        <v>0.0</v>
      </c>
      <c r="G37" s="381">
        <v>0.0</v>
      </c>
      <c r="H37" s="382">
        <v>0.0</v>
      </c>
      <c r="I37" s="380">
        <v>0.0</v>
      </c>
      <c r="J37" s="381">
        <v>0.0</v>
      </c>
      <c r="K37" s="382">
        <v>0.0</v>
      </c>
      <c r="L37" s="380">
        <v>0.0</v>
      </c>
      <c r="M37" s="381">
        <v>0.0</v>
      </c>
      <c r="N37" s="382">
        <v>0.0</v>
      </c>
      <c r="O37" s="380">
        <v>0.0</v>
      </c>
      <c r="P37" s="381">
        <v>0.0</v>
      </c>
      <c r="Q37" s="382">
        <v>0.0</v>
      </c>
      <c r="R37" s="385"/>
      <c r="S37" s="174"/>
      <c r="T37" s="174"/>
      <c r="U37" s="174"/>
      <c r="V37" s="174"/>
      <c r="W37" s="174"/>
      <c r="X37" s="174"/>
      <c r="Y37" s="174"/>
    </row>
    <row r="38" ht="15.75" hidden="1" customHeight="1">
      <c r="B38" s="201">
        <v>44378.0</v>
      </c>
      <c r="C38" s="380">
        <v>0.0</v>
      </c>
      <c r="D38" s="381">
        <v>0.0</v>
      </c>
      <c r="E38" s="382">
        <v>0.0</v>
      </c>
      <c r="F38" s="380">
        <v>0.0</v>
      </c>
      <c r="G38" s="381">
        <v>0.0</v>
      </c>
      <c r="H38" s="382">
        <v>0.0</v>
      </c>
      <c r="I38" s="380">
        <v>0.0</v>
      </c>
      <c r="J38" s="381">
        <v>0.0</v>
      </c>
      <c r="K38" s="382">
        <v>0.0</v>
      </c>
      <c r="L38" s="380">
        <v>0.0</v>
      </c>
      <c r="M38" s="381">
        <v>0.0</v>
      </c>
      <c r="N38" s="382">
        <v>0.0</v>
      </c>
      <c r="O38" s="380">
        <v>0.0</v>
      </c>
      <c r="P38" s="381">
        <v>0.0</v>
      </c>
      <c r="Q38" s="382">
        <v>0.0</v>
      </c>
      <c r="R38" s="385"/>
      <c r="S38" s="174"/>
      <c r="T38" s="174"/>
      <c r="U38" s="174"/>
      <c r="V38" s="174"/>
      <c r="W38" s="174"/>
      <c r="X38" s="174"/>
      <c r="Y38" s="174"/>
    </row>
    <row r="39" hidden="1">
      <c r="B39" s="201">
        <v>44409.0</v>
      </c>
      <c r="C39" s="380">
        <v>0.0</v>
      </c>
      <c r="D39" s="381">
        <v>0.0</v>
      </c>
      <c r="E39" s="382">
        <v>0.0</v>
      </c>
      <c r="F39" s="380">
        <v>0.0</v>
      </c>
      <c r="G39" s="381">
        <v>0.0</v>
      </c>
      <c r="H39" s="382">
        <v>0.0</v>
      </c>
      <c r="I39" s="380">
        <v>0.0</v>
      </c>
      <c r="J39" s="381">
        <v>0.0</v>
      </c>
      <c r="K39" s="382">
        <v>0.0</v>
      </c>
      <c r="L39" s="380">
        <v>0.0</v>
      </c>
      <c r="M39" s="381">
        <v>0.0</v>
      </c>
      <c r="N39" s="382">
        <v>0.0</v>
      </c>
      <c r="O39" s="380">
        <v>0.0</v>
      </c>
      <c r="P39" s="381">
        <v>0.0</v>
      </c>
      <c r="Q39" s="382">
        <v>0.0</v>
      </c>
      <c r="R39" s="392"/>
      <c r="S39" s="174"/>
      <c r="T39" s="174"/>
      <c r="U39" s="174"/>
      <c r="V39" s="174"/>
      <c r="W39" s="174"/>
      <c r="X39" s="174"/>
      <c r="Y39" s="174"/>
    </row>
    <row r="40" ht="15.75" hidden="1" customHeight="1">
      <c r="B40" s="201">
        <v>44440.0</v>
      </c>
      <c r="C40" s="380">
        <v>0.0</v>
      </c>
      <c r="D40" s="381">
        <v>0.0</v>
      </c>
      <c r="E40" s="382">
        <v>0.0</v>
      </c>
      <c r="F40" s="380">
        <v>0.0</v>
      </c>
      <c r="G40" s="381">
        <v>0.0</v>
      </c>
      <c r="H40" s="382">
        <v>0.0</v>
      </c>
      <c r="I40" s="380">
        <v>0.0</v>
      </c>
      <c r="J40" s="381">
        <v>0.0</v>
      </c>
      <c r="K40" s="382">
        <v>0.0</v>
      </c>
      <c r="L40" s="380">
        <v>0.0</v>
      </c>
      <c r="M40" s="381">
        <v>0.0</v>
      </c>
      <c r="N40" s="382">
        <v>0.0</v>
      </c>
      <c r="O40" s="380">
        <v>0.0</v>
      </c>
      <c r="P40" s="381">
        <v>0.0</v>
      </c>
      <c r="Q40" s="382">
        <v>0.0</v>
      </c>
      <c r="R40" s="385"/>
      <c r="S40" s="174"/>
      <c r="T40" s="174"/>
      <c r="U40" s="174"/>
      <c r="V40" s="174"/>
      <c r="W40" s="174"/>
      <c r="X40" s="174"/>
      <c r="Y40" s="174"/>
    </row>
    <row r="41" ht="15.75" hidden="1" customHeight="1">
      <c r="B41" s="201">
        <v>44470.0</v>
      </c>
      <c r="C41" s="380">
        <v>0.0</v>
      </c>
      <c r="D41" s="381">
        <v>0.0</v>
      </c>
      <c r="E41" s="382">
        <v>0.0</v>
      </c>
      <c r="F41" s="380">
        <v>0.0</v>
      </c>
      <c r="G41" s="381">
        <v>0.0</v>
      </c>
      <c r="H41" s="382">
        <v>0.0</v>
      </c>
      <c r="I41" s="380">
        <v>0.0</v>
      </c>
      <c r="J41" s="381">
        <v>0.0</v>
      </c>
      <c r="K41" s="382">
        <v>0.0</v>
      </c>
      <c r="L41" s="380">
        <v>0.0</v>
      </c>
      <c r="M41" s="381">
        <v>0.0</v>
      </c>
      <c r="N41" s="382">
        <v>0.0</v>
      </c>
      <c r="O41" s="380">
        <v>0.0</v>
      </c>
      <c r="P41" s="381">
        <v>0.0</v>
      </c>
      <c r="Q41" s="382">
        <v>0.0</v>
      </c>
      <c r="R41" s="385"/>
      <c r="S41" s="174"/>
      <c r="T41" s="174"/>
      <c r="U41" s="174"/>
      <c r="V41" s="174"/>
      <c r="W41" s="174"/>
      <c r="X41" s="174"/>
      <c r="Y41" s="174"/>
    </row>
    <row r="42" ht="15.75" hidden="1" customHeight="1">
      <c r="B42" s="201">
        <v>44501.0</v>
      </c>
      <c r="C42" s="380">
        <v>0.0</v>
      </c>
      <c r="D42" s="381">
        <v>0.0</v>
      </c>
      <c r="E42" s="382">
        <v>0.0</v>
      </c>
      <c r="F42" s="380">
        <v>0.0</v>
      </c>
      <c r="G42" s="381">
        <v>0.0</v>
      </c>
      <c r="H42" s="382">
        <v>0.0</v>
      </c>
      <c r="I42" s="380">
        <v>0.0</v>
      </c>
      <c r="J42" s="381">
        <v>0.0</v>
      </c>
      <c r="K42" s="382">
        <v>0.0</v>
      </c>
      <c r="L42" s="380">
        <v>0.0</v>
      </c>
      <c r="M42" s="381">
        <v>0.0</v>
      </c>
      <c r="N42" s="382">
        <v>0.0</v>
      </c>
      <c r="O42" s="380">
        <v>0.0</v>
      </c>
      <c r="P42" s="381">
        <v>0.0</v>
      </c>
      <c r="Q42" s="382">
        <v>0.0</v>
      </c>
      <c r="R42" s="385"/>
      <c r="S42" s="174"/>
      <c r="T42" s="174"/>
      <c r="U42" s="174"/>
      <c r="V42" s="174"/>
      <c r="W42" s="174"/>
      <c r="X42" s="174"/>
      <c r="Y42" s="174"/>
    </row>
    <row r="43" ht="15.75" hidden="1" customHeight="1">
      <c r="B43" s="201">
        <v>44531.0</v>
      </c>
      <c r="C43" s="386">
        <v>0.0</v>
      </c>
      <c r="D43" s="387">
        <v>0.0</v>
      </c>
      <c r="E43" s="388">
        <v>0.0</v>
      </c>
      <c r="F43" s="386">
        <v>0.0</v>
      </c>
      <c r="G43" s="387">
        <v>0.0</v>
      </c>
      <c r="H43" s="388">
        <v>0.0</v>
      </c>
      <c r="I43" s="386">
        <v>0.0</v>
      </c>
      <c r="J43" s="387">
        <v>0.0</v>
      </c>
      <c r="K43" s="388">
        <v>0.0</v>
      </c>
      <c r="L43" s="386">
        <v>0.0</v>
      </c>
      <c r="M43" s="387">
        <v>0.0</v>
      </c>
      <c r="N43" s="388">
        <v>0.0</v>
      </c>
      <c r="O43" s="386">
        <v>0.0</v>
      </c>
      <c r="P43" s="387">
        <v>0.0</v>
      </c>
      <c r="Q43" s="388">
        <v>0.0</v>
      </c>
      <c r="R43" s="384"/>
      <c r="S43" s="174"/>
      <c r="T43" s="174"/>
      <c r="U43" s="174"/>
      <c r="V43" s="174"/>
      <c r="W43" s="174"/>
      <c r="X43" s="174"/>
      <c r="Y43" s="174"/>
    </row>
    <row r="44" ht="15.75" hidden="1" customHeight="1">
      <c r="A44" s="233">
        <v>2022.0</v>
      </c>
      <c r="B44" s="210">
        <v>44562.0</v>
      </c>
      <c r="C44" s="374">
        <v>0.0</v>
      </c>
      <c r="D44" s="375">
        <v>0.0</v>
      </c>
      <c r="E44" s="376">
        <v>0.0</v>
      </c>
      <c r="F44" s="374">
        <v>0.0</v>
      </c>
      <c r="G44" s="375">
        <v>0.0</v>
      </c>
      <c r="H44" s="376">
        <v>0.0</v>
      </c>
      <c r="I44" s="374">
        <v>0.0</v>
      </c>
      <c r="J44" s="375">
        <v>0.0</v>
      </c>
      <c r="K44" s="376">
        <v>0.0</v>
      </c>
      <c r="L44" s="374">
        <v>0.0</v>
      </c>
      <c r="M44" s="375">
        <v>0.0</v>
      </c>
      <c r="N44" s="376">
        <v>0.0</v>
      </c>
      <c r="O44" s="374">
        <v>0.0</v>
      </c>
      <c r="P44" s="375">
        <v>0.0</v>
      </c>
      <c r="Q44" s="376">
        <v>0.0</v>
      </c>
      <c r="R44" s="391"/>
      <c r="S44" s="174"/>
      <c r="T44" s="174"/>
      <c r="U44" s="174"/>
      <c r="V44" s="174"/>
      <c r="W44" s="174"/>
      <c r="X44" s="174"/>
      <c r="Y44" s="174"/>
    </row>
    <row r="45" ht="15.75" hidden="1" customHeight="1">
      <c r="B45" s="201">
        <v>44593.0</v>
      </c>
      <c r="C45" s="380">
        <v>0.0</v>
      </c>
      <c r="D45" s="381">
        <v>0.0</v>
      </c>
      <c r="E45" s="382">
        <v>0.0</v>
      </c>
      <c r="F45" s="380">
        <v>0.0</v>
      </c>
      <c r="G45" s="381">
        <v>0.0</v>
      </c>
      <c r="H45" s="382">
        <v>0.0</v>
      </c>
      <c r="I45" s="380">
        <v>0.0</v>
      </c>
      <c r="J45" s="381">
        <v>0.0</v>
      </c>
      <c r="K45" s="382">
        <v>0.0</v>
      </c>
      <c r="L45" s="380">
        <v>0.0</v>
      </c>
      <c r="M45" s="381">
        <v>0.0</v>
      </c>
      <c r="N45" s="382">
        <v>0.0</v>
      </c>
      <c r="O45" s="380">
        <v>0.0</v>
      </c>
      <c r="P45" s="381">
        <v>0.0</v>
      </c>
      <c r="Q45" s="382">
        <v>0.0</v>
      </c>
      <c r="R45" s="385"/>
      <c r="S45" s="174"/>
      <c r="T45" s="174"/>
      <c r="U45" s="174"/>
      <c r="V45" s="174"/>
      <c r="W45" s="174"/>
      <c r="X45" s="174"/>
      <c r="Y45" s="174"/>
    </row>
    <row r="46" ht="15.75" hidden="1" customHeight="1">
      <c r="B46" s="201">
        <v>44621.0</v>
      </c>
      <c r="C46" s="380">
        <v>0.0</v>
      </c>
      <c r="D46" s="381">
        <v>0.0</v>
      </c>
      <c r="E46" s="382">
        <v>0.0</v>
      </c>
      <c r="F46" s="380">
        <v>0.0</v>
      </c>
      <c r="G46" s="381">
        <v>0.0</v>
      </c>
      <c r="H46" s="382">
        <v>0.0</v>
      </c>
      <c r="I46" s="380">
        <v>0.0</v>
      </c>
      <c r="J46" s="381">
        <v>0.0</v>
      </c>
      <c r="K46" s="382">
        <v>0.0</v>
      </c>
      <c r="L46" s="380">
        <v>0.0</v>
      </c>
      <c r="M46" s="381">
        <v>0.0</v>
      </c>
      <c r="N46" s="382">
        <v>0.0</v>
      </c>
      <c r="O46" s="380">
        <v>0.0</v>
      </c>
      <c r="P46" s="381">
        <v>0.0</v>
      </c>
      <c r="Q46" s="382">
        <v>0.0</v>
      </c>
      <c r="R46" s="385"/>
      <c r="S46" s="174"/>
      <c r="T46" s="174"/>
      <c r="U46" s="174"/>
      <c r="V46" s="174"/>
      <c r="W46" s="174"/>
      <c r="X46" s="174"/>
      <c r="Y46" s="174"/>
    </row>
    <row r="47" ht="15.75" hidden="1" customHeight="1">
      <c r="B47" s="201">
        <v>44652.0</v>
      </c>
      <c r="C47" s="380">
        <v>0.0</v>
      </c>
      <c r="D47" s="381">
        <v>0.0</v>
      </c>
      <c r="E47" s="382">
        <v>0.0</v>
      </c>
      <c r="F47" s="380">
        <v>0.0</v>
      </c>
      <c r="G47" s="381">
        <v>0.0</v>
      </c>
      <c r="H47" s="382">
        <v>0.0</v>
      </c>
      <c r="I47" s="380">
        <v>0.0</v>
      </c>
      <c r="J47" s="381">
        <v>0.0</v>
      </c>
      <c r="K47" s="382">
        <v>0.0</v>
      </c>
      <c r="L47" s="380">
        <v>0.0</v>
      </c>
      <c r="M47" s="381">
        <v>0.0</v>
      </c>
      <c r="N47" s="382">
        <v>0.0</v>
      </c>
      <c r="O47" s="380">
        <v>0.0</v>
      </c>
      <c r="P47" s="381">
        <v>0.0</v>
      </c>
      <c r="Q47" s="382">
        <v>0.0</v>
      </c>
      <c r="R47" s="385"/>
      <c r="S47" s="174"/>
      <c r="T47" s="174"/>
      <c r="U47" s="174"/>
      <c r="V47" s="174"/>
      <c r="W47" s="174"/>
      <c r="X47" s="174"/>
      <c r="Y47" s="174"/>
    </row>
    <row r="48" ht="15.75" hidden="1" customHeight="1">
      <c r="B48" s="201">
        <v>44682.0</v>
      </c>
      <c r="C48" s="380">
        <v>0.0</v>
      </c>
      <c r="D48" s="381">
        <v>0.0</v>
      </c>
      <c r="E48" s="382">
        <v>0.0</v>
      </c>
      <c r="F48" s="380">
        <v>0.0</v>
      </c>
      <c r="G48" s="381">
        <v>0.0</v>
      </c>
      <c r="H48" s="382">
        <v>0.0</v>
      </c>
      <c r="I48" s="380">
        <v>0.0</v>
      </c>
      <c r="J48" s="381">
        <v>0.0</v>
      </c>
      <c r="K48" s="382">
        <v>0.0</v>
      </c>
      <c r="L48" s="380">
        <v>0.0</v>
      </c>
      <c r="M48" s="381">
        <v>0.0</v>
      </c>
      <c r="N48" s="382">
        <v>0.0</v>
      </c>
      <c r="O48" s="380">
        <v>0.0</v>
      </c>
      <c r="P48" s="381">
        <v>0.0</v>
      </c>
      <c r="Q48" s="382">
        <v>0.0</v>
      </c>
      <c r="R48" s="385"/>
      <c r="S48" s="174"/>
      <c r="T48" s="174"/>
      <c r="U48" s="174"/>
      <c r="V48" s="174"/>
      <c r="W48" s="174"/>
      <c r="X48" s="174"/>
      <c r="Y48" s="174"/>
    </row>
    <row r="49" ht="15.75" hidden="1" customHeight="1">
      <c r="B49" s="201">
        <v>44713.0</v>
      </c>
      <c r="C49" s="380">
        <v>0.0</v>
      </c>
      <c r="D49" s="381">
        <v>0.0</v>
      </c>
      <c r="E49" s="382">
        <v>0.0</v>
      </c>
      <c r="F49" s="380">
        <v>0.0</v>
      </c>
      <c r="G49" s="381">
        <v>0.0</v>
      </c>
      <c r="H49" s="382">
        <v>0.0</v>
      </c>
      <c r="I49" s="380">
        <v>0.0</v>
      </c>
      <c r="J49" s="381">
        <v>0.0</v>
      </c>
      <c r="K49" s="382">
        <v>0.0</v>
      </c>
      <c r="L49" s="380">
        <v>0.0</v>
      </c>
      <c r="M49" s="381">
        <v>0.0</v>
      </c>
      <c r="N49" s="382">
        <v>0.0</v>
      </c>
      <c r="O49" s="380">
        <v>0.0</v>
      </c>
      <c r="P49" s="381">
        <v>0.0</v>
      </c>
      <c r="Q49" s="382">
        <v>0.0</v>
      </c>
      <c r="R49" s="385"/>
      <c r="S49" s="174"/>
      <c r="T49" s="174"/>
      <c r="U49" s="174"/>
      <c r="V49" s="174"/>
      <c r="W49" s="174"/>
      <c r="X49" s="174"/>
      <c r="Y49" s="174"/>
    </row>
    <row r="50" ht="15.75" hidden="1" customHeight="1">
      <c r="B50" s="201">
        <v>44743.0</v>
      </c>
      <c r="C50" s="380">
        <v>0.0</v>
      </c>
      <c r="D50" s="381">
        <v>0.0</v>
      </c>
      <c r="E50" s="382">
        <v>0.0</v>
      </c>
      <c r="F50" s="380">
        <v>0.0</v>
      </c>
      <c r="G50" s="381">
        <v>0.0</v>
      </c>
      <c r="H50" s="382">
        <v>0.0</v>
      </c>
      <c r="I50" s="380">
        <v>0.0</v>
      </c>
      <c r="J50" s="381">
        <v>0.0</v>
      </c>
      <c r="K50" s="382">
        <v>0.0</v>
      </c>
      <c r="L50" s="380">
        <v>0.0</v>
      </c>
      <c r="M50" s="381">
        <v>0.0</v>
      </c>
      <c r="N50" s="382">
        <v>0.0</v>
      </c>
      <c r="O50" s="380">
        <v>0.0</v>
      </c>
      <c r="P50" s="381">
        <v>0.0</v>
      </c>
      <c r="Q50" s="382">
        <v>0.0</v>
      </c>
      <c r="R50" s="385"/>
      <c r="S50" s="174"/>
      <c r="T50" s="174"/>
      <c r="U50" s="174"/>
      <c r="V50" s="174"/>
      <c r="W50" s="174"/>
      <c r="X50" s="174"/>
      <c r="Y50" s="174"/>
    </row>
    <row r="51" ht="15.75" hidden="1" customHeight="1">
      <c r="B51" s="201">
        <v>44774.0</v>
      </c>
      <c r="C51" s="380">
        <v>0.0</v>
      </c>
      <c r="D51" s="381">
        <v>0.0</v>
      </c>
      <c r="E51" s="382">
        <v>0.0</v>
      </c>
      <c r="F51" s="380">
        <v>0.0</v>
      </c>
      <c r="G51" s="381">
        <v>0.0</v>
      </c>
      <c r="H51" s="382">
        <v>0.0</v>
      </c>
      <c r="I51" s="380">
        <v>0.0</v>
      </c>
      <c r="J51" s="381">
        <v>0.0</v>
      </c>
      <c r="K51" s="382">
        <v>0.0</v>
      </c>
      <c r="L51" s="380">
        <v>0.0</v>
      </c>
      <c r="M51" s="381">
        <v>0.0</v>
      </c>
      <c r="N51" s="382">
        <v>0.0</v>
      </c>
      <c r="O51" s="380">
        <v>0.0</v>
      </c>
      <c r="P51" s="381">
        <v>0.0</v>
      </c>
      <c r="Q51" s="382">
        <v>0.0</v>
      </c>
      <c r="R51" s="385"/>
      <c r="S51" s="174"/>
      <c r="T51" s="174"/>
      <c r="U51" s="174"/>
      <c r="V51" s="174"/>
      <c r="W51" s="174"/>
      <c r="X51" s="174"/>
      <c r="Y51" s="174"/>
    </row>
    <row r="52" ht="15.75" hidden="1" customHeight="1">
      <c r="B52" s="201">
        <v>44805.0</v>
      </c>
      <c r="C52" s="380">
        <v>0.0</v>
      </c>
      <c r="D52" s="381">
        <v>0.0</v>
      </c>
      <c r="E52" s="382">
        <v>0.0</v>
      </c>
      <c r="F52" s="380">
        <v>0.0</v>
      </c>
      <c r="G52" s="381">
        <v>0.0</v>
      </c>
      <c r="H52" s="382">
        <v>0.0</v>
      </c>
      <c r="I52" s="380">
        <v>0.0</v>
      </c>
      <c r="J52" s="381">
        <v>0.0</v>
      </c>
      <c r="K52" s="382">
        <v>0.0</v>
      </c>
      <c r="L52" s="380">
        <v>0.0</v>
      </c>
      <c r="M52" s="381">
        <v>0.0</v>
      </c>
      <c r="N52" s="382">
        <v>0.0</v>
      </c>
      <c r="O52" s="380">
        <v>0.0</v>
      </c>
      <c r="P52" s="381">
        <v>0.0</v>
      </c>
      <c r="Q52" s="382">
        <v>0.0</v>
      </c>
      <c r="R52" s="385"/>
      <c r="S52" s="174"/>
      <c r="T52" s="174"/>
      <c r="U52" s="174"/>
      <c r="V52" s="174"/>
      <c r="W52" s="174"/>
      <c r="X52" s="174"/>
      <c r="Y52" s="174"/>
    </row>
    <row r="53" ht="15.75" hidden="1" customHeight="1">
      <c r="B53" s="201">
        <v>44835.0</v>
      </c>
      <c r="C53" s="380">
        <v>0.0</v>
      </c>
      <c r="D53" s="381">
        <v>0.0</v>
      </c>
      <c r="E53" s="382">
        <v>0.0</v>
      </c>
      <c r="F53" s="380">
        <v>0.0</v>
      </c>
      <c r="G53" s="381">
        <v>0.0</v>
      </c>
      <c r="H53" s="382">
        <v>0.0</v>
      </c>
      <c r="I53" s="380">
        <v>0.0</v>
      </c>
      <c r="J53" s="381">
        <v>0.0</v>
      </c>
      <c r="K53" s="382">
        <v>0.0</v>
      </c>
      <c r="L53" s="380">
        <v>0.0</v>
      </c>
      <c r="M53" s="381">
        <v>0.0</v>
      </c>
      <c r="N53" s="382">
        <v>0.0</v>
      </c>
      <c r="O53" s="380">
        <v>0.0</v>
      </c>
      <c r="P53" s="381">
        <v>0.0</v>
      </c>
      <c r="Q53" s="382">
        <v>0.0</v>
      </c>
      <c r="R53" s="385"/>
      <c r="S53" s="174"/>
      <c r="T53" s="174"/>
      <c r="U53" s="174"/>
      <c r="V53" s="174"/>
      <c r="W53" s="174"/>
      <c r="X53" s="174"/>
      <c r="Y53" s="174"/>
    </row>
    <row r="54" ht="15.75" hidden="1" customHeight="1">
      <c r="B54" s="201">
        <v>44866.0</v>
      </c>
      <c r="C54" s="380">
        <v>0.0</v>
      </c>
      <c r="D54" s="381">
        <v>0.0</v>
      </c>
      <c r="E54" s="382">
        <v>0.0</v>
      </c>
      <c r="F54" s="380">
        <v>0.0</v>
      </c>
      <c r="G54" s="381">
        <v>0.0</v>
      </c>
      <c r="H54" s="382">
        <v>0.0</v>
      </c>
      <c r="I54" s="380">
        <v>0.0</v>
      </c>
      <c r="J54" s="381">
        <v>0.0</v>
      </c>
      <c r="K54" s="382">
        <v>0.0</v>
      </c>
      <c r="L54" s="380">
        <v>0.0</v>
      </c>
      <c r="M54" s="381">
        <v>0.0</v>
      </c>
      <c r="N54" s="382">
        <v>0.0</v>
      </c>
      <c r="O54" s="380">
        <v>0.0</v>
      </c>
      <c r="P54" s="381">
        <v>0.0</v>
      </c>
      <c r="Q54" s="382">
        <v>0.0</v>
      </c>
      <c r="R54" s="385"/>
      <c r="S54" s="174"/>
      <c r="T54" s="174"/>
      <c r="U54" s="174"/>
      <c r="V54" s="174"/>
      <c r="W54" s="174"/>
      <c r="X54" s="174"/>
      <c r="Y54" s="174"/>
    </row>
    <row r="55" ht="15.75" hidden="1" customHeight="1">
      <c r="A55" s="114"/>
      <c r="B55" s="201">
        <v>44896.0</v>
      </c>
      <c r="C55" s="386">
        <v>0.0</v>
      </c>
      <c r="D55" s="387">
        <v>0.0</v>
      </c>
      <c r="E55" s="388">
        <v>0.0</v>
      </c>
      <c r="F55" s="386">
        <v>0.0</v>
      </c>
      <c r="G55" s="387">
        <v>0.0</v>
      </c>
      <c r="H55" s="388">
        <v>0.0</v>
      </c>
      <c r="I55" s="386">
        <v>0.0</v>
      </c>
      <c r="J55" s="387">
        <v>0.0</v>
      </c>
      <c r="K55" s="388">
        <v>0.0</v>
      </c>
      <c r="L55" s="386">
        <v>0.0</v>
      </c>
      <c r="M55" s="387">
        <v>0.0</v>
      </c>
      <c r="N55" s="388">
        <v>0.0</v>
      </c>
      <c r="O55" s="386">
        <v>0.0</v>
      </c>
      <c r="P55" s="387">
        <v>0.0</v>
      </c>
      <c r="Q55" s="388">
        <v>0.0</v>
      </c>
      <c r="R55" s="384"/>
      <c r="S55" s="174"/>
      <c r="T55" s="174"/>
      <c r="U55" s="174"/>
      <c r="V55" s="174"/>
      <c r="W55" s="174"/>
      <c r="X55" s="174"/>
      <c r="Y55" s="174"/>
    </row>
    <row r="56" ht="15.75" hidden="1" customHeight="1">
      <c r="A56" s="233">
        <v>2023.0</v>
      </c>
      <c r="B56" s="210">
        <v>44927.0</v>
      </c>
      <c r="C56" s="374">
        <v>0.0</v>
      </c>
      <c r="D56" s="375">
        <v>0.0</v>
      </c>
      <c r="E56" s="376">
        <v>0.0</v>
      </c>
      <c r="F56" s="374">
        <v>0.0</v>
      </c>
      <c r="G56" s="375">
        <v>0.0</v>
      </c>
      <c r="H56" s="376">
        <v>0.0</v>
      </c>
      <c r="I56" s="374">
        <v>0.0</v>
      </c>
      <c r="J56" s="375">
        <v>0.0</v>
      </c>
      <c r="K56" s="376">
        <v>0.0</v>
      </c>
      <c r="L56" s="374">
        <v>0.0</v>
      </c>
      <c r="M56" s="375">
        <v>0.0</v>
      </c>
      <c r="N56" s="376">
        <v>0.0</v>
      </c>
      <c r="O56" s="374">
        <v>0.0</v>
      </c>
      <c r="P56" s="375">
        <v>0.0</v>
      </c>
      <c r="Q56" s="376">
        <v>0.0</v>
      </c>
      <c r="R56" s="379"/>
      <c r="S56" s="174"/>
      <c r="T56" s="174"/>
      <c r="U56" s="174"/>
      <c r="V56" s="174"/>
      <c r="W56" s="174"/>
      <c r="X56" s="174"/>
      <c r="Y56" s="174"/>
    </row>
    <row r="57" ht="15.75" hidden="1" customHeight="1">
      <c r="B57" s="210">
        <v>44958.0</v>
      </c>
      <c r="C57" s="380">
        <v>0.0</v>
      </c>
      <c r="D57" s="381">
        <v>0.0</v>
      </c>
      <c r="E57" s="382">
        <v>0.0</v>
      </c>
      <c r="F57" s="380">
        <v>0.0</v>
      </c>
      <c r="G57" s="381">
        <v>0.0</v>
      </c>
      <c r="H57" s="382">
        <v>0.0</v>
      </c>
      <c r="I57" s="380">
        <v>0.0</v>
      </c>
      <c r="J57" s="381">
        <v>0.0</v>
      </c>
      <c r="K57" s="382">
        <v>0.0</v>
      </c>
      <c r="L57" s="380">
        <v>0.0</v>
      </c>
      <c r="M57" s="381">
        <v>0.0</v>
      </c>
      <c r="N57" s="382">
        <v>0.0</v>
      </c>
      <c r="O57" s="380">
        <v>0.0</v>
      </c>
      <c r="P57" s="381">
        <v>0.0</v>
      </c>
      <c r="Q57" s="382">
        <v>0.0</v>
      </c>
      <c r="R57" s="383"/>
      <c r="S57" s="174"/>
      <c r="T57" s="174"/>
      <c r="U57" s="174"/>
      <c r="V57" s="174"/>
      <c r="W57" s="174"/>
      <c r="X57" s="174"/>
      <c r="Y57" s="174"/>
    </row>
    <row r="58" ht="15.75" hidden="1" customHeight="1">
      <c r="B58" s="210">
        <v>44986.0</v>
      </c>
      <c r="C58" s="380">
        <v>0.0</v>
      </c>
      <c r="D58" s="381">
        <v>0.0</v>
      </c>
      <c r="E58" s="382">
        <v>0.0</v>
      </c>
      <c r="F58" s="380">
        <v>0.0</v>
      </c>
      <c r="G58" s="381">
        <v>0.0</v>
      </c>
      <c r="H58" s="382">
        <v>0.0</v>
      </c>
      <c r="I58" s="380">
        <v>0.0</v>
      </c>
      <c r="J58" s="381">
        <v>0.0</v>
      </c>
      <c r="K58" s="382">
        <v>0.0</v>
      </c>
      <c r="L58" s="380">
        <v>0.0</v>
      </c>
      <c r="M58" s="381">
        <v>0.0</v>
      </c>
      <c r="N58" s="382">
        <v>0.0</v>
      </c>
      <c r="O58" s="380">
        <v>0.0</v>
      </c>
      <c r="P58" s="381">
        <v>0.0</v>
      </c>
      <c r="Q58" s="382">
        <v>0.0</v>
      </c>
      <c r="R58" s="383"/>
      <c r="S58" s="174"/>
      <c r="T58" s="174"/>
      <c r="U58" s="174"/>
      <c r="V58" s="174"/>
      <c r="W58" s="174"/>
      <c r="X58" s="174"/>
      <c r="Y58" s="174"/>
    </row>
    <row r="59" ht="15.75" hidden="1" customHeight="1">
      <c r="B59" s="210">
        <v>45017.0</v>
      </c>
      <c r="C59" s="380">
        <v>0.0</v>
      </c>
      <c r="D59" s="381">
        <v>0.0</v>
      </c>
      <c r="E59" s="382">
        <v>0.0</v>
      </c>
      <c r="F59" s="380">
        <v>0.0</v>
      </c>
      <c r="G59" s="381">
        <v>0.0</v>
      </c>
      <c r="H59" s="382">
        <v>0.0</v>
      </c>
      <c r="I59" s="380">
        <v>0.0</v>
      </c>
      <c r="J59" s="381">
        <v>0.0</v>
      </c>
      <c r="K59" s="382">
        <v>0.0</v>
      </c>
      <c r="L59" s="380">
        <v>0.0</v>
      </c>
      <c r="M59" s="381">
        <v>0.0</v>
      </c>
      <c r="N59" s="382">
        <v>0.0</v>
      </c>
      <c r="O59" s="380">
        <v>0.0</v>
      </c>
      <c r="P59" s="381">
        <v>0.0</v>
      </c>
      <c r="Q59" s="382">
        <v>0.0</v>
      </c>
      <c r="R59" s="383"/>
      <c r="S59" s="174"/>
      <c r="T59" s="174"/>
      <c r="U59" s="174"/>
      <c r="V59" s="174"/>
      <c r="W59" s="174"/>
      <c r="X59" s="174"/>
      <c r="Y59" s="174"/>
    </row>
    <row r="60" ht="15.75" hidden="1" customHeight="1">
      <c r="B60" s="210">
        <v>45047.0</v>
      </c>
      <c r="C60" s="380">
        <v>0.0</v>
      </c>
      <c r="D60" s="381">
        <v>0.0</v>
      </c>
      <c r="E60" s="382">
        <v>0.0</v>
      </c>
      <c r="F60" s="380">
        <v>0.0</v>
      </c>
      <c r="G60" s="381">
        <v>0.0</v>
      </c>
      <c r="H60" s="382">
        <v>0.0</v>
      </c>
      <c r="I60" s="380">
        <v>0.0</v>
      </c>
      <c r="J60" s="381">
        <v>0.0</v>
      </c>
      <c r="K60" s="382">
        <v>0.0</v>
      </c>
      <c r="L60" s="380">
        <v>0.0</v>
      </c>
      <c r="M60" s="381">
        <v>0.0</v>
      </c>
      <c r="N60" s="382">
        <v>0.0</v>
      </c>
      <c r="O60" s="380">
        <v>0.0</v>
      </c>
      <c r="P60" s="381">
        <v>0.0</v>
      </c>
      <c r="Q60" s="382">
        <v>0.0</v>
      </c>
      <c r="R60" s="385"/>
      <c r="S60" s="174"/>
      <c r="T60" s="174"/>
      <c r="U60" s="174"/>
      <c r="V60" s="174"/>
      <c r="W60" s="174"/>
      <c r="X60" s="174"/>
      <c r="Y60" s="174"/>
    </row>
    <row r="61" ht="15.75" hidden="1" customHeight="1">
      <c r="B61" s="210">
        <v>45078.0</v>
      </c>
      <c r="C61" s="380">
        <v>0.0</v>
      </c>
      <c r="D61" s="381">
        <v>0.0</v>
      </c>
      <c r="E61" s="382">
        <v>0.0</v>
      </c>
      <c r="F61" s="380">
        <v>0.0</v>
      </c>
      <c r="G61" s="381">
        <v>0.0</v>
      </c>
      <c r="H61" s="382">
        <v>0.0</v>
      </c>
      <c r="I61" s="380">
        <v>0.0</v>
      </c>
      <c r="J61" s="381">
        <v>0.0</v>
      </c>
      <c r="K61" s="382">
        <v>0.0</v>
      </c>
      <c r="L61" s="380">
        <v>0.0</v>
      </c>
      <c r="M61" s="381">
        <v>0.0</v>
      </c>
      <c r="N61" s="382">
        <v>0.0</v>
      </c>
      <c r="O61" s="380">
        <v>0.0</v>
      </c>
      <c r="P61" s="381">
        <v>0.0</v>
      </c>
      <c r="Q61" s="382">
        <v>0.0</v>
      </c>
      <c r="R61" s="385"/>
      <c r="S61" s="174"/>
      <c r="T61" s="174"/>
      <c r="U61" s="174"/>
      <c r="V61" s="174"/>
      <c r="W61" s="174"/>
      <c r="X61" s="174"/>
      <c r="Y61" s="174"/>
    </row>
    <row r="62" hidden="1">
      <c r="B62" s="210">
        <v>45108.0</v>
      </c>
      <c r="C62" s="380">
        <v>0.0</v>
      </c>
      <c r="D62" s="381">
        <v>0.0</v>
      </c>
      <c r="E62" s="382">
        <v>0.0</v>
      </c>
      <c r="F62" s="380">
        <v>0.0</v>
      </c>
      <c r="G62" s="381">
        <v>0.0</v>
      </c>
      <c r="H62" s="382">
        <v>0.0</v>
      </c>
      <c r="I62" s="380">
        <v>0.0</v>
      </c>
      <c r="J62" s="381">
        <v>0.0</v>
      </c>
      <c r="K62" s="382">
        <v>0.0</v>
      </c>
      <c r="L62" s="380">
        <v>0.0</v>
      </c>
      <c r="M62" s="381">
        <v>0.0</v>
      </c>
      <c r="N62" s="382">
        <v>0.0</v>
      </c>
      <c r="O62" s="380">
        <v>0.0</v>
      </c>
      <c r="P62" s="381">
        <v>0.0</v>
      </c>
      <c r="Q62" s="382">
        <v>0.0</v>
      </c>
      <c r="R62" s="385"/>
      <c r="S62" s="174"/>
      <c r="T62" s="174"/>
      <c r="U62" s="174"/>
      <c r="V62" s="174"/>
      <c r="W62" s="174"/>
      <c r="X62" s="174"/>
      <c r="Y62" s="174"/>
    </row>
    <row r="63" ht="15.75" hidden="1" customHeight="1">
      <c r="B63" s="210">
        <v>45139.0</v>
      </c>
      <c r="C63" s="380">
        <v>0.0</v>
      </c>
      <c r="D63" s="381">
        <v>0.0</v>
      </c>
      <c r="E63" s="382">
        <v>0.0</v>
      </c>
      <c r="F63" s="380">
        <v>0.0</v>
      </c>
      <c r="G63" s="381">
        <v>0.0</v>
      </c>
      <c r="H63" s="382">
        <v>0.0</v>
      </c>
      <c r="I63" s="380">
        <v>0.0</v>
      </c>
      <c r="J63" s="381">
        <v>0.0</v>
      </c>
      <c r="K63" s="382">
        <v>0.0</v>
      </c>
      <c r="L63" s="380">
        <v>0.0</v>
      </c>
      <c r="M63" s="381">
        <v>0.0</v>
      </c>
      <c r="N63" s="382">
        <v>0.0</v>
      </c>
      <c r="O63" s="380">
        <v>0.0</v>
      </c>
      <c r="P63" s="381">
        <v>0.0</v>
      </c>
      <c r="Q63" s="382">
        <v>0.0</v>
      </c>
      <c r="R63" s="385"/>
      <c r="S63" s="174"/>
      <c r="T63" s="174"/>
      <c r="U63" s="174"/>
      <c r="V63" s="174"/>
      <c r="W63" s="174"/>
      <c r="X63" s="174"/>
      <c r="Y63" s="174"/>
    </row>
    <row r="64" ht="15.75" hidden="1" customHeight="1">
      <c r="B64" s="210">
        <v>45170.0</v>
      </c>
      <c r="C64" s="380">
        <v>0.0</v>
      </c>
      <c r="D64" s="381">
        <v>0.0</v>
      </c>
      <c r="E64" s="382">
        <v>0.0</v>
      </c>
      <c r="F64" s="380">
        <v>0.0</v>
      </c>
      <c r="G64" s="381">
        <v>0.0</v>
      </c>
      <c r="H64" s="382">
        <v>0.0</v>
      </c>
      <c r="I64" s="380">
        <v>0.0</v>
      </c>
      <c r="J64" s="381">
        <v>0.0</v>
      </c>
      <c r="K64" s="382">
        <v>0.0</v>
      </c>
      <c r="L64" s="380">
        <v>0.0</v>
      </c>
      <c r="M64" s="381">
        <v>0.0</v>
      </c>
      <c r="N64" s="382">
        <v>0.0</v>
      </c>
      <c r="O64" s="380">
        <v>0.0</v>
      </c>
      <c r="P64" s="381">
        <v>0.0</v>
      </c>
      <c r="Q64" s="382">
        <v>0.0</v>
      </c>
      <c r="R64" s="385"/>
      <c r="S64" s="174"/>
      <c r="T64" s="174"/>
      <c r="U64" s="174"/>
      <c r="V64" s="174"/>
      <c r="W64" s="174"/>
      <c r="X64" s="174"/>
      <c r="Y64" s="174"/>
    </row>
    <row r="65" ht="15.75" hidden="1" customHeight="1">
      <c r="B65" s="210">
        <v>45200.0</v>
      </c>
      <c r="C65" s="380">
        <v>0.0</v>
      </c>
      <c r="D65" s="381">
        <v>0.0</v>
      </c>
      <c r="E65" s="382">
        <v>0.0</v>
      </c>
      <c r="F65" s="380">
        <v>0.0</v>
      </c>
      <c r="G65" s="381">
        <v>0.0</v>
      </c>
      <c r="H65" s="382">
        <v>0.0</v>
      </c>
      <c r="I65" s="380">
        <v>0.0</v>
      </c>
      <c r="J65" s="381">
        <v>0.0</v>
      </c>
      <c r="K65" s="382">
        <v>0.0</v>
      </c>
      <c r="L65" s="380">
        <v>0.0</v>
      </c>
      <c r="M65" s="381">
        <v>0.0</v>
      </c>
      <c r="N65" s="382">
        <v>0.0</v>
      </c>
      <c r="O65" s="380">
        <v>0.0</v>
      </c>
      <c r="P65" s="381">
        <v>0.0</v>
      </c>
      <c r="Q65" s="382">
        <v>0.0</v>
      </c>
      <c r="R65" s="385"/>
      <c r="S65" s="174"/>
      <c r="T65" s="174"/>
      <c r="U65" s="174"/>
      <c r="V65" s="174"/>
      <c r="W65" s="174"/>
      <c r="X65" s="174"/>
      <c r="Y65" s="174"/>
    </row>
    <row r="66" ht="15.75" hidden="1" customHeight="1">
      <c r="B66" s="210">
        <v>45231.0</v>
      </c>
      <c r="C66" s="380">
        <v>0.0</v>
      </c>
      <c r="D66" s="381">
        <v>0.0</v>
      </c>
      <c r="E66" s="382">
        <v>0.0</v>
      </c>
      <c r="F66" s="380">
        <v>0.0</v>
      </c>
      <c r="G66" s="381">
        <v>0.0</v>
      </c>
      <c r="H66" s="382">
        <v>0.0</v>
      </c>
      <c r="I66" s="380">
        <v>0.0</v>
      </c>
      <c r="J66" s="381">
        <v>0.0</v>
      </c>
      <c r="K66" s="382">
        <v>0.0</v>
      </c>
      <c r="L66" s="380">
        <v>0.0</v>
      </c>
      <c r="M66" s="381">
        <v>0.0</v>
      </c>
      <c r="N66" s="382">
        <v>0.0</v>
      </c>
      <c r="O66" s="380">
        <v>0.0</v>
      </c>
      <c r="P66" s="381">
        <v>0.0</v>
      </c>
      <c r="Q66" s="382">
        <v>0.0</v>
      </c>
      <c r="R66" s="385"/>
      <c r="S66" s="174"/>
      <c r="T66" s="174"/>
      <c r="U66" s="174"/>
      <c r="V66" s="174"/>
      <c r="W66" s="174"/>
      <c r="X66" s="174"/>
      <c r="Y66" s="174"/>
    </row>
    <row r="67" ht="15.75" hidden="1" customHeight="1">
      <c r="A67" s="114"/>
      <c r="B67" s="210">
        <v>45261.0</v>
      </c>
      <c r="C67" s="386">
        <v>0.0</v>
      </c>
      <c r="D67" s="387">
        <v>0.0</v>
      </c>
      <c r="E67" s="388">
        <v>0.0</v>
      </c>
      <c r="F67" s="386">
        <v>0.0</v>
      </c>
      <c r="G67" s="387">
        <v>0.0</v>
      </c>
      <c r="H67" s="388">
        <v>0.0</v>
      </c>
      <c r="I67" s="386">
        <v>0.0</v>
      </c>
      <c r="J67" s="387">
        <v>0.0</v>
      </c>
      <c r="K67" s="388">
        <v>0.0</v>
      </c>
      <c r="L67" s="386">
        <v>0.0</v>
      </c>
      <c r="M67" s="387">
        <v>0.0</v>
      </c>
      <c r="N67" s="388">
        <v>0.0</v>
      </c>
      <c r="O67" s="386">
        <v>0.0</v>
      </c>
      <c r="P67" s="387">
        <v>0.0</v>
      </c>
      <c r="Q67" s="388">
        <v>0.0</v>
      </c>
      <c r="R67" s="389"/>
      <c r="S67" s="174"/>
      <c r="T67" s="174"/>
      <c r="U67" s="174"/>
      <c r="V67" s="174"/>
      <c r="W67" s="174"/>
      <c r="X67" s="174"/>
      <c r="Y67" s="174"/>
    </row>
    <row r="68" ht="15.75" hidden="1" customHeight="1">
      <c r="A68" s="233">
        <v>2024.0</v>
      </c>
      <c r="B68" s="210">
        <v>45292.0</v>
      </c>
      <c r="C68" s="380">
        <v>0.0</v>
      </c>
      <c r="D68" s="381">
        <v>0.0</v>
      </c>
      <c r="E68" s="382">
        <v>0.0</v>
      </c>
      <c r="F68" s="246">
        <v>777360.0</v>
      </c>
      <c r="G68" s="246">
        <v>12956.0</v>
      </c>
      <c r="H68" s="215">
        <f>F68-G68</f>
        <v>764404</v>
      </c>
      <c r="I68" s="380">
        <v>0.0</v>
      </c>
      <c r="J68" s="381">
        <v>0.0</v>
      </c>
      <c r="K68" s="382">
        <v>0.0</v>
      </c>
      <c r="L68" s="374">
        <v>0.0</v>
      </c>
      <c r="M68" s="375">
        <v>0.0</v>
      </c>
      <c r="N68" s="376">
        <v>0.0</v>
      </c>
      <c r="O68" s="374">
        <v>0.0</v>
      </c>
      <c r="P68" s="375">
        <v>0.0</v>
      </c>
      <c r="Q68" s="376">
        <v>0.0</v>
      </c>
      <c r="R68" s="235" t="s">
        <v>641</v>
      </c>
      <c r="S68" s="174"/>
      <c r="T68" s="174"/>
      <c r="U68" s="174"/>
      <c r="V68" s="174"/>
      <c r="W68" s="174"/>
      <c r="X68" s="174"/>
      <c r="Y68" s="174"/>
    </row>
    <row r="69" ht="15.75" hidden="1" customHeight="1">
      <c r="B69" s="210">
        <v>45323.0</v>
      </c>
      <c r="C69" s="380">
        <v>0.0</v>
      </c>
      <c r="D69" s="381">
        <v>0.0</v>
      </c>
      <c r="E69" s="382">
        <v>0.0</v>
      </c>
      <c r="F69" s="393">
        <v>0.0</v>
      </c>
      <c r="G69" s="240">
        <v>12740.0</v>
      </c>
      <c r="H69" s="196">
        <f t="shared" ref="H69:H115" si="1">H68+F69-G69</f>
        <v>751664</v>
      </c>
      <c r="I69" s="380">
        <v>0.0</v>
      </c>
      <c r="J69" s="381">
        <v>0.0</v>
      </c>
      <c r="K69" s="382">
        <v>0.0</v>
      </c>
      <c r="L69" s="380">
        <v>0.0</v>
      </c>
      <c r="M69" s="381">
        <v>0.0</v>
      </c>
      <c r="N69" s="382">
        <v>0.0</v>
      </c>
      <c r="O69" s="380">
        <v>0.0</v>
      </c>
      <c r="P69" s="381">
        <v>0.0</v>
      </c>
      <c r="Q69" s="382">
        <v>0.0</v>
      </c>
      <c r="R69" s="221"/>
      <c r="S69" s="174"/>
      <c r="T69" s="174"/>
      <c r="U69" s="174"/>
      <c r="V69" s="174"/>
      <c r="W69" s="174"/>
      <c r="X69" s="174"/>
      <c r="Y69" s="174"/>
    </row>
    <row r="70" ht="15.75" hidden="1" customHeight="1">
      <c r="B70" s="210">
        <v>45352.0</v>
      </c>
      <c r="C70" s="380">
        <v>0.0</v>
      </c>
      <c r="D70" s="381">
        <v>0.0</v>
      </c>
      <c r="E70" s="382">
        <v>0.0</v>
      </c>
      <c r="F70" s="393">
        <v>0.0</v>
      </c>
      <c r="G70" s="240">
        <v>12527.0</v>
      </c>
      <c r="H70" s="196">
        <f t="shared" si="1"/>
        <v>739137</v>
      </c>
      <c r="I70" s="380">
        <v>0.0</v>
      </c>
      <c r="J70" s="381">
        <v>0.0</v>
      </c>
      <c r="K70" s="382">
        <v>0.0</v>
      </c>
      <c r="L70" s="380">
        <v>0.0</v>
      </c>
      <c r="M70" s="381">
        <v>0.0</v>
      </c>
      <c r="N70" s="382">
        <v>0.0</v>
      </c>
      <c r="O70" s="380">
        <v>0.0</v>
      </c>
      <c r="P70" s="381">
        <v>0.0</v>
      </c>
      <c r="Q70" s="382">
        <v>0.0</v>
      </c>
      <c r="R70" s="221"/>
      <c r="S70" s="174"/>
      <c r="T70" s="174"/>
      <c r="U70" s="174"/>
      <c r="V70" s="174"/>
      <c r="W70" s="174"/>
      <c r="X70" s="174"/>
      <c r="Y70" s="174"/>
    </row>
    <row r="71" ht="15.75" hidden="1" customHeight="1">
      <c r="B71" s="210">
        <v>45383.0</v>
      </c>
      <c r="C71" s="394">
        <v>1380000.0</v>
      </c>
      <c r="D71" s="381">
        <v>0.0</v>
      </c>
      <c r="E71" s="395">
        <f>C71-D71</f>
        <v>1380000</v>
      </c>
      <c r="F71" s="393">
        <v>0.0</v>
      </c>
      <c r="G71" s="240">
        <v>12318.0</v>
      </c>
      <c r="H71" s="196">
        <f t="shared" si="1"/>
        <v>726819</v>
      </c>
      <c r="I71" s="194">
        <v>2868.0</v>
      </c>
      <c r="J71" s="381">
        <v>0.0</v>
      </c>
      <c r="K71" s="194">
        <f>I71+J71</f>
        <v>2868</v>
      </c>
      <c r="L71" s="380">
        <v>0.0</v>
      </c>
      <c r="M71" s="381">
        <v>0.0</v>
      </c>
      <c r="N71" s="382">
        <v>0.0</v>
      </c>
      <c r="O71" s="380">
        <v>0.0</v>
      </c>
      <c r="P71" s="381">
        <v>0.0</v>
      </c>
      <c r="Q71" s="382">
        <v>0.0</v>
      </c>
      <c r="R71" s="221"/>
      <c r="S71" s="174"/>
      <c r="T71" s="174"/>
      <c r="U71" s="174"/>
      <c r="V71" s="174"/>
      <c r="W71" s="174"/>
      <c r="X71" s="174"/>
      <c r="Y71" s="174"/>
    </row>
    <row r="72" ht="15.75" hidden="1" customHeight="1">
      <c r="B72" s="210">
        <v>45413.0</v>
      </c>
      <c r="C72" s="394">
        <v>50000.0</v>
      </c>
      <c r="D72" s="381">
        <v>0.0</v>
      </c>
      <c r="E72" s="395">
        <f t="shared" ref="E72:E103" si="2">E71+C72-D72</f>
        <v>1430000</v>
      </c>
      <c r="F72" s="393">
        <v>0.0</v>
      </c>
      <c r="G72" s="240">
        <v>12113.0</v>
      </c>
      <c r="H72" s="196">
        <f t="shared" si="1"/>
        <v>714706</v>
      </c>
      <c r="I72" s="194">
        <v>3003.0</v>
      </c>
      <c r="J72" s="381">
        <v>0.0</v>
      </c>
      <c r="K72" s="194">
        <f t="shared" ref="K72:K103" si="3">K71+I72-J72</f>
        <v>5871</v>
      </c>
      <c r="L72" s="380">
        <v>0.0</v>
      </c>
      <c r="M72" s="381">
        <v>0.0</v>
      </c>
      <c r="N72" s="382">
        <v>0.0</v>
      </c>
      <c r="O72" s="380">
        <v>0.0</v>
      </c>
      <c r="P72" s="381">
        <v>0.0</v>
      </c>
      <c r="Q72" s="382">
        <v>0.0</v>
      </c>
      <c r="R72" s="221"/>
      <c r="S72" s="174"/>
      <c r="T72" s="174"/>
      <c r="U72" s="174"/>
      <c r="V72" s="174"/>
      <c r="W72" s="174"/>
      <c r="X72" s="174"/>
      <c r="Y72" s="174"/>
    </row>
    <row r="73" ht="15.75" hidden="1" customHeight="1">
      <c r="B73" s="210">
        <v>45444.0</v>
      </c>
      <c r="C73" s="396">
        <v>0.0</v>
      </c>
      <c r="D73" s="381">
        <v>0.0</v>
      </c>
      <c r="E73" s="395">
        <f t="shared" si="2"/>
        <v>1430000</v>
      </c>
      <c r="F73" s="393">
        <v>0.0</v>
      </c>
      <c r="G73" s="240">
        <v>11911.0</v>
      </c>
      <c r="H73" s="196">
        <f t="shared" si="1"/>
        <v>702795</v>
      </c>
      <c r="I73" s="194">
        <v>3087.0</v>
      </c>
      <c r="J73" s="381">
        <v>0.0</v>
      </c>
      <c r="K73" s="194">
        <f t="shared" si="3"/>
        <v>8958</v>
      </c>
      <c r="L73" s="380">
        <v>0.0</v>
      </c>
      <c r="M73" s="381">
        <v>0.0</v>
      </c>
      <c r="N73" s="382">
        <v>0.0</v>
      </c>
      <c r="O73" s="380">
        <v>0.0</v>
      </c>
      <c r="P73" s="381">
        <v>0.0</v>
      </c>
      <c r="Q73" s="382">
        <v>0.0</v>
      </c>
      <c r="R73" s="221"/>
      <c r="S73" s="174"/>
      <c r="T73" s="174"/>
      <c r="U73" s="174"/>
      <c r="V73" s="174"/>
      <c r="W73" s="174"/>
      <c r="X73" s="174"/>
      <c r="Y73" s="174"/>
    </row>
    <row r="74" ht="15.75" hidden="1" customHeight="1">
      <c r="B74" s="397">
        <v>45474.0</v>
      </c>
      <c r="C74" s="394">
        <v>50000.0</v>
      </c>
      <c r="D74" s="381">
        <v>0.0</v>
      </c>
      <c r="E74" s="395">
        <f t="shared" si="2"/>
        <v>1480000</v>
      </c>
      <c r="F74" s="393">
        <v>0.0</v>
      </c>
      <c r="G74" s="240">
        <v>11713.0</v>
      </c>
      <c r="H74" s="196">
        <f t="shared" si="1"/>
        <v>691082</v>
      </c>
      <c r="I74" s="236">
        <f>IF(Calculation!Q36=0,"",Calculation!Q36)</f>
        <v>3087</v>
      </c>
      <c r="J74" s="381">
        <v>0.0</v>
      </c>
      <c r="K74" s="194">
        <f t="shared" si="3"/>
        <v>12045</v>
      </c>
      <c r="L74" s="380">
        <v>0.0</v>
      </c>
      <c r="M74" s="381">
        <v>0.0</v>
      </c>
      <c r="N74" s="382">
        <v>0.0</v>
      </c>
      <c r="O74" s="380">
        <v>0.0</v>
      </c>
      <c r="P74" s="381">
        <v>0.0</v>
      </c>
      <c r="Q74" s="382">
        <v>0.0</v>
      </c>
      <c r="R74" s="221"/>
      <c r="S74" s="174"/>
      <c r="T74" s="174"/>
      <c r="U74" s="174"/>
      <c r="V74" s="174"/>
      <c r="W74" s="174"/>
      <c r="X74" s="174"/>
      <c r="Y74" s="174"/>
    </row>
    <row r="75" ht="15.75" hidden="1" customHeight="1">
      <c r="B75" s="397">
        <v>45505.0</v>
      </c>
      <c r="C75" s="396">
        <v>0.0</v>
      </c>
      <c r="D75" s="381">
        <v>0.0</v>
      </c>
      <c r="E75" s="395">
        <f t="shared" si="2"/>
        <v>1480000</v>
      </c>
      <c r="F75" s="393">
        <v>0.0</v>
      </c>
      <c r="G75" s="240">
        <v>11517.0</v>
      </c>
      <c r="H75" s="196">
        <f t="shared" si="1"/>
        <v>679565</v>
      </c>
      <c r="I75" s="236">
        <f>IF(Calculation!Q37=0,"",Calculation!Q37)</f>
        <v>3087</v>
      </c>
      <c r="J75" s="381">
        <v>0.0</v>
      </c>
      <c r="K75" s="194">
        <f t="shared" si="3"/>
        <v>15132</v>
      </c>
      <c r="L75" s="380">
        <v>0.0</v>
      </c>
      <c r="M75" s="381">
        <v>0.0</v>
      </c>
      <c r="N75" s="382">
        <v>0.0</v>
      </c>
      <c r="O75" s="380">
        <v>0.0</v>
      </c>
      <c r="P75" s="381">
        <v>0.0</v>
      </c>
      <c r="Q75" s="382">
        <v>0.0</v>
      </c>
      <c r="R75" s="221"/>
      <c r="S75" s="174"/>
      <c r="T75" s="174"/>
      <c r="U75" s="174"/>
      <c r="V75" s="174"/>
      <c r="W75" s="174"/>
      <c r="X75" s="174"/>
      <c r="Y75" s="174"/>
    </row>
    <row r="76" ht="15.75" hidden="1" customHeight="1">
      <c r="B76" s="397">
        <v>45536.0</v>
      </c>
      <c r="C76" s="394">
        <v>50000.0</v>
      </c>
      <c r="D76" s="381">
        <v>0.0</v>
      </c>
      <c r="E76" s="395">
        <f t="shared" si="2"/>
        <v>1530000</v>
      </c>
      <c r="F76" s="393">
        <v>0.0</v>
      </c>
      <c r="G76" s="240">
        <v>11326.0</v>
      </c>
      <c r="H76" s="196">
        <f t="shared" si="1"/>
        <v>668239</v>
      </c>
      <c r="I76" s="236">
        <f>IF(Calculation!Q38=0,"",Calculation!Q38)</f>
        <v>3087</v>
      </c>
      <c r="J76" s="381">
        <v>0.0</v>
      </c>
      <c r="K76" s="194">
        <f t="shared" si="3"/>
        <v>18219</v>
      </c>
      <c r="L76" s="380">
        <v>0.0</v>
      </c>
      <c r="M76" s="381">
        <v>0.0</v>
      </c>
      <c r="N76" s="382">
        <v>0.0</v>
      </c>
      <c r="O76" s="380">
        <v>0.0</v>
      </c>
      <c r="P76" s="381">
        <v>0.0</v>
      </c>
      <c r="Q76" s="382">
        <v>0.0</v>
      </c>
      <c r="R76" s="221"/>
      <c r="S76" s="174"/>
      <c r="T76" s="174"/>
      <c r="U76" s="174"/>
      <c r="V76" s="174"/>
      <c r="W76" s="174"/>
      <c r="X76" s="174"/>
      <c r="Y76" s="174"/>
    </row>
    <row r="77" ht="15.75" hidden="1" customHeight="1">
      <c r="B77" s="397">
        <v>45566.0</v>
      </c>
      <c r="C77" s="396">
        <v>0.0</v>
      </c>
      <c r="D77" s="381">
        <v>0.0</v>
      </c>
      <c r="E77" s="395">
        <f t="shared" si="2"/>
        <v>1530000</v>
      </c>
      <c r="F77" s="393">
        <v>0.0</v>
      </c>
      <c r="G77" s="240">
        <v>11137.0</v>
      </c>
      <c r="H77" s="196">
        <f t="shared" si="1"/>
        <v>657102</v>
      </c>
      <c r="I77" s="381">
        <v>0.0</v>
      </c>
      <c r="J77" s="381">
        <v>0.0</v>
      </c>
      <c r="K77" s="194">
        <f t="shared" si="3"/>
        <v>18219</v>
      </c>
      <c r="L77" s="380">
        <v>0.0</v>
      </c>
      <c r="M77" s="381">
        <v>0.0</v>
      </c>
      <c r="N77" s="382">
        <v>0.0</v>
      </c>
      <c r="O77" s="380">
        <v>0.0</v>
      </c>
      <c r="P77" s="381">
        <v>0.0</v>
      </c>
      <c r="Q77" s="382">
        <v>0.0</v>
      </c>
      <c r="R77" s="398" t="s">
        <v>535</v>
      </c>
      <c r="S77" s="174"/>
      <c r="T77" s="174"/>
      <c r="U77" s="174"/>
      <c r="V77" s="174"/>
      <c r="W77" s="174"/>
      <c r="X77" s="174"/>
      <c r="Y77" s="174"/>
    </row>
    <row r="78" ht="15.75" hidden="1" customHeight="1">
      <c r="B78" s="397">
        <v>45597.0</v>
      </c>
      <c r="C78" s="394">
        <v>50000.0</v>
      </c>
      <c r="D78" s="381">
        <v>0.0</v>
      </c>
      <c r="E78" s="395">
        <f t="shared" si="2"/>
        <v>1580000</v>
      </c>
      <c r="F78" s="393">
        <v>0.0</v>
      </c>
      <c r="G78" s="240">
        <v>10951.0</v>
      </c>
      <c r="H78" s="196">
        <f t="shared" si="1"/>
        <v>646151</v>
      </c>
      <c r="I78" s="236">
        <f>IF(Calculation!Q40=0,"",Calculation!Q40)</f>
        <v>3087</v>
      </c>
      <c r="J78" s="381">
        <v>0.0</v>
      </c>
      <c r="K78" s="194">
        <f t="shared" si="3"/>
        <v>21306</v>
      </c>
      <c r="L78" s="380">
        <v>0.0</v>
      </c>
      <c r="M78" s="381">
        <v>0.0</v>
      </c>
      <c r="N78" s="382">
        <v>0.0</v>
      </c>
      <c r="O78" s="380">
        <v>0.0</v>
      </c>
      <c r="P78" s="381">
        <v>0.0</v>
      </c>
      <c r="Q78" s="382">
        <v>0.0</v>
      </c>
      <c r="R78" s="221"/>
      <c r="S78" s="174"/>
      <c r="T78" s="174"/>
      <c r="U78" s="174"/>
      <c r="V78" s="174"/>
      <c r="W78" s="174"/>
      <c r="X78" s="174"/>
      <c r="Y78" s="174"/>
    </row>
    <row r="79" ht="15.75" hidden="1" customHeight="1">
      <c r="A79" s="114"/>
      <c r="B79" s="397">
        <v>45627.0</v>
      </c>
      <c r="C79" s="399">
        <v>0.0</v>
      </c>
      <c r="D79" s="381">
        <v>0.0</v>
      </c>
      <c r="E79" s="395">
        <f t="shared" si="2"/>
        <v>1580000</v>
      </c>
      <c r="F79" s="393">
        <v>0.0</v>
      </c>
      <c r="G79" s="240">
        <v>10769.0</v>
      </c>
      <c r="H79" s="196">
        <f t="shared" si="1"/>
        <v>635382</v>
      </c>
      <c r="I79" s="236">
        <f>IF(Calculation!Q41=0,"",Calculation!Q41)</f>
        <v>3087</v>
      </c>
      <c r="J79" s="381">
        <v>0.0</v>
      </c>
      <c r="K79" s="194">
        <f t="shared" si="3"/>
        <v>24393</v>
      </c>
      <c r="L79" s="386">
        <v>0.0</v>
      </c>
      <c r="M79" s="387">
        <v>0.0</v>
      </c>
      <c r="N79" s="382">
        <v>0.0</v>
      </c>
      <c r="O79" s="386">
        <v>0.0</v>
      </c>
      <c r="P79" s="387">
        <v>0.0</v>
      </c>
      <c r="Q79" s="388">
        <v>0.0</v>
      </c>
      <c r="R79" s="221"/>
      <c r="S79" s="174"/>
      <c r="T79" s="174"/>
      <c r="U79" s="174"/>
      <c r="V79" s="174"/>
      <c r="W79" s="174"/>
      <c r="X79" s="174"/>
      <c r="Y79" s="174"/>
    </row>
    <row r="80" ht="15.75" customHeight="1">
      <c r="A80" s="136">
        <v>2025.0</v>
      </c>
      <c r="B80" s="137">
        <v>45658.0</v>
      </c>
      <c r="C80" s="265">
        <v>50000.0</v>
      </c>
      <c r="D80" s="375">
        <v>0.0</v>
      </c>
      <c r="E80" s="400">
        <f t="shared" si="2"/>
        <v>1630000</v>
      </c>
      <c r="F80" s="401">
        <v>0.0</v>
      </c>
      <c r="G80" s="246">
        <v>10589.0</v>
      </c>
      <c r="H80" s="215">
        <f t="shared" si="1"/>
        <v>624793</v>
      </c>
      <c r="I80" s="244">
        <f>IF(Calculation!Q42=0,"",Calculation!Q42)</f>
        <v>3087</v>
      </c>
      <c r="J80" s="375">
        <v>0.0</v>
      </c>
      <c r="K80" s="213">
        <f t="shared" si="3"/>
        <v>27480</v>
      </c>
      <c r="L80" s="374">
        <v>0.0</v>
      </c>
      <c r="M80" s="375">
        <v>0.0</v>
      </c>
      <c r="N80" s="376">
        <v>0.0</v>
      </c>
      <c r="O80" s="374">
        <v>0.0</v>
      </c>
      <c r="P80" s="375">
        <v>0.0</v>
      </c>
      <c r="Q80" s="376">
        <v>0.0</v>
      </c>
      <c r="R80" s="231"/>
      <c r="S80" s="174"/>
      <c r="T80" s="174"/>
      <c r="U80" s="174"/>
      <c r="V80" s="174"/>
      <c r="W80" s="174"/>
      <c r="X80" s="174"/>
      <c r="Y80" s="174"/>
    </row>
    <row r="81" ht="15.75" customHeight="1">
      <c r="A81" s="146"/>
      <c r="B81" s="137">
        <v>45689.0</v>
      </c>
      <c r="C81" s="402">
        <v>0.0</v>
      </c>
      <c r="D81" s="381">
        <v>0.0</v>
      </c>
      <c r="E81" s="403">
        <f t="shared" si="2"/>
        <v>1630000</v>
      </c>
      <c r="F81" s="404">
        <v>0.0</v>
      </c>
      <c r="G81" s="240">
        <v>10413.0</v>
      </c>
      <c r="H81" s="196">
        <f t="shared" si="1"/>
        <v>614380</v>
      </c>
      <c r="I81" s="236">
        <f>IF(Calculation!Q43=0,"",Calculation!Q43)</f>
        <v>3087</v>
      </c>
      <c r="J81" s="381">
        <v>0.0</v>
      </c>
      <c r="K81" s="194">
        <f t="shared" si="3"/>
        <v>30567</v>
      </c>
      <c r="L81" s="380">
        <v>0.0</v>
      </c>
      <c r="M81" s="381">
        <v>0.0</v>
      </c>
      <c r="N81" s="382">
        <v>0.0</v>
      </c>
      <c r="O81" s="380">
        <v>0.0</v>
      </c>
      <c r="P81" s="381">
        <v>0.0</v>
      </c>
      <c r="Q81" s="382">
        <v>0.0</v>
      </c>
      <c r="R81" s="221"/>
      <c r="S81" s="174"/>
      <c r="T81" s="174"/>
      <c r="U81" s="174"/>
      <c r="V81" s="174"/>
      <c r="W81" s="174"/>
      <c r="X81" s="174"/>
      <c r="Y81" s="174"/>
    </row>
    <row r="82" ht="15.75" customHeight="1">
      <c r="A82" s="146"/>
      <c r="B82" s="137">
        <v>45717.0</v>
      </c>
      <c r="C82" s="255">
        <v>50000.0</v>
      </c>
      <c r="D82" s="381">
        <v>0.0</v>
      </c>
      <c r="E82" s="403">
        <f t="shared" si="2"/>
        <v>1680000</v>
      </c>
      <c r="F82" s="404">
        <v>0.0</v>
      </c>
      <c r="G82" s="240">
        <v>10239.0</v>
      </c>
      <c r="H82" s="196">
        <f t="shared" si="1"/>
        <v>604141</v>
      </c>
      <c r="I82" s="236">
        <f>IF(Calculation!Q44=0,"",Calculation!Q44)</f>
        <v>3087</v>
      </c>
      <c r="J82" s="381">
        <v>0.0</v>
      </c>
      <c r="K82" s="194">
        <f t="shared" si="3"/>
        <v>33654</v>
      </c>
      <c r="L82" s="380">
        <v>0.0</v>
      </c>
      <c r="M82" s="381">
        <v>0.0</v>
      </c>
      <c r="N82" s="382">
        <v>0.0</v>
      </c>
      <c r="O82" s="380">
        <v>0.0</v>
      </c>
      <c r="P82" s="381">
        <v>0.0</v>
      </c>
      <c r="Q82" s="382">
        <v>0.0</v>
      </c>
      <c r="R82" s="221"/>
      <c r="S82" s="174"/>
      <c r="T82" s="174"/>
      <c r="U82" s="174"/>
      <c r="V82" s="174"/>
      <c r="W82" s="174"/>
      <c r="X82" s="174"/>
      <c r="Y82" s="174"/>
    </row>
    <row r="83" ht="15.75" customHeight="1">
      <c r="A83" s="146"/>
      <c r="B83" s="137">
        <v>45748.0</v>
      </c>
      <c r="C83" s="402">
        <v>0.0</v>
      </c>
      <c r="D83" s="381">
        <v>0.0</v>
      </c>
      <c r="E83" s="403">
        <f t="shared" si="2"/>
        <v>1680000</v>
      </c>
      <c r="F83" s="404">
        <v>0.0</v>
      </c>
      <c r="G83" s="240">
        <v>10068.0</v>
      </c>
      <c r="H83" s="196">
        <f t="shared" si="1"/>
        <v>594073</v>
      </c>
      <c r="I83" s="236">
        <f>IF(Calculation!Q45=0,"",Calculation!Q45)</f>
        <v>3087</v>
      </c>
      <c r="J83" s="381">
        <v>0.0</v>
      </c>
      <c r="K83" s="194">
        <f t="shared" si="3"/>
        <v>36741</v>
      </c>
      <c r="L83" s="380">
        <v>0.0</v>
      </c>
      <c r="M83" s="381">
        <v>0.0</v>
      </c>
      <c r="N83" s="382">
        <v>0.0</v>
      </c>
      <c r="O83" s="380">
        <v>0.0</v>
      </c>
      <c r="P83" s="381">
        <v>0.0</v>
      </c>
      <c r="Q83" s="382">
        <v>0.0</v>
      </c>
      <c r="R83" s="221"/>
      <c r="S83" s="174"/>
      <c r="T83" s="174"/>
      <c r="U83" s="174"/>
      <c r="V83" s="174"/>
      <c r="W83" s="174"/>
      <c r="X83" s="174"/>
      <c r="Y83" s="174"/>
    </row>
    <row r="84" ht="15.75" customHeight="1">
      <c r="A84" s="146"/>
      <c r="B84" s="137">
        <v>45778.0</v>
      </c>
      <c r="C84" s="255">
        <v>50000.0</v>
      </c>
      <c r="D84" s="381">
        <v>0.0</v>
      </c>
      <c r="E84" s="403">
        <f t="shared" si="2"/>
        <v>1730000</v>
      </c>
      <c r="F84" s="404">
        <v>0.0</v>
      </c>
      <c r="G84" s="240">
        <v>9901.0</v>
      </c>
      <c r="H84" s="196">
        <f t="shared" si="1"/>
        <v>584172</v>
      </c>
      <c r="I84" s="236">
        <f>IF(Calculation!Q46=0,"",Calculation!Q46)</f>
        <v>4116</v>
      </c>
      <c r="J84" s="381">
        <v>0.0</v>
      </c>
      <c r="K84" s="194">
        <f t="shared" si="3"/>
        <v>40857</v>
      </c>
      <c r="L84" s="380">
        <v>0.0</v>
      </c>
      <c r="M84" s="381">
        <v>0.0</v>
      </c>
      <c r="N84" s="382">
        <v>0.0</v>
      </c>
      <c r="O84" s="380">
        <v>0.0</v>
      </c>
      <c r="P84" s="381">
        <v>0.0</v>
      </c>
      <c r="Q84" s="382">
        <v>0.0</v>
      </c>
      <c r="R84" s="221"/>
      <c r="S84" s="174"/>
      <c r="T84" s="174"/>
      <c r="U84" s="174"/>
      <c r="V84" s="174"/>
      <c r="W84" s="174"/>
      <c r="X84" s="174"/>
      <c r="Y84" s="174"/>
    </row>
    <row r="85" ht="15.75" customHeight="1">
      <c r="A85" s="146"/>
      <c r="B85" s="137">
        <v>45809.0</v>
      </c>
      <c r="C85" s="402">
        <v>0.0</v>
      </c>
      <c r="D85" s="381">
        <v>0.0</v>
      </c>
      <c r="E85" s="403">
        <f t="shared" si="2"/>
        <v>1730000</v>
      </c>
      <c r="F85" s="404">
        <v>0.0</v>
      </c>
      <c r="G85" s="240">
        <v>9736.0</v>
      </c>
      <c r="H85" s="196">
        <f t="shared" si="1"/>
        <v>574436</v>
      </c>
      <c r="I85" s="236">
        <f>IF(Calculation!Q47=0,"",Calculation!Q47)</f>
        <v>4292</v>
      </c>
      <c r="J85" s="381">
        <v>0.0</v>
      </c>
      <c r="K85" s="194">
        <f t="shared" si="3"/>
        <v>45149</v>
      </c>
      <c r="L85" s="380">
        <v>0.0</v>
      </c>
      <c r="M85" s="381">
        <v>0.0</v>
      </c>
      <c r="N85" s="382">
        <v>0.0</v>
      </c>
      <c r="O85" s="380">
        <v>0.0</v>
      </c>
      <c r="P85" s="381">
        <v>0.0</v>
      </c>
      <c r="Q85" s="382">
        <v>0.0</v>
      </c>
      <c r="R85" s="221"/>
      <c r="S85" s="174"/>
      <c r="T85" s="174"/>
      <c r="U85" s="174"/>
      <c r="V85" s="174"/>
      <c r="W85" s="174"/>
      <c r="X85" s="174"/>
      <c r="Y85" s="174"/>
    </row>
    <row r="86" ht="15.75" customHeight="1">
      <c r="A86" s="146"/>
      <c r="B86" s="137">
        <v>45839.0</v>
      </c>
      <c r="C86" s="255">
        <v>50000.0</v>
      </c>
      <c r="D86" s="381">
        <v>0.0</v>
      </c>
      <c r="E86" s="403">
        <f t="shared" si="2"/>
        <v>1780000</v>
      </c>
      <c r="F86" s="404">
        <v>0.0</v>
      </c>
      <c r="G86" s="240">
        <v>9573.0</v>
      </c>
      <c r="H86" s="196">
        <f t="shared" si="1"/>
        <v>564863</v>
      </c>
      <c r="I86" s="236">
        <f>IF(Calculation!Q48=0,"",Calculation!Q48)</f>
        <v>4292</v>
      </c>
      <c r="J86" s="381">
        <v>0.0</v>
      </c>
      <c r="K86" s="194">
        <f t="shared" si="3"/>
        <v>49441</v>
      </c>
      <c r="L86" s="380">
        <v>0.0</v>
      </c>
      <c r="M86" s="381">
        <v>0.0</v>
      </c>
      <c r="N86" s="382">
        <v>0.0</v>
      </c>
      <c r="O86" s="380">
        <v>0.0</v>
      </c>
      <c r="P86" s="381">
        <v>0.0</v>
      </c>
      <c r="Q86" s="382">
        <v>0.0</v>
      </c>
      <c r="R86" s="221"/>
      <c r="S86" s="174"/>
      <c r="T86" s="174"/>
      <c r="U86" s="174"/>
      <c r="V86" s="174"/>
      <c r="W86" s="174"/>
      <c r="X86" s="174"/>
      <c r="Y86" s="174"/>
    </row>
    <row r="87" ht="15.75" customHeight="1">
      <c r="A87" s="146"/>
      <c r="B87" s="137">
        <v>45870.0</v>
      </c>
      <c r="C87" s="402">
        <v>0.0</v>
      </c>
      <c r="D87" s="381">
        <v>0.0</v>
      </c>
      <c r="E87" s="403">
        <f t="shared" si="2"/>
        <v>1780000</v>
      </c>
      <c r="F87" s="404">
        <v>0.0</v>
      </c>
      <c r="G87" s="240">
        <v>9414.0</v>
      </c>
      <c r="H87" s="196">
        <f t="shared" si="1"/>
        <v>555449</v>
      </c>
      <c r="I87" s="236">
        <f>IF(Calculation!Q49=0,"",Calculation!Q49)</f>
        <v>4292</v>
      </c>
      <c r="J87" s="381">
        <v>0.0</v>
      </c>
      <c r="K87" s="194">
        <f t="shared" si="3"/>
        <v>53733</v>
      </c>
      <c r="L87" s="380">
        <v>0.0</v>
      </c>
      <c r="M87" s="381">
        <v>0.0</v>
      </c>
      <c r="N87" s="382">
        <v>0.0</v>
      </c>
      <c r="O87" s="380">
        <v>0.0</v>
      </c>
      <c r="P87" s="381">
        <v>0.0</v>
      </c>
      <c r="Q87" s="382">
        <v>0.0</v>
      </c>
      <c r="R87" s="221"/>
      <c r="S87" s="174"/>
      <c r="T87" s="174"/>
      <c r="U87" s="174"/>
      <c r="V87" s="174"/>
      <c r="W87" s="174"/>
      <c r="X87" s="174"/>
      <c r="Y87" s="174"/>
    </row>
    <row r="88" ht="15.75" customHeight="1">
      <c r="A88" s="146"/>
      <c r="B88" s="137">
        <v>45901.0</v>
      </c>
      <c r="C88" s="255">
        <v>50000.0</v>
      </c>
      <c r="D88" s="381">
        <v>0.0</v>
      </c>
      <c r="E88" s="403">
        <f t="shared" si="2"/>
        <v>1830000</v>
      </c>
      <c r="F88" s="404">
        <v>0.0</v>
      </c>
      <c r="G88" s="240">
        <v>9257.0</v>
      </c>
      <c r="H88" s="196">
        <f t="shared" si="1"/>
        <v>546192</v>
      </c>
      <c r="I88" s="236">
        <f>IF(Calculation!Q50=0,"",Calculation!Q50)</f>
        <v>4292</v>
      </c>
      <c r="J88" s="381">
        <v>0.0</v>
      </c>
      <c r="K88" s="194">
        <f t="shared" si="3"/>
        <v>58025</v>
      </c>
      <c r="L88" s="396">
        <f t="shared" ref="L88:L92" si="4">500*$M$5</f>
        <v>15500</v>
      </c>
      <c r="M88" s="381">
        <v>0.0</v>
      </c>
      <c r="N88" s="194">
        <f t="shared" ref="N88:N103" si="5">N87+L88-M88</f>
        <v>15500</v>
      </c>
      <c r="O88" s="380">
        <v>0.0</v>
      </c>
      <c r="P88" s="381">
        <v>0.0</v>
      </c>
      <c r="Q88" s="382">
        <v>0.0</v>
      </c>
      <c r="R88" s="398" t="s">
        <v>642</v>
      </c>
      <c r="S88" s="174"/>
      <c r="T88" s="174"/>
      <c r="U88" s="174"/>
      <c r="V88" s="174"/>
      <c r="W88" s="174"/>
      <c r="X88" s="174"/>
      <c r="Y88" s="174"/>
    </row>
    <row r="89" ht="15.75" customHeight="1">
      <c r="A89" s="146"/>
      <c r="B89" s="137">
        <v>45931.0</v>
      </c>
      <c r="C89" s="402">
        <v>0.0</v>
      </c>
      <c r="D89" s="381">
        <v>0.0</v>
      </c>
      <c r="E89" s="403">
        <f t="shared" si="2"/>
        <v>1830000</v>
      </c>
      <c r="F89" s="404">
        <v>0.0</v>
      </c>
      <c r="G89" s="240">
        <v>9103.0</v>
      </c>
      <c r="H89" s="196">
        <f t="shared" si="1"/>
        <v>537089</v>
      </c>
      <c r="I89" s="236">
        <f>IF(Calculation!Q51=0,"",Calculation!Q51)</f>
        <v>4292</v>
      </c>
      <c r="J89" s="381">
        <v>0.0</v>
      </c>
      <c r="K89" s="194">
        <f t="shared" si="3"/>
        <v>62317</v>
      </c>
      <c r="L89" s="396">
        <f t="shared" si="4"/>
        <v>15500</v>
      </c>
      <c r="M89" s="381">
        <v>0.0</v>
      </c>
      <c r="N89" s="194">
        <f t="shared" si="5"/>
        <v>31000</v>
      </c>
      <c r="O89" s="396">
        <f>504*$P$5</f>
        <v>15624</v>
      </c>
      <c r="P89" s="381">
        <v>0.0</v>
      </c>
      <c r="Q89" s="194">
        <f t="shared" ref="Q89:Q103" si="6">Q88+O89-P89</f>
        <v>15624</v>
      </c>
      <c r="R89" s="398" t="s">
        <v>643</v>
      </c>
      <c r="S89" s="174"/>
      <c r="T89" s="174"/>
      <c r="U89" s="174"/>
      <c r="V89" s="174"/>
      <c r="W89" s="174"/>
      <c r="X89" s="174"/>
      <c r="Y89" s="174"/>
    </row>
    <row r="90" ht="15.75" customHeight="1">
      <c r="A90" s="146"/>
      <c r="B90" s="137">
        <v>45962.0</v>
      </c>
      <c r="C90" s="255">
        <v>50000.0</v>
      </c>
      <c r="D90" s="381">
        <v>0.0</v>
      </c>
      <c r="E90" s="403">
        <f t="shared" si="2"/>
        <v>1880000</v>
      </c>
      <c r="F90" s="404">
        <v>0.0</v>
      </c>
      <c r="G90" s="240">
        <v>8951.0</v>
      </c>
      <c r="H90" s="196">
        <f t="shared" si="1"/>
        <v>528138</v>
      </c>
      <c r="I90" s="236">
        <f>IF(Calculation!Q52=0,"",Calculation!Q52)</f>
        <v>4292</v>
      </c>
      <c r="J90" s="381">
        <v>0.0</v>
      </c>
      <c r="K90" s="194">
        <f t="shared" si="3"/>
        <v>66609</v>
      </c>
      <c r="L90" s="396">
        <f t="shared" si="4"/>
        <v>15500</v>
      </c>
      <c r="M90" s="381">
        <v>0.0</v>
      </c>
      <c r="N90" s="194">
        <f t="shared" si="5"/>
        <v>46500</v>
      </c>
      <c r="O90" s="396">
        <f t="shared" ref="O90:O98" si="7">540*$P$5</f>
        <v>16740</v>
      </c>
      <c r="P90" s="381">
        <v>0.0</v>
      </c>
      <c r="Q90" s="194">
        <f t="shared" si="6"/>
        <v>32364</v>
      </c>
      <c r="R90" s="221"/>
      <c r="S90" s="174"/>
      <c r="T90" s="174"/>
      <c r="U90" s="174"/>
      <c r="V90" s="174"/>
      <c r="W90" s="174"/>
      <c r="X90" s="174"/>
      <c r="Y90" s="174"/>
    </row>
    <row r="91" ht="15.75" customHeight="1">
      <c r="A91" s="147"/>
      <c r="B91" s="137">
        <v>45992.0</v>
      </c>
      <c r="C91" s="405">
        <v>0.0</v>
      </c>
      <c r="D91" s="381">
        <v>0.0</v>
      </c>
      <c r="E91" s="403">
        <f t="shared" si="2"/>
        <v>1880000</v>
      </c>
      <c r="F91" s="404">
        <v>0.0</v>
      </c>
      <c r="G91" s="240">
        <v>8802.0</v>
      </c>
      <c r="H91" s="196">
        <f t="shared" si="1"/>
        <v>519336</v>
      </c>
      <c r="I91" s="236">
        <f>IF(Calculation!Q53=0,"",Calculation!Q53)</f>
        <v>4292</v>
      </c>
      <c r="J91" s="381">
        <v>0.0</v>
      </c>
      <c r="K91" s="194">
        <f t="shared" si="3"/>
        <v>70901</v>
      </c>
      <c r="L91" s="396">
        <f t="shared" si="4"/>
        <v>15500</v>
      </c>
      <c r="M91" s="381">
        <v>0.0</v>
      </c>
      <c r="N91" s="194">
        <f t="shared" si="5"/>
        <v>62000</v>
      </c>
      <c r="O91" s="396">
        <f t="shared" si="7"/>
        <v>16740</v>
      </c>
      <c r="P91" s="381">
        <v>0.0</v>
      </c>
      <c r="Q91" s="194">
        <f t="shared" si="6"/>
        <v>49104</v>
      </c>
      <c r="R91" s="227"/>
      <c r="S91" s="174"/>
      <c r="T91" s="174"/>
      <c r="U91" s="174"/>
      <c r="V91" s="174"/>
      <c r="W91" s="174"/>
      <c r="X91" s="174"/>
      <c r="Y91" s="174"/>
    </row>
    <row r="92" ht="15.75" customHeight="1">
      <c r="A92" s="233">
        <v>2026.0</v>
      </c>
      <c r="B92" s="210">
        <v>46023.0</v>
      </c>
      <c r="C92" s="265">
        <v>45000.0</v>
      </c>
      <c r="D92" s="375">
        <v>0.0</v>
      </c>
      <c r="E92" s="400">
        <f t="shared" si="2"/>
        <v>1925000</v>
      </c>
      <c r="F92" s="401">
        <v>0.0</v>
      </c>
      <c r="G92" s="246">
        <v>8655.0</v>
      </c>
      <c r="H92" s="246">
        <f t="shared" si="1"/>
        <v>510681</v>
      </c>
      <c r="I92" s="242">
        <f>IF(Calculation!Q54=0,"",Calculation!Q54)</f>
        <v>4292</v>
      </c>
      <c r="J92" s="375">
        <v>0.0</v>
      </c>
      <c r="K92" s="213">
        <f t="shared" si="3"/>
        <v>75193</v>
      </c>
      <c r="L92" s="377">
        <f t="shared" si="4"/>
        <v>15500</v>
      </c>
      <c r="M92" s="375">
        <v>0.0</v>
      </c>
      <c r="N92" s="213">
        <f t="shared" si="5"/>
        <v>77500</v>
      </c>
      <c r="O92" s="377">
        <f t="shared" si="7"/>
        <v>16740</v>
      </c>
      <c r="P92" s="375">
        <v>0.0</v>
      </c>
      <c r="Q92" s="212">
        <f t="shared" si="6"/>
        <v>65844</v>
      </c>
      <c r="R92" s="391"/>
      <c r="S92" s="174"/>
      <c r="T92" s="174"/>
      <c r="U92" s="174"/>
      <c r="V92" s="174"/>
      <c r="W92" s="174"/>
      <c r="X92" s="174"/>
      <c r="Y92" s="174"/>
    </row>
    <row r="93" ht="15.75" customHeight="1">
      <c r="B93" s="210">
        <v>46054.0</v>
      </c>
      <c r="C93" s="255"/>
      <c r="D93" s="381">
        <v>0.0</v>
      </c>
      <c r="E93" s="403">
        <f t="shared" si="2"/>
        <v>1925000</v>
      </c>
      <c r="F93" s="404">
        <v>0.0</v>
      </c>
      <c r="G93" s="240">
        <v>8511.0</v>
      </c>
      <c r="H93" s="240">
        <f t="shared" si="1"/>
        <v>502170</v>
      </c>
      <c r="I93" s="238">
        <f>IF(Calculation!Q55=0,"",Calculation!Q55)</f>
        <v>4292</v>
      </c>
      <c r="J93" s="381">
        <v>0.0</v>
      </c>
      <c r="K93" s="194">
        <f t="shared" si="3"/>
        <v>79485</v>
      </c>
      <c r="L93" s="396">
        <f t="shared" ref="L93:L98" si="8">650*$M$5</f>
        <v>20150</v>
      </c>
      <c r="M93" s="381">
        <v>0.0</v>
      </c>
      <c r="N93" s="194">
        <f t="shared" si="5"/>
        <v>97650</v>
      </c>
      <c r="O93" s="396">
        <f t="shared" si="7"/>
        <v>16740</v>
      </c>
      <c r="P93" s="381">
        <v>0.0</v>
      </c>
      <c r="Q93" s="193">
        <f t="shared" si="6"/>
        <v>82584</v>
      </c>
      <c r="R93" s="385"/>
      <c r="S93" s="174"/>
      <c r="T93" s="174"/>
      <c r="U93" s="174"/>
      <c r="V93" s="174"/>
      <c r="W93" s="174"/>
      <c r="X93" s="174"/>
      <c r="Y93" s="174"/>
    </row>
    <row r="94" ht="15.75" customHeight="1">
      <c r="B94" s="210">
        <v>46082.0</v>
      </c>
      <c r="C94" s="255">
        <v>50000.0</v>
      </c>
      <c r="D94" s="381">
        <v>0.0</v>
      </c>
      <c r="E94" s="403">
        <f t="shared" si="2"/>
        <v>1975000</v>
      </c>
      <c r="F94" s="404">
        <v>0.0</v>
      </c>
      <c r="G94" s="240">
        <v>8369.0</v>
      </c>
      <c r="H94" s="240">
        <f t="shared" si="1"/>
        <v>493801</v>
      </c>
      <c r="I94" s="238">
        <f>IF(Calculation!Q56=0,"",Calculation!Q56)</f>
        <v>4292</v>
      </c>
      <c r="J94" s="381">
        <v>0.0</v>
      </c>
      <c r="K94" s="194">
        <f t="shared" si="3"/>
        <v>83777</v>
      </c>
      <c r="L94" s="396">
        <f t="shared" si="8"/>
        <v>20150</v>
      </c>
      <c r="M94" s="381">
        <v>0.0</v>
      </c>
      <c r="N94" s="194">
        <f t="shared" si="5"/>
        <v>117800</v>
      </c>
      <c r="O94" s="396">
        <f t="shared" si="7"/>
        <v>16740</v>
      </c>
      <c r="P94" s="381">
        <v>0.0</v>
      </c>
      <c r="Q94" s="193">
        <f t="shared" si="6"/>
        <v>99324</v>
      </c>
      <c r="R94" s="385"/>
      <c r="S94" s="174"/>
      <c r="T94" s="174"/>
      <c r="U94" s="174"/>
      <c r="V94" s="174"/>
      <c r="W94" s="174"/>
      <c r="X94" s="174"/>
      <c r="Y94" s="174"/>
    </row>
    <row r="95" ht="15.75" customHeight="1">
      <c r="B95" s="210">
        <v>46113.0</v>
      </c>
      <c r="C95" s="255"/>
      <c r="D95" s="381">
        <v>0.0</v>
      </c>
      <c r="E95" s="403">
        <f t="shared" si="2"/>
        <v>1975000</v>
      </c>
      <c r="F95" s="404">
        <v>0.0</v>
      </c>
      <c r="G95" s="240">
        <v>8229.0</v>
      </c>
      <c r="H95" s="240">
        <f t="shared" si="1"/>
        <v>485572</v>
      </c>
      <c r="I95" s="238">
        <f>IF(Calculation!Q57=0,"",Calculation!Q57)</f>
        <v>4292</v>
      </c>
      <c r="J95" s="381">
        <v>0.0</v>
      </c>
      <c r="K95" s="194">
        <f t="shared" si="3"/>
        <v>88069</v>
      </c>
      <c r="L95" s="396">
        <f t="shared" si="8"/>
        <v>20150</v>
      </c>
      <c r="M95" s="381">
        <v>0.0</v>
      </c>
      <c r="N95" s="194">
        <f t="shared" si="5"/>
        <v>137950</v>
      </c>
      <c r="O95" s="396">
        <f t="shared" si="7"/>
        <v>16740</v>
      </c>
      <c r="P95" s="381">
        <v>0.0</v>
      </c>
      <c r="Q95" s="193">
        <f t="shared" si="6"/>
        <v>116064</v>
      </c>
      <c r="R95" s="385"/>
      <c r="S95" s="174"/>
      <c r="T95" s="174"/>
      <c r="U95" s="174"/>
      <c r="V95" s="174"/>
      <c r="W95" s="174"/>
      <c r="X95" s="174"/>
      <c r="Y95" s="174"/>
    </row>
    <row r="96" ht="15.75" customHeight="1">
      <c r="B96" s="210">
        <v>46143.0</v>
      </c>
      <c r="C96" s="255">
        <v>50000.0</v>
      </c>
      <c r="D96" s="381">
        <v>0.0</v>
      </c>
      <c r="E96" s="403">
        <f t="shared" si="2"/>
        <v>2025000</v>
      </c>
      <c r="F96" s="404">
        <v>0.0</v>
      </c>
      <c r="G96" s="240">
        <v>8092.0</v>
      </c>
      <c r="H96" s="240">
        <f t="shared" si="1"/>
        <v>477480</v>
      </c>
      <c r="I96" s="238">
        <f>IF(Calculation!Q58=0,"",Calculation!Q58)</f>
        <v>4292</v>
      </c>
      <c r="J96" s="381">
        <v>0.0</v>
      </c>
      <c r="K96" s="194">
        <f t="shared" si="3"/>
        <v>92361</v>
      </c>
      <c r="L96" s="396">
        <f t="shared" si="8"/>
        <v>20150</v>
      </c>
      <c r="M96" s="381">
        <v>0.0</v>
      </c>
      <c r="N96" s="194">
        <f t="shared" si="5"/>
        <v>158100</v>
      </c>
      <c r="O96" s="396">
        <f t="shared" si="7"/>
        <v>16740</v>
      </c>
      <c r="P96" s="381">
        <v>0.0</v>
      </c>
      <c r="Q96" s="193">
        <f t="shared" si="6"/>
        <v>132804</v>
      </c>
      <c r="R96" s="385"/>
      <c r="S96" s="174"/>
      <c r="T96" s="174"/>
      <c r="U96" s="174"/>
      <c r="V96" s="174"/>
      <c r="W96" s="174"/>
      <c r="X96" s="174"/>
      <c r="Y96" s="174"/>
    </row>
    <row r="97" ht="15.75" customHeight="1">
      <c r="B97" s="210">
        <v>46174.0</v>
      </c>
      <c r="C97" s="255"/>
      <c r="D97" s="381">
        <v>0.0</v>
      </c>
      <c r="E97" s="403">
        <f t="shared" si="2"/>
        <v>2025000</v>
      </c>
      <c r="F97" s="404">
        <v>0.0</v>
      </c>
      <c r="G97" s="240">
        <v>7957.0</v>
      </c>
      <c r="H97" s="240">
        <f t="shared" si="1"/>
        <v>469523</v>
      </c>
      <c r="I97" s="238">
        <f>IF(Calculation!Q59=0,"",Calculation!Q59)</f>
        <v>4412</v>
      </c>
      <c r="J97" s="381">
        <v>0.0</v>
      </c>
      <c r="K97" s="194">
        <f t="shared" si="3"/>
        <v>96773</v>
      </c>
      <c r="L97" s="396">
        <f t="shared" si="8"/>
        <v>20150</v>
      </c>
      <c r="M97" s="381">
        <v>0.0</v>
      </c>
      <c r="N97" s="194">
        <f t="shared" si="5"/>
        <v>178250</v>
      </c>
      <c r="O97" s="396">
        <f t="shared" si="7"/>
        <v>16740</v>
      </c>
      <c r="P97" s="381">
        <v>0.0</v>
      </c>
      <c r="Q97" s="193">
        <f t="shared" si="6"/>
        <v>149544</v>
      </c>
      <c r="R97" s="385"/>
      <c r="S97" s="174"/>
      <c r="T97" s="174"/>
      <c r="U97" s="174"/>
      <c r="V97" s="174"/>
      <c r="W97" s="174"/>
      <c r="X97" s="174"/>
      <c r="Y97" s="174"/>
    </row>
    <row r="98" ht="15.75" customHeight="1">
      <c r="B98" s="210">
        <v>46204.0</v>
      </c>
      <c r="C98" s="255">
        <v>40000.0</v>
      </c>
      <c r="D98" s="381">
        <v>0.0</v>
      </c>
      <c r="E98" s="403">
        <f t="shared" si="2"/>
        <v>2065000</v>
      </c>
      <c r="F98" s="404">
        <v>0.0</v>
      </c>
      <c r="G98" s="240">
        <v>7825.0</v>
      </c>
      <c r="H98" s="240">
        <f t="shared" si="1"/>
        <v>461698</v>
      </c>
      <c r="I98" s="238">
        <f>IF(Calculation!Q60=0,"",Calculation!Q60)</f>
        <v>4412</v>
      </c>
      <c r="J98" s="381">
        <v>0.0</v>
      </c>
      <c r="K98" s="194">
        <f t="shared" si="3"/>
        <v>101185</v>
      </c>
      <c r="L98" s="396">
        <f t="shared" si="8"/>
        <v>20150</v>
      </c>
      <c r="M98" s="381">
        <v>0.0</v>
      </c>
      <c r="N98" s="194">
        <f t="shared" si="5"/>
        <v>198400</v>
      </c>
      <c r="O98" s="396">
        <f t="shared" si="7"/>
        <v>16740</v>
      </c>
      <c r="P98" s="381">
        <v>0.0</v>
      </c>
      <c r="Q98" s="193">
        <f t="shared" si="6"/>
        <v>166284</v>
      </c>
      <c r="R98" s="385"/>
      <c r="S98" s="174"/>
      <c r="T98" s="174"/>
      <c r="U98" s="174"/>
      <c r="V98" s="174"/>
      <c r="W98" s="174"/>
      <c r="X98" s="174"/>
      <c r="Y98" s="174"/>
    </row>
    <row r="99" ht="15.75" customHeight="1">
      <c r="B99" s="210">
        <v>46235.0</v>
      </c>
      <c r="C99" s="255"/>
      <c r="D99" s="381">
        <v>0.0</v>
      </c>
      <c r="E99" s="403">
        <f t="shared" si="2"/>
        <v>2065000</v>
      </c>
      <c r="F99" s="404">
        <v>0.0</v>
      </c>
      <c r="G99" s="240">
        <v>7694.0</v>
      </c>
      <c r="H99" s="240">
        <f t="shared" si="1"/>
        <v>454004</v>
      </c>
      <c r="I99" s="238" t="str">
        <f>IF(Calculation!Q61=0,"",Calculation!Q61)</f>
        <v/>
      </c>
      <c r="J99" s="381">
        <v>0.0</v>
      </c>
      <c r="K99" s="194">
        <f t="shared" si="3"/>
        <v>101185</v>
      </c>
      <c r="L99" s="380">
        <v>0.0</v>
      </c>
      <c r="M99" s="381">
        <v>0.0</v>
      </c>
      <c r="N99" s="194">
        <f t="shared" si="5"/>
        <v>198400</v>
      </c>
      <c r="O99" s="380">
        <v>0.0</v>
      </c>
      <c r="P99" s="381">
        <v>0.0</v>
      </c>
      <c r="Q99" s="193">
        <f t="shared" si="6"/>
        <v>166284</v>
      </c>
      <c r="R99" s="385"/>
      <c r="S99" s="174"/>
      <c r="T99" s="174"/>
      <c r="U99" s="174"/>
      <c r="V99" s="174"/>
      <c r="W99" s="174"/>
      <c r="X99" s="174"/>
      <c r="Y99" s="174"/>
    </row>
    <row r="100" ht="15.75" customHeight="1">
      <c r="B100" s="210">
        <v>46266.0</v>
      </c>
      <c r="C100" s="255">
        <v>40000.0</v>
      </c>
      <c r="D100" s="381">
        <v>0.0</v>
      </c>
      <c r="E100" s="403">
        <f t="shared" si="2"/>
        <v>2105000</v>
      </c>
      <c r="F100" s="404">
        <v>0.0</v>
      </c>
      <c r="G100" s="240">
        <v>7566.0</v>
      </c>
      <c r="H100" s="240">
        <f t="shared" si="1"/>
        <v>446438</v>
      </c>
      <c r="I100" s="238" t="str">
        <f>IF(Calculation!Q62=0,"",Calculation!Q62)</f>
        <v/>
      </c>
      <c r="J100" s="381">
        <v>0.0</v>
      </c>
      <c r="K100" s="194">
        <f t="shared" si="3"/>
        <v>101185</v>
      </c>
      <c r="L100" s="380">
        <v>0.0</v>
      </c>
      <c r="M100" s="381">
        <v>0.0</v>
      </c>
      <c r="N100" s="194">
        <f t="shared" si="5"/>
        <v>198400</v>
      </c>
      <c r="O100" s="380">
        <v>0.0</v>
      </c>
      <c r="P100" s="381">
        <v>0.0</v>
      </c>
      <c r="Q100" s="193">
        <f t="shared" si="6"/>
        <v>166284</v>
      </c>
      <c r="R100" s="385"/>
      <c r="S100" s="174"/>
      <c r="T100" s="174"/>
      <c r="U100" s="174"/>
      <c r="V100" s="174"/>
      <c r="W100" s="174"/>
      <c r="X100" s="174"/>
      <c r="Y100" s="174"/>
    </row>
    <row r="101" ht="15.75" customHeight="1">
      <c r="B101" s="210">
        <v>46296.0</v>
      </c>
      <c r="C101" s="255"/>
      <c r="D101" s="381">
        <v>0.0</v>
      </c>
      <c r="E101" s="403">
        <f t="shared" si="2"/>
        <v>2105000</v>
      </c>
      <c r="F101" s="404">
        <v>0.0</v>
      </c>
      <c r="G101" s="240">
        <v>7440.0</v>
      </c>
      <c r="H101" s="240">
        <f t="shared" si="1"/>
        <v>438998</v>
      </c>
      <c r="I101" s="238" t="str">
        <f>IF(Calculation!Q63=0,"",Calculation!Q63)</f>
        <v/>
      </c>
      <c r="J101" s="381">
        <v>0.0</v>
      </c>
      <c r="K101" s="194">
        <f t="shared" si="3"/>
        <v>101185</v>
      </c>
      <c r="L101" s="380">
        <v>0.0</v>
      </c>
      <c r="M101" s="381">
        <v>0.0</v>
      </c>
      <c r="N101" s="194">
        <f t="shared" si="5"/>
        <v>198400</v>
      </c>
      <c r="O101" s="380">
        <v>0.0</v>
      </c>
      <c r="P101" s="381">
        <v>0.0</v>
      </c>
      <c r="Q101" s="193">
        <f t="shared" si="6"/>
        <v>166284</v>
      </c>
      <c r="R101" s="385"/>
      <c r="S101" s="174"/>
      <c r="T101" s="174"/>
      <c r="U101" s="174"/>
      <c r="V101" s="174"/>
      <c r="W101" s="174"/>
      <c r="X101" s="174"/>
      <c r="Y101" s="174"/>
    </row>
    <row r="102" ht="15.75" customHeight="1">
      <c r="B102" s="210">
        <v>46327.0</v>
      </c>
      <c r="C102" s="255">
        <v>40000.0</v>
      </c>
      <c r="D102" s="381">
        <v>0.0</v>
      </c>
      <c r="E102" s="403">
        <f t="shared" si="2"/>
        <v>2145000</v>
      </c>
      <c r="F102" s="404">
        <v>0.0</v>
      </c>
      <c r="G102" s="240">
        <v>7316.0</v>
      </c>
      <c r="H102" s="240">
        <f t="shared" si="1"/>
        <v>431682</v>
      </c>
      <c r="I102" s="238" t="str">
        <f>IF(Calculation!Q64=0,"",Calculation!Q64)</f>
        <v/>
      </c>
      <c r="J102" s="381">
        <v>0.0</v>
      </c>
      <c r="K102" s="194">
        <f t="shared" si="3"/>
        <v>101185</v>
      </c>
      <c r="L102" s="380">
        <v>0.0</v>
      </c>
      <c r="M102" s="381">
        <v>0.0</v>
      </c>
      <c r="N102" s="194">
        <f t="shared" si="5"/>
        <v>198400</v>
      </c>
      <c r="O102" s="380">
        <v>0.0</v>
      </c>
      <c r="P102" s="381">
        <v>0.0</v>
      </c>
      <c r="Q102" s="193">
        <f t="shared" si="6"/>
        <v>166284</v>
      </c>
      <c r="R102" s="385"/>
      <c r="S102" s="174"/>
      <c r="T102" s="174"/>
      <c r="U102" s="174"/>
      <c r="V102" s="174"/>
      <c r="W102" s="174"/>
      <c r="X102" s="174"/>
      <c r="Y102" s="174"/>
    </row>
    <row r="103" ht="15.75" customHeight="1">
      <c r="A103" s="114"/>
      <c r="B103" s="210">
        <v>46357.0</v>
      </c>
      <c r="C103" s="260"/>
      <c r="D103" s="387">
        <v>0.0</v>
      </c>
      <c r="E103" s="406">
        <f t="shared" si="2"/>
        <v>2145000</v>
      </c>
      <c r="F103" s="407">
        <v>0.0</v>
      </c>
      <c r="G103" s="253">
        <v>7194.0</v>
      </c>
      <c r="H103" s="253">
        <f t="shared" si="1"/>
        <v>424488</v>
      </c>
      <c r="I103" s="249" t="str">
        <f>IF(Calculation!Q65=0,"",Calculation!Q65)</f>
        <v/>
      </c>
      <c r="J103" s="387">
        <v>0.0</v>
      </c>
      <c r="K103" s="204">
        <f t="shared" si="3"/>
        <v>101185</v>
      </c>
      <c r="L103" s="386">
        <v>0.0</v>
      </c>
      <c r="M103" s="387">
        <v>0.0</v>
      </c>
      <c r="N103" s="204">
        <f t="shared" si="5"/>
        <v>198400</v>
      </c>
      <c r="O103" s="386">
        <v>0.0</v>
      </c>
      <c r="P103" s="387">
        <v>0.0</v>
      </c>
      <c r="Q103" s="224">
        <f t="shared" si="6"/>
        <v>166284</v>
      </c>
      <c r="R103" s="389"/>
      <c r="S103" s="174"/>
      <c r="T103" s="174"/>
      <c r="U103" s="174"/>
      <c r="V103" s="174"/>
      <c r="W103" s="174"/>
      <c r="X103" s="174"/>
      <c r="Y103" s="174"/>
    </row>
    <row r="104" ht="15.75" customHeight="1">
      <c r="A104" s="233">
        <v>2027.0</v>
      </c>
      <c r="B104" s="210">
        <v>46388.0</v>
      </c>
      <c r="C104" s="263">
        <v>40000.0</v>
      </c>
      <c r="D104" s="257"/>
      <c r="E104" s="257"/>
      <c r="F104" s="408"/>
      <c r="G104" s="240">
        <v>7074.0</v>
      </c>
      <c r="H104" s="196">
        <f t="shared" si="1"/>
        <v>417414</v>
      </c>
      <c r="I104" s="257"/>
      <c r="J104" s="282"/>
      <c r="K104" s="282"/>
      <c r="L104" s="409"/>
      <c r="M104" s="282"/>
      <c r="N104" s="391"/>
      <c r="O104" s="282"/>
      <c r="P104" s="282"/>
      <c r="Q104" s="282"/>
      <c r="R104" s="231"/>
      <c r="S104" s="174"/>
      <c r="T104" s="174"/>
      <c r="U104" s="174"/>
      <c r="V104" s="174"/>
      <c r="W104" s="174"/>
      <c r="X104" s="174"/>
      <c r="Y104" s="174"/>
    </row>
    <row r="105" ht="15.75" customHeight="1">
      <c r="B105" s="210">
        <v>46419.0</v>
      </c>
      <c r="C105" s="257"/>
      <c r="D105" s="257"/>
      <c r="E105" s="257"/>
      <c r="F105" s="408"/>
      <c r="G105" s="240">
        <v>6956.0</v>
      </c>
      <c r="H105" s="196">
        <f t="shared" si="1"/>
        <v>410458</v>
      </c>
      <c r="I105" s="257"/>
      <c r="J105" s="282"/>
      <c r="K105" s="282"/>
      <c r="L105" s="409"/>
      <c r="M105" s="282"/>
      <c r="N105" s="385"/>
      <c r="O105" s="282"/>
      <c r="P105" s="282"/>
      <c r="Q105" s="282"/>
      <c r="R105" s="221"/>
      <c r="S105" s="174"/>
      <c r="T105" s="174"/>
      <c r="U105" s="174"/>
      <c r="V105" s="174"/>
      <c r="W105" s="174"/>
      <c r="X105" s="174"/>
      <c r="Y105" s="174"/>
    </row>
    <row r="106" ht="15.75" customHeight="1">
      <c r="B106" s="210">
        <v>46447.0</v>
      </c>
      <c r="C106" s="257">
        <v>40000.0</v>
      </c>
      <c r="D106" s="257"/>
      <c r="E106" s="257"/>
      <c r="F106" s="408"/>
      <c r="G106" s="240">
        <v>6840.0</v>
      </c>
      <c r="H106" s="196">
        <f t="shared" si="1"/>
        <v>403618</v>
      </c>
      <c r="I106" s="257"/>
      <c r="J106" s="282"/>
      <c r="K106" s="282"/>
      <c r="L106" s="409"/>
      <c r="M106" s="282"/>
      <c r="N106" s="385"/>
      <c r="O106" s="282"/>
      <c r="P106" s="282"/>
      <c r="Q106" s="282"/>
      <c r="R106" s="221"/>
      <c r="S106" s="174"/>
      <c r="T106" s="174"/>
      <c r="U106" s="174"/>
      <c r="V106" s="174"/>
      <c r="W106" s="174"/>
      <c r="X106" s="174"/>
      <c r="Y106" s="174"/>
    </row>
    <row r="107" ht="15.75" customHeight="1">
      <c r="B107" s="210">
        <v>46478.0</v>
      </c>
      <c r="C107" s="257"/>
      <c r="D107" s="257"/>
      <c r="E107" s="257"/>
      <c r="F107" s="408"/>
      <c r="G107" s="240">
        <v>6726.0</v>
      </c>
      <c r="H107" s="196">
        <f t="shared" si="1"/>
        <v>396892</v>
      </c>
      <c r="I107" s="257"/>
      <c r="J107" s="282"/>
      <c r="K107" s="282"/>
      <c r="L107" s="409"/>
      <c r="M107" s="282"/>
      <c r="N107" s="385"/>
      <c r="O107" s="282"/>
      <c r="P107" s="282"/>
      <c r="Q107" s="282"/>
      <c r="R107" s="221"/>
      <c r="S107" s="174"/>
      <c r="T107" s="174"/>
      <c r="U107" s="174"/>
      <c r="V107" s="174"/>
      <c r="W107" s="174"/>
      <c r="X107" s="174"/>
      <c r="Y107" s="174"/>
    </row>
    <row r="108" ht="15.75" customHeight="1">
      <c r="B108" s="210">
        <v>46508.0</v>
      </c>
      <c r="C108" s="257">
        <v>40000.0</v>
      </c>
      <c r="D108" s="257"/>
      <c r="E108" s="257"/>
      <c r="F108" s="408"/>
      <c r="G108" s="240">
        <v>6614.0</v>
      </c>
      <c r="H108" s="196">
        <f t="shared" si="1"/>
        <v>390278</v>
      </c>
      <c r="I108" s="257"/>
      <c r="J108" s="282"/>
      <c r="K108" s="282"/>
      <c r="L108" s="409"/>
      <c r="M108" s="282"/>
      <c r="N108" s="385"/>
      <c r="O108" s="282"/>
      <c r="P108" s="282"/>
      <c r="Q108" s="282"/>
      <c r="R108" s="221"/>
      <c r="S108" s="174"/>
      <c r="T108" s="174"/>
      <c r="U108" s="174"/>
      <c r="V108" s="174"/>
      <c r="W108" s="174"/>
      <c r="X108" s="174"/>
      <c r="Y108" s="174"/>
    </row>
    <row r="109" ht="15.75" customHeight="1">
      <c r="B109" s="210">
        <v>46539.0</v>
      </c>
      <c r="C109" s="257"/>
      <c r="D109" s="257"/>
      <c r="E109" s="257"/>
      <c r="F109" s="408"/>
      <c r="G109" s="240">
        <v>6504.0</v>
      </c>
      <c r="H109" s="196">
        <f t="shared" si="1"/>
        <v>383774</v>
      </c>
      <c r="I109" s="257"/>
      <c r="J109" s="282"/>
      <c r="K109" s="282"/>
      <c r="L109" s="409"/>
      <c r="M109" s="282"/>
      <c r="N109" s="385"/>
      <c r="O109" s="282"/>
      <c r="P109" s="282"/>
      <c r="Q109" s="282"/>
      <c r="R109" s="221"/>
      <c r="S109" s="174"/>
      <c r="T109" s="174"/>
      <c r="U109" s="174"/>
      <c r="V109" s="174"/>
      <c r="W109" s="174"/>
      <c r="X109" s="174"/>
      <c r="Y109" s="174"/>
    </row>
    <row r="110" ht="15.75" customHeight="1">
      <c r="B110" s="210">
        <v>46569.0</v>
      </c>
      <c r="C110" s="257">
        <v>35000.0</v>
      </c>
      <c r="D110" s="257"/>
      <c r="E110" s="257"/>
      <c r="F110" s="408"/>
      <c r="G110" s="240">
        <v>6395.0</v>
      </c>
      <c r="H110" s="196">
        <f t="shared" si="1"/>
        <v>377379</v>
      </c>
      <c r="I110" s="257"/>
      <c r="J110" s="282"/>
      <c r="K110" s="282"/>
      <c r="L110" s="409"/>
      <c r="M110" s="282"/>
      <c r="N110" s="385"/>
      <c r="O110" s="282"/>
      <c r="P110" s="282"/>
      <c r="Q110" s="282"/>
      <c r="R110" s="221"/>
      <c r="S110" s="174"/>
      <c r="T110" s="174"/>
      <c r="U110" s="174"/>
      <c r="V110" s="174"/>
      <c r="W110" s="174"/>
      <c r="X110" s="174"/>
      <c r="Y110" s="174"/>
    </row>
    <row r="111" ht="15.75" customHeight="1">
      <c r="B111" s="210">
        <v>46600.0</v>
      </c>
      <c r="C111" s="257"/>
      <c r="D111" s="257"/>
      <c r="E111" s="257"/>
      <c r="F111" s="408"/>
      <c r="G111" s="240">
        <v>6289.0</v>
      </c>
      <c r="H111" s="196">
        <f t="shared" si="1"/>
        <v>371090</v>
      </c>
      <c r="I111" s="257"/>
      <c r="J111" s="282"/>
      <c r="K111" s="282"/>
      <c r="L111" s="409"/>
      <c r="M111" s="282"/>
      <c r="N111" s="385"/>
      <c r="O111" s="282"/>
      <c r="P111" s="282"/>
      <c r="Q111" s="282"/>
      <c r="R111" s="221"/>
      <c r="S111" s="174"/>
      <c r="T111" s="174"/>
      <c r="U111" s="174"/>
      <c r="V111" s="174"/>
      <c r="W111" s="174"/>
      <c r="X111" s="174"/>
      <c r="Y111" s="174"/>
    </row>
    <row r="112" ht="15.75" customHeight="1">
      <c r="B112" s="210">
        <v>46631.0</v>
      </c>
      <c r="C112" s="257"/>
      <c r="D112" s="257"/>
      <c r="E112" s="257"/>
      <c r="F112" s="408"/>
      <c r="G112" s="240">
        <v>6184.0</v>
      </c>
      <c r="H112" s="196">
        <f t="shared" si="1"/>
        <v>364906</v>
      </c>
      <c r="I112" s="257"/>
      <c r="J112" s="282"/>
      <c r="K112" s="282"/>
      <c r="L112" s="409"/>
      <c r="M112" s="282"/>
      <c r="N112" s="385"/>
      <c r="O112" s="282"/>
      <c r="P112" s="282"/>
      <c r="Q112" s="282"/>
      <c r="R112" s="221"/>
      <c r="S112" s="174"/>
      <c r="T112" s="174"/>
      <c r="U112" s="174"/>
      <c r="V112" s="174"/>
      <c r="W112" s="174"/>
      <c r="X112" s="174"/>
      <c r="Y112" s="174"/>
    </row>
    <row r="113" ht="15.75" customHeight="1">
      <c r="B113" s="210">
        <v>46661.0</v>
      </c>
      <c r="C113" s="257"/>
      <c r="D113" s="257"/>
      <c r="E113" s="257"/>
      <c r="F113" s="408"/>
      <c r="G113" s="240">
        <v>6081.0</v>
      </c>
      <c r="H113" s="196">
        <f t="shared" si="1"/>
        <v>358825</v>
      </c>
      <c r="I113" s="257"/>
      <c r="J113" s="282"/>
      <c r="K113" s="282"/>
      <c r="L113" s="409"/>
      <c r="M113" s="282"/>
      <c r="N113" s="385"/>
      <c r="O113" s="282"/>
      <c r="P113" s="282"/>
      <c r="Q113" s="282"/>
      <c r="R113" s="221"/>
      <c r="S113" s="174"/>
      <c r="T113" s="174"/>
      <c r="U113" s="174"/>
      <c r="V113" s="174"/>
      <c r="W113" s="174"/>
      <c r="X113" s="174"/>
      <c r="Y113" s="174"/>
    </row>
    <row r="114" ht="15.75" customHeight="1">
      <c r="B114" s="210">
        <v>46692.0</v>
      </c>
      <c r="C114" s="257"/>
      <c r="D114" s="257"/>
      <c r="E114" s="257"/>
      <c r="F114" s="408"/>
      <c r="G114" s="240">
        <v>5980.0</v>
      </c>
      <c r="H114" s="196">
        <f t="shared" si="1"/>
        <v>352845</v>
      </c>
      <c r="I114" s="257"/>
      <c r="J114" s="282"/>
      <c r="K114" s="282"/>
      <c r="L114" s="409"/>
      <c r="M114" s="282"/>
      <c r="N114" s="385"/>
      <c r="O114" s="282"/>
      <c r="P114" s="282"/>
      <c r="Q114" s="282"/>
      <c r="R114" s="221"/>
      <c r="S114" s="174"/>
      <c r="T114" s="174"/>
      <c r="U114" s="174"/>
      <c r="V114" s="174"/>
      <c r="W114" s="174"/>
      <c r="X114" s="174"/>
      <c r="Y114" s="174"/>
    </row>
    <row r="115" ht="15.75" customHeight="1">
      <c r="A115" s="114"/>
      <c r="B115" s="210">
        <v>46722.0</v>
      </c>
      <c r="C115" s="262"/>
      <c r="D115" s="262"/>
      <c r="E115" s="262"/>
      <c r="F115" s="410"/>
      <c r="G115" s="253">
        <v>5880.0</v>
      </c>
      <c r="H115" s="196">
        <f t="shared" si="1"/>
        <v>346965</v>
      </c>
      <c r="I115" s="262"/>
      <c r="J115" s="411"/>
      <c r="K115" s="411"/>
      <c r="L115" s="412"/>
      <c r="M115" s="411"/>
      <c r="N115" s="389"/>
      <c r="O115" s="411"/>
      <c r="P115" s="411"/>
      <c r="Q115" s="411"/>
      <c r="R115" s="227"/>
      <c r="S115" s="174"/>
      <c r="T115" s="174"/>
      <c r="U115" s="174"/>
      <c r="V115" s="174"/>
      <c r="W115" s="174"/>
      <c r="X115" s="174"/>
      <c r="Y115" s="174"/>
    </row>
    <row r="116" ht="15.75" customHeight="1">
      <c r="A116" s="263"/>
      <c r="B116" s="263" t="s">
        <v>544</v>
      </c>
      <c r="C116" s="263"/>
      <c r="D116" s="263"/>
      <c r="E116" s="263"/>
      <c r="F116" s="413">
        <f t="shared" ref="F116:F187" si="9">F115-G115</f>
        <v>-5880</v>
      </c>
      <c r="G116" s="267">
        <v>5782.0</v>
      </c>
      <c r="H116" s="414">
        <f t="shared" ref="H116:H187" si="10">F116-G116</f>
        <v>-11662</v>
      </c>
      <c r="I116" s="273"/>
      <c r="J116" s="415"/>
      <c r="K116" s="415"/>
      <c r="L116" s="415"/>
      <c r="M116" s="415"/>
      <c r="N116" s="415"/>
      <c r="O116" s="415"/>
      <c r="P116" s="415"/>
      <c r="Q116" s="415"/>
      <c r="R116" s="272"/>
      <c r="S116" s="174"/>
      <c r="T116" s="174"/>
      <c r="U116" s="174"/>
      <c r="V116" s="174"/>
      <c r="W116" s="174"/>
      <c r="X116" s="174"/>
      <c r="Y116" s="174"/>
    </row>
    <row r="117" ht="15.75" customHeight="1">
      <c r="A117" s="273"/>
      <c r="B117" s="273" t="s">
        <v>644</v>
      </c>
      <c r="C117" s="273"/>
      <c r="D117" s="273"/>
      <c r="E117" s="273"/>
      <c r="F117" s="281">
        <f t="shared" si="9"/>
        <v>-11662</v>
      </c>
      <c r="G117" s="281">
        <v>5686.0</v>
      </c>
      <c r="H117" s="281">
        <f t="shared" si="10"/>
        <v>-17348</v>
      </c>
      <c r="I117" s="273"/>
      <c r="J117" s="262"/>
      <c r="K117" s="262"/>
      <c r="L117" s="262"/>
      <c r="M117" s="262"/>
      <c r="N117" s="262"/>
      <c r="O117" s="262"/>
      <c r="P117" s="262"/>
      <c r="Q117" s="262"/>
      <c r="R117" s="280"/>
      <c r="S117" s="257"/>
      <c r="T117" s="257"/>
      <c r="U117" s="257"/>
      <c r="V117" s="257"/>
      <c r="W117" s="257"/>
      <c r="X117" s="257"/>
      <c r="Y117" s="257"/>
    </row>
    <row r="118" ht="15.75" customHeight="1">
      <c r="A118" s="174"/>
      <c r="B118" s="174"/>
      <c r="C118" s="174"/>
      <c r="D118" s="174"/>
      <c r="E118" s="174"/>
      <c r="F118" s="281">
        <f t="shared" si="9"/>
        <v>-17348</v>
      </c>
      <c r="G118" s="281">
        <v>5591.0</v>
      </c>
      <c r="H118" s="281">
        <f t="shared" si="10"/>
        <v>-22939</v>
      </c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</row>
    <row r="119" ht="15.75" customHeight="1">
      <c r="A119" s="174"/>
      <c r="B119" s="174"/>
      <c r="C119" s="174"/>
      <c r="D119" s="174"/>
      <c r="E119" s="174"/>
      <c r="F119" s="281">
        <f t="shared" si="9"/>
        <v>-22939</v>
      </c>
      <c r="G119" s="281">
        <v>5498.0</v>
      </c>
      <c r="H119" s="281">
        <f t="shared" si="10"/>
        <v>-28437</v>
      </c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</row>
    <row r="120" ht="15.75" customHeight="1">
      <c r="A120" s="174"/>
      <c r="B120" s="174"/>
      <c r="C120" s="174"/>
      <c r="D120" s="174"/>
      <c r="E120" s="174"/>
      <c r="F120" s="281">
        <f t="shared" si="9"/>
        <v>-28437</v>
      </c>
      <c r="G120" s="281">
        <v>5406.0</v>
      </c>
      <c r="H120" s="281">
        <f t="shared" si="10"/>
        <v>-33843</v>
      </c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</row>
    <row r="121" ht="15.75" customHeight="1">
      <c r="A121" s="174"/>
      <c r="B121" s="174"/>
      <c r="C121" s="174"/>
      <c r="D121" s="174"/>
      <c r="E121" s="174"/>
      <c r="F121" s="281">
        <f t="shared" si="9"/>
        <v>-33843</v>
      </c>
      <c r="G121" s="281">
        <v>5316.0</v>
      </c>
      <c r="H121" s="281">
        <f t="shared" si="10"/>
        <v>-39159</v>
      </c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</row>
    <row r="122" ht="15.75" customHeight="1">
      <c r="A122" s="174"/>
      <c r="B122" s="174"/>
      <c r="C122" s="174"/>
      <c r="D122" s="174"/>
      <c r="E122" s="174"/>
      <c r="F122" s="281">
        <f t="shared" si="9"/>
        <v>-39159</v>
      </c>
      <c r="G122" s="281">
        <v>5227.0</v>
      </c>
      <c r="H122" s="281">
        <f t="shared" si="10"/>
        <v>-44386</v>
      </c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</row>
    <row r="123" ht="15.75" customHeight="1">
      <c r="A123" s="174"/>
      <c r="B123" s="174"/>
      <c r="C123" s="174"/>
      <c r="D123" s="174"/>
      <c r="E123" s="174"/>
      <c r="F123" s="281">
        <f t="shared" si="9"/>
        <v>-44386</v>
      </c>
      <c r="G123" s="281">
        <v>5140.0</v>
      </c>
      <c r="H123" s="281">
        <f t="shared" si="10"/>
        <v>-49526</v>
      </c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</row>
    <row r="124" ht="15.75" customHeight="1">
      <c r="A124" s="174"/>
      <c r="B124" s="174"/>
      <c r="C124" s="174"/>
      <c r="D124" s="174"/>
      <c r="E124" s="174"/>
      <c r="F124" s="281">
        <f t="shared" si="9"/>
        <v>-49526</v>
      </c>
      <c r="G124" s="281">
        <v>5054.0</v>
      </c>
      <c r="H124" s="281">
        <f t="shared" si="10"/>
        <v>-54580</v>
      </c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</row>
    <row r="125" ht="15.75" customHeight="1">
      <c r="A125" s="174"/>
      <c r="B125" s="174"/>
      <c r="C125" s="174"/>
      <c r="D125" s="174"/>
      <c r="E125" s="174"/>
      <c r="F125" s="281">
        <f t="shared" si="9"/>
        <v>-54580</v>
      </c>
      <c r="G125" s="281">
        <v>4970.0</v>
      </c>
      <c r="H125" s="281">
        <f t="shared" si="10"/>
        <v>-59550</v>
      </c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</row>
    <row r="126" ht="15.75" customHeight="1">
      <c r="A126" s="174"/>
      <c r="B126" s="174"/>
      <c r="C126" s="174"/>
      <c r="D126" s="174"/>
      <c r="E126" s="174"/>
      <c r="F126" s="281">
        <f t="shared" si="9"/>
        <v>-59550</v>
      </c>
      <c r="G126" s="281">
        <v>4887.0</v>
      </c>
      <c r="H126" s="281">
        <f t="shared" si="10"/>
        <v>-64437</v>
      </c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</row>
    <row r="127" ht="15.75" customHeight="1">
      <c r="A127" s="174"/>
      <c r="B127" s="174"/>
      <c r="C127" s="174"/>
      <c r="D127" s="174"/>
      <c r="E127" s="174"/>
      <c r="F127" s="281">
        <f t="shared" si="9"/>
        <v>-64437</v>
      </c>
      <c r="G127" s="281">
        <v>4806.0</v>
      </c>
      <c r="H127" s="281">
        <f t="shared" si="10"/>
        <v>-69243</v>
      </c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</row>
    <row r="128" ht="15.75" customHeight="1">
      <c r="A128" s="174"/>
      <c r="B128" s="174"/>
      <c r="C128" s="174"/>
      <c r="D128" s="174"/>
      <c r="E128" s="174"/>
      <c r="F128" s="281">
        <f t="shared" si="9"/>
        <v>-69243</v>
      </c>
      <c r="G128" s="281">
        <v>4726.0</v>
      </c>
      <c r="H128" s="281">
        <f t="shared" si="10"/>
        <v>-73969</v>
      </c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</row>
    <row r="129" ht="15.75" customHeight="1">
      <c r="A129" s="174"/>
      <c r="B129" s="174"/>
      <c r="C129" s="174"/>
      <c r="D129" s="174"/>
      <c r="E129" s="174"/>
      <c r="F129" s="281">
        <f t="shared" si="9"/>
        <v>-73969</v>
      </c>
      <c r="G129" s="281">
        <v>4647.0</v>
      </c>
      <c r="H129" s="281">
        <f t="shared" si="10"/>
        <v>-78616</v>
      </c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</row>
    <row r="130" ht="15.75" customHeight="1">
      <c r="A130" s="174"/>
      <c r="B130" s="174"/>
      <c r="C130" s="174"/>
      <c r="D130" s="174"/>
      <c r="E130" s="174"/>
      <c r="F130" s="281">
        <f t="shared" si="9"/>
        <v>-78616</v>
      </c>
      <c r="G130" s="281">
        <v>4570.0</v>
      </c>
      <c r="H130" s="281">
        <f t="shared" si="10"/>
        <v>-83186</v>
      </c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</row>
    <row r="131" ht="15.75" customHeight="1">
      <c r="A131" s="174"/>
      <c r="B131" s="174"/>
      <c r="C131" s="174"/>
      <c r="D131" s="174"/>
      <c r="E131" s="174"/>
      <c r="F131" s="281">
        <f t="shared" si="9"/>
        <v>-83186</v>
      </c>
      <c r="G131" s="281">
        <v>4493.0</v>
      </c>
      <c r="H131" s="281">
        <f t="shared" si="10"/>
        <v>-87679</v>
      </c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</row>
    <row r="132" ht="15.75" customHeight="1">
      <c r="A132" s="174"/>
      <c r="B132" s="174"/>
      <c r="C132" s="174"/>
      <c r="D132" s="174"/>
      <c r="E132" s="174"/>
      <c r="F132" s="281">
        <f t="shared" si="9"/>
        <v>-87679</v>
      </c>
      <c r="G132" s="281">
        <v>4418.0</v>
      </c>
      <c r="H132" s="281">
        <f t="shared" si="10"/>
        <v>-92097</v>
      </c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</row>
    <row r="133" ht="15.75" customHeight="1">
      <c r="A133" s="174"/>
      <c r="B133" s="174"/>
      <c r="C133" s="174"/>
      <c r="D133" s="174"/>
      <c r="E133" s="174"/>
      <c r="F133" s="281">
        <f t="shared" si="9"/>
        <v>-92097</v>
      </c>
      <c r="G133" s="281">
        <v>4345.0</v>
      </c>
      <c r="H133" s="281">
        <f t="shared" si="10"/>
        <v>-96442</v>
      </c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</row>
    <row r="134" ht="15.75" customHeight="1">
      <c r="A134" s="174"/>
      <c r="B134" s="174"/>
      <c r="C134" s="174"/>
      <c r="D134" s="174"/>
      <c r="E134" s="174"/>
      <c r="F134" s="281">
        <f t="shared" si="9"/>
        <v>-96442</v>
      </c>
      <c r="G134" s="281">
        <v>4272.0</v>
      </c>
      <c r="H134" s="281">
        <f t="shared" si="10"/>
        <v>-100714</v>
      </c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</row>
    <row r="135" ht="15.75" customHeight="1">
      <c r="A135" s="174"/>
      <c r="B135" s="174"/>
      <c r="C135" s="174"/>
      <c r="D135" s="174"/>
      <c r="E135" s="174"/>
      <c r="F135" s="281">
        <f t="shared" si="9"/>
        <v>-100714</v>
      </c>
      <c r="G135" s="281">
        <v>4201.0</v>
      </c>
      <c r="H135" s="281">
        <f t="shared" si="10"/>
        <v>-104915</v>
      </c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</row>
    <row r="136" ht="15.75" customHeight="1">
      <c r="A136" s="174"/>
      <c r="B136" s="174"/>
      <c r="C136" s="174"/>
      <c r="D136" s="174"/>
      <c r="E136" s="174"/>
      <c r="F136" s="281">
        <f t="shared" si="9"/>
        <v>-104915</v>
      </c>
      <c r="G136" s="281">
        <v>4131.0</v>
      </c>
      <c r="H136" s="281">
        <f t="shared" si="10"/>
        <v>-109046</v>
      </c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</row>
    <row r="137" ht="15.75" customHeight="1">
      <c r="A137" s="174"/>
      <c r="B137" s="174"/>
      <c r="C137" s="174"/>
      <c r="D137" s="174"/>
      <c r="E137" s="174"/>
      <c r="F137" s="281">
        <f t="shared" si="9"/>
        <v>-109046</v>
      </c>
      <c r="G137" s="281">
        <v>4062.0</v>
      </c>
      <c r="H137" s="281">
        <f t="shared" si="10"/>
        <v>-113108</v>
      </c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</row>
    <row r="138" ht="15.75" customHeight="1">
      <c r="A138" s="174"/>
      <c r="B138" s="174"/>
      <c r="C138" s="174"/>
      <c r="D138" s="174"/>
      <c r="E138" s="174"/>
      <c r="F138" s="281">
        <f t="shared" si="9"/>
        <v>-113108</v>
      </c>
      <c r="G138" s="281">
        <v>3995.0</v>
      </c>
      <c r="H138" s="281">
        <f t="shared" si="10"/>
        <v>-117103</v>
      </c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</row>
    <row r="139" ht="15.75" customHeight="1">
      <c r="A139" s="174"/>
      <c r="B139" s="174"/>
      <c r="C139" s="174"/>
      <c r="D139" s="174"/>
      <c r="E139" s="174"/>
      <c r="F139" s="281">
        <f t="shared" si="9"/>
        <v>-117103</v>
      </c>
      <c r="G139" s="281">
        <v>3928.0</v>
      </c>
      <c r="H139" s="281">
        <f t="shared" si="10"/>
        <v>-121031</v>
      </c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</row>
    <row r="140" ht="15.75" customHeight="1">
      <c r="A140" s="174"/>
      <c r="B140" s="174"/>
      <c r="C140" s="174"/>
      <c r="D140" s="174"/>
      <c r="E140" s="174"/>
      <c r="F140" s="281">
        <f t="shared" si="9"/>
        <v>-121031</v>
      </c>
      <c r="G140" s="281">
        <v>3863.0</v>
      </c>
      <c r="H140" s="281">
        <f t="shared" si="10"/>
        <v>-124894</v>
      </c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</row>
    <row r="141" ht="15.75" customHeight="1">
      <c r="A141" s="174"/>
      <c r="B141" s="174"/>
      <c r="C141" s="174"/>
      <c r="D141" s="174"/>
      <c r="E141" s="174"/>
      <c r="F141" s="281">
        <f t="shared" si="9"/>
        <v>-124894</v>
      </c>
      <c r="G141" s="281">
        <v>3798.0</v>
      </c>
      <c r="H141" s="281">
        <f t="shared" si="10"/>
        <v>-128692</v>
      </c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</row>
    <row r="142" ht="15.75" customHeight="1">
      <c r="A142" s="174"/>
      <c r="B142" s="174"/>
      <c r="C142" s="174"/>
      <c r="D142" s="174"/>
      <c r="E142" s="174"/>
      <c r="F142" s="281">
        <f t="shared" si="9"/>
        <v>-128692</v>
      </c>
      <c r="G142" s="281">
        <v>3735.0</v>
      </c>
      <c r="H142" s="281">
        <f t="shared" si="10"/>
        <v>-132427</v>
      </c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</row>
    <row r="143" ht="15.75" customHeight="1">
      <c r="A143" s="174"/>
      <c r="B143" s="174"/>
      <c r="C143" s="174"/>
      <c r="D143" s="174"/>
      <c r="E143" s="174"/>
      <c r="F143" s="281">
        <f t="shared" si="9"/>
        <v>-132427</v>
      </c>
      <c r="G143" s="281">
        <v>3673.0</v>
      </c>
      <c r="H143" s="281">
        <f t="shared" si="10"/>
        <v>-136100</v>
      </c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</row>
    <row r="144" ht="15.75" customHeight="1">
      <c r="A144" s="174"/>
      <c r="B144" s="174"/>
      <c r="C144" s="174"/>
      <c r="D144" s="174"/>
      <c r="E144" s="174"/>
      <c r="F144" s="281">
        <f t="shared" si="9"/>
        <v>-136100</v>
      </c>
      <c r="G144" s="281">
        <v>3611.0</v>
      </c>
      <c r="H144" s="281">
        <f t="shared" si="10"/>
        <v>-139711</v>
      </c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</row>
    <row r="145" ht="15.75" customHeight="1">
      <c r="A145" s="174"/>
      <c r="B145" s="174"/>
      <c r="C145" s="174"/>
      <c r="D145" s="174"/>
      <c r="E145" s="174"/>
      <c r="F145" s="281">
        <f t="shared" si="9"/>
        <v>-139711</v>
      </c>
      <c r="G145" s="281">
        <v>3551.0</v>
      </c>
      <c r="H145" s="281">
        <f t="shared" si="10"/>
        <v>-143262</v>
      </c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</row>
    <row r="146" ht="15.75" customHeight="1">
      <c r="A146" s="174"/>
      <c r="B146" s="174"/>
      <c r="C146" s="174"/>
      <c r="D146" s="174"/>
      <c r="E146" s="174"/>
      <c r="F146" s="281">
        <f t="shared" si="9"/>
        <v>-143262</v>
      </c>
      <c r="G146" s="281">
        <v>3492.0</v>
      </c>
      <c r="H146" s="281">
        <f t="shared" si="10"/>
        <v>-146754</v>
      </c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</row>
    <row r="147" ht="15.75" customHeight="1">
      <c r="A147" s="174"/>
      <c r="B147" s="174"/>
      <c r="C147" s="174"/>
      <c r="D147" s="174"/>
      <c r="E147" s="174"/>
      <c r="F147" s="281">
        <f t="shared" si="9"/>
        <v>-146754</v>
      </c>
      <c r="G147" s="281">
        <v>3434.0</v>
      </c>
      <c r="H147" s="281">
        <f t="shared" si="10"/>
        <v>-150188</v>
      </c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</row>
    <row r="148" ht="15.75" customHeight="1">
      <c r="A148" s="174"/>
      <c r="B148" s="174"/>
      <c r="C148" s="174"/>
      <c r="D148" s="174"/>
      <c r="E148" s="174"/>
      <c r="F148" s="281">
        <f t="shared" si="9"/>
        <v>-150188</v>
      </c>
      <c r="G148" s="281">
        <v>3377.0</v>
      </c>
      <c r="H148" s="281">
        <f t="shared" si="10"/>
        <v>-153565</v>
      </c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</row>
    <row r="149" ht="15.75" customHeight="1">
      <c r="A149" s="174"/>
      <c r="B149" s="174"/>
      <c r="C149" s="174"/>
      <c r="D149" s="174"/>
      <c r="E149" s="174"/>
      <c r="F149" s="281">
        <f t="shared" si="9"/>
        <v>-153565</v>
      </c>
      <c r="G149" s="281">
        <v>3320.0</v>
      </c>
      <c r="H149" s="281">
        <f t="shared" si="10"/>
        <v>-156885</v>
      </c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</row>
    <row r="150" ht="15.75" customHeight="1">
      <c r="A150" s="174"/>
      <c r="B150" s="174"/>
      <c r="C150" s="174"/>
      <c r="D150" s="174"/>
      <c r="E150" s="174"/>
      <c r="F150" s="281">
        <f t="shared" si="9"/>
        <v>-156885</v>
      </c>
      <c r="G150" s="281">
        <v>3265.0</v>
      </c>
      <c r="H150" s="281">
        <f t="shared" si="10"/>
        <v>-160150</v>
      </c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</row>
    <row r="151" ht="15.75" customHeight="1">
      <c r="A151" s="174"/>
      <c r="B151" s="174"/>
      <c r="C151" s="174"/>
      <c r="D151" s="174"/>
      <c r="E151" s="174"/>
      <c r="F151" s="281">
        <f t="shared" si="9"/>
        <v>-160150</v>
      </c>
      <c r="G151" s="281">
        <v>3210.0</v>
      </c>
      <c r="H151" s="281">
        <f t="shared" si="10"/>
        <v>-163360</v>
      </c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</row>
    <row r="152" ht="15.75" customHeight="1">
      <c r="A152" s="174"/>
      <c r="B152" s="174"/>
      <c r="C152" s="174"/>
      <c r="D152" s="174"/>
      <c r="E152" s="174"/>
      <c r="F152" s="281">
        <f t="shared" si="9"/>
        <v>-163360</v>
      </c>
      <c r="G152" s="281">
        <v>3157.0</v>
      </c>
      <c r="H152" s="281">
        <f t="shared" si="10"/>
        <v>-166517</v>
      </c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</row>
    <row r="153" ht="15.75" customHeight="1">
      <c r="A153" s="174"/>
      <c r="B153" s="174"/>
      <c r="C153" s="174"/>
      <c r="D153" s="174"/>
      <c r="E153" s="174"/>
      <c r="F153" s="281">
        <f t="shared" si="9"/>
        <v>-166517</v>
      </c>
      <c r="G153" s="281">
        <v>3104.0</v>
      </c>
      <c r="H153" s="281">
        <f t="shared" si="10"/>
        <v>-169621</v>
      </c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</row>
    <row r="154" ht="15.75" customHeight="1">
      <c r="A154" s="174"/>
      <c r="B154" s="174"/>
      <c r="C154" s="174"/>
      <c r="D154" s="174"/>
      <c r="E154" s="174"/>
      <c r="F154" s="281">
        <f t="shared" si="9"/>
        <v>-169621</v>
      </c>
      <c r="G154" s="281">
        <v>3053.0</v>
      </c>
      <c r="H154" s="281">
        <f t="shared" si="10"/>
        <v>-172674</v>
      </c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</row>
    <row r="155" ht="15.75" customHeight="1">
      <c r="A155" s="174"/>
      <c r="B155" s="174"/>
      <c r="C155" s="174"/>
      <c r="D155" s="174"/>
      <c r="E155" s="174"/>
      <c r="F155" s="281">
        <f t="shared" si="9"/>
        <v>-172674</v>
      </c>
      <c r="G155" s="281">
        <v>3002.0</v>
      </c>
      <c r="H155" s="281">
        <f t="shared" si="10"/>
        <v>-175676</v>
      </c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</row>
    <row r="156" ht="15.75" customHeight="1">
      <c r="A156" s="174"/>
      <c r="B156" s="174"/>
      <c r="C156" s="174"/>
      <c r="D156" s="174"/>
      <c r="E156" s="174"/>
      <c r="F156" s="281">
        <f t="shared" si="9"/>
        <v>-175676</v>
      </c>
      <c r="G156" s="281">
        <v>2952.0</v>
      </c>
      <c r="H156" s="281">
        <f t="shared" si="10"/>
        <v>-178628</v>
      </c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</row>
    <row r="157" ht="15.75" customHeight="1">
      <c r="A157" s="174"/>
      <c r="B157" s="174"/>
      <c r="C157" s="174"/>
      <c r="D157" s="174"/>
      <c r="E157" s="174"/>
      <c r="F157" s="281">
        <f t="shared" si="9"/>
        <v>-178628</v>
      </c>
      <c r="G157" s="281">
        <v>2902.0</v>
      </c>
      <c r="H157" s="281">
        <f t="shared" si="10"/>
        <v>-181530</v>
      </c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</row>
    <row r="158" ht="15.75" customHeight="1">
      <c r="A158" s="174"/>
      <c r="B158" s="174"/>
      <c r="C158" s="174"/>
      <c r="D158" s="174"/>
      <c r="E158" s="174"/>
      <c r="F158" s="281">
        <f t="shared" si="9"/>
        <v>-181530</v>
      </c>
      <c r="G158" s="281">
        <v>2854.0</v>
      </c>
      <c r="H158" s="281">
        <f t="shared" si="10"/>
        <v>-184384</v>
      </c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</row>
    <row r="159" ht="15.75" customHeight="1">
      <c r="A159" s="174"/>
      <c r="B159" s="174"/>
      <c r="C159" s="174"/>
      <c r="D159" s="174"/>
      <c r="E159" s="174"/>
      <c r="F159" s="281">
        <f t="shared" si="9"/>
        <v>-184384</v>
      </c>
      <c r="G159" s="281">
        <v>2806.0</v>
      </c>
      <c r="H159" s="281">
        <f t="shared" si="10"/>
        <v>-187190</v>
      </c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</row>
    <row r="160" ht="15.75" customHeight="1">
      <c r="A160" s="174"/>
      <c r="B160" s="174"/>
      <c r="C160" s="174"/>
      <c r="D160" s="174"/>
      <c r="E160" s="174"/>
      <c r="F160" s="281">
        <f t="shared" si="9"/>
        <v>-187190</v>
      </c>
      <c r="G160" s="281">
        <v>2760.0</v>
      </c>
      <c r="H160" s="281">
        <f t="shared" si="10"/>
        <v>-189950</v>
      </c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</row>
    <row r="161" ht="15.75" customHeight="1">
      <c r="A161" s="174"/>
      <c r="B161" s="174"/>
      <c r="C161" s="174"/>
      <c r="D161" s="174"/>
      <c r="E161" s="174"/>
      <c r="F161" s="281">
        <f t="shared" si="9"/>
        <v>-189950</v>
      </c>
      <c r="G161" s="281">
        <v>2714.0</v>
      </c>
      <c r="H161" s="281">
        <f t="shared" si="10"/>
        <v>-192664</v>
      </c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</row>
    <row r="162" ht="15.75" customHeight="1">
      <c r="A162" s="174"/>
      <c r="B162" s="174"/>
      <c r="C162" s="174"/>
      <c r="D162" s="174"/>
      <c r="E162" s="174"/>
      <c r="F162" s="281">
        <f t="shared" si="9"/>
        <v>-192664</v>
      </c>
      <c r="G162" s="281">
        <v>2668.0</v>
      </c>
      <c r="H162" s="281">
        <f t="shared" si="10"/>
        <v>-195332</v>
      </c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</row>
    <row r="163" ht="15.75" customHeight="1">
      <c r="A163" s="174"/>
      <c r="B163" s="174"/>
      <c r="C163" s="174"/>
      <c r="D163" s="174"/>
      <c r="E163" s="174"/>
      <c r="F163" s="281">
        <f t="shared" si="9"/>
        <v>-195332</v>
      </c>
      <c r="G163" s="281">
        <v>2624.0</v>
      </c>
      <c r="H163" s="281">
        <f t="shared" si="10"/>
        <v>-197956</v>
      </c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</row>
    <row r="164" ht="15.75" customHeight="1">
      <c r="A164" s="174"/>
      <c r="B164" s="174"/>
      <c r="C164" s="174"/>
      <c r="D164" s="174"/>
      <c r="E164" s="174"/>
      <c r="F164" s="281">
        <f t="shared" si="9"/>
        <v>-197956</v>
      </c>
      <c r="G164" s="281">
        <v>2580.0</v>
      </c>
      <c r="H164" s="281">
        <f t="shared" si="10"/>
        <v>-200536</v>
      </c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</row>
    <row r="165" ht="15.75" customHeight="1">
      <c r="A165" s="174"/>
      <c r="B165" s="174"/>
      <c r="C165" s="174"/>
      <c r="D165" s="174"/>
      <c r="E165" s="174"/>
      <c r="F165" s="281">
        <f t="shared" si="9"/>
        <v>-200536</v>
      </c>
      <c r="G165" s="281">
        <v>2537.0</v>
      </c>
      <c r="H165" s="281">
        <f t="shared" si="10"/>
        <v>-203073</v>
      </c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</row>
    <row r="166" ht="15.75" customHeight="1">
      <c r="A166" s="174"/>
      <c r="B166" s="174"/>
      <c r="C166" s="174"/>
      <c r="D166" s="174"/>
      <c r="E166" s="174"/>
      <c r="F166" s="281">
        <f t="shared" si="9"/>
        <v>-203073</v>
      </c>
      <c r="G166" s="281">
        <v>2495.0</v>
      </c>
      <c r="H166" s="281">
        <f t="shared" si="10"/>
        <v>-205568</v>
      </c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</row>
    <row r="167" ht="15.75" customHeight="1">
      <c r="A167" s="174"/>
      <c r="B167" s="174"/>
      <c r="C167" s="174"/>
      <c r="D167" s="174"/>
      <c r="E167" s="174"/>
      <c r="F167" s="281">
        <f t="shared" si="9"/>
        <v>-205568</v>
      </c>
      <c r="G167" s="281">
        <v>2453.0</v>
      </c>
      <c r="H167" s="281">
        <f t="shared" si="10"/>
        <v>-208021</v>
      </c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</row>
    <row r="168" ht="15.75" customHeight="1">
      <c r="A168" s="174"/>
      <c r="B168" s="174"/>
      <c r="C168" s="174"/>
      <c r="D168" s="174"/>
      <c r="E168" s="174"/>
      <c r="F168" s="281">
        <f t="shared" si="9"/>
        <v>-208021</v>
      </c>
      <c r="G168" s="281">
        <v>2412.0</v>
      </c>
      <c r="H168" s="281">
        <f t="shared" si="10"/>
        <v>-210433</v>
      </c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</row>
    <row r="169" ht="15.75" customHeight="1">
      <c r="A169" s="174"/>
      <c r="B169" s="174"/>
      <c r="C169" s="174"/>
      <c r="D169" s="174"/>
      <c r="E169" s="174"/>
      <c r="F169" s="281">
        <f t="shared" si="9"/>
        <v>-210433</v>
      </c>
      <c r="G169" s="281">
        <v>2372.0</v>
      </c>
      <c r="H169" s="281">
        <f t="shared" si="10"/>
        <v>-212805</v>
      </c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</row>
    <row r="170" ht="15.75" customHeight="1">
      <c r="A170" s="174"/>
      <c r="B170" s="174"/>
      <c r="C170" s="174"/>
      <c r="D170" s="174"/>
      <c r="E170" s="174"/>
      <c r="F170" s="281">
        <f t="shared" si="9"/>
        <v>-212805</v>
      </c>
      <c r="G170" s="281">
        <v>2333.0</v>
      </c>
      <c r="H170" s="281">
        <f t="shared" si="10"/>
        <v>-215138</v>
      </c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</row>
    <row r="171" ht="15.75" customHeight="1">
      <c r="A171" s="174"/>
      <c r="B171" s="174"/>
      <c r="C171" s="174"/>
      <c r="D171" s="174"/>
      <c r="E171" s="174"/>
      <c r="F171" s="281">
        <f t="shared" si="9"/>
        <v>-215138</v>
      </c>
      <c r="G171" s="281">
        <v>2294.0</v>
      </c>
      <c r="H171" s="281">
        <f t="shared" si="10"/>
        <v>-217432</v>
      </c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</row>
    <row r="172" ht="15.75" customHeight="1">
      <c r="A172" s="174"/>
      <c r="B172" s="174"/>
      <c r="C172" s="174"/>
      <c r="D172" s="174"/>
      <c r="E172" s="174"/>
      <c r="F172" s="281">
        <f t="shared" si="9"/>
        <v>-217432</v>
      </c>
      <c r="G172" s="281">
        <v>2256.0</v>
      </c>
      <c r="H172" s="281">
        <f t="shared" si="10"/>
        <v>-219688</v>
      </c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</row>
    <row r="173" ht="15.75" customHeight="1">
      <c r="A173" s="174"/>
      <c r="B173" s="174"/>
      <c r="C173" s="174"/>
      <c r="D173" s="174"/>
      <c r="E173" s="174"/>
      <c r="F173" s="281">
        <f t="shared" si="9"/>
        <v>-219688</v>
      </c>
      <c r="G173" s="281">
        <v>2218.0</v>
      </c>
      <c r="H173" s="281">
        <f t="shared" si="10"/>
        <v>-221906</v>
      </c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</row>
    <row r="174" ht="15.75" customHeight="1">
      <c r="A174" s="174"/>
      <c r="B174" s="174"/>
      <c r="C174" s="174"/>
      <c r="D174" s="174"/>
      <c r="E174" s="174"/>
      <c r="F174" s="281">
        <f t="shared" si="9"/>
        <v>-221906</v>
      </c>
      <c r="G174" s="281">
        <v>2181.0</v>
      </c>
      <c r="H174" s="281">
        <f t="shared" si="10"/>
        <v>-224087</v>
      </c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</row>
    <row r="175" ht="15.75" customHeight="1">
      <c r="A175" s="174"/>
      <c r="B175" s="174"/>
      <c r="C175" s="174"/>
      <c r="D175" s="174"/>
      <c r="E175" s="174"/>
      <c r="F175" s="281">
        <f t="shared" si="9"/>
        <v>-224087</v>
      </c>
      <c r="G175" s="281">
        <v>2145.0</v>
      </c>
      <c r="H175" s="281">
        <f t="shared" si="10"/>
        <v>-226232</v>
      </c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</row>
    <row r="176" ht="15.75" customHeight="1">
      <c r="A176" s="174"/>
      <c r="B176" s="174"/>
      <c r="C176" s="174"/>
      <c r="D176" s="174"/>
      <c r="E176" s="174"/>
      <c r="F176" s="281">
        <f t="shared" si="9"/>
        <v>-226232</v>
      </c>
      <c r="G176" s="281">
        <v>2109.0</v>
      </c>
      <c r="H176" s="281">
        <f t="shared" si="10"/>
        <v>-228341</v>
      </c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</row>
    <row r="177" ht="15.75" customHeight="1">
      <c r="A177" s="174"/>
      <c r="B177" s="174"/>
      <c r="C177" s="174"/>
      <c r="D177" s="174"/>
      <c r="E177" s="174"/>
      <c r="F177" s="281">
        <f t="shared" si="9"/>
        <v>-228341</v>
      </c>
      <c r="G177" s="281">
        <v>2074.0</v>
      </c>
      <c r="H177" s="281">
        <f t="shared" si="10"/>
        <v>-230415</v>
      </c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</row>
    <row r="178" ht="15.75" customHeight="1">
      <c r="A178" s="174"/>
      <c r="B178" s="174"/>
      <c r="C178" s="174"/>
      <c r="D178" s="174"/>
      <c r="E178" s="174"/>
      <c r="F178" s="281">
        <f t="shared" si="9"/>
        <v>-230415</v>
      </c>
      <c r="G178" s="281">
        <v>2039.0</v>
      </c>
      <c r="H178" s="281">
        <f t="shared" si="10"/>
        <v>-232454</v>
      </c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</row>
    <row r="179" ht="15.75" customHeight="1">
      <c r="A179" s="174"/>
      <c r="B179" s="174"/>
      <c r="C179" s="174"/>
      <c r="D179" s="174"/>
      <c r="E179" s="174"/>
      <c r="F179" s="281">
        <f t="shared" si="9"/>
        <v>-232454</v>
      </c>
      <c r="G179" s="281">
        <v>2005.0</v>
      </c>
      <c r="H179" s="281">
        <f t="shared" si="10"/>
        <v>-234459</v>
      </c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</row>
    <row r="180" ht="15.75" customHeight="1">
      <c r="A180" s="174"/>
      <c r="B180" s="174"/>
      <c r="C180" s="174"/>
      <c r="D180" s="174"/>
      <c r="E180" s="174"/>
      <c r="F180" s="281">
        <f t="shared" si="9"/>
        <v>-234459</v>
      </c>
      <c r="G180" s="281">
        <v>1972.0</v>
      </c>
      <c r="H180" s="281">
        <f t="shared" si="10"/>
        <v>-236431</v>
      </c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</row>
    <row r="181" ht="15.75" customHeight="1">
      <c r="A181" s="174"/>
      <c r="B181" s="174"/>
      <c r="C181" s="174"/>
      <c r="D181" s="174"/>
      <c r="E181" s="174"/>
      <c r="F181" s="281">
        <f t="shared" si="9"/>
        <v>-236431</v>
      </c>
      <c r="G181" s="281">
        <v>1939.0</v>
      </c>
      <c r="H181" s="281">
        <f t="shared" si="10"/>
        <v>-238370</v>
      </c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</row>
    <row r="182" ht="15.75" customHeight="1">
      <c r="A182" s="174"/>
      <c r="B182" s="174"/>
      <c r="C182" s="174"/>
      <c r="D182" s="174"/>
      <c r="E182" s="174"/>
      <c r="F182" s="281">
        <f t="shared" si="9"/>
        <v>-238370</v>
      </c>
      <c r="G182" s="281">
        <v>1907.0</v>
      </c>
      <c r="H182" s="281">
        <f t="shared" si="10"/>
        <v>-240277</v>
      </c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</row>
    <row r="183" ht="15.75" customHeight="1">
      <c r="A183" s="174"/>
      <c r="B183" s="174"/>
      <c r="C183" s="174"/>
      <c r="D183" s="174"/>
      <c r="E183" s="174"/>
      <c r="F183" s="281">
        <f t="shared" si="9"/>
        <v>-240277</v>
      </c>
      <c r="G183" s="281">
        <v>1875.0</v>
      </c>
      <c r="H183" s="281">
        <f t="shared" si="10"/>
        <v>-242152</v>
      </c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</row>
    <row r="184" ht="15.75" customHeight="1">
      <c r="A184" s="174"/>
      <c r="B184" s="174"/>
      <c r="C184" s="174"/>
      <c r="D184" s="174"/>
      <c r="E184" s="174"/>
      <c r="F184" s="281">
        <f t="shared" si="9"/>
        <v>-242152</v>
      </c>
      <c r="G184" s="281">
        <v>1843.0</v>
      </c>
      <c r="H184" s="281">
        <f t="shared" si="10"/>
        <v>-243995</v>
      </c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</row>
    <row r="185" ht="15.75" customHeight="1">
      <c r="A185" s="174"/>
      <c r="B185" s="174"/>
      <c r="C185" s="174"/>
      <c r="D185" s="174"/>
      <c r="E185" s="174"/>
      <c r="F185" s="281">
        <f t="shared" si="9"/>
        <v>-243995</v>
      </c>
      <c r="G185" s="281">
        <v>1813.0</v>
      </c>
      <c r="H185" s="281">
        <f t="shared" si="10"/>
        <v>-245808</v>
      </c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</row>
    <row r="186" ht="15.75" customHeight="1">
      <c r="A186" s="174"/>
      <c r="B186" s="174"/>
      <c r="C186" s="174"/>
      <c r="D186" s="174"/>
      <c r="E186" s="174"/>
      <c r="F186" s="281">
        <f t="shared" si="9"/>
        <v>-245808</v>
      </c>
      <c r="G186" s="281">
        <v>1783.0</v>
      </c>
      <c r="H186" s="281">
        <f t="shared" si="10"/>
        <v>-247591</v>
      </c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</row>
    <row r="187" ht="15.75" customHeight="1">
      <c r="A187" s="174"/>
      <c r="B187" s="174"/>
      <c r="C187" s="174"/>
      <c r="D187" s="174"/>
      <c r="E187" s="174"/>
      <c r="F187" s="281">
        <f t="shared" si="9"/>
        <v>-247591</v>
      </c>
      <c r="G187" s="281">
        <v>1753.0</v>
      </c>
      <c r="H187" s="281">
        <f t="shared" si="10"/>
        <v>-249344</v>
      </c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</row>
    <row r="188" ht="15.75" customHeight="1">
      <c r="A188" s="174"/>
      <c r="B188" s="174"/>
      <c r="C188" s="174"/>
      <c r="D188" s="174"/>
      <c r="E188" s="174"/>
      <c r="F188" s="281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</row>
    <row r="189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</row>
    <row r="190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</row>
    <row r="19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</row>
    <row r="192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</row>
    <row r="193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</row>
    <row r="194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</row>
    <row r="195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</row>
    <row r="196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</row>
    <row r="197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</row>
    <row r="198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</row>
    <row r="199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</row>
    <row r="200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</row>
    <row r="20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</row>
    <row r="202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</row>
    <row r="203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</row>
    <row r="204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</row>
    <row r="205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</row>
    <row r="206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</row>
    <row r="207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</row>
    <row r="208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</row>
    <row r="209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</row>
    <row r="210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</row>
    <row r="21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</row>
    <row r="212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</row>
    <row r="213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</row>
    <row r="214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</row>
    <row r="215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</row>
    <row r="216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</row>
    <row r="217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</row>
    <row r="218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</row>
    <row r="219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</row>
    <row r="220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</row>
    <row r="22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</row>
    <row r="222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</row>
    <row r="223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</row>
    <row r="224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</row>
    <row r="225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</row>
    <row r="226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</row>
    <row r="227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</row>
    <row r="228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</row>
    <row r="229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</row>
    <row r="230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</row>
    <row r="23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</row>
    <row r="232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</row>
    <row r="233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</row>
    <row r="234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</row>
    <row r="235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</row>
    <row r="236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</row>
    <row r="237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</row>
    <row r="238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</row>
    <row r="239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</row>
    <row r="240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</row>
    <row r="24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</row>
    <row r="242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</row>
    <row r="243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</row>
    <row r="244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</row>
    <row r="245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</row>
    <row r="246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</row>
    <row r="247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</row>
    <row r="248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</row>
    <row r="316" ht="15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</row>
    <row r="317" ht="15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27">
    <mergeCell ref="L2:N2"/>
    <mergeCell ref="O2:Q2"/>
    <mergeCell ref="L3:N3"/>
    <mergeCell ref="O3:Q3"/>
    <mergeCell ref="A1:B1"/>
    <mergeCell ref="C1:E1"/>
    <mergeCell ref="F1:H1"/>
    <mergeCell ref="I1:K1"/>
    <mergeCell ref="L1:N1"/>
    <mergeCell ref="O1:Q1"/>
    <mergeCell ref="C2:E2"/>
    <mergeCell ref="F2:H2"/>
    <mergeCell ref="I2:K2"/>
    <mergeCell ref="A3:B3"/>
    <mergeCell ref="C3:E3"/>
    <mergeCell ref="F3:H3"/>
    <mergeCell ref="I3:K3"/>
    <mergeCell ref="A5:A7"/>
    <mergeCell ref="A92:A103"/>
    <mergeCell ref="A104:A115"/>
    <mergeCell ref="A8:A19"/>
    <mergeCell ref="A20:A31"/>
    <mergeCell ref="A32:A43"/>
    <mergeCell ref="A44:A55"/>
    <mergeCell ref="A56:A67"/>
    <mergeCell ref="A68:A79"/>
    <mergeCell ref="A80:A9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5.25"/>
    <col customWidth="1" min="2" max="2" width="15.75"/>
    <col customWidth="1" min="3" max="3" width="15.0"/>
    <col customWidth="1" hidden="1" min="4" max="4" width="10.0"/>
    <col customWidth="1" hidden="1" min="5" max="5" width="7.88"/>
    <col customWidth="1" hidden="1" min="6" max="6" width="5.5"/>
    <col customWidth="1" hidden="1" min="7" max="8" width="8.25"/>
    <col customWidth="1" hidden="1" min="9" max="20" width="9.38"/>
    <col customWidth="1" hidden="1" min="21" max="72" width="11.0"/>
    <col customWidth="1" hidden="1" min="73" max="92" width="11.63"/>
    <col customWidth="1" hidden="1" min="93" max="93" width="11.75"/>
    <col customWidth="1" min="94" max="180" width="12.13"/>
  </cols>
  <sheetData>
    <row r="1">
      <c r="A1" s="416" t="s">
        <v>645</v>
      </c>
      <c r="B1" s="416" t="s">
        <v>646</v>
      </c>
      <c r="C1" s="28"/>
      <c r="D1" s="417" t="s">
        <v>647</v>
      </c>
      <c r="E1" s="15"/>
      <c r="F1" s="16"/>
      <c r="G1" s="418">
        <v>2018.0</v>
      </c>
      <c r="H1" s="15"/>
      <c r="I1" s="16"/>
      <c r="J1" s="418">
        <v>2019.0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418">
        <v>2020.0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418">
        <v>2021.0</v>
      </c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6"/>
      <c r="AT1" s="419">
        <v>2022.0</v>
      </c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6"/>
      <c r="BF1" s="419">
        <v>2023.0</v>
      </c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6"/>
      <c r="BR1" s="419">
        <v>2024.0</v>
      </c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6"/>
      <c r="CD1" s="420">
        <v>2025.0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6"/>
      <c r="CP1" s="420">
        <v>2026.0</v>
      </c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6"/>
      <c r="DB1" s="421"/>
      <c r="DC1" s="421"/>
      <c r="DD1" s="421"/>
      <c r="DE1" s="421"/>
      <c r="DF1" s="421"/>
      <c r="DG1" s="421"/>
      <c r="DH1" s="421"/>
      <c r="DI1" s="421"/>
      <c r="DJ1" s="421"/>
      <c r="DK1" s="421"/>
      <c r="DL1" s="421"/>
      <c r="DM1" s="421"/>
      <c r="DN1" s="421"/>
      <c r="DO1" s="421"/>
      <c r="DP1" s="421"/>
      <c r="DQ1" s="421"/>
      <c r="DR1" s="421"/>
      <c r="DS1" s="421"/>
      <c r="DT1" s="421"/>
      <c r="DU1" s="421"/>
      <c r="DV1" s="421"/>
      <c r="DW1" s="421"/>
      <c r="DX1" s="421"/>
      <c r="DY1" s="421"/>
      <c r="DZ1" s="421"/>
      <c r="EA1" s="421"/>
      <c r="EB1" s="421"/>
      <c r="EC1" s="421"/>
      <c r="ED1" s="421"/>
      <c r="EE1" s="421"/>
      <c r="EF1" s="421"/>
      <c r="EG1" s="421"/>
      <c r="EH1" s="421"/>
      <c r="EI1" s="421"/>
      <c r="EJ1" s="421"/>
      <c r="EK1" s="421"/>
      <c r="EL1" s="421"/>
      <c r="EM1" s="421"/>
      <c r="EN1" s="421"/>
      <c r="EO1" s="421"/>
      <c r="EP1" s="421"/>
      <c r="EQ1" s="421"/>
      <c r="ER1" s="421"/>
      <c r="ES1" s="421"/>
      <c r="ET1" s="421"/>
      <c r="EU1" s="421"/>
      <c r="EV1" s="421"/>
      <c r="EW1" s="421"/>
      <c r="EX1" s="421"/>
      <c r="EY1" s="421"/>
      <c r="EZ1" s="421"/>
      <c r="FA1" s="421"/>
      <c r="FB1" s="421"/>
      <c r="FC1" s="421"/>
      <c r="FD1" s="421"/>
      <c r="FE1" s="421"/>
      <c r="FF1" s="421"/>
      <c r="FG1" s="421"/>
      <c r="FH1" s="421"/>
      <c r="FI1" s="421"/>
      <c r="FJ1" s="421"/>
      <c r="FK1" s="421"/>
      <c r="FL1" s="421"/>
      <c r="FM1" s="421"/>
      <c r="FN1" s="421"/>
      <c r="FO1" s="421"/>
      <c r="FP1" s="421"/>
      <c r="FQ1" s="421"/>
      <c r="FR1" s="421"/>
      <c r="FS1" s="421"/>
      <c r="FT1" s="421"/>
      <c r="FU1" s="421"/>
      <c r="FV1" s="421"/>
      <c r="FW1" s="421"/>
      <c r="FX1" s="421"/>
    </row>
    <row r="2">
      <c r="A2" s="96"/>
      <c r="B2" s="96"/>
      <c r="C2" s="114"/>
      <c r="D2" s="422" t="s">
        <v>648</v>
      </c>
      <c r="E2" s="422" t="s">
        <v>649</v>
      </c>
      <c r="F2" s="423" t="s">
        <v>650</v>
      </c>
      <c r="G2" s="424" t="s">
        <v>412</v>
      </c>
      <c r="H2" s="425">
        <v>43405.0</v>
      </c>
      <c r="I2" s="425">
        <v>43435.0</v>
      </c>
      <c r="J2" s="425">
        <v>43466.0</v>
      </c>
      <c r="K2" s="425">
        <v>43497.0</v>
      </c>
      <c r="L2" s="425">
        <v>43525.0</v>
      </c>
      <c r="M2" s="425">
        <v>43556.0</v>
      </c>
      <c r="N2" s="425">
        <v>43586.0</v>
      </c>
      <c r="O2" s="425">
        <v>43617.0</v>
      </c>
      <c r="P2" s="425">
        <v>43647.0</v>
      </c>
      <c r="Q2" s="425">
        <v>43678.0</v>
      </c>
      <c r="R2" s="425">
        <v>43709.0</v>
      </c>
      <c r="S2" s="425">
        <v>43739.0</v>
      </c>
      <c r="T2" s="425">
        <v>43770.0</v>
      </c>
      <c r="U2" s="425">
        <v>43800.0</v>
      </c>
      <c r="V2" s="425">
        <v>43831.0</v>
      </c>
      <c r="W2" s="425">
        <v>43862.0</v>
      </c>
      <c r="X2" s="425">
        <v>43891.0</v>
      </c>
      <c r="Y2" s="425">
        <v>43922.0</v>
      </c>
      <c r="Z2" s="425">
        <v>43952.0</v>
      </c>
      <c r="AA2" s="425">
        <v>43983.0</v>
      </c>
      <c r="AB2" s="425">
        <v>44013.0</v>
      </c>
      <c r="AC2" s="425">
        <v>44044.0</v>
      </c>
      <c r="AD2" s="425">
        <v>44075.0</v>
      </c>
      <c r="AE2" s="425">
        <v>44105.0</v>
      </c>
      <c r="AF2" s="425">
        <v>44136.0</v>
      </c>
      <c r="AG2" s="425">
        <v>44166.0</v>
      </c>
      <c r="AH2" s="425">
        <v>44197.0</v>
      </c>
      <c r="AI2" s="425">
        <v>44228.0</v>
      </c>
      <c r="AJ2" s="425">
        <v>44256.0</v>
      </c>
      <c r="AK2" s="425">
        <v>44287.0</v>
      </c>
      <c r="AL2" s="425">
        <v>44317.0</v>
      </c>
      <c r="AM2" s="425">
        <v>44348.0</v>
      </c>
      <c r="AN2" s="425">
        <v>44378.0</v>
      </c>
      <c r="AO2" s="425">
        <v>44409.0</v>
      </c>
      <c r="AP2" s="425">
        <v>44440.0</v>
      </c>
      <c r="AQ2" s="425">
        <v>44470.0</v>
      </c>
      <c r="AR2" s="425">
        <v>44501.0</v>
      </c>
      <c r="AS2" s="425">
        <v>44531.0</v>
      </c>
      <c r="AT2" s="425">
        <v>44562.0</v>
      </c>
      <c r="AU2" s="425">
        <v>44593.0</v>
      </c>
      <c r="AV2" s="425">
        <v>44621.0</v>
      </c>
      <c r="AW2" s="425">
        <v>44652.0</v>
      </c>
      <c r="AX2" s="425">
        <v>44682.0</v>
      </c>
      <c r="AY2" s="425">
        <v>44713.0</v>
      </c>
      <c r="AZ2" s="425">
        <v>44743.0</v>
      </c>
      <c r="BA2" s="425">
        <v>44774.0</v>
      </c>
      <c r="BB2" s="425">
        <v>44805.0</v>
      </c>
      <c r="BC2" s="425">
        <v>44835.0</v>
      </c>
      <c r="BD2" s="425">
        <v>44866.0</v>
      </c>
      <c r="BE2" s="425">
        <v>44896.0</v>
      </c>
      <c r="BF2" s="425">
        <v>44927.0</v>
      </c>
      <c r="BG2" s="425">
        <v>44958.0</v>
      </c>
      <c r="BH2" s="425">
        <v>44986.0</v>
      </c>
      <c r="BI2" s="425">
        <v>45017.0</v>
      </c>
      <c r="BJ2" s="425">
        <v>45047.0</v>
      </c>
      <c r="BK2" s="425">
        <v>45078.0</v>
      </c>
      <c r="BL2" s="425">
        <v>45108.0</v>
      </c>
      <c r="BM2" s="425">
        <v>45139.0</v>
      </c>
      <c r="BN2" s="425">
        <v>45170.0</v>
      </c>
      <c r="BO2" s="425">
        <v>45200.0</v>
      </c>
      <c r="BP2" s="425">
        <v>45231.0</v>
      </c>
      <c r="BQ2" s="425">
        <v>45261.0</v>
      </c>
      <c r="BR2" s="425">
        <v>45292.0</v>
      </c>
      <c r="BS2" s="425">
        <v>45323.0</v>
      </c>
      <c r="BT2" s="425">
        <v>45352.0</v>
      </c>
      <c r="BU2" s="425">
        <v>45383.0</v>
      </c>
      <c r="BV2" s="425">
        <v>45413.0</v>
      </c>
      <c r="BW2" s="425">
        <v>45444.0</v>
      </c>
      <c r="BX2" s="425">
        <v>45474.0</v>
      </c>
      <c r="BY2" s="425">
        <v>45505.0</v>
      </c>
      <c r="BZ2" s="425">
        <v>45536.0</v>
      </c>
      <c r="CA2" s="425">
        <v>45566.0</v>
      </c>
      <c r="CB2" s="425">
        <v>45597.0</v>
      </c>
      <c r="CC2" s="425">
        <v>45627.0</v>
      </c>
      <c r="CD2" s="426">
        <v>45658.0</v>
      </c>
      <c r="CE2" s="426">
        <v>45689.0</v>
      </c>
      <c r="CF2" s="426">
        <v>45717.0</v>
      </c>
      <c r="CG2" s="426">
        <v>45748.0</v>
      </c>
      <c r="CH2" s="426">
        <v>45778.0</v>
      </c>
      <c r="CI2" s="426">
        <v>45809.0</v>
      </c>
      <c r="CJ2" s="426">
        <v>45839.0</v>
      </c>
      <c r="CK2" s="426">
        <v>45870.0</v>
      </c>
      <c r="CL2" s="426">
        <v>45901.0</v>
      </c>
      <c r="CM2" s="426">
        <v>45931.0</v>
      </c>
      <c r="CN2" s="426">
        <v>45962.0</v>
      </c>
      <c r="CO2" s="426">
        <v>45992.0</v>
      </c>
      <c r="CP2" s="426">
        <v>46023.0</v>
      </c>
      <c r="CQ2" s="426">
        <v>46054.0</v>
      </c>
      <c r="CR2" s="426">
        <v>46082.0</v>
      </c>
      <c r="CS2" s="426">
        <v>46113.0</v>
      </c>
      <c r="CT2" s="426">
        <v>46143.0</v>
      </c>
      <c r="CU2" s="426">
        <v>46174.0</v>
      </c>
      <c r="CV2" s="426">
        <v>46204.0</v>
      </c>
      <c r="CW2" s="426">
        <v>46235.0</v>
      </c>
      <c r="CX2" s="426">
        <v>46266.0</v>
      </c>
      <c r="CY2" s="426">
        <v>46296.0</v>
      </c>
      <c r="CZ2" s="426">
        <v>46327.0</v>
      </c>
      <c r="DA2" s="426">
        <v>46357.0</v>
      </c>
      <c r="DB2" s="421"/>
      <c r="DC2" s="421"/>
      <c r="DD2" s="421"/>
      <c r="DE2" s="421"/>
      <c r="DF2" s="421"/>
      <c r="DG2" s="421"/>
      <c r="DH2" s="421"/>
      <c r="DI2" s="421"/>
      <c r="DJ2" s="421"/>
      <c r="DK2" s="421"/>
      <c r="DL2" s="421"/>
      <c r="DM2" s="421"/>
      <c r="DN2" s="421"/>
      <c r="DO2" s="421"/>
      <c r="DP2" s="421"/>
      <c r="DQ2" s="421"/>
      <c r="DR2" s="421"/>
      <c r="DS2" s="421"/>
      <c r="DT2" s="421"/>
      <c r="DU2" s="421"/>
      <c r="DV2" s="421"/>
      <c r="DW2" s="421"/>
      <c r="DX2" s="421"/>
      <c r="DY2" s="421"/>
      <c r="DZ2" s="421"/>
      <c r="EA2" s="421"/>
      <c r="EB2" s="421"/>
      <c r="EC2" s="421"/>
      <c r="ED2" s="421"/>
      <c r="EE2" s="421"/>
      <c r="EF2" s="421"/>
      <c r="EG2" s="421"/>
      <c r="EH2" s="421"/>
      <c r="EI2" s="421"/>
      <c r="EJ2" s="421"/>
      <c r="EK2" s="421"/>
      <c r="EL2" s="421"/>
      <c r="EM2" s="421"/>
      <c r="EN2" s="421"/>
      <c r="EO2" s="421"/>
      <c r="EP2" s="421"/>
      <c r="EQ2" s="421"/>
      <c r="ER2" s="421"/>
      <c r="ES2" s="421"/>
      <c r="ET2" s="421"/>
      <c r="EU2" s="421"/>
      <c r="EV2" s="421"/>
      <c r="EW2" s="421"/>
      <c r="EX2" s="421"/>
      <c r="EY2" s="421"/>
      <c r="EZ2" s="421"/>
      <c r="FA2" s="421"/>
      <c r="FB2" s="421"/>
      <c r="FC2" s="421"/>
      <c r="FD2" s="421"/>
      <c r="FE2" s="421"/>
      <c r="FF2" s="421"/>
      <c r="FG2" s="421"/>
      <c r="FH2" s="421"/>
      <c r="FI2" s="421"/>
      <c r="FJ2" s="421"/>
      <c r="FK2" s="421"/>
      <c r="FL2" s="421"/>
      <c r="FM2" s="421"/>
      <c r="FN2" s="421"/>
      <c r="FO2" s="421"/>
      <c r="FP2" s="421"/>
      <c r="FQ2" s="421"/>
      <c r="FR2" s="421"/>
      <c r="FS2" s="421"/>
      <c r="FT2" s="421"/>
      <c r="FU2" s="421"/>
      <c r="FV2" s="421"/>
      <c r="FW2" s="421"/>
      <c r="FX2" s="421"/>
    </row>
    <row r="3">
      <c r="A3" s="427" t="s">
        <v>651</v>
      </c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8"/>
      <c r="AL3" s="428"/>
      <c r="AM3" s="428"/>
      <c r="AN3" s="428"/>
      <c r="AO3" s="428"/>
      <c r="AP3" s="428"/>
      <c r="AQ3" s="428"/>
      <c r="AR3" s="428"/>
      <c r="AS3" s="428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  <c r="BM3" s="421"/>
      <c r="BN3" s="421"/>
      <c r="BO3" s="421"/>
      <c r="BP3" s="421"/>
      <c r="BQ3" s="421"/>
      <c r="BR3" s="421"/>
      <c r="BS3" s="421"/>
      <c r="BT3" s="421"/>
      <c r="BU3" s="421"/>
      <c r="BV3" s="421"/>
      <c r="BW3" s="421"/>
      <c r="BX3" s="421"/>
      <c r="BY3" s="421"/>
      <c r="BZ3" s="421"/>
      <c r="CA3" s="421"/>
      <c r="CB3" s="421"/>
      <c r="CC3" s="421"/>
      <c r="CD3" s="429"/>
      <c r="CE3" s="429"/>
      <c r="CF3" s="429"/>
      <c r="CG3" s="429"/>
      <c r="CH3" s="429"/>
      <c r="CI3" s="429"/>
      <c r="CJ3" s="429"/>
      <c r="CK3" s="429"/>
      <c r="CL3" s="429"/>
      <c r="CM3" s="429"/>
      <c r="CN3" s="429"/>
      <c r="CO3" s="429"/>
      <c r="CP3" s="428"/>
      <c r="CQ3" s="428"/>
      <c r="CR3" s="428"/>
      <c r="CS3" s="428"/>
      <c r="CT3" s="428"/>
      <c r="CU3" s="428"/>
      <c r="CV3" s="428"/>
      <c r="CW3" s="428"/>
      <c r="CX3" s="428"/>
      <c r="CY3" s="428"/>
      <c r="CZ3" s="428"/>
      <c r="DA3" s="428"/>
      <c r="DB3" s="428"/>
      <c r="DC3" s="428"/>
      <c r="DD3" s="428"/>
      <c r="DE3" s="428"/>
      <c r="DF3" s="428"/>
      <c r="DG3" s="428"/>
      <c r="DH3" s="428"/>
      <c r="DI3" s="428"/>
      <c r="DJ3" s="428"/>
      <c r="DK3" s="428"/>
      <c r="DL3" s="428"/>
      <c r="DM3" s="428"/>
      <c r="DN3" s="428"/>
      <c r="DO3" s="428"/>
      <c r="DP3" s="428"/>
      <c r="DQ3" s="428"/>
      <c r="DR3" s="428"/>
      <c r="DS3" s="428"/>
      <c r="DT3" s="428"/>
      <c r="DU3" s="428"/>
      <c r="DV3" s="428"/>
      <c r="DW3" s="428"/>
      <c r="DX3" s="428"/>
      <c r="DY3" s="428"/>
      <c r="DZ3" s="428"/>
      <c r="EA3" s="428"/>
      <c r="EB3" s="428"/>
      <c r="EC3" s="421"/>
      <c r="ED3" s="421"/>
      <c r="EE3" s="421"/>
      <c r="EF3" s="421"/>
      <c r="EG3" s="421"/>
      <c r="EH3" s="421"/>
      <c r="EI3" s="421"/>
      <c r="EJ3" s="421"/>
      <c r="EK3" s="421"/>
      <c r="EL3" s="421"/>
      <c r="EM3" s="421"/>
      <c r="EN3" s="421"/>
      <c r="EO3" s="421"/>
      <c r="EP3" s="421"/>
      <c r="EQ3" s="421"/>
      <c r="ER3" s="421"/>
      <c r="ES3" s="421"/>
      <c r="ET3" s="421"/>
      <c r="EU3" s="421"/>
      <c r="EV3" s="421"/>
      <c r="EW3" s="421"/>
      <c r="EX3" s="421"/>
      <c r="EY3" s="421"/>
      <c r="EZ3" s="421"/>
      <c r="FA3" s="421"/>
      <c r="FB3" s="421"/>
      <c r="FC3" s="421"/>
      <c r="FD3" s="421"/>
      <c r="FE3" s="421"/>
      <c r="FF3" s="421"/>
      <c r="FG3" s="421"/>
      <c r="FH3" s="421"/>
      <c r="FI3" s="421"/>
      <c r="FJ3" s="421"/>
      <c r="FK3" s="421"/>
      <c r="FL3" s="421"/>
      <c r="FM3" s="429"/>
      <c r="FN3" s="429"/>
      <c r="FO3" s="429"/>
      <c r="FP3" s="429"/>
      <c r="FQ3" s="429"/>
      <c r="FR3" s="429"/>
      <c r="FS3" s="429"/>
      <c r="FT3" s="429"/>
      <c r="FU3" s="429"/>
      <c r="FV3" s="429"/>
      <c r="FW3" s="429"/>
      <c r="FX3" s="429"/>
    </row>
    <row r="4">
      <c r="A4" s="430"/>
      <c r="B4" s="431"/>
      <c r="C4" s="431"/>
      <c r="D4" s="428"/>
      <c r="E4" s="428"/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8"/>
      <c r="AO4" s="428"/>
      <c r="AP4" s="428"/>
      <c r="AQ4" s="428"/>
      <c r="AR4" s="428"/>
      <c r="AS4" s="428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1"/>
      <c r="BY4" s="421"/>
      <c r="BZ4" s="421"/>
      <c r="CA4" s="421"/>
      <c r="CB4" s="421"/>
      <c r="CC4" s="421"/>
      <c r="CD4" s="429"/>
      <c r="CE4" s="429"/>
      <c r="CF4" s="429"/>
      <c r="CG4" s="429"/>
      <c r="CH4" s="429"/>
      <c r="CI4" s="429"/>
      <c r="CJ4" s="429"/>
      <c r="CK4" s="429"/>
      <c r="CL4" s="429"/>
      <c r="CM4" s="429"/>
      <c r="CN4" s="429"/>
      <c r="CO4" s="429"/>
      <c r="CP4" s="428"/>
      <c r="CQ4" s="428"/>
      <c r="CR4" s="428"/>
      <c r="CS4" s="428"/>
      <c r="CT4" s="428"/>
      <c r="CU4" s="428"/>
      <c r="CV4" s="428"/>
      <c r="CW4" s="428"/>
      <c r="CX4" s="428"/>
      <c r="CY4" s="428"/>
      <c r="CZ4" s="428"/>
      <c r="DA4" s="428"/>
      <c r="DB4" s="428"/>
      <c r="DC4" s="428"/>
      <c r="DD4" s="428"/>
      <c r="DE4" s="428"/>
      <c r="DF4" s="428"/>
      <c r="DG4" s="428"/>
      <c r="DH4" s="428"/>
      <c r="DI4" s="428"/>
      <c r="DJ4" s="428"/>
      <c r="DK4" s="428"/>
      <c r="DL4" s="428"/>
      <c r="DM4" s="428"/>
      <c r="DN4" s="428"/>
      <c r="DO4" s="428"/>
      <c r="DP4" s="428"/>
      <c r="DQ4" s="428"/>
      <c r="DR4" s="428"/>
      <c r="DS4" s="428"/>
      <c r="DT4" s="428"/>
      <c r="DU4" s="428"/>
      <c r="DV4" s="428"/>
      <c r="DW4" s="428"/>
      <c r="DX4" s="428"/>
      <c r="DY4" s="428"/>
      <c r="DZ4" s="428"/>
      <c r="EA4" s="428"/>
      <c r="EB4" s="428"/>
      <c r="EC4" s="421"/>
      <c r="ED4" s="421"/>
      <c r="EE4" s="421"/>
      <c r="EF4" s="421"/>
      <c r="EG4" s="421"/>
      <c r="EH4" s="421"/>
      <c r="EI4" s="421"/>
      <c r="EJ4" s="421"/>
      <c r="EK4" s="421"/>
      <c r="EL4" s="421"/>
      <c r="EM4" s="421"/>
      <c r="EN4" s="421"/>
      <c r="EO4" s="421"/>
      <c r="EP4" s="421"/>
      <c r="EQ4" s="421"/>
      <c r="ER4" s="421"/>
      <c r="ES4" s="421"/>
      <c r="ET4" s="421"/>
      <c r="EU4" s="421"/>
      <c r="EV4" s="421"/>
      <c r="EW4" s="421"/>
      <c r="EX4" s="421"/>
      <c r="EY4" s="421"/>
      <c r="EZ4" s="421"/>
      <c r="FA4" s="421"/>
      <c r="FB4" s="421"/>
      <c r="FC4" s="421"/>
      <c r="FD4" s="421"/>
      <c r="FE4" s="421"/>
      <c r="FF4" s="421"/>
      <c r="FG4" s="421"/>
      <c r="FH4" s="421"/>
      <c r="FI4" s="421"/>
      <c r="FJ4" s="421"/>
      <c r="FK4" s="421"/>
      <c r="FL4" s="421"/>
      <c r="FM4" s="429"/>
      <c r="FN4" s="429"/>
      <c r="FO4" s="429"/>
      <c r="FP4" s="429"/>
      <c r="FQ4" s="429"/>
      <c r="FR4" s="429"/>
      <c r="FS4" s="429"/>
      <c r="FT4" s="429"/>
      <c r="FU4" s="429"/>
      <c r="FV4" s="429"/>
      <c r="FW4" s="429"/>
      <c r="FX4" s="429"/>
    </row>
    <row r="5">
      <c r="A5" s="432" t="s">
        <v>624</v>
      </c>
      <c r="B5" s="433"/>
      <c r="C5" s="434"/>
      <c r="D5" s="435" t="s">
        <v>652</v>
      </c>
      <c r="E5" s="436" t="s">
        <v>652</v>
      </c>
      <c r="F5" s="437" t="s">
        <v>652</v>
      </c>
      <c r="G5" s="438" t="s">
        <v>653</v>
      </c>
      <c r="H5" s="439" t="s">
        <v>653</v>
      </c>
      <c r="I5" s="439" t="s">
        <v>653</v>
      </c>
      <c r="J5" s="439" t="s">
        <v>653</v>
      </c>
      <c r="K5" s="439" t="s">
        <v>653</v>
      </c>
      <c r="L5" s="439" t="s">
        <v>653</v>
      </c>
      <c r="M5" s="439" t="s">
        <v>653</v>
      </c>
      <c r="N5" s="439" t="s">
        <v>653</v>
      </c>
      <c r="O5" s="439" t="s">
        <v>653</v>
      </c>
      <c r="P5" s="439" t="s">
        <v>653</v>
      </c>
      <c r="Q5" s="439" t="s">
        <v>653</v>
      </c>
      <c r="R5" s="439" t="s">
        <v>653</v>
      </c>
      <c r="S5" s="439" t="s">
        <v>653</v>
      </c>
      <c r="T5" s="439" t="s">
        <v>653</v>
      </c>
      <c r="U5" s="439" t="s">
        <v>653</v>
      </c>
      <c r="V5" s="439" t="s">
        <v>653</v>
      </c>
      <c r="W5" s="439" t="s">
        <v>653</v>
      </c>
      <c r="X5" s="439" t="s">
        <v>653</v>
      </c>
      <c r="Y5" s="439" t="s">
        <v>653</v>
      </c>
      <c r="Z5" s="439" t="s">
        <v>653</v>
      </c>
      <c r="AA5" s="439" t="s">
        <v>653</v>
      </c>
      <c r="AB5" s="439" t="s">
        <v>653</v>
      </c>
      <c r="AC5" s="439" t="s">
        <v>653</v>
      </c>
      <c r="AD5" s="439" t="s">
        <v>653</v>
      </c>
      <c r="AE5" s="439" t="s">
        <v>653</v>
      </c>
      <c r="AF5" s="439" t="s">
        <v>653</v>
      </c>
      <c r="AG5" s="439" t="s">
        <v>653</v>
      </c>
      <c r="AH5" s="439" t="s">
        <v>653</v>
      </c>
      <c r="AI5" s="439" t="s">
        <v>653</v>
      </c>
      <c r="AJ5" s="439" t="s">
        <v>653</v>
      </c>
      <c r="AK5" s="439" t="s">
        <v>653</v>
      </c>
      <c r="AL5" s="439" t="s">
        <v>653</v>
      </c>
      <c r="AM5" s="439" t="s">
        <v>653</v>
      </c>
      <c r="AN5" s="439" t="s">
        <v>653</v>
      </c>
      <c r="AO5" s="439" t="s">
        <v>653</v>
      </c>
      <c r="AP5" s="439" t="s">
        <v>653</v>
      </c>
      <c r="AQ5" s="439" t="s">
        <v>653</v>
      </c>
      <c r="AR5" s="439" t="s">
        <v>653</v>
      </c>
      <c r="AS5" s="439" t="s">
        <v>653</v>
      </c>
      <c r="AT5" s="439" t="s">
        <v>653</v>
      </c>
      <c r="AU5" s="439" t="s">
        <v>653</v>
      </c>
      <c r="AV5" s="439" t="s">
        <v>653</v>
      </c>
      <c r="AW5" s="439" t="s">
        <v>653</v>
      </c>
      <c r="AX5" s="439" t="s">
        <v>653</v>
      </c>
      <c r="AY5" s="439" t="s">
        <v>653</v>
      </c>
      <c r="AZ5" s="439" t="s">
        <v>653</v>
      </c>
      <c r="BA5" s="439" t="s">
        <v>653</v>
      </c>
      <c r="BB5" s="439" t="s">
        <v>653</v>
      </c>
      <c r="BC5" s="439" t="s">
        <v>653</v>
      </c>
      <c r="BD5" s="439" t="s">
        <v>653</v>
      </c>
      <c r="BE5" s="439" t="s">
        <v>653</v>
      </c>
      <c r="BF5" s="439" t="s">
        <v>653</v>
      </c>
      <c r="BG5" s="439" t="s">
        <v>653</v>
      </c>
      <c r="BH5" s="439" t="s">
        <v>653</v>
      </c>
      <c r="BI5" s="439" t="s">
        <v>653</v>
      </c>
      <c r="BJ5" s="439" t="s">
        <v>653</v>
      </c>
      <c r="BK5" s="439" t="s">
        <v>653</v>
      </c>
      <c r="BL5" s="439" t="s">
        <v>653</v>
      </c>
      <c r="BM5" s="439" t="s">
        <v>653</v>
      </c>
      <c r="BN5" s="439" t="s">
        <v>653</v>
      </c>
      <c r="BO5" s="439" t="s">
        <v>653</v>
      </c>
      <c r="BP5" s="439" t="s">
        <v>653</v>
      </c>
      <c r="BQ5" s="439" t="s">
        <v>653</v>
      </c>
      <c r="BR5" s="439" t="s">
        <v>653</v>
      </c>
      <c r="BS5" s="439" t="s">
        <v>653</v>
      </c>
      <c r="BT5" s="439" t="s">
        <v>653</v>
      </c>
      <c r="BU5" s="439" t="s">
        <v>653</v>
      </c>
      <c r="BV5" s="439" t="s">
        <v>653</v>
      </c>
      <c r="BW5" s="439" t="s">
        <v>653</v>
      </c>
      <c r="BX5" s="439" t="s">
        <v>653</v>
      </c>
      <c r="BY5" s="439" t="s">
        <v>653</v>
      </c>
      <c r="BZ5" s="439" t="s">
        <v>653</v>
      </c>
      <c r="CA5" s="439" t="s">
        <v>653</v>
      </c>
      <c r="CB5" s="439" t="s">
        <v>653</v>
      </c>
      <c r="CC5" s="439" t="s">
        <v>653</v>
      </c>
      <c r="CD5" s="439" t="s">
        <v>653</v>
      </c>
      <c r="CE5" s="439" t="s">
        <v>653</v>
      </c>
      <c r="CF5" s="439" t="s">
        <v>653</v>
      </c>
      <c r="CG5" s="439" t="s">
        <v>653</v>
      </c>
      <c r="CH5" s="439" t="s">
        <v>653</v>
      </c>
      <c r="CI5" s="439" t="s">
        <v>653</v>
      </c>
      <c r="CJ5" s="439" t="s">
        <v>653</v>
      </c>
      <c r="CK5" s="439" t="s">
        <v>653</v>
      </c>
      <c r="CL5" s="439" t="s">
        <v>653</v>
      </c>
      <c r="CM5" s="439" t="s">
        <v>653</v>
      </c>
      <c r="CN5" s="439" t="s">
        <v>653</v>
      </c>
      <c r="CO5" s="440" t="s">
        <v>653</v>
      </c>
      <c r="CP5" s="438" t="s">
        <v>653</v>
      </c>
      <c r="CQ5" s="439" t="s">
        <v>653</v>
      </c>
      <c r="CR5" s="439" t="s">
        <v>653</v>
      </c>
      <c r="CS5" s="439" t="s">
        <v>653</v>
      </c>
      <c r="CT5" s="439" t="s">
        <v>653</v>
      </c>
      <c r="CU5" s="439" t="s">
        <v>653</v>
      </c>
      <c r="CV5" s="439" t="s">
        <v>653</v>
      </c>
      <c r="CW5" s="439" t="s">
        <v>653</v>
      </c>
      <c r="CX5" s="439" t="s">
        <v>653</v>
      </c>
      <c r="CY5" s="439" t="s">
        <v>653</v>
      </c>
      <c r="CZ5" s="439" t="s">
        <v>653</v>
      </c>
      <c r="DA5" s="439" t="s">
        <v>653</v>
      </c>
      <c r="DB5" s="439" t="s">
        <v>653</v>
      </c>
      <c r="DC5" s="439" t="s">
        <v>653</v>
      </c>
      <c r="DD5" s="439" t="s">
        <v>653</v>
      </c>
      <c r="DE5" s="439" t="s">
        <v>653</v>
      </c>
      <c r="DF5" s="439" t="s">
        <v>653</v>
      </c>
      <c r="DG5" s="439" t="s">
        <v>653</v>
      </c>
      <c r="DH5" s="439" t="s">
        <v>653</v>
      </c>
      <c r="DI5" s="439" t="s">
        <v>653</v>
      </c>
      <c r="DJ5" s="439" t="s">
        <v>653</v>
      </c>
      <c r="DK5" s="439" t="s">
        <v>653</v>
      </c>
      <c r="DL5" s="439" t="s">
        <v>653</v>
      </c>
      <c r="DM5" s="439" t="s">
        <v>653</v>
      </c>
      <c r="DN5" s="439" t="s">
        <v>653</v>
      </c>
      <c r="DO5" s="439" t="s">
        <v>653</v>
      </c>
      <c r="DP5" s="439" t="s">
        <v>653</v>
      </c>
      <c r="DQ5" s="439" t="s">
        <v>653</v>
      </c>
      <c r="DR5" s="439" t="s">
        <v>653</v>
      </c>
      <c r="DS5" s="439" t="s">
        <v>653</v>
      </c>
      <c r="DT5" s="439" t="s">
        <v>653</v>
      </c>
      <c r="DU5" s="439" t="s">
        <v>653</v>
      </c>
      <c r="DV5" s="439" t="s">
        <v>653</v>
      </c>
      <c r="DW5" s="439" t="s">
        <v>653</v>
      </c>
      <c r="DX5" s="439" t="s">
        <v>653</v>
      </c>
      <c r="DY5" s="439" t="s">
        <v>653</v>
      </c>
      <c r="DZ5" s="439" t="s">
        <v>653</v>
      </c>
      <c r="EA5" s="439" t="s">
        <v>653</v>
      </c>
      <c r="EB5" s="439" t="s">
        <v>653</v>
      </c>
      <c r="EC5" s="439" t="s">
        <v>653</v>
      </c>
      <c r="ED5" s="439" t="s">
        <v>653</v>
      </c>
      <c r="EE5" s="439" t="s">
        <v>653</v>
      </c>
      <c r="EF5" s="439" t="s">
        <v>653</v>
      </c>
      <c r="EG5" s="439" t="s">
        <v>653</v>
      </c>
      <c r="EH5" s="439" t="s">
        <v>653</v>
      </c>
      <c r="EI5" s="439" t="s">
        <v>653</v>
      </c>
      <c r="EJ5" s="439" t="s">
        <v>653</v>
      </c>
      <c r="EK5" s="439" t="s">
        <v>653</v>
      </c>
      <c r="EL5" s="439" t="s">
        <v>653</v>
      </c>
      <c r="EM5" s="439" t="s">
        <v>653</v>
      </c>
      <c r="EN5" s="439" t="s">
        <v>653</v>
      </c>
      <c r="EO5" s="439" t="s">
        <v>653</v>
      </c>
      <c r="EP5" s="439" t="s">
        <v>653</v>
      </c>
      <c r="EQ5" s="439" t="s">
        <v>653</v>
      </c>
      <c r="ER5" s="439" t="s">
        <v>653</v>
      </c>
      <c r="ES5" s="439" t="s">
        <v>653</v>
      </c>
      <c r="ET5" s="439" t="s">
        <v>653</v>
      </c>
      <c r="EU5" s="439" t="s">
        <v>653</v>
      </c>
      <c r="EV5" s="439" t="s">
        <v>653</v>
      </c>
      <c r="EW5" s="439" t="s">
        <v>653</v>
      </c>
      <c r="EX5" s="439" t="s">
        <v>653</v>
      </c>
      <c r="EY5" s="439" t="s">
        <v>653</v>
      </c>
      <c r="EZ5" s="439" t="s">
        <v>653</v>
      </c>
      <c r="FA5" s="439" t="s">
        <v>653</v>
      </c>
      <c r="FB5" s="439" t="s">
        <v>653</v>
      </c>
      <c r="FC5" s="439" t="s">
        <v>653</v>
      </c>
      <c r="FD5" s="439" t="s">
        <v>653</v>
      </c>
      <c r="FE5" s="439" t="s">
        <v>653</v>
      </c>
      <c r="FF5" s="439" t="s">
        <v>653</v>
      </c>
      <c r="FG5" s="439" t="s">
        <v>653</v>
      </c>
      <c r="FH5" s="439" t="s">
        <v>653</v>
      </c>
      <c r="FI5" s="439" t="s">
        <v>653</v>
      </c>
      <c r="FJ5" s="439" t="s">
        <v>653</v>
      </c>
      <c r="FK5" s="439" t="s">
        <v>653</v>
      </c>
      <c r="FL5" s="439" t="s">
        <v>653</v>
      </c>
      <c r="FM5" s="439" t="s">
        <v>653</v>
      </c>
      <c r="FN5" s="439" t="s">
        <v>653</v>
      </c>
      <c r="FO5" s="439" t="s">
        <v>653</v>
      </c>
      <c r="FP5" s="439" t="s">
        <v>653</v>
      </c>
      <c r="FQ5" s="439" t="s">
        <v>653</v>
      </c>
      <c r="FR5" s="439" t="s">
        <v>653</v>
      </c>
      <c r="FS5" s="439" t="s">
        <v>653</v>
      </c>
      <c r="FT5" s="439" t="s">
        <v>653</v>
      </c>
      <c r="FU5" s="439" t="s">
        <v>653</v>
      </c>
      <c r="FV5" s="439" t="s">
        <v>653</v>
      </c>
      <c r="FW5" s="439" t="s">
        <v>653</v>
      </c>
      <c r="FX5" s="440" t="s">
        <v>653</v>
      </c>
    </row>
    <row r="6">
      <c r="A6" s="441" t="s">
        <v>654</v>
      </c>
      <c r="B6" s="114"/>
      <c r="C6" s="442"/>
      <c r="D6" s="443" t="s">
        <v>652</v>
      </c>
      <c r="E6" s="444" t="s">
        <v>652</v>
      </c>
      <c r="F6" s="445" t="s">
        <v>652</v>
      </c>
      <c r="G6" s="446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8"/>
      <c r="AU6" s="448"/>
      <c r="AV6" s="448"/>
      <c r="AW6" s="448"/>
      <c r="AX6" s="448"/>
      <c r="AY6" s="448"/>
      <c r="AZ6" s="448"/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8"/>
      <c r="BU6" s="448"/>
      <c r="BV6" s="448"/>
      <c r="BW6" s="448"/>
      <c r="BX6" s="448"/>
      <c r="BY6" s="448"/>
      <c r="BZ6" s="448"/>
      <c r="CA6" s="448"/>
      <c r="CB6" s="448"/>
      <c r="CC6" s="448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50"/>
      <c r="CP6" s="446"/>
      <c r="CQ6" s="447"/>
      <c r="CR6" s="447"/>
      <c r="CS6" s="447"/>
      <c r="CT6" s="447"/>
      <c r="CU6" s="447"/>
      <c r="CV6" s="447"/>
      <c r="CW6" s="447"/>
      <c r="CX6" s="447"/>
      <c r="CY6" s="447"/>
      <c r="CZ6" s="447"/>
      <c r="DA6" s="447"/>
      <c r="DB6" s="447"/>
      <c r="DC6" s="447"/>
      <c r="DD6" s="447"/>
      <c r="DE6" s="447"/>
      <c r="DF6" s="447"/>
      <c r="DG6" s="447"/>
      <c r="DH6" s="447"/>
      <c r="DI6" s="447"/>
      <c r="DJ6" s="447"/>
      <c r="DK6" s="447"/>
      <c r="DL6" s="447"/>
      <c r="DM6" s="447"/>
      <c r="DN6" s="447"/>
      <c r="DO6" s="447"/>
      <c r="DP6" s="447"/>
      <c r="DQ6" s="447"/>
      <c r="DR6" s="447"/>
      <c r="DS6" s="447"/>
      <c r="DT6" s="447"/>
      <c r="DU6" s="447"/>
      <c r="DV6" s="447"/>
      <c r="DW6" s="447"/>
      <c r="DX6" s="447"/>
      <c r="DY6" s="447"/>
      <c r="DZ6" s="447"/>
      <c r="EA6" s="447"/>
      <c r="EB6" s="447"/>
      <c r="EC6" s="448"/>
      <c r="ED6" s="448"/>
      <c r="EE6" s="448"/>
      <c r="EF6" s="448"/>
      <c r="EG6" s="448"/>
      <c r="EH6" s="448"/>
      <c r="EI6" s="448"/>
      <c r="EJ6" s="448"/>
      <c r="EK6" s="448"/>
      <c r="EL6" s="448"/>
      <c r="EM6" s="448"/>
      <c r="EN6" s="448"/>
      <c r="EO6" s="448"/>
      <c r="EP6" s="448"/>
      <c r="EQ6" s="448"/>
      <c r="ER6" s="448"/>
      <c r="ES6" s="448"/>
      <c r="ET6" s="448"/>
      <c r="EU6" s="448"/>
      <c r="EV6" s="448"/>
      <c r="EW6" s="448"/>
      <c r="EX6" s="448"/>
      <c r="EY6" s="448"/>
      <c r="EZ6" s="448"/>
      <c r="FA6" s="448"/>
      <c r="FB6" s="448"/>
      <c r="FC6" s="448"/>
      <c r="FD6" s="448"/>
      <c r="FE6" s="448"/>
      <c r="FF6" s="448"/>
      <c r="FG6" s="448"/>
      <c r="FH6" s="448"/>
      <c r="FI6" s="448"/>
      <c r="FJ6" s="448"/>
      <c r="FK6" s="448"/>
      <c r="FL6" s="448"/>
      <c r="FM6" s="449"/>
      <c r="FN6" s="449"/>
      <c r="FO6" s="449"/>
      <c r="FP6" s="449"/>
      <c r="FQ6" s="449"/>
      <c r="FR6" s="449"/>
      <c r="FS6" s="449"/>
      <c r="FT6" s="449"/>
      <c r="FU6" s="449"/>
      <c r="FV6" s="449"/>
      <c r="FW6" s="449"/>
      <c r="FX6" s="450"/>
    </row>
    <row r="7">
      <c r="A7" s="451" t="s">
        <v>655</v>
      </c>
      <c r="B7" s="452" t="s">
        <v>656</v>
      </c>
      <c r="C7" s="453" t="s">
        <v>657</v>
      </c>
      <c r="D7" s="443" t="s">
        <v>658</v>
      </c>
      <c r="E7" s="444" t="s">
        <v>652</v>
      </c>
      <c r="F7" s="445" t="s">
        <v>652</v>
      </c>
      <c r="G7" s="446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8"/>
      <c r="AU7" s="448"/>
      <c r="AV7" s="448"/>
      <c r="AW7" s="448"/>
      <c r="AX7" s="448"/>
      <c r="AY7" s="448"/>
      <c r="AZ7" s="448"/>
      <c r="BA7" s="448"/>
      <c r="BB7" s="448"/>
      <c r="BC7" s="448"/>
      <c r="BD7" s="448"/>
      <c r="BE7" s="448"/>
      <c r="BF7" s="448"/>
      <c r="BG7" s="448"/>
      <c r="BH7" s="448"/>
      <c r="BI7" s="448"/>
      <c r="BJ7" s="448"/>
      <c r="BK7" s="448"/>
      <c r="BL7" s="448"/>
      <c r="BM7" s="448"/>
      <c r="BN7" s="448"/>
      <c r="BO7" s="448"/>
      <c r="BP7" s="448"/>
      <c r="BQ7" s="448"/>
      <c r="BR7" s="448"/>
      <c r="BS7" s="448"/>
      <c r="BT7" s="448"/>
      <c r="BU7" s="448"/>
      <c r="BV7" s="448"/>
      <c r="BW7" s="448"/>
      <c r="BX7" s="448"/>
      <c r="BY7" s="448"/>
      <c r="BZ7" s="448"/>
      <c r="CA7" s="448"/>
      <c r="CB7" s="448"/>
      <c r="CC7" s="448"/>
      <c r="CD7" s="449"/>
      <c r="CE7" s="449"/>
      <c r="CF7" s="449"/>
      <c r="CG7" s="449"/>
      <c r="CH7" s="449"/>
      <c r="CI7" s="449"/>
      <c r="CJ7" s="449"/>
      <c r="CK7" s="449"/>
      <c r="CL7" s="449"/>
      <c r="CM7" s="449"/>
      <c r="CN7" s="449"/>
      <c r="CO7" s="450"/>
      <c r="CP7" s="454"/>
      <c r="CQ7" s="455">
        <v>123191.0</v>
      </c>
      <c r="CR7" s="456"/>
      <c r="CS7" s="456"/>
      <c r="CT7" s="456"/>
      <c r="CU7" s="456"/>
      <c r="CV7" s="456"/>
      <c r="CW7" s="456"/>
      <c r="CX7" s="456"/>
      <c r="CY7" s="456"/>
      <c r="CZ7" s="456"/>
      <c r="DA7" s="456"/>
      <c r="DB7" s="447"/>
      <c r="DC7" s="447"/>
      <c r="DD7" s="447"/>
      <c r="DE7" s="447"/>
      <c r="DF7" s="447"/>
      <c r="DG7" s="447"/>
      <c r="DH7" s="447"/>
      <c r="DI7" s="447"/>
      <c r="DJ7" s="447"/>
      <c r="DK7" s="447"/>
      <c r="DL7" s="447"/>
      <c r="DM7" s="447"/>
      <c r="DN7" s="447"/>
      <c r="DO7" s="447"/>
      <c r="DP7" s="447"/>
      <c r="DQ7" s="447"/>
      <c r="DR7" s="447"/>
      <c r="DS7" s="447"/>
      <c r="DT7" s="447"/>
      <c r="DU7" s="447"/>
      <c r="DV7" s="447"/>
      <c r="DW7" s="447"/>
      <c r="DX7" s="447"/>
      <c r="DY7" s="447"/>
      <c r="DZ7" s="447"/>
      <c r="EA7" s="447"/>
      <c r="EB7" s="447"/>
      <c r="EC7" s="448"/>
      <c r="ED7" s="448"/>
      <c r="EE7" s="448"/>
      <c r="EF7" s="448"/>
      <c r="EG7" s="448"/>
      <c r="EH7" s="448"/>
      <c r="EI7" s="448"/>
      <c r="EJ7" s="448"/>
      <c r="EK7" s="448"/>
      <c r="EL7" s="448"/>
      <c r="EM7" s="448"/>
      <c r="EN7" s="448"/>
      <c r="EO7" s="448"/>
      <c r="EP7" s="448"/>
      <c r="EQ7" s="448"/>
      <c r="ER7" s="448"/>
      <c r="ES7" s="448"/>
      <c r="ET7" s="448"/>
      <c r="EU7" s="448"/>
      <c r="EV7" s="448"/>
      <c r="EW7" s="448"/>
      <c r="EX7" s="448"/>
      <c r="EY7" s="448"/>
      <c r="EZ7" s="448"/>
      <c r="FA7" s="448"/>
      <c r="FB7" s="448"/>
      <c r="FC7" s="448"/>
      <c r="FD7" s="448"/>
      <c r="FE7" s="448"/>
      <c r="FF7" s="448"/>
      <c r="FG7" s="448"/>
      <c r="FH7" s="448"/>
      <c r="FI7" s="448"/>
      <c r="FJ7" s="448"/>
      <c r="FK7" s="448"/>
      <c r="FL7" s="448"/>
      <c r="FM7" s="449"/>
      <c r="FN7" s="449"/>
      <c r="FO7" s="449"/>
      <c r="FP7" s="449"/>
      <c r="FQ7" s="449"/>
      <c r="FR7" s="449"/>
      <c r="FS7" s="449"/>
      <c r="FT7" s="449"/>
      <c r="FU7" s="449"/>
      <c r="FV7" s="449"/>
      <c r="FW7" s="449"/>
      <c r="FX7" s="450"/>
    </row>
    <row r="8">
      <c r="A8" s="457"/>
      <c r="B8" s="146"/>
      <c r="C8" s="453" t="s">
        <v>659</v>
      </c>
      <c r="D8" s="443" t="s">
        <v>658</v>
      </c>
      <c r="E8" s="444" t="s">
        <v>652</v>
      </c>
      <c r="F8" s="445" t="s">
        <v>652</v>
      </c>
      <c r="G8" s="446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8"/>
      <c r="AU8" s="448"/>
      <c r="AV8" s="448"/>
      <c r="AW8" s="448"/>
      <c r="AX8" s="448"/>
      <c r="AY8" s="448"/>
      <c r="AZ8" s="448"/>
      <c r="BA8" s="448"/>
      <c r="BB8" s="448"/>
      <c r="BC8" s="448"/>
      <c r="BD8" s="448"/>
      <c r="BE8" s="448"/>
      <c r="BF8" s="448"/>
      <c r="BG8" s="448"/>
      <c r="BH8" s="448"/>
      <c r="BI8" s="448"/>
      <c r="BJ8" s="448"/>
      <c r="BK8" s="448"/>
      <c r="BL8" s="448"/>
      <c r="BM8" s="448"/>
      <c r="BN8" s="448"/>
      <c r="BO8" s="448"/>
      <c r="BP8" s="448"/>
      <c r="BQ8" s="448"/>
      <c r="BR8" s="448"/>
      <c r="BS8" s="448"/>
      <c r="BT8" s="448"/>
      <c r="BU8" s="448"/>
      <c r="BV8" s="448"/>
      <c r="BW8" s="448"/>
      <c r="BX8" s="448"/>
      <c r="BY8" s="448"/>
      <c r="BZ8" s="448"/>
      <c r="CA8" s="448"/>
      <c r="CB8" s="448"/>
      <c r="CC8" s="448"/>
      <c r="CD8" s="449"/>
      <c r="CE8" s="449"/>
      <c r="CF8" s="449"/>
      <c r="CG8" s="449"/>
      <c r="CH8" s="449"/>
      <c r="CI8" s="449"/>
      <c r="CJ8" s="449"/>
      <c r="CK8" s="449"/>
      <c r="CL8" s="449"/>
      <c r="CM8" s="449"/>
      <c r="CN8" s="449"/>
      <c r="CO8" s="450"/>
      <c r="CP8" s="454"/>
      <c r="CQ8" s="455">
        <v>246899.0</v>
      </c>
      <c r="CR8" s="456"/>
      <c r="CS8" s="456"/>
      <c r="CT8" s="456"/>
      <c r="CU8" s="456"/>
      <c r="CV8" s="456"/>
      <c r="CW8" s="456"/>
      <c r="CX8" s="456"/>
      <c r="CY8" s="456"/>
      <c r="CZ8" s="456"/>
      <c r="DA8" s="456"/>
      <c r="DB8" s="447"/>
      <c r="DC8" s="447"/>
      <c r="DD8" s="447"/>
      <c r="DE8" s="447"/>
      <c r="DF8" s="447"/>
      <c r="DG8" s="447"/>
      <c r="DH8" s="447"/>
      <c r="DI8" s="447"/>
      <c r="DJ8" s="447"/>
      <c r="DK8" s="447"/>
      <c r="DL8" s="447"/>
      <c r="DM8" s="447"/>
      <c r="DN8" s="447"/>
      <c r="DO8" s="447"/>
      <c r="DP8" s="447"/>
      <c r="DQ8" s="447"/>
      <c r="DR8" s="447"/>
      <c r="DS8" s="447"/>
      <c r="DT8" s="447"/>
      <c r="DU8" s="447"/>
      <c r="DV8" s="447"/>
      <c r="DW8" s="447"/>
      <c r="DX8" s="447"/>
      <c r="DY8" s="447"/>
      <c r="DZ8" s="447"/>
      <c r="EA8" s="447"/>
      <c r="EB8" s="447"/>
      <c r="EC8" s="448"/>
      <c r="ED8" s="448"/>
      <c r="EE8" s="448"/>
      <c r="EF8" s="448"/>
      <c r="EG8" s="448"/>
      <c r="EH8" s="448"/>
      <c r="EI8" s="448"/>
      <c r="EJ8" s="448"/>
      <c r="EK8" s="448"/>
      <c r="EL8" s="448"/>
      <c r="EM8" s="448"/>
      <c r="EN8" s="448"/>
      <c r="EO8" s="448"/>
      <c r="EP8" s="448"/>
      <c r="EQ8" s="448"/>
      <c r="ER8" s="448"/>
      <c r="ES8" s="448"/>
      <c r="ET8" s="448"/>
      <c r="EU8" s="448"/>
      <c r="EV8" s="448"/>
      <c r="EW8" s="448"/>
      <c r="EX8" s="448"/>
      <c r="EY8" s="448"/>
      <c r="EZ8" s="448"/>
      <c r="FA8" s="448"/>
      <c r="FB8" s="448"/>
      <c r="FC8" s="448"/>
      <c r="FD8" s="448"/>
      <c r="FE8" s="448"/>
      <c r="FF8" s="448"/>
      <c r="FG8" s="448"/>
      <c r="FH8" s="448"/>
      <c r="FI8" s="448"/>
      <c r="FJ8" s="448"/>
      <c r="FK8" s="448"/>
      <c r="FL8" s="448"/>
      <c r="FM8" s="449"/>
      <c r="FN8" s="449"/>
      <c r="FO8" s="449"/>
      <c r="FP8" s="449"/>
      <c r="FQ8" s="449"/>
      <c r="FR8" s="449"/>
      <c r="FS8" s="449"/>
      <c r="FT8" s="449"/>
      <c r="FU8" s="449"/>
      <c r="FV8" s="449"/>
      <c r="FW8" s="449"/>
      <c r="FX8" s="450"/>
    </row>
    <row r="9">
      <c r="A9" s="457"/>
      <c r="B9" s="146"/>
      <c r="C9" s="453" t="s">
        <v>660</v>
      </c>
      <c r="D9" s="443" t="s">
        <v>658</v>
      </c>
      <c r="E9" s="444" t="s">
        <v>652</v>
      </c>
      <c r="F9" s="445" t="s">
        <v>652</v>
      </c>
      <c r="G9" s="446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8"/>
      <c r="AU9" s="448"/>
      <c r="AV9" s="448"/>
      <c r="AW9" s="448"/>
      <c r="AX9" s="448"/>
      <c r="AY9" s="448"/>
      <c r="AZ9" s="448"/>
      <c r="BA9" s="448"/>
      <c r="BB9" s="448"/>
      <c r="BC9" s="448"/>
      <c r="BD9" s="448"/>
      <c r="BE9" s="448"/>
      <c r="BF9" s="448"/>
      <c r="BG9" s="448"/>
      <c r="BH9" s="448"/>
      <c r="BI9" s="448"/>
      <c r="BJ9" s="448"/>
      <c r="BK9" s="448"/>
      <c r="BL9" s="448"/>
      <c r="BM9" s="448"/>
      <c r="BN9" s="448"/>
      <c r="BO9" s="448"/>
      <c r="BP9" s="448"/>
      <c r="BQ9" s="448"/>
      <c r="BR9" s="448"/>
      <c r="BS9" s="448"/>
      <c r="BT9" s="448"/>
      <c r="BU9" s="448"/>
      <c r="BV9" s="448"/>
      <c r="BW9" s="448"/>
      <c r="BX9" s="448"/>
      <c r="BY9" s="448"/>
      <c r="BZ9" s="448"/>
      <c r="CA9" s="448"/>
      <c r="CB9" s="448"/>
      <c r="CC9" s="448"/>
      <c r="CD9" s="449"/>
      <c r="CE9" s="449"/>
      <c r="CF9" s="449"/>
      <c r="CG9" s="449"/>
      <c r="CH9" s="449"/>
      <c r="CI9" s="449"/>
      <c r="CJ9" s="449"/>
      <c r="CK9" s="449"/>
      <c r="CL9" s="449"/>
      <c r="CM9" s="449"/>
      <c r="CN9" s="449"/>
      <c r="CO9" s="450"/>
      <c r="CP9" s="454"/>
      <c r="CQ9" s="455">
        <v>418614.0</v>
      </c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47"/>
      <c r="DC9" s="447"/>
      <c r="DD9" s="447"/>
      <c r="DE9" s="447"/>
      <c r="DF9" s="447"/>
      <c r="DG9" s="447"/>
      <c r="DH9" s="447"/>
      <c r="DI9" s="447"/>
      <c r="DJ9" s="447"/>
      <c r="DK9" s="447"/>
      <c r="DL9" s="447"/>
      <c r="DM9" s="447"/>
      <c r="DN9" s="447"/>
      <c r="DO9" s="447"/>
      <c r="DP9" s="447"/>
      <c r="DQ9" s="447"/>
      <c r="DR9" s="447"/>
      <c r="DS9" s="447"/>
      <c r="DT9" s="447"/>
      <c r="DU9" s="447"/>
      <c r="DV9" s="447"/>
      <c r="DW9" s="447"/>
      <c r="DX9" s="447"/>
      <c r="DY9" s="447"/>
      <c r="DZ9" s="447"/>
      <c r="EA9" s="447"/>
      <c r="EB9" s="447"/>
      <c r="EC9" s="448"/>
      <c r="ED9" s="448"/>
      <c r="EE9" s="448"/>
      <c r="EF9" s="448"/>
      <c r="EG9" s="448"/>
      <c r="EH9" s="448"/>
      <c r="EI9" s="448"/>
      <c r="EJ9" s="448"/>
      <c r="EK9" s="448"/>
      <c r="EL9" s="448"/>
      <c r="EM9" s="448"/>
      <c r="EN9" s="448"/>
      <c r="EO9" s="448"/>
      <c r="EP9" s="448"/>
      <c r="EQ9" s="448"/>
      <c r="ER9" s="448"/>
      <c r="ES9" s="448"/>
      <c r="ET9" s="448"/>
      <c r="EU9" s="448"/>
      <c r="EV9" s="448"/>
      <c r="EW9" s="448"/>
      <c r="EX9" s="448"/>
      <c r="EY9" s="448"/>
      <c r="EZ9" s="448"/>
      <c r="FA9" s="448"/>
      <c r="FB9" s="448"/>
      <c r="FC9" s="448"/>
      <c r="FD9" s="448"/>
      <c r="FE9" s="448"/>
      <c r="FF9" s="448"/>
      <c r="FG9" s="448"/>
      <c r="FH9" s="448"/>
      <c r="FI9" s="448"/>
      <c r="FJ9" s="448"/>
      <c r="FK9" s="448"/>
      <c r="FL9" s="448"/>
      <c r="FM9" s="449"/>
      <c r="FN9" s="449"/>
      <c r="FO9" s="449"/>
      <c r="FP9" s="449"/>
      <c r="FQ9" s="449"/>
      <c r="FR9" s="449"/>
      <c r="FS9" s="449"/>
      <c r="FT9" s="449"/>
      <c r="FU9" s="449"/>
      <c r="FV9" s="449"/>
      <c r="FW9" s="449"/>
      <c r="FX9" s="450"/>
    </row>
    <row r="10">
      <c r="A10" s="457"/>
      <c r="B10" s="146"/>
      <c r="C10" s="453" t="s">
        <v>661</v>
      </c>
      <c r="D10" s="443" t="s">
        <v>658</v>
      </c>
      <c r="E10" s="444" t="s">
        <v>652</v>
      </c>
      <c r="F10" s="445" t="s">
        <v>652</v>
      </c>
      <c r="G10" s="446"/>
      <c r="H10" s="447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8"/>
      <c r="AU10" s="448"/>
      <c r="AV10" s="448"/>
      <c r="AW10" s="448"/>
      <c r="AX10" s="448"/>
      <c r="AY10" s="448"/>
      <c r="AZ10" s="448"/>
      <c r="BA10" s="448"/>
      <c r="BB10" s="448"/>
      <c r="BC10" s="448"/>
      <c r="BD10" s="448"/>
      <c r="BE10" s="448"/>
      <c r="BF10" s="448"/>
      <c r="BG10" s="448"/>
      <c r="BH10" s="448"/>
      <c r="BI10" s="448"/>
      <c r="BJ10" s="448"/>
      <c r="BK10" s="448"/>
      <c r="BL10" s="448"/>
      <c r="BM10" s="448"/>
      <c r="BN10" s="448"/>
      <c r="BO10" s="448"/>
      <c r="BP10" s="448"/>
      <c r="BQ10" s="448"/>
      <c r="BR10" s="448"/>
      <c r="BS10" s="448"/>
      <c r="BT10" s="448"/>
      <c r="BU10" s="448"/>
      <c r="BV10" s="448"/>
      <c r="BW10" s="448"/>
      <c r="BX10" s="448"/>
      <c r="BY10" s="448"/>
      <c r="BZ10" s="448"/>
      <c r="CA10" s="448"/>
      <c r="CB10" s="448"/>
      <c r="CC10" s="448"/>
      <c r="CD10" s="449"/>
      <c r="CE10" s="449"/>
      <c r="CF10" s="449"/>
      <c r="CG10" s="449"/>
      <c r="CH10" s="449"/>
      <c r="CI10" s="449"/>
      <c r="CJ10" s="449"/>
      <c r="CK10" s="449"/>
      <c r="CL10" s="449"/>
      <c r="CM10" s="449"/>
      <c r="CN10" s="449"/>
      <c r="CO10" s="450"/>
      <c r="CP10" s="454"/>
      <c r="CQ10" s="455">
        <v>20765.0</v>
      </c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47"/>
      <c r="DC10" s="447"/>
      <c r="DD10" s="447"/>
      <c r="DE10" s="447"/>
      <c r="DF10" s="447"/>
      <c r="DG10" s="447"/>
      <c r="DH10" s="447"/>
      <c r="DI10" s="447"/>
      <c r="DJ10" s="447"/>
      <c r="DK10" s="447"/>
      <c r="DL10" s="447"/>
      <c r="DM10" s="447"/>
      <c r="DN10" s="447"/>
      <c r="DO10" s="447"/>
      <c r="DP10" s="447"/>
      <c r="DQ10" s="447"/>
      <c r="DR10" s="447"/>
      <c r="DS10" s="447"/>
      <c r="DT10" s="447"/>
      <c r="DU10" s="447"/>
      <c r="DV10" s="447"/>
      <c r="DW10" s="447"/>
      <c r="DX10" s="447"/>
      <c r="DY10" s="447"/>
      <c r="DZ10" s="447"/>
      <c r="EA10" s="447"/>
      <c r="EB10" s="447"/>
      <c r="EC10" s="448"/>
      <c r="ED10" s="448"/>
      <c r="EE10" s="448"/>
      <c r="EF10" s="448"/>
      <c r="EG10" s="448"/>
      <c r="EH10" s="448"/>
      <c r="EI10" s="448"/>
      <c r="EJ10" s="448"/>
      <c r="EK10" s="448"/>
      <c r="EL10" s="448"/>
      <c r="EM10" s="448"/>
      <c r="EN10" s="448"/>
      <c r="EO10" s="448"/>
      <c r="EP10" s="448"/>
      <c r="EQ10" s="448"/>
      <c r="ER10" s="448"/>
      <c r="ES10" s="448"/>
      <c r="ET10" s="448"/>
      <c r="EU10" s="448"/>
      <c r="EV10" s="448"/>
      <c r="EW10" s="448"/>
      <c r="EX10" s="448"/>
      <c r="EY10" s="448"/>
      <c r="EZ10" s="448"/>
      <c r="FA10" s="448"/>
      <c r="FB10" s="448"/>
      <c r="FC10" s="448"/>
      <c r="FD10" s="448"/>
      <c r="FE10" s="448"/>
      <c r="FF10" s="448"/>
      <c r="FG10" s="448"/>
      <c r="FH10" s="448"/>
      <c r="FI10" s="448"/>
      <c r="FJ10" s="448"/>
      <c r="FK10" s="448"/>
      <c r="FL10" s="448"/>
      <c r="FM10" s="449"/>
      <c r="FN10" s="449"/>
      <c r="FO10" s="449"/>
      <c r="FP10" s="449"/>
      <c r="FQ10" s="449"/>
      <c r="FR10" s="449"/>
      <c r="FS10" s="449"/>
      <c r="FT10" s="449"/>
      <c r="FU10" s="449"/>
      <c r="FV10" s="449"/>
      <c r="FW10" s="449"/>
      <c r="FX10" s="450"/>
    </row>
    <row r="11">
      <c r="A11" s="457"/>
      <c r="B11" s="146"/>
      <c r="C11" s="453" t="s">
        <v>662</v>
      </c>
      <c r="D11" s="443" t="s">
        <v>658</v>
      </c>
      <c r="E11" s="444" t="s">
        <v>652</v>
      </c>
      <c r="F11" s="445" t="s">
        <v>652</v>
      </c>
      <c r="G11" s="446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8"/>
      <c r="AU11" s="448"/>
      <c r="AV11" s="448"/>
      <c r="AW11" s="448"/>
      <c r="AX11" s="448"/>
      <c r="AY11" s="448"/>
      <c r="AZ11" s="448"/>
      <c r="BA11" s="448"/>
      <c r="BB11" s="448"/>
      <c r="BC11" s="448"/>
      <c r="BD11" s="448"/>
      <c r="BE11" s="448"/>
      <c r="BF11" s="448"/>
      <c r="BG11" s="448"/>
      <c r="BH11" s="448"/>
      <c r="BI11" s="448"/>
      <c r="BJ11" s="448"/>
      <c r="BK11" s="448"/>
      <c r="BL11" s="448"/>
      <c r="BM11" s="448"/>
      <c r="BN11" s="448"/>
      <c r="BO11" s="448"/>
      <c r="BP11" s="448"/>
      <c r="BQ11" s="448"/>
      <c r="BR11" s="448"/>
      <c r="BS11" s="448"/>
      <c r="BT11" s="448"/>
      <c r="BU11" s="448"/>
      <c r="BV11" s="448"/>
      <c r="BW11" s="448"/>
      <c r="BX11" s="448"/>
      <c r="BY11" s="448"/>
      <c r="BZ11" s="448"/>
      <c r="CA11" s="448"/>
      <c r="CB11" s="448"/>
      <c r="CC11" s="448"/>
      <c r="CD11" s="449"/>
      <c r="CE11" s="449"/>
      <c r="CF11" s="449"/>
      <c r="CG11" s="449"/>
      <c r="CH11" s="449"/>
      <c r="CI11" s="449"/>
      <c r="CJ11" s="449"/>
      <c r="CK11" s="449"/>
      <c r="CL11" s="449"/>
      <c r="CM11" s="449"/>
      <c r="CN11" s="449"/>
      <c r="CO11" s="450"/>
      <c r="CP11" s="454"/>
      <c r="CQ11" s="455">
        <v>730.0</v>
      </c>
      <c r="CR11" s="456"/>
      <c r="CS11" s="456"/>
      <c r="CT11" s="456"/>
      <c r="CU11" s="456"/>
      <c r="CV11" s="456"/>
      <c r="CW11" s="456"/>
      <c r="CX11" s="456"/>
      <c r="CY11" s="456"/>
      <c r="CZ11" s="456"/>
      <c r="DA11" s="456"/>
      <c r="DB11" s="447"/>
      <c r="DC11" s="447"/>
      <c r="DD11" s="447"/>
      <c r="DE11" s="447"/>
      <c r="DF11" s="447"/>
      <c r="DG11" s="447"/>
      <c r="DH11" s="447"/>
      <c r="DI11" s="447"/>
      <c r="DJ11" s="447"/>
      <c r="DK11" s="447"/>
      <c r="DL11" s="447"/>
      <c r="DM11" s="447"/>
      <c r="DN11" s="447"/>
      <c r="DO11" s="447"/>
      <c r="DP11" s="447"/>
      <c r="DQ11" s="447"/>
      <c r="DR11" s="447"/>
      <c r="DS11" s="447"/>
      <c r="DT11" s="447"/>
      <c r="DU11" s="447"/>
      <c r="DV11" s="447"/>
      <c r="DW11" s="447"/>
      <c r="DX11" s="447"/>
      <c r="DY11" s="447"/>
      <c r="DZ11" s="447"/>
      <c r="EA11" s="447"/>
      <c r="EB11" s="447"/>
      <c r="EC11" s="448"/>
      <c r="ED11" s="448"/>
      <c r="EE11" s="448"/>
      <c r="EF11" s="448"/>
      <c r="EG11" s="448"/>
      <c r="EH11" s="448"/>
      <c r="EI11" s="448"/>
      <c r="EJ11" s="448"/>
      <c r="EK11" s="448"/>
      <c r="EL11" s="448"/>
      <c r="EM11" s="448"/>
      <c r="EN11" s="448"/>
      <c r="EO11" s="448"/>
      <c r="EP11" s="448"/>
      <c r="EQ11" s="448"/>
      <c r="ER11" s="448"/>
      <c r="ES11" s="448"/>
      <c r="ET11" s="448"/>
      <c r="EU11" s="448"/>
      <c r="EV11" s="448"/>
      <c r="EW11" s="448"/>
      <c r="EX11" s="448"/>
      <c r="EY11" s="448"/>
      <c r="EZ11" s="448"/>
      <c r="FA11" s="448"/>
      <c r="FB11" s="448"/>
      <c r="FC11" s="448"/>
      <c r="FD11" s="448"/>
      <c r="FE11" s="448"/>
      <c r="FF11" s="448"/>
      <c r="FG11" s="448"/>
      <c r="FH11" s="448"/>
      <c r="FI11" s="448"/>
      <c r="FJ11" s="448"/>
      <c r="FK11" s="448"/>
      <c r="FL11" s="448"/>
      <c r="FM11" s="449"/>
      <c r="FN11" s="449"/>
      <c r="FO11" s="449"/>
      <c r="FP11" s="449"/>
      <c r="FQ11" s="449"/>
      <c r="FR11" s="449"/>
      <c r="FS11" s="449"/>
      <c r="FT11" s="449"/>
      <c r="FU11" s="449"/>
      <c r="FV11" s="449"/>
      <c r="FW11" s="449"/>
      <c r="FX11" s="450"/>
    </row>
    <row r="12">
      <c r="A12" s="457"/>
      <c r="B12" s="146"/>
      <c r="C12" s="453" t="s">
        <v>663</v>
      </c>
      <c r="D12" s="443" t="s">
        <v>658</v>
      </c>
      <c r="E12" s="444" t="s">
        <v>652</v>
      </c>
      <c r="F12" s="445" t="s">
        <v>652</v>
      </c>
      <c r="G12" s="446"/>
      <c r="H12" s="447"/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8"/>
      <c r="AU12" s="448"/>
      <c r="AV12" s="448"/>
      <c r="AW12" s="448"/>
      <c r="AX12" s="448"/>
      <c r="AY12" s="448"/>
      <c r="AZ12" s="448"/>
      <c r="BA12" s="448"/>
      <c r="BB12" s="448"/>
      <c r="BC12" s="448"/>
      <c r="BD12" s="448"/>
      <c r="BE12" s="448"/>
      <c r="BF12" s="448"/>
      <c r="BG12" s="448"/>
      <c r="BH12" s="448"/>
      <c r="BI12" s="448"/>
      <c r="BJ12" s="448"/>
      <c r="BK12" s="448"/>
      <c r="BL12" s="448"/>
      <c r="BM12" s="448"/>
      <c r="BN12" s="448"/>
      <c r="BO12" s="448"/>
      <c r="BP12" s="448"/>
      <c r="BQ12" s="448"/>
      <c r="BR12" s="448"/>
      <c r="BS12" s="448"/>
      <c r="BT12" s="448"/>
      <c r="BU12" s="448"/>
      <c r="BV12" s="448"/>
      <c r="BW12" s="448"/>
      <c r="BX12" s="448"/>
      <c r="BY12" s="448"/>
      <c r="BZ12" s="448"/>
      <c r="CA12" s="448"/>
      <c r="CB12" s="448"/>
      <c r="CC12" s="448"/>
      <c r="CD12" s="449"/>
      <c r="CE12" s="449"/>
      <c r="CF12" s="449"/>
      <c r="CG12" s="449"/>
      <c r="CH12" s="449"/>
      <c r="CI12" s="449"/>
      <c r="CJ12" s="449"/>
      <c r="CK12" s="449"/>
      <c r="CL12" s="449"/>
      <c r="CM12" s="449"/>
      <c r="CN12" s="449"/>
      <c r="CO12" s="450"/>
      <c r="CP12" s="454"/>
      <c r="CQ12" s="455">
        <v>25131.0</v>
      </c>
      <c r="CR12" s="456"/>
      <c r="CS12" s="456"/>
      <c r="CT12" s="456"/>
      <c r="CU12" s="456"/>
      <c r="CV12" s="456"/>
      <c r="CW12" s="456"/>
      <c r="CX12" s="456"/>
      <c r="CY12" s="456"/>
      <c r="CZ12" s="456"/>
      <c r="DA12" s="456"/>
      <c r="DB12" s="447"/>
      <c r="DC12" s="447"/>
      <c r="DD12" s="447"/>
      <c r="DE12" s="447"/>
      <c r="DF12" s="447"/>
      <c r="DG12" s="447"/>
      <c r="DH12" s="447"/>
      <c r="DI12" s="447"/>
      <c r="DJ12" s="447"/>
      <c r="DK12" s="447"/>
      <c r="DL12" s="447"/>
      <c r="DM12" s="447"/>
      <c r="DN12" s="447"/>
      <c r="DO12" s="447"/>
      <c r="DP12" s="447"/>
      <c r="DQ12" s="447"/>
      <c r="DR12" s="447"/>
      <c r="DS12" s="447"/>
      <c r="DT12" s="447"/>
      <c r="DU12" s="447"/>
      <c r="DV12" s="447"/>
      <c r="DW12" s="447"/>
      <c r="DX12" s="447"/>
      <c r="DY12" s="447"/>
      <c r="DZ12" s="447"/>
      <c r="EA12" s="447"/>
      <c r="EB12" s="447"/>
      <c r="EC12" s="448"/>
      <c r="ED12" s="448"/>
      <c r="EE12" s="448"/>
      <c r="EF12" s="448"/>
      <c r="EG12" s="448"/>
      <c r="EH12" s="448"/>
      <c r="EI12" s="448"/>
      <c r="EJ12" s="448"/>
      <c r="EK12" s="448"/>
      <c r="EL12" s="448"/>
      <c r="EM12" s="448"/>
      <c r="EN12" s="448"/>
      <c r="EO12" s="448"/>
      <c r="EP12" s="448"/>
      <c r="EQ12" s="448"/>
      <c r="ER12" s="448"/>
      <c r="ES12" s="448"/>
      <c r="ET12" s="448"/>
      <c r="EU12" s="448"/>
      <c r="EV12" s="448"/>
      <c r="EW12" s="448"/>
      <c r="EX12" s="448"/>
      <c r="EY12" s="448"/>
      <c r="EZ12" s="448"/>
      <c r="FA12" s="448"/>
      <c r="FB12" s="448"/>
      <c r="FC12" s="448"/>
      <c r="FD12" s="448"/>
      <c r="FE12" s="448"/>
      <c r="FF12" s="448"/>
      <c r="FG12" s="448"/>
      <c r="FH12" s="448"/>
      <c r="FI12" s="448"/>
      <c r="FJ12" s="448"/>
      <c r="FK12" s="448"/>
      <c r="FL12" s="448"/>
      <c r="FM12" s="449"/>
      <c r="FN12" s="449"/>
      <c r="FO12" s="449"/>
      <c r="FP12" s="449"/>
      <c r="FQ12" s="449"/>
      <c r="FR12" s="449"/>
      <c r="FS12" s="449"/>
      <c r="FT12" s="449"/>
      <c r="FU12" s="449"/>
      <c r="FV12" s="449"/>
      <c r="FW12" s="449"/>
      <c r="FX12" s="450"/>
    </row>
    <row r="13">
      <c r="A13" s="457"/>
      <c r="B13" s="146"/>
      <c r="C13" s="453" t="s">
        <v>664</v>
      </c>
      <c r="D13" s="443" t="s">
        <v>658</v>
      </c>
      <c r="E13" s="444" t="s">
        <v>652</v>
      </c>
      <c r="F13" s="445" t="s">
        <v>652</v>
      </c>
      <c r="G13" s="446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8"/>
      <c r="AU13" s="448"/>
      <c r="AV13" s="448"/>
      <c r="AW13" s="448"/>
      <c r="AX13" s="448"/>
      <c r="AY13" s="448"/>
      <c r="AZ13" s="448"/>
      <c r="BA13" s="448"/>
      <c r="BB13" s="448"/>
      <c r="BC13" s="448"/>
      <c r="BD13" s="448"/>
      <c r="BE13" s="448"/>
      <c r="BF13" s="448"/>
      <c r="BG13" s="448"/>
      <c r="BH13" s="448"/>
      <c r="BI13" s="448"/>
      <c r="BJ13" s="448"/>
      <c r="BK13" s="448"/>
      <c r="BL13" s="448"/>
      <c r="BM13" s="448"/>
      <c r="BN13" s="448"/>
      <c r="BO13" s="448"/>
      <c r="BP13" s="448"/>
      <c r="BQ13" s="448"/>
      <c r="BR13" s="448"/>
      <c r="BS13" s="448"/>
      <c r="BT13" s="448"/>
      <c r="BU13" s="448"/>
      <c r="BV13" s="448"/>
      <c r="BW13" s="448"/>
      <c r="BX13" s="448"/>
      <c r="BY13" s="448"/>
      <c r="BZ13" s="448"/>
      <c r="CA13" s="448"/>
      <c r="CB13" s="448"/>
      <c r="CC13" s="448"/>
      <c r="CD13" s="449"/>
      <c r="CE13" s="449"/>
      <c r="CF13" s="449"/>
      <c r="CG13" s="449"/>
      <c r="CH13" s="449"/>
      <c r="CI13" s="449"/>
      <c r="CJ13" s="449"/>
      <c r="CK13" s="449"/>
      <c r="CL13" s="449"/>
      <c r="CM13" s="449"/>
      <c r="CN13" s="449"/>
      <c r="CO13" s="450"/>
      <c r="CP13" s="454"/>
      <c r="CQ13" s="455">
        <v>11.0</v>
      </c>
      <c r="CR13" s="456"/>
      <c r="CS13" s="456"/>
      <c r="CT13" s="456"/>
      <c r="CU13" s="456"/>
      <c r="CV13" s="456"/>
      <c r="CW13" s="456"/>
      <c r="CX13" s="456"/>
      <c r="CY13" s="456"/>
      <c r="CZ13" s="456"/>
      <c r="DA13" s="456"/>
      <c r="DB13" s="447"/>
      <c r="DC13" s="447"/>
      <c r="DD13" s="447"/>
      <c r="DE13" s="447"/>
      <c r="DF13" s="447"/>
      <c r="DG13" s="447"/>
      <c r="DH13" s="447"/>
      <c r="DI13" s="447"/>
      <c r="DJ13" s="447"/>
      <c r="DK13" s="447"/>
      <c r="DL13" s="447"/>
      <c r="DM13" s="447"/>
      <c r="DN13" s="447"/>
      <c r="DO13" s="447"/>
      <c r="DP13" s="447"/>
      <c r="DQ13" s="447"/>
      <c r="DR13" s="447"/>
      <c r="DS13" s="447"/>
      <c r="DT13" s="447"/>
      <c r="DU13" s="447"/>
      <c r="DV13" s="447"/>
      <c r="DW13" s="447"/>
      <c r="DX13" s="447"/>
      <c r="DY13" s="447"/>
      <c r="DZ13" s="447"/>
      <c r="EA13" s="447"/>
      <c r="EB13" s="447"/>
      <c r="EC13" s="448"/>
      <c r="ED13" s="448"/>
      <c r="EE13" s="448"/>
      <c r="EF13" s="448"/>
      <c r="EG13" s="448"/>
      <c r="EH13" s="448"/>
      <c r="EI13" s="448"/>
      <c r="EJ13" s="448"/>
      <c r="EK13" s="448"/>
      <c r="EL13" s="448"/>
      <c r="EM13" s="448"/>
      <c r="EN13" s="448"/>
      <c r="EO13" s="448"/>
      <c r="EP13" s="448"/>
      <c r="EQ13" s="448"/>
      <c r="ER13" s="448"/>
      <c r="ES13" s="448"/>
      <c r="ET13" s="448"/>
      <c r="EU13" s="448"/>
      <c r="EV13" s="448"/>
      <c r="EW13" s="448"/>
      <c r="EX13" s="448"/>
      <c r="EY13" s="448"/>
      <c r="EZ13" s="448"/>
      <c r="FA13" s="448"/>
      <c r="FB13" s="448"/>
      <c r="FC13" s="448"/>
      <c r="FD13" s="448"/>
      <c r="FE13" s="448"/>
      <c r="FF13" s="448"/>
      <c r="FG13" s="448"/>
      <c r="FH13" s="448"/>
      <c r="FI13" s="448"/>
      <c r="FJ13" s="448"/>
      <c r="FK13" s="448"/>
      <c r="FL13" s="448"/>
      <c r="FM13" s="449"/>
      <c r="FN13" s="449"/>
      <c r="FO13" s="449"/>
      <c r="FP13" s="449"/>
      <c r="FQ13" s="449"/>
      <c r="FR13" s="449"/>
      <c r="FS13" s="449"/>
      <c r="FT13" s="449"/>
      <c r="FU13" s="449"/>
      <c r="FV13" s="449"/>
      <c r="FW13" s="449"/>
      <c r="FX13" s="450"/>
    </row>
    <row r="14">
      <c r="A14" s="457"/>
      <c r="B14" s="146"/>
      <c r="C14" s="453" t="s">
        <v>665</v>
      </c>
      <c r="D14" s="443" t="s">
        <v>658</v>
      </c>
      <c r="E14" s="444" t="s">
        <v>652</v>
      </c>
      <c r="F14" s="445" t="s">
        <v>652</v>
      </c>
      <c r="G14" s="446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8"/>
      <c r="AU14" s="448"/>
      <c r="AV14" s="448"/>
      <c r="AW14" s="448"/>
      <c r="AX14" s="448"/>
      <c r="AY14" s="448"/>
      <c r="AZ14" s="448"/>
      <c r="BA14" s="448"/>
      <c r="BB14" s="448"/>
      <c r="BC14" s="448"/>
      <c r="BD14" s="448"/>
      <c r="BE14" s="448"/>
      <c r="BF14" s="448"/>
      <c r="BG14" s="448"/>
      <c r="BH14" s="448"/>
      <c r="BI14" s="448"/>
      <c r="BJ14" s="448"/>
      <c r="BK14" s="448"/>
      <c r="BL14" s="448"/>
      <c r="BM14" s="448"/>
      <c r="BN14" s="448"/>
      <c r="BO14" s="448"/>
      <c r="BP14" s="448"/>
      <c r="BQ14" s="448"/>
      <c r="BR14" s="448"/>
      <c r="BS14" s="448"/>
      <c r="BT14" s="448"/>
      <c r="BU14" s="448"/>
      <c r="BV14" s="448"/>
      <c r="BW14" s="448"/>
      <c r="BX14" s="448"/>
      <c r="BY14" s="448"/>
      <c r="BZ14" s="448"/>
      <c r="CA14" s="448"/>
      <c r="CB14" s="448"/>
      <c r="CC14" s="448"/>
      <c r="CD14" s="449"/>
      <c r="CE14" s="449"/>
      <c r="CF14" s="449"/>
      <c r="CG14" s="449"/>
      <c r="CH14" s="449"/>
      <c r="CI14" s="449"/>
      <c r="CJ14" s="449"/>
      <c r="CK14" s="449"/>
      <c r="CL14" s="449"/>
      <c r="CM14" s="449"/>
      <c r="CN14" s="449"/>
      <c r="CO14" s="450"/>
      <c r="CP14" s="454"/>
      <c r="CQ14" s="455">
        <v>159820.0</v>
      </c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47"/>
      <c r="DC14" s="447"/>
      <c r="DD14" s="447"/>
      <c r="DE14" s="447"/>
      <c r="DF14" s="447"/>
      <c r="DG14" s="447"/>
      <c r="DH14" s="447"/>
      <c r="DI14" s="447"/>
      <c r="DJ14" s="447"/>
      <c r="DK14" s="447"/>
      <c r="DL14" s="447"/>
      <c r="DM14" s="447"/>
      <c r="DN14" s="447"/>
      <c r="DO14" s="447"/>
      <c r="DP14" s="447"/>
      <c r="DQ14" s="447"/>
      <c r="DR14" s="447"/>
      <c r="DS14" s="447"/>
      <c r="DT14" s="447"/>
      <c r="DU14" s="447"/>
      <c r="DV14" s="447"/>
      <c r="DW14" s="447"/>
      <c r="DX14" s="447"/>
      <c r="DY14" s="447"/>
      <c r="DZ14" s="447"/>
      <c r="EA14" s="447"/>
      <c r="EB14" s="447"/>
      <c r="EC14" s="448"/>
      <c r="ED14" s="448"/>
      <c r="EE14" s="448"/>
      <c r="EF14" s="448"/>
      <c r="EG14" s="448"/>
      <c r="EH14" s="448"/>
      <c r="EI14" s="448"/>
      <c r="EJ14" s="448"/>
      <c r="EK14" s="448"/>
      <c r="EL14" s="448"/>
      <c r="EM14" s="448"/>
      <c r="EN14" s="448"/>
      <c r="EO14" s="448"/>
      <c r="EP14" s="448"/>
      <c r="EQ14" s="448"/>
      <c r="ER14" s="448"/>
      <c r="ES14" s="448"/>
      <c r="ET14" s="448"/>
      <c r="EU14" s="448"/>
      <c r="EV14" s="448"/>
      <c r="EW14" s="448"/>
      <c r="EX14" s="448"/>
      <c r="EY14" s="448"/>
      <c r="EZ14" s="448"/>
      <c r="FA14" s="448"/>
      <c r="FB14" s="448"/>
      <c r="FC14" s="448"/>
      <c r="FD14" s="448"/>
      <c r="FE14" s="448"/>
      <c r="FF14" s="448"/>
      <c r="FG14" s="448"/>
      <c r="FH14" s="448"/>
      <c r="FI14" s="448"/>
      <c r="FJ14" s="448"/>
      <c r="FK14" s="448"/>
      <c r="FL14" s="448"/>
      <c r="FM14" s="449"/>
      <c r="FN14" s="449"/>
      <c r="FO14" s="449"/>
      <c r="FP14" s="449"/>
      <c r="FQ14" s="449"/>
      <c r="FR14" s="449"/>
      <c r="FS14" s="449"/>
      <c r="FT14" s="449"/>
      <c r="FU14" s="449"/>
      <c r="FV14" s="449"/>
      <c r="FW14" s="449"/>
      <c r="FX14" s="450"/>
    </row>
    <row r="15">
      <c r="A15" s="457"/>
      <c r="B15" s="146"/>
      <c r="C15" s="453" t="s">
        <v>666</v>
      </c>
      <c r="D15" s="443" t="s">
        <v>658</v>
      </c>
      <c r="E15" s="444" t="s">
        <v>652</v>
      </c>
      <c r="F15" s="445" t="s">
        <v>652</v>
      </c>
      <c r="G15" s="446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8"/>
      <c r="AU15" s="448"/>
      <c r="AV15" s="448"/>
      <c r="AW15" s="448"/>
      <c r="AX15" s="448"/>
      <c r="AY15" s="448"/>
      <c r="AZ15" s="448"/>
      <c r="BA15" s="448"/>
      <c r="BB15" s="448"/>
      <c r="BC15" s="448"/>
      <c r="BD15" s="448"/>
      <c r="BE15" s="448"/>
      <c r="BF15" s="448"/>
      <c r="BG15" s="448"/>
      <c r="BH15" s="448"/>
      <c r="BI15" s="448"/>
      <c r="BJ15" s="448"/>
      <c r="BK15" s="448"/>
      <c r="BL15" s="448"/>
      <c r="BM15" s="448"/>
      <c r="BN15" s="448"/>
      <c r="BO15" s="448"/>
      <c r="BP15" s="448"/>
      <c r="BQ15" s="448"/>
      <c r="BR15" s="448"/>
      <c r="BS15" s="448"/>
      <c r="BT15" s="448"/>
      <c r="BU15" s="448"/>
      <c r="BV15" s="448"/>
      <c r="BW15" s="448"/>
      <c r="BX15" s="448"/>
      <c r="BY15" s="448"/>
      <c r="BZ15" s="448"/>
      <c r="CA15" s="448"/>
      <c r="CB15" s="448"/>
      <c r="CC15" s="448"/>
      <c r="CD15" s="449"/>
      <c r="CE15" s="449"/>
      <c r="CF15" s="449"/>
      <c r="CG15" s="449"/>
      <c r="CH15" s="449"/>
      <c r="CI15" s="449"/>
      <c r="CJ15" s="449"/>
      <c r="CK15" s="449"/>
      <c r="CL15" s="449"/>
      <c r="CM15" s="449"/>
      <c r="CN15" s="449"/>
      <c r="CO15" s="450"/>
      <c r="CP15" s="454"/>
      <c r="CQ15" s="455">
        <v>287753.0</v>
      </c>
      <c r="CR15" s="456"/>
      <c r="CS15" s="456"/>
      <c r="CT15" s="456"/>
      <c r="CU15" s="456"/>
      <c r="CV15" s="456"/>
      <c r="CW15" s="456"/>
      <c r="CX15" s="456"/>
      <c r="CY15" s="456"/>
      <c r="CZ15" s="456"/>
      <c r="DA15" s="456"/>
      <c r="DB15" s="447"/>
      <c r="DC15" s="447"/>
      <c r="DD15" s="447"/>
      <c r="DE15" s="447"/>
      <c r="DF15" s="447"/>
      <c r="DG15" s="447"/>
      <c r="DH15" s="447"/>
      <c r="DI15" s="447"/>
      <c r="DJ15" s="447"/>
      <c r="DK15" s="447"/>
      <c r="DL15" s="447"/>
      <c r="DM15" s="447"/>
      <c r="DN15" s="447"/>
      <c r="DO15" s="447"/>
      <c r="DP15" s="447"/>
      <c r="DQ15" s="447"/>
      <c r="DR15" s="447"/>
      <c r="DS15" s="447"/>
      <c r="DT15" s="447"/>
      <c r="DU15" s="447"/>
      <c r="DV15" s="447"/>
      <c r="DW15" s="447"/>
      <c r="DX15" s="447"/>
      <c r="DY15" s="447"/>
      <c r="DZ15" s="447"/>
      <c r="EA15" s="447"/>
      <c r="EB15" s="447"/>
      <c r="EC15" s="448"/>
      <c r="ED15" s="448"/>
      <c r="EE15" s="448"/>
      <c r="EF15" s="448"/>
      <c r="EG15" s="448"/>
      <c r="EH15" s="448"/>
      <c r="EI15" s="448"/>
      <c r="EJ15" s="448"/>
      <c r="EK15" s="448"/>
      <c r="EL15" s="448"/>
      <c r="EM15" s="448"/>
      <c r="EN15" s="448"/>
      <c r="EO15" s="448"/>
      <c r="EP15" s="448"/>
      <c r="EQ15" s="448"/>
      <c r="ER15" s="448"/>
      <c r="ES15" s="448"/>
      <c r="ET15" s="448"/>
      <c r="EU15" s="448"/>
      <c r="EV15" s="448"/>
      <c r="EW15" s="448"/>
      <c r="EX15" s="448"/>
      <c r="EY15" s="448"/>
      <c r="EZ15" s="448"/>
      <c r="FA15" s="448"/>
      <c r="FB15" s="448"/>
      <c r="FC15" s="448"/>
      <c r="FD15" s="448"/>
      <c r="FE15" s="448"/>
      <c r="FF15" s="448"/>
      <c r="FG15" s="448"/>
      <c r="FH15" s="448"/>
      <c r="FI15" s="448"/>
      <c r="FJ15" s="448"/>
      <c r="FK15" s="448"/>
      <c r="FL15" s="448"/>
      <c r="FM15" s="449"/>
      <c r="FN15" s="449"/>
      <c r="FO15" s="449"/>
      <c r="FP15" s="449"/>
      <c r="FQ15" s="449"/>
      <c r="FR15" s="449"/>
      <c r="FS15" s="449"/>
      <c r="FT15" s="449"/>
      <c r="FU15" s="449"/>
      <c r="FV15" s="449"/>
      <c r="FW15" s="449"/>
      <c r="FX15" s="450"/>
    </row>
    <row r="16">
      <c r="A16" s="457"/>
      <c r="B16" s="147"/>
      <c r="C16" s="458" t="s">
        <v>667</v>
      </c>
      <c r="D16" s="443"/>
      <c r="E16" s="444"/>
      <c r="F16" s="445"/>
      <c r="G16" s="446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8"/>
      <c r="AU16" s="448"/>
      <c r="AV16" s="448"/>
      <c r="AW16" s="448"/>
      <c r="AX16" s="448"/>
      <c r="AY16" s="448"/>
      <c r="AZ16" s="448"/>
      <c r="BA16" s="448"/>
      <c r="BB16" s="448"/>
      <c r="BC16" s="448"/>
      <c r="BD16" s="448"/>
      <c r="BE16" s="448"/>
      <c r="BF16" s="448"/>
      <c r="BG16" s="448"/>
      <c r="BH16" s="448"/>
      <c r="BI16" s="448"/>
      <c r="BJ16" s="448"/>
      <c r="BK16" s="448"/>
      <c r="BL16" s="448"/>
      <c r="BM16" s="448"/>
      <c r="BN16" s="448"/>
      <c r="BO16" s="448"/>
      <c r="BP16" s="448"/>
      <c r="BQ16" s="448"/>
      <c r="BR16" s="448"/>
      <c r="BS16" s="448"/>
      <c r="BT16" s="448"/>
      <c r="BU16" s="448"/>
      <c r="BV16" s="448"/>
      <c r="BW16" s="448"/>
      <c r="BX16" s="448"/>
      <c r="BY16" s="448"/>
      <c r="BZ16" s="448"/>
      <c r="CA16" s="448"/>
      <c r="CB16" s="448"/>
      <c r="CC16" s="448"/>
      <c r="CD16" s="449"/>
      <c r="CE16" s="449"/>
      <c r="CF16" s="449"/>
      <c r="CG16" s="449"/>
      <c r="CH16" s="449"/>
      <c r="CI16" s="449"/>
      <c r="CJ16" s="449"/>
      <c r="CK16" s="449"/>
      <c r="CL16" s="449"/>
      <c r="CM16" s="449"/>
      <c r="CN16" s="449"/>
      <c r="CO16" s="450"/>
      <c r="CP16" s="454"/>
      <c r="CQ16" s="455"/>
      <c r="CR16" s="456"/>
      <c r="CS16" s="456"/>
      <c r="CT16" s="456"/>
      <c r="CU16" s="456"/>
      <c r="CV16" s="456"/>
      <c r="CW16" s="456"/>
      <c r="CX16" s="456"/>
      <c r="CY16" s="456"/>
      <c r="CZ16" s="456"/>
      <c r="DA16" s="456"/>
      <c r="DB16" s="447"/>
      <c r="DC16" s="447"/>
      <c r="DD16" s="447"/>
      <c r="DE16" s="447"/>
      <c r="DF16" s="447"/>
      <c r="DG16" s="447"/>
      <c r="DH16" s="447"/>
      <c r="DI16" s="447"/>
      <c r="DJ16" s="447"/>
      <c r="DK16" s="447"/>
      <c r="DL16" s="447"/>
      <c r="DM16" s="447"/>
      <c r="DN16" s="447"/>
      <c r="DO16" s="447"/>
      <c r="DP16" s="447"/>
      <c r="DQ16" s="447"/>
      <c r="DR16" s="447"/>
      <c r="DS16" s="447"/>
      <c r="DT16" s="447"/>
      <c r="DU16" s="447"/>
      <c r="DV16" s="447"/>
      <c r="DW16" s="447"/>
      <c r="DX16" s="447"/>
      <c r="DY16" s="447"/>
      <c r="DZ16" s="447"/>
      <c r="EA16" s="447"/>
      <c r="EB16" s="447"/>
      <c r="EC16" s="448"/>
      <c r="ED16" s="448"/>
      <c r="EE16" s="448"/>
      <c r="EF16" s="448"/>
      <c r="EG16" s="448"/>
      <c r="EH16" s="448"/>
      <c r="EI16" s="448"/>
      <c r="EJ16" s="448"/>
      <c r="EK16" s="448"/>
      <c r="EL16" s="448"/>
      <c r="EM16" s="448"/>
      <c r="EN16" s="448"/>
      <c r="EO16" s="448"/>
      <c r="EP16" s="448"/>
      <c r="EQ16" s="448"/>
      <c r="ER16" s="448"/>
      <c r="ES16" s="448"/>
      <c r="ET16" s="448"/>
      <c r="EU16" s="448"/>
      <c r="EV16" s="448"/>
      <c r="EW16" s="448"/>
      <c r="EX16" s="448"/>
      <c r="EY16" s="448"/>
      <c r="EZ16" s="448"/>
      <c r="FA16" s="448"/>
      <c r="FB16" s="448"/>
      <c r="FC16" s="448"/>
      <c r="FD16" s="448"/>
      <c r="FE16" s="448"/>
      <c r="FF16" s="448"/>
      <c r="FG16" s="448"/>
      <c r="FH16" s="448"/>
      <c r="FI16" s="448"/>
      <c r="FJ16" s="448"/>
      <c r="FK16" s="448"/>
      <c r="FL16" s="448"/>
      <c r="FM16" s="449"/>
      <c r="FN16" s="449"/>
      <c r="FO16" s="449"/>
      <c r="FP16" s="449"/>
      <c r="FQ16" s="449"/>
      <c r="FR16" s="449"/>
      <c r="FS16" s="449"/>
      <c r="FT16" s="449"/>
      <c r="FU16" s="449"/>
      <c r="FV16" s="449"/>
      <c r="FW16" s="449"/>
      <c r="FX16" s="450"/>
    </row>
    <row r="17">
      <c r="A17" s="457"/>
      <c r="B17" s="452" t="s">
        <v>668</v>
      </c>
      <c r="C17" s="453" t="s">
        <v>669</v>
      </c>
      <c r="D17" s="443" t="s">
        <v>658</v>
      </c>
      <c r="E17" s="444" t="s">
        <v>652</v>
      </c>
      <c r="F17" s="445" t="s">
        <v>652</v>
      </c>
      <c r="G17" s="446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8"/>
      <c r="AU17" s="448"/>
      <c r="AV17" s="448"/>
      <c r="AW17" s="448"/>
      <c r="AX17" s="448"/>
      <c r="AY17" s="448"/>
      <c r="AZ17" s="448"/>
      <c r="BA17" s="448"/>
      <c r="BB17" s="448"/>
      <c r="BC17" s="448"/>
      <c r="BD17" s="448"/>
      <c r="BE17" s="448"/>
      <c r="BF17" s="448"/>
      <c r="BG17" s="448"/>
      <c r="BH17" s="448"/>
      <c r="BI17" s="448"/>
      <c r="BJ17" s="448"/>
      <c r="BK17" s="448"/>
      <c r="BL17" s="448"/>
      <c r="BM17" s="448"/>
      <c r="BN17" s="448"/>
      <c r="BO17" s="448"/>
      <c r="BP17" s="448"/>
      <c r="BQ17" s="448"/>
      <c r="BR17" s="448"/>
      <c r="BS17" s="448"/>
      <c r="BT17" s="448"/>
      <c r="BU17" s="448"/>
      <c r="BV17" s="448"/>
      <c r="BW17" s="448"/>
      <c r="BX17" s="448"/>
      <c r="BY17" s="448"/>
      <c r="BZ17" s="448"/>
      <c r="CA17" s="448"/>
      <c r="CB17" s="448"/>
      <c r="CC17" s="448"/>
      <c r="CD17" s="449"/>
      <c r="CE17" s="449"/>
      <c r="CF17" s="449"/>
      <c r="CG17" s="449"/>
      <c r="CH17" s="449"/>
      <c r="CI17" s="449"/>
      <c r="CJ17" s="449"/>
      <c r="CK17" s="449"/>
      <c r="CL17" s="449"/>
      <c r="CM17" s="449"/>
      <c r="CN17" s="449"/>
      <c r="CO17" s="450"/>
      <c r="CP17" s="454"/>
      <c r="CQ17" s="455">
        <v>51175.0</v>
      </c>
      <c r="CR17" s="456"/>
      <c r="CS17" s="456"/>
      <c r="CT17" s="456"/>
      <c r="CU17" s="456"/>
      <c r="CV17" s="456"/>
      <c r="CW17" s="456"/>
      <c r="CX17" s="456"/>
      <c r="CY17" s="456"/>
      <c r="CZ17" s="456"/>
      <c r="DA17" s="456"/>
      <c r="DB17" s="447"/>
      <c r="DC17" s="447"/>
      <c r="DD17" s="447"/>
      <c r="DE17" s="447"/>
      <c r="DF17" s="447"/>
      <c r="DG17" s="447"/>
      <c r="DH17" s="447"/>
      <c r="DI17" s="447"/>
      <c r="DJ17" s="447"/>
      <c r="DK17" s="447"/>
      <c r="DL17" s="447"/>
      <c r="DM17" s="447"/>
      <c r="DN17" s="447"/>
      <c r="DO17" s="447"/>
      <c r="DP17" s="447"/>
      <c r="DQ17" s="447"/>
      <c r="DR17" s="447"/>
      <c r="DS17" s="447"/>
      <c r="DT17" s="447"/>
      <c r="DU17" s="447"/>
      <c r="DV17" s="447"/>
      <c r="DW17" s="447"/>
      <c r="DX17" s="447"/>
      <c r="DY17" s="447"/>
      <c r="DZ17" s="447"/>
      <c r="EA17" s="447"/>
      <c r="EB17" s="447"/>
      <c r="EC17" s="448"/>
      <c r="ED17" s="448"/>
      <c r="EE17" s="448"/>
      <c r="EF17" s="448"/>
      <c r="EG17" s="448"/>
      <c r="EH17" s="448"/>
      <c r="EI17" s="448"/>
      <c r="EJ17" s="448"/>
      <c r="EK17" s="448"/>
      <c r="EL17" s="448"/>
      <c r="EM17" s="448"/>
      <c r="EN17" s="448"/>
      <c r="EO17" s="448"/>
      <c r="EP17" s="448"/>
      <c r="EQ17" s="448"/>
      <c r="ER17" s="448"/>
      <c r="ES17" s="448"/>
      <c r="ET17" s="448"/>
      <c r="EU17" s="448"/>
      <c r="EV17" s="448"/>
      <c r="EW17" s="448"/>
      <c r="EX17" s="448"/>
      <c r="EY17" s="448"/>
      <c r="EZ17" s="448"/>
      <c r="FA17" s="448"/>
      <c r="FB17" s="448"/>
      <c r="FC17" s="448"/>
      <c r="FD17" s="448"/>
      <c r="FE17" s="448"/>
      <c r="FF17" s="448"/>
      <c r="FG17" s="448"/>
      <c r="FH17" s="448"/>
      <c r="FI17" s="448"/>
      <c r="FJ17" s="448"/>
      <c r="FK17" s="448"/>
      <c r="FL17" s="448"/>
      <c r="FM17" s="449"/>
      <c r="FN17" s="449"/>
      <c r="FO17" s="449"/>
      <c r="FP17" s="449"/>
      <c r="FQ17" s="449"/>
      <c r="FR17" s="449"/>
      <c r="FS17" s="449"/>
      <c r="FT17" s="449"/>
      <c r="FU17" s="449"/>
      <c r="FV17" s="449"/>
      <c r="FW17" s="449"/>
      <c r="FX17" s="450"/>
    </row>
    <row r="18">
      <c r="A18" s="457"/>
      <c r="B18" s="146"/>
      <c r="C18" s="453" t="s">
        <v>670</v>
      </c>
      <c r="D18" s="443" t="s">
        <v>658</v>
      </c>
      <c r="E18" s="444" t="s">
        <v>652</v>
      </c>
      <c r="F18" s="445" t="s">
        <v>652</v>
      </c>
      <c r="G18" s="446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8"/>
      <c r="AU18" s="448"/>
      <c r="AV18" s="448"/>
      <c r="AW18" s="448"/>
      <c r="AX18" s="448"/>
      <c r="AY18" s="448"/>
      <c r="AZ18" s="448"/>
      <c r="BA18" s="448"/>
      <c r="BB18" s="448"/>
      <c r="BC18" s="448"/>
      <c r="BD18" s="448"/>
      <c r="BE18" s="448"/>
      <c r="BF18" s="448"/>
      <c r="BG18" s="448"/>
      <c r="BH18" s="448"/>
      <c r="BI18" s="448"/>
      <c r="BJ18" s="448"/>
      <c r="BK18" s="448"/>
      <c r="BL18" s="448"/>
      <c r="BM18" s="448"/>
      <c r="BN18" s="448"/>
      <c r="BO18" s="448"/>
      <c r="BP18" s="448"/>
      <c r="BQ18" s="448"/>
      <c r="BR18" s="448"/>
      <c r="BS18" s="448"/>
      <c r="BT18" s="448"/>
      <c r="BU18" s="448"/>
      <c r="BV18" s="448"/>
      <c r="BW18" s="448"/>
      <c r="BX18" s="448"/>
      <c r="BY18" s="448"/>
      <c r="BZ18" s="448"/>
      <c r="CA18" s="448"/>
      <c r="CB18" s="448"/>
      <c r="CC18" s="448"/>
      <c r="CD18" s="449"/>
      <c r="CE18" s="449"/>
      <c r="CF18" s="449"/>
      <c r="CG18" s="449"/>
      <c r="CH18" s="449"/>
      <c r="CI18" s="449"/>
      <c r="CJ18" s="449"/>
      <c r="CK18" s="449"/>
      <c r="CL18" s="449"/>
      <c r="CM18" s="449"/>
      <c r="CN18" s="449"/>
      <c r="CO18" s="450"/>
      <c r="CP18" s="454"/>
      <c r="CQ18" s="455">
        <v>303324.0</v>
      </c>
      <c r="CR18" s="456"/>
      <c r="CS18" s="456"/>
      <c r="CT18" s="456"/>
      <c r="CU18" s="456"/>
      <c r="CV18" s="456"/>
      <c r="CW18" s="456"/>
      <c r="CX18" s="456"/>
      <c r="CY18" s="456"/>
      <c r="CZ18" s="456"/>
      <c r="DA18" s="456"/>
      <c r="DB18" s="447"/>
      <c r="DC18" s="447"/>
      <c r="DD18" s="447"/>
      <c r="DE18" s="447"/>
      <c r="DF18" s="447"/>
      <c r="DG18" s="447"/>
      <c r="DH18" s="447"/>
      <c r="DI18" s="447"/>
      <c r="DJ18" s="447"/>
      <c r="DK18" s="447"/>
      <c r="DL18" s="447"/>
      <c r="DM18" s="447"/>
      <c r="DN18" s="447"/>
      <c r="DO18" s="447"/>
      <c r="DP18" s="447"/>
      <c r="DQ18" s="447"/>
      <c r="DR18" s="447"/>
      <c r="DS18" s="447"/>
      <c r="DT18" s="447"/>
      <c r="DU18" s="447"/>
      <c r="DV18" s="447"/>
      <c r="DW18" s="447"/>
      <c r="DX18" s="447"/>
      <c r="DY18" s="447"/>
      <c r="DZ18" s="447"/>
      <c r="EA18" s="447"/>
      <c r="EB18" s="447"/>
      <c r="EC18" s="448"/>
      <c r="ED18" s="448"/>
      <c r="EE18" s="448"/>
      <c r="EF18" s="448"/>
      <c r="EG18" s="448"/>
      <c r="EH18" s="448"/>
      <c r="EI18" s="448"/>
      <c r="EJ18" s="448"/>
      <c r="EK18" s="448"/>
      <c r="EL18" s="448"/>
      <c r="EM18" s="448"/>
      <c r="EN18" s="448"/>
      <c r="EO18" s="448"/>
      <c r="EP18" s="448"/>
      <c r="EQ18" s="448"/>
      <c r="ER18" s="448"/>
      <c r="ES18" s="448"/>
      <c r="ET18" s="448"/>
      <c r="EU18" s="448"/>
      <c r="EV18" s="448"/>
      <c r="EW18" s="448"/>
      <c r="EX18" s="448"/>
      <c r="EY18" s="448"/>
      <c r="EZ18" s="448"/>
      <c r="FA18" s="448"/>
      <c r="FB18" s="448"/>
      <c r="FC18" s="448"/>
      <c r="FD18" s="448"/>
      <c r="FE18" s="448"/>
      <c r="FF18" s="448"/>
      <c r="FG18" s="448"/>
      <c r="FH18" s="448"/>
      <c r="FI18" s="448"/>
      <c r="FJ18" s="448"/>
      <c r="FK18" s="448"/>
      <c r="FL18" s="448"/>
      <c r="FM18" s="449"/>
      <c r="FN18" s="449"/>
      <c r="FO18" s="449"/>
      <c r="FP18" s="449"/>
      <c r="FQ18" s="449"/>
      <c r="FR18" s="449"/>
      <c r="FS18" s="449"/>
      <c r="FT18" s="449"/>
      <c r="FU18" s="449"/>
      <c r="FV18" s="449"/>
      <c r="FW18" s="449"/>
      <c r="FX18" s="450"/>
    </row>
    <row r="19">
      <c r="A19" s="459"/>
      <c r="B19" s="147"/>
      <c r="C19" s="453" t="s">
        <v>671</v>
      </c>
      <c r="D19" s="443" t="s">
        <v>658</v>
      </c>
      <c r="E19" s="444" t="s">
        <v>652</v>
      </c>
      <c r="F19" s="445" t="s">
        <v>652</v>
      </c>
      <c r="G19" s="446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8"/>
      <c r="AU19" s="448"/>
      <c r="AV19" s="448"/>
      <c r="AW19" s="448"/>
      <c r="AX19" s="448"/>
      <c r="AY19" s="448"/>
      <c r="AZ19" s="448"/>
      <c r="BA19" s="448"/>
      <c r="BB19" s="448"/>
      <c r="BC19" s="448"/>
      <c r="BD19" s="448"/>
      <c r="BE19" s="448"/>
      <c r="BF19" s="448"/>
      <c r="BG19" s="448"/>
      <c r="BH19" s="448"/>
      <c r="BI19" s="448"/>
      <c r="BJ19" s="448"/>
      <c r="BK19" s="448"/>
      <c r="BL19" s="448"/>
      <c r="BM19" s="448"/>
      <c r="BN19" s="448"/>
      <c r="BO19" s="448"/>
      <c r="BP19" s="448"/>
      <c r="BQ19" s="448"/>
      <c r="BR19" s="448"/>
      <c r="BS19" s="448"/>
      <c r="BT19" s="448"/>
      <c r="BU19" s="448"/>
      <c r="BV19" s="448"/>
      <c r="BW19" s="448"/>
      <c r="BX19" s="448"/>
      <c r="BY19" s="448"/>
      <c r="BZ19" s="448"/>
      <c r="CA19" s="448"/>
      <c r="CB19" s="448"/>
      <c r="CC19" s="448"/>
      <c r="CD19" s="449"/>
      <c r="CE19" s="449"/>
      <c r="CF19" s="449"/>
      <c r="CG19" s="449"/>
      <c r="CH19" s="449"/>
      <c r="CI19" s="449"/>
      <c r="CJ19" s="449"/>
      <c r="CK19" s="449"/>
      <c r="CL19" s="449"/>
      <c r="CM19" s="449"/>
      <c r="CN19" s="449"/>
      <c r="CO19" s="450"/>
      <c r="CP19" s="454"/>
      <c r="CQ19" s="455">
        <v>276.0</v>
      </c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47"/>
      <c r="DC19" s="447"/>
      <c r="DD19" s="447"/>
      <c r="DE19" s="447"/>
      <c r="DF19" s="447"/>
      <c r="DG19" s="447"/>
      <c r="DH19" s="447"/>
      <c r="DI19" s="447"/>
      <c r="DJ19" s="447"/>
      <c r="DK19" s="447"/>
      <c r="DL19" s="447"/>
      <c r="DM19" s="447"/>
      <c r="DN19" s="447"/>
      <c r="DO19" s="447"/>
      <c r="DP19" s="447"/>
      <c r="DQ19" s="447"/>
      <c r="DR19" s="447"/>
      <c r="DS19" s="447"/>
      <c r="DT19" s="447"/>
      <c r="DU19" s="447"/>
      <c r="DV19" s="447"/>
      <c r="DW19" s="447"/>
      <c r="DX19" s="447"/>
      <c r="DY19" s="447"/>
      <c r="DZ19" s="447"/>
      <c r="EA19" s="447"/>
      <c r="EB19" s="447"/>
      <c r="EC19" s="448"/>
      <c r="ED19" s="448"/>
      <c r="EE19" s="448"/>
      <c r="EF19" s="448"/>
      <c r="EG19" s="448"/>
      <c r="EH19" s="448"/>
      <c r="EI19" s="448"/>
      <c r="EJ19" s="448"/>
      <c r="EK19" s="448"/>
      <c r="EL19" s="448"/>
      <c r="EM19" s="448"/>
      <c r="EN19" s="448"/>
      <c r="EO19" s="448"/>
      <c r="EP19" s="448"/>
      <c r="EQ19" s="448"/>
      <c r="ER19" s="448"/>
      <c r="ES19" s="448"/>
      <c r="ET19" s="448"/>
      <c r="EU19" s="448"/>
      <c r="EV19" s="448"/>
      <c r="EW19" s="448"/>
      <c r="EX19" s="448"/>
      <c r="EY19" s="448"/>
      <c r="EZ19" s="448"/>
      <c r="FA19" s="448"/>
      <c r="FB19" s="448"/>
      <c r="FC19" s="448"/>
      <c r="FD19" s="448"/>
      <c r="FE19" s="448"/>
      <c r="FF19" s="448"/>
      <c r="FG19" s="448"/>
      <c r="FH19" s="448"/>
      <c r="FI19" s="448"/>
      <c r="FJ19" s="448"/>
      <c r="FK19" s="448"/>
      <c r="FL19" s="448"/>
      <c r="FM19" s="449"/>
      <c r="FN19" s="449"/>
      <c r="FO19" s="449"/>
      <c r="FP19" s="449"/>
      <c r="FQ19" s="449"/>
      <c r="FR19" s="449"/>
      <c r="FS19" s="449"/>
      <c r="FT19" s="449"/>
      <c r="FU19" s="449"/>
      <c r="FV19" s="449"/>
      <c r="FW19" s="449"/>
      <c r="FX19" s="450"/>
    </row>
    <row r="20">
      <c r="A20" s="451" t="s">
        <v>627</v>
      </c>
      <c r="B20" s="452" t="s">
        <v>630</v>
      </c>
      <c r="C20" s="453" t="s">
        <v>672</v>
      </c>
      <c r="D20" s="443" t="s">
        <v>658</v>
      </c>
      <c r="E20" s="444" t="s">
        <v>652</v>
      </c>
      <c r="F20" s="445" t="s">
        <v>652</v>
      </c>
      <c r="G20" s="446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8"/>
      <c r="AU20" s="448"/>
      <c r="AV20" s="448"/>
      <c r="AW20" s="448"/>
      <c r="AX20" s="448"/>
      <c r="AY20" s="448"/>
      <c r="AZ20" s="448"/>
      <c r="BA20" s="448"/>
      <c r="BB20" s="448"/>
      <c r="BC20" s="448"/>
      <c r="BD20" s="448"/>
      <c r="BE20" s="448"/>
      <c r="BF20" s="448"/>
      <c r="BG20" s="448"/>
      <c r="BH20" s="448"/>
      <c r="BI20" s="448"/>
      <c r="BJ20" s="448"/>
      <c r="BK20" s="448"/>
      <c r="BL20" s="448"/>
      <c r="BM20" s="448"/>
      <c r="BN20" s="448"/>
      <c r="BO20" s="448"/>
      <c r="BP20" s="448"/>
      <c r="BQ20" s="448"/>
      <c r="BR20" s="448"/>
      <c r="BS20" s="448"/>
      <c r="BT20" s="448"/>
      <c r="BU20" s="448"/>
      <c r="BV20" s="448"/>
      <c r="BW20" s="448"/>
      <c r="BX20" s="448"/>
      <c r="BY20" s="448"/>
      <c r="BZ20" s="448"/>
      <c r="CA20" s="448"/>
      <c r="CB20" s="448"/>
      <c r="CC20" s="448"/>
      <c r="CD20" s="449"/>
      <c r="CE20" s="449"/>
      <c r="CF20" s="449"/>
      <c r="CG20" s="449"/>
      <c r="CH20" s="449"/>
      <c r="CI20" s="449"/>
      <c r="CJ20" s="449"/>
      <c r="CK20" s="449"/>
      <c r="CL20" s="449"/>
      <c r="CM20" s="449"/>
      <c r="CN20" s="449"/>
      <c r="CO20" s="450"/>
      <c r="CP20" s="454"/>
      <c r="CQ20" s="455">
        <v>491810.0</v>
      </c>
      <c r="CR20" s="456"/>
      <c r="CS20" s="456"/>
      <c r="CT20" s="456"/>
      <c r="CU20" s="456"/>
      <c r="CV20" s="456"/>
      <c r="CW20" s="456"/>
      <c r="CX20" s="456"/>
      <c r="CY20" s="456"/>
      <c r="CZ20" s="456"/>
      <c r="DA20" s="456"/>
      <c r="DB20" s="447"/>
      <c r="DC20" s="447"/>
      <c r="DD20" s="447"/>
      <c r="DE20" s="447"/>
      <c r="DF20" s="447"/>
      <c r="DG20" s="447"/>
      <c r="DH20" s="447"/>
      <c r="DI20" s="447"/>
      <c r="DJ20" s="447"/>
      <c r="DK20" s="447"/>
      <c r="DL20" s="447"/>
      <c r="DM20" s="447"/>
      <c r="DN20" s="447"/>
      <c r="DO20" s="447"/>
      <c r="DP20" s="447"/>
      <c r="DQ20" s="447"/>
      <c r="DR20" s="447"/>
      <c r="DS20" s="447"/>
      <c r="DT20" s="447"/>
      <c r="DU20" s="447"/>
      <c r="DV20" s="447"/>
      <c r="DW20" s="447"/>
      <c r="DX20" s="447"/>
      <c r="DY20" s="447"/>
      <c r="DZ20" s="447"/>
      <c r="EA20" s="447"/>
      <c r="EB20" s="447"/>
      <c r="EC20" s="448"/>
      <c r="ED20" s="448"/>
      <c r="EE20" s="448"/>
      <c r="EF20" s="448"/>
      <c r="EG20" s="448"/>
      <c r="EH20" s="448"/>
      <c r="EI20" s="448"/>
      <c r="EJ20" s="448"/>
      <c r="EK20" s="448"/>
      <c r="EL20" s="448"/>
      <c r="EM20" s="448"/>
      <c r="EN20" s="448"/>
      <c r="EO20" s="448"/>
      <c r="EP20" s="448"/>
      <c r="EQ20" s="448"/>
      <c r="ER20" s="448"/>
      <c r="ES20" s="448"/>
      <c r="ET20" s="448"/>
      <c r="EU20" s="448"/>
      <c r="EV20" s="448"/>
      <c r="EW20" s="448"/>
      <c r="EX20" s="448"/>
      <c r="EY20" s="448"/>
      <c r="EZ20" s="448"/>
      <c r="FA20" s="448"/>
      <c r="FB20" s="448"/>
      <c r="FC20" s="448"/>
      <c r="FD20" s="448"/>
      <c r="FE20" s="448"/>
      <c r="FF20" s="448"/>
      <c r="FG20" s="448"/>
      <c r="FH20" s="448"/>
      <c r="FI20" s="448"/>
      <c r="FJ20" s="448"/>
      <c r="FK20" s="448"/>
      <c r="FL20" s="448"/>
      <c r="FM20" s="449"/>
      <c r="FN20" s="449"/>
      <c r="FO20" s="449"/>
      <c r="FP20" s="449"/>
      <c r="FQ20" s="449"/>
      <c r="FR20" s="449"/>
      <c r="FS20" s="449"/>
      <c r="FT20" s="449"/>
      <c r="FU20" s="449"/>
      <c r="FV20" s="449"/>
      <c r="FW20" s="449"/>
      <c r="FX20" s="450"/>
    </row>
    <row r="21">
      <c r="A21" s="457"/>
      <c r="B21" s="146"/>
      <c r="C21" s="453" t="s">
        <v>673</v>
      </c>
      <c r="D21" s="443" t="s">
        <v>658</v>
      </c>
      <c r="E21" s="444" t="s">
        <v>652</v>
      </c>
      <c r="F21" s="445" t="s">
        <v>652</v>
      </c>
      <c r="G21" s="446"/>
      <c r="H21" s="447"/>
      <c r="I21" s="447"/>
      <c r="J21" s="447"/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8"/>
      <c r="AU21" s="448"/>
      <c r="AV21" s="448"/>
      <c r="AW21" s="448"/>
      <c r="AX21" s="448"/>
      <c r="AY21" s="448"/>
      <c r="AZ21" s="448"/>
      <c r="BA21" s="448"/>
      <c r="BB21" s="448"/>
      <c r="BC21" s="448"/>
      <c r="BD21" s="448"/>
      <c r="BE21" s="448"/>
      <c r="BF21" s="448"/>
      <c r="BG21" s="448"/>
      <c r="BH21" s="448"/>
      <c r="BI21" s="448"/>
      <c r="BJ21" s="448"/>
      <c r="BK21" s="448"/>
      <c r="BL21" s="448"/>
      <c r="BM21" s="448"/>
      <c r="BN21" s="448"/>
      <c r="BO21" s="448"/>
      <c r="BP21" s="448"/>
      <c r="BQ21" s="448"/>
      <c r="BR21" s="448"/>
      <c r="BS21" s="448"/>
      <c r="BT21" s="448"/>
      <c r="BU21" s="448"/>
      <c r="BV21" s="448"/>
      <c r="BW21" s="448"/>
      <c r="BX21" s="448"/>
      <c r="BY21" s="448"/>
      <c r="BZ21" s="448"/>
      <c r="CA21" s="448"/>
      <c r="CB21" s="448"/>
      <c r="CC21" s="448"/>
      <c r="CD21" s="449"/>
      <c r="CE21" s="449"/>
      <c r="CF21" s="449"/>
      <c r="CG21" s="449"/>
      <c r="CH21" s="449"/>
      <c r="CI21" s="449"/>
      <c r="CJ21" s="449"/>
      <c r="CK21" s="449"/>
      <c r="CL21" s="449"/>
      <c r="CM21" s="449"/>
      <c r="CN21" s="449"/>
      <c r="CO21" s="450"/>
      <c r="CP21" s="454"/>
      <c r="CQ21" s="455">
        <v>2429164.0</v>
      </c>
      <c r="CR21" s="456"/>
      <c r="CS21" s="456"/>
      <c r="CT21" s="456"/>
      <c r="CU21" s="456"/>
      <c r="CV21" s="456"/>
      <c r="CW21" s="456"/>
      <c r="CX21" s="456"/>
      <c r="CY21" s="456"/>
      <c r="CZ21" s="456"/>
      <c r="DA21" s="456"/>
      <c r="DB21" s="447"/>
      <c r="DC21" s="447"/>
      <c r="DD21" s="447"/>
      <c r="DE21" s="447"/>
      <c r="DF21" s="447"/>
      <c r="DG21" s="447"/>
      <c r="DH21" s="447"/>
      <c r="DI21" s="447"/>
      <c r="DJ21" s="447"/>
      <c r="DK21" s="447"/>
      <c r="DL21" s="447"/>
      <c r="DM21" s="447"/>
      <c r="DN21" s="447"/>
      <c r="DO21" s="447"/>
      <c r="DP21" s="447"/>
      <c r="DQ21" s="447"/>
      <c r="DR21" s="447"/>
      <c r="DS21" s="447"/>
      <c r="DT21" s="447"/>
      <c r="DU21" s="447"/>
      <c r="DV21" s="447"/>
      <c r="DW21" s="447"/>
      <c r="DX21" s="447"/>
      <c r="DY21" s="447"/>
      <c r="DZ21" s="447"/>
      <c r="EA21" s="447"/>
      <c r="EB21" s="447"/>
      <c r="EC21" s="448"/>
      <c r="ED21" s="448"/>
      <c r="EE21" s="448"/>
      <c r="EF21" s="448"/>
      <c r="EG21" s="448"/>
      <c r="EH21" s="448"/>
      <c r="EI21" s="448"/>
      <c r="EJ21" s="448"/>
      <c r="EK21" s="448"/>
      <c r="EL21" s="448"/>
      <c r="EM21" s="448"/>
      <c r="EN21" s="448"/>
      <c r="EO21" s="448"/>
      <c r="EP21" s="448"/>
      <c r="EQ21" s="448"/>
      <c r="ER21" s="448"/>
      <c r="ES21" s="448"/>
      <c r="ET21" s="448"/>
      <c r="EU21" s="448"/>
      <c r="EV21" s="448"/>
      <c r="EW21" s="448"/>
      <c r="EX21" s="448"/>
      <c r="EY21" s="448"/>
      <c r="EZ21" s="448"/>
      <c r="FA21" s="448"/>
      <c r="FB21" s="448"/>
      <c r="FC21" s="448"/>
      <c r="FD21" s="448"/>
      <c r="FE21" s="448"/>
      <c r="FF21" s="448"/>
      <c r="FG21" s="448"/>
      <c r="FH21" s="448"/>
      <c r="FI21" s="448"/>
      <c r="FJ21" s="448"/>
      <c r="FK21" s="448"/>
      <c r="FL21" s="448"/>
      <c r="FM21" s="449"/>
      <c r="FN21" s="449"/>
      <c r="FO21" s="449"/>
      <c r="FP21" s="449"/>
      <c r="FQ21" s="449"/>
      <c r="FR21" s="449"/>
      <c r="FS21" s="449"/>
      <c r="FT21" s="449"/>
      <c r="FU21" s="449"/>
      <c r="FV21" s="449"/>
      <c r="FW21" s="449"/>
      <c r="FX21" s="450"/>
    </row>
    <row r="22">
      <c r="A22" s="457"/>
      <c r="B22" s="146"/>
      <c r="C22" s="458" t="s">
        <v>674</v>
      </c>
      <c r="D22" s="443"/>
      <c r="E22" s="444"/>
      <c r="F22" s="445"/>
      <c r="G22" s="446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8"/>
      <c r="AU22" s="448"/>
      <c r="AV22" s="448"/>
      <c r="AW22" s="448"/>
      <c r="AX22" s="448"/>
      <c r="AY22" s="448"/>
      <c r="AZ22" s="448"/>
      <c r="BA22" s="448"/>
      <c r="BB22" s="448"/>
      <c r="BC22" s="448"/>
      <c r="BD22" s="448"/>
      <c r="BE22" s="448"/>
      <c r="BF22" s="448"/>
      <c r="BG22" s="448"/>
      <c r="BH22" s="448"/>
      <c r="BI22" s="448"/>
      <c r="BJ22" s="448"/>
      <c r="BK22" s="448"/>
      <c r="BL22" s="448"/>
      <c r="BM22" s="448"/>
      <c r="BN22" s="448"/>
      <c r="BO22" s="448"/>
      <c r="BP22" s="448"/>
      <c r="BQ22" s="448"/>
      <c r="BR22" s="448"/>
      <c r="BS22" s="448"/>
      <c r="BT22" s="448"/>
      <c r="BU22" s="448"/>
      <c r="BV22" s="448"/>
      <c r="BW22" s="448"/>
      <c r="BX22" s="448"/>
      <c r="BY22" s="448"/>
      <c r="BZ22" s="448"/>
      <c r="CA22" s="448"/>
      <c r="CB22" s="448"/>
      <c r="CC22" s="448"/>
      <c r="CD22" s="449"/>
      <c r="CE22" s="449"/>
      <c r="CF22" s="449"/>
      <c r="CG22" s="449"/>
      <c r="CH22" s="449"/>
      <c r="CI22" s="449"/>
      <c r="CJ22" s="449"/>
      <c r="CK22" s="449"/>
      <c r="CL22" s="449"/>
      <c r="CM22" s="449"/>
      <c r="CN22" s="449"/>
      <c r="CO22" s="450"/>
      <c r="CP22" s="454"/>
      <c r="CQ22" s="455">
        <v>461049.0</v>
      </c>
      <c r="CR22" s="456"/>
      <c r="CS22" s="456"/>
      <c r="CT22" s="456"/>
      <c r="CU22" s="456"/>
      <c r="CV22" s="456"/>
      <c r="CW22" s="456"/>
      <c r="CX22" s="456"/>
      <c r="CY22" s="456"/>
      <c r="CZ22" s="456"/>
      <c r="DA22" s="456"/>
      <c r="DB22" s="447"/>
      <c r="DC22" s="447"/>
      <c r="DD22" s="447"/>
      <c r="DE22" s="447"/>
      <c r="DF22" s="447"/>
      <c r="DG22" s="447"/>
      <c r="DH22" s="447"/>
      <c r="DI22" s="447"/>
      <c r="DJ22" s="447"/>
      <c r="DK22" s="447"/>
      <c r="DL22" s="447"/>
      <c r="DM22" s="447"/>
      <c r="DN22" s="447"/>
      <c r="DO22" s="447"/>
      <c r="DP22" s="447"/>
      <c r="DQ22" s="447"/>
      <c r="DR22" s="447"/>
      <c r="DS22" s="447"/>
      <c r="DT22" s="447"/>
      <c r="DU22" s="447"/>
      <c r="DV22" s="447"/>
      <c r="DW22" s="447"/>
      <c r="DX22" s="447"/>
      <c r="DY22" s="447"/>
      <c r="DZ22" s="447"/>
      <c r="EA22" s="447"/>
      <c r="EB22" s="447"/>
      <c r="EC22" s="448"/>
      <c r="ED22" s="448"/>
      <c r="EE22" s="448"/>
      <c r="EF22" s="448"/>
      <c r="EG22" s="448"/>
      <c r="EH22" s="448"/>
      <c r="EI22" s="448"/>
      <c r="EJ22" s="448"/>
      <c r="EK22" s="448"/>
      <c r="EL22" s="448"/>
      <c r="EM22" s="448"/>
      <c r="EN22" s="448"/>
      <c r="EO22" s="448"/>
      <c r="EP22" s="448"/>
      <c r="EQ22" s="448"/>
      <c r="ER22" s="448"/>
      <c r="ES22" s="448"/>
      <c r="ET22" s="448"/>
      <c r="EU22" s="448"/>
      <c r="EV22" s="448"/>
      <c r="EW22" s="448"/>
      <c r="EX22" s="448"/>
      <c r="EY22" s="448"/>
      <c r="EZ22" s="448"/>
      <c r="FA22" s="448"/>
      <c r="FB22" s="448"/>
      <c r="FC22" s="448"/>
      <c r="FD22" s="448"/>
      <c r="FE22" s="448"/>
      <c r="FF22" s="448"/>
      <c r="FG22" s="448"/>
      <c r="FH22" s="448"/>
      <c r="FI22" s="448"/>
      <c r="FJ22" s="448"/>
      <c r="FK22" s="448"/>
      <c r="FL22" s="448"/>
      <c r="FM22" s="449"/>
      <c r="FN22" s="449"/>
      <c r="FO22" s="449"/>
      <c r="FP22" s="449"/>
      <c r="FQ22" s="449"/>
      <c r="FR22" s="449"/>
      <c r="FS22" s="449"/>
      <c r="FT22" s="449"/>
      <c r="FU22" s="449"/>
      <c r="FV22" s="449"/>
      <c r="FW22" s="449"/>
      <c r="FX22" s="450"/>
    </row>
    <row r="23">
      <c r="A23" s="457"/>
      <c r="B23" s="146"/>
      <c r="C23" s="453" t="s">
        <v>675</v>
      </c>
      <c r="D23" s="443" t="s">
        <v>658</v>
      </c>
      <c r="E23" s="444" t="s">
        <v>652</v>
      </c>
      <c r="F23" s="445" t="s">
        <v>652</v>
      </c>
      <c r="G23" s="446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8"/>
      <c r="AU23" s="448"/>
      <c r="AV23" s="448"/>
      <c r="AW23" s="448"/>
      <c r="AX23" s="448"/>
      <c r="AY23" s="448"/>
      <c r="AZ23" s="448"/>
      <c r="BA23" s="448"/>
      <c r="BB23" s="448"/>
      <c r="BC23" s="448"/>
      <c r="BD23" s="448"/>
      <c r="BE23" s="448"/>
      <c r="BF23" s="448"/>
      <c r="BG23" s="448"/>
      <c r="BH23" s="448"/>
      <c r="BI23" s="44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448"/>
      <c r="BY23" s="448"/>
      <c r="BZ23" s="448"/>
      <c r="CA23" s="448"/>
      <c r="CB23" s="448"/>
      <c r="CC23" s="448"/>
      <c r="CD23" s="449"/>
      <c r="CE23" s="449"/>
      <c r="CF23" s="449"/>
      <c r="CG23" s="449"/>
      <c r="CH23" s="449"/>
      <c r="CI23" s="449"/>
      <c r="CJ23" s="449"/>
      <c r="CK23" s="449"/>
      <c r="CL23" s="449"/>
      <c r="CM23" s="449"/>
      <c r="CN23" s="449"/>
      <c r="CO23" s="450"/>
      <c r="CP23" s="454"/>
      <c r="CQ23" s="455">
        <v>2044672.0</v>
      </c>
      <c r="CR23" s="456"/>
      <c r="CS23" s="456"/>
      <c r="CT23" s="456"/>
      <c r="CU23" s="456"/>
      <c r="CV23" s="456"/>
      <c r="CW23" s="456"/>
      <c r="CX23" s="456"/>
      <c r="CY23" s="456"/>
      <c r="CZ23" s="456"/>
      <c r="DA23" s="456"/>
      <c r="DB23" s="447"/>
      <c r="DC23" s="447"/>
      <c r="DD23" s="447"/>
      <c r="DE23" s="447"/>
      <c r="DF23" s="447"/>
      <c r="DG23" s="447"/>
      <c r="DH23" s="447"/>
      <c r="DI23" s="447"/>
      <c r="DJ23" s="447"/>
      <c r="DK23" s="447"/>
      <c r="DL23" s="447"/>
      <c r="DM23" s="447"/>
      <c r="DN23" s="447"/>
      <c r="DO23" s="447"/>
      <c r="DP23" s="447"/>
      <c r="DQ23" s="447"/>
      <c r="DR23" s="447"/>
      <c r="DS23" s="447"/>
      <c r="DT23" s="447"/>
      <c r="DU23" s="447"/>
      <c r="DV23" s="447"/>
      <c r="DW23" s="447"/>
      <c r="DX23" s="447"/>
      <c r="DY23" s="447"/>
      <c r="DZ23" s="447"/>
      <c r="EA23" s="447"/>
      <c r="EB23" s="447"/>
      <c r="EC23" s="448"/>
      <c r="ED23" s="448"/>
      <c r="EE23" s="448"/>
      <c r="EF23" s="448"/>
      <c r="EG23" s="448"/>
      <c r="EH23" s="448"/>
      <c r="EI23" s="448"/>
      <c r="EJ23" s="448"/>
      <c r="EK23" s="448"/>
      <c r="EL23" s="448"/>
      <c r="EM23" s="448"/>
      <c r="EN23" s="448"/>
      <c r="EO23" s="448"/>
      <c r="EP23" s="448"/>
      <c r="EQ23" s="448"/>
      <c r="ER23" s="448"/>
      <c r="ES23" s="448"/>
      <c r="ET23" s="448"/>
      <c r="EU23" s="448"/>
      <c r="EV23" s="448"/>
      <c r="EW23" s="448"/>
      <c r="EX23" s="448"/>
      <c r="EY23" s="448"/>
      <c r="EZ23" s="448"/>
      <c r="FA23" s="448"/>
      <c r="FB23" s="448"/>
      <c r="FC23" s="448"/>
      <c r="FD23" s="448"/>
      <c r="FE23" s="448"/>
      <c r="FF23" s="448"/>
      <c r="FG23" s="448"/>
      <c r="FH23" s="448"/>
      <c r="FI23" s="448"/>
      <c r="FJ23" s="448"/>
      <c r="FK23" s="448"/>
      <c r="FL23" s="448"/>
      <c r="FM23" s="449"/>
      <c r="FN23" s="449"/>
      <c r="FO23" s="449"/>
      <c r="FP23" s="449"/>
      <c r="FQ23" s="449"/>
      <c r="FR23" s="449"/>
      <c r="FS23" s="449"/>
      <c r="FT23" s="449"/>
      <c r="FU23" s="449"/>
      <c r="FV23" s="449"/>
      <c r="FW23" s="449"/>
      <c r="FX23" s="450"/>
    </row>
    <row r="24">
      <c r="A24" s="457"/>
      <c r="B24" s="147"/>
      <c r="C24" s="458" t="s">
        <v>676</v>
      </c>
      <c r="D24" s="443"/>
      <c r="E24" s="444"/>
      <c r="F24" s="445"/>
      <c r="G24" s="446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8"/>
      <c r="AU24" s="448"/>
      <c r="AV24" s="448"/>
      <c r="AW24" s="448"/>
      <c r="AX24" s="448"/>
      <c r="AY24" s="448"/>
      <c r="AZ24" s="448"/>
      <c r="BA24" s="448"/>
      <c r="BB24" s="448"/>
      <c r="BC24" s="448"/>
      <c r="BD24" s="448"/>
      <c r="BE24" s="448"/>
      <c r="BF24" s="448"/>
      <c r="BG24" s="448"/>
      <c r="BH24" s="448"/>
      <c r="BI24" s="44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448"/>
      <c r="BY24" s="448"/>
      <c r="BZ24" s="448"/>
      <c r="CA24" s="448"/>
      <c r="CB24" s="448"/>
      <c r="CC24" s="448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50"/>
      <c r="CP24" s="454"/>
      <c r="CQ24" s="455"/>
      <c r="CR24" s="456"/>
      <c r="CS24" s="456"/>
      <c r="CT24" s="456"/>
      <c r="CU24" s="456"/>
      <c r="CV24" s="456"/>
      <c r="CW24" s="456"/>
      <c r="CX24" s="456"/>
      <c r="CY24" s="456"/>
      <c r="CZ24" s="456"/>
      <c r="DA24" s="456"/>
      <c r="DB24" s="447"/>
      <c r="DC24" s="447"/>
      <c r="DD24" s="447"/>
      <c r="DE24" s="447"/>
      <c r="DF24" s="447"/>
      <c r="DG24" s="447"/>
      <c r="DH24" s="447"/>
      <c r="DI24" s="447"/>
      <c r="DJ24" s="447"/>
      <c r="DK24" s="447"/>
      <c r="DL24" s="447"/>
      <c r="DM24" s="447"/>
      <c r="DN24" s="447"/>
      <c r="DO24" s="447"/>
      <c r="DP24" s="447"/>
      <c r="DQ24" s="447"/>
      <c r="DR24" s="447"/>
      <c r="DS24" s="447"/>
      <c r="DT24" s="447"/>
      <c r="DU24" s="447"/>
      <c r="DV24" s="447"/>
      <c r="DW24" s="447"/>
      <c r="DX24" s="447"/>
      <c r="DY24" s="447"/>
      <c r="DZ24" s="447"/>
      <c r="EA24" s="447"/>
      <c r="EB24" s="447"/>
      <c r="EC24" s="448"/>
      <c r="ED24" s="448"/>
      <c r="EE24" s="448"/>
      <c r="EF24" s="448"/>
      <c r="EG24" s="448"/>
      <c r="EH24" s="448"/>
      <c r="EI24" s="448"/>
      <c r="EJ24" s="448"/>
      <c r="EK24" s="448"/>
      <c r="EL24" s="448"/>
      <c r="EM24" s="448"/>
      <c r="EN24" s="448"/>
      <c r="EO24" s="448"/>
      <c r="EP24" s="448"/>
      <c r="EQ24" s="448"/>
      <c r="ER24" s="448"/>
      <c r="ES24" s="448"/>
      <c r="ET24" s="448"/>
      <c r="EU24" s="448"/>
      <c r="EV24" s="448"/>
      <c r="EW24" s="448"/>
      <c r="EX24" s="448"/>
      <c r="EY24" s="448"/>
      <c r="EZ24" s="448"/>
      <c r="FA24" s="448"/>
      <c r="FB24" s="448"/>
      <c r="FC24" s="448"/>
      <c r="FD24" s="448"/>
      <c r="FE24" s="448"/>
      <c r="FF24" s="448"/>
      <c r="FG24" s="448"/>
      <c r="FH24" s="448"/>
      <c r="FI24" s="448"/>
      <c r="FJ24" s="448"/>
      <c r="FK24" s="448"/>
      <c r="FL24" s="448"/>
      <c r="FM24" s="449"/>
      <c r="FN24" s="449"/>
      <c r="FO24" s="449"/>
      <c r="FP24" s="449"/>
      <c r="FQ24" s="449"/>
      <c r="FR24" s="449"/>
      <c r="FS24" s="449"/>
      <c r="FT24" s="449"/>
      <c r="FU24" s="449"/>
      <c r="FV24" s="449"/>
      <c r="FW24" s="449"/>
      <c r="FX24" s="450"/>
    </row>
    <row r="25">
      <c r="A25" s="457"/>
      <c r="B25" s="460" t="s">
        <v>677</v>
      </c>
      <c r="C25" s="453" t="s">
        <v>671</v>
      </c>
      <c r="D25" s="443" t="s">
        <v>658</v>
      </c>
      <c r="E25" s="444" t="s">
        <v>652</v>
      </c>
      <c r="F25" s="445" t="s">
        <v>652</v>
      </c>
      <c r="G25" s="446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8"/>
      <c r="AU25" s="448"/>
      <c r="AV25" s="448"/>
      <c r="AW25" s="448"/>
      <c r="AX25" s="448"/>
      <c r="AY25" s="448"/>
      <c r="AZ25" s="448"/>
      <c r="BA25" s="448"/>
      <c r="BB25" s="448"/>
      <c r="BC25" s="448"/>
      <c r="BD25" s="448"/>
      <c r="BE25" s="448"/>
      <c r="BF25" s="448"/>
      <c r="BG25" s="448"/>
      <c r="BH25" s="448"/>
      <c r="BI25" s="44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448"/>
      <c r="BY25" s="448"/>
      <c r="BZ25" s="448"/>
      <c r="CA25" s="448"/>
      <c r="CB25" s="448"/>
      <c r="CC25" s="448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50"/>
      <c r="CP25" s="454"/>
      <c r="CQ25" s="455">
        <v>0.0</v>
      </c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47"/>
      <c r="DC25" s="447"/>
      <c r="DD25" s="447"/>
      <c r="DE25" s="447"/>
      <c r="DF25" s="447"/>
      <c r="DG25" s="447"/>
      <c r="DH25" s="447"/>
      <c r="DI25" s="447"/>
      <c r="DJ25" s="447"/>
      <c r="DK25" s="447"/>
      <c r="DL25" s="447"/>
      <c r="DM25" s="447"/>
      <c r="DN25" s="447"/>
      <c r="DO25" s="447"/>
      <c r="DP25" s="447"/>
      <c r="DQ25" s="447"/>
      <c r="DR25" s="447"/>
      <c r="DS25" s="447"/>
      <c r="DT25" s="447"/>
      <c r="DU25" s="447"/>
      <c r="DV25" s="447"/>
      <c r="DW25" s="447"/>
      <c r="DX25" s="447"/>
      <c r="DY25" s="447"/>
      <c r="DZ25" s="447"/>
      <c r="EA25" s="447"/>
      <c r="EB25" s="447"/>
      <c r="EC25" s="448"/>
      <c r="ED25" s="448"/>
      <c r="EE25" s="448"/>
      <c r="EF25" s="448"/>
      <c r="EG25" s="448"/>
      <c r="EH25" s="448"/>
      <c r="EI25" s="448"/>
      <c r="EJ25" s="448"/>
      <c r="EK25" s="448"/>
      <c r="EL25" s="448"/>
      <c r="EM25" s="448"/>
      <c r="EN25" s="448"/>
      <c r="EO25" s="448"/>
      <c r="EP25" s="448"/>
      <c r="EQ25" s="448"/>
      <c r="ER25" s="448"/>
      <c r="ES25" s="448"/>
      <c r="ET25" s="448"/>
      <c r="EU25" s="448"/>
      <c r="EV25" s="448"/>
      <c r="EW25" s="448"/>
      <c r="EX25" s="448"/>
      <c r="EY25" s="448"/>
      <c r="EZ25" s="448"/>
      <c r="FA25" s="448"/>
      <c r="FB25" s="448"/>
      <c r="FC25" s="448"/>
      <c r="FD25" s="448"/>
      <c r="FE25" s="448"/>
      <c r="FF25" s="448"/>
      <c r="FG25" s="448"/>
      <c r="FH25" s="448"/>
      <c r="FI25" s="448"/>
      <c r="FJ25" s="448"/>
      <c r="FK25" s="448"/>
      <c r="FL25" s="448"/>
      <c r="FM25" s="449"/>
      <c r="FN25" s="449"/>
      <c r="FO25" s="449"/>
      <c r="FP25" s="449"/>
      <c r="FQ25" s="449"/>
      <c r="FR25" s="449"/>
      <c r="FS25" s="449"/>
      <c r="FT25" s="449"/>
      <c r="FU25" s="449"/>
      <c r="FV25" s="449"/>
      <c r="FW25" s="449"/>
      <c r="FX25" s="450"/>
    </row>
    <row r="26">
      <c r="A26" s="457"/>
      <c r="B26" s="452" t="s">
        <v>678</v>
      </c>
      <c r="C26" s="453" t="s">
        <v>679</v>
      </c>
      <c r="D26" s="443" t="s">
        <v>658</v>
      </c>
      <c r="E26" s="444" t="s">
        <v>652</v>
      </c>
      <c r="F26" s="445" t="s">
        <v>652</v>
      </c>
      <c r="G26" s="446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  <c r="W26" s="447"/>
      <c r="X26" s="447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8"/>
      <c r="AU26" s="448"/>
      <c r="AV26" s="448"/>
      <c r="AW26" s="448"/>
      <c r="AX26" s="448"/>
      <c r="AY26" s="448"/>
      <c r="AZ26" s="448"/>
      <c r="BA26" s="448"/>
      <c r="BB26" s="448"/>
      <c r="BC26" s="448"/>
      <c r="BD26" s="448"/>
      <c r="BE26" s="448"/>
      <c r="BF26" s="448"/>
      <c r="BG26" s="448"/>
      <c r="BH26" s="448"/>
      <c r="BI26" s="448"/>
      <c r="BJ26" s="448"/>
      <c r="BK26" s="448"/>
      <c r="BL26" s="448"/>
      <c r="BM26" s="448"/>
      <c r="BN26" s="448"/>
      <c r="BO26" s="448"/>
      <c r="BP26" s="448"/>
      <c r="BQ26" s="448"/>
      <c r="BR26" s="448"/>
      <c r="BS26" s="448"/>
      <c r="BT26" s="448"/>
      <c r="BU26" s="448"/>
      <c r="BV26" s="448"/>
      <c r="BW26" s="448"/>
      <c r="BX26" s="448"/>
      <c r="BY26" s="448"/>
      <c r="BZ26" s="448"/>
      <c r="CA26" s="448"/>
      <c r="CB26" s="448"/>
      <c r="CC26" s="448"/>
      <c r="CD26" s="449"/>
      <c r="CE26" s="449"/>
      <c r="CF26" s="449"/>
      <c r="CG26" s="449"/>
      <c r="CH26" s="449"/>
      <c r="CI26" s="449"/>
      <c r="CJ26" s="449"/>
      <c r="CK26" s="449"/>
      <c r="CL26" s="449"/>
      <c r="CM26" s="449"/>
      <c r="CN26" s="449"/>
      <c r="CO26" s="450"/>
      <c r="CP26" s="454"/>
      <c r="CQ26" s="455">
        <v>114338.9</v>
      </c>
      <c r="CR26" s="456"/>
      <c r="CS26" s="456"/>
      <c r="CT26" s="456"/>
      <c r="CU26" s="456"/>
      <c r="CV26" s="456"/>
      <c r="CW26" s="456"/>
      <c r="CX26" s="456"/>
      <c r="CY26" s="456"/>
      <c r="CZ26" s="456"/>
      <c r="DA26" s="456"/>
      <c r="DB26" s="447"/>
      <c r="DC26" s="447"/>
      <c r="DD26" s="447"/>
      <c r="DE26" s="447"/>
      <c r="DF26" s="447"/>
      <c r="DG26" s="447"/>
      <c r="DH26" s="447"/>
      <c r="DI26" s="447"/>
      <c r="DJ26" s="447"/>
      <c r="DK26" s="447"/>
      <c r="DL26" s="447"/>
      <c r="DM26" s="447"/>
      <c r="DN26" s="447"/>
      <c r="DO26" s="447"/>
      <c r="DP26" s="447"/>
      <c r="DQ26" s="447"/>
      <c r="DR26" s="447"/>
      <c r="DS26" s="447"/>
      <c r="DT26" s="447"/>
      <c r="DU26" s="447"/>
      <c r="DV26" s="447"/>
      <c r="DW26" s="447"/>
      <c r="DX26" s="447"/>
      <c r="DY26" s="447"/>
      <c r="DZ26" s="447"/>
      <c r="EA26" s="447"/>
      <c r="EB26" s="447"/>
      <c r="EC26" s="448"/>
      <c r="ED26" s="448"/>
      <c r="EE26" s="448"/>
      <c r="EF26" s="448"/>
      <c r="EG26" s="448"/>
      <c r="EH26" s="448"/>
      <c r="EI26" s="448"/>
      <c r="EJ26" s="448"/>
      <c r="EK26" s="448"/>
      <c r="EL26" s="448"/>
      <c r="EM26" s="448"/>
      <c r="EN26" s="448"/>
      <c r="EO26" s="448"/>
      <c r="EP26" s="448"/>
      <c r="EQ26" s="448"/>
      <c r="ER26" s="448"/>
      <c r="ES26" s="448"/>
      <c r="ET26" s="448"/>
      <c r="EU26" s="448"/>
      <c r="EV26" s="448"/>
      <c r="EW26" s="448"/>
      <c r="EX26" s="448"/>
      <c r="EY26" s="448"/>
      <c r="EZ26" s="448"/>
      <c r="FA26" s="448"/>
      <c r="FB26" s="448"/>
      <c r="FC26" s="448"/>
      <c r="FD26" s="448"/>
      <c r="FE26" s="448"/>
      <c r="FF26" s="448"/>
      <c r="FG26" s="448"/>
      <c r="FH26" s="448"/>
      <c r="FI26" s="448"/>
      <c r="FJ26" s="448"/>
      <c r="FK26" s="448"/>
      <c r="FL26" s="448"/>
      <c r="FM26" s="449"/>
      <c r="FN26" s="449"/>
      <c r="FO26" s="449"/>
      <c r="FP26" s="449"/>
      <c r="FQ26" s="449"/>
      <c r="FR26" s="449"/>
      <c r="FS26" s="449"/>
      <c r="FT26" s="449"/>
      <c r="FU26" s="449"/>
      <c r="FV26" s="449"/>
      <c r="FW26" s="449"/>
      <c r="FX26" s="450"/>
    </row>
    <row r="27">
      <c r="A27" s="459"/>
      <c r="B27" s="147"/>
      <c r="C27" s="453" t="s">
        <v>680</v>
      </c>
      <c r="D27" s="443" t="s">
        <v>658</v>
      </c>
      <c r="E27" s="444" t="s">
        <v>652</v>
      </c>
      <c r="F27" s="445" t="s">
        <v>652</v>
      </c>
      <c r="G27" s="446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8"/>
      <c r="AU27" s="448"/>
      <c r="AV27" s="448"/>
      <c r="AW27" s="448"/>
      <c r="AX27" s="448"/>
      <c r="AY27" s="448"/>
      <c r="AZ27" s="448"/>
      <c r="BA27" s="448"/>
      <c r="BB27" s="448"/>
      <c r="BC27" s="448"/>
      <c r="BD27" s="448"/>
      <c r="BE27" s="448"/>
      <c r="BF27" s="448"/>
      <c r="BG27" s="448"/>
      <c r="BH27" s="448"/>
      <c r="BI27" s="448"/>
      <c r="BJ27" s="448"/>
      <c r="BK27" s="448"/>
      <c r="BL27" s="448"/>
      <c r="BM27" s="448"/>
      <c r="BN27" s="448"/>
      <c r="BO27" s="448"/>
      <c r="BP27" s="448"/>
      <c r="BQ27" s="448"/>
      <c r="BR27" s="448"/>
      <c r="BS27" s="448"/>
      <c r="BT27" s="448"/>
      <c r="BU27" s="448"/>
      <c r="BV27" s="448"/>
      <c r="BW27" s="448"/>
      <c r="BX27" s="448"/>
      <c r="BY27" s="448"/>
      <c r="BZ27" s="448"/>
      <c r="CA27" s="448"/>
      <c r="CB27" s="448"/>
      <c r="CC27" s="448"/>
      <c r="CD27" s="449"/>
      <c r="CE27" s="449"/>
      <c r="CF27" s="449"/>
      <c r="CG27" s="449"/>
      <c r="CH27" s="449"/>
      <c r="CI27" s="449"/>
      <c r="CJ27" s="449"/>
      <c r="CK27" s="449"/>
      <c r="CL27" s="449"/>
      <c r="CM27" s="449"/>
      <c r="CN27" s="449"/>
      <c r="CO27" s="450"/>
      <c r="CP27" s="454"/>
      <c r="CQ27" s="455">
        <v>247896.0</v>
      </c>
      <c r="CR27" s="456"/>
      <c r="CS27" s="456"/>
      <c r="CT27" s="456"/>
      <c r="CU27" s="456"/>
      <c r="CV27" s="456"/>
      <c r="CW27" s="456"/>
      <c r="CX27" s="456"/>
      <c r="CY27" s="456"/>
      <c r="CZ27" s="456"/>
      <c r="DA27" s="456"/>
      <c r="DB27" s="447"/>
      <c r="DC27" s="447"/>
      <c r="DD27" s="447"/>
      <c r="DE27" s="447"/>
      <c r="DF27" s="447"/>
      <c r="DG27" s="447"/>
      <c r="DH27" s="447"/>
      <c r="DI27" s="447"/>
      <c r="DJ27" s="447"/>
      <c r="DK27" s="447"/>
      <c r="DL27" s="447"/>
      <c r="DM27" s="447"/>
      <c r="DN27" s="447"/>
      <c r="DO27" s="447"/>
      <c r="DP27" s="447"/>
      <c r="DQ27" s="447"/>
      <c r="DR27" s="447"/>
      <c r="DS27" s="447"/>
      <c r="DT27" s="447"/>
      <c r="DU27" s="447"/>
      <c r="DV27" s="447"/>
      <c r="DW27" s="447"/>
      <c r="DX27" s="447"/>
      <c r="DY27" s="447"/>
      <c r="DZ27" s="447"/>
      <c r="EA27" s="447"/>
      <c r="EB27" s="447"/>
      <c r="EC27" s="448"/>
      <c r="ED27" s="448"/>
      <c r="EE27" s="448"/>
      <c r="EF27" s="448"/>
      <c r="EG27" s="448"/>
      <c r="EH27" s="448"/>
      <c r="EI27" s="448"/>
      <c r="EJ27" s="448"/>
      <c r="EK27" s="448"/>
      <c r="EL27" s="448"/>
      <c r="EM27" s="448"/>
      <c r="EN27" s="448"/>
      <c r="EO27" s="448"/>
      <c r="EP27" s="448"/>
      <c r="EQ27" s="448"/>
      <c r="ER27" s="448"/>
      <c r="ES27" s="448"/>
      <c r="ET27" s="448"/>
      <c r="EU27" s="448"/>
      <c r="EV27" s="448"/>
      <c r="EW27" s="448"/>
      <c r="EX27" s="448"/>
      <c r="EY27" s="448"/>
      <c r="EZ27" s="448"/>
      <c r="FA27" s="448"/>
      <c r="FB27" s="448"/>
      <c r="FC27" s="448"/>
      <c r="FD27" s="448"/>
      <c r="FE27" s="448"/>
      <c r="FF27" s="448"/>
      <c r="FG27" s="448"/>
      <c r="FH27" s="448"/>
      <c r="FI27" s="448"/>
      <c r="FJ27" s="448"/>
      <c r="FK27" s="448"/>
      <c r="FL27" s="448"/>
      <c r="FM27" s="449"/>
      <c r="FN27" s="449"/>
      <c r="FO27" s="449"/>
      <c r="FP27" s="449"/>
      <c r="FQ27" s="449"/>
      <c r="FR27" s="449"/>
      <c r="FS27" s="449"/>
      <c r="FT27" s="449"/>
      <c r="FU27" s="449"/>
      <c r="FV27" s="449"/>
      <c r="FW27" s="449"/>
      <c r="FX27" s="450"/>
    </row>
    <row r="28">
      <c r="A28" s="461" t="s">
        <v>681</v>
      </c>
      <c r="B28" s="15"/>
      <c r="C28" s="462"/>
      <c r="D28" s="443" t="s">
        <v>652</v>
      </c>
      <c r="E28" s="444" t="s">
        <v>652</v>
      </c>
      <c r="F28" s="445" t="s">
        <v>652</v>
      </c>
      <c r="G28" s="463">
        <f t="shared" ref="G28:FX28" si="1">SUM(G7:G27)</f>
        <v>0</v>
      </c>
      <c r="H28" s="464">
        <f t="shared" si="1"/>
        <v>0</v>
      </c>
      <c r="I28" s="464">
        <f t="shared" si="1"/>
        <v>0</v>
      </c>
      <c r="J28" s="464">
        <f t="shared" si="1"/>
        <v>0</v>
      </c>
      <c r="K28" s="464">
        <f t="shared" si="1"/>
        <v>0</v>
      </c>
      <c r="L28" s="464">
        <f t="shared" si="1"/>
        <v>0</v>
      </c>
      <c r="M28" s="464">
        <f t="shared" si="1"/>
        <v>0</v>
      </c>
      <c r="N28" s="464">
        <f t="shared" si="1"/>
        <v>0</v>
      </c>
      <c r="O28" s="464">
        <f t="shared" si="1"/>
        <v>0</v>
      </c>
      <c r="P28" s="464">
        <f t="shared" si="1"/>
        <v>0</v>
      </c>
      <c r="Q28" s="464">
        <f t="shared" si="1"/>
        <v>0</v>
      </c>
      <c r="R28" s="464">
        <f t="shared" si="1"/>
        <v>0</v>
      </c>
      <c r="S28" s="464">
        <f t="shared" si="1"/>
        <v>0</v>
      </c>
      <c r="T28" s="464">
        <f t="shared" si="1"/>
        <v>0</v>
      </c>
      <c r="U28" s="464">
        <f t="shared" si="1"/>
        <v>0</v>
      </c>
      <c r="V28" s="464">
        <f t="shared" si="1"/>
        <v>0</v>
      </c>
      <c r="W28" s="464">
        <f t="shared" si="1"/>
        <v>0</v>
      </c>
      <c r="X28" s="464">
        <f t="shared" si="1"/>
        <v>0</v>
      </c>
      <c r="Y28" s="464">
        <f t="shared" si="1"/>
        <v>0</v>
      </c>
      <c r="Z28" s="464">
        <f t="shared" si="1"/>
        <v>0</v>
      </c>
      <c r="AA28" s="464">
        <f t="shared" si="1"/>
        <v>0</v>
      </c>
      <c r="AB28" s="464">
        <f t="shared" si="1"/>
        <v>0</v>
      </c>
      <c r="AC28" s="464">
        <f t="shared" si="1"/>
        <v>0</v>
      </c>
      <c r="AD28" s="464">
        <f t="shared" si="1"/>
        <v>0</v>
      </c>
      <c r="AE28" s="464">
        <f t="shared" si="1"/>
        <v>0</v>
      </c>
      <c r="AF28" s="464">
        <f t="shared" si="1"/>
        <v>0</v>
      </c>
      <c r="AG28" s="464">
        <f t="shared" si="1"/>
        <v>0</v>
      </c>
      <c r="AH28" s="464">
        <f t="shared" si="1"/>
        <v>0</v>
      </c>
      <c r="AI28" s="464">
        <f t="shared" si="1"/>
        <v>0</v>
      </c>
      <c r="AJ28" s="464">
        <f t="shared" si="1"/>
        <v>0</v>
      </c>
      <c r="AK28" s="464">
        <f t="shared" si="1"/>
        <v>0</v>
      </c>
      <c r="AL28" s="464">
        <f t="shared" si="1"/>
        <v>0</v>
      </c>
      <c r="AM28" s="464">
        <f t="shared" si="1"/>
        <v>0</v>
      </c>
      <c r="AN28" s="464">
        <f t="shared" si="1"/>
        <v>0</v>
      </c>
      <c r="AO28" s="464">
        <f t="shared" si="1"/>
        <v>0</v>
      </c>
      <c r="AP28" s="464">
        <f t="shared" si="1"/>
        <v>0</v>
      </c>
      <c r="AQ28" s="464">
        <f t="shared" si="1"/>
        <v>0</v>
      </c>
      <c r="AR28" s="464">
        <f t="shared" si="1"/>
        <v>0</v>
      </c>
      <c r="AS28" s="464">
        <f t="shared" si="1"/>
        <v>0</v>
      </c>
      <c r="AT28" s="464">
        <f t="shared" si="1"/>
        <v>0</v>
      </c>
      <c r="AU28" s="464">
        <f t="shared" si="1"/>
        <v>0</v>
      </c>
      <c r="AV28" s="464">
        <f t="shared" si="1"/>
        <v>0</v>
      </c>
      <c r="AW28" s="464">
        <f t="shared" si="1"/>
        <v>0</v>
      </c>
      <c r="AX28" s="464">
        <f t="shared" si="1"/>
        <v>0</v>
      </c>
      <c r="AY28" s="464">
        <f t="shared" si="1"/>
        <v>0</v>
      </c>
      <c r="AZ28" s="464">
        <f t="shared" si="1"/>
        <v>0</v>
      </c>
      <c r="BA28" s="464">
        <f t="shared" si="1"/>
        <v>0</v>
      </c>
      <c r="BB28" s="464">
        <f t="shared" si="1"/>
        <v>0</v>
      </c>
      <c r="BC28" s="464">
        <f t="shared" si="1"/>
        <v>0</v>
      </c>
      <c r="BD28" s="464">
        <f t="shared" si="1"/>
        <v>0</v>
      </c>
      <c r="BE28" s="464">
        <f t="shared" si="1"/>
        <v>0</v>
      </c>
      <c r="BF28" s="464">
        <f t="shared" si="1"/>
        <v>0</v>
      </c>
      <c r="BG28" s="464">
        <f t="shared" si="1"/>
        <v>0</v>
      </c>
      <c r="BH28" s="464">
        <f t="shared" si="1"/>
        <v>0</v>
      </c>
      <c r="BI28" s="464">
        <f t="shared" si="1"/>
        <v>0</v>
      </c>
      <c r="BJ28" s="464">
        <f t="shared" si="1"/>
        <v>0</v>
      </c>
      <c r="BK28" s="464">
        <f t="shared" si="1"/>
        <v>0</v>
      </c>
      <c r="BL28" s="464">
        <f t="shared" si="1"/>
        <v>0</v>
      </c>
      <c r="BM28" s="464">
        <f t="shared" si="1"/>
        <v>0</v>
      </c>
      <c r="BN28" s="464">
        <f t="shared" si="1"/>
        <v>0</v>
      </c>
      <c r="BO28" s="464">
        <f t="shared" si="1"/>
        <v>0</v>
      </c>
      <c r="BP28" s="464">
        <f t="shared" si="1"/>
        <v>0</v>
      </c>
      <c r="BQ28" s="464">
        <f t="shared" si="1"/>
        <v>0</v>
      </c>
      <c r="BR28" s="464">
        <f t="shared" si="1"/>
        <v>0</v>
      </c>
      <c r="BS28" s="464">
        <f t="shared" si="1"/>
        <v>0</v>
      </c>
      <c r="BT28" s="464">
        <f t="shared" si="1"/>
        <v>0</v>
      </c>
      <c r="BU28" s="464">
        <f t="shared" si="1"/>
        <v>0</v>
      </c>
      <c r="BV28" s="464">
        <f t="shared" si="1"/>
        <v>0</v>
      </c>
      <c r="BW28" s="464">
        <f t="shared" si="1"/>
        <v>0</v>
      </c>
      <c r="BX28" s="464">
        <f t="shared" si="1"/>
        <v>0</v>
      </c>
      <c r="BY28" s="464">
        <f t="shared" si="1"/>
        <v>0</v>
      </c>
      <c r="BZ28" s="464">
        <f t="shared" si="1"/>
        <v>0</v>
      </c>
      <c r="CA28" s="464">
        <f t="shared" si="1"/>
        <v>0</v>
      </c>
      <c r="CB28" s="464">
        <f t="shared" si="1"/>
        <v>0</v>
      </c>
      <c r="CC28" s="464">
        <f t="shared" si="1"/>
        <v>0</v>
      </c>
      <c r="CD28" s="464">
        <f t="shared" si="1"/>
        <v>0</v>
      </c>
      <c r="CE28" s="464">
        <f t="shared" si="1"/>
        <v>0</v>
      </c>
      <c r="CF28" s="464">
        <f t="shared" si="1"/>
        <v>0</v>
      </c>
      <c r="CG28" s="464">
        <f t="shared" si="1"/>
        <v>0</v>
      </c>
      <c r="CH28" s="464">
        <f t="shared" si="1"/>
        <v>0</v>
      </c>
      <c r="CI28" s="464">
        <f t="shared" si="1"/>
        <v>0</v>
      </c>
      <c r="CJ28" s="464">
        <f t="shared" si="1"/>
        <v>0</v>
      </c>
      <c r="CK28" s="464">
        <f t="shared" si="1"/>
        <v>0</v>
      </c>
      <c r="CL28" s="464">
        <f t="shared" si="1"/>
        <v>0</v>
      </c>
      <c r="CM28" s="464">
        <f t="shared" si="1"/>
        <v>0</v>
      </c>
      <c r="CN28" s="464">
        <f t="shared" si="1"/>
        <v>0</v>
      </c>
      <c r="CO28" s="465">
        <f t="shared" si="1"/>
        <v>0</v>
      </c>
      <c r="CP28" s="463">
        <f t="shared" si="1"/>
        <v>0</v>
      </c>
      <c r="CQ28" s="464">
        <f t="shared" si="1"/>
        <v>7426618.9</v>
      </c>
      <c r="CR28" s="464">
        <f t="shared" si="1"/>
        <v>0</v>
      </c>
      <c r="CS28" s="464">
        <f t="shared" si="1"/>
        <v>0</v>
      </c>
      <c r="CT28" s="464">
        <f t="shared" si="1"/>
        <v>0</v>
      </c>
      <c r="CU28" s="464">
        <f t="shared" si="1"/>
        <v>0</v>
      </c>
      <c r="CV28" s="464">
        <f t="shared" si="1"/>
        <v>0</v>
      </c>
      <c r="CW28" s="464">
        <f t="shared" si="1"/>
        <v>0</v>
      </c>
      <c r="CX28" s="464">
        <f t="shared" si="1"/>
        <v>0</v>
      </c>
      <c r="CY28" s="464">
        <f t="shared" si="1"/>
        <v>0</v>
      </c>
      <c r="CZ28" s="464">
        <f t="shared" si="1"/>
        <v>0</v>
      </c>
      <c r="DA28" s="464">
        <f t="shared" si="1"/>
        <v>0</v>
      </c>
      <c r="DB28" s="464">
        <f t="shared" si="1"/>
        <v>0</v>
      </c>
      <c r="DC28" s="464">
        <f t="shared" si="1"/>
        <v>0</v>
      </c>
      <c r="DD28" s="464">
        <f t="shared" si="1"/>
        <v>0</v>
      </c>
      <c r="DE28" s="464">
        <f t="shared" si="1"/>
        <v>0</v>
      </c>
      <c r="DF28" s="464">
        <f t="shared" si="1"/>
        <v>0</v>
      </c>
      <c r="DG28" s="464">
        <f t="shared" si="1"/>
        <v>0</v>
      </c>
      <c r="DH28" s="464">
        <f t="shared" si="1"/>
        <v>0</v>
      </c>
      <c r="DI28" s="464">
        <f t="shared" si="1"/>
        <v>0</v>
      </c>
      <c r="DJ28" s="464">
        <f t="shared" si="1"/>
        <v>0</v>
      </c>
      <c r="DK28" s="464">
        <f t="shared" si="1"/>
        <v>0</v>
      </c>
      <c r="DL28" s="464">
        <f t="shared" si="1"/>
        <v>0</v>
      </c>
      <c r="DM28" s="464">
        <f t="shared" si="1"/>
        <v>0</v>
      </c>
      <c r="DN28" s="464">
        <f t="shared" si="1"/>
        <v>0</v>
      </c>
      <c r="DO28" s="464">
        <f t="shared" si="1"/>
        <v>0</v>
      </c>
      <c r="DP28" s="464">
        <f t="shared" si="1"/>
        <v>0</v>
      </c>
      <c r="DQ28" s="464">
        <f t="shared" si="1"/>
        <v>0</v>
      </c>
      <c r="DR28" s="464">
        <f t="shared" si="1"/>
        <v>0</v>
      </c>
      <c r="DS28" s="464">
        <f t="shared" si="1"/>
        <v>0</v>
      </c>
      <c r="DT28" s="464">
        <f t="shared" si="1"/>
        <v>0</v>
      </c>
      <c r="DU28" s="464">
        <f t="shared" si="1"/>
        <v>0</v>
      </c>
      <c r="DV28" s="464">
        <f t="shared" si="1"/>
        <v>0</v>
      </c>
      <c r="DW28" s="464">
        <f t="shared" si="1"/>
        <v>0</v>
      </c>
      <c r="DX28" s="464">
        <f t="shared" si="1"/>
        <v>0</v>
      </c>
      <c r="DY28" s="464">
        <f t="shared" si="1"/>
        <v>0</v>
      </c>
      <c r="DZ28" s="464">
        <f t="shared" si="1"/>
        <v>0</v>
      </c>
      <c r="EA28" s="464">
        <f t="shared" si="1"/>
        <v>0</v>
      </c>
      <c r="EB28" s="464">
        <f t="shared" si="1"/>
        <v>0</v>
      </c>
      <c r="EC28" s="464">
        <f t="shared" si="1"/>
        <v>0</v>
      </c>
      <c r="ED28" s="464">
        <f t="shared" si="1"/>
        <v>0</v>
      </c>
      <c r="EE28" s="464">
        <f t="shared" si="1"/>
        <v>0</v>
      </c>
      <c r="EF28" s="464">
        <f t="shared" si="1"/>
        <v>0</v>
      </c>
      <c r="EG28" s="464">
        <f t="shared" si="1"/>
        <v>0</v>
      </c>
      <c r="EH28" s="464">
        <f t="shared" si="1"/>
        <v>0</v>
      </c>
      <c r="EI28" s="464">
        <f t="shared" si="1"/>
        <v>0</v>
      </c>
      <c r="EJ28" s="464">
        <f t="shared" si="1"/>
        <v>0</v>
      </c>
      <c r="EK28" s="464">
        <f t="shared" si="1"/>
        <v>0</v>
      </c>
      <c r="EL28" s="464">
        <f t="shared" si="1"/>
        <v>0</v>
      </c>
      <c r="EM28" s="464">
        <f t="shared" si="1"/>
        <v>0</v>
      </c>
      <c r="EN28" s="464">
        <f t="shared" si="1"/>
        <v>0</v>
      </c>
      <c r="EO28" s="464">
        <f t="shared" si="1"/>
        <v>0</v>
      </c>
      <c r="EP28" s="464">
        <f t="shared" si="1"/>
        <v>0</v>
      </c>
      <c r="EQ28" s="464">
        <f t="shared" si="1"/>
        <v>0</v>
      </c>
      <c r="ER28" s="464">
        <f t="shared" si="1"/>
        <v>0</v>
      </c>
      <c r="ES28" s="464">
        <f t="shared" si="1"/>
        <v>0</v>
      </c>
      <c r="ET28" s="464">
        <f t="shared" si="1"/>
        <v>0</v>
      </c>
      <c r="EU28" s="464">
        <f t="shared" si="1"/>
        <v>0</v>
      </c>
      <c r="EV28" s="464">
        <f t="shared" si="1"/>
        <v>0</v>
      </c>
      <c r="EW28" s="464">
        <f t="shared" si="1"/>
        <v>0</v>
      </c>
      <c r="EX28" s="464">
        <f t="shared" si="1"/>
        <v>0</v>
      </c>
      <c r="EY28" s="464">
        <f t="shared" si="1"/>
        <v>0</v>
      </c>
      <c r="EZ28" s="464">
        <f t="shared" si="1"/>
        <v>0</v>
      </c>
      <c r="FA28" s="464">
        <f t="shared" si="1"/>
        <v>0</v>
      </c>
      <c r="FB28" s="464">
        <f t="shared" si="1"/>
        <v>0</v>
      </c>
      <c r="FC28" s="464">
        <f t="shared" si="1"/>
        <v>0</v>
      </c>
      <c r="FD28" s="464">
        <f t="shared" si="1"/>
        <v>0</v>
      </c>
      <c r="FE28" s="464">
        <f t="shared" si="1"/>
        <v>0</v>
      </c>
      <c r="FF28" s="464">
        <f t="shared" si="1"/>
        <v>0</v>
      </c>
      <c r="FG28" s="464">
        <f t="shared" si="1"/>
        <v>0</v>
      </c>
      <c r="FH28" s="464">
        <f t="shared" si="1"/>
        <v>0</v>
      </c>
      <c r="FI28" s="464">
        <f t="shared" si="1"/>
        <v>0</v>
      </c>
      <c r="FJ28" s="464">
        <f t="shared" si="1"/>
        <v>0</v>
      </c>
      <c r="FK28" s="464">
        <f t="shared" si="1"/>
        <v>0</v>
      </c>
      <c r="FL28" s="464">
        <f t="shared" si="1"/>
        <v>0</v>
      </c>
      <c r="FM28" s="464">
        <f t="shared" si="1"/>
        <v>0</v>
      </c>
      <c r="FN28" s="464">
        <f t="shared" si="1"/>
        <v>0</v>
      </c>
      <c r="FO28" s="464">
        <f t="shared" si="1"/>
        <v>0</v>
      </c>
      <c r="FP28" s="464">
        <f t="shared" si="1"/>
        <v>0</v>
      </c>
      <c r="FQ28" s="464">
        <f t="shared" si="1"/>
        <v>0</v>
      </c>
      <c r="FR28" s="464">
        <f t="shared" si="1"/>
        <v>0</v>
      </c>
      <c r="FS28" s="464">
        <f t="shared" si="1"/>
        <v>0</v>
      </c>
      <c r="FT28" s="464">
        <f t="shared" si="1"/>
        <v>0</v>
      </c>
      <c r="FU28" s="464">
        <f t="shared" si="1"/>
        <v>0</v>
      </c>
      <c r="FV28" s="464">
        <f t="shared" si="1"/>
        <v>0</v>
      </c>
      <c r="FW28" s="464">
        <f t="shared" si="1"/>
        <v>0</v>
      </c>
      <c r="FX28" s="465">
        <f t="shared" si="1"/>
        <v>0</v>
      </c>
    </row>
    <row r="29">
      <c r="A29" s="466" t="s">
        <v>682</v>
      </c>
      <c r="B29" s="15"/>
      <c r="C29" s="462"/>
      <c r="D29" s="443" t="s">
        <v>652</v>
      </c>
      <c r="E29" s="444" t="s">
        <v>652</v>
      </c>
      <c r="F29" s="445" t="s">
        <v>652</v>
      </c>
      <c r="G29" s="467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468"/>
      <c r="CP29" s="467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468"/>
    </row>
    <row r="30">
      <c r="A30" s="469" t="s">
        <v>625</v>
      </c>
      <c r="B30" s="460" t="s">
        <v>628</v>
      </c>
      <c r="C30" s="453" t="s">
        <v>631</v>
      </c>
      <c r="D30" s="470" t="s">
        <v>683</v>
      </c>
      <c r="E30" s="471">
        <v>1.0</v>
      </c>
      <c r="F30" s="472">
        <v>1.0</v>
      </c>
      <c r="G30" s="473">
        <f>IFERROR(__xludf.DUMMYFUNCTION("INDIRECT(CONCATENATE(""'"",INDEX(SPLIT($D30,""E""),1),""E"",INDEX(SPLIT($D30,""E""),2)+$E30*(COLUMN()-COLUMN($G30))))"),0.0)</f>
        <v>0</v>
      </c>
      <c r="H30" s="474">
        <f>IFERROR(__xludf.DUMMYFUNCTION("INDIRECT(CONCATENATE(""'"",INDEX(SPLIT($D30,""E""),1),""E"",INDEX(SPLIT($D30,""E""),2)+$E30*(COLUMN()-COLUMN($G30))))"),0.0)</f>
        <v>0</v>
      </c>
      <c r="I30" s="474">
        <f>IFERROR(__xludf.DUMMYFUNCTION("INDIRECT(CONCATENATE(""'"",INDEX(SPLIT($D30,""E""),1),""E"",INDEX(SPLIT($D30,""E""),2)+$E30*(COLUMN()-COLUMN($G30))))"),0.0)</f>
        <v>0</v>
      </c>
      <c r="J30" s="474">
        <f>IFERROR(__xludf.DUMMYFUNCTION("INDIRECT(CONCATENATE(""'"",INDEX(SPLIT($D30,""E""),1),""E"",INDEX(SPLIT($D30,""E""),2)+$E30*(COLUMN()-COLUMN($G30))))"),0.0)</f>
        <v>0</v>
      </c>
      <c r="K30" s="474">
        <f>IFERROR(__xludf.DUMMYFUNCTION("INDIRECT(CONCATENATE(""'"",INDEX(SPLIT($D30,""E""),1),""E"",INDEX(SPLIT($D30,""E""),2)+$E30*(COLUMN()-COLUMN($G30))))"),0.0)</f>
        <v>0</v>
      </c>
      <c r="L30" s="474">
        <f>IFERROR(__xludf.DUMMYFUNCTION("INDIRECT(CONCATENATE(""'"",INDEX(SPLIT($D30,""E""),1),""E"",INDEX(SPLIT($D30,""E""),2)+$E30*(COLUMN()-COLUMN($G30))))"),0.0)</f>
        <v>0</v>
      </c>
      <c r="M30" s="474">
        <f>IFERROR(__xludf.DUMMYFUNCTION("INDIRECT(CONCATENATE(""'"",INDEX(SPLIT($D30,""E""),1),""E"",INDEX(SPLIT($D30,""E""),2)+$E30*(COLUMN()-COLUMN($G30))))"),0.0)</f>
        <v>0</v>
      </c>
      <c r="N30" s="474">
        <f>IFERROR(__xludf.DUMMYFUNCTION("INDIRECT(CONCATENATE(""'"",INDEX(SPLIT($D30,""E""),1),""E"",INDEX(SPLIT($D30,""E""),2)+$E30*(COLUMN()-COLUMN($G30))))"),0.0)</f>
        <v>0</v>
      </c>
      <c r="O30" s="474">
        <f>IFERROR(__xludf.DUMMYFUNCTION("INDIRECT(CONCATENATE(""'"",INDEX(SPLIT($D30,""E""),1),""E"",INDEX(SPLIT($D30,""E""),2)+$E30*(COLUMN()-COLUMN($G30))))"),0.0)</f>
        <v>0</v>
      </c>
      <c r="P30" s="474">
        <f>IFERROR(__xludf.DUMMYFUNCTION("INDIRECT(CONCATENATE(""'"",INDEX(SPLIT($D30,""E""),1),""E"",INDEX(SPLIT($D30,""E""),2)+$E30*(COLUMN()-COLUMN($G30))))"),0.0)</f>
        <v>0</v>
      </c>
      <c r="Q30" s="474">
        <f>IFERROR(__xludf.DUMMYFUNCTION("INDIRECT(CONCATENATE(""'"",INDEX(SPLIT($D30,""E""),1),""E"",INDEX(SPLIT($D30,""E""),2)+$E30*(COLUMN()-COLUMN($G30))))"),0.0)</f>
        <v>0</v>
      </c>
      <c r="R30" s="474">
        <f>IFERROR(__xludf.DUMMYFUNCTION("INDIRECT(CONCATENATE(""'"",INDEX(SPLIT($D30,""E""),1),""E"",INDEX(SPLIT($D30,""E""),2)+$E30*(COLUMN()-COLUMN($G30))))"),0.0)</f>
        <v>0</v>
      </c>
      <c r="S30" s="474">
        <f>IFERROR(__xludf.DUMMYFUNCTION("INDIRECT(CONCATENATE(""'"",INDEX(SPLIT($D30,""E""),1),""E"",INDEX(SPLIT($D30,""E""),2)+$E30*(COLUMN()-COLUMN($G30))))"),0.0)</f>
        <v>0</v>
      </c>
      <c r="T30" s="474">
        <f>IFERROR(__xludf.DUMMYFUNCTION("INDIRECT(CONCATENATE(""'"",INDEX(SPLIT($D30,""E""),1),""E"",INDEX(SPLIT($D30,""E""),2)+$E30*(COLUMN()-COLUMN($G30))))"),0.0)</f>
        <v>0</v>
      </c>
      <c r="U30" s="474">
        <f>IFERROR(__xludf.DUMMYFUNCTION("INDIRECT(CONCATENATE(""'"",INDEX(SPLIT($D30,""E""),1),""E"",INDEX(SPLIT($D30,""E""),2)+$E30*(COLUMN()-COLUMN($G30))))"),0.0)</f>
        <v>0</v>
      </c>
      <c r="V30" s="474">
        <f>IFERROR(__xludf.DUMMYFUNCTION("INDIRECT(CONCATENATE(""'"",INDEX(SPLIT($D30,""E""),1),""E"",INDEX(SPLIT($D30,""E""),2)+$E30*(COLUMN()-COLUMN($G30))))"),0.0)</f>
        <v>0</v>
      </c>
      <c r="W30" s="474">
        <f>IFERROR(__xludf.DUMMYFUNCTION("INDIRECT(CONCATENATE(""'"",INDEX(SPLIT($D30,""E""),1),""E"",INDEX(SPLIT($D30,""E""),2)+$E30*(COLUMN()-COLUMN($G30))))"),0.0)</f>
        <v>0</v>
      </c>
      <c r="X30" s="474">
        <f>IFERROR(__xludf.DUMMYFUNCTION("INDIRECT(CONCATENATE(""'"",INDEX(SPLIT($D30,""E""),1),""E"",INDEX(SPLIT($D30,""E""),2)+$E30*(COLUMN()-COLUMN($G30))))"),0.0)</f>
        <v>0</v>
      </c>
      <c r="Y30" s="474">
        <f>IFERROR(__xludf.DUMMYFUNCTION("INDIRECT(CONCATENATE(""'"",INDEX(SPLIT($D30,""E""),1),""E"",INDEX(SPLIT($D30,""E""),2)+$E30*(COLUMN()-COLUMN($G30))))"),0.0)</f>
        <v>0</v>
      </c>
      <c r="Z30" s="474">
        <f>IFERROR(__xludf.DUMMYFUNCTION("INDIRECT(CONCATENATE(""'"",INDEX(SPLIT($D30,""E""),1),""E"",INDEX(SPLIT($D30,""E""),2)+$E30*(COLUMN()-COLUMN($G30))))"),0.0)</f>
        <v>0</v>
      </c>
      <c r="AA30" s="474">
        <f>IFERROR(__xludf.DUMMYFUNCTION("INDIRECT(CONCATENATE(""'"",INDEX(SPLIT($D30,""E""),1),""E"",INDEX(SPLIT($D30,""E""),2)+$E30*(COLUMN()-COLUMN($G30))))"),0.0)</f>
        <v>0</v>
      </c>
      <c r="AB30" s="474">
        <f>IFERROR(__xludf.DUMMYFUNCTION("INDIRECT(CONCATENATE(""'"",INDEX(SPLIT($D30,""E""),1),""E"",INDEX(SPLIT($D30,""E""),2)+$E30*(COLUMN()-COLUMN($G30))))"),0.0)</f>
        <v>0</v>
      </c>
      <c r="AC30" s="474">
        <f>IFERROR(__xludf.DUMMYFUNCTION("INDIRECT(CONCATENATE(""'"",INDEX(SPLIT($D30,""E""),1),""E"",INDEX(SPLIT($D30,""E""),2)+$E30*(COLUMN()-COLUMN($G30))))"),0.0)</f>
        <v>0</v>
      </c>
      <c r="AD30" s="474">
        <f>IFERROR(__xludf.DUMMYFUNCTION("INDIRECT(CONCATENATE(""'"",INDEX(SPLIT($D30,""E""),1),""E"",INDEX(SPLIT($D30,""E""),2)+$E30*(COLUMN()-COLUMN($G30))))"),0.0)</f>
        <v>0</v>
      </c>
      <c r="AE30" s="474">
        <f>IFERROR(__xludf.DUMMYFUNCTION("INDIRECT(CONCATENATE(""'"",INDEX(SPLIT($D30,""E""),1),""E"",INDEX(SPLIT($D30,""E""),2)+$E30*(COLUMN()-COLUMN($G30))))"),0.0)</f>
        <v>0</v>
      </c>
      <c r="AF30" s="474">
        <f>IFERROR(__xludf.DUMMYFUNCTION("INDIRECT(CONCATENATE(""'"",INDEX(SPLIT($D30,""E""),1),""E"",INDEX(SPLIT($D30,""E""),2)+$E30*(COLUMN()-COLUMN($G30))))"),0.0)</f>
        <v>0</v>
      </c>
      <c r="AG30" s="474">
        <f>IFERROR(__xludf.DUMMYFUNCTION("INDIRECT(CONCATENATE(""'"",INDEX(SPLIT($D30,""E""),1),""E"",INDEX(SPLIT($D30,""E""),2)+$E30*(COLUMN()-COLUMN($G30))))"),0.0)</f>
        <v>0</v>
      </c>
      <c r="AH30" s="474">
        <f>IFERROR(__xludf.DUMMYFUNCTION("INDIRECT(CONCATENATE(""'"",INDEX(SPLIT($D30,""E""),1),""E"",INDEX(SPLIT($D30,""E""),2)+$E30*(COLUMN()-COLUMN($G30))))"),0.0)</f>
        <v>0</v>
      </c>
      <c r="AI30" s="474">
        <f>IFERROR(__xludf.DUMMYFUNCTION("INDIRECT(CONCATENATE(""'"",INDEX(SPLIT($D30,""E""),1),""E"",INDEX(SPLIT($D30,""E""),2)+$E30*(COLUMN()-COLUMN($G30))))"),0.0)</f>
        <v>0</v>
      </c>
      <c r="AJ30" s="474">
        <f>IFERROR(__xludf.DUMMYFUNCTION("INDIRECT(CONCATENATE(""'"",INDEX(SPLIT($D30,""E""),1),""E"",INDEX(SPLIT($D30,""E""),2)+$E30*(COLUMN()-COLUMN($G30))))"),0.0)</f>
        <v>0</v>
      </c>
      <c r="AK30" s="474">
        <f>IFERROR(__xludf.DUMMYFUNCTION("INDIRECT(CONCATENATE(""'"",INDEX(SPLIT($D30,""E""),1),""E"",INDEX(SPLIT($D30,""E""),2)+$E30*(COLUMN()-COLUMN($G30))))"),0.0)</f>
        <v>0</v>
      </c>
      <c r="AL30" s="474">
        <f>IFERROR(__xludf.DUMMYFUNCTION("INDIRECT(CONCATENATE(""'"",INDEX(SPLIT($D30,""E""),1),""E"",INDEX(SPLIT($D30,""E""),2)+$E30*(COLUMN()-COLUMN($G30))))"),0.0)</f>
        <v>0</v>
      </c>
      <c r="AM30" s="474">
        <f>IFERROR(__xludf.DUMMYFUNCTION("INDIRECT(CONCATENATE(""'"",INDEX(SPLIT($D30,""E""),1),""E"",INDEX(SPLIT($D30,""E""),2)+$E30*(COLUMN()-COLUMN($G30))))"),0.0)</f>
        <v>0</v>
      </c>
      <c r="AN30" s="474">
        <f>IFERROR(__xludf.DUMMYFUNCTION("INDIRECT(CONCATENATE(""'"",INDEX(SPLIT($D30,""E""),1),""E"",INDEX(SPLIT($D30,""E""),2)+$E30*(COLUMN()-COLUMN($G30))))"),0.0)</f>
        <v>0</v>
      </c>
      <c r="AO30" s="474">
        <f>IFERROR(__xludf.DUMMYFUNCTION("INDIRECT(CONCATENATE(""'"",INDEX(SPLIT($D30,""E""),1),""E"",INDEX(SPLIT($D30,""E""),2)+$E30*(COLUMN()-COLUMN($G30))))"),0.0)</f>
        <v>0</v>
      </c>
      <c r="AP30" s="474">
        <f>IFERROR(__xludf.DUMMYFUNCTION("INDIRECT(CONCATENATE(""'"",INDEX(SPLIT($D30,""E""),1),""E"",INDEX(SPLIT($D30,""E""),2)+$E30*(COLUMN()-COLUMN($G30))))"),0.0)</f>
        <v>0</v>
      </c>
      <c r="AQ30" s="474">
        <f>IFERROR(__xludf.DUMMYFUNCTION("INDIRECT(CONCATENATE(""'"",INDEX(SPLIT($D30,""E""),1),""E"",INDEX(SPLIT($D30,""E""),2)+$E30*(COLUMN()-COLUMN($G30))))"),0.0)</f>
        <v>0</v>
      </c>
      <c r="AR30" s="474">
        <f>IFERROR(__xludf.DUMMYFUNCTION("INDIRECT(CONCATENATE(""'"",INDEX(SPLIT($D30,""E""),1),""E"",INDEX(SPLIT($D30,""E""),2)+$E30*(COLUMN()-COLUMN($G30))))"),0.0)</f>
        <v>0</v>
      </c>
      <c r="AS30" s="474">
        <f>IFERROR(__xludf.DUMMYFUNCTION("INDIRECT(CONCATENATE(""'"",INDEX(SPLIT($D30,""E""),1),""E"",INDEX(SPLIT($D30,""E""),2)+$E30*(COLUMN()-COLUMN($G30))))"),0.0)</f>
        <v>0</v>
      </c>
      <c r="AT30" s="474">
        <f>IFERROR(__xludf.DUMMYFUNCTION("INDIRECT(CONCATENATE(""'"",INDEX(SPLIT($D30,""E""),1),""E"",INDEX(SPLIT($D30,""E""),2)+$E30*(COLUMN()-COLUMN($G30))))"),0.0)</f>
        <v>0</v>
      </c>
      <c r="AU30" s="474">
        <f>IFERROR(__xludf.DUMMYFUNCTION("INDIRECT(CONCATENATE(""'"",INDEX(SPLIT($D30,""E""),1),""E"",INDEX(SPLIT($D30,""E""),2)+$E30*(COLUMN()-COLUMN($G30))))"),0.0)</f>
        <v>0</v>
      </c>
      <c r="AV30" s="474">
        <f>IFERROR(__xludf.DUMMYFUNCTION("INDIRECT(CONCATENATE(""'"",INDEX(SPLIT($D30,""E""),1),""E"",INDEX(SPLIT($D30,""E""),2)+$E30*(COLUMN()-COLUMN($G30))))"),0.0)</f>
        <v>0</v>
      </c>
      <c r="AW30" s="474">
        <f>IFERROR(__xludf.DUMMYFUNCTION("INDIRECT(CONCATENATE(""'"",INDEX(SPLIT($D30,""E""),1),""E"",INDEX(SPLIT($D30,""E""),2)+$E30*(COLUMN()-COLUMN($G30))))"),0.0)</f>
        <v>0</v>
      </c>
      <c r="AX30" s="474">
        <f>IFERROR(__xludf.DUMMYFUNCTION("INDIRECT(CONCATENATE(""'"",INDEX(SPLIT($D30,""E""),1),""E"",INDEX(SPLIT($D30,""E""),2)+$E30*(COLUMN()-COLUMN($G30))))"),0.0)</f>
        <v>0</v>
      </c>
      <c r="AY30" s="474">
        <f>IFERROR(__xludf.DUMMYFUNCTION("INDIRECT(CONCATENATE(""'"",INDEX(SPLIT($D30,""E""),1),""E"",INDEX(SPLIT($D30,""E""),2)+$E30*(COLUMN()-COLUMN($G30))))"),0.0)</f>
        <v>0</v>
      </c>
      <c r="AZ30" s="474">
        <f>IFERROR(__xludf.DUMMYFUNCTION("INDIRECT(CONCATENATE(""'"",INDEX(SPLIT($D30,""E""),1),""E"",INDEX(SPLIT($D30,""E""),2)+$E30*(COLUMN()-COLUMN($G30))))"),0.0)</f>
        <v>0</v>
      </c>
      <c r="BA30" s="474">
        <f>IFERROR(__xludf.DUMMYFUNCTION("INDIRECT(CONCATENATE(""'"",INDEX(SPLIT($D30,""E""),1),""E"",INDEX(SPLIT($D30,""E""),2)+$E30*(COLUMN()-COLUMN($G30))))"),0.0)</f>
        <v>0</v>
      </c>
      <c r="BB30" s="474">
        <f>IFERROR(__xludf.DUMMYFUNCTION("INDIRECT(CONCATENATE(""'"",INDEX(SPLIT($D30,""E""),1),""E"",INDEX(SPLIT($D30,""E""),2)+$E30*(COLUMN()-COLUMN($G30))))"),0.0)</f>
        <v>0</v>
      </c>
      <c r="BC30" s="474">
        <f>IFERROR(__xludf.DUMMYFUNCTION("INDIRECT(CONCATENATE(""'"",INDEX(SPLIT($D30,""E""),1),""E"",INDEX(SPLIT($D30,""E""),2)+$E30*(COLUMN()-COLUMN($G30))))"),0.0)</f>
        <v>0</v>
      </c>
      <c r="BD30" s="474">
        <f>IFERROR(__xludf.DUMMYFUNCTION("INDIRECT(CONCATENATE(""'"",INDEX(SPLIT($D30,""E""),1),""E"",INDEX(SPLIT($D30,""E""),2)+$E30*(COLUMN()-COLUMN($G30))))"),0.0)</f>
        <v>0</v>
      </c>
      <c r="BE30" s="474">
        <f>IFERROR(__xludf.DUMMYFUNCTION("INDIRECT(CONCATENATE(""'"",INDEX(SPLIT($D30,""E""),1),""E"",INDEX(SPLIT($D30,""E""),2)+$E30*(COLUMN()-COLUMN($G30))))"),0.0)</f>
        <v>0</v>
      </c>
      <c r="BF30" s="474">
        <f>IFERROR(__xludf.DUMMYFUNCTION("INDIRECT(CONCATENATE(""'"",INDEX(SPLIT($D30,""E""),1),""E"",INDEX(SPLIT($D30,""E""),2)+$E30*(COLUMN()-COLUMN($G30))))"),0.0)</f>
        <v>0</v>
      </c>
      <c r="BG30" s="474">
        <f>IFERROR(__xludf.DUMMYFUNCTION("INDIRECT(CONCATENATE(""'"",INDEX(SPLIT($D30,""E""),1),""E"",INDEX(SPLIT($D30,""E""),2)+$E30*(COLUMN()-COLUMN($G30))))"),0.0)</f>
        <v>0</v>
      </c>
      <c r="BH30" s="474">
        <f>IFERROR(__xludf.DUMMYFUNCTION("INDIRECT(CONCATENATE(""'"",INDEX(SPLIT($D30,""E""),1),""E"",INDEX(SPLIT($D30,""E""),2)+$E30*(COLUMN()-COLUMN($G30))))"),0.0)</f>
        <v>0</v>
      </c>
      <c r="BI30" s="474">
        <f>IFERROR(__xludf.DUMMYFUNCTION("INDIRECT(CONCATENATE(""'"",INDEX(SPLIT($D30,""E""),1),""E"",INDEX(SPLIT($D30,""E""),2)+$E30*(COLUMN()-COLUMN($G30))))"),0.0)</f>
        <v>0</v>
      </c>
      <c r="BJ30" s="474">
        <f>IFERROR(__xludf.DUMMYFUNCTION("INDIRECT(CONCATENATE(""'"",INDEX(SPLIT($D30,""E""),1),""E"",INDEX(SPLIT($D30,""E""),2)+$E30*(COLUMN()-COLUMN($G30))))"),0.0)</f>
        <v>0</v>
      </c>
      <c r="BK30" s="474">
        <f>IFERROR(__xludf.DUMMYFUNCTION("INDIRECT(CONCATENATE(""'"",INDEX(SPLIT($D30,""E""),1),""E"",INDEX(SPLIT($D30,""E""),2)+$E30*(COLUMN()-COLUMN($G30))))"),0.0)</f>
        <v>0</v>
      </c>
      <c r="BL30" s="474">
        <f>IFERROR(__xludf.DUMMYFUNCTION("INDIRECT(CONCATENATE(""'"",INDEX(SPLIT($D30,""E""),1),""E"",INDEX(SPLIT($D30,""E""),2)+$E30*(COLUMN()-COLUMN($G30))))"),0.0)</f>
        <v>0</v>
      </c>
      <c r="BM30" s="474">
        <f>IFERROR(__xludf.DUMMYFUNCTION("INDIRECT(CONCATENATE(""'"",INDEX(SPLIT($D30,""E""),1),""E"",INDEX(SPLIT($D30,""E""),2)+$E30*(COLUMN()-COLUMN($G30))))"),0.0)</f>
        <v>0</v>
      </c>
      <c r="BN30" s="474">
        <f>IFERROR(__xludf.DUMMYFUNCTION("INDIRECT(CONCATENATE(""'"",INDEX(SPLIT($D30,""E""),1),""E"",INDEX(SPLIT($D30,""E""),2)+$E30*(COLUMN()-COLUMN($G30))))"),0.0)</f>
        <v>0</v>
      </c>
      <c r="BO30" s="474">
        <f>IFERROR(__xludf.DUMMYFUNCTION("INDIRECT(CONCATENATE(""'"",INDEX(SPLIT($D30,""E""),1),""E"",INDEX(SPLIT($D30,""E""),2)+$E30*(COLUMN()-COLUMN($G30))))"),0.0)</f>
        <v>0</v>
      </c>
      <c r="BP30" s="474">
        <f>IFERROR(__xludf.DUMMYFUNCTION("INDIRECT(CONCATENATE(""'"",INDEX(SPLIT($D30,""E""),1),""E"",INDEX(SPLIT($D30,""E""),2)+$E30*(COLUMN()-COLUMN($G30))))"),0.0)</f>
        <v>0</v>
      </c>
      <c r="BQ30" s="474">
        <f>IFERROR(__xludf.DUMMYFUNCTION("INDIRECT(CONCATENATE(""'"",INDEX(SPLIT($D30,""E""),1),""E"",INDEX(SPLIT($D30,""E""),2)+$E30*(COLUMN()-COLUMN($G30))))"),0.0)</f>
        <v>0</v>
      </c>
      <c r="BR30" s="474">
        <f>IFERROR(__xludf.DUMMYFUNCTION("INDIRECT(CONCATENATE(""'"",INDEX(SPLIT($D30,""E""),1),""E"",INDEX(SPLIT($D30,""E""),2)+$E30*(COLUMN()-COLUMN($G30))))"),0.0)</f>
        <v>0</v>
      </c>
      <c r="BS30" s="474">
        <f>IFERROR(__xludf.DUMMYFUNCTION("INDIRECT(CONCATENATE(""'"",INDEX(SPLIT($D30,""E""),1),""E"",INDEX(SPLIT($D30,""E""),2)+$E30*(COLUMN()-COLUMN($G30))))"),0.0)</f>
        <v>0</v>
      </c>
      <c r="BT30" s="474">
        <f>IFERROR(__xludf.DUMMYFUNCTION("INDIRECT(CONCATENATE(""'"",INDEX(SPLIT($D30,""E""),1),""E"",INDEX(SPLIT($D30,""E""),2)+$E30*(COLUMN()-COLUMN($G30))))"),0.0)</f>
        <v>0</v>
      </c>
      <c r="BU30" s="474">
        <f>IFERROR(__xludf.DUMMYFUNCTION("INDIRECT(CONCATENATE(""'"",INDEX(SPLIT($D30,""E""),1),""E"",INDEX(SPLIT($D30,""E""),2)+$E30*(COLUMN()-COLUMN($G30))))"),1380000.0)</f>
        <v>1380000</v>
      </c>
      <c r="BV30" s="474">
        <f>IFERROR(__xludf.DUMMYFUNCTION("INDIRECT(CONCATENATE(""'"",INDEX(SPLIT($D30,""E""),1),""E"",INDEX(SPLIT($D30,""E""),2)+$E30*(COLUMN()-COLUMN($G30))))"),1430000.0)</f>
        <v>1430000</v>
      </c>
      <c r="BW30" s="474">
        <f>IFERROR(__xludf.DUMMYFUNCTION("INDIRECT(CONCATENATE(""'"",INDEX(SPLIT($D30,""E""),1),""E"",INDEX(SPLIT($D30,""E""),2)+$E30*(COLUMN()-COLUMN($G30))))"),1430000.0)</f>
        <v>1430000</v>
      </c>
      <c r="BX30" s="474">
        <f>IFERROR(__xludf.DUMMYFUNCTION("INDIRECT(CONCATENATE(""'"",INDEX(SPLIT($D30,""E""),1),""E"",INDEX(SPLIT($D30,""E""),2)+$E30*(COLUMN()-COLUMN($G30))))"),1480000.0)</f>
        <v>1480000</v>
      </c>
      <c r="BY30" s="474">
        <f>IFERROR(__xludf.DUMMYFUNCTION("INDIRECT(CONCATENATE(""'"",INDEX(SPLIT($D30,""E""),1),""E"",INDEX(SPLIT($D30,""E""),2)+$E30*(COLUMN()-COLUMN($G30))))"),1480000.0)</f>
        <v>1480000</v>
      </c>
      <c r="BZ30" s="474">
        <f>IFERROR(__xludf.DUMMYFUNCTION("INDIRECT(CONCATENATE(""'"",INDEX(SPLIT($D30,""E""),1),""E"",INDEX(SPLIT($D30,""E""),2)+$E30*(COLUMN()-COLUMN($G30))))"),1530000.0)</f>
        <v>1530000</v>
      </c>
      <c r="CA30" s="474">
        <f>IFERROR(__xludf.DUMMYFUNCTION("INDIRECT(CONCATENATE(""'"",INDEX(SPLIT($D30,""E""),1),""E"",INDEX(SPLIT($D30,""E""),2)+$E30*(COLUMN()-COLUMN($G30))))"),1530000.0)</f>
        <v>1530000</v>
      </c>
      <c r="CB30" s="474">
        <f>IFERROR(__xludf.DUMMYFUNCTION("INDIRECT(CONCATENATE(""'"",INDEX(SPLIT($D30,""E""),1),""E"",INDEX(SPLIT($D30,""E""),2)+$E30*(COLUMN()-COLUMN($G30))))"),1580000.0)</f>
        <v>1580000</v>
      </c>
      <c r="CC30" s="474">
        <f>IFERROR(__xludf.DUMMYFUNCTION("INDIRECT(CONCATENATE(""'"",INDEX(SPLIT($D30,""E""),1),""E"",INDEX(SPLIT($D30,""E""),2)+$E30*(COLUMN()-COLUMN($G30))))"),1580000.0)</f>
        <v>1580000</v>
      </c>
      <c r="CD30" s="474">
        <f>IFERROR(__xludf.DUMMYFUNCTION("INDIRECT(CONCATENATE(""'"",INDEX(SPLIT($D30,""E""),1),""E"",INDEX(SPLIT($D30,""E""),2)+$E30*(COLUMN()-COLUMN($G30))))"),1630000.0)</f>
        <v>1630000</v>
      </c>
      <c r="CE30" s="474">
        <f>IFERROR(__xludf.DUMMYFUNCTION("INDIRECT(CONCATENATE(""'"",INDEX(SPLIT($D30,""E""),1),""E"",INDEX(SPLIT($D30,""E""),2)+$E30*(COLUMN()-COLUMN($G30))))"),1630000.0)</f>
        <v>1630000</v>
      </c>
      <c r="CF30" s="474">
        <f>IFERROR(__xludf.DUMMYFUNCTION("INDIRECT(CONCATENATE(""'"",INDEX(SPLIT($D30,""E""),1),""E"",INDEX(SPLIT($D30,""E""),2)+$E30*(COLUMN()-COLUMN($G30))))"),1680000.0)</f>
        <v>1680000</v>
      </c>
      <c r="CG30" s="474">
        <f>IFERROR(__xludf.DUMMYFUNCTION("INDIRECT(CONCATENATE(""'"",INDEX(SPLIT($D30,""E""),1),""E"",INDEX(SPLIT($D30,""E""),2)+$E30*(COLUMN()-COLUMN($G30))))"),1680000.0)</f>
        <v>1680000</v>
      </c>
      <c r="CH30" s="474">
        <f>IFERROR(__xludf.DUMMYFUNCTION("INDIRECT(CONCATENATE(""'"",INDEX(SPLIT($D30,""E""),1),""E"",INDEX(SPLIT($D30,""E""),2)+$E30*(COLUMN()-COLUMN($G30))))"),1730000.0)</f>
        <v>1730000</v>
      </c>
      <c r="CI30" s="474">
        <f>IFERROR(__xludf.DUMMYFUNCTION("INDIRECT(CONCATENATE(""'"",INDEX(SPLIT($D30,""E""),1),""E"",INDEX(SPLIT($D30,""E""),2)+$E30*(COLUMN()-COLUMN($G30))))"),1730000.0)</f>
        <v>1730000</v>
      </c>
      <c r="CJ30" s="474">
        <f>IFERROR(__xludf.DUMMYFUNCTION("INDIRECT(CONCATENATE(""'"",INDEX(SPLIT($D30,""E""),1),""E"",INDEX(SPLIT($D30,""E""),2)+$E30*(COLUMN()-COLUMN($G30))))"),1780000.0)</f>
        <v>1780000</v>
      </c>
      <c r="CK30" s="474">
        <f>IFERROR(__xludf.DUMMYFUNCTION("INDIRECT(CONCATENATE(""'"",INDEX(SPLIT($D30,""E""),1),""E"",INDEX(SPLIT($D30,""E""),2)+$E30*(COLUMN()-COLUMN($G30))))"),1780000.0)</f>
        <v>1780000</v>
      </c>
      <c r="CL30" s="474">
        <f>IFERROR(__xludf.DUMMYFUNCTION("INDIRECT(CONCATENATE(""'"",INDEX(SPLIT($D30,""E""),1),""E"",INDEX(SPLIT($D30,""E""),2)+$E30*(COLUMN()-COLUMN($G30))))"),1830000.0)</f>
        <v>1830000</v>
      </c>
      <c r="CM30" s="474">
        <f>IFERROR(__xludf.DUMMYFUNCTION("INDIRECT(CONCATENATE(""'"",INDEX(SPLIT($D30,""E""),1),""E"",INDEX(SPLIT($D30,""E""),2)+$E30*(COLUMN()-COLUMN($G30))))"),1830000.0)</f>
        <v>1830000</v>
      </c>
      <c r="CN30" s="474">
        <f>IFERROR(__xludf.DUMMYFUNCTION("INDIRECT(CONCATENATE(""'"",INDEX(SPLIT($D30,""E""),1),""E"",INDEX(SPLIT($D30,""E""),2)+$E30*(COLUMN()-COLUMN($G30))))"),1880000.0)</f>
        <v>1880000</v>
      </c>
      <c r="CO30" s="475">
        <f>IFERROR(__xludf.DUMMYFUNCTION("INDIRECT(CONCATENATE(""'"",INDEX(SPLIT($D30,""E""),1),""E"",INDEX(SPLIT($D30,""E""),2)+$E30*(COLUMN()-COLUMN($G30))))"),1880000.0)</f>
        <v>1880000</v>
      </c>
      <c r="CP30" s="473">
        <f>IFERROR(__xludf.DUMMYFUNCTION("INDIRECT(CONCATENATE(""'"",INDEX(SPLIT($D30,""E""),1),""E"",INDEX(SPLIT($D30,""E""),2)+$E30*(COLUMN()-COLUMN($G30))))"),1925000.0)</f>
        <v>1925000</v>
      </c>
      <c r="CQ30" s="474">
        <f>IFERROR(__xludf.DUMMYFUNCTION("INDIRECT(CONCATENATE(""'"",INDEX(SPLIT($D30,""E""),1),""E"",INDEX(SPLIT($D30,""E""),2)+$E30*(COLUMN()-COLUMN($G30))))"),1925000.0)</f>
        <v>1925000</v>
      </c>
      <c r="CR30" s="474">
        <f>IFERROR(__xludf.DUMMYFUNCTION("INDIRECT(CONCATENATE(""'"",INDEX(SPLIT($D30,""E""),1),""E"",INDEX(SPLIT($D30,""E""),2)+$E30*(COLUMN()-COLUMN($G30))))"),1975000.0)</f>
        <v>1975000</v>
      </c>
      <c r="CS30" s="474">
        <f>IFERROR(__xludf.DUMMYFUNCTION("INDIRECT(CONCATENATE(""'"",INDEX(SPLIT($D30,""E""),1),""E"",INDEX(SPLIT($D30,""E""),2)+$E30*(COLUMN()-COLUMN($G30))))"),1975000.0)</f>
        <v>1975000</v>
      </c>
      <c r="CT30" s="474">
        <f>IFERROR(__xludf.DUMMYFUNCTION("INDIRECT(CONCATENATE(""'"",INDEX(SPLIT($D30,""E""),1),""E"",INDEX(SPLIT($D30,""E""),2)+$E30*(COLUMN()-COLUMN($G30))))"),2025000.0)</f>
        <v>2025000</v>
      </c>
      <c r="CU30" s="474">
        <f>IFERROR(__xludf.DUMMYFUNCTION("INDIRECT(CONCATENATE(""'"",INDEX(SPLIT($D30,""E""),1),""E"",INDEX(SPLIT($D30,""E""),2)+$E30*(COLUMN()-COLUMN($G30))))"),2025000.0)</f>
        <v>2025000</v>
      </c>
      <c r="CV30" s="474">
        <f>IFERROR(__xludf.DUMMYFUNCTION("INDIRECT(CONCATENATE(""'"",INDEX(SPLIT($D30,""E""),1),""E"",INDEX(SPLIT($D30,""E""),2)+$E30*(COLUMN()-COLUMN($G30))))"),2065000.0)</f>
        <v>2065000</v>
      </c>
      <c r="CW30" s="474">
        <f>IFERROR(__xludf.DUMMYFUNCTION("INDIRECT(CONCATENATE(""'"",INDEX(SPLIT($D30,""E""),1),""E"",INDEX(SPLIT($D30,""E""),2)+$E30*(COLUMN()-COLUMN($G30))))"),2065000.0)</f>
        <v>2065000</v>
      </c>
      <c r="CX30" s="474">
        <f>IFERROR(__xludf.DUMMYFUNCTION("INDIRECT(CONCATENATE(""'"",INDEX(SPLIT($D30,""E""),1),""E"",INDEX(SPLIT($D30,""E""),2)+$E30*(COLUMN()-COLUMN($G30))))"),2105000.0)</f>
        <v>2105000</v>
      </c>
      <c r="CY30" s="474">
        <f>IFERROR(__xludf.DUMMYFUNCTION("INDIRECT(CONCATENATE(""'"",INDEX(SPLIT($D30,""E""),1),""E"",INDEX(SPLIT($D30,""E""),2)+$E30*(COLUMN()-COLUMN($G30))))"),2105000.0)</f>
        <v>2105000</v>
      </c>
      <c r="CZ30" s="474">
        <f>IFERROR(__xludf.DUMMYFUNCTION("INDIRECT(CONCATENATE(""'"",INDEX(SPLIT($D30,""E""),1),""E"",INDEX(SPLIT($D30,""E""),2)+$E30*(COLUMN()-COLUMN($G30))))"),2145000.0)</f>
        <v>2145000</v>
      </c>
      <c r="DA30" s="474">
        <f>IFERROR(__xludf.DUMMYFUNCTION("INDIRECT(CONCATENATE(""'"",INDEX(SPLIT($D30,""E""),1),""E"",INDEX(SPLIT($D30,""E""),2)+$E30*(COLUMN()-COLUMN($G30))))"),2145000.0)</f>
        <v>2145000</v>
      </c>
      <c r="DB30" s="476" t="str">
        <f>IFERROR(__xludf.DUMMYFUNCTION("INDIRECT(CONCATENATE(""'"",INDEX(SPLIT($D30,""E""),1),""E"",INDEX(SPLIT($D30,""E""),2)+$E30*(COLUMN()-COLUMN($G30))))"),"")</f>
        <v/>
      </c>
      <c r="DC30" s="476" t="str">
        <f>IFERROR(__xludf.DUMMYFUNCTION("INDIRECT(CONCATENATE(""'"",INDEX(SPLIT($D30,""E""),1),""E"",INDEX(SPLIT($D30,""E""),2)+$E30*(COLUMN()-COLUMN($G30))))"),"")</f>
        <v/>
      </c>
      <c r="DD30" s="476" t="str">
        <f>IFERROR(__xludf.DUMMYFUNCTION("INDIRECT(CONCATENATE(""'"",INDEX(SPLIT($D30,""E""),1),""E"",INDEX(SPLIT($D30,""E""),2)+$E30*(COLUMN()-COLUMN($G30))))"),"")</f>
        <v/>
      </c>
      <c r="DE30" s="476" t="str">
        <f>IFERROR(__xludf.DUMMYFUNCTION("INDIRECT(CONCATENATE(""'"",INDEX(SPLIT($D30,""E""),1),""E"",INDEX(SPLIT($D30,""E""),2)+$E30*(COLUMN()-COLUMN($G30))))"),"")</f>
        <v/>
      </c>
      <c r="DF30" s="476" t="str">
        <f>IFERROR(__xludf.DUMMYFUNCTION("INDIRECT(CONCATENATE(""'"",INDEX(SPLIT($D30,""E""),1),""E"",INDEX(SPLIT($D30,""E""),2)+$E30*(COLUMN()-COLUMN($G30))))"),"")</f>
        <v/>
      </c>
      <c r="DG30" s="476" t="str">
        <f>IFERROR(__xludf.DUMMYFUNCTION("INDIRECT(CONCATENATE(""'"",INDEX(SPLIT($D30,""E""),1),""E"",INDEX(SPLIT($D30,""E""),2)+$E30*(COLUMN()-COLUMN($G30))))"),"")</f>
        <v/>
      </c>
      <c r="DH30" s="476" t="str">
        <f>IFERROR(__xludf.DUMMYFUNCTION("INDIRECT(CONCATENATE(""'"",INDEX(SPLIT($D30,""E""),1),""E"",INDEX(SPLIT($D30,""E""),2)+$E30*(COLUMN()-COLUMN($G30))))"),"")</f>
        <v/>
      </c>
      <c r="DI30" s="476" t="str">
        <f>IFERROR(__xludf.DUMMYFUNCTION("INDIRECT(CONCATENATE(""'"",INDEX(SPLIT($D30,""E""),1),""E"",INDEX(SPLIT($D30,""E""),2)+$E30*(COLUMN()-COLUMN($G30))))"),"")</f>
        <v/>
      </c>
      <c r="DJ30" s="476" t="str">
        <f>IFERROR(__xludf.DUMMYFUNCTION("INDIRECT(CONCATENATE(""'"",INDEX(SPLIT($D30,""E""),1),""E"",INDEX(SPLIT($D30,""E""),2)+$E30*(COLUMN()-COLUMN($G30))))"),"")</f>
        <v/>
      </c>
      <c r="DK30" s="476" t="str">
        <f>IFERROR(__xludf.DUMMYFUNCTION("INDIRECT(CONCATENATE(""'"",INDEX(SPLIT($D30,""E""),1),""E"",INDEX(SPLIT($D30,""E""),2)+$E30*(COLUMN()-COLUMN($G30))))"),"")</f>
        <v/>
      </c>
      <c r="DL30" s="476" t="str">
        <f>IFERROR(__xludf.DUMMYFUNCTION("INDIRECT(CONCATENATE(""'"",INDEX(SPLIT($D30,""E""),1),""E"",INDEX(SPLIT($D30,""E""),2)+$E30*(COLUMN()-COLUMN($G30))))"),"")</f>
        <v/>
      </c>
      <c r="DM30" s="476" t="str">
        <f>IFERROR(__xludf.DUMMYFUNCTION("INDIRECT(CONCATENATE(""'"",INDEX(SPLIT($D30,""E""),1),""E"",INDEX(SPLIT($D30,""E""),2)+$E30*(COLUMN()-COLUMN($G30))))"),"")</f>
        <v/>
      </c>
      <c r="DN30" s="476" t="str">
        <f>IFERROR(__xludf.DUMMYFUNCTION("INDIRECT(CONCATENATE(""'"",INDEX(SPLIT($D30,""E""),1),""E"",INDEX(SPLIT($D30,""E""),2)+$E30*(COLUMN()-COLUMN($G30))))"),"")</f>
        <v/>
      </c>
      <c r="DO30" s="476" t="str">
        <f>IFERROR(__xludf.DUMMYFUNCTION("INDIRECT(CONCATENATE(""'"",INDEX(SPLIT($D30,""E""),1),""E"",INDEX(SPLIT($D30,""E""),2)+$E30*(COLUMN()-COLUMN($G30))))"),"")</f>
        <v/>
      </c>
      <c r="DP30" s="476" t="str">
        <f>IFERROR(__xludf.DUMMYFUNCTION("INDIRECT(CONCATENATE(""'"",INDEX(SPLIT($D30,""E""),1),""E"",INDEX(SPLIT($D30,""E""),2)+$E30*(COLUMN()-COLUMN($G30))))"),"")</f>
        <v/>
      </c>
      <c r="DQ30" s="476" t="str">
        <f>IFERROR(__xludf.DUMMYFUNCTION("INDIRECT(CONCATENATE(""'"",INDEX(SPLIT($D30,""E""),1),""E"",INDEX(SPLIT($D30,""E""),2)+$E30*(COLUMN()-COLUMN($G30))))"),"")</f>
        <v/>
      </c>
      <c r="DR30" s="476" t="str">
        <f>IFERROR(__xludf.DUMMYFUNCTION("INDIRECT(CONCATENATE(""'"",INDEX(SPLIT($D30,""E""),1),""E"",INDEX(SPLIT($D30,""E""),2)+$E30*(COLUMN()-COLUMN($G30))))"),"")</f>
        <v/>
      </c>
      <c r="DS30" s="476" t="str">
        <f>IFERROR(__xludf.DUMMYFUNCTION("INDIRECT(CONCATENATE(""'"",INDEX(SPLIT($D30,""E""),1),""E"",INDEX(SPLIT($D30,""E""),2)+$E30*(COLUMN()-COLUMN($G30))))"),"")</f>
        <v/>
      </c>
      <c r="DT30" s="476" t="str">
        <f>IFERROR(__xludf.DUMMYFUNCTION("INDIRECT(CONCATENATE(""'"",INDEX(SPLIT($D30,""E""),1),""E"",INDEX(SPLIT($D30,""E""),2)+$E30*(COLUMN()-COLUMN($G30))))"),"")</f>
        <v/>
      </c>
      <c r="DU30" s="476" t="str">
        <f>IFERROR(__xludf.DUMMYFUNCTION("INDIRECT(CONCATENATE(""'"",INDEX(SPLIT($D30,""E""),1),""E"",INDEX(SPLIT($D30,""E""),2)+$E30*(COLUMN()-COLUMN($G30))))"),"")</f>
        <v/>
      </c>
      <c r="DV30" s="476" t="str">
        <f>IFERROR(__xludf.DUMMYFUNCTION("INDIRECT(CONCATENATE(""'"",INDEX(SPLIT($D30,""E""),1),""E"",INDEX(SPLIT($D30,""E""),2)+$E30*(COLUMN()-COLUMN($G30))))"),"")</f>
        <v/>
      </c>
      <c r="DW30" s="476" t="str">
        <f>IFERROR(__xludf.DUMMYFUNCTION("INDIRECT(CONCATENATE(""'"",INDEX(SPLIT($D30,""E""),1),""E"",INDEX(SPLIT($D30,""E""),2)+$E30*(COLUMN()-COLUMN($G30))))"),"")</f>
        <v/>
      </c>
      <c r="DX30" s="476" t="str">
        <f>IFERROR(__xludf.DUMMYFUNCTION("INDIRECT(CONCATENATE(""'"",INDEX(SPLIT($D30,""E""),1),""E"",INDEX(SPLIT($D30,""E""),2)+$E30*(COLUMN()-COLUMN($G30))))"),"")</f>
        <v/>
      </c>
      <c r="DY30" s="476" t="str">
        <f>IFERROR(__xludf.DUMMYFUNCTION("INDIRECT(CONCATENATE(""'"",INDEX(SPLIT($D30,""E""),1),""E"",INDEX(SPLIT($D30,""E""),2)+$E30*(COLUMN()-COLUMN($G30))))"),"")</f>
        <v/>
      </c>
      <c r="DZ30" s="476" t="str">
        <f>IFERROR(__xludf.DUMMYFUNCTION("INDIRECT(CONCATENATE(""'"",INDEX(SPLIT($D30,""E""),1),""E"",INDEX(SPLIT($D30,""E""),2)+$E30*(COLUMN()-COLUMN($G30))))"),"")</f>
        <v/>
      </c>
      <c r="EA30" s="476" t="str">
        <f>IFERROR(__xludf.DUMMYFUNCTION("INDIRECT(CONCATENATE(""'"",INDEX(SPLIT($D30,""E""),1),""E"",INDEX(SPLIT($D30,""E""),2)+$E30*(COLUMN()-COLUMN($G30))))"),"")</f>
        <v/>
      </c>
      <c r="EB30" s="476" t="str">
        <f>IFERROR(__xludf.DUMMYFUNCTION("INDIRECT(CONCATENATE(""'"",INDEX(SPLIT($D30,""E""),1),""E"",INDEX(SPLIT($D30,""E""),2)+$E30*(COLUMN()-COLUMN($G30))))"),"")</f>
        <v/>
      </c>
      <c r="EC30" s="476" t="str">
        <f>IFERROR(__xludf.DUMMYFUNCTION("INDIRECT(CONCATENATE(""'"",INDEX(SPLIT($D30,""E""),1),""E"",INDEX(SPLIT($D30,""E""),2)+$E30*(COLUMN()-COLUMN($G30))))"),"")</f>
        <v/>
      </c>
      <c r="ED30" s="476" t="str">
        <f>IFERROR(__xludf.DUMMYFUNCTION("INDIRECT(CONCATENATE(""'"",INDEX(SPLIT($D30,""E""),1),""E"",INDEX(SPLIT($D30,""E""),2)+$E30*(COLUMN()-COLUMN($G30))))"),"")</f>
        <v/>
      </c>
      <c r="EE30" s="476" t="str">
        <f>IFERROR(__xludf.DUMMYFUNCTION("INDIRECT(CONCATENATE(""'"",INDEX(SPLIT($D30,""E""),1),""E"",INDEX(SPLIT($D30,""E""),2)+$E30*(COLUMN()-COLUMN($G30))))"),"")</f>
        <v/>
      </c>
      <c r="EF30" s="476" t="str">
        <f>IFERROR(__xludf.DUMMYFUNCTION("INDIRECT(CONCATENATE(""'"",INDEX(SPLIT($D30,""E""),1),""E"",INDEX(SPLIT($D30,""E""),2)+$E30*(COLUMN()-COLUMN($G30))))"),"")</f>
        <v/>
      </c>
      <c r="EG30" s="476" t="str">
        <f>IFERROR(__xludf.DUMMYFUNCTION("INDIRECT(CONCATENATE(""'"",INDEX(SPLIT($D30,""E""),1),""E"",INDEX(SPLIT($D30,""E""),2)+$E30*(COLUMN()-COLUMN($G30))))"),"")</f>
        <v/>
      </c>
      <c r="EH30" s="476" t="str">
        <f>IFERROR(__xludf.DUMMYFUNCTION("INDIRECT(CONCATENATE(""'"",INDEX(SPLIT($D30,""E""),1),""E"",INDEX(SPLIT($D30,""E""),2)+$E30*(COLUMN()-COLUMN($G30))))"),"")</f>
        <v/>
      </c>
      <c r="EI30" s="476" t="str">
        <f>IFERROR(__xludf.DUMMYFUNCTION("INDIRECT(CONCATENATE(""'"",INDEX(SPLIT($D30,""E""),1),""E"",INDEX(SPLIT($D30,""E""),2)+$E30*(COLUMN()-COLUMN($G30))))"),"")</f>
        <v/>
      </c>
      <c r="EJ30" s="476" t="str">
        <f>IFERROR(__xludf.DUMMYFUNCTION("INDIRECT(CONCATENATE(""'"",INDEX(SPLIT($D30,""E""),1),""E"",INDEX(SPLIT($D30,""E""),2)+$E30*(COLUMN()-COLUMN($G30))))"),"")</f>
        <v/>
      </c>
      <c r="EK30" s="476" t="str">
        <f>IFERROR(__xludf.DUMMYFUNCTION("INDIRECT(CONCATENATE(""'"",INDEX(SPLIT($D30,""E""),1),""E"",INDEX(SPLIT($D30,""E""),2)+$E30*(COLUMN()-COLUMN($G30))))"),"")</f>
        <v/>
      </c>
      <c r="EL30" s="476" t="str">
        <f>IFERROR(__xludf.DUMMYFUNCTION("INDIRECT(CONCATENATE(""'"",INDEX(SPLIT($D30,""E""),1),""E"",INDEX(SPLIT($D30,""E""),2)+$E30*(COLUMN()-COLUMN($G30))))"),"")</f>
        <v/>
      </c>
      <c r="EM30" s="476" t="str">
        <f>IFERROR(__xludf.DUMMYFUNCTION("INDIRECT(CONCATENATE(""'"",INDEX(SPLIT($D30,""E""),1),""E"",INDEX(SPLIT($D30,""E""),2)+$E30*(COLUMN()-COLUMN($G30))))"),"")</f>
        <v/>
      </c>
      <c r="EN30" s="476" t="str">
        <f>IFERROR(__xludf.DUMMYFUNCTION("INDIRECT(CONCATENATE(""'"",INDEX(SPLIT($D30,""E""),1),""E"",INDEX(SPLIT($D30,""E""),2)+$E30*(COLUMN()-COLUMN($G30))))"),"")</f>
        <v/>
      </c>
      <c r="EO30" s="476" t="str">
        <f>IFERROR(__xludf.DUMMYFUNCTION("INDIRECT(CONCATENATE(""'"",INDEX(SPLIT($D30,""E""),1),""E"",INDEX(SPLIT($D30,""E""),2)+$E30*(COLUMN()-COLUMN($G30))))"),"")</f>
        <v/>
      </c>
      <c r="EP30" s="476" t="str">
        <f>IFERROR(__xludf.DUMMYFUNCTION("INDIRECT(CONCATENATE(""'"",INDEX(SPLIT($D30,""E""),1),""E"",INDEX(SPLIT($D30,""E""),2)+$E30*(COLUMN()-COLUMN($G30))))"),"")</f>
        <v/>
      </c>
      <c r="EQ30" s="476" t="str">
        <f>IFERROR(__xludf.DUMMYFUNCTION("INDIRECT(CONCATENATE(""'"",INDEX(SPLIT($D30,""E""),1),""E"",INDEX(SPLIT($D30,""E""),2)+$E30*(COLUMN()-COLUMN($G30))))"),"")</f>
        <v/>
      </c>
      <c r="ER30" s="476" t="str">
        <f>IFERROR(__xludf.DUMMYFUNCTION("INDIRECT(CONCATENATE(""'"",INDEX(SPLIT($D30,""E""),1),""E"",INDEX(SPLIT($D30,""E""),2)+$E30*(COLUMN()-COLUMN($G30))))"),"")</f>
        <v/>
      </c>
      <c r="ES30" s="476" t="str">
        <f>IFERROR(__xludf.DUMMYFUNCTION("INDIRECT(CONCATENATE(""'"",INDEX(SPLIT($D30,""E""),1),""E"",INDEX(SPLIT($D30,""E""),2)+$E30*(COLUMN()-COLUMN($G30))))"),"")</f>
        <v/>
      </c>
      <c r="ET30" s="476" t="str">
        <f>IFERROR(__xludf.DUMMYFUNCTION("INDIRECT(CONCATENATE(""'"",INDEX(SPLIT($D30,""E""),1),""E"",INDEX(SPLIT($D30,""E""),2)+$E30*(COLUMN()-COLUMN($G30))))"),"")</f>
        <v/>
      </c>
      <c r="EU30" s="476" t="str">
        <f>IFERROR(__xludf.DUMMYFUNCTION("INDIRECT(CONCATENATE(""'"",INDEX(SPLIT($D30,""E""),1),""E"",INDEX(SPLIT($D30,""E""),2)+$E30*(COLUMN()-COLUMN($G30))))"),"")</f>
        <v/>
      </c>
      <c r="EV30" s="476" t="str">
        <f>IFERROR(__xludf.DUMMYFUNCTION("INDIRECT(CONCATENATE(""'"",INDEX(SPLIT($D30,""E""),1),""E"",INDEX(SPLIT($D30,""E""),2)+$E30*(COLUMN()-COLUMN($G30))))"),"")</f>
        <v/>
      </c>
      <c r="EW30" s="476" t="str">
        <f>IFERROR(__xludf.DUMMYFUNCTION("INDIRECT(CONCATENATE(""'"",INDEX(SPLIT($D30,""E""),1),""E"",INDEX(SPLIT($D30,""E""),2)+$E30*(COLUMN()-COLUMN($G30))))"),"")</f>
        <v/>
      </c>
      <c r="EX30" s="476" t="str">
        <f>IFERROR(__xludf.DUMMYFUNCTION("INDIRECT(CONCATENATE(""'"",INDEX(SPLIT($D30,""E""),1),""E"",INDEX(SPLIT($D30,""E""),2)+$E30*(COLUMN()-COLUMN($G30))))"),"")</f>
        <v/>
      </c>
      <c r="EY30" s="476" t="str">
        <f>IFERROR(__xludf.DUMMYFUNCTION("INDIRECT(CONCATENATE(""'"",INDEX(SPLIT($D30,""E""),1),""E"",INDEX(SPLIT($D30,""E""),2)+$E30*(COLUMN()-COLUMN($G30))))"),"")</f>
        <v/>
      </c>
      <c r="EZ30" s="476" t="str">
        <f>IFERROR(__xludf.DUMMYFUNCTION("INDIRECT(CONCATENATE(""'"",INDEX(SPLIT($D30,""E""),1),""E"",INDEX(SPLIT($D30,""E""),2)+$E30*(COLUMN()-COLUMN($G30))))"),"")</f>
        <v/>
      </c>
      <c r="FA30" s="476" t="str">
        <f>IFERROR(__xludf.DUMMYFUNCTION("INDIRECT(CONCATENATE(""'"",INDEX(SPLIT($D30,""E""),1),""E"",INDEX(SPLIT($D30,""E""),2)+$E30*(COLUMN()-COLUMN($G30))))"),"")</f>
        <v/>
      </c>
      <c r="FB30" s="476" t="str">
        <f>IFERROR(__xludf.DUMMYFUNCTION("INDIRECT(CONCATENATE(""'"",INDEX(SPLIT($D30,""E""),1),""E"",INDEX(SPLIT($D30,""E""),2)+$E30*(COLUMN()-COLUMN($G30))))"),"")</f>
        <v/>
      </c>
      <c r="FC30" s="476" t="str">
        <f>IFERROR(__xludf.DUMMYFUNCTION("INDIRECT(CONCATENATE(""'"",INDEX(SPLIT($D30,""E""),1),""E"",INDEX(SPLIT($D30,""E""),2)+$E30*(COLUMN()-COLUMN($G30))))"),"")</f>
        <v/>
      </c>
      <c r="FD30" s="476" t="str">
        <f>IFERROR(__xludf.DUMMYFUNCTION("INDIRECT(CONCATENATE(""'"",INDEX(SPLIT($D30,""E""),1),""E"",INDEX(SPLIT($D30,""E""),2)+$E30*(COLUMN()-COLUMN($G30))))"),"")</f>
        <v/>
      </c>
      <c r="FE30" s="476" t="str">
        <f>IFERROR(__xludf.DUMMYFUNCTION("INDIRECT(CONCATENATE(""'"",INDEX(SPLIT($D30,""E""),1),""E"",INDEX(SPLIT($D30,""E""),2)+$E30*(COLUMN()-COLUMN($G30))))"),"")</f>
        <v/>
      </c>
      <c r="FF30" s="476" t="str">
        <f>IFERROR(__xludf.DUMMYFUNCTION("INDIRECT(CONCATENATE(""'"",INDEX(SPLIT($D30,""E""),1),""E"",INDEX(SPLIT($D30,""E""),2)+$E30*(COLUMN()-COLUMN($G30))))"),"")</f>
        <v/>
      </c>
      <c r="FG30" s="476" t="str">
        <f>IFERROR(__xludf.DUMMYFUNCTION("INDIRECT(CONCATENATE(""'"",INDEX(SPLIT($D30,""E""),1),""E"",INDEX(SPLIT($D30,""E""),2)+$E30*(COLUMN()-COLUMN($G30))))"),"")</f>
        <v/>
      </c>
      <c r="FH30" s="476" t="str">
        <f>IFERROR(__xludf.DUMMYFUNCTION("INDIRECT(CONCATENATE(""'"",INDEX(SPLIT($D30,""E""),1),""E"",INDEX(SPLIT($D30,""E""),2)+$E30*(COLUMN()-COLUMN($G30))))"),"")</f>
        <v/>
      </c>
      <c r="FI30" s="476" t="str">
        <f>IFERROR(__xludf.DUMMYFUNCTION("INDIRECT(CONCATENATE(""'"",INDEX(SPLIT($D30,""E""),1),""E"",INDEX(SPLIT($D30,""E""),2)+$E30*(COLUMN()-COLUMN($G30))))"),"")</f>
        <v/>
      </c>
      <c r="FJ30" s="476" t="str">
        <f>IFERROR(__xludf.DUMMYFUNCTION("INDIRECT(CONCATENATE(""'"",INDEX(SPLIT($D30,""E""),1),""E"",INDEX(SPLIT($D30,""E""),2)+$E30*(COLUMN()-COLUMN($G30))))"),"")</f>
        <v/>
      </c>
      <c r="FK30" s="476" t="str">
        <f>IFERROR(__xludf.DUMMYFUNCTION("INDIRECT(CONCATENATE(""'"",INDEX(SPLIT($D30,""E""),1),""E"",INDEX(SPLIT($D30,""E""),2)+$E30*(COLUMN()-COLUMN($G30))))"),"")</f>
        <v/>
      </c>
      <c r="FL30" s="476" t="str">
        <f>IFERROR(__xludf.DUMMYFUNCTION("INDIRECT(CONCATENATE(""'"",INDEX(SPLIT($D30,""E""),1),""E"",INDEX(SPLIT($D30,""E""),2)+$E30*(COLUMN()-COLUMN($G30))))"),"")</f>
        <v/>
      </c>
      <c r="FM30" s="476" t="str">
        <f>IFERROR(__xludf.DUMMYFUNCTION("INDIRECT(CONCATENATE(""'"",INDEX(SPLIT($D30,""E""),1),""E"",INDEX(SPLIT($D30,""E""),2)+$E30*(COLUMN()-COLUMN($G30))))"),"")</f>
        <v/>
      </c>
      <c r="FN30" s="476" t="str">
        <f>IFERROR(__xludf.DUMMYFUNCTION("INDIRECT(CONCATENATE(""'"",INDEX(SPLIT($D30,""E""),1),""E"",INDEX(SPLIT($D30,""E""),2)+$E30*(COLUMN()-COLUMN($G30))))"),"")</f>
        <v/>
      </c>
      <c r="FO30" s="476" t="str">
        <f>IFERROR(__xludf.DUMMYFUNCTION("INDIRECT(CONCATENATE(""'"",INDEX(SPLIT($D30,""E""),1),""E"",INDEX(SPLIT($D30,""E""),2)+$E30*(COLUMN()-COLUMN($G30))))"),"")</f>
        <v/>
      </c>
      <c r="FP30" s="476" t="str">
        <f>IFERROR(__xludf.DUMMYFUNCTION("INDIRECT(CONCATENATE(""'"",INDEX(SPLIT($D30,""E""),1),""E"",INDEX(SPLIT($D30,""E""),2)+$E30*(COLUMN()-COLUMN($G30))))"),"")</f>
        <v/>
      </c>
      <c r="FQ30" s="476" t="str">
        <f>IFERROR(__xludf.DUMMYFUNCTION("INDIRECT(CONCATENATE(""'"",INDEX(SPLIT($D30,""E""),1),""E"",INDEX(SPLIT($D30,""E""),2)+$E30*(COLUMN()-COLUMN($G30))))"),"")</f>
        <v/>
      </c>
      <c r="FR30" s="476" t="str">
        <f>IFERROR(__xludf.DUMMYFUNCTION("INDIRECT(CONCATENATE(""'"",INDEX(SPLIT($D30,""E""),1),""E"",INDEX(SPLIT($D30,""E""),2)+$E30*(COLUMN()-COLUMN($G30))))"),"")</f>
        <v/>
      </c>
      <c r="FS30" s="476" t="str">
        <f>IFERROR(__xludf.DUMMYFUNCTION("INDIRECT(CONCATENATE(""'"",INDEX(SPLIT($D30,""E""),1),""E"",INDEX(SPLIT($D30,""E""),2)+$E30*(COLUMN()-COLUMN($G30))))"),"")</f>
        <v/>
      </c>
      <c r="FT30" s="476" t="str">
        <f>IFERROR(__xludf.DUMMYFUNCTION("INDIRECT(CONCATENATE(""'"",INDEX(SPLIT($D30,""E""),1),""E"",INDEX(SPLIT($D30,""E""),2)+$E30*(COLUMN()-COLUMN($G30))))"),"")</f>
        <v/>
      </c>
      <c r="FU30" s="476" t="str">
        <f>IFERROR(__xludf.DUMMYFUNCTION("INDIRECT(CONCATENATE(""'"",INDEX(SPLIT($D30,""E""),1),""E"",INDEX(SPLIT($D30,""E""),2)+$E30*(COLUMN()-COLUMN($G30))))"),"")</f>
        <v/>
      </c>
      <c r="FV30" s="476" t="str">
        <f>IFERROR(__xludf.DUMMYFUNCTION("INDIRECT(CONCATENATE(""'"",INDEX(SPLIT($D30,""E""),1),""E"",INDEX(SPLIT($D30,""E""),2)+$E30*(COLUMN()-COLUMN($G30))))"),"")</f>
        <v/>
      </c>
      <c r="FW30" s="476" t="str">
        <f>IFERROR(__xludf.DUMMYFUNCTION("INDIRECT(CONCATENATE(""'"",INDEX(SPLIT($D30,""E""),1),""E"",INDEX(SPLIT($D30,""E""),2)+$E30*(COLUMN()-COLUMN($G30))))"),"")</f>
        <v/>
      </c>
      <c r="FX30" s="477" t="str">
        <f>IFERROR(__xludf.DUMMYFUNCTION("INDIRECT(CONCATENATE(""'"",INDEX(SPLIT($D30,""E""),1),""E"",INDEX(SPLIT($D30,""E""),2)+$E30*(COLUMN()-COLUMN($G30))))"),"")</f>
        <v/>
      </c>
    </row>
    <row r="31">
      <c r="A31" s="451" t="s">
        <v>626</v>
      </c>
      <c r="B31" s="452" t="s">
        <v>629</v>
      </c>
      <c r="C31" s="453" t="s">
        <v>632</v>
      </c>
      <c r="D31" s="470" t="s">
        <v>684</v>
      </c>
      <c r="E31" s="471">
        <v>1.0</v>
      </c>
      <c r="F31" s="472">
        <v>1.0</v>
      </c>
      <c r="G31" s="473">
        <f>IFERROR(__xludf.DUMMYFUNCTION("INDIRECT(CONCATENATE(""'"",INDEX(SPLIT($D31,""H""),1),""H"",INDEX(SPLIT($D31,""H""),2)+$E31*(COLUMN()-COLUMN($G31))))"),0.0)</f>
        <v>0</v>
      </c>
      <c r="H31" s="474">
        <f>IFERROR(__xludf.DUMMYFUNCTION("INDIRECT(CONCATENATE(""'"",INDEX(SPLIT($D31,""H""),1),""H"",INDEX(SPLIT($D31,""H""),2)+$E31*(COLUMN()-COLUMN($G31))))"),0.0)</f>
        <v>0</v>
      </c>
      <c r="I31" s="474">
        <f>IFERROR(__xludf.DUMMYFUNCTION("INDIRECT(CONCATENATE(""'"",INDEX(SPLIT($D31,""H""),1),""H"",INDEX(SPLIT($D31,""H""),2)+$E31*(COLUMN()-COLUMN($G31))))"),0.0)</f>
        <v>0</v>
      </c>
      <c r="J31" s="474">
        <f>IFERROR(__xludf.DUMMYFUNCTION("INDIRECT(CONCATENATE(""'"",INDEX(SPLIT($D31,""H""),1),""H"",INDEX(SPLIT($D31,""H""),2)+$E31*(COLUMN()-COLUMN($G31))))"),0.0)</f>
        <v>0</v>
      </c>
      <c r="K31" s="474">
        <f>IFERROR(__xludf.DUMMYFUNCTION("INDIRECT(CONCATENATE(""'"",INDEX(SPLIT($D31,""H""),1),""H"",INDEX(SPLIT($D31,""H""),2)+$E31*(COLUMN()-COLUMN($G31))))"),0.0)</f>
        <v>0</v>
      </c>
      <c r="L31" s="474">
        <f>IFERROR(__xludf.DUMMYFUNCTION("INDIRECT(CONCATENATE(""'"",INDEX(SPLIT($D31,""H""),1),""H"",INDEX(SPLIT($D31,""H""),2)+$E31*(COLUMN()-COLUMN($G31))))"),0.0)</f>
        <v>0</v>
      </c>
      <c r="M31" s="474">
        <f>IFERROR(__xludf.DUMMYFUNCTION("INDIRECT(CONCATENATE(""'"",INDEX(SPLIT($D31,""H""),1),""H"",INDEX(SPLIT($D31,""H""),2)+$E31*(COLUMN()-COLUMN($G31))))"),0.0)</f>
        <v>0</v>
      </c>
      <c r="N31" s="474">
        <f>IFERROR(__xludf.DUMMYFUNCTION("INDIRECT(CONCATENATE(""'"",INDEX(SPLIT($D31,""H""),1),""H"",INDEX(SPLIT($D31,""H""),2)+$E31*(COLUMN()-COLUMN($G31))))"),0.0)</f>
        <v>0</v>
      </c>
      <c r="O31" s="474">
        <f>IFERROR(__xludf.DUMMYFUNCTION("INDIRECT(CONCATENATE(""'"",INDEX(SPLIT($D31,""H""),1),""H"",INDEX(SPLIT($D31,""H""),2)+$E31*(COLUMN()-COLUMN($G31))))"),0.0)</f>
        <v>0</v>
      </c>
      <c r="P31" s="474">
        <f>IFERROR(__xludf.DUMMYFUNCTION("INDIRECT(CONCATENATE(""'"",INDEX(SPLIT($D31,""H""),1),""H"",INDEX(SPLIT($D31,""H""),2)+$E31*(COLUMN()-COLUMN($G31))))"),0.0)</f>
        <v>0</v>
      </c>
      <c r="Q31" s="474">
        <f>IFERROR(__xludf.DUMMYFUNCTION("INDIRECT(CONCATENATE(""'"",INDEX(SPLIT($D31,""H""),1),""H"",INDEX(SPLIT($D31,""H""),2)+$E31*(COLUMN()-COLUMN($G31))))"),0.0)</f>
        <v>0</v>
      </c>
      <c r="R31" s="474">
        <f>IFERROR(__xludf.DUMMYFUNCTION("INDIRECT(CONCATENATE(""'"",INDEX(SPLIT($D31,""H""),1),""H"",INDEX(SPLIT($D31,""H""),2)+$E31*(COLUMN()-COLUMN($G31))))"),0.0)</f>
        <v>0</v>
      </c>
      <c r="S31" s="474">
        <f>IFERROR(__xludf.DUMMYFUNCTION("INDIRECT(CONCATENATE(""'"",INDEX(SPLIT($D31,""H""),1),""H"",INDEX(SPLIT($D31,""H""),2)+$E31*(COLUMN()-COLUMN($G31))))"),0.0)</f>
        <v>0</v>
      </c>
      <c r="T31" s="474">
        <f>IFERROR(__xludf.DUMMYFUNCTION("INDIRECT(CONCATENATE(""'"",INDEX(SPLIT($D31,""H""),1),""H"",INDEX(SPLIT($D31,""H""),2)+$E31*(COLUMN()-COLUMN($G31))))"),0.0)</f>
        <v>0</v>
      </c>
      <c r="U31" s="474">
        <f>IFERROR(__xludf.DUMMYFUNCTION("INDIRECT(CONCATENATE(""'"",INDEX(SPLIT($D31,""H""),1),""H"",INDEX(SPLIT($D31,""H""),2)+$E31*(COLUMN()-COLUMN($G31))))"),0.0)</f>
        <v>0</v>
      </c>
      <c r="V31" s="474">
        <f>IFERROR(__xludf.DUMMYFUNCTION("INDIRECT(CONCATENATE(""'"",INDEX(SPLIT($D31,""H""),1),""H"",INDEX(SPLIT($D31,""H""),2)+$E31*(COLUMN()-COLUMN($G31))))"),0.0)</f>
        <v>0</v>
      </c>
      <c r="W31" s="474">
        <f>IFERROR(__xludf.DUMMYFUNCTION("INDIRECT(CONCATENATE(""'"",INDEX(SPLIT($D31,""H""),1),""H"",INDEX(SPLIT($D31,""H""),2)+$E31*(COLUMN()-COLUMN($G31))))"),0.0)</f>
        <v>0</v>
      </c>
      <c r="X31" s="474">
        <f>IFERROR(__xludf.DUMMYFUNCTION("INDIRECT(CONCATENATE(""'"",INDEX(SPLIT($D31,""H""),1),""H"",INDEX(SPLIT($D31,""H""),2)+$E31*(COLUMN()-COLUMN($G31))))"),0.0)</f>
        <v>0</v>
      </c>
      <c r="Y31" s="474">
        <f>IFERROR(__xludf.DUMMYFUNCTION("INDIRECT(CONCATENATE(""'"",INDEX(SPLIT($D31,""H""),1),""H"",INDEX(SPLIT($D31,""H""),2)+$E31*(COLUMN()-COLUMN($G31))))"),0.0)</f>
        <v>0</v>
      </c>
      <c r="Z31" s="474">
        <f>IFERROR(__xludf.DUMMYFUNCTION("INDIRECT(CONCATENATE(""'"",INDEX(SPLIT($D31,""H""),1),""H"",INDEX(SPLIT($D31,""H""),2)+$E31*(COLUMN()-COLUMN($G31))))"),0.0)</f>
        <v>0</v>
      </c>
      <c r="AA31" s="474">
        <f>IFERROR(__xludf.DUMMYFUNCTION("INDIRECT(CONCATENATE(""'"",INDEX(SPLIT($D31,""H""),1),""H"",INDEX(SPLIT($D31,""H""),2)+$E31*(COLUMN()-COLUMN($G31))))"),0.0)</f>
        <v>0</v>
      </c>
      <c r="AB31" s="474">
        <f>IFERROR(__xludf.DUMMYFUNCTION("INDIRECT(CONCATENATE(""'"",INDEX(SPLIT($D31,""H""),1),""H"",INDEX(SPLIT($D31,""H""),2)+$E31*(COLUMN()-COLUMN($G31))))"),0.0)</f>
        <v>0</v>
      </c>
      <c r="AC31" s="474">
        <f>IFERROR(__xludf.DUMMYFUNCTION("INDIRECT(CONCATENATE(""'"",INDEX(SPLIT($D31,""H""),1),""H"",INDEX(SPLIT($D31,""H""),2)+$E31*(COLUMN()-COLUMN($G31))))"),0.0)</f>
        <v>0</v>
      </c>
      <c r="AD31" s="474">
        <f>IFERROR(__xludf.DUMMYFUNCTION("INDIRECT(CONCATENATE(""'"",INDEX(SPLIT($D31,""H""),1),""H"",INDEX(SPLIT($D31,""H""),2)+$E31*(COLUMN()-COLUMN($G31))))"),0.0)</f>
        <v>0</v>
      </c>
      <c r="AE31" s="474">
        <f>IFERROR(__xludf.DUMMYFUNCTION("INDIRECT(CONCATENATE(""'"",INDEX(SPLIT($D31,""H""),1),""H"",INDEX(SPLIT($D31,""H""),2)+$E31*(COLUMN()-COLUMN($G31))))"),0.0)</f>
        <v>0</v>
      </c>
      <c r="AF31" s="474">
        <f>IFERROR(__xludf.DUMMYFUNCTION("INDIRECT(CONCATENATE(""'"",INDEX(SPLIT($D31,""H""),1),""H"",INDEX(SPLIT($D31,""H""),2)+$E31*(COLUMN()-COLUMN($G31))))"),0.0)</f>
        <v>0</v>
      </c>
      <c r="AG31" s="474">
        <f>IFERROR(__xludf.DUMMYFUNCTION("INDIRECT(CONCATENATE(""'"",INDEX(SPLIT($D31,""H""),1),""H"",INDEX(SPLIT($D31,""H""),2)+$E31*(COLUMN()-COLUMN($G31))))"),0.0)</f>
        <v>0</v>
      </c>
      <c r="AH31" s="474">
        <f>IFERROR(__xludf.DUMMYFUNCTION("INDIRECT(CONCATENATE(""'"",INDEX(SPLIT($D31,""H""),1),""H"",INDEX(SPLIT($D31,""H""),2)+$E31*(COLUMN()-COLUMN($G31))))"),0.0)</f>
        <v>0</v>
      </c>
      <c r="AI31" s="474">
        <f>IFERROR(__xludf.DUMMYFUNCTION("INDIRECT(CONCATENATE(""'"",INDEX(SPLIT($D31,""H""),1),""H"",INDEX(SPLIT($D31,""H""),2)+$E31*(COLUMN()-COLUMN($G31))))"),0.0)</f>
        <v>0</v>
      </c>
      <c r="AJ31" s="474">
        <f>IFERROR(__xludf.DUMMYFUNCTION("INDIRECT(CONCATENATE(""'"",INDEX(SPLIT($D31,""H""),1),""H"",INDEX(SPLIT($D31,""H""),2)+$E31*(COLUMN()-COLUMN($G31))))"),0.0)</f>
        <v>0</v>
      </c>
      <c r="AK31" s="474">
        <f>IFERROR(__xludf.DUMMYFUNCTION("INDIRECT(CONCATENATE(""'"",INDEX(SPLIT($D31,""H""),1),""H"",INDEX(SPLIT($D31,""H""),2)+$E31*(COLUMN()-COLUMN($G31))))"),0.0)</f>
        <v>0</v>
      </c>
      <c r="AL31" s="474">
        <f>IFERROR(__xludf.DUMMYFUNCTION("INDIRECT(CONCATENATE(""'"",INDEX(SPLIT($D31,""H""),1),""H"",INDEX(SPLIT($D31,""H""),2)+$E31*(COLUMN()-COLUMN($G31))))"),0.0)</f>
        <v>0</v>
      </c>
      <c r="AM31" s="474">
        <f>IFERROR(__xludf.DUMMYFUNCTION("INDIRECT(CONCATENATE(""'"",INDEX(SPLIT($D31,""H""),1),""H"",INDEX(SPLIT($D31,""H""),2)+$E31*(COLUMN()-COLUMN($G31))))"),0.0)</f>
        <v>0</v>
      </c>
      <c r="AN31" s="474">
        <f>IFERROR(__xludf.DUMMYFUNCTION("INDIRECT(CONCATENATE(""'"",INDEX(SPLIT($D31,""H""),1),""H"",INDEX(SPLIT($D31,""H""),2)+$E31*(COLUMN()-COLUMN($G31))))"),0.0)</f>
        <v>0</v>
      </c>
      <c r="AO31" s="474">
        <f>IFERROR(__xludf.DUMMYFUNCTION("INDIRECT(CONCATENATE(""'"",INDEX(SPLIT($D31,""H""),1),""H"",INDEX(SPLIT($D31,""H""),2)+$E31*(COLUMN()-COLUMN($G31))))"),0.0)</f>
        <v>0</v>
      </c>
      <c r="AP31" s="474">
        <f>IFERROR(__xludf.DUMMYFUNCTION("INDIRECT(CONCATENATE(""'"",INDEX(SPLIT($D31,""H""),1),""H"",INDEX(SPLIT($D31,""H""),2)+$E31*(COLUMN()-COLUMN($G31))))"),0.0)</f>
        <v>0</v>
      </c>
      <c r="AQ31" s="474">
        <f>IFERROR(__xludf.DUMMYFUNCTION("INDIRECT(CONCATENATE(""'"",INDEX(SPLIT($D31,""H""),1),""H"",INDEX(SPLIT($D31,""H""),2)+$E31*(COLUMN()-COLUMN($G31))))"),0.0)</f>
        <v>0</v>
      </c>
      <c r="AR31" s="474">
        <f>IFERROR(__xludf.DUMMYFUNCTION("INDIRECT(CONCATENATE(""'"",INDEX(SPLIT($D31,""H""),1),""H"",INDEX(SPLIT($D31,""H""),2)+$E31*(COLUMN()-COLUMN($G31))))"),0.0)</f>
        <v>0</v>
      </c>
      <c r="AS31" s="474">
        <f>IFERROR(__xludf.DUMMYFUNCTION("INDIRECT(CONCATENATE(""'"",INDEX(SPLIT($D31,""H""),1),""H"",INDEX(SPLIT($D31,""H""),2)+$E31*(COLUMN()-COLUMN($G31))))"),0.0)</f>
        <v>0</v>
      </c>
      <c r="AT31" s="474">
        <f>IFERROR(__xludf.DUMMYFUNCTION("INDIRECT(CONCATENATE(""'"",INDEX(SPLIT($D31,""H""),1),""H"",INDEX(SPLIT($D31,""H""),2)+$E31*(COLUMN()-COLUMN($G31))))"),0.0)</f>
        <v>0</v>
      </c>
      <c r="AU31" s="474">
        <f>IFERROR(__xludf.DUMMYFUNCTION("INDIRECT(CONCATENATE(""'"",INDEX(SPLIT($D31,""H""),1),""H"",INDEX(SPLIT($D31,""H""),2)+$E31*(COLUMN()-COLUMN($G31))))"),0.0)</f>
        <v>0</v>
      </c>
      <c r="AV31" s="474">
        <f>IFERROR(__xludf.DUMMYFUNCTION("INDIRECT(CONCATENATE(""'"",INDEX(SPLIT($D31,""H""),1),""H"",INDEX(SPLIT($D31,""H""),2)+$E31*(COLUMN()-COLUMN($G31))))"),0.0)</f>
        <v>0</v>
      </c>
      <c r="AW31" s="474">
        <f>IFERROR(__xludf.DUMMYFUNCTION("INDIRECT(CONCATENATE(""'"",INDEX(SPLIT($D31,""H""),1),""H"",INDEX(SPLIT($D31,""H""),2)+$E31*(COLUMN()-COLUMN($G31))))"),0.0)</f>
        <v>0</v>
      </c>
      <c r="AX31" s="474">
        <f>IFERROR(__xludf.DUMMYFUNCTION("INDIRECT(CONCATENATE(""'"",INDEX(SPLIT($D31,""H""),1),""H"",INDEX(SPLIT($D31,""H""),2)+$E31*(COLUMN()-COLUMN($G31))))"),0.0)</f>
        <v>0</v>
      </c>
      <c r="AY31" s="474">
        <f>IFERROR(__xludf.DUMMYFUNCTION("INDIRECT(CONCATENATE(""'"",INDEX(SPLIT($D31,""H""),1),""H"",INDEX(SPLIT($D31,""H""),2)+$E31*(COLUMN()-COLUMN($G31))))"),0.0)</f>
        <v>0</v>
      </c>
      <c r="AZ31" s="474">
        <f>IFERROR(__xludf.DUMMYFUNCTION("INDIRECT(CONCATENATE(""'"",INDEX(SPLIT($D31,""H""),1),""H"",INDEX(SPLIT($D31,""H""),2)+$E31*(COLUMN()-COLUMN($G31))))"),0.0)</f>
        <v>0</v>
      </c>
      <c r="BA31" s="474">
        <f>IFERROR(__xludf.DUMMYFUNCTION("INDIRECT(CONCATENATE(""'"",INDEX(SPLIT($D31,""H""),1),""H"",INDEX(SPLIT($D31,""H""),2)+$E31*(COLUMN()-COLUMN($G31))))"),0.0)</f>
        <v>0</v>
      </c>
      <c r="BB31" s="474">
        <f>IFERROR(__xludf.DUMMYFUNCTION("INDIRECT(CONCATENATE(""'"",INDEX(SPLIT($D31,""H""),1),""H"",INDEX(SPLIT($D31,""H""),2)+$E31*(COLUMN()-COLUMN($G31))))"),0.0)</f>
        <v>0</v>
      </c>
      <c r="BC31" s="474">
        <f>IFERROR(__xludf.DUMMYFUNCTION("INDIRECT(CONCATENATE(""'"",INDEX(SPLIT($D31,""H""),1),""H"",INDEX(SPLIT($D31,""H""),2)+$E31*(COLUMN()-COLUMN($G31))))"),0.0)</f>
        <v>0</v>
      </c>
      <c r="BD31" s="474">
        <f>IFERROR(__xludf.DUMMYFUNCTION("INDIRECT(CONCATENATE(""'"",INDEX(SPLIT($D31,""H""),1),""H"",INDEX(SPLIT($D31,""H""),2)+$E31*(COLUMN()-COLUMN($G31))))"),0.0)</f>
        <v>0</v>
      </c>
      <c r="BE31" s="474">
        <f>IFERROR(__xludf.DUMMYFUNCTION("INDIRECT(CONCATENATE(""'"",INDEX(SPLIT($D31,""H""),1),""H"",INDEX(SPLIT($D31,""H""),2)+$E31*(COLUMN()-COLUMN($G31))))"),0.0)</f>
        <v>0</v>
      </c>
      <c r="BF31" s="474">
        <f>IFERROR(__xludf.DUMMYFUNCTION("INDIRECT(CONCATENATE(""'"",INDEX(SPLIT($D31,""H""),1),""H"",INDEX(SPLIT($D31,""H""),2)+$E31*(COLUMN()-COLUMN($G31))))"),0.0)</f>
        <v>0</v>
      </c>
      <c r="BG31" s="474">
        <f>IFERROR(__xludf.DUMMYFUNCTION("INDIRECT(CONCATENATE(""'"",INDEX(SPLIT($D31,""H""),1),""H"",INDEX(SPLIT($D31,""H""),2)+$E31*(COLUMN()-COLUMN($G31))))"),0.0)</f>
        <v>0</v>
      </c>
      <c r="BH31" s="474">
        <f>IFERROR(__xludf.DUMMYFUNCTION("INDIRECT(CONCATENATE(""'"",INDEX(SPLIT($D31,""H""),1),""H"",INDEX(SPLIT($D31,""H""),2)+$E31*(COLUMN()-COLUMN($G31))))"),0.0)</f>
        <v>0</v>
      </c>
      <c r="BI31" s="474">
        <f>IFERROR(__xludf.DUMMYFUNCTION("INDIRECT(CONCATENATE(""'"",INDEX(SPLIT($D31,""H""),1),""H"",INDEX(SPLIT($D31,""H""),2)+$E31*(COLUMN()-COLUMN($G31))))"),0.0)</f>
        <v>0</v>
      </c>
      <c r="BJ31" s="474">
        <f>IFERROR(__xludf.DUMMYFUNCTION("INDIRECT(CONCATENATE(""'"",INDEX(SPLIT($D31,""H""),1),""H"",INDEX(SPLIT($D31,""H""),2)+$E31*(COLUMN()-COLUMN($G31))))"),0.0)</f>
        <v>0</v>
      </c>
      <c r="BK31" s="474">
        <f>IFERROR(__xludf.DUMMYFUNCTION("INDIRECT(CONCATENATE(""'"",INDEX(SPLIT($D31,""H""),1),""H"",INDEX(SPLIT($D31,""H""),2)+$E31*(COLUMN()-COLUMN($G31))))"),0.0)</f>
        <v>0</v>
      </c>
      <c r="BL31" s="474">
        <f>IFERROR(__xludf.DUMMYFUNCTION("INDIRECT(CONCATENATE(""'"",INDEX(SPLIT($D31,""H""),1),""H"",INDEX(SPLIT($D31,""H""),2)+$E31*(COLUMN()-COLUMN($G31))))"),0.0)</f>
        <v>0</v>
      </c>
      <c r="BM31" s="474">
        <f>IFERROR(__xludf.DUMMYFUNCTION("INDIRECT(CONCATENATE(""'"",INDEX(SPLIT($D31,""H""),1),""H"",INDEX(SPLIT($D31,""H""),2)+$E31*(COLUMN()-COLUMN($G31))))"),0.0)</f>
        <v>0</v>
      </c>
      <c r="BN31" s="474">
        <f>IFERROR(__xludf.DUMMYFUNCTION("INDIRECT(CONCATENATE(""'"",INDEX(SPLIT($D31,""H""),1),""H"",INDEX(SPLIT($D31,""H""),2)+$E31*(COLUMN()-COLUMN($G31))))"),0.0)</f>
        <v>0</v>
      </c>
      <c r="BO31" s="474">
        <f>IFERROR(__xludf.DUMMYFUNCTION("INDIRECT(CONCATENATE(""'"",INDEX(SPLIT($D31,""H""),1),""H"",INDEX(SPLIT($D31,""H""),2)+$E31*(COLUMN()-COLUMN($G31))))"),0.0)</f>
        <v>0</v>
      </c>
      <c r="BP31" s="474">
        <f>IFERROR(__xludf.DUMMYFUNCTION("INDIRECT(CONCATENATE(""'"",INDEX(SPLIT($D31,""H""),1),""H"",INDEX(SPLIT($D31,""H""),2)+$E31*(COLUMN()-COLUMN($G31))))"),0.0)</f>
        <v>0</v>
      </c>
      <c r="BQ31" s="474">
        <f>IFERROR(__xludf.DUMMYFUNCTION("INDIRECT(CONCATENATE(""'"",INDEX(SPLIT($D31,""H""),1),""H"",INDEX(SPLIT($D31,""H""),2)+$E31*(COLUMN()-COLUMN($G31))))"),0.0)</f>
        <v>0</v>
      </c>
      <c r="BR31" s="478">
        <f>IFERROR(__xludf.DUMMYFUNCTION("INDIRECT(CONCATENATE(""'"",INDEX(SPLIT($D31,""H""),1),""H"",INDEX(SPLIT($D31,""H""),2)+$E31*(COLUMN()-COLUMN($G31))))"),764404.0)</f>
        <v>764404</v>
      </c>
      <c r="BS31" s="478">
        <f>IFERROR(__xludf.DUMMYFUNCTION("INDIRECT(CONCATENATE(""'"",INDEX(SPLIT($D31,""H""),1),""H"",INDEX(SPLIT($D31,""H""),2)+$E31*(COLUMN()-COLUMN($G31))))"),751664.0)</f>
        <v>751664</v>
      </c>
      <c r="BT31" s="478">
        <f>IFERROR(__xludf.DUMMYFUNCTION("INDIRECT(CONCATENATE(""'"",INDEX(SPLIT($D31,""H""),1),""H"",INDEX(SPLIT($D31,""H""),2)+$E31*(COLUMN()-COLUMN($G31))))"),739137.0)</f>
        <v>739137</v>
      </c>
      <c r="BU31" s="478">
        <f>IFERROR(__xludf.DUMMYFUNCTION("INDIRECT(CONCATENATE(""'"",INDEX(SPLIT($D31,""H""),1),""H"",INDEX(SPLIT($D31,""H""),2)+$E31*(COLUMN()-COLUMN($G31))))"),726819.0)</f>
        <v>726819</v>
      </c>
      <c r="BV31" s="478">
        <f>IFERROR(__xludf.DUMMYFUNCTION("INDIRECT(CONCATENATE(""'"",INDEX(SPLIT($D31,""H""),1),""H"",INDEX(SPLIT($D31,""H""),2)+$E31*(COLUMN()-COLUMN($G31))))"),714706.0)</f>
        <v>714706</v>
      </c>
      <c r="BW31" s="478">
        <f>IFERROR(__xludf.DUMMYFUNCTION("INDIRECT(CONCATENATE(""'"",INDEX(SPLIT($D31,""H""),1),""H"",INDEX(SPLIT($D31,""H""),2)+$E31*(COLUMN()-COLUMN($G31))))"),702795.0)</f>
        <v>702795</v>
      </c>
      <c r="BX31" s="478">
        <f>IFERROR(__xludf.DUMMYFUNCTION("INDIRECT(CONCATENATE(""'"",INDEX(SPLIT($D31,""H""),1),""H"",INDEX(SPLIT($D31,""H""),2)+$E31*(COLUMN()-COLUMN($G31))))"),691082.0)</f>
        <v>691082</v>
      </c>
      <c r="BY31" s="478">
        <f>IFERROR(__xludf.DUMMYFUNCTION("INDIRECT(CONCATENATE(""'"",INDEX(SPLIT($D31,""H""),1),""H"",INDEX(SPLIT($D31,""H""),2)+$E31*(COLUMN()-COLUMN($G31))))"),679565.0)</f>
        <v>679565</v>
      </c>
      <c r="BZ31" s="478">
        <f>IFERROR(__xludf.DUMMYFUNCTION("INDIRECT(CONCATENATE(""'"",INDEX(SPLIT($D31,""H""),1),""H"",INDEX(SPLIT($D31,""H""),2)+$E31*(COLUMN()-COLUMN($G31))))"),668239.0)</f>
        <v>668239</v>
      </c>
      <c r="CA31" s="478">
        <f>IFERROR(__xludf.DUMMYFUNCTION("INDIRECT(CONCATENATE(""'"",INDEX(SPLIT($D31,""H""),1),""H"",INDEX(SPLIT($D31,""H""),2)+$E31*(COLUMN()-COLUMN($G31))))"),657102.0)</f>
        <v>657102</v>
      </c>
      <c r="CB31" s="478">
        <f>IFERROR(__xludf.DUMMYFUNCTION("INDIRECT(CONCATENATE(""'"",INDEX(SPLIT($D31,""H""),1),""H"",INDEX(SPLIT($D31,""H""),2)+$E31*(COLUMN()-COLUMN($G31))))"),646151.0)</f>
        <v>646151</v>
      </c>
      <c r="CC31" s="478">
        <f>IFERROR(__xludf.DUMMYFUNCTION("INDIRECT(CONCATENATE(""'"",INDEX(SPLIT($D31,""H""),1),""H"",INDEX(SPLIT($D31,""H""),2)+$E31*(COLUMN()-COLUMN($G31))))"),635382.0)</f>
        <v>635382</v>
      </c>
      <c r="CD31" s="478">
        <f>IFERROR(__xludf.DUMMYFUNCTION("INDIRECT(CONCATENATE(""'"",INDEX(SPLIT($D31,""H""),1),""H"",INDEX(SPLIT($D31,""H""),2)+$E31*(COLUMN()-COLUMN($G31))))"),624793.0)</f>
        <v>624793</v>
      </c>
      <c r="CE31" s="478">
        <f>IFERROR(__xludf.DUMMYFUNCTION("INDIRECT(CONCATENATE(""'"",INDEX(SPLIT($D31,""H""),1),""H"",INDEX(SPLIT($D31,""H""),2)+$E31*(COLUMN()-COLUMN($G31))))"),614380.0)</f>
        <v>614380</v>
      </c>
      <c r="CF31" s="478">
        <f>IFERROR(__xludf.DUMMYFUNCTION("INDIRECT(CONCATENATE(""'"",INDEX(SPLIT($D31,""H""),1),""H"",INDEX(SPLIT($D31,""H""),2)+$E31*(COLUMN()-COLUMN($G31))))"),604141.0)</f>
        <v>604141</v>
      </c>
      <c r="CG31" s="478">
        <f>IFERROR(__xludf.DUMMYFUNCTION("INDIRECT(CONCATENATE(""'"",INDEX(SPLIT($D31,""H""),1),""H"",INDEX(SPLIT($D31,""H""),2)+$E31*(COLUMN()-COLUMN($G31))))"),594073.0)</f>
        <v>594073</v>
      </c>
      <c r="CH31" s="478">
        <f>IFERROR(__xludf.DUMMYFUNCTION("INDIRECT(CONCATENATE(""'"",INDEX(SPLIT($D31,""H""),1),""H"",INDEX(SPLIT($D31,""H""),2)+$E31*(COLUMN()-COLUMN($G31))))"),584172.0)</f>
        <v>584172</v>
      </c>
      <c r="CI31" s="478">
        <f>IFERROR(__xludf.DUMMYFUNCTION("INDIRECT(CONCATENATE(""'"",INDEX(SPLIT($D31,""H""),1),""H"",INDEX(SPLIT($D31,""H""),2)+$E31*(COLUMN()-COLUMN($G31))))"),574436.0)</f>
        <v>574436</v>
      </c>
      <c r="CJ31" s="478">
        <f>IFERROR(__xludf.DUMMYFUNCTION("INDIRECT(CONCATENATE(""'"",INDEX(SPLIT($D31,""H""),1),""H"",INDEX(SPLIT($D31,""H""),2)+$E31*(COLUMN()-COLUMN($G31))))"),564863.0)</f>
        <v>564863</v>
      </c>
      <c r="CK31" s="478">
        <f>IFERROR(__xludf.DUMMYFUNCTION("INDIRECT(CONCATENATE(""'"",INDEX(SPLIT($D31,""H""),1),""H"",INDEX(SPLIT($D31,""H""),2)+$E31*(COLUMN()-COLUMN($G31))))"),555449.0)</f>
        <v>555449</v>
      </c>
      <c r="CL31" s="478">
        <f>IFERROR(__xludf.DUMMYFUNCTION("INDIRECT(CONCATENATE(""'"",INDEX(SPLIT($D31,""H""),1),""H"",INDEX(SPLIT($D31,""H""),2)+$E31*(COLUMN()-COLUMN($G31))))"),546192.0)</f>
        <v>546192</v>
      </c>
      <c r="CM31" s="478">
        <f>IFERROR(__xludf.DUMMYFUNCTION("INDIRECT(CONCATENATE(""'"",INDEX(SPLIT($D31,""H""),1),""H"",INDEX(SPLIT($D31,""H""),2)+$E31*(COLUMN()-COLUMN($G31))))"),537089.0)</f>
        <v>537089</v>
      </c>
      <c r="CN31" s="478">
        <f>IFERROR(__xludf.DUMMYFUNCTION("INDIRECT(CONCATENATE(""'"",INDEX(SPLIT($D31,""H""),1),""H"",INDEX(SPLIT($D31,""H""),2)+$E31*(COLUMN()-COLUMN($G31))))"),528138.0)</f>
        <v>528138</v>
      </c>
      <c r="CO31" s="479">
        <f>IFERROR(__xludf.DUMMYFUNCTION("INDIRECT(CONCATENATE(""'"",INDEX(SPLIT($D31,""H""),1),""H"",INDEX(SPLIT($D31,""H""),2)+$E31*(COLUMN()-COLUMN($G31))))"),519336.0)</f>
        <v>519336</v>
      </c>
      <c r="CP31" s="480">
        <f>IFERROR(__xludf.DUMMYFUNCTION("INDIRECT(CONCATENATE(""'"",INDEX(SPLIT($D31,""H""),1),""H"",INDEX(SPLIT($D31,""H""),2)+$E31*(COLUMN()-COLUMN($G31))))"),510681.0)</f>
        <v>510681</v>
      </c>
      <c r="CQ31" s="478">
        <f>IFERROR(__xludf.DUMMYFUNCTION("INDIRECT(CONCATENATE(""'"",INDEX(SPLIT($D31,""H""),1),""H"",INDEX(SPLIT($D31,""H""),2)+$E31*(COLUMN()-COLUMN($G31))))"),502170.0)</f>
        <v>502170</v>
      </c>
      <c r="CR31" s="478">
        <f>IFERROR(__xludf.DUMMYFUNCTION("INDIRECT(CONCATENATE(""'"",INDEX(SPLIT($D31,""H""),1),""H"",INDEX(SPLIT($D31,""H""),2)+$E31*(COLUMN()-COLUMN($G31))))"),493801.0)</f>
        <v>493801</v>
      </c>
      <c r="CS31" s="478">
        <f>IFERROR(__xludf.DUMMYFUNCTION("INDIRECT(CONCATENATE(""'"",INDEX(SPLIT($D31,""H""),1),""H"",INDEX(SPLIT($D31,""H""),2)+$E31*(COLUMN()-COLUMN($G31))))"),485572.0)</f>
        <v>485572</v>
      </c>
      <c r="CT31" s="478">
        <f>IFERROR(__xludf.DUMMYFUNCTION("INDIRECT(CONCATENATE(""'"",INDEX(SPLIT($D31,""H""),1),""H"",INDEX(SPLIT($D31,""H""),2)+$E31*(COLUMN()-COLUMN($G31))))"),477480.0)</f>
        <v>477480</v>
      </c>
      <c r="CU31" s="478">
        <f>IFERROR(__xludf.DUMMYFUNCTION("INDIRECT(CONCATENATE(""'"",INDEX(SPLIT($D31,""H""),1),""H"",INDEX(SPLIT($D31,""H""),2)+$E31*(COLUMN()-COLUMN($G31))))"),469523.0)</f>
        <v>469523</v>
      </c>
      <c r="CV31" s="478">
        <f>IFERROR(__xludf.DUMMYFUNCTION("INDIRECT(CONCATENATE(""'"",INDEX(SPLIT($D31,""H""),1),""H"",INDEX(SPLIT($D31,""H""),2)+$E31*(COLUMN()-COLUMN($G31))))"),461698.0)</f>
        <v>461698</v>
      </c>
      <c r="CW31" s="478">
        <f>IFERROR(__xludf.DUMMYFUNCTION("INDIRECT(CONCATENATE(""'"",INDEX(SPLIT($D31,""H""),1),""H"",INDEX(SPLIT($D31,""H""),2)+$E31*(COLUMN()-COLUMN($G31))))"),454004.0)</f>
        <v>454004</v>
      </c>
      <c r="CX31" s="478">
        <f>IFERROR(__xludf.DUMMYFUNCTION("INDIRECT(CONCATENATE(""'"",INDEX(SPLIT($D31,""H""),1),""H"",INDEX(SPLIT($D31,""H""),2)+$E31*(COLUMN()-COLUMN($G31))))"),446438.0)</f>
        <v>446438</v>
      </c>
      <c r="CY31" s="478">
        <f>IFERROR(__xludf.DUMMYFUNCTION("INDIRECT(CONCATENATE(""'"",INDEX(SPLIT($D31,""H""),1),""H"",INDEX(SPLIT($D31,""H""),2)+$E31*(COLUMN()-COLUMN($G31))))"),438998.0)</f>
        <v>438998</v>
      </c>
      <c r="CZ31" s="478">
        <f>IFERROR(__xludf.DUMMYFUNCTION("INDIRECT(CONCATENATE(""'"",INDEX(SPLIT($D31,""H""),1),""H"",INDEX(SPLIT($D31,""H""),2)+$E31*(COLUMN()-COLUMN($G31))))"),431682.0)</f>
        <v>431682</v>
      </c>
      <c r="DA31" s="478">
        <f>IFERROR(__xludf.DUMMYFUNCTION("INDIRECT(CONCATENATE(""'"",INDEX(SPLIT($D31,""H""),1),""H"",INDEX(SPLIT($D31,""H""),2)+$E31*(COLUMN()-COLUMN($G31))))"),424488.0)</f>
        <v>424488</v>
      </c>
      <c r="DB31" s="478">
        <f>IFERROR(__xludf.DUMMYFUNCTION("INDIRECT(CONCATENATE(""'"",INDEX(SPLIT($D31,""H""),1),""H"",INDEX(SPLIT($D31,""H""),2)+$E31*(COLUMN()-COLUMN($G31))))"),417414.0)</f>
        <v>417414</v>
      </c>
      <c r="DC31" s="478">
        <f>IFERROR(__xludf.DUMMYFUNCTION("INDIRECT(CONCATENATE(""'"",INDEX(SPLIT($D31,""H""),1),""H"",INDEX(SPLIT($D31,""H""),2)+$E31*(COLUMN()-COLUMN($G31))))"),410458.0)</f>
        <v>410458</v>
      </c>
      <c r="DD31" s="478">
        <f>IFERROR(__xludf.DUMMYFUNCTION("INDIRECT(CONCATENATE(""'"",INDEX(SPLIT($D31,""H""),1),""H"",INDEX(SPLIT($D31,""H""),2)+$E31*(COLUMN()-COLUMN($G31))))"),403618.0)</f>
        <v>403618</v>
      </c>
      <c r="DE31" s="478">
        <f>IFERROR(__xludf.DUMMYFUNCTION("INDIRECT(CONCATENATE(""'"",INDEX(SPLIT($D31,""H""),1),""H"",INDEX(SPLIT($D31,""H""),2)+$E31*(COLUMN()-COLUMN($G31))))"),396892.0)</f>
        <v>396892</v>
      </c>
      <c r="DF31" s="478">
        <f>IFERROR(__xludf.DUMMYFUNCTION("INDIRECT(CONCATENATE(""'"",INDEX(SPLIT($D31,""H""),1),""H"",INDEX(SPLIT($D31,""H""),2)+$E31*(COLUMN()-COLUMN($G31))))"),390278.0)</f>
        <v>390278</v>
      </c>
      <c r="DG31" s="478">
        <f>IFERROR(__xludf.DUMMYFUNCTION("INDIRECT(CONCATENATE(""'"",INDEX(SPLIT($D31,""H""),1),""H"",INDEX(SPLIT($D31,""H""),2)+$E31*(COLUMN()-COLUMN($G31))))"),383774.0)</f>
        <v>383774</v>
      </c>
      <c r="DH31" s="478">
        <f>IFERROR(__xludf.DUMMYFUNCTION("INDIRECT(CONCATENATE(""'"",INDEX(SPLIT($D31,""H""),1),""H"",INDEX(SPLIT($D31,""H""),2)+$E31*(COLUMN()-COLUMN($G31))))"),377379.0)</f>
        <v>377379</v>
      </c>
      <c r="DI31" s="478">
        <f>IFERROR(__xludf.DUMMYFUNCTION("INDIRECT(CONCATENATE(""'"",INDEX(SPLIT($D31,""H""),1),""H"",INDEX(SPLIT($D31,""H""),2)+$E31*(COLUMN()-COLUMN($G31))))"),371090.0)</f>
        <v>371090</v>
      </c>
      <c r="DJ31" s="478">
        <f>IFERROR(__xludf.DUMMYFUNCTION("INDIRECT(CONCATENATE(""'"",INDEX(SPLIT($D31,""H""),1),""H"",INDEX(SPLIT($D31,""H""),2)+$E31*(COLUMN()-COLUMN($G31))))"),364906.0)</f>
        <v>364906</v>
      </c>
      <c r="DK31" s="478">
        <f>IFERROR(__xludf.DUMMYFUNCTION("INDIRECT(CONCATENATE(""'"",INDEX(SPLIT($D31,""H""),1),""H"",INDEX(SPLIT($D31,""H""),2)+$E31*(COLUMN()-COLUMN($G31))))"),358825.0)</f>
        <v>358825</v>
      </c>
      <c r="DL31" s="478">
        <f>IFERROR(__xludf.DUMMYFUNCTION("INDIRECT(CONCATENATE(""'"",INDEX(SPLIT($D31,""H""),1),""H"",INDEX(SPLIT($D31,""H""),2)+$E31*(COLUMN()-COLUMN($G31))))"),352845.0)</f>
        <v>352845</v>
      </c>
      <c r="DM31" s="478">
        <f>IFERROR(__xludf.DUMMYFUNCTION("INDIRECT(CONCATENATE(""'"",INDEX(SPLIT($D31,""H""),1),""H"",INDEX(SPLIT($D31,""H""),2)+$E31*(COLUMN()-COLUMN($G31))))"),346965.0)</f>
        <v>346965</v>
      </c>
      <c r="DN31" s="481">
        <f>IFERROR(__xludf.DUMMYFUNCTION("INDIRECT(CONCATENATE(""'"",INDEX(SPLIT($D31,""H""),1),""H"",INDEX(SPLIT($D31,""H""),2)+$E31*(COLUMN()-COLUMN($G31))))"),-11662.0)</f>
        <v>-11662</v>
      </c>
      <c r="DO31" s="481">
        <f>IFERROR(__xludf.DUMMYFUNCTION("INDIRECT(CONCATENATE(""'"",INDEX(SPLIT($D31,""H""),1),""H"",INDEX(SPLIT($D31,""H""),2)+$E31*(COLUMN()-COLUMN($G31))))"),-17348.0)</f>
        <v>-17348</v>
      </c>
      <c r="DP31" s="481">
        <f>IFERROR(__xludf.DUMMYFUNCTION("INDIRECT(CONCATENATE(""'"",INDEX(SPLIT($D31,""H""),1),""H"",INDEX(SPLIT($D31,""H""),2)+$E31*(COLUMN()-COLUMN($G31))))"),-22939.0)</f>
        <v>-22939</v>
      </c>
      <c r="DQ31" s="481">
        <f>IFERROR(__xludf.DUMMYFUNCTION("INDIRECT(CONCATENATE(""'"",INDEX(SPLIT($D31,""H""),1),""H"",INDEX(SPLIT($D31,""H""),2)+$E31*(COLUMN()-COLUMN($G31))))"),-28437.0)</f>
        <v>-28437</v>
      </c>
      <c r="DR31" s="481">
        <f>IFERROR(__xludf.DUMMYFUNCTION("INDIRECT(CONCATENATE(""'"",INDEX(SPLIT($D31,""H""),1),""H"",INDEX(SPLIT($D31,""H""),2)+$E31*(COLUMN()-COLUMN($G31))))"),-33843.0)</f>
        <v>-33843</v>
      </c>
      <c r="DS31" s="481">
        <f>IFERROR(__xludf.DUMMYFUNCTION("INDIRECT(CONCATENATE(""'"",INDEX(SPLIT($D31,""H""),1),""H"",INDEX(SPLIT($D31,""H""),2)+$E31*(COLUMN()-COLUMN($G31))))"),-39159.0)</f>
        <v>-39159</v>
      </c>
      <c r="DT31" s="481">
        <f>IFERROR(__xludf.DUMMYFUNCTION("INDIRECT(CONCATENATE(""'"",INDEX(SPLIT($D31,""H""),1),""H"",INDEX(SPLIT($D31,""H""),2)+$E31*(COLUMN()-COLUMN($G31))))"),-44386.0)</f>
        <v>-44386</v>
      </c>
      <c r="DU31" s="481">
        <f>IFERROR(__xludf.DUMMYFUNCTION("INDIRECT(CONCATENATE(""'"",INDEX(SPLIT($D31,""H""),1),""H"",INDEX(SPLIT($D31,""H""),2)+$E31*(COLUMN()-COLUMN($G31))))"),-49526.0)</f>
        <v>-49526</v>
      </c>
      <c r="DV31" s="481">
        <f>IFERROR(__xludf.DUMMYFUNCTION("INDIRECT(CONCATENATE(""'"",INDEX(SPLIT($D31,""H""),1),""H"",INDEX(SPLIT($D31,""H""),2)+$E31*(COLUMN()-COLUMN($G31))))"),-54580.0)</f>
        <v>-54580</v>
      </c>
      <c r="DW31" s="481">
        <f>IFERROR(__xludf.DUMMYFUNCTION("INDIRECT(CONCATENATE(""'"",INDEX(SPLIT($D31,""H""),1),""H"",INDEX(SPLIT($D31,""H""),2)+$E31*(COLUMN()-COLUMN($G31))))"),-59550.0)</f>
        <v>-59550</v>
      </c>
      <c r="DX31" s="481">
        <f>IFERROR(__xludf.DUMMYFUNCTION("INDIRECT(CONCATENATE(""'"",INDEX(SPLIT($D31,""H""),1),""H"",INDEX(SPLIT($D31,""H""),2)+$E31*(COLUMN()-COLUMN($G31))))"),-64437.0)</f>
        <v>-64437</v>
      </c>
      <c r="DY31" s="481">
        <f>IFERROR(__xludf.DUMMYFUNCTION("INDIRECT(CONCATENATE(""'"",INDEX(SPLIT($D31,""H""),1),""H"",INDEX(SPLIT($D31,""H""),2)+$E31*(COLUMN()-COLUMN($G31))))"),-69243.0)</f>
        <v>-69243</v>
      </c>
      <c r="DZ31" s="481">
        <f>IFERROR(__xludf.DUMMYFUNCTION("INDIRECT(CONCATENATE(""'"",INDEX(SPLIT($D31,""H""),1),""H"",INDEX(SPLIT($D31,""H""),2)+$E31*(COLUMN()-COLUMN($G31))))"),-73969.0)</f>
        <v>-73969</v>
      </c>
      <c r="EA31" s="481">
        <f>IFERROR(__xludf.DUMMYFUNCTION("INDIRECT(CONCATENATE(""'"",INDEX(SPLIT($D31,""H""),1),""H"",INDEX(SPLIT($D31,""H""),2)+$E31*(COLUMN()-COLUMN($G31))))"),-78616.0)</f>
        <v>-78616</v>
      </c>
      <c r="EB31" s="481">
        <f>IFERROR(__xludf.DUMMYFUNCTION("INDIRECT(CONCATENATE(""'"",INDEX(SPLIT($D31,""H""),1),""H"",INDEX(SPLIT($D31,""H""),2)+$E31*(COLUMN()-COLUMN($G31))))"),-83186.0)</f>
        <v>-83186</v>
      </c>
      <c r="EC31" s="481">
        <f>IFERROR(__xludf.DUMMYFUNCTION("INDIRECT(CONCATENATE(""'"",INDEX(SPLIT($D31,""H""),1),""H"",INDEX(SPLIT($D31,""H""),2)+$E31*(COLUMN()-COLUMN($G31))))"),-87679.0)</f>
        <v>-87679</v>
      </c>
      <c r="ED31" s="481">
        <f>IFERROR(__xludf.DUMMYFUNCTION("INDIRECT(CONCATENATE(""'"",INDEX(SPLIT($D31,""H""),1),""H"",INDEX(SPLIT($D31,""H""),2)+$E31*(COLUMN()-COLUMN($G31))))"),-92097.0)</f>
        <v>-92097</v>
      </c>
      <c r="EE31" s="481">
        <f>IFERROR(__xludf.DUMMYFUNCTION("INDIRECT(CONCATENATE(""'"",INDEX(SPLIT($D31,""H""),1),""H"",INDEX(SPLIT($D31,""H""),2)+$E31*(COLUMN()-COLUMN($G31))))"),-96442.0)</f>
        <v>-96442</v>
      </c>
      <c r="EF31" s="481">
        <f>IFERROR(__xludf.DUMMYFUNCTION("INDIRECT(CONCATENATE(""'"",INDEX(SPLIT($D31,""H""),1),""H"",INDEX(SPLIT($D31,""H""),2)+$E31*(COLUMN()-COLUMN($G31))))"),-100714.0)</f>
        <v>-100714</v>
      </c>
      <c r="EG31" s="481">
        <f>IFERROR(__xludf.DUMMYFUNCTION("INDIRECT(CONCATENATE(""'"",INDEX(SPLIT($D31,""H""),1),""H"",INDEX(SPLIT($D31,""H""),2)+$E31*(COLUMN()-COLUMN($G31))))"),-104915.0)</f>
        <v>-104915</v>
      </c>
      <c r="EH31" s="481">
        <f>IFERROR(__xludf.DUMMYFUNCTION("INDIRECT(CONCATENATE(""'"",INDEX(SPLIT($D31,""H""),1),""H"",INDEX(SPLIT($D31,""H""),2)+$E31*(COLUMN()-COLUMN($G31))))"),-109046.0)</f>
        <v>-109046</v>
      </c>
      <c r="EI31" s="481">
        <f>IFERROR(__xludf.DUMMYFUNCTION("INDIRECT(CONCATENATE(""'"",INDEX(SPLIT($D31,""H""),1),""H"",INDEX(SPLIT($D31,""H""),2)+$E31*(COLUMN()-COLUMN($G31))))"),-113108.0)</f>
        <v>-113108</v>
      </c>
      <c r="EJ31" s="481">
        <f>IFERROR(__xludf.DUMMYFUNCTION("INDIRECT(CONCATENATE(""'"",INDEX(SPLIT($D31,""H""),1),""H"",INDEX(SPLIT($D31,""H""),2)+$E31*(COLUMN()-COLUMN($G31))))"),-117103.0)</f>
        <v>-117103</v>
      </c>
      <c r="EK31" s="481">
        <f>IFERROR(__xludf.DUMMYFUNCTION("INDIRECT(CONCATENATE(""'"",INDEX(SPLIT($D31,""H""),1),""H"",INDEX(SPLIT($D31,""H""),2)+$E31*(COLUMN()-COLUMN($G31))))"),-121031.0)</f>
        <v>-121031</v>
      </c>
      <c r="EL31" s="481">
        <f>IFERROR(__xludf.DUMMYFUNCTION("INDIRECT(CONCATENATE(""'"",INDEX(SPLIT($D31,""H""),1),""H"",INDEX(SPLIT($D31,""H""),2)+$E31*(COLUMN()-COLUMN($G31))))"),-124894.0)</f>
        <v>-124894</v>
      </c>
      <c r="EM31" s="481">
        <f>IFERROR(__xludf.DUMMYFUNCTION("INDIRECT(CONCATENATE(""'"",INDEX(SPLIT($D31,""H""),1),""H"",INDEX(SPLIT($D31,""H""),2)+$E31*(COLUMN()-COLUMN($G31))))"),-128692.0)</f>
        <v>-128692</v>
      </c>
      <c r="EN31" s="481">
        <f>IFERROR(__xludf.DUMMYFUNCTION("INDIRECT(CONCATENATE(""'"",INDEX(SPLIT($D31,""H""),1),""H"",INDEX(SPLIT($D31,""H""),2)+$E31*(COLUMN()-COLUMN($G31))))"),-132427.0)</f>
        <v>-132427</v>
      </c>
      <c r="EO31" s="481">
        <f>IFERROR(__xludf.DUMMYFUNCTION("INDIRECT(CONCATENATE(""'"",INDEX(SPLIT($D31,""H""),1),""H"",INDEX(SPLIT($D31,""H""),2)+$E31*(COLUMN()-COLUMN($G31))))"),-136100.0)</f>
        <v>-136100</v>
      </c>
      <c r="EP31" s="481">
        <f>IFERROR(__xludf.DUMMYFUNCTION("INDIRECT(CONCATENATE(""'"",INDEX(SPLIT($D31,""H""),1),""H"",INDEX(SPLIT($D31,""H""),2)+$E31*(COLUMN()-COLUMN($G31))))"),-139711.0)</f>
        <v>-139711</v>
      </c>
      <c r="EQ31" s="481">
        <f>IFERROR(__xludf.DUMMYFUNCTION("INDIRECT(CONCATENATE(""'"",INDEX(SPLIT($D31,""H""),1),""H"",INDEX(SPLIT($D31,""H""),2)+$E31*(COLUMN()-COLUMN($G31))))"),-143262.0)</f>
        <v>-143262</v>
      </c>
      <c r="ER31" s="481">
        <f>IFERROR(__xludf.DUMMYFUNCTION("INDIRECT(CONCATENATE(""'"",INDEX(SPLIT($D31,""H""),1),""H"",INDEX(SPLIT($D31,""H""),2)+$E31*(COLUMN()-COLUMN($G31))))"),-146754.0)</f>
        <v>-146754</v>
      </c>
      <c r="ES31" s="481">
        <f>IFERROR(__xludf.DUMMYFUNCTION("INDIRECT(CONCATENATE(""'"",INDEX(SPLIT($D31,""H""),1),""H"",INDEX(SPLIT($D31,""H""),2)+$E31*(COLUMN()-COLUMN($G31))))"),-150188.0)</f>
        <v>-150188</v>
      </c>
      <c r="ET31" s="481">
        <f>IFERROR(__xludf.DUMMYFUNCTION("INDIRECT(CONCATENATE(""'"",INDEX(SPLIT($D31,""H""),1),""H"",INDEX(SPLIT($D31,""H""),2)+$E31*(COLUMN()-COLUMN($G31))))"),-153565.0)</f>
        <v>-153565</v>
      </c>
      <c r="EU31" s="481">
        <f>IFERROR(__xludf.DUMMYFUNCTION("INDIRECT(CONCATENATE(""'"",INDEX(SPLIT($D31,""H""),1),""H"",INDEX(SPLIT($D31,""H""),2)+$E31*(COLUMN()-COLUMN($G31))))"),-156885.0)</f>
        <v>-156885</v>
      </c>
      <c r="EV31" s="481">
        <f>IFERROR(__xludf.DUMMYFUNCTION("INDIRECT(CONCATENATE(""'"",INDEX(SPLIT($D31,""H""),1),""H"",INDEX(SPLIT($D31,""H""),2)+$E31*(COLUMN()-COLUMN($G31))))"),-160150.0)</f>
        <v>-160150</v>
      </c>
      <c r="EW31" s="481">
        <f>IFERROR(__xludf.DUMMYFUNCTION("INDIRECT(CONCATENATE(""'"",INDEX(SPLIT($D31,""H""),1),""H"",INDEX(SPLIT($D31,""H""),2)+$E31*(COLUMN()-COLUMN($G31))))"),-163360.0)</f>
        <v>-163360</v>
      </c>
      <c r="EX31" s="481">
        <f>IFERROR(__xludf.DUMMYFUNCTION("INDIRECT(CONCATENATE(""'"",INDEX(SPLIT($D31,""H""),1),""H"",INDEX(SPLIT($D31,""H""),2)+$E31*(COLUMN()-COLUMN($G31))))"),-166517.0)</f>
        <v>-166517</v>
      </c>
      <c r="EY31" s="481">
        <f>IFERROR(__xludf.DUMMYFUNCTION("INDIRECT(CONCATENATE(""'"",INDEX(SPLIT($D31,""H""),1),""H"",INDEX(SPLIT($D31,""H""),2)+$E31*(COLUMN()-COLUMN($G31))))"),-169621.0)</f>
        <v>-169621</v>
      </c>
      <c r="EZ31" s="481">
        <f>IFERROR(__xludf.DUMMYFUNCTION("INDIRECT(CONCATENATE(""'"",INDEX(SPLIT($D31,""H""),1),""H"",INDEX(SPLIT($D31,""H""),2)+$E31*(COLUMN()-COLUMN($G31))))"),-172674.0)</f>
        <v>-172674</v>
      </c>
      <c r="FA31" s="481">
        <f>IFERROR(__xludf.DUMMYFUNCTION("INDIRECT(CONCATENATE(""'"",INDEX(SPLIT($D31,""H""),1),""H"",INDEX(SPLIT($D31,""H""),2)+$E31*(COLUMN()-COLUMN($G31))))"),-175676.0)</f>
        <v>-175676</v>
      </c>
      <c r="FB31" s="481">
        <f>IFERROR(__xludf.DUMMYFUNCTION("INDIRECT(CONCATENATE(""'"",INDEX(SPLIT($D31,""H""),1),""H"",INDEX(SPLIT($D31,""H""),2)+$E31*(COLUMN()-COLUMN($G31))))"),-178628.0)</f>
        <v>-178628</v>
      </c>
      <c r="FC31" s="481">
        <f>IFERROR(__xludf.DUMMYFUNCTION("INDIRECT(CONCATENATE(""'"",INDEX(SPLIT($D31,""H""),1),""H"",INDEX(SPLIT($D31,""H""),2)+$E31*(COLUMN()-COLUMN($G31))))"),-181530.0)</f>
        <v>-181530</v>
      </c>
      <c r="FD31" s="481">
        <f>IFERROR(__xludf.DUMMYFUNCTION("INDIRECT(CONCATENATE(""'"",INDEX(SPLIT($D31,""H""),1),""H"",INDEX(SPLIT($D31,""H""),2)+$E31*(COLUMN()-COLUMN($G31))))"),-184384.0)</f>
        <v>-184384</v>
      </c>
      <c r="FE31" s="481">
        <f>IFERROR(__xludf.DUMMYFUNCTION("INDIRECT(CONCATENATE(""'"",INDEX(SPLIT($D31,""H""),1),""H"",INDEX(SPLIT($D31,""H""),2)+$E31*(COLUMN()-COLUMN($G31))))"),-187190.0)</f>
        <v>-187190</v>
      </c>
      <c r="FF31" s="481">
        <f>IFERROR(__xludf.DUMMYFUNCTION("INDIRECT(CONCATENATE(""'"",INDEX(SPLIT($D31,""H""),1),""H"",INDEX(SPLIT($D31,""H""),2)+$E31*(COLUMN()-COLUMN($G31))))"),-189950.0)</f>
        <v>-189950</v>
      </c>
      <c r="FG31" s="481">
        <f>IFERROR(__xludf.DUMMYFUNCTION("INDIRECT(CONCATENATE(""'"",INDEX(SPLIT($D31,""H""),1),""H"",INDEX(SPLIT($D31,""H""),2)+$E31*(COLUMN()-COLUMN($G31))))"),-192664.0)</f>
        <v>-192664</v>
      </c>
      <c r="FH31" s="481">
        <f>IFERROR(__xludf.DUMMYFUNCTION("INDIRECT(CONCATENATE(""'"",INDEX(SPLIT($D31,""H""),1),""H"",INDEX(SPLIT($D31,""H""),2)+$E31*(COLUMN()-COLUMN($G31))))"),-195332.0)</f>
        <v>-195332</v>
      </c>
      <c r="FI31" s="481">
        <f>IFERROR(__xludf.DUMMYFUNCTION("INDIRECT(CONCATENATE(""'"",INDEX(SPLIT($D31,""H""),1),""H"",INDEX(SPLIT($D31,""H""),2)+$E31*(COLUMN()-COLUMN($G31))))"),-197956.0)</f>
        <v>-197956</v>
      </c>
      <c r="FJ31" s="481">
        <f>IFERROR(__xludf.DUMMYFUNCTION("INDIRECT(CONCATENATE(""'"",INDEX(SPLIT($D31,""H""),1),""H"",INDEX(SPLIT($D31,""H""),2)+$E31*(COLUMN()-COLUMN($G31))))"),-200536.0)</f>
        <v>-200536</v>
      </c>
      <c r="FK31" s="481">
        <f>IFERROR(__xludf.DUMMYFUNCTION("INDIRECT(CONCATENATE(""'"",INDEX(SPLIT($D31,""H""),1),""H"",INDEX(SPLIT($D31,""H""),2)+$E31*(COLUMN()-COLUMN($G31))))"),-203073.0)</f>
        <v>-203073</v>
      </c>
      <c r="FL31" s="481">
        <f>IFERROR(__xludf.DUMMYFUNCTION("INDIRECT(CONCATENATE(""'"",INDEX(SPLIT($D31,""H""),1),""H"",INDEX(SPLIT($D31,""H""),2)+$E31*(COLUMN()-COLUMN($G31))))"),-205568.0)</f>
        <v>-205568</v>
      </c>
      <c r="FM31" s="481">
        <f>IFERROR(__xludf.DUMMYFUNCTION("INDIRECT(CONCATENATE(""'"",INDEX(SPLIT($D31,""H""),1),""H"",INDEX(SPLIT($D31,""H""),2)+$E31*(COLUMN()-COLUMN($G31))))"),-208021.0)</f>
        <v>-208021</v>
      </c>
      <c r="FN31" s="481">
        <f>IFERROR(__xludf.DUMMYFUNCTION("INDIRECT(CONCATENATE(""'"",INDEX(SPLIT($D31,""H""),1),""H"",INDEX(SPLIT($D31,""H""),2)+$E31*(COLUMN()-COLUMN($G31))))"),-210433.0)</f>
        <v>-210433</v>
      </c>
      <c r="FO31" s="481">
        <f>IFERROR(__xludf.DUMMYFUNCTION("INDIRECT(CONCATENATE(""'"",INDEX(SPLIT($D31,""H""),1),""H"",INDEX(SPLIT($D31,""H""),2)+$E31*(COLUMN()-COLUMN($G31))))"),-212805.0)</f>
        <v>-212805</v>
      </c>
      <c r="FP31" s="481">
        <f>IFERROR(__xludf.DUMMYFUNCTION("INDIRECT(CONCATENATE(""'"",INDEX(SPLIT($D31,""H""),1),""H"",INDEX(SPLIT($D31,""H""),2)+$E31*(COLUMN()-COLUMN($G31))))"),-215138.0)</f>
        <v>-215138</v>
      </c>
      <c r="FQ31" s="481">
        <f>IFERROR(__xludf.DUMMYFUNCTION("INDIRECT(CONCATENATE(""'"",INDEX(SPLIT($D31,""H""),1),""H"",INDEX(SPLIT($D31,""H""),2)+$E31*(COLUMN()-COLUMN($G31))))"),-217432.0)</f>
        <v>-217432</v>
      </c>
      <c r="FR31" s="481">
        <f>IFERROR(__xludf.DUMMYFUNCTION("INDIRECT(CONCATENATE(""'"",INDEX(SPLIT($D31,""H""),1),""H"",INDEX(SPLIT($D31,""H""),2)+$E31*(COLUMN()-COLUMN($G31))))"),-219688.0)</f>
        <v>-219688</v>
      </c>
      <c r="FS31" s="481">
        <f>IFERROR(__xludf.DUMMYFUNCTION("INDIRECT(CONCATENATE(""'"",INDEX(SPLIT($D31,""H""),1),""H"",INDEX(SPLIT($D31,""H""),2)+$E31*(COLUMN()-COLUMN($G31))))"),-221906.0)</f>
        <v>-221906</v>
      </c>
      <c r="FT31" s="481">
        <f>IFERROR(__xludf.DUMMYFUNCTION("INDIRECT(CONCATENATE(""'"",INDEX(SPLIT($D31,""H""),1),""H"",INDEX(SPLIT($D31,""H""),2)+$E31*(COLUMN()-COLUMN($G31))))"),-224087.0)</f>
        <v>-224087</v>
      </c>
      <c r="FU31" s="481">
        <f>IFERROR(__xludf.DUMMYFUNCTION("INDIRECT(CONCATENATE(""'"",INDEX(SPLIT($D31,""H""),1),""H"",INDEX(SPLIT($D31,""H""),2)+$E31*(COLUMN()-COLUMN($G31))))"),-226232.0)</f>
        <v>-226232</v>
      </c>
      <c r="FV31" s="481">
        <f>IFERROR(__xludf.DUMMYFUNCTION("INDIRECT(CONCATENATE(""'"",INDEX(SPLIT($D31,""H""),1),""H"",INDEX(SPLIT($D31,""H""),2)+$E31*(COLUMN()-COLUMN($G31))))"),-228341.0)</f>
        <v>-228341</v>
      </c>
      <c r="FW31" s="481">
        <f>IFERROR(__xludf.DUMMYFUNCTION("INDIRECT(CONCATENATE(""'"",INDEX(SPLIT($D31,""H""),1),""H"",INDEX(SPLIT($D31,""H""),2)+$E31*(COLUMN()-COLUMN($G31))))"),-230415.0)</f>
        <v>-230415</v>
      </c>
      <c r="FX31" s="482">
        <f>IFERROR(__xludf.DUMMYFUNCTION("INDIRECT(CONCATENATE(""'"",INDEX(SPLIT($D31,""H""),1),""H"",INDEX(SPLIT($D31,""H""),2)+$E31*(COLUMN()-COLUMN($G31))))"),-232454.0)</f>
        <v>-232454</v>
      </c>
    </row>
    <row r="32">
      <c r="A32" s="483" t="s">
        <v>627</v>
      </c>
      <c r="B32" s="484" t="s">
        <v>630</v>
      </c>
      <c r="C32" s="485" t="s">
        <v>633</v>
      </c>
      <c r="D32" s="470" t="s">
        <v>685</v>
      </c>
      <c r="E32" s="471">
        <v>1.0</v>
      </c>
      <c r="F32" s="472">
        <v>1.0</v>
      </c>
      <c r="G32" s="473">
        <f>IFERROR(__xludf.DUMMYFUNCTION("INDIRECT(CONCATENATE(""'"",INDEX(SPLIT($D32,""K""),1),""K"",INDEX(SPLIT($D32,""K""),2)+$E32*(COLUMN()-COLUMN($G32))))"),0.0)</f>
        <v>0</v>
      </c>
      <c r="H32" s="474">
        <f>IFERROR(__xludf.DUMMYFUNCTION("INDIRECT(CONCATENATE(""'"",INDEX(SPLIT($D32,""K""),1),""K"",INDEX(SPLIT($D32,""K""),2)+$E32*(COLUMN()-COLUMN($G32))))"),0.0)</f>
        <v>0</v>
      </c>
      <c r="I32" s="474">
        <f>IFERROR(__xludf.DUMMYFUNCTION("INDIRECT(CONCATENATE(""'"",INDEX(SPLIT($D32,""K""),1),""K"",INDEX(SPLIT($D32,""K""),2)+$E32*(COLUMN()-COLUMN($G32))))"),0.0)</f>
        <v>0</v>
      </c>
      <c r="J32" s="474">
        <f>IFERROR(__xludf.DUMMYFUNCTION("INDIRECT(CONCATENATE(""'"",INDEX(SPLIT($D32,""K""),1),""K"",INDEX(SPLIT($D32,""K""),2)+$E32*(COLUMN()-COLUMN($G32))))"),0.0)</f>
        <v>0</v>
      </c>
      <c r="K32" s="474">
        <f>IFERROR(__xludf.DUMMYFUNCTION("INDIRECT(CONCATENATE(""'"",INDEX(SPLIT($D32,""K""),1),""K"",INDEX(SPLIT($D32,""K""),2)+$E32*(COLUMN()-COLUMN($G32))))"),0.0)</f>
        <v>0</v>
      </c>
      <c r="L32" s="474">
        <f>IFERROR(__xludf.DUMMYFUNCTION("INDIRECT(CONCATENATE(""'"",INDEX(SPLIT($D32,""K""),1),""K"",INDEX(SPLIT($D32,""K""),2)+$E32*(COLUMN()-COLUMN($G32))))"),0.0)</f>
        <v>0</v>
      </c>
      <c r="M32" s="474">
        <f>IFERROR(__xludf.DUMMYFUNCTION("INDIRECT(CONCATENATE(""'"",INDEX(SPLIT($D32,""K""),1),""K"",INDEX(SPLIT($D32,""K""),2)+$E32*(COLUMN()-COLUMN($G32))))"),0.0)</f>
        <v>0</v>
      </c>
      <c r="N32" s="474">
        <f>IFERROR(__xludf.DUMMYFUNCTION("INDIRECT(CONCATENATE(""'"",INDEX(SPLIT($D32,""K""),1),""K"",INDEX(SPLIT($D32,""K""),2)+$E32*(COLUMN()-COLUMN($G32))))"),0.0)</f>
        <v>0</v>
      </c>
      <c r="O32" s="474">
        <f>IFERROR(__xludf.DUMMYFUNCTION("INDIRECT(CONCATENATE(""'"",INDEX(SPLIT($D32,""K""),1),""K"",INDEX(SPLIT($D32,""K""),2)+$E32*(COLUMN()-COLUMN($G32))))"),0.0)</f>
        <v>0</v>
      </c>
      <c r="P32" s="474">
        <f>IFERROR(__xludf.DUMMYFUNCTION("INDIRECT(CONCATENATE(""'"",INDEX(SPLIT($D32,""K""),1),""K"",INDEX(SPLIT($D32,""K""),2)+$E32*(COLUMN()-COLUMN($G32))))"),0.0)</f>
        <v>0</v>
      </c>
      <c r="Q32" s="474">
        <f>IFERROR(__xludf.DUMMYFUNCTION("INDIRECT(CONCATENATE(""'"",INDEX(SPLIT($D32,""K""),1),""K"",INDEX(SPLIT($D32,""K""),2)+$E32*(COLUMN()-COLUMN($G32))))"),0.0)</f>
        <v>0</v>
      </c>
      <c r="R32" s="474">
        <f>IFERROR(__xludf.DUMMYFUNCTION("INDIRECT(CONCATENATE(""'"",INDEX(SPLIT($D32,""K""),1),""K"",INDEX(SPLIT($D32,""K""),2)+$E32*(COLUMN()-COLUMN($G32))))"),0.0)</f>
        <v>0</v>
      </c>
      <c r="S32" s="474">
        <f>IFERROR(__xludf.DUMMYFUNCTION("INDIRECT(CONCATENATE(""'"",INDEX(SPLIT($D32,""K""),1),""K"",INDEX(SPLIT($D32,""K""),2)+$E32*(COLUMN()-COLUMN($G32))))"),0.0)</f>
        <v>0</v>
      </c>
      <c r="T32" s="474">
        <f>IFERROR(__xludf.DUMMYFUNCTION("INDIRECT(CONCATENATE(""'"",INDEX(SPLIT($D32,""K""),1),""K"",INDEX(SPLIT($D32,""K""),2)+$E32*(COLUMN()-COLUMN($G32))))"),0.0)</f>
        <v>0</v>
      </c>
      <c r="U32" s="474">
        <f>IFERROR(__xludf.DUMMYFUNCTION("INDIRECT(CONCATENATE(""'"",INDEX(SPLIT($D32,""K""),1),""K"",INDEX(SPLIT($D32,""K""),2)+$E32*(COLUMN()-COLUMN($G32))))"),0.0)</f>
        <v>0</v>
      </c>
      <c r="V32" s="474">
        <f>IFERROR(__xludf.DUMMYFUNCTION("INDIRECT(CONCATENATE(""'"",INDEX(SPLIT($D32,""K""),1),""K"",INDEX(SPLIT($D32,""K""),2)+$E32*(COLUMN()-COLUMN($G32))))"),0.0)</f>
        <v>0</v>
      </c>
      <c r="W32" s="474">
        <f>IFERROR(__xludf.DUMMYFUNCTION("INDIRECT(CONCATENATE(""'"",INDEX(SPLIT($D32,""K""),1),""K"",INDEX(SPLIT($D32,""K""),2)+$E32*(COLUMN()-COLUMN($G32))))"),0.0)</f>
        <v>0</v>
      </c>
      <c r="X32" s="474">
        <f>IFERROR(__xludf.DUMMYFUNCTION("INDIRECT(CONCATENATE(""'"",INDEX(SPLIT($D32,""K""),1),""K"",INDEX(SPLIT($D32,""K""),2)+$E32*(COLUMN()-COLUMN($G32))))"),0.0)</f>
        <v>0</v>
      </c>
      <c r="Y32" s="474">
        <f>IFERROR(__xludf.DUMMYFUNCTION("INDIRECT(CONCATENATE(""'"",INDEX(SPLIT($D32,""K""),1),""K"",INDEX(SPLIT($D32,""K""),2)+$E32*(COLUMN()-COLUMN($G32))))"),0.0)</f>
        <v>0</v>
      </c>
      <c r="Z32" s="474">
        <f>IFERROR(__xludf.DUMMYFUNCTION("INDIRECT(CONCATENATE(""'"",INDEX(SPLIT($D32,""K""),1),""K"",INDEX(SPLIT($D32,""K""),2)+$E32*(COLUMN()-COLUMN($G32))))"),0.0)</f>
        <v>0</v>
      </c>
      <c r="AA32" s="474">
        <f>IFERROR(__xludf.DUMMYFUNCTION("INDIRECT(CONCATENATE(""'"",INDEX(SPLIT($D32,""K""),1),""K"",INDEX(SPLIT($D32,""K""),2)+$E32*(COLUMN()-COLUMN($G32))))"),0.0)</f>
        <v>0</v>
      </c>
      <c r="AB32" s="474">
        <f>IFERROR(__xludf.DUMMYFUNCTION("INDIRECT(CONCATENATE(""'"",INDEX(SPLIT($D32,""K""),1),""K"",INDEX(SPLIT($D32,""K""),2)+$E32*(COLUMN()-COLUMN($G32))))"),0.0)</f>
        <v>0</v>
      </c>
      <c r="AC32" s="474">
        <f>IFERROR(__xludf.DUMMYFUNCTION("INDIRECT(CONCATENATE(""'"",INDEX(SPLIT($D32,""K""),1),""K"",INDEX(SPLIT($D32,""K""),2)+$E32*(COLUMN()-COLUMN($G32))))"),0.0)</f>
        <v>0</v>
      </c>
      <c r="AD32" s="474">
        <f>IFERROR(__xludf.DUMMYFUNCTION("INDIRECT(CONCATENATE(""'"",INDEX(SPLIT($D32,""K""),1),""K"",INDEX(SPLIT($D32,""K""),2)+$E32*(COLUMN()-COLUMN($G32))))"),0.0)</f>
        <v>0</v>
      </c>
      <c r="AE32" s="474">
        <f>IFERROR(__xludf.DUMMYFUNCTION("INDIRECT(CONCATENATE(""'"",INDEX(SPLIT($D32,""K""),1),""K"",INDEX(SPLIT($D32,""K""),2)+$E32*(COLUMN()-COLUMN($G32))))"),0.0)</f>
        <v>0</v>
      </c>
      <c r="AF32" s="474">
        <f>IFERROR(__xludf.DUMMYFUNCTION("INDIRECT(CONCATENATE(""'"",INDEX(SPLIT($D32,""K""),1),""K"",INDEX(SPLIT($D32,""K""),2)+$E32*(COLUMN()-COLUMN($G32))))"),0.0)</f>
        <v>0</v>
      </c>
      <c r="AG32" s="474">
        <f>IFERROR(__xludf.DUMMYFUNCTION("INDIRECT(CONCATENATE(""'"",INDEX(SPLIT($D32,""K""),1),""K"",INDEX(SPLIT($D32,""K""),2)+$E32*(COLUMN()-COLUMN($G32))))"),0.0)</f>
        <v>0</v>
      </c>
      <c r="AH32" s="474">
        <f>IFERROR(__xludf.DUMMYFUNCTION("INDIRECT(CONCATENATE(""'"",INDEX(SPLIT($D32,""K""),1),""K"",INDEX(SPLIT($D32,""K""),2)+$E32*(COLUMN()-COLUMN($G32))))"),0.0)</f>
        <v>0</v>
      </c>
      <c r="AI32" s="474">
        <f>IFERROR(__xludf.DUMMYFUNCTION("INDIRECT(CONCATENATE(""'"",INDEX(SPLIT($D32,""K""),1),""K"",INDEX(SPLIT($D32,""K""),2)+$E32*(COLUMN()-COLUMN($G32))))"),0.0)</f>
        <v>0</v>
      </c>
      <c r="AJ32" s="474">
        <f>IFERROR(__xludf.DUMMYFUNCTION("INDIRECT(CONCATENATE(""'"",INDEX(SPLIT($D32,""K""),1),""K"",INDEX(SPLIT($D32,""K""),2)+$E32*(COLUMN()-COLUMN($G32))))"),0.0)</f>
        <v>0</v>
      </c>
      <c r="AK32" s="474">
        <f>IFERROR(__xludf.DUMMYFUNCTION("INDIRECT(CONCATENATE(""'"",INDEX(SPLIT($D32,""K""),1),""K"",INDEX(SPLIT($D32,""K""),2)+$E32*(COLUMN()-COLUMN($G32))))"),0.0)</f>
        <v>0</v>
      </c>
      <c r="AL32" s="474">
        <f>IFERROR(__xludf.DUMMYFUNCTION("INDIRECT(CONCATENATE(""'"",INDEX(SPLIT($D32,""K""),1),""K"",INDEX(SPLIT($D32,""K""),2)+$E32*(COLUMN()-COLUMN($G32))))"),0.0)</f>
        <v>0</v>
      </c>
      <c r="AM32" s="474">
        <f>IFERROR(__xludf.DUMMYFUNCTION("INDIRECT(CONCATENATE(""'"",INDEX(SPLIT($D32,""K""),1),""K"",INDEX(SPLIT($D32,""K""),2)+$E32*(COLUMN()-COLUMN($G32))))"),0.0)</f>
        <v>0</v>
      </c>
      <c r="AN32" s="474">
        <f>IFERROR(__xludf.DUMMYFUNCTION("INDIRECT(CONCATENATE(""'"",INDEX(SPLIT($D32,""K""),1),""K"",INDEX(SPLIT($D32,""K""),2)+$E32*(COLUMN()-COLUMN($G32))))"),0.0)</f>
        <v>0</v>
      </c>
      <c r="AO32" s="474">
        <f>IFERROR(__xludf.DUMMYFUNCTION("INDIRECT(CONCATENATE(""'"",INDEX(SPLIT($D32,""K""),1),""K"",INDEX(SPLIT($D32,""K""),2)+$E32*(COLUMN()-COLUMN($G32))))"),0.0)</f>
        <v>0</v>
      </c>
      <c r="AP32" s="474">
        <f>IFERROR(__xludf.DUMMYFUNCTION("INDIRECT(CONCATENATE(""'"",INDEX(SPLIT($D32,""K""),1),""K"",INDEX(SPLIT($D32,""K""),2)+$E32*(COLUMN()-COLUMN($G32))))"),0.0)</f>
        <v>0</v>
      </c>
      <c r="AQ32" s="474">
        <f>IFERROR(__xludf.DUMMYFUNCTION("INDIRECT(CONCATENATE(""'"",INDEX(SPLIT($D32,""K""),1),""K"",INDEX(SPLIT($D32,""K""),2)+$E32*(COLUMN()-COLUMN($G32))))"),0.0)</f>
        <v>0</v>
      </c>
      <c r="AR32" s="474">
        <f>IFERROR(__xludf.DUMMYFUNCTION("INDIRECT(CONCATENATE(""'"",INDEX(SPLIT($D32,""K""),1),""K"",INDEX(SPLIT($D32,""K""),2)+$E32*(COLUMN()-COLUMN($G32))))"),0.0)</f>
        <v>0</v>
      </c>
      <c r="AS32" s="474">
        <f>IFERROR(__xludf.DUMMYFUNCTION("INDIRECT(CONCATENATE(""'"",INDEX(SPLIT($D32,""K""),1),""K"",INDEX(SPLIT($D32,""K""),2)+$E32*(COLUMN()-COLUMN($G32))))"),0.0)</f>
        <v>0</v>
      </c>
      <c r="AT32" s="474">
        <f>IFERROR(__xludf.DUMMYFUNCTION("INDIRECT(CONCATENATE(""'"",INDEX(SPLIT($D32,""K""),1),""K"",INDEX(SPLIT($D32,""K""),2)+$E32*(COLUMN()-COLUMN($G32))))"),0.0)</f>
        <v>0</v>
      </c>
      <c r="AU32" s="474">
        <f>IFERROR(__xludf.DUMMYFUNCTION("INDIRECT(CONCATENATE(""'"",INDEX(SPLIT($D32,""K""),1),""K"",INDEX(SPLIT($D32,""K""),2)+$E32*(COLUMN()-COLUMN($G32))))"),0.0)</f>
        <v>0</v>
      </c>
      <c r="AV32" s="474">
        <f>IFERROR(__xludf.DUMMYFUNCTION("INDIRECT(CONCATENATE(""'"",INDEX(SPLIT($D32,""K""),1),""K"",INDEX(SPLIT($D32,""K""),2)+$E32*(COLUMN()-COLUMN($G32))))"),0.0)</f>
        <v>0</v>
      </c>
      <c r="AW32" s="474">
        <f>IFERROR(__xludf.DUMMYFUNCTION("INDIRECT(CONCATENATE(""'"",INDEX(SPLIT($D32,""K""),1),""K"",INDEX(SPLIT($D32,""K""),2)+$E32*(COLUMN()-COLUMN($G32))))"),0.0)</f>
        <v>0</v>
      </c>
      <c r="AX32" s="474">
        <f>IFERROR(__xludf.DUMMYFUNCTION("INDIRECT(CONCATENATE(""'"",INDEX(SPLIT($D32,""K""),1),""K"",INDEX(SPLIT($D32,""K""),2)+$E32*(COLUMN()-COLUMN($G32))))"),0.0)</f>
        <v>0</v>
      </c>
      <c r="AY32" s="474">
        <f>IFERROR(__xludf.DUMMYFUNCTION("INDIRECT(CONCATENATE(""'"",INDEX(SPLIT($D32,""K""),1),""K"",INDEX(SPLIT($D32,""K""),2)+$E32*(COLUMN()-COLUMN($G32))))"),0.0)</f>
        <v>0</v>
      </c>
      <c r="AZ32" s="474">
        <f>IFERROR(__xludf.DUMMYFUNCTION("INDIRECT(CONCATENATE(""'"",INDEX(SPLIT($D32,""K""),1),""K"",INDEX(SPLIT($D32,""K""),2)+$E32*(COLUMN()-COLUMN($G32))))"),0.0)</f>
        <v>0</v>
      </c>
      <c r="BA32" s="474">
        <f>IFERROR(__xludf.DUMMYFUNCTION("INDIRECT(CONCATENATE(""'"",INDEX(SPLIT($D32,""K""),1),""K"",INDEX(SPLIT($D32,""K""),2)+$E32*(COLUMN()-COLUMN($G32))))"),0.0)</f>
        <v>0</v>
      </c>
      <c r="BB32" s="474">
        <f>IFERROR(__xludf.DUMMYFUNCTION("INDIRECT(CONCATENATE(""'"",INDEX(SPLIT($D32,""K""),1),""K"",INDEX(SPLIT($D32,""K""),2)+$E32*(COLUMN()-COLUMN($G32))))"),0.0)</f>
        <v>0</v>
      </c>
      <c r="BC32" s="474">
        <f>IFERROR(__xludf.DUMMYFUNCTION("INDIRECT(CONCATENATE(""'"",INDEX(SPLIT($D32,""K""),1),""K"",INDEX(SPLIT($D32,""K""),2)+$E32*(COLUMN()-COLUMN($G32))))"),0.0)</f>
        <v>0</v>
      </c>
      <c r="BD32" s="474">
        <f>IFERROR(__xludf.DUMMYFUNCTION("INDIRECT(CONCATENATE(""'"",INDEX(SPLIT($D32,""K""),1),""K"",INDEX(SPLIT($D32,""K""),2)+$E32*(COLUMN()-COLUMN($G32))))"),0.0)</f>
        <v>0</v>
      </c>
      <c r="BE32" s="474">
        <f>IFERROR(__xludf.DUMMYFUNCTION("INDIRECT(CONCATENATE(""'"",INDEX(SPLIT($D32,""K""),1),""K"",INDEX(SPLIT($D32,""K""),2)+$E32*(COLUMN()-COLUMN($G32))))"),0.0)</f>
        <v>0</v>
      </c>
      <c r="BF32" s="474">
        <f>IFERROR(__xludf.DUMMYFUNCTION("INDIRECT(CONCATENATE(""'"",INDEX(SPLIT($D32,""K""),1),""K"",INDEX(SPLIT($D32,""K""),2)+$E32*(COLUMN()-COLUMN($G32))))"),0.0)</f>
        <v>0</v>
      </c>
      <c r="BG32" s="474">
        <f>IFERROR(__xludf.DUMMYFUNCTION("INDIRECT(CONCATENATE(""'"",INDEX(SPLIT($D32,""K""),1),""K"",INDEX(SPLIT($D32,""K""),2)+$E32*(COLUMN()-COLUMN($G32))))"),0.0)</f>
        <v>0</v>
      </c>
      <c r="BH32" s="474">
        <f>IFERROR(__xludf.DUMMYFUNCTION("INDIRECT(CONCATENATE(""'"",INDEX(SPLIT($D32,""K""),1),""K"",INDEX(SPLIT($D32,""K""),2)+$E32*(COLUMN()-COLUMN($G32))))"),0.0)</f>
        <v>0</v>
      </c>
      <c r="BI32" s="474">
        <f>IFERROR(__xludf.DUMMYFUNCTION("INDIRECT(CONCATENATE(""'"",INDEX(SPLIT($D32,""K""),1),""K"",INDEX(SPLIT($D32,""K""),2)+$E32*(COLUMN()-COLUMN($G32))))"),0.0)</f>
        <v>0</v>
      </c>
      <c r="BJ32" s="474">
        <f>IFERROR(__xludf.DUMMYFUNCTION("INDIRECT(CONCATENATE(""'"",INDEX(SPLIT($D32,""K""),1),""K"",INDEX(SPLIT($D32,""K""),2)+$E32*(COLUMN()-COLUMN($G32))))"),0.0)</f>
        <v>0</v>
      </c>
      <c r="BK32" s="474">
        <f>IFERROR(__xludf.DUMMYFUNCTION("INDIRECT(CONCATENATE(""'"",INDEX(SPLIT($D32,""K""),1),""K"",INDEX(SPLIT($D32,""K""),2)+$E32*(COLUMN()-COLUMN($G32))))"),0.0)</f>
        <v>0</v>
      </c>
      <c r="BL32" s="474">
        <f>IFERROR(__xludf.DUMMYFUNCTION("INDIRECT(CONCATENATE(""'"",INDEX(SPLIT($D32,""K""),1),""K"",INDEX(SPLIT($D32,""K""),2)+$E32*(COLUMN()-COLUMN($G32))))"),0.0)</f>
        <v>0</v>
      </c>
      <c r="BM32" s="474">
        <f>IFERROR(__xludf.DUMMYFUNCTION("INDIRECT(CONCATENATE(""'"",INDEX(SPLIT($D32,""K""),1),""K"",INDEX(SPLIT($D32,""K""),2)+$E32*(COLUMN()-COLUMN($G32))))"),0.0)</f>
        <v>0</v>
      </c>
      <c r="BN32" s="474">
        <f>IFERROR(__xludf.DUMMYFUNCTION("INDIRECT(CONCATENATE(""'"",INDEX(SPLIT($D32,""K""),1),""K"",INDEX(SPLIT($D32,""K""),2)+$E32*(COLUMN()-COLUMN($G32))))"),0.0)</f>
        <v>0</v>
      </c>
      <c r="BO32" s="474">
        <f>IFERROR(__xludf.DUMMYFUNCTION("INDIRECT(CONCATENATE(""'"",INDEX(SPLIT($D32,""K""),1),""K"",INDEX(SPLIT($D32,""K""),2)+$E32*(COLUMN()-COLUMN($G32))))"),0.0)</f>
        <v>0</v>
      </c>
      <c r="BP32" s="474">
        <f>IFERROR(__xludf.DUMMYFUNCTION("INDIRECT(CONCATENATE(""'"",INDEX(SPLIT($D32,""K""),1),""K"",INDEX(SPLIT($D32,""K""),2)+$E32*(COLUMN()-COLUMN($G32))))"),0.0)</f>
        <v>0</v>
      </c>
      <c r="BQ32" s="474">
        <f>IFERROR(__xludf.DUMMYFUNCTION("INDIRECT(CONCATENATE(""'"",INDEX(SPLIT($D32,""K""),1),""K"",INDEX(SPLIT($D32,""K""),2)+$E32*(COLUMN()-COLUMN($G32))))"),0.0)</f>
        <v>0</v>
      </c>
      <c r="BR32" s="474">
        <f>IFERROR(__xludf.DUMMYFUNCTION("INDIRECT(CONCATENATE(""'"",INDEX(SPLIT($D32,""K""),1),""K"",INDEX(SPLIT($D32,""K""),2)+$E32*(COLUMN()-COLUMN($G32))))"),0.0)</f>
        <v>0</v>
      </c>
      <c r="BS32" s="474">
        <f>IFERROR(__xludf.DUMMYFUNCTION("INDIRECT(CONCATENATE(""'"",INDEX(SPLIT($D32,""K""),1),""K"",INDEX(SPLIT($D32,""K""),2)+$E32*(COLUMN()-COLUMN($G32))))"),0.0)</f>
        <v>0</v>
      </c>
      <c r="BT32" s="474">
        <f>IFERROR(__xludf.DUMMYFUNCTION("INDIRECT(CONCATENATE(""'"",INDEX(SPLIT($D32,""K""),1),""K"",INDEX(SPLIT($D32,""K""),2)+$E32*(COLUMN()-COLUMN($G32))))"),0.0)</f>
        <v>0</v>
      </c>
      <c r="BU32" s="478">
        <f>IFERROR(__xludf.DUMMYFUNCTION("INDIRECT(CONCATENATE(""'"",INDEX(SPLIT($D32,""K""),1),""K"",INDEX(SPLIT($D32,""K""),2)+$E32*(COLUMN()-COLUMN($G32))))"),2868.0)</f>
        <v>2868</v>
      </c>
      <c r="BV32" s="478">
        <f>IFERROR(__xludf.DUMMYFUNCTION("INDIRECT(CONCATENATE(""'"",INDEX(SPLIT($D32,""K""),1),""K"",INDEX(SPLIT($D32,""K""),2)+$E32*(COLUMN()-COLUMN($G32))))"),5871.0)</f>
        <v>5871</v>
      </c>
      <c r="BW32" s="478">
        <f>IFERROR(__xludf.DUMMYFUNCTION("INDIRECT(CONCATENATE(""'"",INDEX(SPLIT($D32,""K""),1),""K"",INDEX(SPLIT($D32,""K""),2)+$E32*(COLUMN()-COLUMN($G32))))"),8958.0)</f>
        <v>8958</v>
      </c>
      <c r="BX32" s="478">
        <f>IFERROR(__xludf.DUMMYFUNCTION("INDIRECT(CONCATENATE(""'"",INDEX(SPLIT($D32,""K""),1),""K"",INDEX(SPLIT($D32,""K""),2)+$E32*(COLUMN()-COLUMN($G32))))"),12045.0)</f>
        <v>12045</v>
      </c>
      <c r="BY32" s="478">
        <f>IFERROR(__xludf.DUMMYFUNCTION("INDIRECT(CONCATENATE(""'"",INDEX(SPLIT($D32,""K""),1),""K"",INDEX(SPLIT($D32,""K""),2)+$E32*(COLUMN()-COLUMN($G32))))"),15132.0)</f>
        <v>15132</v>
      </c>
      <c r="BZ32" s="478">
        <f>IFERROR(__xludf.DUMMYFUNCTION("INDIRECT(CONCATENATE(""'"",INDEX(SPLIT($D32,""K""),1),""K"",INDEX(SPLIT($D32,""K""),2)+$E32*(COLUMN()-COLUMN($G32))))"),18219.0)</f>
        <v>18219</v>
      </c>
      <c r="CA32" s="478">
        <f>IFERROR(__xludf.DUMMYFUNCTION("INDIRECT(CONCATENATE(""'"",INDEX(SPLIT($D32,""K""),1),""K"",INDEX(SPLIT($D32,""K""),2)+$E32*(COLUMN()-COLUMN($G32))))"),18219.0)</f>
        <v>18219</v>
      </c>
      <c r="CB32" s="478">
        <f>IFERROR(__xludf.DUMMYFUNCTION("INDIRECT(CONCATENATE(""'"",INDEX(SPLIT($D32,""K""),1),""K"",INDEX(SPLIT($D32,""K""),2)+$E32*(COLUMN()-COLUMN($G32))))"),21306.0)</f>
        <v>21306</v>
      </c>
      <c r="CC32" s="478">
        <f>IFERROR(__xludf.DUMMYFUNCTION("INDIRECT(CONCATENATE(""'"",INDEX(SPLIT($D32,""K""),1),""K"",INDEX(SPLIT($D32,""K""),2)+$E32*(COLUMN()-COLUMN($G32))))"),24393.0)</f>
        <v>24393</v>
      </c>
      <c r="CD32" s="478">
        <f>IFERROR(__xludf.DUMMYFUNCTION("INDIRECT(CONCATENATE(""'"",INDEX(SPLIT($D32,""K""),1),""K"",INDEX(SPLIT($D32,""K""),2)+$E32*(COLUMN()-COLUMN($G32))))"),27480.0)</f>
        <v>27480</v>
      </c>
      <c r="CE32" s="478">
        <f>IFERROR(__xludf.DUMMYFUNCTION("INDIRECT(CONCATENATE(""'"",INDEX(SPLIT($D32,""K""),1),""K"",INDEX(SPLIT($D32,""K""),2)+$E32*(COLUMN()-COLUMN($G32))))"),30567.0)</f>
        <v>30567</v>
      </c>
      <c r="CF32" s="478">
        <f>IFERROR(__xludf.DUMMYFUNCTION("INDIRECT(CONCATENATE(""'"",INDEX(SPLIT($D32,""K""),1),""K"",INDEX(SPLIT($D32,""K""),2)+$E32*(COLUMN()-COLUMN($G32))))"),33654.0)</f>
        <v>33654</v>
      </c>
      <c r="CG32" s="478">
        <f>IFERROR(__xludf.DUMMYFUNCTION("INDIRECT(CONCATENATE(""'"",INDEX(SPLIT($D32,""K""),1),""K"",INDEX(SPLIT($D32,""K""),2)+$E32*(COLUMN()-COLUMN($G32))))"),36741.0)</f>
        <v>36741</v>
      </c>
      <c r="CH32" s="478">
        <f>IFERROR(__xludf.DUMMYFUNCTION("INDIRECT(CONCATENATE(""'"",INDEX(SPLIT($D32,""K""),1),""K"",INDEX(SPLIT($D32,""K""),2)+$E32*(COLUMN()-COLUMN($G32))))"),40857.0)</f>
        <v>40857</v>
      </c>
      <c r="CI32" s="478">
        <f>IFERROR(__xludf.DUMMYFUNCTION("INDIRECT(CONCATENATE(""'"",INDEX(SPLIT($D32,""K""),1),""K"",INDEX(SPLIT($D32,""K""),2)+$E32*(COLUMN()-COLUMN($G32))))"),45149.0)</f>
        <v>45149</v>
      </c>
      <c r="CJ32" s="478">
        <f>IFERROR(__xludf.DUMMYFUNCTION("INDIRECT(CONCATENATE(""'"",INDEX(SPLIT($D32,""K""),1),""K"",INDEX(SPLIT($D32,""K""),2)+$E32*(COLUMN()-COLUMN($G32))))"),49441.0)</f>
        <v>49441</v>
      </c>
      <c r="CK32" s="478">
        <f>IFERROR(__xludf.DUMMYFUNCTION("INDIRECT(CONCATENATE(""'"",INDEX(SPLIT($D32,""K""),1),""K"",INDEX(SPLIT($D32,""K""),2)+$E32*(COLUMN()-COLUMN($G32))))"),53733.0)</f>
        <v>53733</v>
      </c>
      <c r="CL32" s="478">
        <f>IFERROR(__xludf.DUMMYFUNCTION("INDIRECT(CONCATENATE(""'"",INDEX(SPLIT($D32,""K""),1),""K"",INDEX(SPLIT($D32,""K""),2)+$E32*(COLUMN()-COLUMN($G32))))"),58025.0)</f>
        <v>58025</v>
      </c>
      <c r="CM32" s="478">
        <f>IFERROR(__xludf.DUMMYFUNCTION("INDIRECT(CONCATENATE(""'"",INDEX(SPLIT($D32,""K""),1),""K"",INDEX(SPLIT($D32,""K""),2)+$E32*(COLUMN()-COLUMN($G32))))"),62317.0)</f>
        <v>62317</v>
      </c>
      <c r="CN32" s="478">
        <f>IFERROR(__xludf.DUMMYFUNCTION("INDIRECT(CONCATENATE(""'"",INDEX(SPLIT($D32,""K""),1),""K"",INDEX(SPLIT($D32,""K""),2)+$E32*(COLUMN()-COLUMN($G32))))"),66609.0)</f>
        <v>66609</v>
      </c>
      <c r="CO32" s="479">
        <f>IFERROR(__xludf.DUMMYFUNCTION("INDIRECT(CONCATENATE(""'"",INDEX(SPLIT($D32,""K""),1),""K"",INDEX(SPLIT($D32,""K""),2)+$E32*(COLUMN()-COLUMN($G32))))"),70901.0)</f>
        <v>70901</v>
      </c>
      <c r="CP32" s="480">
        <f>IFERROR(__xludf.DUMMYFUNCTION("INDIRECT(CONCATENATE(""'"",INDEX(SPLIT($D32,""K""),1),""K"",INDEX(SPLIT($D32,""K""),2)+$E32*(COLUMN()-COLUMN($G32))))"),75193.0)</f>
        <v>75193</v>
      </c>
      <c r="CQ32" s="478">
        <f>IFERROR(__xludf.DUMMYFUNCTION("INDIRECT(CONCATENATE(""'"",INDEX(SPLIT($D32,""K""),1),""K"",INDEX(SPLIT($D32,""K""),2)+$E32*(COLUMN()-COLUMN($G32))))"),79485.0)</f>
        <v>79485</v>
      </c>
      <c r="CR32" s="478">
        <f>IFERROR(__xludf.DUMMYFUNCTION("INDIRECT(CONCATENATE(""'"",INDEX(SPLIT($D32,""K""),1),""K"",INDEX(SPLIT($D32,""K""),2)+$E32*(COLUMN()-COLUMN($G32))))"),83777.0)</f>
        <v>83777</v>
      </c>
      <c r="CS32" s="478">
        <f>IFERROR(__xludf.DUMMYFUNCTION("INDIRECT(CONCATENATE(""'"",INDEX(SPLIT($D32,""K""),1),""K"",INDEX(SPLIT($D32,""K""),2)+$E32*(COLUMN()-COLUMN($G32))))"),88069.0)</f>
        <v>88069</v>
      </c>
      <c r="CT32" s="478">
        <f>IFERROR(__xludf.DUMMYFUNCTION("INDIRECT(CONCATENATE(""'"",INDEX(SPLIT($D32,""K""),1),""K"",INDEX(SPLIT($D32,""K""),2)+$E32*(COLUMN()-COLUMN($G32))))"),92361.0)</f>
        <v>92361</v>
      </c>
      <c r="CU32" s="478">
        <f>IFERROR(__xludf.DUMMYFUNCTION("INDIRECT(CONCATENATE(""'"",INDEX(SPLIT($D32,""K""),1),""K"",INDEX(SPLIT($D32,""K""),2)+$E32*(COLUMN()-COLUMN($G32))))"),96773.0)</f>
        <v>96773</v>
      </c>
      <c r="CV32" s="478">
        <f>IFERROR(__xludf.DUMMYFUNCTION("INDIRECT(CONCATENATE(""'"",INDEX(SPLIT($D32,""K""),1),""K"",INDEX(SPLIT($D32,""K""),2)+$E32*(COLUMN()-COLUMN($G32))))"),101185.0)</f>
        <v>101185</v>
      </c>
      <c r="CW32" s="478">
        <f>IFERROR(__xludf.DUMMYFUNCTION("INDIRECT(CONCATENATE(""'"",INDEX(SPLIT($D32,""K""),1),""K"",INDEX(SPLIT($D32,""K""),2)+$E32*(COLUMN()-COLUMN($G32))))"),101185.0)</f>
        <v>101185</v>
      </c>
      <c r="CX32" s="478">
        <f>IFERROR(__xludf.DUMMYFUNCTION("INDIRECT(CONCATENATE(""'"",INDEX(SPLIT($D32,""K""),1),""K"",INDEX(SPLIT($D32,""K""),2)+$E32*(COLUMN()-COLUMN($G32))))"),101185.0)</f>
        <v>101185</v>
      </c>
      <c r="CY32" s="478">
        <f>IFERROR(__xludf.DUMMYFUNCTION("INDIRECT(CONCATENATE(""'"",INDEX(SPLIT($D32,""K""),1),""K"",INDEX(SPLIT($D32,""K""),2)+$E32*(COLUMN()-COLUMN($G32))))"),101185.0)</f>
        <v>101185</v>
      </c>
      <c r="CZ32" s="478">
        <f>IFERROR(__xludf.DUMMYFUNCTION("INDIRECT(CONCATENATE(""'"",INDEX(SPLIT($D32,""K""),1),""K"",INDEX(SPLIT($D32,""K""),2)+$E32*(COLUMN()-COLUMN($G32))))"),101185.0)</f>
        <v>101185</v>
      </c>
      <c r="DA32" s="478">
        <f>IFERROR(__xludf.DUMMYFUNCTION("INDIRECT(CONCATENATE(""'"",INDEX(SPLIT($D32,""K""),1),""K"",INDEX(SPLIT($D32,""K""),2)+$E32*(COLUMN()-COLUMN($G32))))"),101185.0)</f>
        <v>101185</v>
      </c>
      <c r="DB32" s="476" t="str">
        <f>IFERROR(__xludf.DUMMYFUNCTION("INDIRECT(CONCATENATE(""'"",INDEX(SPLIT($D32,""K""),1),""K"",INDEX(SPLIT($D32,""K""),2)+$E32*(COLUMN()-COLUMN($G32))))"),"")</f>
        <v/>
      </c>
      <c r="DC32" s="476" t="str">
        <f>IFERROR(__xludf.DUMMYFUNCTION("INDIRECT(CONCATENATE(""'"",INDEX(SPLIT($D32,""K""),1),""K"",INDEX(SPLIT($D32,""K""),2)+$E32*(COLUMN()-COLUMN($G32))))"),"")</f>
        <v/>
      </c>
      <c r="DD32" s="476" t="str">
        <f>IFERROR(__xludf.DUMMYFUNCTION("INDIRECT(CONCATENATE(""'"",INDEX(SPLIT($D32,""K""),1),""K"",INDEX(SPLIT($D32,""K""),2)+$E32*(COLUMN()-COLUMN($G32))))"),"")</f>
        <v/>
      </c>
      <c r="DE32" s="476" t="str">
        <f>IFERROR(__xludf.DUMMYFUNCTION("INDIRECT(CONCATENATE(""'"",INDEX(SPLIT($D32,""K""),1),""K"",INDEX(SPLIT($D32,""K""),2)+$E32*(COLUMN()-COLUMN($G32))))"),"")</f>
        <v/>
      </c>
      <c r="DF32" s="476" t="str">
        <f>IFERROR(__xludf.DUMMYFUNCTION("INDIRECT(CONCATENATE(""'"",INDEX(SPLIT($D32,""K""),1),""K"",INDEX(SPLIT($D32,""K""),2)+$E32*(COLUMN()-COLUMN($G32))))"),"")</f>
        <v/>
      </c>
      <c r="DG32" s="476" t="str">
        <f>IFERROR(__xludf.DUMMYFUNCTION("INDIRECT(CONCATENATE(""'"",INDEX(SPLIT($D32,""K""),1),""K"",INDEX(SPLIT($D32,""K""),2)+$E32*(COLUMN()-COLUMN($G32))))"),"")</f>
        <v/>
      </c>
      <c r="DH32" s="476" t="str">
        <f>IFERROR(__xludf.DUMMYFUNCTION("INDIRECT(CONCATENATE(""'"",INDEX(SPLIT($D32,""K""),1),""K"",INDEX(SPLIT($D32,""K""),2)+$E32*(COLUMN()-COLUMN($G32))))"),"")</f>
        <v/>
      </c>
      <c r="DI32" s="476" t="str">
        <f>IFERROR(__xludf.DUMMYFUNCTION("INDIRECT(CONCATENATE(""'"",INDEX(SPLIT($D32,""K""),1),""K"",INDEX(SPLIT($D32,""K""),2)+$E32*(COLUMN()-COLUMN($G32))))"),"")</f>
        <v/>
      </c>
      <c r="DJ32" s="476" t="str">
        <f>IFERROR(__xludf.DUMMYFUNCTION("INDIRECT(CONCATENATE(""'"",INDEX(SPLIT($D32,""K""),1),""K"",INDEX(SPLIT($D32,""K""),2)+$E32*(COLUMN()-COLUMN($G32))))"),"")</f>
        <v/>
      </c>
      <c r="DK32" s="476" t="str">
        <f>IFERROR(__xludf.DUMMYFUNCTION("INDIRECT(CONCATENATE(""'"",INDEX(SPLIT($D32,""K""),1),""K"",INDEX(SPLIT($D32,""K""),2)+$E32*(COLUMN()-COLUMN($G32))))"),"")</f>
        <v/>
      </c>
      <c r="DL32" s="476" t="str">
        <f>IFERROR(__xludf.DUMMYFUNCTION("INDIRECT(CONCATENATE(""'"",INDEX(SPLIT($D32,""K""),1),""K"",INDEX(SPLIT($D32,""K""),2)+$E32*(COLUMN()-COLUMN($G32))))"),"")</f>
        <v/>
      </c>
      <c r="DM32" s="476" t="str">
        <f>IFERROR(__xludf.DUMMYFUNCTION("INDIRECT(CONCATENATE(""'"",INDEX(SPLIT($D32,""K""),1),""K"",INDEX(SPLIT($D32,""K""),2)+$E32*(COLUMN()-COLUMN($G32))))"),"")</f>
        <v/>
      </c>
      <c r="DN32" s="476" t="str">
        <f>IFERROR(__xludf.DUMMYFUNCTION("INDIRECT(CONCATENATE(""'"",INDEX(SPLIT($D32,""K""),1),""K"",INDEX(SPLIT($D32,""K""),2)+$E32*(COLUMN()-COLUMN($G32))))"),"")</f>
        <v/>
      </c>
      <c r="DO32" s="476" t="str">
        <f>IFERROR(__xludf.DUMMYFUNCTION("INDIRECT(CONCATENATE(""'"",INDEX(SPLIT($D32,""K""),1),""K"",INDEX(SPLIT($D32,""K""),2)+$E32*(COLUMN()-COLUMN($G32))))"),"")</f>
        <v/>
      </c>
      <c r="DP32" s="476" t="str">
        <f>IFERROR(__xludf.DUMMYFUNCTION("INDIRECT(CONCATENATE(""'"",INDEX(SPLIT($D32,""K""),1),""K"",INDEX(SPLIT($D32,""K""),2)+$E32*(COLUMN()-COLUMN($G32))))"),"")</f>
        <v/>
      </c>
      <c r="DQ32" s="476" t="str">
        <f>IFERROR(__xludf.DUMMYFUNCTION("INDIRECT(CONCATENATE(""'"",INDEX(SPLIT($D32,""K""),1),""K"",INDEX(SPLIT($D32,""K""),2)+$E32*(COLUMN()-COLUMN($G32))))"),"")</f>
        <v/>
      </c>
      <c r="DR32" s="476" t="str">
        <f>IFERROR(__xludf.DUMMYFUNCTION("INDIRECT(CONCATENATE(""'"",INDEX(SPLIT($D32,""K""),1),""K"",INDEX(SPLIT($D32,""K""),2)+$E32*(COLUMN()-COLUMN($G32))))"),"")</f>
        <v/>
      </c>
      <c r="DS32" s="476" t="str">
        <f>IFERROR(__xludf.DUMMYFUNCTION("INDIRECT(CONCATENATE(""'"",INDEX(SPLIT($D32,""K""),1),""K"",INDEX(SPLIT($D32,""K""),2)+$E32*(COLUMN()-COLUMN($G32))))"),"")</f>
        <v/>
      </c>
      <c r="DT32" s="476" t="str">
        <f>IFERROR(__xludf.DUMMYFUNCTION("INDIRECT(CONCATENATE(""'"",INDEX(SPLIT($D32,""K""),1),""K"",INDEX(SPLIT($D32,""K""),2)+$E32*(COLUMN()-COLUMN($G32))))"),"")</f>
        <v/>
      </c>
      <c r="DU32" s="476" t="str">
        <f>IFERROR(__xludf.DUMMYFUNCTION("INDIRECT(CONCATENATE(""'"",INDEX(SPLIT($D32,""K""),1),""K"",INDEX(SPLIT($D32,""K""),2)+$E32*(COLUMN()-COLUMN($G32))))"),"")</f>
        <v/>
      </c>
      <c r="DV32" s="476" t="str">
        <f>IFERROR(__xludf.DUMMYFUNCTION("INDIRECT(CONCATENATE(""'"",INDEX(SPLIT($D32,""K""),1),""K"",INDEX(SPLIT($D32,""K""),2)+$E32*(COLUMN()-COLUMN($G32))))"),"")</f>
        <v/>
      </c>
      <c r="DW32" s="476" t="str">
        <f>IFERROR(__xludf.DUMMYFUNCTION("INDIRECT(CONCATENATE(""'"",INDEX(SPLIT($D32,""K""),1),""K"",INDEX(SPLIT($D32,""K""),2)+$E32*(COLUMN()-COLUMN($G32))))"),"")</f>
        <v/>
      </c>
      <c r="DX32" s="476" t="str">
        <f>IFERROR(__xludf.DUMMYFUNCTION("INDIRECT(CONCATENATE(""'"",INDEX(SPLIT($D32,""K""),1),""K"",INDEX(SPLIT($D32,""K""),2)+$E32*(COLUMN()-COLUMN($G32))))"),"")</f>
        <v/>
      </c>
      <c r="DY32" s="476" t="str">
        <f>IFERROR(__xludf.DUMMYFUNCTION("INDIRECT(CONCATENATE(""'"",INDEX(SPLIT($D32,""K""),1),""K"",INDEX(SPLIT($D32,""K""),2)+$E32*(COLUMN()-COLUMN($G32))))"),"")</f>
        <v/>
      </c>
      <c r="DZ32" s="476" t="str">
        <f>IFERROR(__xludf.DUMMYFUNCTION("INDIRECT(CONCATENATE(""'"",INDEX(SPLIT($D32,""K""),1),""K"",INDEX(SPLIT($D32,""K""),2)+$E32*(COLUMN()-COLUMN($G32))))"),"")</f>
        <v/>
      </c>
      <c r="EA32" s="476" t="str">
        <f>IFERROR(__xludf.DUMMYFUNCTION("INDIRECT(CONCATENATE(""'"",INDEX(SPLIT($D32,""K""),1),""K"",INDEX(SPLIT($D32,""K""),2)+$E32*(COLUMN()-COLUMN($G32))))"),"")</f>
        <v/>
      </c>
      <c r="EB32" s="476" t="str">
        <f>IFERROR(__xludf.DUMMYFUNCTION("INDIRECT(CONCATENATE(""'"",INDEX(SPLIT($D32,""K""),1),""K"",INDEX(SPLIT($D32,""K""),2)+$E32*(COLUMN()-COLUMN($G32))))"),"")</f>
        <v/>
      </c>
      <c r="EC32" s="476" t="str">
        <f>IFERROR(__xludf.DUMMYFUNCTION("INDIRECT(CONCATENATE(""'"",INDEX(SPLIT($D32,""K""),1),""K"",INDEX(SPLIT($D32,""K""),2)+$E32*(COLUMN()-COLUMN($G32))))"),"")</f>
        <v/>
      </c>
      <c r="ED32" s="476" t="str">
        <f>IFERROR(__xludf.DUMMYFUNCTION("INDIRECT(CONCATENATE(""'"",INDEX(SPLIT($D32,""K""),1),""K"",INDEX(SPLIT($D32,""K""),2)+$E32*(COLUMN()-COLUMN($G32))))"),"")</f>
        <v/>
      </c>
      <c r="EE32" s="476" t="str">
        <f>IFERROR(__xludf.DUMMYFUNCTION("INDIRECT(CONCATENATE(""'"",INDEX(SPLIT($D32,""K""),1),""K"",INDEX(SPLIT($D32,""K""),2)+$E32*(COLUMN()-COLUMN($G32))))"),"")</f>
        <v/>
      </c>
      <c r="EF32" s="476" t="str">
        <f>IFERROR(__xludf.DUMMYFUNCTION("INDIRECT(CONCATENATE(""'"",INDEX(SPLIT($D32,""K""),1),""K"",INDEX(SPLIT($D32,""K""),2)+$E32*(COLUMN()-COLUMN($G32))))"),"")</f>
        <v/>
      </c>
      <c r="EG32" s="476" t="str">
        <f>IFERROR(__xludf.DUMMYFUNCTION("INDIRECT(CONCATENATE(""'"",INDEX(SPLIT($D32,""K""),1),""K"",INDEX(SPLIT($D32,""K""),2)+$E32*(COLUMN()-COLUMN($G32))))"),"")</f>
        <v/>
      </c>
      <c r="EH32" s="476" t="str">
        <f>IFERROR(__xludf.DUMMYFUNCTION("INDIRECT(CONCATENATE(""'"",INDEX(SPLIT($D32,""K""),1),""K"",INDEX(SPLIT($D32,""K""),2)+$E32*(COLUMN()-COLUMN($G32))))"),"")</f>
        <v/>
      </c>
      <c r="EI32" s="476" t="str">
        <f>IFERROR(__xludf.DUMMYFUNCTION("INDIRECT(CONCATENATE(""'"",INDEX(SPLIT($D32,""K""),1),""K"",INDEX(SPLIT($D32,""K""),2)+$E32*(COLUMN()-COLUMN($G32))))"),"")</f>
        <v/>
      </c>
      <c r="EJ32" s="476" t="str">
        <f>IFERROR(__xludf.DUMMYFUNCTION("INDIRECT(CONCATENATE(""'"",INDEX(SPLIT($D32,""K""),1),""K"",INDEX(SPLIT($D32,""K""),2)+$E32*(COLUMN()-COLUMN($G32))))"),"")</f>
        <v/>
      </c>
      <c r="EK32" s="476" t="str">
        <f>IFERROR(__xludf.DUMMYFUNCTION("INDIRECT(CONCATENATE(""'"",INDEX(SPLIT($D32,""K""),1),""K"",INDEX(SPLIT($D32,""K""),2)+$E32*(COLUMN()-COLUMN($G32))))"),"")</f>
        <v/>
      </c>
      <c r="EL32" s="476" t="str">
        <f>IFERROR(__xludf.DUMMYFUNCTION("INDIRECT(CONCATENATE(""'"",INDEX(SPLIT($D32,""K""),1),""K"",INDEX(SPLIT($D32,""K""),2)+$E32*(COLUMN()-COLUMN($G32))))"),"")</f>
        <v/>
      </c>
      <c r="EM32" s="476" t="str">
        <f>IFERROR(__xludf.DUMMYFUNCTION("INDIRECT(CONCATENATE(""'"",INDEX(SPLIT($D32,""K""),1),""K"",INDEX(SPLIT($D32,""K""),2)+$E32*(COLUMN()-COLUMN($G32))))"),"")</f>
        <v/>
      </c>
      <c r="EN32" s="476" t="str">
        <f>IFERROR(__xludf.DUMMYFUNCTION("INDIRECT(CONCATENATE(""'"",INDEX(SPLIT($D32,""K""),1),""K"",INDEX(SPLIT($D32,""K""),2)+$E32*(COLUMN()-COLUMN($G32))))"),"")</f>
        <v/>
      </c>
      <c r="EO32" s="476" t="str">
        <f>IFERROR(__xludf.DUMMYFUNCTION("INDIRECT(CONCATENATE(""'"",INDEX(SPLIT($D32,""K""),1),""K"",INDEX(SPLIT($D32,""K""),2)+$E32*(COLUMN()-COLUMN($G32))))"),"")</f>
        <v/>
      </c>
      <c r="EP32" s="476" t="str">
        <f>IFERROR(__xludf.DUMMYFUNCTION("INDIRECT(CONCATENATE(""'"",INDEX(SPLIT($D32,""K""),1),""K"",INDEX(SPLIT($D32,""K""),2)+$E32*(COLUMN()-COLUMN($G32))))"),"")</f>
        <v/>
      </c>
      <c r="EQ32" s="476" t="str">
        <f>IFERROR(__xludf.DUMMYFUNCTION("INDIRECT(CONCATENATE(""'"",INDEX(SPLIT($D32,""K""),1),""K"",INDEX(SPLIT($D32,""K""),2)+$E32*(COLUMN()-COLUMN($G32))))"),"")</f>
        <v/>
      </c>
      <c r="ER32" s="476" t="str">
        <f>IFERROR(__xludf.DUMMYFUNCTION("INDIRECT(CONCATENATE(""'"",INDEX(SPLIT($D32,""K""),1),""K"",INDEX(SPLIT($D32,""K""),2)+$E32*(COLUMN()-COLUMN($G32))))"),"")</f>
        <v/>
      </c>
      <c r="ES32" s="476" t="str">
        <f>IFERROR(__xludf.DUMMYFUNCTION("INDIRECT(CONCATENATE(""'"",INDEX(SPLIT($D32,""K""),1),""K"",INDEX(SPLIT($D32,""K""),2)+$E32*(COLUMN()-COLUMN($G32))))"),"")</f>
        <v/>
      </c>
      <c r="ET32" s="476" t="str">
        <f>IFERROR(__xludf.DUMMYFUNCTION("INDIRECT(CONCATENATE(""'"",INDEX(SPLIT($D32,""K""),1),""K"",INDEX(SPLIT($D32,""K""),2)+$E32*(COLUMN()-COLUMN($G32))))"),"")</f>
        <v/>
      </c>
      <c r="EU32" s="476" t="str">
        <f>IFERROR(__xludf.DUMMYFUNCTION("INDIRECT(CONCATENATE(""'"",INDEX(SPLIT($D32,""K""),1),""K"",INDEX(SPLIT($D32,""K""),2)+$E32*(COLUMN()-COLUMN($G32))))"),"")</f>
        <v/>
      </c>
      <c r="EV32" s="476" t="str">
        <f>IFERROR(__xludf.DUMMYFUNCTION("INDIRECT(CONCATENATE(""'"",INDEX(SPLIT($D32,""K""),1),""K"",INDEX(SPLIT($D32,""K""),2)+$E32*(COLUMN()-COLUMN($G32))))"),"")</f>
        <v/>
      </c>
      <c r="EW32" s="476" t="str">
        <f>IFERROR(__xludf.DUMMYFUNCTION("INDIRECT(CONCATENATE(""'"",INDEX(SPLIT($D32,""K""),1),""K"",INDEX(SPLIT($D32,""K""),2)+$E32*(COLUMN()-COLUMN($G32))))"),"")</f>
        <v/>
      </c>
      <c r="EX32" s="476" t="str">
        <f>IFERROR(__xludf.DUMMYFUNCTION("INDIRECT(CONCATENATE(""'"",INDEX(SPLIT($D32,""K""),1),""K"",INDEX(SPLIT($D32,""K""),2)+$E32*(COLUMN()-COLUMN($G32))))"),"")</f>
        <v/>
      </c>
      <c r="EY32" s="476" t="str">
        <f>IFERROR(__xludf.DUMMYFUNCTION("INDIRECT(CONCATENATE(""'"",INDEX(SPLIT($D32,""K""),1),""K"",INDEX(SPLIT($D32,""K""),2)+$E32*(COLUMN()-COLUMN($G32))))"),"")</f>
        <v/>
      </c>
      <c r="EZ32" s="476" t="str">
        <f>IFERROR(__xludf.DUMMYFUNCTION("INDIRECT(CONCATENATE(""'"",INDEX(SPLIT($D32,""K""),1),""K"",INDEX(SPLIT($D32,""K""),2)+$E32*(COLUMN()-COLUMN($G32))))"),"")</f>
        <v/>
      </c>
      <c r="FA32" s="476" t="str">
        <f>IFERROR(__xludf.DUMMYFUNCTION("INDIRECT(CONCATENATE(""'"",INDEX(SPLIT($D32,""K""),1),""K"",INDEX(SPLIT($D32,""K""),2)+$E32*(COLUMN()-COLUMN($G32))))"),"")</f>
        <v/>
      </c>
      <c r="FB32" s="476" t="str">
        <f>IFERROR(__xludf.DUMMYFUNCTION("INDIRECT(CONCATENATE(""'"",INDEX(SPLIT($D32,""K""),1),""K"",INDEX(SPLIT($D32,""K""),2)+$E32*(COLUMN()-COLUMN($G32))))"),"")</f>
        <v/>
      </c>
      <c r="FC32" s="476" t="str">
        <f>IFERROR(__xludf.DUMMYFUNCTION("INDIRECT(CONCATENATE(""'"",INDEX(SPLIT($D32,""K""),1),""K"",INDEX(SPLIT($D32,""K""),2)+$E32*(COLUMN()-COLUMN($G32))))"),"")</f>
        <v/>
      </c>
      <c r="FD32" s="476" t="str">
        <f>IFERROR(__xludf.DUMMYFUNCTION("INDIRECT(CONCATENATE(""'"",INDEX(SPLIT($D32,""K""),1),""K"",INDEX(SPLIT($D32,""K""),2)+$E32*(COLUMN()-COLUMN($G32))))"),"")</f>
        <v/>
      </c>
      <c r="FE32" s="476" t="str">
        <f>IFERROR(__xludf.DUMMYFUNCTION("INDIRECT(CONCATENATE(""'"",INDEX(SPLIT($D32,""K""),1),""K"",INDEX(SPLIT($D32,""K""),2)+$E32*(COLUMN()-COLUMN($G32))))"),"")</f>
        <v/>
      </c>
      <c r="FF32" s="476" t="str">
        <f>IFERROR(__xludf.DUMMYFUNCTION("INDIRECT(CONCATENATE(""'"",INDEX(SPLIT($D32,""K""),1),""K"",INDEX(SPLIT($D32,""K""),2)+$E32*(COLUMN()-COLUMN($G32))))"),"")</f>
        <v/>
      </c>
      <c r="FG32" s="476" t="str">
        <f>IFERROR(__xludf.DUMMYFUNCTION("INDIRECT(CONCATENATE(""'"",INDEX(SPLIT($D32,""K""),1),""K"",INDEX(SPLIT($D32,""K""),2)+$E32*(COLUMN()-COLUMN($G32))))"),"")</f>
        <v/>
      </c>
      <c r="FH32" s="476" t="str">
        <f>IFERROR(__xludf.DUMMYFUNCTION("INDIRECT(CONCATENATE(""'"",INDEX(SPLIT($D32,""K""),1),""K"",INDEX(SPLIT($D32,""K""),2)+$E32*(COLUMN()-COLUMN($G32))))"),"")</f>
        <v/>
      </c>
      <c r="FI32" s="476" t="str">
        <f>IFERROR(__xludf.DUMMYFUNCTION("INDIRECT(CONCATENATE(""'"",INDEX(SPLIT($D32,""K""),1),""K"",INDEX(SPLIT($D32,""K""),2)+$E32*(COLUMN()-COLUMN($G32))))"),"")</f>
        <v/>
      </c>
      <c r="FJ32" s="476" t="str">
        <f>IFERROR(__xludf.DUMMYFUNCTION("INDIRECT(CONCATENATE(""'"",INDEX(SPLIT($D32,""K""),1),""K"",INDEX(SPLIT($D32,""K""),2)+$E32*(COLUMN()-COLUMN($G32))))"),"")</f>
        <v/>
      </c>
      <c r="FK32" s="476" t="str">
        <f>IFERROR(__xludf.DUMMYFUNCTION("INDIRECT(CONCATENATE(""'"",INDEX(SPLIT($D32,""K""),1),""K"",INDEX(SPLIT($D32,""K""),2)+$E32*(COLUMN()-COLUMN($G32))))"),"")</f>
        <v/>
      </c>
      <c r="FL32" s="476" t="str">
        <f>IFERROR(__xludf.DUMMYFUNCTION("INDIRECT(CONCATENATE(""'"",INDEX(SPLIT($D32,""K""),1),""K"",INDEX(SPLIT($D32,""K""),2)+$E32*(COLUMN()-COLUMN($G32))))"),"")</f>
        <v/>
      </c>
      <c r="FM32" s="476" t="str">
        <f>IFERROR(__xludf.DUMMYFUNCTION("INDIRECT(CONCATENATE(""'"",INDEX(SPLIT($D32,""K""),1),""K"",INDEX(SPLIT($D32,""K""),2)+$E32*(COLUMN()-COLUMN($G32))))"),"")</f>
        <v/>
      </c>
      <c r="FN32" s="476" t="str">
        <f>IFERROR(__xludf.DUMMYFUNCTION("INDIRECT(CONCATENATE(""'"",INDEX(SPLIT($D32,""K""),1),""K"",INDEX(SPLIT($D32,""K""),2)+$E32*(COLUMN()-COLUMN($G32))))"),"")</f>
        <v/>
      </c>
      <c r="FO32" s="476" t="str">
        <f>IFERROR(__xludf.DUMMYFUNCTION("INDIRECT(CONCATENATE(""'"",INDEX(SPLIT($D32,""K""),1),""K"",INDEX(SPLIT($D32,""K""),2)+$E32*(COLUMN()-COLUMN($G32))))"),"")</f>
        <v/>
      </c>
      <c r="FP32" s="476" t="str">
        <f>IFERROR(__xludf.DUMMYFUNCTION("INDIRECT(CONCATENATE(""'"",INDEX(SPLIT($D32,""K""),1),""K"",INDEX(SPLIT($D32,""K""),2)+$E32*(COLUMN()-COLUMN($G32))))"),"")</f>
        <v/>
      </c>
      <c r="FQ32" s="476" t="str">
        <f>IFERROR(__xludf.DUMMYFUNCTION("INDIRECT(CONCATENATE(""'"",INDEX(SPLIT($D32,""K""),1),""K"",INDEX(SPLIT($D32,""K""),2)+$E32*(COLUMN()-COLUMN($G32))))"),"")</f>
        <v/>
      </c>
      <c r="FR32" s="476" t="str">
        <f>IFERROR(__xludf.DUMMYFUNCTION("INDIRECT(CONCATENATE(""'"",INDEX(SPLIT($D32,""K""),1),""K"",INDEX(SPLIT($D32,""K""),2)+$E32*(COLUMN()-COLUMN($G32))))"),"")</f>
        <v/>
      </c>
      <c r="FS32" s="476" t="str">
        <f>IFERROR(__xludf.DUMMYFUNCTION("INDIRECT(CONCATENATE(""'"",INDEX(SPLIT($D32,""K""),1),""K"",INDEX(SPLIT($D32,""K""),2)+$E32*(COLUMN()-COLUMN($G32))))"),"")</f>
        <v/>
      </c>
      <c r="FT32" s="476" t="str">
        <f>IFERROR(__xludf.DUMMYFUNCTION("INDIRECT(CONCATENATE(""'"",INDEX(SPLIT($D32,""K""),1),""K"",INDEX(SPLIT($D32,""K""),2)+$E32*(COLUMN()-COLUMN($G32))))"),"")</f>
        <v/>
      </c>
      <c r="FU32" s="476" t="str">
        <f>IFERROR(__xludf.DUMMYFUNCTION("INDIRECT(CONCATENATE(""'"",INDEX(SPLIT($D32,""K""),1),""K"",INDEX(SPLIT($D32,""K""),2)+$E32*(COLUMN()-COLUMN($G32))))"),"")</f>
        <v/>
      </c>
      <c r="FV32" s="476" t="str">
        <f>IFERROR(__xludf.DUMMYFUNCTION("INDIRECT(CONCATENATE(""'"",INDEX(SPLIT($D32,""K""),1),""K"",INDEX(SPLIT($D32,""K""),2)+$E32*(COLUMN()-COLUMN($G32))))"),"")</f>
        <v/>
      </c>
      <c r="FW32" s="476" t="str">
        <f>IFERROR(__xludf.DUMMYFUNCTION("INDIRECT(CONCATENATE(""'"",INDEX(SPLIT($D32,""K""),1),""K"",INDEX(SPLIT($D32,""K""),2)+$E32*(COLUMN()-COLUMN($G32))))"),"")</f>
        <v/>
      </c>
      <c r="FX32" s="477" t="str">
        <f>IFERROR(__xludf.DUMMYFUNCTION("INDIRECT(CONCATENATE(""'"",INDEX(SPLIT($D32,""K""),1),""K"",INDEX(SPLIT($D32,""K""),2)+$E32*(COLUMN()-COLUMN($G32))))"),"")</f>
        <v/>
      </c>
    </row>
    <row r="33">
      <c r="A33" s="461" t="s">
        <v>686</v>
      </c>
      <c r="B33" s="15"/>
      <c r="C33" s="462"/>
      <c r="D33" s="443" t="s">
        <v>652</v>
      </c>
      <c r="E33" s="444" t="s">
        <v>652</v>
      </c>
      <c r="F33" s="445" t="s">
        <v>652</v>
      </c>
      <c r="G33" s="486">
        <f t="shared" ref="G33:FX33" si="2">sum(G30:G32)</f>
        <v>0</v>
      </c>
      <c r="H33" s="487">
        <f t="shared" si="2"/>
        <v>0</v>
      </c>
      <c r="I33" s="487">
        <f t="shared" si="2"/>
        <v>0</v>
      </c>
      <c r="J33" s="487">
        <f t="shared" si="2"/>
        <v>0</v>
      </c>
      <c r="K33" s="487">
        <f t="shared" si="2"/>
        <v>0</v>
      </c>
      <c r="L33" s="487">
        <f t="shared" si="2"/>
        <v>0</v>
      </c>
      <c r="M33" s="487">
        <f t="shared" si="2"/>
        <v>0</v>
      </c>
      <c r="N33" s="487">
        <f t="shared" si="2"/>
        <v>0</v>
      </c>
      <c r="O33" s="487">
        <f t="shared" si="2"/>
        <v>0</v>
      </c>
      <c r="P33" s="487">
        <f t="shared" si="2"/>
        <v>0</v>
      </c>
      <c r="Q33" s="487">
        <f t="shared" si="2"/>
        <v>0</v>
      </c>
      <c r="R33" s="487">
        <f t="shared" si="2"/>
        <v>0</v>
      </c>
      <c r="S33" s="487">
        <f t="shared" si="2"/>
        <v>0</v>
      </c>
      <c r="T33" s="487">
        <f t="shared" si="2"/>
        <v>0</v>
      </c>
      <c r="U33" s="487">
        <f t="shared" si="2"/>
        <v>0</v>
      </c>
      <c r="V33" s="487">
        <f t="shared" si="2"/>
        <v>0</v>
      </c>
      <c r="W33" s="487">
        <f t="shared" si="2"/>
        <v>0</v>
      </c>
      <c r="X33" s="487">
        <f t="shared" si="2"/>
        <v>0</v>
      </c>
      <c r="Y33" s="487">
        <f t="shared" si="2"/>
        <v>0</v>
      </c>
      <c r="Z33" s="487">
        <f t="shared" si="2"/>
        <v>0</v>
      </c>
      <c r="AA33" s="487">
        <f t="shared" si="2"/>
        <v>0</v>
      </c>
      <c r="AB33" s="487">
        <f t="shared" si="2"/>
        <v>0</v>
      </c>
      <c r="AC33" s="487">
        <f t="shared" si="2"/>
        <v>0</v>
      </c>
      <c r="AD33" s="487">
        <f t="shared" si="2"/>
        <v>0</v>
      </c>
      <c r="AE33" s="487">
        <f t="shared" si="2"/>
        <v>0</v>
      </c>
      <c r="AF33" s="487">
        <f t="shared" si="2"/>
        <v>0</v>
      </c>
      <c r="AG33" s="487">
        <f t="shared" si="2"/>
        <v>0</v>
      </c>
      <c r="AH33" s="487">
        <f t="shared" si="2"/>
        <v>0</v>
      </c>
      <c r="AI33" s="487">
        <f t="shared" si="2"/>
        <v>0</v>
      </c>
      <c r="AJ33" s="487">
        <f t="shared" si="2"/>
        <v>0</v>
      </c>
      <c r="AK33" s="487">
        <f t="shared" si="2"/>
        <v>0</v>
      </c>
      <c r="AL33" s="487">
        <f t="shared" si="2"/>
        <v>0</v>
      </c>
      <c r="AM33" s="487">
        <f t="shared" si="2"/>
        <v>0</v>
      </c>
      <c r="AN33" s="487">
        <f t="shared" si="2"/>
        <v>0</v>
      </c>
      <c r="AO33" s="487">
        <f t="shared" si="2"/>
        <v>0</v>
      </c>
      <c r="AP33" s="487">
        <f t="shared" si="2"/>
        <v>0</v>
      </c>
      <c r="AQ33" s="487">
        <f t="shared" si="2"/>
        <v>0</v>
      </c>
      <c r="AR33" s="487">
        <f t="shared" si="2"/>
        <v>0</v>
      </c>
      <c r="AS33" s="487">
        <f t="shared" si="2"/>
        <v>0</v>
      </c>
      <c r="AT33" s="487">
        <f t="shared" si="2"/>
        <v>0</v>
      </c>
      <c r="AU33" s="487">
        <f t="shared" si="2"/>
        <v>0</v>
      </c>
      <c r="AV33" s="487">
        <f t="shared" si="2"/>
        <v>0</v>
      </c>
      <c r="AW33" s="487">
        <f t="shared" si="2"/>
        <v>0</v>
      </c>
      <c r="AX33" s="487">
        <f t="shared" si="2"/>
        <v>0</v>
      </c>
      <c r="AY33" s="487">
        <f t="shared" si="2"/>
        <v>0</v>
      </c>
      <c r="AZ33" s="487">
        <f t="shared" si="2"/>
        <v>0</v>
      </c>
      <c r="BA33" s="487">
        <f t="shared" si="2"/>
        <v>0</v>
      </c>
      <c r="BB33" s="487">
        <f t="shared" si="2"/>
        <v>0</v>
      </c>
      <c r="BC33" s="487">
        <f t="shared" si="2"/>
        <v>0</v>
      </c>
      <c r="BD33" s="487">
        <f t="shared" si="2"/>
        <v>0</v>
      </c>
      <c r="BE33" s="487">
        <f t="shared" si="2"/>
        <v>0</v>
      </c>
      <c r="BF33" s="487">
        <f t="shared" si="2"/>
        <v>0</v>
      </c>
      <c r="BG33" s="487">
        <f t="shared" si="2"/>
        <v>0</v>
      </c>
      <c r="BH33" s="487">
        <f t="shared" si="2"/>
        <v>0</v>
      </c>
      <c r="BI33" s="487">
        <f t="shared" si="2"/>
        <v>0</v>
      </c>
      <c r="BJ33" s="487">
        <f t="shared" si="2"/>
        <v>0</v>
      </c>
      <c r="BK33" s="487">
        <f t="shared" si="2"/>
        <v>0</v>
      </c>
      <c r="BL33" s="487">
        <f t="shared" si="2"/>
        <v>0</v>
      </c>
      <c r="BM33" s="487">
        <f t="shared" si="2"/>
        <v>0</v>
      </c>
      <c r="BN33" s="487">
        <f t="shared" si="2"/>
        <v>0</v>
      </c>
      <c r="BO33" s="487">
        <f t="shared" si="2"/>
        <v>0</v>
      </c>
      <c r="BP33" s="487">
        <f t="shared" si="2"/>
        <v>0</v>
      </c>
      <c r="BQ33" s="487">
        <f t="shared" si="2"/>
        <v>0</v>
      </c>
      <c r="BR33" s="487">
        <f t="shared" si="2"/>
        <v>764404</v>
      </c>
      <c r="BS33" s="487">
        <f t="shared" si="2"/>
        <v>751664</v>
      </c>
      <c r="BT33" s="487">
        <f t="shared" si="2"/>
        <v>739137</v>
      </c>
      <c r="BU33" s="487">
        <f t="shared" si="2"/>
        <v>2109687</v>
      </c>
      <c r="BV33" s="487">
        <f t="shared" si="2"/>
        <v>2150577</v>
      </c>
      <c r="BW33" s="487">
        <f t="shared" si="2"/>
        <v>2141753</v>
      </c>
      <c r="BX33" s="487">
        <f t="shared" si="2"/>
        <v>2183127</v>
      </c>
      <c r="BY33" s="487">
        <f t="shared" si="2"/>
        <v>2174697</v>
      </c>
      <c r="BZ33" s="487">
        <f t="shared" si="2"/>
        <v>2216458</v>
      </c>
      <c r="CA33" s="487">
        <f t="shared" si="2"/>
        <v>2205321</v>
      </c>
      <c r="CB33" s="487">
        <f t="shared" si="2"/>
        <v>2247457</v>
      </c>
      <c r="CC33" s="487">
        <f t="shared" si="2"/>
        <v>2239775</v>
      </c>
      <c r="CD33" s="487">
        <f t="shared" si="2"/>
        <v>2282273</v>
      </c>
      <c r="CE33" s="487">
        <f t="shared" si="2"/>
        <v>2274947</v>
      </c>
      <c r="CF33" s="487">
        <f t="shared" si="2"/>
        <v>2317795</v>
      </c>
      <c r="CG33" s="487">
        <f t="shared" si="2"/>
        <v>2310814</v>
      </c>
      <c r="CH33" s="487">
        <f t="shared" si="2"/>
        <v>2355029</v>
      </c>
      <c r="CI33" s="487">
        <f t="shared" si="2"/>
        <v>2349585</v>
      </c>
      <c r="CJ33" s="487">
        <f t="shared" si="2"/>
        <v>2394304</v>
      </c>
      <c r="CK33" s="487">
        <f t="shared" si="2"/>
        <v>2389182</v>
      </c>
      <c r="CL33" s="487">
        <f t="shared" si="2"/>
        <v>2434217</v>
      </c>
      <c r="CM33" s="487">
        <f t="shared" si="2"/>
        <v>2429406</v>
      </c>
      <c r="CN33" s="487">
        <f t="shared" si="2"/>
        <v>2474747</v>
      </c>
      <c r="CO33" s="488">
        <f t="shared" si="2"/>
        <v>2470237</v>
      </c>
      <c r="CP33" s="486">
        <f t="shared" si="2"/>
        <v>2510874</v>
      </c>
      <c r="CQ33" s="487">
        <f t="shared" si="2"/>
        <v>2506655</v>
      </c>
      <c r="CR33" s="487">
        <f t="shared" si="2"/>
        <v>2552578</v>
      </c>
      <c r="CS33" s="487">
        <f t="shared" si="2"/>
        <v>2548641</v>
      </c>
      <c r="CT33" s="487">
        <f t="shared" si="2"/>
        <v>2594841</v>
      </c>
      <c r="CU33" s="487">
        <f t="shared" si="2"/>
        <v>2591296</v>
      </c>
      <c r="CV33" s="487">
        <f t="shared" si="2"/>
        <v>2627883</v>
      </c>
      <c r="CW33" s="487">
        <f t="shared" si="2"/>
        <v>2620189</v>
      </c>
      <c r="CX33" s="487">
        <f t="shared" si="2"/>
        <v>2652623</v>
      </c>
      <c r="CY33" s="487">
        <f t="shared" si="2"/>
        <v>2645183</v>
      </c>
      <c r="CZ33" s="487">
        <f t="shared" si="2"/>
        <v>2677867</v>
      </c>
      <c r="DA33" s="487">
        <f t="shared" si="2"/>
        <v>2670673</v>
      </c>
      <c r="DB33" s="487">
        <f t="shared" si="2"/>
        <v>417414</v>
      </c>
      <c r="DC33" s="487">
        <f t="shared" si="2"/>
        <v>410458</v>
      </c>
      <c r="DD33" s="487">
        <f t="shared" si="2"/>
        <v>403618</v>
      </c>
      <c r="DE33" s="487">
        <f t="shared" si="2"/>
        <v>396892</v>
      </c>
      <c r="DF33" s="487">
        <f t="shared" si="2"/>
        <v>390278</v>
      </c>
      <c r="DG33" s="487">
        <f t="shared" si="2"/>
        <v>383774</v>
      </c>
      <c r="DH33" s="487">
        <f t="shared" si="2"/>
        <v>377379</v>
      </c>
      <c r="DI33" s="487">
        <f t="shared" si="2"/>
        <v>371090</v>
      </c>
      <c r="DJ33" s="487">
        <f t="shared" si="2"/>
        <v>364906</v>
      </c>
      <c r="DK33" s="487">
        <f t="shared" si="2"/>
        <v>358825</v>
      </c>
      <c r="DL33" s="487">
        <f t="shared" si="2"/>
        <v>352845</v>
      </c>
      <c r="DM33" s="487">
        <f t="shared" si="2"/>
        <v>346965</v>
      </c>
      <c r="DN33" s="487">
        <f t="shared" si="2"/>
        <v>-11662</v>
      </c>
      <c r="DO33" s="487">
        <f t="shared" si="2"/>
        <v>-17348</v>
      </c>
      <c r="DP33" s="487">
        <f t="shared" si="2"/>
        <v>-22939</v>
      </c>
      <c r="DQ33" s="487">
        <f t="shared" si="2"/>
        <v>-28437</v>
      </c>
      <c r="DR33" s="487">
        <f t="shared" si="2"/>
        <v>-33843</v>
      </c>
      <c r="DS33" s="487">
        <f t="shared" si="2"/>
        <v>-39159</v>
      </c>
      <c r="DT33" s="487">
        <f t="shared" si="2"/>
        <v>-44386</v>
      </c>
      <c r="DU33" s="487">
        <f t="shared" si="2"/>
        <v>-49526</v>
      </c>
      <c r="DV33" s="487">
        <f t="shared" si="2"/>
        <v>-54580</v>
      </c>
      <c r="DW33" s="487">
        <f t="shared" si="2"/>
        <v>-59550</v>
      </c>
      <c r="DX33" s="487">
        <f t="shared" si="2"/>
        <v>-64437</v>
      </c>
      <c r="DY33" s="487">
        <f t="shared" si="2"/>
        <v>-69243</v>
      </c>
      <c r="DZ33" s="487">
        <f t="shared" si="2"/>
        <v>-73969</v>
      </c>
      <c r="EA33" s="487">
        <f t="shared" si="2"/>
        <v>-78616</v>
      </c>
      <c r="EB33" s="487">
        <f t="shared" si="2"/>
        <v>-83186</v>
      </c>
      <c r="EC33" s="487">
        <f t="shared" si="2"/>
        <v>-87679</v>
      </c>
      <c r="ED33" s="487">
        <f t="shared" si="2"/>
        <v>-92097</v>
      </c>
      <c r="EE33" s="487">
        <f t="shared" si="2"/>
        <v>-96442</v>
      </c>
      <c r="EF33" s="487">
        <f t="shared" si="2"/>
        <v>-100714</v>
      </c>
      <c r="EG33" s="487">
        <f t="shared" si="2"/>
        <v>-104915</v>
      </c>
      <c r="EH33" s="487">
        <f t="shared" si="2"/>
        <v>-109046</v>
      </c>
      <c r="EI33" s="487">
        <f t="shared" si="2"/>
        <v>-113108</v>
      </c>
      <c r="EJ33" s="487">
        <f t="shared" si="2"/>
        <v>-117103</v>
      </c>
      <c r="EK33" s="487">
        <f t="shared" si="2"/>
        <v>-121031</v>
      </c>
      <c r="EL33" s="487">
        <f t="shared" si="2"/>
        <v>-124894</v>
      </c>
      <c r="EM33" s="487">
        <f t="shared" si="2"/>
        <v>-128692</v>
      </c>
      <c r="EN33" s="487">
        <f t="shared" si="2"/>
        <v>-132427</v>
      </c>
      <c r="EO33" s="487">
        <f t="shared" si="2"/>
        <v>-136100</v>
      </c>
      <c r="EP33" s="487">
        <f t="shared" si="2"/>
        <v>-139711</v>
      </c>
      <c r="EQ33" s="487">
        <f t="shared" si="2"/>
        <v>-143262</v>
      </c>
      <c r="ER33" s="487">
        <f t="shared" si="2"/>
        <v>-146754</v>
      </c>
      <c r="ES33" s="487">
        <f t="shared" si="2"/>
        <v>-150188</v>
      </c>
      <c r="ET33" s="487">
        <f t="shared" si="2"/>
        <v>-153565</v>
      </c>
      <c r="EU33" s="487">
        <f t="shared" si="2"/>
        <v>-156885</v>
      </c>
      <c r="EV33" s="487">
        <f t="shared" si="2"/>
        <v>-160150</v>
      </c>
      <c r="EW33" s="487">
        <f t="shared" si="2"/>
        <v>-163360</v>
      </c>
      <c r="EX33" s="487">
        <f t="shared" si="2"/>
        <v>-166517</v>
      </c>
      <c r="EY33" s="487">
        <f t="shared" si="2"/>
        <v>-169621</v>
      </c>
      <c r="EZ33" s="487">
        <f t="shared" si="2"/>
        <v>-172674</v>
      </c>
      <c r="FA33" s="487">
        <f t="shared" si="2"/>
        <v>-175676</v>
      </c>
      <c r="FB33" s="487">
        <f t="shared" si="2"/>
        <v>-178628</v>
      </c>
      <c r="FC33" s="487">
        <f t="shared" si="2"/>
        <v>-181530</v>
      </c>
      <c r="FD33" s="487">
        <f t="shared" si="2"/>
        <v>-184384</v>
      </c>
      <c r="FE33" s="487">
        <f t="shared" si="2"/>
        <v>-187190</v>
      </c>
      <c r="FF33" s="487">
        <f t="shared" si="2"/>
        <v>-189950</v>
      </c>
      <c r="FG33" s="487">
        <f t="shared" si="2"/>
        <v>-192664</v>
      </c>
      <c r="FH33" s="487">
        <f t="shared" si="2"/>
        <v>-195332</v>
      </c>
      <c r="FI33" s="487">
        <f t="shared" si="2"/>
        <v>-197956</v>
      </c>
      <c r="FJ33" s="487">
        <f t="shared" si="2"/>
        <v>-200536</v>
      </c>
      <c r="FK33" s="487">
        <f t="shared" si="2"/>
        <v>-203073</v>
      </c>
      <c r="FL33" s="487">
        <f t="shared" si="2"/>
        <v>-205568</v>
      </c>
      <c r="FM33" s="487">
        <f t="shared" si="2"/>
        <v>-208021</v>
      </c>
      <c r="FN33" s="487">
        <f t="shared" si="2"/>
        <v>-210433</v>
      </c>
      <c r="FO33" s="487">
        <f t="shared" si="2"/>
        <v>-212805</v>
      </c>
      <c r="FP33" s="487">
        <f t="shared" si="2"/>
        <v>-215138</v>
      </c>
      <c r="FQ33" s="487">
        <f t="shared" si="2"/>
        <v>-217432</v>
      </c>
      <c r="FR33" s="487">
        <f t="shared" si="2"/>
        <v>-219688</v>
      </c>
      <c r="FS33" s="487">
        <f t="shared" si="2"/>
        <v>-221906</v>
      </c>
      <c r="FT33" s="487">
        <f t="shared" si="2"/>
        <v>-224087</v>
      </c>
      <c r="FU33" s="487">
        <f t="shared" si="2"/>
        <v>-226232</v>
      </c>
      <c r="FV33" s="487">
        <f t="shared" si="2"/>
        <v>-228341</v>
      </c>
      <c r="FW33" s="487">
        <f t="shared" si="2"/>
        <v>-230415</v>
      </c>
      <c r="FX33" s="488">
        <f t="shared" si="2"/>
        <v>-232454</v>
      </c>
    </row>
    <row r="34">
      <c r="A34" s="489" t="s">
        <v>687</v>
      </c>
      <c r="B34" s="490"/>
      <c r="C34" s="491"/>
      <c r="D34" s="492" t="s">
        <v>652</v>
      </c>
      <c r="E34" s="493" t="s">
        <v>652</v>
      </c>
      <c r="F34" s="494" t="s">
        <v>652</v>
      </c>
      <c r="G34" s="495">
        <f t="shared" ref="G34:FX34" si="3">G28+G33</f>
        <v>0</v>
      </c>
      <c r="H34" s="496">
        <f t="shared" si="3"/>
        <v>0</v>
      </c>
      <c r="I34" s="496">
        <f t="shared" si="3"/>
        <v>0</v>
      </c>
      <c r="J34" s="496">
        <f t="shared" si="3"/>
        <v>0</v>
      </c>
      <c r="K34" s="496">
        <f t="shared" si="3"/>
        <v>0</v>
      </c>
      <c r="L34" s="496">
        <f t="shared" si="3"/>
        <v>0</v>
      </c>
      <c r="M34" s="496">
        <f t="shared" si="3"/>
        <v>0</v>
      </c>
      <c r="N34" s="496">
        <f t="shared" si="3"/>
        <v>0</v>
      </c>
      <c r="O34" s="496">
        <f t="shared" si="3"/>
        <v>0</v>
      </c>
      <c r="P34" s="496">
        <f t="shared" si="3"/>
        <v>0</v>
      </c>
      <c r="Q34" s="496">
        <f t="shared" si="3"/>
        <v>0</v>
      </c>
      <c r="R34" s="496">
        <f t="shared" si="3"/>
        <v>0</v>
      </c>
      <c r="S34" s="496">
        <f t="shared" si="3"/>
        <v>0</v>
      </c>
      <c r="T34" s="496">
        <f t="shared" si="3"/>
        <v>0</v>
      </c>
      <c r="U34" s="496">
        <f t="shared" si="3"/>
        <v>0</v>
      </c>
      <c r="V34" s="496">
        <f t="shared" si="3"/>
        <v>0</v>
      </c>
      <c r="W34" s="496">
        <f t="shared" si="3"/>
        <v>0</v>
      </c>
      <c r="X34" s="496">
        <f t="shared" si="3"/>
        <v>0</v>
      </c>
      <c r="Y34" s="496">
        <f t="shared" si="3"/>
        <v>0</v>
      </c>
      <c r="Z34" s="496">
        <f t="shared" si="3"/>
        <v>0</v>
      </c>
      <c r="AA34" s="496">
        <f t="shared" si="3"/>
        <v>0</v>
      </c>
      <c r="AB34" s="496">
        <f t="shared" si="3"/>
        <v>0</v>
      </c>
      <c r="AC34" s="496">
        <f t="shared" si="3"/>
        <v>0</v>
      </c>
      <c r="AD34" s="496">
        <f t="shared" si="3"/>
        <v>0</v>
      </c>
      <c r="AE34" s="496">
        <f t="shared" si="3"/>
        <v>0</v>
      </c>
      <c r="AF34" s="496">
        <f t="shared" si="3"/>
        <v>0</v>
      </c>
      <c r="AG34" s="496">
        <f t="shared" si="3"/>
        <v>0</v>
      </c>
      <c r="AH34" s="496">
        <f t="shared" si="3"/>
        <v>0</v>
      </c>
      <c r="AI34" s="496">
        <f t="shared" si="3"/>
        <v>0</v>
      </c>
      <c r="AJ34" s="496">
        <f t="shared" si="3"/>
        <v>0</v>
      </c>
      <c r="AK34" s="496">
        <f t="shared" si="3"/>
        <v>0</v>
      </c>
      <c r="AL34" s="496">
        <f t="shared" si="3"/>
        <v>0</v>
      </c>
      <c r="AM34" s="496">
        <f t="shared" si="3"/>
        <v>0</v>
      </c>
      <c r="AN34" s="496">
        <f t="shared" si="3"/>
        <v>0</v>
      </c>
      <c r="AO34" s="496">
        <f t="shared" si="3"/>
        <v>0</v>
      </c>
      <c r="AP34" s="496">
        <f t="shared" si="3"/>
        <v>0</v>
      </c>
      <c r="AQ34" s="496">
        <f t="shared" si="3"/>
        <v>0</v>
      </c>
      <c r="AR34" s="496">
        <f t="shared" si="3"/>
        <v>0</v>
      </c>
      <c r="AS34" s="496">
        <f t="shared" si="3"/>
        <v>0</v>
      </c>
      <c r="AT34" s="496">
        <f t="shared" si="3"/>
        <v>0</v>
      </c>
      <c r="AU34" s="496">
        <f t="shared" si="3"/>
        <v>0</v>
      </c>
      <c r="AV34" s="496">
        <f t="shared" si="3"/>
        <v>0</v>
      </c>
      <c r="AW34" s="496">
        <f t="shared" si="3"/>
        <v>0</v>
      </c>
      <c r="AX34" s="496">
        <f t="shared" si="3"/>
        <v>0</v>
      </c>
      <c r="AY34" s="496">
        <f t="shared" si="3"/>
        <v>0</v>
      </c>
      <c r="AZ34" s="496">
        <f t="shared" si="3"/>
        <v>0</v>
      </c>
      <c r="BA34" s="496">
        <f t="shared" si="3"/>
        <v>0</v>
      </c>
      <c r="BB34" s="496">
        <f t="shared" si="3"/>
        <v>0</v>
      </c>
      <c r="BC34" s="496">
        <f t="shared" si="3"/>
        <v>0</v>
      </c>
      <c r="BD34" s="496">
        <f t="shared" si="3"/>
        <v>0</v>
      </c>
      <c r="BE34" s="496">
        <f t="shared" si="3"/>
        <v>0</v>
      </c>
      <c r="BF34" s="496">
        <f t="shared" si="3"/>
        <v>0</v>
      </c>
      <c r="BG34" s="496">
        <f t="shared" si="3"/>
        <v>0</v>
      </c>
      <c r="BH34" s="496">
        <f t="shared" si="3"/>
        <v>0</v>
      </c>
      <c r="BI34" s="496">
        <f t="shared" si="3"/>
        <v>0</v>
      </c>
      <c r="BJ34" s="496">
        <f t="shared" si="3"/>
        <v>0</v>
      </c>
      <c r="BK34" s="496">
        <f t="shared" si="3"/>
        <v>0</v>
      </c>
      <c r="BL34" s="496">
        <f t="shared" si="3"/>
        <v>0</v>
      </c>
      <c r="BM34" s="496">
        <f t="shared" si="3"/>
        <v>0</v>
      </c>
      <c r="BN34" s="496">
        <f t="shared" si="3"/>
        <v>0</v>
      </c>
      <c r="BO34" s="496">
        <f t="shared" si="3"/>
        <v>0</v>
      </c>
      <c r="BP34" s="496">
        <f t="shared" si="3"/>
        <v>0</v>
      </c>
      <c r="BQ34" s="496">
        <f t="shared" si="3"/>
        <v>0</v>
      </c>
      <c r="BR34" s="496">
        <f t="shared" si="3"/>
        <v>764404</v>
      </c>
      <c r="BS34" s="496">
        <f t="shared" si="3"/>
        <v>751664</v>
      </c>
      <c r="BT34" s="496">
        <f t="shared" si="3"/>
        <v>739137</v>
      </c>
      <c r="BU34" s="496">
        <f t="shared" si="3"/>
        <v>2109687</v>
      </c>
      <c r="BV34" s="496">
        <f t="shared" si="3"/>
        <v>2150577</v>
      </c>
      <c r="BW34" s="496">
        <f t="shared" si="3"/>
        <v>2141753</v>
      </c>
      <c r="BX34" s="496">
        <f t="shared" si="3"/>
        <v>2183127</v>
      </c>
      <c r="BY34" s="496">
        <f t="shared" si="3"/>
        <v>2174697</v>
      </c>
      <c r="BZ34" s="496">
        <f t="shared" si="3"/>
        <v>2216458</v>
      </c>
      <c r="CA34" s="496">
        <f t="shared" si="3"/>
        <v>2205321</v>
      </c>
      <c r="CB34" s="496">
        <f t="shared" si="3"/>
        <v>2247457</v>
      </c>
      <c r="CC34" s="496">
        <f t="shared" si="3"/>
        <v>2239775</v>
      </c>
      <c r="CD34" s="496">
        <f t="shared" si="3"/>
        <v>2282273</v>
      </c>
      <c r="CE34" s="496">
        <f t="shared" si="3"/>
        <v>2274947</v>
      </c>
      <c r="CF34" s="496">
        <f t="shared" si="3"/>
        <v>2317795</v>
      </c>
      <c r="CG34" s="496">
        <f t="shared" si="3"/>
        <v>2310814</v>
      </c>
      <c r="CH34" s="496">
        <f t="shared" si="3"/>
        <v>2355029</v>
      </c>
      <c r="CI34" s="496">
        <f t="shared" si="3"/>
        <v>2349585</v>
      </c>
      <c r="CJ34" s="496">
        <f t="shared" si="3"/>
        <v>2394304</v>
      </c>
      <c r="CK34" s="496">
        <f t="shared" si="3"/>
        <v>2389182</v>
      </c>
      <c r="CL34" s="496">
        <f t="shared" si="3"/>
        <v>2434217</v>
      </c>
      <c r="CM34" s="496">
        <f t="shared" si="3"/>
        <v>2429406</v>
      </c>
      <c r="CN34" s="496">
        <f t="shared" si="3"/>
        <v>2474747</v>
      </c>
      <c r="CO34" s="497">
        <f t="shared" si="3"/>
        <v>2470237</v>
      </c>
      <c r="CP34" s="495">
        <f t="shared" si="3"/>
        <v>2510874</v>
      </c>
      <c r="CQ34" s="496">
        <f t="shared" si="3"/>
        <v>9933273.9</v>
      </c>
      <c r="CR34" s="496">
        <f t="shared" si="3"/>
        <v>2552578</v>
      </c>
      <c r="CS34" s="496">
        <f t="shared" si="3"/>
        <v>2548641</v>
      </c>
      <c r="CT34" s="496">
        <f t="shared" si="3"/>
        <v>2594841</v>
      </c>
      <c r="CU34" s="496">
        <f t="shared" si="3"/>
        <v>2591296</v>
      </c>
      <c r="CV34" s="496">
        <f t="shared" si="3"/>
        <v>2627883</v>
      </c>
      <c r="CW34" s="496">
        <f t="shared" si="3"/>
        <v>2620189</v>
      </c>
      <c r="CX34" s="496">
        <f t="shared" si="3"/>
        <v>2652623</v>
      </c>
      <c r="CY34" s="496">
        <f t="shared" si="3"/>
        <v>2645183</v>
      </c>
      <c r="CZ34" s="496">
        <f t="shared" si="3"/>
        <v>2677867</v>
      </c>
      <c r="DA34" s="496">
        <f t="shared" si="3"/>
        <v>2670673</v>
      </c>
      <c r="DB34" s="496">
        <f t="shared" si="3"/>
        <v>417414</v>
      </c>
      <c r="DC34" s="496">
        <f t="shared" si="3"/>
        <v>410458</v>
      </c>
      <c r="DD34" s="496">
        <f t="shared" si="3"/>
        <v>403618</v>
      </c>
      <c r="DE34" s="496">
        <f t="shared" si="3"/>
        <v>396892</v>
      </c>
      <c r="DF34" s="496">
        <f t="shared" si="3"/>
        <v>390278</v>
      </c>
      <c r="DG34" s="496">
        <f t="shared" si="3"/>
        <v>383774</v>
      </c>
      <c r="DH34" s="496">
        <f t="shared" si="3"/>
        <v>377379</v>
      </c>
      <c r="DI34" s="496">
        <f t="shared" si="3"/>
        <v>371090</v>
      </c>
      <c r="DJ34" s="496">
        <f t="shared" si="3"/>
        <v>364906</v>
      </c>
      <c r="DK34" s="496">
        <f t="shared" si="3"/>
        <v>358825</v>
      </c>
      <c r="DL34" s="496">
        <f t="shared" si="3"/>
        <v>352845</v>
      </c>
      <c r="DM34" s="496">
        <f t="shared" si="3"/>
        <v>346965</v>
      </c>
      <c r="DN34" s="496">
        <f t="shared" si="3"/>
        <v>-11662</v>
      </c>
      <c r="DO34" s="496">
        <f t="shared" si="3"/>
        <v>-17348</v>
      </c>
      <c r="DP34" s="496">
        <f t="shared" si="3"/>
        <v>-22939</v>
      </c>
      <c r="DQ34" s="496">
        <f t="shared" si="3"/>
        <v>-28437</v>
      </c>
      <c r="DR34" s="496">
        <f t="shared" si="3"/>
        <v>-33843</v>
      </c>
      <c r="DS34" s="496">
        <f t="shared" si="3"/>
        <v>-39159</v>
      </c>
      <c r="DT34" s="496">
        <f t="shared" si="3"/>
        <v>-44386</v>
      </c>
      <c r="DU34" s="496">
        <f t="shared" si="3"/>
        <v>-49526</v>
      </c>
      <c r="DV34" s="496">
        <f t="shared" si="3"/>
        <v>-54580</v>
      </c>
      <c r="DW34" s="496">
        <f t="shared" si="3"/>
        <v>-59550</v>
      </c>
      <c r="DX34" s="496">
        <f t="shared" si="3"/>
        <v>-64437</v>
      </c>
      <c r="DY34" s="496">
        <f t="shared" si="3"/>
        <v>-69243</v>
      </c>
      <c r="DZ34" s="496">
        <f t="shared" si="3"/>
        <v>-73969</v>
      </c>
      <c r="EA34" s="496">
        <f t="shared" si="3"/>
        <v>-78616</v>
      </c>
      <c r="EB34" s="496">
        <f t="shared" si="3"/>
        <v>-83186</v>
      </c>
      <c r="EC34" s="496">
        <f t="shared" si="3"/>
        <v>-87679</v>
      </c>
      <c r="ED34" s="496">
        <f t="shared" si="3"/>
        <v>-92097</v>
      </c>
      <c r="EE34" s="496">
        <f t="shared" si="3"/>
        <v>-96442</v>
      </c>
      <c r="EF34" s="496">
        <f t="shared" si="3"/>
        <v>-100714</v>
      </c>
      <c r="EG34" s="496">
        <f t="shared" si="3"/>
        <v>-104915</v>
      </c>
      <c r="EH34" s="496">
        <f t="shared" si="3"/>
        <v>-109046</v>
      </c>
      <c r="EI34" s="496">
        <f t="shared" si="3"/>
        <v>-113108</v>
      </c>
      <c r="EJ34" s="496">
        <f t="shared" si="3"/>
        <v>-117103</v>
      </c>
      <c r="EK34" s="496">
        <f t="shared" si="3"/>
        <v>-121031</v>
      </c>
      <c r="EL34" s="496">
        <f t="shared" si="3"/>
        <v>-124894</v>
      </c>
      <c r="EM34" s="496">
        <f t="shared" si="3"/>
        <v>-128692</v>
      </c>
      <c r="EN34" s="496">
        <f t="shared" si="3"/>
        <v>-132427</v>
      </c>
      <c r="EO34" s="496">
        <f t="shared" si="3"/>
        <v>-136100</v>
      </c>
      <c r="EP34" s="496">
        <f t="shared" si="3"/>
        <v>-139711</v>
      </c>
      <c r="EQ34" s="496">
        <f t="shared" si="3"/>
        <v>-143262</v>
      </c>
      <c r="ER34" s="496">
        <f t="shared" si="3"/>
        <v>-146754</v>
      </c>
      <c r="ES34" s="496">
        <f t="shared" si="3"/>
        <v>-150188</v>
      </c>
      <c r="ET34" s="496">
        <f t="shared" si="3"/>
        <v>-153565</v>
      </c>
      <c r="EU34" s="496">
        <f t="shared" si="3"/>
        <v>-156885</v>
      </c>
      <c r="EV34" s="496">
        <f t="shared" si="3"/>
        <v>-160150</v>
      </c>
      <c r="EW34" s="496">
        <f t="shared" si="3"/>
        <v>-163360</v>
      </c>
      <c r="EX34" s="496">
        <f t="shared" si="3"/>
        <v>-166517</v>
      </c>
      <c r="EY34" s="496">
        <f t="shared" si="3"/>
        <v>-169621</v>
      </c>
      <c r="EZ34" s="496">
        <f t="shared" si="3"/>
        <v>-172674</v>
      </c>
      <c r="FA34" s="496">
        <f t="shared" si="3"/>
        <v>-175676</v>
      </c>
      <c r="FB34" s="496">
        <f t="shared" si="3"/>
        <v>-178628</v>
      </c>
      <c r="FC34" s="496">
        <f t="shared" si="3"/>
        <v>-181530</v>
      </c>
      <c r="FD34" s="496">
        <f t="shared" si="3"/>
        <v>-184384</v>
      </c>
      <c r="FE34" s="496">
        <f t="shared" si="3"/>
        <v>-187190</v>
      </c>
      <c r="FF34" s="496">
        <f t="shared" si="3"/>
        <v>-189950</v>
      </c>
      <c r="FG34" s="496">
        <f t="shared" si="3"/>
        <v>-192664</v>
      </c>
      <c r="FH34" s="496">
        <f t="shared" si="3"/>
        <v>-195332</v>
      </c>
      <c r="FI34" s="496">
        <f t="shared" si="3"/>
        <v>-197956</v>
      </c>
      <c r="FJ34" s="496">
        <f t="shared" si="3"/>
        <v>-200536</v>
      </c>
      <c r="FK34" s="496">
        <f t="shared" si="3"/>
        <v>-203073</v>
      </c>
      <c r="FL34" s="496">
        <f t="shared" si="3"/>
        <v>-205568</v>
      </c>
      <c r="FM34" s="496">
        <f t="shared" si="3"/>
        <v>-208021</v>
      </c>
      <c r="FN34" s="496">
        <f t="shared" si="3"/>
        <v>-210433</v>
      </c>
      <c r="FO34" s="496">
        <f t="shared" si="3"/>
        <v>-212805</v>
      </c>
      <c r="FP34" s="496">
        <f t="shared" si="3"/>
        <v>-215138</v>
      </c>
      <c r="FQ34" s="496">
        <f t="shared" si="3"/>
        <v>-217432</v>
      </c>
      <c r="FR34" s="496">
        <f t="shared" si="3"/>
        <v>-219688</v>
      </c>
      <c r="FS34" s="496">
        <f t="shared" si="3"/>
        <v>-221906</v>
      </c>
      <c r="FT34" s="496">
        <f t="shared" si="3"/>
        <v>-224087</v>
      </c>
      <c r="FU34" s="496">
        <f t="shared" si="3"/>
        <v>-226232</v>
      </c>
      <c r="FV34" s="496">
        <f t="shared" si="3"/>
        <v>-228341</v>
      </c>
      <c r="FW34" s="496">
        <f t="shared" si="3"/>
        <v>-230415</v>
      </c>
      <c r="FX34" s="497">
        <f t="shared" si="3"/>
        <v>-232454</v>
      </c>
    </row>
    <row r="35">
      <c r="A35" s="498" t="s">
        <v>688</v>
      </c>
      <c r="B35" s="499"/>
      <c r="C35" s="500"/>
      <c r="D35" s="435" t="s">
        <v>652</v>
      </c>
      <c r="E35" s="436" t="s">
        <v>652</v>
      </c>
      <c r="F35" s="437" t="s">
        <v>652</v>
      </c>
      <c r="G35" s="501" t="s">
        <v>653</v>
      </c>
      <c r="H35" s="502" t="s">
        <v>653</v>
      </c>
      <c r="I35" s="502" t="s">
        <v>653</v>
      </c>
      <c r="J35" s="502" t="s">
        <v>653</v>
      </c>
      <c r="K35" s="502" t="s">
        <v>653</v>
      </c>
      <c r="L35" s="502" t="s">
        <v>653</v>
      </c>
      <c r="M35" s="502" t="s">
        <v>653</v>
      </c>
      <c r="N35" s="502" t="s">
        <v>653</v>
      </c>
      <c r="O35" s="502" t="s">
        <v>653</v>
      </c>
      <c r="P35" s="502" t="s">
        <v>653</v>
      </c>
      <c r="Q35" s="502" t="s">
        <v>653</v>
      </c>
      <c r="R35" s="502" t="s">
        <v>653</v>
      </c>
      <c r="S35" s="502" t="s">
        <v>653</v>
      </c>
      <c r="T35" s="502" t="s">
        <v>653</v>
      </c>
      <c r="U35" s="502" t="s">
        <v>653</v>
      </c>
      <c r="V35" s="502" t="s">
        <v>653</v>
      </c>
      <c r="W35" s="502" t="s">
        <v>653</v>
      </c>
      <c r="X35" s="502" t="s">
        <v>653</v>
      </c>
      <c r="Y35" s="502" t="s">
        <v>653</v>
      </c>
      <c r="Z35" s="502" t="s">
        <v>653</v>
      </c>
      <c r="AA35" s="502" t="s">
        <v>653</v>
      </c>
      <c r="AB35" s="502" t="s">
        <v>653</v>
      </c>
      <c r="AC35" s="502" t="s">
        <v>653</v>
      </c>
      <c r="AD35" s="502" t="s">
        <v>653</v>
      </c>
      <c r="AE35" s="502" t="s">
        <v>653</v>
      </c>
      <c r="AF35" s="502" t="s">
        <v>653</v>
      </c>
      <c r="AG35" s="502" t="s">
        <v>653</v>
      </c>
      <c r="AH35" s="502" t="s">
        <v>653</v>
      </c>
      <c r="AI35" s="502" t="s">
        <v>653</v>
      </c>
      <c r="AJ35" s="502" t="s">
        <v>653</v>
      </c>
      <c r="AK35" s="502" t="s">
        <v>653</v>
      </c>
      <c r="AL35" s="502" t="s">
        <v>653</v>
      </c>
      <c r="AM35" s="502" t="s">
        <v>653</v>
      </c>
      <c r="AN35" s="502" t="s">
        <v>653</v>
      </c>
      <c r="AO35" s="502" t="s">
        <v>653</v>
      </c>
      <c r="AP35" s="502" t="s">
        <v>653</v>
      </c>
      <c r="AQ35" s="502" t="s">
        <v>653</v>
      </c>
      <c r="AR35" s="502" t="s">
        <v>653</v>
      </c>
      <c r="AS35" s="502" t="s">
        <v>653</v>
      </c>
      <c r="AT35" s="502" t="s">
        <v>653</v>
      </c>
      <c r="AU35" s="502" t="s">
        <v>653</v>
      </c>
      <c r="AV35" s="502" t="s">
        <v>653</v>
      </c>
      <c r="AW35" s="502" t="s">
        <v>653</v>
      </c>
      <c r="AX35" s="502" t="s">
        <v>653</v>
      </c>
      <c r="AY35" s="502" t="s">
        <v>653</v>
      </c>
      <c r="AZ35" s="502" t="s">
        <v>653</v>
      </c>
      <c r="BA35" s="502" t="s">
        <v>653</v>
      </c>
      <c r="BB35" s="502" t="s">
        <v>653</v>
      </c>
      <c r="BC35" s="502" t="s">
        <v>653</v>
      </c>
      <c r="BD35" s="502" t="s">
        <v>653</v>
      </c>
      <c r="BE35" s="502" t="s">
        <v>653</v>
      </c>
      <c r="BF35" s="502" t="s">
        <v>653</v>
      </c>
      <c r="BG35" s="502" t="s">
        <v>653</v>
      </c>
      <c r="BH35" s="502" t="s">
        <v>653</v>
      </c>
      <c r="BI35" s="502" t="s">
        <v>653</v>
      </c>
      <c r="BJ35" s="502" t="s">
        <v>653</v>
      </c>
      <c r="BK35" s="502" t="s">
        <v>653</v>
      </c>
      <c r="BL35" s="502" t="s">
        <v>653</v>
      </c>
      <c r="BM35" s="502" t="s">
        <v>653</v>
      </c>
      <c r="BN35" s="502" t="s">
        <v>653</v>
      </c>
      <c r="BO35" s="502" t="s">
        <v>653</v>
      </c>
      <c r="BP35" s="502" t="s">
        <v>653</v>
      </c>
      <c r="BQ35" s="502" t="s">
        <v>653</v>
      </c>
      <c r="BR35" s="502" t="s">
        <v>653</v>
      </c>
      <c r="BS35" s="502" t="s">
        <v>653</v>
      </c>
      <c r="BT35" s="502" t="s">
        <v>653</v>
      </c>
      <c r="BU35" s="502" t="s">
        <v>653</v>
      </c>
      <c r="BV35" s="502" t="s">
        <v>653</v>
      </c>
      <c r="BW35" s="502" t="s">
        <v>653</v>
      </c>
      <c r="BX35" s="502" t="s">
        <v>653</v>
      </c>
      <c r="BY35" s="502" t="s">
        <v>653</v>
      </c>
      <c r="BZ35" s="502" t="s">
        <v>653</v>
      </c>
      <c r="CA35" s="502" t="s">
        <v>653</v>
      </c>
      <c r="CB35" s="502" t="s">
        <v>653</v>
      </c>
      <c r="CC35" s="502" t="s">
        <v>653</v>
      </c>
      <c r="CD35" s="502" t="s">
        <v>653</v>
      </c>
      <c r="CE35" s="502" t="s">
        <v>653</v>
      </c>
      <c r="CF35" s="502" t="s">
        <v>653</v>
      </c>
      <c r="CG35" s="502" t="s">
        <v>653</v>
      </c>
      <c r="CH35" s="502" t="s">
        <v>653</v>
      </c>
      <c r="CI35" s="502" t="s">
        <v>653</v>
      </c>
      <c r="CJ35" s="502" t="s">
        <v>653</v>
      </c>
      <c r="CK35" s="502" t="s">
        <v>653</v>
      </c>
      <c r="CL35" s="502" t="s">
        <v>653</v>
      </c>
      <c r="CM35" s="502" t="s">
        <v>653</v>
      </c>
      <c r="CN35" s="502" t="s">
        <v>653</v>
      </c>
      <c r="CO35" s="503" t="s">
        <v>653</v>
      </c>
      <c r="CP35" s="501" t="s">
        <v>653</v>
      </c>
      <c r="CQ35" s="502" t="s">
        <v>653</v>
      </c>
      <c r="CR35" s="502" t="s">
        <v>653</v>
      </c>
      <c r="CS35" s="502" t="s">
        <v>653</v>
      </c>
      <c r="CT35" s="502" t="s">
        <v>653</v>
      </c>
      <c r="CU35" s="502" t="s">
        <v>653</v>
      </c>
      <c r="CV35" s="502" t="s">
        <v>653</v>
      </c>
      <c r="CW35" s="502" t="s">
        <v>653</v>
      </c>
      <c r="CX35" s="502" t="s">
        <v>653</v>
      </c>
      <c r="CY35" s="502" t="s">
        <v>653</v>
      </c>
      <c r="CZ35" s="502" t="s">
        <v>653</v>
      </c>
      <c r="DA35" s="502" t="s">
        <v>653</v>
      </c>
      <c r="DB35" s="502" t="s">
        <v>653</v>
      </c>
      <c r="DC35" s="502" t="s">
        <v>653</v>
      </c>
      <c r="DD35" s="502" t="s">
        <v>653</v>
      </c>
      <c r="DE35" s="502" t="s">
        <v>653</v>
      </c>
      <c r="DF35" s="502" t="s">
        <v>653</v>
      </c>
      <c r="DG35" s="502" t="s">
        <v>653</v>
      </c>
      <c r="DH35" s="502" t="s">
        <v>653</v>
      </c>
      <c r="DI35" s="502" t="s">
        <v>653</v>
      </c>
      <c r="DJ35" s="502" t="s">
        <v>653</v>
      </c>
      <c r="DK35" s="502" t="s">
        <v>653</v>
      </c>
      <c r="DL35" s="502" t="s">
        <v>653</v>
      </c>
      <c r="DM35" s="502" t="s">
        <v>653</v>
      </c>
      <c r="DN35" s="502" t="s">
        <v>653</v>
      </c>
      <c r="DO35" s="502" t="s">
        <v>653</v>
      </c>
      <c r="DP35" s="502" t="s">
        <v>653</v>
      </c>
      <c r="DQ35" s="502" t="s">
        <v>653</v>
      </c>
      <c r="DR35" s="502" t="s">
        <v>653</v>
      </c>
      <c r="DS35" s="502" t="s">
        <v>653</v>
      </c>
      <c r="DT35" s="502" t="s">
        <v>653</v>
      </c>
      <c r="DU35" s="502" t="s">
        <v>653</v>
      </c>
      <c r="DV35" s="502" t="s">
        <v>653</v>
      </c>
      <c r="DW35" s="502" t="s">
        <v>653</v>
      </c>
      <c r="DX35" s="502" t="s">
        <v>653</v>
      </c>
      <c r="DY35" s="502" t="s">
        <v>653</v>
      </c>
      <c r="DZ35" s="502" t="s">
        <v>653</v>
      </c>
      <c r="EA35" s="502" t="s">
        <v>653</v>
      </c>
      <c r="EB35" s="502" t="s">
        <v>653</v>
      </c>
      <c r="EC35" s="502" t="s">
        <v>653</v>
      </c>
      <c r="ED35" s="502" t="s">
        <v>653</v>
      </c>
      <c r="EE35" s="502" t="s">
        <v>653</v>
      </c>
      <c r="EF35" s="502" t="s">
        <v>653</v>
      </c>
      <c r="EG35" s="502" t="s">
        <v>653</v>
      </c>
      <c r="EH35" s="502" t="s">
        <v>653</v>
      </c>
      <c r="EI35" s="502" t="s">
        <v>653</v>
      </c>
      <c r="EJ35" s="502" t="s">
        <v>653</v>
      </c>
      <c r="EK35" s="502" t="s">
        <v>653</v>
      </c>
      <c r="EL35" s="502" t="s">
        <v>653</v>
      </c>
      <c r="EM35" s="502" t="s">
        <v>653</v>
      </c>
      <c r="EN35" s="502" t="s">
        <v>653</v>
      </c>
      <c r="EO35" s="502" t="s">
        <v>653</v>
      </c>
      <c r="EP35" s="502" t="s">
        <v>653</v>
      </c>
      <c r="EQ35" s="502" t="s">
        <v>653</v>
      </c>
      <c r="ER35" s="502" t="s">
        <v>653</v>
      </c>
      <c r="ES35" s="502" t="s">
        <v>653</v>
      </c>
      <c r="ET35" s="502" t="s">
        <v>653</v>
      </c>
      <c r="EU35" s="502" t="s">
        <v>653</v>
      </c>
      <c r="EV35" s="502" t="s">
        <v>653</v>
      </c>
      <c r="EW35" s="502" t="s">
        <v>653</v>
      </c>
      <c r="EX35" s="502" t="s">
        <v>653</v>
      </c>
      <c r="EY35" s="502" t="s">
        <v>653</v>
      </c>
      <c r="EZ35" s="502" t="s">
        <v>653</v>
      </c>
      <c r="FA35" s="502" t="s">
        <v>653</v>
      </c>
      <c r="FB35" s="502" t="s">
        <v>653</v>
      </c>
      <c r="FC35" s="502" t="s">
        <v>653</v>
      </c>
      <c r="FD35" s="502" t="s">
        <v>653</v>
      </c>
      <c r="FE35" s="502" t="s">
        <v>653</v>
      </c>
      <c r="FF35" s="502" t="s">
        <v>653</v>
      </c>
      <c r="FG35" s="502" t="s">
        <v>653</v>
      </c>
      <c r="FH35" s="502" t="s">
        <v>653</v>
      </c>
      <c r="FI35" s="502" t="s">
        <v>653</v>
      </c>
      <c r="FJ35" s="502" t="s">
        <v>653</v>
      </c>
      <c r="FK35" s="502" t="s">
        <v>653</v>
      </c>
      <c r="FL35" s="502" t="s">
        <v>653</v>
      </c>
      <c r="FM35" s="502" t="s">
        <v>653</v>
      </c>
      <c r="FN35" s="502" t="s">
        <v>653</v>
      </c>
      <c r="FO35" s="502" t="s">
        <v>653</v>
      </c>
      <c r="FP35" s="502" t="s">
        <v>653</v>
      </c>
      <c r="FQ35" s="502" t="s">
        <v>653</v>
      </c>
      <c r="FR35" s="502" t="s">
        <v>653</v>
      </c>
      <c r="FS35" s="502" t="s">
        <v>653</v>
      </c>
      <c r="FT35" s="502" t="s">
        <v>653</v>
      </c>
      <c r="FU35" s="502" t="s">
        <v>653</v>
      </c>
      <c r="FV35" s="502" t="s">
        <v>653</v>
      </c>
      <c r="FW35" s="502" t="s">
        <v>653</v>
      </c>
      <c r="FX35" s="503" t="s">
        <v>653</v>
      </c>
    </row>
    <row r="36">
      <c r="A36" s="504" t="s">
        <v>689</v>
      </c>
      <c r="B36" s="15"/>
      <c r="C36" s="462"/>
      <c r="D36" s="443" t="s">
        <v>652</v>
      </c>
      <c r="E36" s="444" t="s">
        <v>652</v>
      </c>
      <c r="F36" s="445" t="s">
        <v>652</v>
      </c>
      <c r="G36" s="505"/>
      <c r="H36" s="447"/>
      <c r="I36" s="447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8"/>
      <c r="AU36" s="448"/>
      <c r="AV36" s="448"/>
      <c r="AW36" s="448"/>
      <c r="AX36" s="448"/>
      <c r="AY36" s="448"/>
      <c r="AZ36" s="448"/>
      <c r="BA36" s="448"/>
      <c r="BB36" s="448"/>
      <c r="BC36" s="448"/>
      <c r="BD36" s="448"/>
      <c r="BE36" s="448"/>
      <c r="BF36" s="448"/>
      <c r="BG36" s="448"/>
      <c r="BH36" s="448"/>
      <c r="BI36" s="448"/>
      <c r="BJ36" s="448"/>
      <c r="BK36" s="448"/>
      <c r="BL36" s="448"/>
      <c r="BM36" s="448"/>
      <c r="BN36" s="448"/>
      <c r="BO36" s="448"/>
      <c r="BP36" s="448"/>
      <c r="BQ36" s="448"/>
      <c r="BR36" s="448"/>
      <c r="BS36" s="448"/>
      <c r="BT36" s="448"/>
      <c r="BU36" s="448"/>
      <c r="BV36" s="448"/>
      <c r="BW36" s="448"/>
      <c r="BX36" s="448"/>
      <c r="BY36" s="448"/>
      <c r="BZ36" s="448"/>
      <c r="CA36" s="448"/>
      <c r="CB36" s="448"/>
      <c r="CC36" s="448"/>
      <c r="CD36" s="449"/>
      <c r="CE36" s="449"/>
      <c r="CF36" s="449"/>
      <c r="CG36" s="449"/>
      <c r="CH36" s="449"/>
      <c r="CI36" s="449"/>
      <c r="CJ36" s="449"/>
      <c r="CK36" s="449"/>
      <c r="CL36" s="449"/>
      <c r="CM36" s="449"/>
      <c r="CN36" s="449"/>
      <c r="CO36" s="450"/>
      <c r="CP36" s="505"/>
      <c r="CQ36" s="447"/>
      <c r="CR36" s="447"/>
      <c r="CS36" s="447"/>
      <c r="CT36" s="447"/>
      <c r="CU36" s="447"/>
      <c r="CV36" s="447"/>
      <c r="CW36" s="447"/>
      <c r="CX36" s="447"/>
      <c r="CY36" s="447"/>
      <c r="CZ36" s="447"/>
      <c r="DA36" s="447"/>
      <c r="DB36" s="447"/>
      <c r="DC36" s="447"/>
      <c r="DD36" s="447"/>
      <c r="DE36" s="447"/>
      <c r="DF36" s="447"/>
      <c r="DG36" s="447"/>
      <c r="DH36" s="447"/>
      <c r="DI36" s="447"/>
      <c r="DJ36" s="447"/>
      <c r="DK36" s="447"/>
      <c r="DL36" s="447"/>
      <c r="DM36" s="447"/>
      <c r="DN36" s="447"/>
      <c r="DO36" s="447"/>
      <c r="DP36" s="447"/>
      <c r="DQ36" s="447"/>
      <c r="DR36" s="447"/>
      <c r="DS36" s="447"/>
      <c r="DT36" s="447"/>
      <c r="DU36" s="447"/>
      <c r="DV36" s="447"/>
      <c r="DW36" s="447"/>
      <c r="DX36" s="447"/>
      <c r="DY36" s="447"/>
      <c r="DZ36" s="447"/>
      <c r="EA36" s="447"/>
      <c r="EB36" s="447"/>
      <c r="EC36" s="448"/>
      <c r="ED36" s="448"/>
      <c r="EE36" s="448"/>
      <c r="EF36" s="448"/>
      <c r="EG36" s="448"/>
      <c r="EH36" s="448"/>
      <c r="EI36" s="448"/>
      <c r="EJ36" s="448"/>
      <c r="EK36" s="448"/>
      <c r="EL36" s="448"/>
      <c r="EM36" s="448"/>
      <c r="EN36" s="448"/>
      <c r="EO36" s="448"/>
      <c r="EP36" s="448"/>
      <c r="EQ36" s="448"/>
      <c r="ER36" s="448"/>
      <c r="ES36" s="448"/>
      <c r="ET36" s="448"/>
      <c r="EU36" s="448"/>
      <c r="EV36" s="448"/>
      <c r="EW36" s="448"/>
      <c r="EX36" s="448"/>
      <c r="EY36" s="448"/>
      <c r="EZ36" s="448"/>
      <c r="FA36" s="448"/>
      <c r="FB36" s="448"/>
      <c r="FC36" s="448"/>
      <c r="FD36" s="448"/>
      <c r="FE36" s="448"/>
      <c r="FF36" s="448"/>
      <c r="FG36" s="448"/>
      <c r="FH36" s="448"/>
      <c r="FI36" s="448"/>
      <c r="FJ36" s="448"/>
      <c r="FK36" s="448"/>
      <c r="FL36" s="448"/>
      <c r="FM36" s="449"/>
      <c r="FN36" s="449"/>
      <c r="FO36" s="449"/>
      <c r="FP36" s="449"/>
      <c r="FQ36" s="449"/>
      <c r="FR36" s="449"/>
      <c r="FS36" s="449"/>
      <c r="FT36" s="449"/>
      <c r="FU36" s="449"/>
      <c r="FV36" s="449"/>
      <c r="FW36" s="449"/>
      <c r="FX36" s="450"/>
    </row>
    <row r="37">
      <c r="A37" s="484" t="s">
        <v>690</v>
      </c>
      <c r="B37" s="484" t="s">
        <v>691</v>
      </c>
      <c r="C37" s="484" t="s">
        <v>692</v>
      </c>
      <c r="D37" s="506" t="s">
        <v>658</v>
      </c>
      <c r="E37" s="444" t="s">
        <v>652</v>
      </c>
      <c r="F37" s="445" t="s">
        <v>652</v>
      </c>
      <c r="G37" s="507">
        <v>0.0</v>
      </c>
      <c r="H37" s="476">
        <v>0.0</v>
      </c>
      <c r="I37" s="476">
        <v>0.0</v>
      </c>
      <c r="J37" s="476">
        <v>0.0</v>
      </c>
      <c r="K37" s="476">
        <v>0.0</v>
      </c>
      <c r="L37" s="476">
        <v>0.0</v>
      </c>
      <c r="M37" s="476">
        <v>0.0</v>
      </c>
      <c r="N37" s="476">
        <v>0.0</v>
      </c>
      <c r="O37" s="476">
        <v>0.0</v>
      </c>
      <c r="P37" s="476">
        <v>0.0</v>
      </c>
      <c r="Q37" s="476">
        <v>0.0</v>
      </c>
      <c r="R37" s="476">
        <v>0.0</v>
      </c>
      <c r="S37" s="476">
        <v>0.0</v>
      </c>
      <c r="T37" s="476">
        <v>0.0</v>
      </c>
      <c r="U37" s="476">
        <v>0.0</v>
      </c>
      <c r="V37" s="476">
        <v>0.0</v>
      </c>
      <c r="W37" s="476">
        <v>0.0</v>
      </c>
      <c r="X37" s="476">
        <v>0.0</v>
      </c>
      <c r="Y37" s="476">
        <v>0.0</v>
      </c>
      <c r="Z37" s="476">
        <v>0.0</v>
      </c>
      <c r="AA37" s="476">
        <v>0.0</v>
      </c>
      <c r="AB37" s="476">
        <v>0.0</v>
      </c>
      <c r="AC37" s="476">
        <v>0.0</v>
      </c>
      <c r="AD37" s="476">
        <v>0.0</v>
      </c>
      <c r="AE37" s="476">
        <v>0.0</v>
      </c>
      <c r="AF37" s="476">
        <v>0.0</v>
      </c>
      <c r="AG37" s="476">
        <v>0.0</v>
      </c>
      <c r="AH37" s="476">
        <v>0.0</v>
      </c>
      <c r="AI37" s="476">
        <v>0.0</v>
      </c>
      <c r="AJ37" s="476">
        <v>0.0</v>
      </c>
      <c r="AK37" s="476">
        <v>0.0</v>
      </c>
      <c r="AL37" s="476">
        <v>0.0</v>
      </c>
      <c r="AM37" s="476">
        <v>0.0</v>
      </c>
      <c r="AN37" s="476">
        <v>0.0</v>
      </c>
      <c r="AO37" s="476">
        <v>0.0</v>
      </c>
      <c r="AP37" s="476">
        <v>0.0</v>
      </c>
      <c r="AQ37" s="476">
        <v>0.0</v>
      </c>
      <c r="AR37" s="476">
        <v>0.0</v>
      </c>
      <c r="AS37" s="476">
        <v>0.0</v>
      </c>
      <c r="AT37" s="476">
        <v>0.0</v>
      </c>
      <c r="AU37" s="476">
        <v>0.0</v>
      </c>
      <c r="AV37" s="476">
        <v>0.0</v>
      </c>
      <c r="AW37" s="476">
        <v>0.0</v>
      </c>
      <c r="AX37" s="476">
        <v>0.0</v>
      </c>
      <c r="AY37" s="476">
        <v>0.0</v>
      </c>
      <c r="AZ37" s="476">
        <v>0.0</v>
      </c>
      <c r="BA37" s="476">
        <v>0.0</v>
      </c>
      <c r="BB37" s="476">
        <v>0.0</v>
      </c>
      <c r="BC37" s="476">
        <v>0.0</v>
      </c>
      <c r="BD37" s="476">
        <v>0.0</v>
      </c>
      <c r="BE37" s="476">
        <v>0.0</v>
      </c>
      <c r="BF37" s="476">
        <v>0.0</v>
      </c>
      <c r="BG37" s="476">
        <v>0.0</v>
      </c>
      <c r="BH37" s="476">
        <v>0.0</v>
      </c>
      <c r="BI37" s="476">
        <v>0.0</v>
      </c>
      <c r="BJ37" s="476">
        <v>0.0</v>
      </c>
      <c r="BK37" s="476">
        <v>0.0</v>
      </c>
      <c r="BL37" s="476">
        <v>0.0</v>
      </c>
      <c r="BM37" s="476">
        <v>0.0</v>
      </c>
      <c r="BN37" s="476">
        <v>0.0</v>
      </c>
      <c r="BO37" s="476">
        <v>0.0</v>
      </c>
      <c r="BP37" s="476">
        <v>0.0</v>
      </c>
      <c r="BQ37" s="476">
        <v>0.0</v>
      </c>
      <c r="BR37" s="476">
        <v>0.0</v>
      </c>
      <c r="BS37" s="476">
        <v>0.0</v>
      </c>
      <c r="BT37" s="476">
        <v>0.0</v>
      </c>
      <c r="BU37" s="476">
        <v>0.0</v>
      </c>
      <c r="BV37" s="476">
        <v>0.0</v>
      </c>
      <c r="BW37" s="476">
        <v>0.0</v>
      </c>
      <c r="BX37" s="476">
        <v>0.0</v>
      </c>
      <c r="BY37" s="476">
        <v>0.0</v>
      </c>
      <c r="BZ37" s="476">
        <v>0.0</v>
      </c>
      <c r="CA37" s="476">
        <v>0.0</v>
      </c>
      <c r="CB37" s="476">
        <v>0.0</v>
      </c>
      <c r="CC37" s="476">
        <v>78557.0</v>
      </c>
      <c r="CD37" s="476"/>
      <c r="CE37" s="476"/>
      <c r="CF37" s="476"/>
      <c r="CG37" s="476"/>
      <c r="CH37" s="476"/>
      <c r="CI37" s="476"/>
      <c r="CJ37" s="476"/>
      <c r="CK37" s="476"/>
      <c r="CL37" s="476"/>
      <c r="CM37" s="476"/>
      <c r="CN37" s="476"/>
      <c r="CO37" s="477"/>
      <c r="CP37" s="507">
        <v>0.0</v>
      </c>
      <c r="CQ37" s="476">
        <v>285645.0</v>
      </c>
      <c r="CR37" s="476">
        <v>0.0</v>
      </c>
      <c r="CS37" s="476">
        <v>0.0</v>
      </c>
      <c r="CT37" s="476">
        <v>0.0</v>
      </c>
      <c r="CU37" s="476">
        <v>0.0</v>
      </c>
      <c r="CV37" s="476">
        <v>0.0</v>
      </c>
      <c r="CW37" s="476">
        <v>0.0</v>
      </c>
      <c r="CX37" s="476">
        <v>0.0</v>
      </c>
      <c r="CY37" s="476">
        <v>0.0</v>
      </c>
      <c r="CZ37" s="476">
        <v>0.0</v>
      </c>
      <c r="DA37" s="476">
        <v>0.0</v>
      </c>
      <c r="DB37" s="476">
        <v>0.0</v>
      </c>
      <c r="DC37" s="476">
        <v>0.0</v>
      </c>
      <c r="DD37" s="476">
        <v>0.0</v>
      </c>
      <c r="DE37" s="476">
        <v>0.0</v>
      </c>
      <c r="DF37" s="476">
        <v>0.0</v>
      </c>
      <c r="DG37" s="476">
        <v>0.0</v>
      </c>
      <c r="DH37" s="476">
        <v>0.0</v>
      </c>
      <c r="DI37" s="476">
        <v>0.0</v>
      </c>
      <c r="DJ37" s="476">
        <v>0.0</v>
      </c>
      <c r="DK37" s="476">
        <v>0.0</v>
      </c>
      <c r="DL37" s="476">
        <v>0.0</v>
      </c>
      <c r="DM37" s="476">
        <v>0.0</v>
      </c>
      <c r="DN37" s="476">
        <v>0.0</v>
      </c>
      <c r="DO37" s="476">
        <v>0.0</v>
      </c>
      <c r="DP37" s="476">
        <v>0.0</v>
      </c>
      <c r="DQ37" s="476">
        <v>0.0</v>
      </c>
      <c r="DR37" s="476">
        <v>0.0</v>
      </c>
      <c r="DS37" s="476">
        <v>0.0</v>
      </c>
      <c r="DT37" s="476">
        <v>0.0</v>
      </c>
      <c r="DU37" s="476">
        <v>0.0</v>
      </c>
      <c r="DV37" s="476">
        <v>0.0</v>
      </c>
      <c r="DW37" s="476">
        <v>0.0</v>
      </c>
      <c r="DX37" s="476">
        <v>0.0</v>
      </c>
      <c r="DY37" s="476">
        <v>0.0</v>
      </c>
      <c r="DZ37" s="476">
        <v>0.0</v>
      </c>
      <c r="EA37" s="476">
        <v>0.0</v>
      </c>
      <c r="EB37" s="476">
        <v>0.0</v>
      </c>
      <c r="EC37" s="476">
        <v>0.0</v>
      </c>
      <c r="ED37" s="476">
        <v>0.0</v>
      </c>
      <c r="EE37" s="476">
        <v>0.0</v>
      </c>
      <c r="EF37" s="476">
        <v>0.0</v>
      </c>
      <c r="EG37" s="476">
        <v>0.0</v>
      </c>
      <c r="EH37" s="476">
        <v>0.0</v>
      </c>
      <c r="EI37" s="476">
        <v>0.0</v>
      </c>
      <c r="EJ37" s="476">
        <v>0.0</v>
      </c>
      <c r="EK37" s="476">
        <v>0.0</v>
      </c>
      <c r="EL37" s="476">
        <v>0.0</v>
      </c>
      <c r="EM37" s="476">
        <v>0.0</v>
      </c>
      <c r="EN37" s="476">
        <v>0.0</v>
      </c>
      <c r="EO37" s="476">
        <v>0.0</v>
      </c>
      <c r="EP37" s="476">
        <v>0.0</v>
      </c>
      <c r="EQ37" s="476">
        <v>0.0</v>
      </c>
      <c r="ER37" s="476">
        <v>0.0</v>
      </c>
      <c r="ES37" s="476">
        <v>0.0</v>
      </c>
      <c r="ET37" s="476">
        <v>0.0</v>
      </c>
      <c r="EU37" s="476">
        <v>0.0</v>
      </c>
      <c r="EV37" s="476">
        <v>0.0</v>
      </c>
      <c r="EW37" s="476">
        <v>0.0</v>
      </c>
      <c r="EX37" s="476">
        <v>0.0</v>
      </c>
      <c r="EY37" s="476">
        <v>0.0</v>
      </c>
      <c r="EZ37" s="476">
        <v>0.0</v>
      </c>
      <c r="FA37" s="476">
        <v>0.0</v>
      </c>
      <c r="FB37" s="476">
        <v>0.0</v>
      </c>
      <c r="FC37" s="476">
        <v>0.0</v>
      </c>
      <c r="FD37" s="476">
        <v>0.0</v>
      </c>
      <c r="FE37" s="476">
        <v>0.0</v>
      </c>
      <c r="FF37" s="476">
        <v>0.0</v>
      </c>
      <c r="FG37" s="476">
        <v>0.0</v>
      </c>
      <c r="FH37" s="476">
        <v>0.0</v>
      </c>
      <c r="FI37" s="476">
        <v>0.0</v>
      </c>
      <c r="FJ37" s="476">
        <v>0.0</v>
      </c>
      <c r="FK37" s="476">
        <v>0.0</v>
      </c>
      <c r="FL37" s="476">
        <v>78557.0</v>
      </c>
      <c r="FM37" s="476"/>
      <c r="FN37" s="476"/>
      <c r="FO37" s="476"/>
      <c r="FP37" s="476"/>
      <c r="FQ37" s="476"/>
      <c r="FR37" s="476"/>
      <c r="FS37" s="476"/>
      <c r="FT37" s="476"/>
      <c r="FU37" s="476"/>
      <c r="FV37" s="476"/>
      <c r="FW37" s="476"/>
      <c r="FX37" s="477"/>
    </row>
    <row r="38">
      <c r="A38" s="469" t="s">
        <v>693</v>
      </c>
      <c r="B38" s="460" t="s">
        <v>694</v>
      </c>
      <c r="C38" s="453" t="s">
        <v>695</v>
      </c>
      <c r="D38" s="470" t="s">
        <v>696</v>
      </c>
      <c r="E38" s="471">
        <v>1.0</v>
      </c>
      <c r="F38" s="472">
        <v>1.0</v>
      </c>
      <c r="G38" s="507">
        <v>0.0</v>
      </c>
      <c r="H38" s="476">
        <v>0.0</v>
      </c>
      <c r="I38" s="476">
        <v>0.0</v>
      </c>
      <c r="J38" s="476">
        <v>0.0</v>
      </c>
      <c r="K38" s="476">
        <v>0.0</v>
      </c>
      <c r="L38" s="476">
        <v>0.0</v>
      </c>
      <c r="M38" s="476">
        <v>0.0</v>
      </c>
      <c r="N38" s="476">
        <v>0.0</v>
      </c>
      <c r="O38" s="476">
        <v>0.0</v>
      </c>
      <c r="P38" s="476">
        <v>0.0</v>
      </c>
      <c r="Q38" s="476">
        <v>0.0</v>
      </c>
      <c r="R38" s="476">
        <v>0.0</v>
      </c>
      <c r="S38" s="476">
        <v>0.0</v>
      </c>
      <c r="T38" s="476">
        <v>0.0</v>
      </c>
      <c r="U38" s="476">
        <v>0.0</v>
      </c>
      <c r="V38" s="476">
        <v>0.0</v>
      </c>
      <c r="W38" s="476">
        <v>0.0</v>
      </c>
      <c r="X38" s="476">
        <v>0.0</v>
      </c>
      <c r="Y38" s="476">
        <v>0.0</v>
      </c>
      <c r="Z38" s="476">
        <v>0.0</v>
      </c>
      <c r="AA38" s="476">
        <v>0.0</v>
      </c>
      <c r="AB38" s="476">
        <v>0.0</v>
      </c>
      <c r="AC38" s="476">
        <v>0.0</v>
      </c>
      <c r="AD38" s="476">
        <v>0.0</v>
      </c>
      <c r="AE38" s="476">
        <v>0.0</v>
      </c>
      <c r="AF38" s="476">
        <v>0.0</v>
      </c>
      <c r="AG38" s="476">
        <v>0.0</v>
      </c>
      <c r="AH38" s="476">
        <v>0.0</v>
      </c>
      <c r="AI38" s="476">
        <v>0.0</v>
      </c>
      <c r="AJ38" s="476">
        <v>0.0</v>
      </c>
      <c r="AK38" s="476">
        <v>0.0</v>
      </c>
      <c r="AL38" s="476">
        <v>0.0</v>
      </c>
      <c r="AM38" s="476">
        <v>0.0</v>
      </c>
      <c r="AN38" s="476">
        <v>0.0</v>
      </c>
      <c r="AO38" s="476">
        <v>0.0</v>
      </c>
      <c r="AP38" s="476">
        <v>0.0</v>
      </c>
      <c r="AQ38" s="476">
        <v>0.0</v>
      </c>
      <c r="AR38" s="476">
        <v>0.0</v>
      </c>
      <c r="AS38" s="476">
        <v>0.0</v>
      </c>
      <c r="AT38" s="476">
        <v>0.0</v>
      </c>
      <c r="AU38" s="476">
        <v>0.0</v>
      </c>
      <c r="AV38" s="476">
        <v>0.0</v>
      </c>
      <c r="AW38" s="476">
        <v>0.0</v>
      </c>
      <c r="AX38" s="476">
        <v>0.0</v>
      </c>
      <c r="AY38" s="476">
        <v>0.0</v>
      </c>
      <c r="AZ38" s="476">
        <v>0.0</v>
      </c>
      <c r="BA38" s="476">
        <v>0.0</v>
      </c>
      <c r="BB38" s="476">
        <v>0.0</v>
      </c>
      <c r="BC38" s="476">
        <v>0.0</v>
      </c>
      <c r="BD38" s="476">
        <v>0.0</v>
      </c>
      <c r="BE38" s="476">
        <v>0.0</v>
      </c>
      <c r="BF38" s="476">
        <v>0.0</v>
      </c>
      <c r="BG38" s="476">
        <v>0.0</v>
      </c>
      <c r="BH38" s="476">
        <v>0.0</v>
      </c>
      <c r="BI38" s="476">
        <v>0.0</v>
      </c>
      <c r="BJ38" s="476">
        <v>0.0</v>
      </c>
      <c r="BK38" s="476">
        <v>0.0</v>
      </c>
      <c r="BL38" s="476">
        <v>0.0</v>
      </c>
      <c r="BM38" s="476">
        <v>0.0</v>
      </c>
      <c r="BN38" s="476">
        <v>0.0</v>
      </c>
      <c r="BO38" s="476">
        <v>0.0</v>
      </c>
      <c r="BP38" s="476">
        <v>0.0</v>
      </c>
      <c r="BQ38" s="476">
        <v>0.0</v>
      </c>
      <c r="BR38" s="476">
        <f>IFERROR(__xludf.DUMMYFUNCTION("INDIRECT(CONCATENATE(""'"",INDEX(SPLIT($D38,""D""),1),""D"",INDEX(SPLIT($D38,""D""),2)+$E38*(COLUMN()-COLUMN($BR38))))"),0.0)</f>
        <v>0</v>
      </c>
      <c r="BS38" s="508">
        <f>IFERROR(__xludf.DUMMYFUNCTION("INDIRECT(CONCATENATE(""'"",INDEX(SPLIT($D38,""D""),1),""D"",INDEX(SPLIT($D38,""D""),2)+$E38*(COLUMN()-COLUMN($BR38))))"),500000.0)</f>
        <v>500000</v>
      </c>
      <c r="BT38" s="508">
        <f>IFERROR(__xludf.DUMMYFUNCTION("INDIRECT(CONCATENATE(""'"",INDEX(SPLIT($D38,""D""),1),""D"",INDEX(SPLIT($D38,""D""),2)+$E38*(COLUMN()-COLUMN($BR38))))"),494449.0)</f>
        <v>494449</v>
      </c>
      <c r="BU38" s="508">
        <f>IFERROR(__xludf.DUMMYFUNCTION("INDIRECT(CONCATENATE(""'"",INDEX(SPLIT($D38,""D""),1),""D"",INDEX(SPLIT($D38,""D""),2)+$E38*(COLUMN()-COLUMN($BR38))))"),488889.0)</f>
        <v>488889</v>
      </c>
      <c r="BV38" s="508">
        <f>IFERROR(__xludf.DUMMYFUNCTION("INDIRECT(CONCATENATE(""'"",INDEX(SPLIT($D38,""D""),1),""D"",INDEX(SPLIT($D38,""D""),2)+$E38*(COLUMN()-COLUMN($BR38))))"),483320.0)</f>
        <v>483320</v>
      </c>
      <c r="BW38" s="508">
        <f>IFERROR(__xludf.DUMMYFUNCTION("INDIRECT(CONCATENATE(""'"",INDEX(SPLIT($D38,""D""),1),""D"",INDEX(SPLIT($D38,""D""),2)+$E38*(COLUMN()-COLUMN($BR38))))"),477772.0)</f>
        <v>477772</v>
      </c>
      <c r="BX38" s="508">
        <f>IFERROR(__xludf.DUMMYFUNCTION("INDIRECT(CONCATENATE(""'"",INDEX(SPLIT($D38,""D""),1),""D"",INDEX(SPLIT($D38,""D""),2)+$E38*(COLUMN()-COLUMN($BR38))))"),472208.551)</f>
        <v>472208.551</v>
      </c>
      <c r="BY38" s="508">
        <f>IFERROR(__xludf.DUMMYFUNCTION("INDIRECT(CONCATENATE(""'"",INDEX(SPLIT($D38,""D""),1),""D"",INDEX(SPLIT($D38,""D""),2)+$E38*(COLUMN()-COLUMN($BR38))))"),466635.22689999995)</f>
        <v>466635.2269</v>
      </c>
      <c r="BZ38" s="508">
        <f>IFERROR(__xludf.DUMMYFUNCTION("INDIRECT(CONCATENATE(""'"",INDEX(SPLIT($D38,""D""),1),""D"",INDEX(SPLIT($D38,""D""),2)+$E38*(COLUMN()-COLUMN($BR38))))"),461052.01009999996)</f>
        <v>461052.0101</v>
      </c>
      <c r="CA38" s="508">
        <f>IFERROR(__xludf.DUMMYFUNCTION("INDIRECT(CONCATENATE(""'"",INDEX(SPLIT($D38,""D""),1),""D"",INDEX(SPLIT($D38,""D""),2)+$E38*(COLUMN()-COLUMN($BR38))))"),455458.8831)</f>
        <v>455458.8831</v>
      </c>
      <c r="CB38" s="508">
        <f>IFERROR(__xludf.DUMMYFUNCTION("INDIRECT(CONCATENATE(""'"",INDEX(SPLIT($D38,""D""),1),""D"",INDEX(SPLIT($D38,""D""),2)+$E38*(COLUMN()-COLUMN($BR38))))"),449855.8283)</f>
        <v>449855.8283</v>
      </c>
      <c r="CC38" s="508">
        <f>IFERROR(__xludf.DUMMYFUNCTION("INDIRECT(CONCATENATE(""'"",INDEX(SPLIT($D38,""D""),1),""D"",INDEX(SPLIT($D38,""D""),2)+$E38*(COLUMN()-COLUMN($BR38))))"),444242.8281)</f>
        <v>444242.8281</v>
      </c>
      <c r="CD38" s="508">
        <f>IFERROR(__xludf.DUMMYFUNCTION("INDIRECT(CONCATENATE(""'"",INDEX(SPLIT($D38,""D""),1),""D"",INDEX(SPLIT($D38,""D""),2)+$E38*(COLUMN()-COLUMN($BR38))))"),438619.8648)</f>
        <v>438619.8648</v>
      </c>
      <c r="CE38" s="508">
        <f>IFERROR(__xludf.DUMMYFUNCTION("INDIRECT(CONCATENATE(""'"",INDEX(SPLIT($D38,""D""),1),""D"",INDEX(SPLIT($D38,""D""),2)+$E38*(COLUMN()-COLUMN($BR38))))"),432986.92079999996)</f>
        <v>432986.9208</v>
      </c>
      <c r="CF38" s="508">
        <f>IFERROR(__xludf.DUMMYFUNCTION("INDIRECT(CONCATENATE(""'"",INDEX(SPLIT($D38,""D""),1),""D"",INDEX(SPLIT($D38,""D""),2)+$E38*(COLUMN()-COLUMN($BR38))))"),427343.97829999996)</f>
        <v>427343.9783</v>
      </c>
      <c r="CG38" s="508">
        <f>IFERROR(__xludf.DUMMYFUNCTION("INDIRECT(CONCATENATE(""'"",INDEX(SPLIT($D38,""D""),1),""D"",INDEX(SPLIT($D38,""D""),2)+$E38*(COLUMN()-COLUMN($BR38))))"),421691.01959999994)</f>
        <v>421691.0196</v>
      </c>
      <c r="CH38" s="508">
        <f>IFERROR(__xludf.DUMMYFUNCTION("INDIRECT(CONCATENATE(""'"",INDEX(SPLIT($D38,""D""),1),""D"",INDEX(SPLIT($D38,""D""),2)+$E38*(COLUMN()-COLUMN($BR38))))"),416028.02689999994)</f>
        <v>416028.0269</v>
      </c>
      <c r="CI38" s="508">
        <f>IFERROR(__xludf.DUMMYFUNCTION("INDIRECT(CONCATENATE(""'"",INDEX(SPLIT($D38,""D""),1),""D"",INDEX(SPLIT($D38,""D""),2)+$E38*(COLUMN()-COLUMN($BR38))))"),410354.9822999999)</f>
        <v>410354.9823</v>
      </c>
      <c r="CJ38" s="508">
        <f>IFERROR(__xludf.DUMMYFUNCTION("INDIRECT(CONCATENATE(""'"",INDEX(SPLIT($D38,""D""),1),""D"",INDEX(SPLIT($D38,""D""),2)+$E38*(COLUMN()-COLUMN($BR38))))"),404671.8680999999)</f>
        <v>404671.8681</v>
      </c>
      <c r="CK38" s="508">
        <f>IFERROR(__xludf.DUMMYFUNCTION("INDIRECT(CONCATENATE(""'"",INDEX(SPLIT($D38,""D""),1),""D"",INDEX(SPLIT($D38,""D""),2)+$E38*(COLUMN()-COLUMN($BR38))))"),398978.66639999993)</f>
        <v>398978.6664</v>
      </c>
      <c r="CL38" s="508">
        <f>IFERROR(__xludf.DUMMYFUNCTION("INDIRECT(CONCATENATE(""'"",INDEX(SPLIT($D38,""D""),1),""D"",INDEX(SPLIT($D38,""D""),2)+$E38*(COLUMN()-COLUMN($BR38))))"),393275.35919999995)</f>
        <v>393275.3592</v>
      </c>
      <c r="CM38" s="508">
        <f>IFERROR(__xludf.DUMMYFUNCTION("INDIRECT(CONCATENATE(""'"",INDEX(SPLIT($D38,""D""),1),""D"",INDEX(SPLIT($D38,""D""),2)+$E38*(COLUMN()-COLUMN($BR38))))"),187569.0)</f>
        <v>187569</v>
      </c>
      <c r="CN38" s="508">
        <f>IFERROR(__xludf.DUMMYFUNCTION("INDIRECT(CONCATENATE(""'"",INDEX(SPLIT($D38,""D""),1),""D"",INDEX(SPLIT($D38,""D""),2)+$E38*(COLUMN()-COLUMN($BR38))))"),184798.9533)</f>
        <v>184798.9533</v>
      </c>
      <c r="CO38" s="509">
        <f>IFERROR(__xludf.DUMMYFUNCTION("INDIRECT(CONCATENATE(""'"",INDEX(SPLIT($D38,""D""),1),""D"",INDEX(SPLIT($D38,""D""),2)+$E38*(COLUMN()-COLUMN($BR38))))"),182023.9897)</f>
        <v>182023.9897</v>
      </c>
      <c r="CP38" s="507">
        <v>0.0</v>
      </c>
      <c r="CQ38" s="476">
        <v>173670.0</v>
      </c>
      <c r="CR38" s="476">
        <v>0.0</v>
      </c>
      <c r="CS38" s="476">
        <v>0.0</v>
      </c>
      <c r="CT38" s="476">
        <v>0.0</v>
      </c>
      <c r="CU38" s="476">
        <v>0.0</v>
      </c>
      <c r="CV38" s="476">
        <v>0.0</v>
      </c>
      <c r="CW38" s="476">
        <v>0.0</v>
      </c>
      <c r="CX38" s="476">
        <v>0.0</v>
      </c>
      <c r="CY38" s="476">
        <v>0.0</v>
      </c>
      <c r="CZ38" s="476">
        <v>0.0</v>
      </c>
      <c r="DA38" s="476">
        <v>0.0</v>
      </c>
      <c r="DB38" s="476">
        <v>0.0</v>
      </c>
      <c r="DC38" s="476">
        <v>0.0</v>
      </c>
      <c r="DD38" s="476">
        <v>0.0</v>
      </c>
      <c r="DE38" s="476">
        <v>0.0</v>
      </c>
      <c r="DF38" s="476">
        <v>0.0</v>
      </c>
      <c r="DG38" s="476">
        <v>0.0</v>
      </c>
      <c r="DH38" s="476">
        <v>0.0</v>
      </c>
      <c r="DI38" s="476">
        <v>0.0</v>
      </c>
      <c r="DJ38" s="476">
        <v>0.0</v>
      </c>
      <c r="DK38" s="476">
        <v>0.0</v>
      </c>
      <c r="DL38" s="476">
        <v>0.0</v>
      </c>
      <c r="DM38" s="476">
        <v>0.0</v>
      </c>
      <c r="DN38" s="476">
        <v>0.0</v>
      </c>
      <c r="DO38" s="476">
        <v>0.0</v>
      </c>
      <c r="DP38" s="476">
        <v>0.0</v>
      </c>
      <c r="DQ38" s="476">
        <v>0.0</v>
      </c>
      <c r="DR38" s="476">
        <v>0.0</v>
      </c>
      <c r="DS38" s="476">
        <v>0.0</v>
      </c>
      <c r="DT38" s="476">
        <v>0.0</v>
      </c>
      <c r="DU38" s="476">
        <v>0.0</v>
      </c>
      <c r="DV38" s="476">
        <v>0.0</v>
      </c>
      <c r="DW38" s="476">
        <v>0.0</v>
      </c>
      <c r="DX38" s="476">
        <v>0.0</v>
      </c>
      <c r="DY38" s="476">
        <v>0.0</v>
      </c>
      <c r="DZ38" s="476">
        <v>0.0</v>
      </c>
      <c r="EA38" s="476">
        <v>0.0</v>
      </c>
      <c r="EB38" s="476">
        <v>0.0</v>
      </c>
      <c r="EC38" s="476">
        <v>0.0</v>
      </c>
      <c r="ED38" s="476">
        <v>0.0</v>
      </c>
      <c r="EE38" s="476">
        <v>0.0</v>
      </c>
      <c r="EF38" s="476">
        <v>0.0</v>
      </c>
      <c r="EG38" s="476">
        <v>0.0</v>
      </c>
      <c r="EH38" s="476">
        <v>0.0</v>
      </c>
      <c r="EI38" s="476">
        <v>0.0</v>
      </c>
      <c r="EJ38" s="476">
        <v>0.0</v>
      </c>
      <c r="EK38" s="476">
        <v>0.0</v>
      </c>
      <c r="EL38" s="476">
        <v>0.0</v>
      </c>
      <c r="EM38" s="476">
        <v>0.0</v>
      </c>
      <c r="EN38" s="476">
        <v>0.0</v>
      </c>
      <c r="EO38" s="476">
        <v>0.0</v>
      </c>
      <c r="EP38" s="476">
        <v>0.0</v>
      </c>
      <c r="EQ38" s="476">
        <v>0.0</v>
      </c>
      <c r="ER38" s="476">
        <v>0.0</v>
      </c>
      <c r="ES38" s="476">
        <v>0.0</v>
      </c>
      <c r="ET38" s="476">
        <v>0.0</v>
      </c>
      <c r="EU38" s="476">
        <v>0.0</v>
      </c>
      <c r="EV38" s="476">
        <v>0.0</v>
      </c>
      <c r="EW38" s="476">
        <v>0.0</v>
      </c>
      <c r="EX38" s="476">
        <v>0.0</v>
      </c>
      <c r="EY38" s="476">
        <v>0.0</v>
      </c>
      <c r="EZ38" s="476">
        <v>0.0</v>
      </c>
      <c r="FA38" s="508">
        <f>IFERROR(__xludf.DUMMYFUNCTION("INDIRECT(CONCATENATE(""'"",INDEX(SPLIT($D38,""D""),1),""D"",INDEX(SPLIT($D38,""D""),2)+$E38*(COLUMN()-COLUMN($BR38))))"),314616.0)</f>
        <v>314616</v>
      </c>
      <c r="FB38" s="508">
        <f>IFERROR(__xludf.DUMMYFUNCTION("INDIRECT(CONCATENATE(""'"",INDEX(SPLIT($D38,""D""),1),""D"",INDEX(SPLIT($D38,""D""),2)+$E38*(COLUMN()-COLUMN($BR38))))"),302319.0)</f>
        <v>302319</v>
      </c>
      <c r="FC38" s="508">
        <f>IFERROR(__xludf.DUMMYFUNCTION("INDIRECT(CONCATENATE(""'"",INDEX(SPLIT($D38,""D""),1),""D"",INDEX(SPLIT($D38,""D""),2)+$E38*(COLUMN()-COLUMN($BR38))))"),289998.0)</f>
        <v>289998</v>
      </c>
      <c r="FD38" s="508">
        <f>IFERROR(__xludf.DUMMYFUNCTION("INDIRECT(CONCATENATE(""'"",INDEX(SPLIT($D38,""D""),1),""D"",INDEX(SPLIT($D38,""D""),2)+$E38*(COLUMN()-COLUMN($BR38))))"),277654.0)</f>
        <v>277654</v>
      </c>
      <c r="FE38" s="508">
        <f>IFERROR(__xludf.DUMMYFUNCTION("INDIRECT(CONCATENATE(""'"",INDEX(SPLIT($D38,""D""),1),""D"",INDEX(SPLIT($D38,""D""),2)+$E38*(COLUMN()-COLUMN($BR38))))"),265286.0)</f>
        <v>265286</v>
      </c>
      <c r="FF38" s="508">
        <f>IFERROR(__xludf.DUMMYFUNCTION("INDIRECT(CONCATENATE(""'"",INDEX(SPLIT($D38,""D""),1),""D"",INDEX(SPLIT($D38,""D""),2)+$E38*(COLUMN()-COLUMN($BR38))))"),252894.0)</f>
        <v>252894</v>
      </c>
      <c r="FG38" s="508">
        <f>IFERROR(__xludf.DUMMYFUNCTION("INDIRECT(CONCATENATE(""'"",INDEX(SPLIT($D38,""D""),1),""D"",INDEX(SPLIT($D38,""D""),2)+$E38*(COLUMN()-COLUMN($BR38))))"),240479.0)</f>
        <v>240479</v>
      </c>
      <c r="FH38" s="508">
        <f>IFERROR(__xludf.DUMMYFUNCTION("INDIRECT(CONCATENATE(""'"",INDEX(SPLIT($D38,""D""),1),""D"",INDEX(SPLIT($D38,""D""),2)+$E38*(COLUMN()-COLUMN($BR38))))"),228040.0)</f>
        <v>228040</v>
      </c>
      <c r="FI38" s="508">
        <f>IFERROR(__xludf.DUMMYFUNCTION("INDIRECT(CONCATENATE(""'"",INDEX(SPLIT($D38,""D""),1),""D"",INDEX(SPLIT($D38,""D""),2)+$E38*(COLUMN()-COLUMN($BR38))))"),215577.0)</f>
        <v>215577</v>
      </c>
      <c r="FJ38" s="508">
        <f>IFERROR(__xludf.DUMMYFUNCTION("INDIRECT(CONCATENATE(""'"",INDEX(SPLIT($D38,""D""),1),""D"",INDEX(SPLIT($D38,""D""),2)+$E38*(COLUMN()-COLUMN($BR38))))"),203090.0)</f>
        <v>203090</v>
      </c>
      <c r="FK38" s="508">
        <f>IFERROR(__xludf.DUMMYFUNCTION("INDIRECT(CONCATENATE(""'"",INDEX(SPLIT($D38,""D""),1),""D"",INDEX(SPLIT($D38,""D""),2)+$E38*(COLUMN()-COLUMN($BR38))))"),190579.0)</f>
        <v>190579</v>
      </c>
      <c r="FL38" s="508">
        <f>IFERROR(__xludf.DUMMYFUNCTION("INDIRECT(CONCATENATE(""'"",INDEX(SPLIT($D38,""D""),1),""D"",INDEX(SPLIT($D38,""D""),2)+$E38*(COLUMN()-COLUMN($BR38))))"),178044.0)</f>
        <v>178044</v>
      </c>
      <c r="FM38" s="508">
        <f>IFERROR(__xludf.DUMMYFUNCTION("INDIRECT(CONCATENATE(""'"",INDEX(SPLIT($D38,""D""),1),""D"",INDEX(SPLIT($D38,""D""),2)+$E38*(COLUMN()-COLUMN($BR38))))"),165485.0)</f>
        <v>165485</v>
      </c>
      <c r="FN38" s="508">
        <f>IFERROR(__xludf.DUMMYFUNCTION("INDIRECT(CONCATENATE(""'"",INDEX(SPLIT($D38,""D""),1),""D"",INDEX(SPLIT($D38,""D""),2)+$E38*(COLUMN()-COLUMN($BR38))))"),152902.0)</f>
        <v>152902</v>
      </c>
      <c r="FO38" s="508">
        <f>IFERROR(__xludf.DUMMYFUNCTION("INDIRECT(CONCATENATE(""'"",INDEX(SPLIT($D38,""D""),1),""D"",INDEX(SPLIT($D38,""D""),2)+$E38*(COLUMN()-COLUMN($BR38))))"),140295.0)</f>
        <v>140295</v>
      </c>
      <c r="FP38" s="508">
        <f>IFERROR(__xludf.DUMMYFUNCTION("INDIRECT(CONCATENATE(""'"",INDEX(SPLIT($D38,""D""),1),""D"",INDEX(SPLIT($D38,""D""),2)+$E38*(COLUMN()-COLUMN($BR38))))"),127664.0)</f>
        <v>127664</v>
      </c>
      <c r="FQ38" s="508">
        <f>IFERROR(__xludf.DUMMYFUNCTION("INDIRECT(CONCATENATE(""'"",INDEX(SPLIT($D38,""D""),1),""D"",INDEX(SPLIT($D38,""D""),2)+$E38*(COLUMN()-COLUMN($BR38))))"),115009.0)</f>
        <v>115009</v>
      </c>
      <c r="FR38" s="508">
        <f>IFERROR(__xludf.DUMMYFUNCTION("INDIRECT(CONCATENATE(""'"",INDEX(SPLIT($D38,""D""),1),""D"",INDEX(SPLIT($D38,""D""),2)+$E38*(COLUMN()-COLUMN($BR38))))"),102329.0)</f>
        <v>102329</v>
      </c>
      <c r="FS38" s="508">
        <f>IFERROR(__xludf.DUMMYFUNCTION("INDIRECT(CONCATENATE(""'"",INDEX(SPLIT($D38,""D""),1),""D"",INDEX(SPLIT($D38,""D""),2)+$E38*(COLUMN()-COLUMN($BR38))))"),89625.0)</f>
        <v>89625</v>
      </c>
      <c r="FT38" s="508">
        <f>IFERROR(__xludf.DUMMYFUNCTION("INDIRECT(CONCATENATE(""'"",INDEX(SPLIT($D38,""D""),1),""D"",INDEX(SPLIT($D38,""D""),2)+$E38*(COLUMN()-COLUMN($BR38))))"),76897.0)</f>
        <v>76897</v>
      </c>
      <c r="FU38" s="508">
        <f>IFERROR(__xludf.DUMMYFUNCTION("INDIRECT(CONCATENATE(""'"",INDEX(SPLIT($D38,""D""),1),""D"",INDEX(SPLIT($D38,""D""),2)+$E38*(COLUMN()-COLUMN($BR38))))"),64144.0)</f>
        <v>64144</v>
      </c>
      <c r="FV38" s="508">
        <f>IFERROR(__xludf.DUMMYFUNCTION("INDIRECT(CONCATENATE(""'"",INDEX(SPLIT($D38,""D""),1),""D"",INDEX(SPLIT($D38,""D""),2)+$E38*(COLUMN()-COLUMN($BR38))))"),51367.0)</f>
        <v>51367</v>
      </c>
      <c r="FW38" s="508">
        <f>IFERROR(__xludf.DUMMYFUNCTION("INDIRECT(CONCATENATE(""'"",INDEX(SPLIT($D38,""D""),1),""D"",INDEX(SPLIT($D38,""D""),2)+$E38*(COLUMN()-COLUMN($BR38))))"),38565.0)</f>
        <v>38565</v>
      </c>
      <c r="FX38" s="509">
        <f>IFERROR(__xludf.DUMMYFUNCTION("INDIRECT(CONCATENATE(""'"",INDEX(SPLIT($D38,""D""),1),""D"",INDEX(SPLIT($D38,""D""),2)+$E38*(COLUMN()-COLUMN($BR38))))"),25739.0)</f>
        <v>25739</v>
      </c>
    </row>
    <row r="39">
      <c r="A39" s="461" t="s">
        <v>697</v>
      </c>
      <c r="B39" s="15"/>
      <c r="C39" s="462"/>
      <c r="D39" s="443" t="s">
        <v>652</v>
      </c>
      <c r="E39" s="444" t="s">
        <v>652</v>
      </c>
      <c r="F39" s="445" t="s">
        <v>652</v>
      </c>
      <c r="G39" s="510">
        <f t="shared" ref="G39:FX39" si="4">G37+G38</f>
        <v>0</v>
      </c>
      <c r="H39" s="510">
        <f t="shared" si="4"/>
        <v>0</v>
      </c>
      <c r="I39" s="510">
        <f t="shared" si="4"/>
        <v>0</v>
      </c>
      <c r="J39" s="510">
        <f t="shared" si="4"/>
        <v>0</v>
      </c>
      <c r="K39" s="510">
        <f t="shared" si="4"/>
        <v>0</v>
      </c>
      <c r="L39" s="510">
        <f t="shared" si="4"/>
        <v>0</v>
      </c>
      <c r="M39" s="510">
        <f t="shared" si="4"/>
        <v>0</v>
      </c>
      <c r="N39" s="510">
        <f t="shared" si="4"/>
        <v>0</v>
      </c>
      <c r="O39" s="510">
        <f t="shared" si="4"/>
        <v>0</v>
      </c>
      <c r="P39" s="510">
        <f t="shared" si="4"/>
        <v>0</v>
      </c>
      <c r="Q39" s="510">
        <f t="shared" si="4"/>
        <v>0</v>
      </c>
      <c r="R39" s="510">
        <f t="shared" si="4"/>
        <v>0</v>
      </c>
      <c r="S39" s="510">
        <f t="shared" si="4"/>
        <v>0</v>
      </c>
      <c r="T39" s="510">
        <f t="shared" si="4"/>
        <v>0</v>
      </c>
      <c r="U39" s="510">
        <f t="shared" si="4"/>
        <v>0</v>
      </c>
      <c r="V39" s="510">
        <f t="shared" si="4"/>
        <v>0</v>
      </c>
      <c r="W39" s="510">
        <f t="shared" si="4"/>
        <v>0</v>
      </c>
      <c r="X39" s="510">
        <f t="shared" si="4"/>
        <v>0</v>
      </c>
      <c r="Y39" s="510">
        <f t="shared" si="4"/>
        <v>0</v>
      </c>
      <c r="Z39" s="510">
        <f t="shared" si="4"/>
        <v>0</v>
      </c>
      <c r="AA39" s="510">
        <f t="shared" si="4"/>
        <v>0</v>
      </c>
      <c r="AB39" s="510">
        <f t="shared" si="4"/>
        <v>0</v>
      </c>
      <c r="AC39" s="510">
        <f t="shared" si="4"/>
        <v>0</v>
      </c>
      <c r="AD39" s="510">
        <f t="shared" si="4"/>
        <v>0</v>
      </c>
      <c r="AE39" s="510">
        <f t="shared" si="4"/>
        <v>0</v>
      </c>
      <c r="AF39" s="510">
        <f t="shared" si="4"/>
        <v>0</v>
      </c>
      <c r="AG39" s="510">
        <f t="shared" si="4"/>
        <v>0</v>
      </c>
      <c r="AH39" s="510">
        <f t="shared" si="4"/>
        <v>0</v>
      </c>
      <c r="AI39" s="510">
        <f t="shared" si="4"/>
        <v>0</v>
      </c>
      <c r="AJ39" s="510">
        <f t="shared" si="4"/>
        <v>0</v>
      </c>
      <c r="AK39" s="510">
        <f t="shared" si="4"/>
        <v>0</v>
      </c>
      <c r="AL39" s="510">
        <f t="shared" si="4"/>
        <v>0</v>
      </c>
      <c r="AM39" s="510">
        <f t="shared" si="4"/>
        <v>0</v>
      </c>
      <c r="AN39" s="510">
        <f t="shared" si="4"/>
        <v>0</v>
      </c>
      <c r="AO39" s="510">
        <f t="shared" si="4"/>
        <v>0</v>
      </c>
      <c r="AP39" s="510">
        <f t="shared" si="4"/>
        <v>0</v>
      </c>
      <c r="AQ39" s="510">
        <f t="shared" si="4"/>
        <v>0</v>
      </c>
      <c r="AR39" s="510">
        <f t="shared" si="4"/>
        <v>0</v>
      </c>
      <c r="AS39" s="510">
        <f t="shared" si="4"/>
        <v>0</v>
      </c>
      <c r="AT39" s="510">
        <f t="shared" si="4"/>
        <v>0</v>
      </c>
      <c r="AU39" s="510">
        <f t="shared" si="4"/>
        <v>0</v>
      </c>
      <c r="AV39" s="510">
        <f t="shared" si="4"/>
        <v>0</v>
      </c>
      <c r="AW39" s="510">
        <f t="shared" si="4"/>
        <v>0</v>
      </c>
      <c r="AX39" s="510">
        <f t="shared" si="4"/>
        <v>0</v>
      </c>
      <c r="AY39" s="510">
        <f t="shared" si="4"/>
        <v>0</v>
      </c>
      <c r="AZ39" s="510">
        <f t="shared" si="4"/>
        <v>0</v>
      </c>
      <c r="BA39" s="510">
        <f t="shared" si="4"/>
        <v>0</v>
      </c>
      <c r="BB39" s="510">
        <f t="shared" si="4"/>
        <v>0</v>
      </c>
      <c r="BC39" s="510">
        <f t="shared" si="4"/>
        <v>0</v>
      </c>
      <c r="BD39" s="510">
        <f t="shared" si="4"/>
        <v>0</v>
      </c>
      <c r="BE39" s="510">
        <f t="shared" si="4"/>
        <v>0</v>
      </c>
      <c r="BF39" s="510">
        <f t="shared" si="4"/>
        <v>0</v>
      </c>
      <c r="BG39" s="510">
        <f t="shared" si="4"/>
        <v>0</v>
      </c>
      <c r="BH39" s="510">
        <f t="shared" si="4"/>
        <v>0</v>
      </c>
      <c r="BI39" s="510">
        <f t="shared" si="4"/>
        <v>0</v>
      </c>
      <c r="BJ39" s="510">
        <f t="shared" si="4"/>
        <v>0</v>
      </c>
      <c r="BK39" s="510">
        <f t="shared" si="4"/>
        <v>0</v>
      </c>
      <c r="BL39" s="510">
        <f t="shared" si="4"/>
        <v>0</v>
      </c>
      <c r="BM39" s="510">
        <f t="shared" si="4"/>
        <v>0</v>
      </c>
      <c r="BN39" s="510">
        <f t="shared" si="4"/>
        <v>0</v>
      </c>
      <c r="BO39" s="510">
        <f t="shared" si="4"/>
        <v>0</v>
      </c>
      <c r="BP39" s="510">
        <f t="shared" si="4"/>
        <v>0</v>
      </c>
      <c r="BQ39" s="510">
        <f t="shared" si="4"/>
        <v>0</v>
      </c>
      <c r="BR39" s="510">
        <f t="shared" si="4"/>
        <v>0</v>
      </c>
      <c r="BS39" s="511">
        <f t="shared" si="4"/>
        <v>500000</v>
      </c>
      <c r="BT39" s="511">
        <f t="shared" si="4"/>
        <v>494449</v>
      </c>
      <c r="BU39" s="511">
        <f t="shared" si="4"/>
        <v>488889</v>
      </c>
      <c r="BV39" s="511">
        <f t="shared" si="4"/>
        <v>483320</v>
      </c>
      <c r="BW39" s="511">
        <f t="shared" si="4"/>
        <v>477772</v>
      </c>
      <c r="BX39" s="511">
        <f t="shared" si="4"/>
        <v>472208.551</v>
      </c>
      <c r="BY39" s="511">
        <f t="shared" si="4"/>
        <v>466635.2269</v>
      </c>
      <c r="BZ39" s="511">
        <f t="shared" si="4"/>
        <v>461052.0101</v>
      </c>
      <c r="CA39" s="511">
        <f t="shared" si="4"/>
        <v>455458.8831</v>
      </c>
      <c r="CB39" s="511">
        <f t="shared" si="4"/>
        <v>449855.8283</v>
      </c>
      <c r="CC39" s="511">
        <f t="shared" si="4"/>
        <v>522799.8281</v>
      </c>
      <c r="CD39" s="511">
        <f t="shared" si="4"/>
        <v>438619.8648</v>
      </c>
      <c r="CE39" s="511">
        <f t="shared" si="4"/>
        <v>432986.9208</v>
      </c>
      <c r="CF39" s="511">
        <f t="shared" si="4"/>
        <v>427343.9783</v>
      </c>
      <c r="CG39" s="511">
        <f t="shared" si="4"/>
        <v>421691.0196</v>
      </c>
      <c r="CH39" s="511">
        <f t="shared" si="4"/>
        <v>416028.0269</v>
      </c>
      <c r="CI39" s="511">
        <f t="shared" si="4"/>
        <v>410354.9823</v>
      </c>
      <c r="CJ39" s="511">
        <f t="shared" si="4"/>
        <v>404671.8681</v>
      </c>
      <c r="CK39" s="511">
        <f t="shared" si="4"/>
        <v>398978.6664</v>
      </c>
      <c r="CL39" s="511">
        <f t="shared" si="4"/>
        <v>393275.3592</v>
      </c>
      <c r="CM39" s="511">
        <f t="shared" si="4"/>
        <v>187569</v>
      </c>
      <c r="CN39" s="511">
        <f t="shared" si="4"/>
        <v>184798.9533</v>
      </c>
      <c r="CO39" s="512">
        <f t="shared" si="4"/>
        <v>182023.9897</v>
      </c>
      <c r="CP39" s="510">
        <f t="shared" si="4"/>
        <v>0</v>
      </c>
      <c r="CQ39" s="510">
        <f t="shared" si="4"/>
        <v>459315</v>
      </c>
      <c r="CR39" s="510">
        <f t="shared" si="4"/>
        <v>0</v>
      </c>
      <c r="CS39" s="510">
        <f t="shared" si="4"/>
        <v>0</v>
      </c>
      <c r="CT39" s="510">
        <f t="shared" si="4"/>
        <v>0</v>
      </c>
      <c r="CU39" s="510">
        <f t="shared" si="4"/>
        <v>0</v>
      </c>
      <c r="CV39" s="510">
        <f t="shared" si="4"/>
        <v>0</v>
      </c>
      <c r="CW39" s="510">
        <f t="shared" si="4"/>
        <v>0</v>
      </c>
      <c r="CX39" s="510">
        <f t="shared" si="4"/>
        <v>0</v>
      </c>
      <c r="CY39" s="510">
        <f t="shared" si="4"/>
        <v>0</v>
      </c>
      <c r="CZ39" s="510">
        <f t="shared" si="4"/>
        <v>0</v>
      </c>
      <c r="DA39" s="510">
        <f t="shared" si="4"/>
        <v>0</v>
      </c>
      <c r="DB39" s="510">
        <f t="shared" si="4"/>
        <v>0</v>
      </c>
      <c r="DC39" s="510">
        <f t="shared" si="4"/>
        <v>0</v>
      </c>
      <c r="DD39" s="510">
        <f t="shared" si="4"/>
        <v>0</v>
      </c>
      <c r="DE39" s="510">
        <f t="shared" si="4"/>
        <v>0</v>
      </c>
      <c r="DF39" s="510">
        <f t="shared" si="4"/>
        <v>0</v>
      </c>
      <c r="DG39" s="510">
        <f t="shared" si="4"/>
        <v>0</v>
      </c>
      <c r="DH39" s="510">
        <f t="shared" si="4"/>
        <v>0</v>
      </c>
      <c r="DI39" s="510">
        <f t="shared" si="4"/>
        <v>0</v>
      </c>
      <c r="DJ39" s="510">
        <f t="shared" si="4"/>
        <v>0</v>
      </c>
      <c r="DK39" s="510">
        <f t="shared" si="4"/>
        <v>0</v>
      </c>
      <c r="DL39" s="510">
        <f t="shared" si="4"/>
        <v>0</v>
      </c>
      <c r="DM39" s="510">
        <f t="shared" si="4"/>
        <v>0</v>
      </c>
      <c r="DN39" s="510">
        <f t="shared" si="4"/>
        <v>0</v>
      </c>
      <c r="DO39" s="510">
        <f t="shared" si="4"/>
        <v>0</v>
      </c>
      <c r="DP39" s="510">
        <f t="shared" si="4"/>
        <v>0</v>
      </c>
      <c r="DQ39" s="510">
        <f t="shared" si="4"/>
        <v>0</v>
      </c>
      <c r="DR39" s="510">
        <f t="shared" si="4"/>
        <v>0</v>
      </c>
      <c r="DS39" s="510">
        <f t="shared" si="4"/>
        <v>0</v>
      </c>
      <c r="DT39" s="510">
        <f t="shared" si="4"/>
        <v>0</v>
      </c>
      <c r="DU39" s="510">
        <f t="shared" si="4"/>
        <v>0</v>
      </c>
      <c r="DV39" s="510">
        <f t="shared" si="4"/>
        <v>0</v>
      </c>
      <c r="DW39" s="510">
        <f t="shared" si="4"/>
        <v>0</v>
      </c>
      <c r="DX39" s="510">
        <f t="shared" si="4"/>
        <v>0</v>
      </c>
      <c r="DY39" s="510">
        <f t="shared" si="4"/>
        <v>0</v>
      </c>
      <c r="DZ39" s="510">
        <f t="shared" si="4"/>
        <v>0</v>
      </c>
      <c r="EA39" s="510">
        <f t="shared" si="4"/>
        <v>0</v>
      </c>
      <c r="EB39" s="510">
        <f t="shared" si="4"/>
        <v>0</v>
      </c>
      <c r="EC39" s="510">
        <f t="shared" si="4"/>
        <v>0</v>
      </c>
      <c r="ED39" s="510">
        <f t="shared" si="4"/>
        <v>0</v>
      </c>
      <c r="EE39" s="510">
        <f t="shared" si="4"/>
        <v>0</v>
      </c>
      <c r="EF39" s="510">
        <f t="shared" si="4"/>
        <v>0</v>
      </c>
      <c r="EG39" s="510">
        <f t="shared" si="4"/>
        <v>0</v>
      </c>
      <c r="EH39" s="510">
        <f t="shared" si="4"/>
        <v>0</v>
      </c>
      <c r="EI39" s="510">
        <f t="shared" si="4"/>
        <v>0</v>
      </c>
      <c r="EJ39" s="510">
        <f t="shared" si="4"/>
        <v>0</v>
      </c>
      <c r="EK39" s="510">
        <f t="shared" si="4"/>
        <v>0</v>
      </c>
      <c r="EL39" s="510">
        <f t="shared" si="4"/>
        <v>0</v>
      </c>
      <c r="EM39" s="510">
        <f t="shared" si="4"/>
        <v>0</v>
      </c>
      <c r="EN39" s="510">
        <f t="shared" si="4"/>
        <v>0</v>
      </c>
      <c r="EO39" s="510">
        <f t="shared" si="4"/>
        <v>0</v>
      </c>
      <c r="EP39" s="510">
        <f t="shared" si="4"/>
        <v>0</v>
      </c>
      <c r="EQ39" s="510">
        <f t="shared" si="4"/>
        <v>0</v>
      </c>
      <c r="ER39" s="510">
        <f t="shared" si="4"/>
        <v>0</v>
      </c>
      <c r="ES39" s="510">
        <f t="shared" si="4"/>
        <v>0</v>
      </c>
      <c r="ET39" s="510">
        <f t="shared" si="4"/>
        <v>0</v>
      </c>
      <c r="EU39" s="510">
        <f t="shared" si="4"/>
        <v>0</v>
      </c>
      <c r="EV39" s="510">
        <f t="shared" si="4"/>
        <v>0</v>
      </c>
      <c r="EW39" s="510">
        <f t="shared" si="4"/>
        <v>0</v>
      </c>
      <c r="EX39" s="510">
        <f t="shared" si="4"/>
        <v>0</v>
      </c>
      <c r="EY39" s="510">
        <f t="shared" si="4"/>
        <v>0</v>
      </c>
      <c r="EZ39" s="510">
        <f t="shared" si="4"/>
        <v>0</v>
      </c>
      <c r="FA39" s="511">
        <f t="shared" si="4"/>
        <v>314616</v>
      </c>
      <c r="FB39" s="511">
        <f t="shared" si="4"/>
        <v>302319</v>
      </c>
      <c r="FC39" s="511">
        <f t="shared" si="4"/>
        <v>289998</v>
      </c>
      <c r="FD39" s="511">
        <f t="shared" si="4"/>
        <v>277654</v>
      </c>
      <c r="FE39" s="511">
        <f t="shared" si="4"/>
        <v>265286</v>
      </c>
      <c r="FF39" s="511">
        <f t="shared" si="4"/>
        <v>252894</v>
      </c>
      <c r="FG39" s="511">
        <f t="shared" si="4"/>
        <v>240479</v>
      </c>
      <c r="FH39" s="511">
        <f t="shared" si="4"/>
        <v>228040</v>
      </c>
      <c r="FI39" s="511">
        <f t="shared" si="4"/>
        <v>215577</v>
      </c>
      <c r="FJ39" s="511">
        <f t="shared" si="4"/>
        <v>203090</v>
      </c>
      <c r="FK39" s="511">
        <f t="shared" si="4"/>
        <v>190579</v>
      </c>
      <c r="FL39" s="511">
        <f t="shared" si="4"/>
        <v>256601</v>
      </c>
      <c r="FM39" s="511">
        <f t="shared" si="4"/>
        <v>165485</v>
      </c>
      <c r="FN39" s="511">
        <f t="shared" si="4"/>
        <v>152902</v>
      </c>
      <c r="FO39" s="511">
        <f t="shared" si="4"/>
        <v>140295</v>
      </c>
      <c r="FP39" s="511">
        <f t="shared" si="4"/>
        <v>127664</v>
      </c>
      <c r="FQ39" s="511">
        <f t="shared" si="4"/>
        <v>115009</v>
      </c>
      <c r="FR39" s="511">
        <f t="shared" si="4"/>
        <v>102329</v>
      </c>
      <c r="FS39" s="511">
        <f t="shared" si="4"/>
        <v>89625</v>
      </c>
      <c r="FT39" s="511">
        <f t="shared" si="4"/>
        <v>76897</v>
      </c>
      <c r="FU39" s="511">
        <f t="shared" si="4"/>
        <v>64144</v>
      </c>
      <c r="FV39" s="511">
        <f t="shared" si="4"/>
        <v>51367</v>
      </c>
      <c r="FW39" s="511">
        <f t="shared" si="4"/>
        <v>38565</v>
      </c>
      <c r="FX39" s="512">
        <f t="shared" si="4"/>
        <v>25739</v>
      </c>
    </row>
    <row r="40">
      <c r="A40" s="513" t="s">
        <v>698</v>
      </c>
      <c r="B40" s="15"/>
      <c r="C40" s="462"/>
      <c r="D40" s="443" t="s">
        <v>652</v>
      </c>
      <c r="E40" s="444" t="s">
        <v>652</v>
      </c>
      <c r="F40" s="445" t="s">
        <v>652</v>
      </c>
      <c r="G40" s="505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8"/>
      <c r="AU40" s="448"/>
      <c r="AV40" s="448"/>
      <c r="AW40" s="448"/>
      <c r="AX40" s="448"/>
      <c r="AY40" s="448"/>
      <c r="AZ40" s="448"/>
      <c r="BA40" s="448"/>
      <c r="BB40" s="448"/>
      <c r="BC40" s="448"/>
      <c r="BD40" s="448"/>
      <c r="BE40" s="448"/>
      <c r="BF40" s="448"/>
      <c r="BG40" s="448"/>
      <c r="BH40" s="448"/>
      <c r="BI40" s="448"/>
      <c r="BJ40" s="448"/>
      <c r="BK40" s="448"/>
      <c r="BL40" s="448"/>
      <c r="BM40" s="448"/>
      <c r="BN40" s="448"/>
      <c r="BO40" s="448"/>
      <c r="BP40" s="448"/>
      <c r="BQ40" s="448"/>
      <c r="BR40" s="448"/>
      <c r="BS40" s="448"/>
      <c r="BT40" s="448"/>
      <c r="BU40" s="448"/>
      <c r="BV40" s="448"/>
      <c r="BW40" s="448"/>
      <c r="BX40" s="448"/>
      <c r="BY40" s="448"/>
      <c r="BZ40" s="448"/>
      <c r="CA40" s="448"/>
      <c r="CB40" s="448"/>
      <c r="CC40" s="448"/>
      <c r="CD40" s="449"/>
      <c r="CE40" s="449"/>
      <c r="CF40" s="449"/>
      <c r="CG40" s="449"/>
      <c r="CH40" s="449"/>
      <c r="CI40" s="449"/>
      <c r="CJ40" s="449"/>
      <c r="CK40" s="449"/>
      <c r="CL40" s="449"/>
      <c r="CM40" s="449"/>
      <c r="CN40" s="449"/>
      <c r="CO40" s="450"/>
      <c r="CP40" s="505"/>
      <c r="CQ40" s="447"/>
      <c r="CR40" s="447"/>
      <c r="CS40" s="447"/>
      <c r="CT40" s="447"/>
      <c r="CU40" s="447"/>
      <c r="CV40" s="447"/>
      <c r="CW40" s="447"/>
      <c r="CX40" s="447"/>
      <c r="CY40" s="447"/>
      <c r="CZ40" s="447"/>
      <c r="DA40" s="447"/>
      <c r="DB40" s="447"/>
      <c r="DC40" s="447"/>
      <c r="DD40" s="447"/>
      <c r="DE40" s="447"/>
      <c r="DF40" s="447"/>
      <c r="DG40" s="447"/>
      <c r="DH40" s="447"/>
      <c r="DI40" s="447"/>
      <c r="DJ40" s="447"/>
      <c r="DK40" s="447"/>
      <c r="DL40" s="447"/>
      <c r="DM40" s="447"/>
      <c r="DN40" s="447"/>
      <c r="DO40" s="447"/>
      <c r="DP40" s="447"/>
      <c r="DQ40" s="447"/>
      <c r="DR40" s="447"/>
      <c r="DS40" s="447"/>
      <c r="DT40" s="447"/>
      <c r="DU40" s="447"/>
      <c r="DV40" s="447"/>
      <c r="DW40" s="447"/>
      <c r="DX40" s="447"/>
      <c r="DY40" s="447"/>
      <c r="DZ40" s="447"/>
      <c r="EA40" s="447"/>
      <c r="EB40" s="447"/>
      <c r="EC40" s="448"/>
      <c r="ED40" s="448"/>
      <c r="EE40" s="448"/>
      <c r="EF40" s="448"/>
      <c r="EG40" s="448"/>
      <c r="EH40" s="448"/>
      <c r="EI40" s="448"/>
      <c r="EJ40" s="448"/>
      <c r="EK40" s="448"/>
      <c r="EL40" s="448"/>
      <c r="EM40" s="448"/>
      <c r="EN40" s="448"/>
      <c r="EO40" s="448"/>
      <c r="EP40" s="448"/>
      <c r="EQ40" s="448"/>
      <c r="ER40" s="448"/>
      <c r="ES40" s="448"/>
      <c r="ET40" s="448"/>
      <c r="EU40" s="448"/>
      <c r="EV40" s="448"/>
      <c r="EW40" s="448"/>
      <c r="EX40" s="448"/>
      <c r="EY40" s="448"/>
      <c r="EZ40" s="448"/>
      <c r="FA40" s="448"/>
      <c r="FB40" s="448"/>
      <c r="FC40" s="448"/>
      <c r="FD40" s="448"/>
      <c r="FE40" s="448"/>
      <c r="FF40" s="448"/>
      <c r="FG40" s="448"/>
      <c r="FH40" s="448"/>
      <c r="FI40" s="448"/>
      <c r="FJ40" s="448"/>
      <c r="FK40" s="448"/>
      <c r="FL40" s="448"/>
      <c r="FM40" s="449"/>
      <c r="FN40" s="449"/>
      <c r="FO40" s="449"/>
      <c r="FP40" s="449"/>
      <c r="FQ40" s="449"/>
      <c r="FR40" s="449"/>
      <c r="FS40" s="449"/>
      <c r="FT40" s="449"/>
      <c r="FU40" s="449"/>
      <c r="FV40" s="449"/>
      <c r="FW40" s="449"/>
      <c r="FX40" s="450"/>
    </row>
    <row r="41">
      <c r="A41" s="466" t="s">
        <v>699</v>
      </c>
      <c r="B41" s="15"/>
      <c r="C41" s="462"/>
      <c r="D41" s="443" t="s">
        <v>652</v>
      </c>
      <c r="E41" s="444" t="s">
        <v>652</v>
      </c>
      <c r="F41" s="445" t="s">
        <v>652</v>
      </c>
      <c r="G41" s="514">
        <f t="shared" ref="G41:FX41" si="5">G34-G39</f>
        <v>0</v>
      </c>
      <c r="H41" s="464">
        <f t="shared" si="5"/>
        <v>0</v>
      </c>
      <c r="I41" s="464">
        <f t="shared" si="5"/>
        <v>0</v>
      </c>
      <c r="J41" s="464">
        <f t="shared" si="5"/>
        <v>0</v>
      </c>
      <c r="K41" s="464">
        <f t="shared" si="5"/>
        <v>0</v>
      </c>
      <c r="L41" s="464">
        <f t="shared" si="5"/>
        <v>0</v>
      </c>
      <c r="M41" s="464">
        <f t="shared" si="5"/>
        <v>0</v>
      </c>
      <c r="N41" s="464">
        <f t="shared" si="5"/>
        <v>0</v>
      </c>
      <c r="O41" s="464">
        <f t="shared" si="5"/>
        <v>0</v>
      </c>
      <c r="P41" s="464">
        <f t="shared" si="5"/>
        <v>0</v>
      </c>
      <c r="Q41" s="464">
        <f t="shared" si="5"/>
        <v>0</v>
      </c>
      <c r="R41" s="464">
        <f t="shared" si="5"/>
        <v>0</v>
      </c>
      <c r="S41" s="464">
        <f t="shared" si="5"/>
        <v>0</v>
      </c>
      <c r="T41" s="464">
        <f t="shared" si="5"/>
        <v>0</v>
      </c>
      <c r="U41" s="464">
        <f t="shared" si="5"/>
        <v>0</v>
      </c>
      <c r="V41" s="464">
        <f t="shared" si="5"/>
        <v>0</v>
      </c>
      <c r="W41" s="464">
        <f t="shared" si="5"/>
        <v>0</v>
      </c>
      <c r="X41" s="464">
        <f t="shared" si="5"/>
        <v>0</v>
      </c>
      <c r="Y41" s="464">
        <f t="shared" si="5"/>
        <v>0</v>
      </c>
      <c r="Z41" s="464">
        <f t="shared" si="5"/>
        <v>0</v>
      </c>
      <c r="AA41" s="464">
        <f t="shared" si="5"/>
        <v>0</v>
      </c>
      <c r="AB41" s="464">
        <f t="shared" si="5"/>
        <v>0</v>
      </c>
      <c r="AC41" s="464">
        <f t="shared" si="5"/>
        <v>0</v>
      </c>
      <c r="AD41" s="464">
        <f t="shared" si="5"/>
        <v>0</v>
      </c>
      <c r="AE41" s="464">
        <f t="shared" si="5"/>
        <v>0</v>
      </c>
      <c r="AF41" s="464">
        <f t="shared" si="5"/>
        <v>0</v>
      </c>
      <c r="AG41" s="464">
        <f t="shared" si="5"/>
        <v>0</v>
      </c>
      <c r="AH41" s="464">
        <f t="shared" si="5"/>
        <v>0</v>
      </c>
      <c r="AI41" s="464">
        <f t="shared" si="5"/>
        <v>0</v>
      </c>
      <c r="AJ41" s="464">
        <f t="shared" si="5"/>
        <v>0</v>
      </c>
      <c r="AK41" s="464">
        <f t="shared" si="5"/>
        <v>0</v>
      </c>
      <c r="AL41" s="464">
        <f t="shared" si="5"/>
        <v>0</v>
      </c>
      <c r="AM41" s="464">
        <f t="shared" si="5"/>
        <v>0</v>
      </c>
      <c r="AN41" s="464">
        <f t="shared" si="5"/>
        <v>0</v>
      </c>
      <c r="AO41" s="464">
        <f t="shared" si="5"/>
        <v>0</v>
      </c>
      <c r="AP41" s="464">
        <f t="shared" si="5"/>
        <v>0</v>
      </c>
      <c r="AQ41" s="464">
        <f t="shared" si="5"/>
        <v>0</v>
      </c>
      <c r="AR41" s="464">
        <f t="shared" si="5"/>
        <v>0</v>
      </c>
      <c r="AS41" s="464">
        <f t="shared" si="5"/>
        <v>0</v>
      </c>
      <c r="AT41" s="464">
        <f t="shared" si="5"/>
        <v>0</v>
      </c>
      <c r="AU41" s="464">
        <f t="shared" si="5"/>
        <v>0</v>
      </c>
      <c r="AV41" s="464">
        <f t="shared" si="5"/>
        <v>0</v>
      </c>
      <c r="AW41" s="464">
        <f t="shared" si="5"/>
        <v>0</v>
      </c>
      <c r="AX41" s="464">
        <f t="shared" si="5"/>
        <v>0</v>
      </c>
      <c r="AY41" s="464">
        <f t="shared" si="5"/>
        <v>0</v>
      </c>
      <c r="AZ41" s="464">
        <f t="shared" si="5"/>
        <v>0</v>
      </c>
      <c r="BA41" s="464">
        <f t="shared" si="5"/>
        <v>0</v>
      </c>
      <c r="BB41" s="464">
        <f t="shared" si="5"/>
        <v>0</v>
      </c>
      <c r="BC41" s="464">
        <f t="shared" si="5"/>
        <v>0</v>
      </c>
      <c r="BD41" s="464">
        <f t="shared" si="5"/>
        <v>0</v>
      </c>
      <c r="BE41" s="464">
        <f t="shared" si="5"/>
        <v>0</v>
      </c>
      <c r="BF41" s="464">
        <f t="shared" si="5"/>
        <v>0</v>
      </c>
      <c r="BG41" s="464">
        <f t="shared" si="5"/>
        <v>0</v>
      </c>
      <c r="BH41" s="464">
        <f t="shared" si="5"/>
        <v>0</v>
      </c>
      <c r="BI41" s="464">
        <f t="shared" si="5"/>
        <v>0</v>
      </c>
      <c r="BJ41" s="464">
        <f t="shared" si="5"/>
        <v>0</v>
      </c>
      <c r="BK41" s="464">
        <f t="shared" si="5"/>
        <v>0</v>
      </c>
      <c r="BL41" s="464">
        <f t="shared" si="5"/>
        <v>0</v>
      </c>
      <c r="BM41" s="464">
        <f t="shared" si="5"/>
        <v>0</v>
      </c>
      <c r="BN41" s="464">
        <f t="shared" si="5"/>
        <v>0</v>
      </c>
      <c r="BO41" s="464">
        <f t="shared" si="5"/>
        <v>0</v>
      </c>
      <c r="BP41" s="464">
        <f t="shared" si="5"/>
        <v>0</v>
      </c>
      <c r="BQ41" s="464">
        <f t="shared" si="5"/>
        <v>0</v>
      </c>
      <c r="BR41" s="464">
        <f t="shared" si="5"/>
        <v>764404</v>
      </c>
      <c r="BS41" s="464">
        <f t="shared" si="5"/>
        <v>251664</v>
      </c>
      <c r="BT41" s="464">
        <f t="shared" si="5"/>
        <v>244688</v>
      </c>
      <c r="BU41" s="464">
        <f t="shared" si="5"/>
        <v>1620798</v>
      </c>
      <c r="BV41" s="464">
        <f t="shared" si="5"/>
        <v>1667257</v>
      </c>
      <c r="BW41" s="464">
        <f t="shared" si="5"/>
        <v>1663981</v>
      </c>
      <c r="BX41" s="464">
        <f t="shared" si="5"/>
        <v>1710918.449</v>
      </c>
      <c r="BY41" s="464">
        <f t="shared" si="5"/>
        <v>1708061.773</v>
      </c>
      <c r="BZ41" s="464">
        <f t="shared" si="5"/>
        <v>1755405.99</v>
      </c>
      <c r="CA41" s="464">
        <f t="shared" si="5"/>
        <v>1749862.117</v>
      </c>
      <c r="CB41" s="464">
        <f t="shared" si="5"/>
        <v>1797601.172</v>
      </c>
      <c r="CC41" s="464">
        <f t="shared" si="5"/>
        <v>1716975.172</v>
      </c>
      <c r="CD41" s="464">
        <f t="shared" si="5"/>
        <v>1843653.135</v>
      </c>
      <c r="CE41" s="464">
        <f t="shared" si="5"/>
        <v>1841960.079</v>
      </c>
      <c r="CF41" s="464">
        <f t="shared" si="5"/>
        <v>1890451.022</v>
      </c>
      <c r="CG41" s="464">
        <f t="shared" si="5"/>
        <v>1889122.98</v>
      </c>
      <c r="CH41" s="464">
        <f t="shared" si="5"/>
        <v>1939000.973</v>
      </c>
      <c r="CI41" s="464">
        <f t="shared" si="5"/>
        <v>1939230.018</v>
      </c>
      <c r="CJ41" s="464">
        <f t="shared" si="5"/>
        <v>1989632.132</v>
      </c>
      <c r="CK41" s="464">
        <f t="shared" si="5"/>
        <v>1990203.334</v>
      </c>
      <c r="CL41" s="464">
        <f t="shared" si="5"/>
        <v>2040941.641</v>
      </c>
      <c r="CM41" s="464">
        <f t="shared" si="5"/>
        <v>2241837</v>
      </c>
      <c r="CN41" s="464">
        <f t="shared" si="5"/>
        <v>2289948.047</v>
      </c>
      <c r="CO41" s="465">
        <f t="shared" si="5"/>
        <v>2288213.01</v>
      </c>
      <c r="CP41" s="514">
        <f t="shared" si="5"/>
        <v>2510874</v>
      </c>
      <c r="CQ41" s="464">
        <f t="shared" si="5"/>
        <v>9473958.9</v>
      </c>
      <c r="CR41" s="464">
        <f t="shared" si="5"/>
        <v>2552578</v>
      </c>
      <c r="CS41" s="464">
        <f t="shared" si="5"/>
        <v>2548641</v>
      </c>
      <c r="CT41" s="464">
        <f t="shared" si="5"/>
        <v>2594841</v>
      </c>
      <c r="CU41" s="464">
        <f t="shared" si="5"/>
        <v>2591296</v>
      </c>
      <c r="CV41" s="464">
        <f t="shared" si="5"/>
        <v>2627883</v>
      </c>
      <c r="CW41" s="464">
        <f t="shared" si="5"/>
        <v>2620189</v>
      </c>
      <c r="CX41" s="464">
        <f t="shared" si="5"/>
        <v>2652623</v>
      </c>
      <c r="CY41" s="464">
        <f t="shared" si="5"/>
        <v>2645183</v>
      </c>
      <c r="CZ41" s="464">
        <f t="shared" si="5"/>
        <v>2677867</v>
      </c>
      <c r="DA41" s="464">
        <f t="shared" si="5"/>
        <v>2670673</v>
      </c>
      <c r="DB41" s="464">
        <f t="shared" si="5"/>
        <v>417414</v>
      </c>
      <c r="DC41" s="464">
        <f t="shared" si="5"/>
        <v>410458</v>
      </c>
      <c r="DD41" s="464">
        <f t="shared" si="5"/>
        <v>403618</v>
      </c>
      <c r="DE41" s="464">
        <f t="shared" si="5"/>
        <v>396892</v>
      </c>
      <c r="DF41" s="464">
        <f t="shared" si="5"/>
        <v>390278</v>
      </c>
      <c r="DG41" s="464">
        <f t="shared" si="5"/>
        <v>383774</v>
      </c>
      <c r="DH41" s="464">
        <f t="shared" si="5"/>
        <v>377379</v>
      </c>
      <c r="DI41" s="464">
        <f t="shared" si="5"/>
        <v>371090</v>
      </c>
      <c r="DJ41" s="464">
        <f t="shared" si="5"/>
        <v>364906</v>
      </c>
      <c r="DK41" s="464">
        <f t="shared" si="5"/>
        <v>358825</v>
      </c>
      <c r="DL41" s="464">
        <f t="shared" si="5"/>
        <v>352845</v>
      </c>
      <c r="DM41" s="464">
        <f t="shared" si="5"/>
        <v>346965</v>
      </c>
      <c r="DN41" s="464">
        <f t="shared" si="5"/>
        <v>-11662</v>
      </c>
      <c r="DO41" s="464">
        <f t="shared" si="5"/>
        <v>-17348</v>
      </c>
      <c r="DP41" s="464">
        <f t="shared" si="5"/>
        <v>-22939</v>
      </c>
      <c r="DQ41" s="464">
        <f t="shared" si="5"/>
        <v>-28437</v>
      </c>
      <c r="DR41" s="464">
        <f t="shared" si="5"/>
        <v>-33843</v>
      </c>
      <c r="DS41" s="464">
        <f t="shared" si="5"/>
        <v>-39159</v>
      </c>
      <c r="DT41" s="464">
        <f t="shared" si="5"/>
        <v>-44386</v>
      </c>
      <c r="DU41" s="464">
        <f t="shared" si="5"/>
        <v>-49526</v>
      </c>
      <c r="DV41" s="464">
        <f t="shared" si="5"/>
        <v>-54580</v>
      </c>
      <c r="DW41" s="464">
        <f t="shared" si="5"/>
        <v>-59550</v>
      </c>
      <c r="DX41" s="464">
        <f t="shared" si="5"/>
        <v>-64437</v>
      </c>
      <c r="DY41" s="464">
        <f t="shared" si="5"/>
        <v>-69243</v>
      </c>
      <c r="DZ41" s="464">
        <f t="shared" si="5"/>
        <v>-73969</v>
      </c>
      <c r="EA41" s="464">
        <f t="shared" si="5"/>
        <v>-78616</v>
      </c>
      <c r="EB41" s="464">
        <f t="shared" si="5"/>
        <v>-83186</v>
      </c>
      <c r="EC41" s="464">
        <f t="shared" si="5"/>
        <v>-87679</v>
      </c>
      <c r="ED41" s="464">
        <f t="shared" si="5"/>
        <v>-92097</v>
      </c>
      <c r="EE41" s="464">
        <f t="shared" si="5"/>
        <v>-96442</v>
      </c>
      <c r="EF41" s="464">
        <f t="shared" si="5"/>
        <v>-100714</v>
      </c>
      <c r="EG41" s="464">
        <f t="shared" si="5"/>
        <v>-104915</v>
      </c>
      <c r="EH41" s="464">
        <f t="shared" si="5"/>
        <v>-109046</v>
      </c>
      <c r="EI41" s="464">
        <f t="shared" si="5"/>
        <v>-113108</v>
      </c>
      <c r="EJ41" s="464">
        <f t="shared" si="5"/>
        <v>-117103</v>
      </c>
      <c r="EK41" s="464">
        <f t="shared" si="5"/>
        <v>-121031</v>
      </c>
      <c r="EL41" s="464">
        <f t="shared" si="5"/>
        <v>-124894</v>
      </c>
      <c r="EM41" s="464">
        <f t="shared" si="5"/>
        <v>-128692</v>
      </c>
      <c r="EN41" s="464">
        <f t="shared" si="5"/>
        <v>-132427</v>
      </c>
      <c r="EO41" s="464">
        <f t="shared" si="5"/>
        <v>-136100</v>
      </c>
      <c r="EP41" s="464">
        <f t="shared" si="5"/>
        <v>-139711</v>
      </c>
      <c r="EQ41" s="464">
        <f t="shared" si="5"/>
        <v>-143262</v>
      </c>
      <c r="ER41" s="464">
        <f t="shared" si="5"/>
        <v>-146754</v>
      </c>
      <c r="ES41" s="464">
        <f t="shared" si="5"/>
        <v>-150188</v>
      </c>
      <c r="ET41" s="464">
        <f t="shared" si="5"/>
        <v>-153565</v>
      </c>
      <c r="EU41" s="464">
        <f t="shared" si="5"/>
        <v>-156885</v>
      </c>
      <c r="EV41" s="464">
        <f t="shared" si="5"/>
        <v>-160150</v>
      </c>
      <c r="EW41" s="464">
        <f t="shared" si="5"/>
        <v>-163360</v>
      </c>
      <c r="EX41" s="464">
        <f t="shared" si="5"/>
        <v>-166517</v>
      </c>
      <c r="EY41" s="464">
        <f t="shared" si="5"/>
        <v>-169621</v>
      </c>
      <c r="EZ41" s="464">
        <f t="shared" si="5"/>
        <v>-172674</v>
      </c>
      <c r="FA41" s="464">
        <f t="shared" si="5"/>
        <v>-490292</v>
      </c>
      <c r="FB41" s="464">
        <f t="shared" si="5"/>
        <v>-480947</v>
      </c>
      <c r="FC41" s="464">
        <f t="shared" si="5"/>
        <v>-471528</v>
      </c>
      <c r="FD41" s="464">
        <f t="shared" si="5"/>
        <v>-462038</v>
      </c>
      <c r="FE41" s="464">
        <f t="shared" si="5"/>
        <v>-452476</v>
      </c>
      <c r="FF41" s="464">
        <f t="shared" si="5"/>
        <v>-442844</v>
      </c>
      <c r="FG41" s="464">
        <f t="shared" si="5"/>
        <v>-433143</v>
      </c>
      <c r="FH41" s="464">
        <f t="shared" si="5"/>
        <v>-423372</v>
      </c>
      <c r="FI41" s="464">
        <f t="shared" si="5"/>
        <v>-413533</v>
      </c>
      <c r="FJ41" s="464">
        <f t="shared" si="5"/>
        <v>-403626</v>
      </c>
      <c r="FK41" s="464">
        <f t="shared" si="5"/>
        <v>-393652</v>
      </c>
      <c r="FL41" s="464">
        <f t="shared" si="5"/>
        <v>-462169</v>
      </c>
      <c r="FM41" s="464">
        <f t="shared" si="5"/>
        <v>-373506</v>
      </c>
      <c r="FN41" s="464">
        <f t="shared" si="5"/>
        <v>-363335</v>
      </c>
      <c r="FO41" s="464">
        <f t="shared" si="5"/>
        <v>-353100</v>
      </c>
      <c r="FP41" s="464">
        <f t="shared" si="5"/>
        <v>-342802</v>
      </c>
      <c r="FQ41" s="464">
        <f t="shared" si="5"/>
        <v>-332441</v>
      </c>
      <c r="FR41" s="464">
        <f t="shared" si="5"/>
        <v>-322017</v>
      </c>
      <c r="FS41" s="464">
        <f t="shared" si="5"/>
        <v>-311531</v>
      </c>
      <c r="FT41" s="464">
        <f t="shared" si="5"/>
        <v>-300984</v>
      </c>
      <c r="FU41" s="464">
        <f t="shared" si="5"/>
        <v>-290376</v>
      </c>
      <c r="FV41" s="464">
        <f t="shared" si="5"/>
        <v>-279708</v>
      </c>
      <c r="FW41" s="464">
        <f t="shared" si="5"/>
        <v>-268980</v>
      </c>
      <c r="FX41" s="465">
        <f t="shared" si="5"/>
        <v>-258193</v>
      </c>
    </row>
    <row r="42">
      <c r="A42" s="515" t="s">
        <v>700</v>
      </c>
      <c r="B42" s="490"/>
      <c r="C42" s="491"/>
      <c r="D42" s="516" t="s">
        <v>652</v>
      </c>
      <c r="E42" s="517" t="s">
        <v>652</v>
      </c>
      <c r="F42" s="518" t="s">
        <v>652</v>
      </c>
      <c r="G42" s="519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1"/>
      <c r="AU42" s="521"/>
      <c r="AV42" s="521"/>
      <c r="AW42" s="521"/>
      <c r="AX42" s="521"/>
      <c r="AY42" s="521"/>
      <c r="AZ42" s="521"/>
      <c r="BA42" s="521"/>
      <c r="BB42" s="521"/>
      <c r="BC42" s="521"/>
      <c r="BD42" s="521"/>
      <c r="BE42" s="521"/>
      <c r="BF42" s="521"/>
      <c r="BG42" s="521"/>
      <c r="BH42" s="521"/>
      <c r="BI42" s="521"/>
      <c r="BJ42" s="521"/>
      <c r="BK42" s="521"/>
      <c r="BL42" s="521"/>
      <c r="BM42" s="521"/>
      <c r="BN42" s="521"/>
      <c r="BO42" s="521"/>
      <c r="BP42" s="521"/>
      <c r="BQ42" s="521"/>
      <c r="BR42" s="521"/>
      <c r="BS42" s="521"/>
      <c r="BT42" s="521"/>
      <c r="BU42" s="521"/>
      <c r="BV42" s="521"/>
      <c r="BW42" s="521"/>
      <c r="BX42" s="521"/>
      <c r="BY42" s="521"/>
      <c r="BZ42" s="521"/>
      <c r="CA42" s="521"/>
      <c r="CB42" s="521"/>
      <c r="CC42" s="521"/>
      <c r="CD42" s="522"/>
      <c r="CE42" s="522"/>
      <c r="CF42" s="522"/>
      <c r="CG42" s="522"/>
      <c r="CH42" s="522"/>
      <c r="CI42" s="522"/>
      <c r="CJ42" s="522"/>
      <c r="CK42" s="522"/>
      <c r="CL42" s="522"/>
      <c r="CM42" s="522"/>
      <c r="CN42" s="522"/>
      <c r="CO42" s="523"/>
      <c r="CP42" s="519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1"/>
      <c r="ED42" s="521"/>
      <c r="EE42" s="521"/>
      <c r="EF42" s="521"/>
      <c r="EG42" s="521"/>
      <c r="EH42" s="521"/>
      <c r="EI42" s="521"/>
      <c r="EJ42" s="521"/>
      <c r="EK42" s="521"/>
      <c r="EL42" s="521"/>
      <c r="EM42" s="521"/>
      <c r="EN42" s="521"/>
      <c r="EO42" s="521"/>
      <c r="EP42" s="521"/>
      <c r="EQ42" s="521"/>
      <c r="ER42" s="521"/>
      <c r="ES42" s="521"/>
      <c r="ET42" s="521"/>
      <c r="EU42" s="521"/>
      <c r="EV42" s="521"/>
      <c r="EW42" s="521"/>
      <c r="EX42" s="521"/>
      <c r="EY42" s="521"/>
      <c r="EZ42" s="521"/>
      <c r="FA42" s="521"/>
      <c r="FB42" s="521"/>
      <c r="FC42" s="521"/>
      <c r="FD42" s="521"/>
      <c r="FE42" s="521"/>
      <c r="FF42" s="521"/>
      <c r="FG42" s="521"/>
      <c r="FH42" s="521"/>
      <c r="FI42" s="521"/>
      <c r="FJ42" s="521"/>
      <c r="FK42" s="521"/>
      <c r="FL42" s="521"/>
      <c r="FM42" s="522"/>
      <c r="FN42" s="522"/>
      <c r="FO42" s="522"/>
      <c r="FP42" s="522"/>
      <c r="FQ42" s="522"/>
      <c r="FR42" s="522"/>
      <c r="FS42" s="522"/>
      <c r="FT42" s="522"/>
      <c r="FU42" s="522"/>
      <c r="FV42" s="522"/>
      <c r="FW42" s="522"/>
      <c r="FX42" s="523"/>
    </row>
    <row r="43">
      <c r="D43" s="524"/>
      <c r="E43" s="524"/>
      <c r="F43" s="524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8"/>
      <c r="AO43" s="428"/>
      <c r="AP43" s="428"/>
      <c r="AQ43" s="428"/>
      <c r="AR43" s="428"/>
      <c r="AS43" s="428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  <c r="BQ43" s="421"/>
      <c r="BR43" s="421"/>
      <c r="BS43" s="421"/>
      <c r="BT43" s="421"/>
      <c r="BU43" s="421"/>
      <c r="BV43" s="421"/>
      <c r="BW43" s="421"/>
      <c r="BX43" s="421"/>
      <c r="BY43" s="421"/>
      <c r="BZ43" s="421"/>
      <c r="CA43" s="421"/>
      <c r="CB43" s="421"/>
      <c r="CC43" s="421"/>
      <c r="CD43" s="429"/>
      <c r="CE43" s="429"/>
      <c r="CF43" s="429"/>
      <c r="CG43" s="429"/>
      <c r="CH43" s="429"/>
      <c r="CI43" s="429"/>
      <c r="CJ43" s="429"/>
      <c r="CK43" s="429"/>
      <c r="CL43" s="429"/>
      <c r="CM43" s="429"/>
      <c r="CN43" s="429"/>
      <c r="CO43" s="429"/>
      <c r="CP43" s="428"/>
      <c r="CQ43" s="428"/>
      <c r="CR43" s="428"/>
      <c r="CS43" s="428"/>
      <c r="CT43" s="428"/>
      <c r="CU43" s="428"/>
      <c r="CV43" s="428"/>
      <c r="CW43" s="428"/>
      <c r="CX43" s="428"/>
      <c r="CY43" s="428"/>
      <c r="CZ43" s="428"/>
      <c r="DA43" s="428"/>
      <c r="DB43" s="428"/>
      <c r="DC43" s="428"/>
      <c r="DD43" s="428"/>
      <c r="DE43" s="428"/>
      <c r="DF43" s="428"/>
      <c r="DG43" s="428"/>
      <c r="DH43" s="428"/>
      <c r="DI43" s="428"/>
      <c r="DJ43" s="428"/>
      <c r="DK43" s="428"/>
      <c r="DL43" s="428"/>
      <c r="DM43" s="428"/>
      <c r="DN43" s="428"/>
      <c r="DO43" s="428"/>
      <c r="DP43" s="428"/>
      <c r="DQ43" s="428"/>
      <c r="DR43" s="428"/>
      <c r="DS43" s="428"/>
      <c r="DT43" s="428"/>
      <c r="DU43" s="428"/>
      <c r="DV43" s="428"/>
      <c r="DW43" s="428"/>
      <c r="DX43" s="428"/>
      <c r="DY43" s="428"/>
      <c r="DZ43" s="428"/>
      <c r="EA43" s="428"/>
      <c r="EB43" s="428"/>
      <c r="EC43" s="421"/>
      <c r="ED43" s="421"/>
      <c r="EE43" s="421"/>
      <c r="EF43" s="421"/>
      <c r="EG43" s="421"/>
      <c r="EH43" s="421"/>
      <c r="EI43" s="421"/>
      <c r="EJ43" s="421"/>
      <c r="EK43" s="421"/>
      <c r="EL43" s="421"/>
      <c r="EM43" s="421"/>
      <c r="EN43" s="421"/>
      <c r="EO43" s="421"/>
      <c r="EP43" s="421"/>
      <c r="EQ43" s="421"/>
      <c r="ER43" s="421"/>
      <c r="ES43" s="421"/>
      <c r="ET43" s="421"/>
      <c r="EU43" s="421"/>
      <c r="EV43" s="421"/>
      <c r="EW43" s="421"/>
      <c r="EX43" s="421"/>
      <c r="EY43" s="421"/>
      <c r="EZ43" s="421"/>
      <c r="FA43" s="421"/>
      <c r="FB43" s="421"/>
      <c r="FC43" s="421"/>
      <c r="FD43" s="421"/>
      <c r="FE43" s="421"/>
      <c r="FF43" s="421"/>
      <c r="FG43" s="421"/>
      <c r="FH43" s="421"/>
      <c r="FI43" s="421"/>
      <c r="FJ43" s="421"/>
      <c r="FK43" s="421"/>
      <c r="FL43" s="421"/>
      <c r="FM43" s="429"/>
      <c r="FN43" s="429"/>
      <c r="FO43" s="429"/>
      <c r="FP43" s="429"/>
      <c r="FQ43" s="429"/>
      <c r="FR43" s="429"/>
      <c r="FS43" s="429"/>
      <c r="FT43" s="429"/>
      <c r="FU43" s="429"/>
      <c r="FV43" s="429"/>
      <c r="FW43" s="429"/>
      <c r="FX43" s="429"/>
    </row>
    <row r="44">
      <c r="A44" s="525" t="s">
        <v>18</v>
      </c>
      <c r="B44" s="525" t="s">
        <v>701</v>
      </c>
      <c r="C44" s="525" t="s">
        <v>640</v>
      </c>
      <c r="D44" s="526"/>
      <c r="E44" s="526"/>
      <c r="F44" s="526"/>
      <c r="G44" s="447"/>
      <c r="H44" s="447"/>
      <c r="I44" s="447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8"/>
      <c r="AU44" s="448"/>
      <c r="AV44" s="448"/>
      <c r="AW44" s="448"/>
      <c r="AX44" s="448"/>
      <c r="AY44" s="448"/>
      <c r="AZ44" s="448"/>
      <c r="BA44" s="448"/>
      <c r="BB44" s="448"/>
      <c r="BC44" s="448"/>
      <c r="BD44" s="448"/>
      <c r="BE44" s="448"/>
      <c r="BF44" s="448"/>
      <c r="BG44" s="448"/>
      <c r="BH44" s="448"/>
      <c r="BI44" s="448"/>
      <c r="BJ44" s="448"/>
      <c r="BK44" s="448"/>
      <c r="BL44" s="448"/>
      <c r="BM44" s="448"/>
      <c r="BN44" s="448"/>
      <c r="BO44" s="448"/>
      <c r="BP44" s="448"/>
      <c r="BQ44" s="448"/>
      <c r="BR44" s="448"/>
      <c r="BS44" s="448"/>
      <c r="BT44" s="448"/>
      <c r="BU44" s="448"/>
      <c r="BV44" s="448"/>
      <c r="BW44" s="448"/>
      <c r="BX44" s="448"/>
      <c r="BY44" s="448"/>
      <c r="BZ44" s="448"/>
      <c r="CA44" s="448"/>
      <c r="CB44" s="448"/>
      <c r="CC44" s="448"/>
      <c r="CD44" s="449"/>
      <c r="CE44" s="449"/>
      <c r="CF44" s="449"/>
      <c r="CG44" s="449"/>
      <c r="CH44" s="449"/>
      <c r="CI44" s="449"/>
      <c r="CJ44" s="449"/>
      <c r="CK44" s="449"/>
      <c r="CL44" s="449"/>
      <c r="CM44" s="449"/>
      <c r="CN44" s="449"/>
      <c r="CO44" s="449"/>
      <c r="CP44" s="447"/>
      <c r="CQ44" s="527">
        <v>31.3</v>
      </c>
      <c r="CR44" s="447"/>
      <c r="CS44" s="447"/>
      <c r="CT44" s="447"/>
      <c r="CU44" s="447"/>
      <c r="CV44" s="447"/>
      <c r="CW44" s="447"/>
      <c r="CX44" s="447"/>
      <c r="CY44" s="447"/>
      <c r="CZ44" s="447"/>
      <c r="DA44" s="447"/>
      <c r="DB44" s="447"/>
      <c r="DC44" s="447"/>
      <c r="DD44" s="447"/>
      <c r="DE44" s="447"/>
      <c r="DF44" s="447"/>
      <c r="DG44" s="447"/>
      <c r="DH44" s="447"/>
      <c r="DI44" s="447"/>
      <c r="DJ44" s="447"/>
      <c r="DK44" s="447"/>
      <c r="DL44" s="447"/>
      <c r="DM44" s="447"/>
      <c r="DN44" s="447"/>
      <c r="DO44" s="447"/>
      <c r="DP44" s="447"/>
      <c r="DQ44" s="447"/>
      <c r="DR44" s="447"/>
      <c r="DS44" s="447"/>
      <c r="DT44" s="447"/>
      <c r="DU44" s="447"/>
      <c r="DV44" s="447"/>
      <c r="DW44" s="447"/>
      <c r="DX44" s="447"/>
      <c r="DY44" s="447"/>
      <c r="DZ44" s="447"/>
      <c r="EA44" s="447"/>
      <c r="EB44" s="447"/>
      <c r="EC44" s="448"/>
      <c r="ED44" s="448"/>
      <c r="EE44" s="448"/>
      <c r="EF44" s="448"/>
      <c r="EG44" s="448"/>
      <c r="EH44" s="448"/>
      <c r="EI44" s="448"/>
      <c r="EJ44" s="448"/>
      <c r="EK44" s="448"/>
      <c r="EL44" s="448"/>
      <c r="EM44" s="448"/>
      <c r="EN44" s="448"/>
      <c r="EO44" s="448"/>
      <c r="EP44" s="448"/>
      <c r="EQ44" s="448"/>
      <c r="ER44" s="448"/>
      <c r="ES44" s="448"/>
      <c r="ET44" s="448"/>
      <c r="EU44" s="448"/>
      <c r="EV44" s="448"/>
      <c r="EW44" s="448"/>
      <c r="EX44" s="448"/>
      <c r="EY44" s="448"/>
      <c r="EZ44" s="448"/>
      <c r="FA44" s="448"/>
      <c r="FB44" s="448"/>
      <c r="FC44" s="448"/>
      <c r="FD44" s="448"/>
      <c r="FE44" s="448"/>
      <c r="FF44" s="448"/>
      <c r="FG44" s="448"/>
      <c r="FH44" s="448"/>
      <c r="FI44" s="448"/>
      <c r="FJ44" s="448"/>
      <c r="FK44" s="448"/>
      <c r="FL44" s="448"/>
      <c r="FM44" s="449"/>
      <c r="FN44" s="449"/>
      <c r="FO44" s="449"/>
      <c r="FP44" s="449"/>
      <c r="FQ44" s="449"/>
      <c r="FR44" s="449"/>
      <c r="FS44" s="449"/>
      <c r="FT44" s="449"/>
      <c r="FU44" s="449"/>
      <c r="FV44" s="449"/>
      <c r="FW44" s="449"/>
      <c r="FX44" s="449"/>
    </row>
    <row r="45">
      <c r="A45" s="428"/>
      <c r="B45" s="428"/>
      <c r="C45" s="428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8"/>
      <c r="AB45" s="428"/>
      <c r="AC45" s="428"/>
      <c r="AD45" s="428"/>
      <c r="AE45" s="428"/>
      <c r="AF45" s="428"/>
      <c r="AG45" s="428"/>
      <c r="AH45" s="428"/>
      <c r="AI45" s="428"/>
      <c r="AJ45" s="428"/>
      <c r="AK45" s="428"/>
      <c r="AL45" s="428"/>
      <c r="AM45" s="428"/>
      <c r="AN45" s="428"/>
      <c r="AO45" s="428"/>
      <c r="AP45" s="428"/>
      <c r="AQ45" s="428"/>
      <c r="AR45" s="428"/>
      <c r="AS45" s="428"/>
      <c r="AT45" s="421"/>
      <c r="AU45" s="421"/>
      <c r="AV45" s="421"/>
      <c r="AW45" s="421"/>
      <c r="AX45" s="421"/>
      <c r="AY45" s="421"/>
      <c r="AZ45" s="421"/>
      <c r="BA45" s="421"/>
      <c r="BB45" s="421"/>
      <c r="BC45" s="421"/>
      <c r="BD45" s="421"/>
      <c r="BE45" s="421"/>
      <c r="BF45" s="421"/>
      <c r="BG45" s="421"/>
      <c r="BH45" s="421"/>
      <c r="BI45" s="421"/>
      <c r="BJ45" s="421"/>
      <c r="BK45" s="421"/>
      <c r="BL45" s="421"/>
      <c r="BM45" s="421"/>
      <c r="BN45" s="421"/>
      <c r="BO45" s="421"/>
      <c r="BP45" s="421"/>
      <c r="BQ45" s="421"/>
      <c r="BR45" s="421"/>
      <c r="BS45" s="421"/>
      <c r="BT45" s="421"/>
      <c r="BU45" s="421"/>
      <c r="BV45" s="421"/>
      <c r="BW45" s="421"/>
      <c r="BX45" s="421"/>
      <c r="BY45" s="421"/>
      <c r="BZ45" s="421"/>
      <c r="CA45" s="421"/>
      <c r="CB45" s="421"/>
      <c r="CC45" s="421"/>
      <c r="CD45" s="429"/>
      <c r="CE45" s="429"/>
      <c r="CF45" s="429"/>
      <c r="CG45" s="429"/>
      <c r="CH45" s="429"/>
      <c r="CI45" s="429"/>
      <c r="CJ45" s="429"/>
      <c r="CK45" s="429"/>
      <c r="CL45" s="429"/>
      <c r="CM45" s="429"/>
      <c r="CN45" s="429"/>
      <c r="CO45" s="429"/>
      <c r="CP45" s="428"/>
      <c r="CQ45" s="428"/>
      <c r="CR45" s="428"/>
      <c r="CS45" s="428"/>
      <c r="CT45" s="428"/>
      <c r="CU45" s="428"/>
      <c r="CV45" s="428"/>
      <c r="CW45" s="428"/>
      <c r="CX45" s="428"/>
      <c r="CY45" s="428"/>
      <c r="CZ45" s="428"/>
      <c r="DA45" s="428"/>
      <c r="DB45" s="428"/>
      <c r="DC45" s="428"/>
      <c r="DD45" s="428"/>
      <c r="DE45" s="428"/>
      <c r="DF45" s="428"/>
      <c r="DG45" s="428"/>
      <c r="DH45" s="428"/>
      <c r="DI45" s="428"/>
      <c r="DJ45" s="428"/>
      <c r="DK45" s="428"/>
      <c r="DL45" s="428"/>
      <c r="DM45" s="428"/>
      <c r="DN45" s="428"/>
      <c r="DO45" s="428"/>
      <c r="DP45" s="428"/>
      <c r="DQ45" s="428"/>
      <c r="DR45" s="428"/>
      <c r="DS45" s="428"/>
      <c r="DT45" s="428"/>
      <c r="DU45" s="428"/>
      <c r="DV45" s="428"/>
      <c r="DW45" s="428"/>
      <c r="DX45" s="428"/>
      <c r="DY45" s="428"/>
      <c r="DZ45" s="428"/>
      <c r="EA45" s="428"/>
      <c r="EB45" s="428"/>
      <c r="EC45" s="421"/>
      <c r="ED45" s="421"/>
      <c r="EE45" s="421"/>
      <c r="EF45" s="421"/>
      <c r="EG45" s="421"/>
      <c r="EH45" s="421"/>
      <c r="EI45" s="421"/>
      <c r="EJ45" s="421"/>
      <c r="EK45" s="421"/>
      <c r="EL45" s="421"/>
      <c r="EM45" s="421"/>
      <c r="EN45" s="421"/>
      <c r="EO45" s="421"/>
      <c r="EP45" s="421"/>
      <c r="EQ45" s="421"/>
      <c r="ER45" s="421"/>
      <c r="ES45" s="421"/>
      <c r="ET45" s="421"/>
      <c r="EU45" s="421"/>
      <c r="EV45" s="421"/>
      <c r="EW45" s="421"/>
      <c r="EX45" s="421"/>
      <c r="EY45" s="421"/>
      <c r="EZ45" s="421"/>
      <c r="FA45" s="421"/>
      <c r="FB45" s="421"/>
      <c r="FC45" s="421"/>
      <c r="FD45" s="421"/>
      <c r="FE45" s="421"/>
      <c r="FF45" s="421"/>
      <c r="FG45" s="421"/>
      <c r="FH45" s="421"/>
      <c r="FI45" s="421"/>
      <c r="FJ45" s="421"/>
      <c r="FK45" s="421"/>
      <c r="FL45" s="421"/>
      <c r="FM45" s="429"/>
      <c r="FN45" s="429"/>
      <c r="FO45" s="429"/>
      <c r="FP45" s="429"/>
      <c r="FQ45" s="429"/>
      <c r="FR45" s="429"/>
      <c r="FS45" s="429"/>
      <c r="FT45" s="429"/>
      <c r="FU45" s="429"/>
      <c r="FV45" s="429"/>
      <c r="FW45" s="429"/>
      <c r="FX45" s="429"/>
    </row>
    <row r="46">
      <c r="A46" s="528" t="s">
        <v>702</v>
      </c>
      <c r="B46" s="29"/>
      <c r="C46" s="428"/>
      <c r="D46" s="428"/>
      <c r="E46" s="428"/>
      <c r="F46" s="428"/>
      <c r="G46" s="428"/>
      <c r="H46" s="428"/>
      <c r="I46" s="428"/>
      <c r="J46" s="428"/>
      <c r="K46" s="428"/>
      <c r="L46" s="428"/>
      <c r="M46" s="428"/>
      <c r="N46" s="428"/>
      <c r="O46" s="428"/>
      <c r="P46" s="428"/>
      <c r="Q46" s="428"/>
      <c r="R46" s="428"/>
      <c r="S46" s="428"/>
      <c r="T46" s="428"/>
      <c r="U46" s="428"/>
      <c r="V46" s="428"/>
      <c r="W46" s="428"/>
      <c r="X46" s="428"/>
      <c r="Y46" s="428"/>
      <c r="Z46" s="428"/>
      <c r="AA46" s="428"/>
      <c r="AB46" s="428"/>
      <c r="AC46" s="428"/>
      <c r="AD46" s="428"/>
      <c r="AE46" s="428"/>
      <c r="AF46" s="428"/>
      <c r="AG46" s="428"/>
      <c r="AH46" s="428"/>
      <c r="AI46" s="428"/>
      <c r="AJ46" s="428"/>
      <c r="AK46" s="428"/>
      <c r="AL46" s="428"/>
      <c r="AM46" s="428"/>
      <c r="AN46" s="428"/>
      <c r="AO46" s="428"/>
      <c r="AP46" s="428"/>
      <c r="AQ46" s="428"/>
      <c r="AR46" s="428"/>
      <c r="AS46" s="428"/>
      <c r="AT46" s="421"/>
      <c r="AU46" s="421"/>
      <c r="AV46" s="421"/>
      <c r="AW46" s="421"/>
      <c r="AX46" s="421"/>
      <c r="AY46" s="421"/>
      <c r="AZ46" s="421"/>
      <c r="BA46" s="421"/>
      <c r="BB46" s="421"/>
      <c r="BC46" s="421"/>
      <c r="BD46" s="421"/>
      <c r="BE46" s="421"/>
      <c r="BF46" s="421"/>
      <c r="BG46" s="421"/>
      <c r="BH46" s="421"/>
      <c r="BI46" s="421"/>
      <c r="BJ46" s="421"/>
      <c r="BK46" s="421"/>
      <c r="BL46" s="421"/>
      <c r="BM46" s="421"/>
      <c r="BN46" s="421"/>
      <c r="BO46" s="421"/>
      <c r="BP46" s="421"/>
      <c r="BQ46" s="421"/>
      <c r="BR46" s="421"/>
      <c r="BS46" s="421"/>
      <c r="BT46" s="421"/>
      <c r="BU46" s="421"/>
      <c r="BV46" s="421"/>
      <c r="BW46" s="421"/>
      <c r="BX46" s="421"/>
      <c r="BY46" s="421"/>
      <c r="BZ46" s="421"/>
      <c r="CA46" s="421"/>
      <c r="CB46" s="421"/>
      <c r="CC46" s="421"/>
      <c r="CD46" s="429"/>
      <c r="CE46" s="429"/>
      <c r="CF46" s="429"/>
      <c r="CG46" s="429"/>
      <c r="CH46" s="429"/>
      <c r="CI46" s="429"/>
      <c r="CJ46" s="429"/>
      <c r="CK46" s="429"/>
      <c r="CL46" s="429"/>
      <c r="CM46" s="429"/>
      <c r="CN46" s="429"/>
      <c r="CO46" s="429"/>
      <c r="CP46" s="428"/>
      <c r="CQ46" s="428"/>
      <c r="CR46" s="428"/>
      <c r="CS46" s="428"/>
      <c r="CT46" s="428"/>
      <c r="CU46" s="428"/>
      <c r="CV46" s="428"/>
      <c r="CW46" s="428"/>
      <c r="CX46" s="428"/>
      <c r="CY46" s="428"/>
      <c r="CZ46" s="428"/>
      <c r="DA46" s="428"/>
      <c r="DB46" s="428"/>
      <c r="DC46" s="428"/>
      <c r="DD46" s="428"/>
      <c r="DE46" s="428"/>
      <c r="DF46" s="428"/>
      <c r="DG46" s="428"/>
      <c r="DH46" s="428"/>
      <c r="DI46" s="428"/>
      <c r="DJ46" s="428"/>
      <c r="DK46" s="428"/>
      <c r="DL46" s="428"/>
      <c r="DM46" s="428"/>
      <c r="DN46" s="428"/>
      <c r="DO46" s="428"/>
      <c r="DP46" s="428"/>
      <c r="DQ46" s="428"/>
      <c r="DR46" s="428"/>
      <c r="DS46" s="428"/>
      <c r="DT46" s="428"/>
      <c r="DU46" s="428"/>
      <c r="DV46" s="428"/>
      <c r="DW46" s="428"/>
      <c r="DX46" s="428"/>
      <c r="DY46" s="428"/>
      <c r="DZ46" s="428"/>
      <c r="EA46" s="428"/>
      <c r="EB46" s="428"/>
      <c r="EC46" s="421"/>
      <c r="ED46" s="421"/>
      <c r="EE46" s="421"/>
      <c r="EF46" s="421"/>
      <c r="EG46" s="421"/>
      <c r="EH46" s="421"/>
      <c r="EI46" s="421"/>
      <c r="EJ46" s="421"/>
      <c r="EK46" s="421"/>
      <c r="EL46" s="421"/>
      <c r="EM46" s="421"/>
      <c r="EN46" s="421"/>
      <c r="EO46" s="421"/>
      <c r="EP46" s="421"/>
      <c r="EQ46" s="421"/>
      <c r="ER46" s="421"/>
      <c r="ES46" s="421"/>
      <c r="ET46" s="421"/>
      <c r="EU46" s="421"/>
      <c r="EV46" s="421"/>
      <c r="EW46" s="421"/>
      <c r="EX46" s="421"/>
      <c r="EY46" s="421"/>
      <c r="EZ46" s="421"/>
      <c r="FA46" s="421"/>
      <c r="FB46" s="421"/>
      <c r="FC46" s="421"/>
      <c r="FD46" s="421"/>
      <c r="FE46" s="421"/>
      <c r="FF46" s="421"/>
      <c r="FG46" s="421"/>
      <c r="FH46" s="421"/>
      <c r="FI46" s="421"/>
      <c r="FJ46" s="421"/>
      <c r="FK46" s="421"/>
      <c r="FL46" s="421"/>
      <c r="FM46" s="429"/>
      <c r="FN46" s="429"/>
      <c r="FO46" s="429"/>
      <c r="FP46" s="429"/>
      <c r="FQ46" s="429"/>
      <c r="FR46" s="429"/>
      <c r="FS46" s="429"/>
      <c r="FT46" s="429"/>
      <c r="FU46" s="429"/>
      <c r="FV46" s="429"/>
      <c r="FW46" s="429"/>
      <c r="FX46" s="429"/>
    </row>
    <row r="47">
      <c r="A47" s="287"/>
      <c r="B47" s="65"/>
      <c r="C47" s="529"/>
      <c r="D47" s="529"/>
      <c r="E47" s="529"/>
      <c r="F47" s="529"/>
      <c r="G47" s="529"/>
      <c r="H47" s="530"/>
      <c r="I47" s="530"/>
      <c r="J47" s="530"/>
      <c r="K47" s="530"/>
      <c r="L47" s="530"/>
      <c r="M47" s="530"/>
      <c r="N47" s="530"/>
      <c r="O47" s="530"/>
      <c r="P47" s="530"/>
      <c r="Q47" s="530"/>
      <c r="R47" s="530"/>
      <c r="S47" s="530"/>
      <c r="T47" s="530"/>
      <c r="U47" s="530"/>
      <c r="V47" s="530"/>
      <c r="W47" s="530"/>
      <c r="X47" s="530"/>
      <c r="Y47" s="530"/>
      <c r="Z47" s="530"/>
      <c r="AA47" s="530"/>
      <c r="AB47" s="530"/>
      <c r="AC47" s="530"/>
      <c r="AD47" s="530"/>
      <c r="AE47" s="530"/>
      <c r="AF47" s="530"/>
      <c r="AG47" s="530"/>
      <c r="AH47" s="530"/>
      <c r="AI47" s="530"/>
      <c r="AJ47" s="530"/>
      <c r="AK47" s="530"/>
      <c r="AL47" s="530"/>
      <c r="AM47" s="530"/>
      <c r="AN47" s="530"/>
      <c r="AO47" s="530"/>
      <c r="AP47" s="530"/>
      <c r="AQ47" s="530"/>
      <c r="AR47" s="530"/>
      <c r="AS47" s="530"/>
      <c r="AT47" s="530"/>
      <c r="AU47" s="530"/>
      <c r="AV47" s="530"/>
      <c r="AW47" s="530"/>
      <c r="AX47" s="530"/>
      <c r="AY47" s="530"/>
      <c r="AZ47" s="530"/>
      <c r="BA47" s="530"/>
      <c r="BB47" s="530"/>
      <c r="BC47" s="530"/>
      <c r="BD47" s="530"/>
      <c r="BE47" s="530"/>
      <c r="BF47" s="530"/>
      <c r="BG47" s="530"/>
      <c r="BH47" s="530"/>
      <c r="BI47" s="530"/>
      <c r="BJ47" s="530"/>
      <c r="BK47" s="530"/>
      <c r="BL47" s="530"/>
      <c r="BM47" s="530"/>
      <c r="BN47" s="530"/>
      <c r="BO47" s="530"/>
      <c r="BP47" s="530"/>
      <c r="BQ47" s="530"/>
      <c r="BR47" s="530"/>
      <c r="BS47" s="530"/>
      <c r="BT47" s="530"/>
      <c r="BU47" s="530"/>
      <c r="BV47" s="530"/>
      <c r="BW47" s="530"/>
      <c r="BX47" s="530"/>
      <c r="BY47" s="530"/>
      <c r="BZ47" s="530"/>
      <c r="CA47" s="530"/>
      <c r="CB47" s="530"/>
      <c r="CC47" s="530"/>
      <c r="CD47" s="531"/>
      <c r="CE47" s="531"/>
      <c r="CF47" s="531"/>
      <c r="CG47" s="531"/>
      <c r="CH47" s="531"/>
      <c r="CI47" s="531"/>
      <c r="CJ47" s="531"/>
      <c r="CK47" s="531"/>
      <c r="CL47" s="531"/>
      <c r="CM47" s="531"/>
      <c r="CN47" s="531"/>
      <c r="CO47" s="531"/>
      <c r="CP47" s="529"/>
      <c r="CQ47" s="530"/>
      <c r="CR47" s="530"/>
      <c r="CS47" s="530"/>
      <c r="CT47" s="530"/>
      <c r="CU47" s="530"/>
      <c r="CV47" s="530"/>
      <c r="CW47" s="530"/>
      <c r="CX47" s="530"/>
      <c r="CY47" s="530"/>
      <c r="CZ47" s="530"/>
      <c r="DA47" s="530"/>
      <c r="DB47" s="530"/>
      <c r="DC47" s="530"/>
      <c r="DD47" s="530"/>
      <c r="DE47" s="530"/>
      <c r="DF47" s="530"/>
      <c r="DG47" s="530"/>
      <c r="DH47" s="530"/>
      <c r="DI47" s="530"/>
      <c r="DJ47" s="530"/>
      <c r="DK47" s="530"/>
      <c r="DL47" s="530"/>
      <c r="DM47" s="530"/>
      <c r="DN47" s="530"/>
      <c r="DO47" s="530"/>
      <c r="DP47" s="530"/>
      <c r="DQ47" s="530"/>
      <c r="DR47" s="530"/>
      <c r="DS47" s="530"/>
      <c r="DT47" s="530"/>
      <c r="DU47" s="530"/>
      <c r="DV47" s="530"/>
      <c r="DW47" s="530"/>
      <c r="DX47" s="530"/>
      <c r="DY47" s="530"/>
      <c r="DZ47" s="530"/>
      <c r="EA47" s="530"/>
      <c r="EB47" s="530"/>
      <c r="EC47" s="530"/>
      <c r="ED47" s="530"/>
      <c r="EE47" s="530"/>
      <c r="EF47" s="530"/>
      <c r="EG47" s="530"/>
      <c r="EH47" s="530"/>
      <c r="EI47" s="530"/>
      <c r="EJ47" s="530"/>
      <c r="EK47" s="530"/>
      <c r="EL47" s="530"/>
      <c r="EM47" s="530"/>
      <c r="EN47" s="530"/>
      <c r="EO47" s="530"/>
      <c r="EP47" s="530"/>
      <c r="EQ47" s="530"/>
      <c r="ER47" s="530"/>
      <c r="ES47" s="530"/>
      <c r="ET47" s="530"/>
      <c r="EU47" s="530"/>
      <c r="EV47" s="530"/>
      <c r="EW47" s="530"/>
      <c r="EX47" s="530"/>
      <c r="EY47" s="530"/>
      <c r="EZ47" s="530"/>
      <c r="FA47" s="530"/>
      <c r="FB47" s="530"/>
      <c r="FC47" s="530"/>
      <c r="FD47" s="530"/>
      <c r="FE47" s="530"/>
      <c r="FF47" s="530"/>
      <c r="FG47" s="530"/>
      <c r="FH47" s="530"/>
      <c r="FI47" s="530"/>
      <c r="FJ47" s="530"/>
      <c r="FK47" s="530"/>
      <c r="FL47" s="530"/>
      <c r="FM47" s="531"/>
      <c r="FN47" s="531"/>
      <c r="FO47" s="531"/>
      <c r="FP47" s="531"/>
      <c r="FQ47" s="531"/>
      <c r="FR47" s="531"/>
      <c r="FS47" s="531"/>
      <c r="FT47" s="531"/>
      <c r="FU47" s="531"/>
      <c r="FV47" s="531"/>
      <c r="FW47" s="531"/>
      <c r="FX47" s="531"/>
    </row>
    <row r="48">
      <c r="A48" s="532"/>
      <c r="B48" s="532"/>
      <c r="C48" s="533"/>
      <c r="D48" s="534" t="s">
        <v>652</v>
      </c>
      <c r="E48" s="436" t="s">
        <v>652</v>
      </c>
      <c r="F48" s="436" t="s">
        <v>652</v>
      </c>
      <c r="G48" s="439" t="s">
        <v>653</v>
      </c>
      <c r="H48" s="439" t="s">
        <v>653</v>
      </c>
      <c r="I48" s="439" t="s">
        <v>653</v>
      </c>
      <c r="J48" s="439" t="s">
        <v>653</v>
      </c>
      <c r="K48" s="439" t="s">
        <v>653</v>
      </c>
      <c r="L48" s="439" t="s">
        <v>653</v>
      </c>
      <c r="M48" s="439" t="s">
        <v>653</v>
      </c>
      <c r="N48" s="439" t="s">
        <v>653</v>
      </c>
      <c r="O48" s="439" t="s">
        <v>653</v>
      </c>
      <c r="P48" s="439" t="s">
        <v>653</v>
      </c>
      <c r="Q48" s="439" t="s">
        <v>653</v>
      </c>
      <c r="R48" s="439" t="s">
        <v>653</v>
      </c>
      <c r="S48" s="439" t="s">
        <v>653</v>
      </c>
      <c r="T48" s="439" t="s">
        <v>653</v>
      </c>
      <c r="U48" s="439" t="s">
        <v>653</v>
      </c>
      <c r="V48" s="439" t="s">
        <v>653</v>
      </c>
      <c r="W48" s="439" t="s">
        <v>653</v>
      </c>
      <c r="X48" s="439" t="s">
        <v>653</v>
      </c>
      <c r="Y48" s="439" t="s">
        <v>653</v>
      </c>
      <c r="Z48" s="439" t="s">
        <v>653</v>
      </c>
      <c r="AA48" s="439" t="s">
        <v>653</v>
      </c>
      <c r="AB48" s="439" t="s">
        <v>653</v>
      </c>
      <c r="AC48" s="439" t="s">
        <v>653</v>
      </c>
      <c r="AD48" s="439" t="s">
        <v>653</v>
      </c>
      <c r="AE48" s="439" t="s">
        <v>653</v>
      </c>
      <c r="AF48" s="439" t="s">
        <v>653</v>
      </c>
      <c r="AG48" s="439" t="s">
        <v>653</v>
      </c>
      <c r="AH48" s="439" t="s">
        <v>653</v>
      </c>
      <c r="AI48" s="439" t="s">
        <v>653</v>
      </c>
      <c r="AJ48" s="439" t="s">
        <v>653</v>
      </c>
      <c r="AK48" s="439" t="s">
        <v>653</v>
      </c>
      <c r="AL48" s="439" t="s">
        <v>653</v>
      </c>
      <c r="AM48" s="439" t="s">
        <v>653</v>
      </c>
      <c r="AN48" s="439" t="s">
        <v>653</v>
      </c>
      <c r="AO48" s="439" t="s">
        <v>653</v>
      </c>
      <c r="AP48" s="439" t="s">
        <v>653</v>
      </c>
      <c r="AQ48" s="439" t="s">
        <v>653</v>
      </c>
      <c r="AR48" s="439" t="s">
        <v>653</v>
      </c>
      <c r="AS48" s="439" t="s">
        <v>653</v>
      </c>
      <c r="AT48" s="439" t="s">
        <v>653</v>
      </c>
      <c r="AU48" s="439" t="s">
        <v>653</v>
      </c>
      <c r="AV48" s="439" t="s">
        <v>653</v>
      </c>
      <c r="AW48" s="439" t="s">
        <v>653</v>
      </c>
      <c r="AX48" s="439" t="s">
        <v>653</v>
      </c>
      <c r="AY48" s="439" t="s">
        <v>653</v>
      </c>
      <c r="AZ48" s="439" t="s">
        <v>653</v>
      </c>
      <c r="BA48" s="439" t="s">
        <v>653</v>
      </c>
      <c r="BB48" s="439" t="s">
        <v>653</v>
      </c>
      <c r="BC48" s="439" t="s">
        <v>653</v>
      </c>
      <c r="BD48" s="439" t="s">
        <v>653</v>
      </c>
      <c r="BE48" s="439" t="s">
        <v>653</v>
      </c>
      <c r="BF48" s="439" t="s">
        <v>653</v>
      </c>
      <c r="BG48" s="439" t="s">
        <v>653</v>
      </c>
      <c r="BH48" s="439" t="s">
        <v>653</v>
      </c>
      <c r="BI48" s="439" t="s">
        <v>653</v>
      </c>
      <c r="BJ48" s="439" t="s">
        <v>653</v>
      </c>
      <c r="BK48" s="439" t="s">
        <v>653</v>
      </c>
      <c r="BL48" s="439" t="s">
        <v>653</v>
      </c>
      <c r="BM48" s="439" t="s">
        <v>653</v>
      </c>
      <c r="BN48" s="439" t="s">
        <v>653</v>
      </c>
      <c r="BO48" s="439" t="s">
        <v>653</v>
      </c>
      <c r="BP48" s="439" t="s">
        <v>653</v>
      </c>
      <c r="BQ48" s="439" t="s">
        <v>653</v>
      </c>
      <c r="BR48" s="439" t="s">
        <v>653</v>
      </c>
      <c r="BS48" s="439" t="s">
        <v>653</v>
      </c>
      <c r="BT48" s="439" t="s">
        <v>653</v>
      </c>
      <c r="BU48" s="439" t="s">
        <v>653</v>
      </c>
      <c r="BV48" s="439" t="s">
        <v>653</v>
      </c>
      <c r="BW48" s="439" t="s">
        <v>653</v>
      </c>
      <c r="BX48" s="439" t="s">
        <v>653</v>
      </c>
      <c r="BY48" s="439" t="s">
        <v>653</v>
      </c>
      <c r="BZ48" s="439" t="s">
        <v>653</v>
      </c>
      <c r="CA48" s="439" t="s">
        <v>653</v>
      </c>
      <c r="CB48" s="439" t="s">
        <v>653</v>
      </c>
      <c r="CC48" s="439" t="s">
        <v>653</v>
      </c>
      <c r="CD48" s="439" t="s">
        <v>653</v>
      </c>
      <c r="CE48" s="439" t="s">
        <v>653</v>
      </c>
      <c r="CF48" s="439" t="s">
        <v>653</v>
      </c>
      <c r="CG48" s="439" t="s">
        <v>653</v>
      </c>
      <c r="CH48" s="439" t="s">
        <v>653</v>
      </c>
      <c r="CI48" s="439" t="s">
        <v>653</v>
      </c>
      <c r="CJ48" s="439" t="s">
        <v>653</v>
      </c>
      <c r="CK48" s="439" t="s">
        <v>653</v>
      </c>
      <c r="CL48" s="439" t="s">
        <v>653</v>
      </c>
      <c r="CM48" s="439" t="s">
        <v>653</v>
      </c>
      <c r="CN48" s="439" t="s">
        <v>653</v>
      </c>
      <c r="CO48" s="440" t="s">
        <v>653</v>
      </c>
      <c r="CP48" s="439" t="s">
        <v>653</v>
      </c>
      <c r="CQ48" s="439" t="s">
        <v>653</v>
      </c>
      <c r="CR48" s="439" t="s">
        <v>653</v>
      </c>
      <c r="CS48" s="439" t="s">
        <v>653</v>
      </c>
      <c r="CT48" s="439" t="s">
        <v>653</v>
      </c>
      <c r="CU48" s="439" t="s">
        <v>653</v>
      </c>
      <c r="CV48" s="439" t="s">
        <v>653</v>
      </c>
      <c r="CW48" s="439" t="s">
        <v>653</v>
      </c>
      <c r="CX48" s="439" t="s">
        <v>653</v>
      </c>
      <c r="CY48" s="439" t="s">
        <v>653</v>
      </c>
      <c r="CZ48" s="439" t="s">
        <v>653</v>
      </c>
      <c r="DA48" s="439" t="s">
        <v>653</v>
      </c>
      <c r="DB48" s="439" t="s">
        <v>653</v>
      </c>
      <c r="DC48" s="439" t="s">
        <v>653</v>
      </c>
      <c r="DD48" s="439" t="s">
        <v>653</v>
      </c>
      <c r="DE48" s="439" t="s">
        <v>653</v>
      </c>
      <c r="DF48" s="439" t="s">
        <v>653</v>
      </c>
      <c r="DG48" s="439" t="s">
        <v>653</v>
      </c>
      <c r="DH48" s="439" t="s">
        <v>653</v>
      </c>
      <c r="DI48" s="439" t="s">
        <v>653</v>
      </c>
      <c r="DJ48" s="439" t="s">
        <v>653</v>
      </c>
      <c r="DK48" s="439" t="s">
        <v>653</v>
      </c>
      <c r="DL48" s="439" t="s">
        <v>653</v>
      </c>
      <c r="DM48" s="439" t="s">
        <v>653</v>
      </c>
      <c r="DN48" s="439" t="s">
        <v>653</v>
      </c>
      <c r="DO48" s="439" t="s">
        <v>653</v>
      </c>
      <c r="DP48" s="439" t="s">
        <v>653</v>
      </c>
      <c r="DQ48" s="439" t="s">
        <v>653</v>
      </c>
      <c r="DR48" s="439" t="s">
        <v>653</v>
      </c>
      <c r="DS48" s="439" t="s">
        <v>653</v>
      </c>
      <c r="DT48" s="439" t="s">
        <v>653</v>
      </c>
      <c r="DU48" s="439" t="s">
        <v>653</v>
      </c>
      <c r="DV48" s="439" t="s">
        <v>653</v>
      </c>
      <c r="DW48" s="439" t="s">
        <v>653</v>
      </c>
      <c r="DX48" s="439" t="s">
        <v>653</v>
      </c>
      <c r="DY48" s="439" t="s">
        <v>653</v>
      </c>
      <c r="DZ48" s="439" t="s">
        <v>653</v>
      </c>
      <c r="EA48" s="439" t="s">
        <v>653</v>
      </c>
      <c r="EB48" s="439" t="s">
        <v>653</v>
      </c>
      <c r="EC48" s="439" t="s">
        <v>653</v>
      </c>
      <c r="ED48" s="439" t="s">
        <v>653</v>
      </c>
      <c r="EE48" s="439" t="s">
        <v>653</v>
      </c>
      <c r="EF48" s="439" t="s">
        <v>653</v>
      </c>
      <c r="EG48" s="439" t="s">
        <v>653</v>
      </c>
      <c r="EH48" s="439" t="s">
        <v>653</v>
      </c>
      <c r="EI48" s="439" t="s">
        <v>653</v>
      </c>
      <c r="EJ48" s="439" t="s">
        <v>653</v>
      </c>
      <c r="EK48" s="439" t="s">
        <v>653</v>
      </c>
      <c r="EL48" s="439" t="s">
        <v>653</v>
      </c>
      <c r="EM48" s="439" t="s">
        <v>653</v>
      </c>
      <c r="EN48" s="439" t="s">
        <v>653</v>
      </c>
      <c r="EO48" s="439" t="s">
        <v>653</v>
      </c>
      <c r="EP48" s="439" t="s">
        <v>653</v>
      </c>
      <c r="EQ48" s="439" t="s">
        <v>653</v>
      </c>
      <c r="ER48" s="439" t="s">
        <v>653</v>
      </c>
      <c r="ES48" s="439" t="s">
        <v>653</v>
      </c>
      <c r="ET48" s="439" t="s">
        <v>653</v>
      </c>
      <c r="EU48" s="439" t="s">
        <v>653</v>
      </c>
      <c r="EV48" s="439" t="s">
        <v>653</v>
      </c>
      <c r="EW48" s="439" t="s">
        <v>653</v>
      </c>
      <c r="EX48" s="439" t="s">
        <v>653</v>
      </c>
      <c r="EY48" s="439" t="s">
        <v>653</v>
      </c>
      <c r="EZ48" s="439" t="s">
        <v>653</v>
      </c>
      <c r="FA48" s="439" t="s">
        <v>653</v>
      </c>
      <c r="FB48" s="439" t="s">
        <v>653</v>
      </c>
      <c r="FC48" s="439" t="s">
        <v>653</v>
      </c>
      <c r="FD48" s="439" t="s">
        <v>653</v>
      </c>
      <c r="FE48" s="439" t="s">
        <v>653</v>
      </c>
      <c r="FF48" s="439" t="s">
        <v>653</v>
      </c>
      <c r="FG48" s="439" t="s">
        <v>653</v>
      </c>
      <c r="FH48" s="439" t="s">
        <v>653</v>
      </c>
      <c r="FI48" s="439" t="s">
        <v>653</v>
      </c>
      <c r="FJ48" s="439" t="s">
        <v>653</v>
      </c>
      <c r="FK48" s="439" t="s">
        <v>653</v>
      </c>
      <c r="FL48" s="439" t="s">
        <v>653</v>
      </c>
      <c r="FM48" s="439" t="s">
        <v>653</v>
      </c>
      <c r="FN48" s="439" t="s">
        <v>653</v>
      </c>
      <c r="FO48" s="439" t="s">
        <v>653</v>
      </c>
      <c r="FP48" s="439" t="s">
        <v>653</v>
      </c>
      <c r="FQ48" s="439" t="s">
        <v>653</v>
      </c>
      <c r="FR48" s="439" t="s">
        <v>653</v>
      </c>
      <c r="FS48" s="439" t="s">
        <v>653</v>
      </c>
      <c r="FT48" s="439" t="s">
        <v>653</v>
      </c>
      <c r="FU48" s="439" t="s">
        <v>653</v>
      </c>
      <c r="FV48" s="439" t="s">
        <v>653</v>
      </c>
      <c r="FW48" s="439" t="s">
        <v>653</v>
      </c>
      <c r="FX48" s="440" t="s">
        <v>653</v>
      </c>
    </row>
    <row r="49">
      <c r="A49" s="535" t="s">
        <v>703</v>
      </c>
      <c r="B49" s="535" t="s">
        <v>407</v>
      </c>
      <c r="C49" s="536"/>
      <c r="D49" s="470" t="s">
        <v>704</v>
      </c>
      <c r="E49" s="444">
        <v>1.0</v>
      </c>
      <c r="F49" s="444">
        <v>1.0</v>
      </c>
      <c r="G49" s="537">
        <f>IFERROR(__xludf.DUMMYFUNCTION("SUM(INDIRECT(CONCATENATE(""'"",INDEX(SPLIT($D49,""H""),1),""H"",INDEX(SPLIT($D49,""H""),2)+$E49*(COLUMN()-COLUMN($G49)),"":"",""H"",INDEX(SPLIT($D49,""H""),2)+$E49*(COLUMN()-COLUMN($G49))+$F49-1)))"),55264.0)</f>
        <v>55264</v>
      </c>
      <c r="H49" s="537">
        <f>IFERROR(__xludf.DUMMYFUNCTION("SUM(INDIRECT(CONCATENATE(""'"",INDEX(SPLIT($D49,""H""),1),""H"",INDEX(SPLIT($D49,""H""),2)+$E49*(COLUMN()-COLUMN($G49)),"":"",""H"",INDEX(SPLIT($D49,""H""),2)+$E49*(COLUMN()-COLUMN($G49))+$F49-1)))"),52002.0)</f>
        <v>52002</v>
      </c>
      <c r="I49" s="537">
        <f>IFERROR(__xludf.DUMMYFUNCTION("SUM(INDIRECT(CONCATENATE(""'"",INDEX(SPLIT($D49,""H""),1),""H"",INDEX(SPLIT($D49,""H""),2)+$E49*(COLUMN()-COLUMN($G49)),"":"",""H"",INDEX(SPLIT($D49,""H""),2)+$E49*(COLUMN()-COLUMN($G49))+$F49-1)))"),79044.0)</f>
        <v>79044</v>
      </c>
      <c r="J49" s="537">
        <f>IFERROR(__xludf.DUMMYFUNCTION("SUM(INDIRECT(CONCATENATE(""'"",INDEX(SPLIT($D49,""H""),1),""H"",INDEX(SPLIT($D49,""H""),2)+$E49*(COLUMN()-COLUMN($G49)),"":"",""H"",INDEX(SPLIT($D49,""H""),2)+$E49*(COLUMN()-COLUMN($G49))+$F49-1)))"),72009.0)</f>
        <v>72009</v>
      </c>
      <c r="K49" s="537">
        <f>IFERROR(__xludf.DUMMYFUNCTION("SUM(INDIRECT(CONCATENATE(""'"",INDEX(SPLIT($D49,""H""),1),""H"",INDEX(SPLIT($D49,""H""),2)+$E49*(COLUMN()-COLUMN($G49)),"":"",""H"",INDEX(SPLIT($D49,""H""),2)+$E49*(COLUMN()-COLUMN($G49))+$F49-1)))"),93476.0)</f>
        <v>93476</v>
      </c>
      <c r="L49" s="537">
        <f>IFERROR(__xludf.DUMMYFUNCTION("SUM(INDIRECT(CONCATENATE(""'"",INDEX(SPLIT($D49,""H""),1),""H"",INDEX(SPLIT($D49,""H""),2)+$E49*(COLUMN()-COLUMN($G49)),"":"",""H"",INDEX(SPLIT($D49,""H""),2)+$E49*(COLUMN()-COLUMN($G49))+$F49-1)))"),76196.0)</f>
        <v>76196</v>
      </c>
      <c r="M49" s="537">
        <f>IFERROR(__xludf.DUMMYFUNCTION("SUM(INDIRECT(CONCATENATE(""'"",INDEX(SPLIT($D49,""H""),1),""H"",INDEX(SPLIT($D49,""H""),2)+$E49*(COLUMN()-COLUMN($G49)),"":"",""H"",INDEX(SPLIT($D49,""H""),2)+$E49*(COLUMN()-COLUMN($G49))+$F49-1)))"),74388.0)</f>
        <v>74388</v>
      </c>
      <c r="N49" s="537">
        <f>IFERROR(__xludf.DUMMYFUNCTION("SUM(INDIRECT(CONCATENATE(""'"",INDEX(SPLIT($D49,""H""),1),""H"",INDEX(SPLIT($D49,""H""),2)+$E49*(COLUMN()-COLUMN($G49)),"":"",""H"",INDEX(SPLIT($D49,""H""),2)+$E49*(COLUMN()-COLUMN($G49))+$F49-1)))"),85163.0)</f>
        <v>85163</v>
      </c>
      <c r="O49" s="537">
        <f>IFERROR(__xludf.DUMMYFUNCTION("SUM(INDIRECT(CONCATENATE(""'"",INDEX(SPLIT($D49,""H""),1),""H"",INDEX(SPLIT($D49,""H""),2)+$E49*(COLUMN()-COLUMN($G49)),"":"",""H"",INDEX(SPLIT($D49,""H""),2)+$E49*(COLUMN()-COLUMN($G49))+$F49-1)))"),88444.0)</f>
        <v>88444</v>
      </c>
      <c r="P49" s="537">
        <f>IFERROR(__xludf.DUMMYFUNCTION("SUM(INDIRECT(CONCATENATE(""'"",INDEX(SPLIT($D49,""H""),1),""H"",INDEX(SPLIT($D49,""H""),2)+$E49*(COLUMN()-COLUMN($G49)),"":"",""H"",INDEX(SPLIT($D49,""H""),2)+$E49*(COLUMN()-COLUMN($G49))+$F49-1)))"),75765.0)</f>
        <v>75765</v>
      </c>
      <c r="Q49" s="537">
        <f>IFERROR(__xludf.DUMMYFUNCTION("SUM(INDIRECT(CONCATENATE(""'"",INDEX(SPLIT($D49,""H""),1),""H"",INDEX(SPLIT($D49,""H""),2)+$E49*(COLUMN()-COLUMN($G49)),"":"",""H"",INDEX(SPLIT($D49,""H""),2)+$E49*(COLUMN()-COLUMN($G49))+$F49-1)))"),85456.0)</f>
        <v>85456</v>
      </c>
      <c r="R49" s="537">
        <f>IFERROR(__xludf.DUMMYFUNCTION("SUM(INDIRECT(CONCATENATE(""'"",INDEX(SPLIT($D49,""H""),1),""H"",INDEX(SPLIT($D49,""H""),2)+$E49*(COLUMN()-COLUMN($G49)),"":"",""H"",INDEX(SPLIT($D49,""H""),2)+$E49*(COLUMN()-COLUMN($G49))+$F49-1)))"),89360.0)</f>
        <v>89360</v>
      </c>
      <c r="S49" s="537">
        <f>IFERROR(__xludf.DUMMYFUNCTION("SUM(INDIRECT(CONCATENATE(""'"",INDEX(SPLIT($D49,""H""),1),""H"",INDEX(SPLIT($D49,""H""),2)+$E49*(COLUMN()-COLUMN($G49)),"":"",""H"",INDEX(SPLIT($D49,""H""),2)+$E49*(COLUMN()-COLUMN($G49))+$F49-1)))"),86671.0)</f>
        <v>86671</v>
      </c>
      <c r="T49" s="537">
        <f>IFERROR(__xludf.DUMMYFUNCTION("SUM(INDIRECT(CONCATENATE(""'"",INDEX(SPLIT($D49,""H""),1),""H"",INDEX(SPLIT($D49,""H""),2)+$E49*(COLUMN()-COLUMN($G49)),"":"",""H"",INDEX(SPLIT($D49,""H""),2)+$E49*(COLUMN()-COLUMN($G49))+$F49-1)))"),222580.0)</f>
        <v>222580</v>
      </c>
      <c r="U49" s="537">
        <f>IFERROR(__xludf.DUMMYFUNCTION("SUM(INDIRECT(CONCATENATE(""'"",INDEX(SPLIT($D49,""H""),1),""H"",INDEX(SPLIT($D49,""H""),2)+$E49*(COLUMN()-COLUMN($G49)),"":"",""H"",INDEX(SPLIT($D49,""H""),2)+$E49*(COLUMN()-COLUMN($G49))+$F49-1)))"),223799.0)</f>
        <v>223799</v>
      </c>
      <c r="V49" s="537">
        <f>IFERROR(__xludf.DUMMYFUNCTION("SUM(INDIRECT(CONCATENATE(""'"",INDEX(SPLIT($D49,""H""),1),""H"",INDEX(SPLIT($D49,""H""),2)+$E49*(COLUMN()-COLUMN($G49)),"":"",""H"",INDEX(SPLIT($D49,""H""),2)+$E49*(COLUMN()-COLUMN($G49))+$F49-1)))"),85051.0)</f>
        <v>85051</v>
      </c>
      <c r="W49" s="537">
        <f>IFERROR(__xludf.DUMMYFUNCTION("SUM(INDIRECT(CONCATENATE(""'"",INDEX(SPLIT($D49,""H""),1),""H"",INDEX(SPLIT($D49,""H""),2)+$E49*(COLUMN()-COLUMN($G49)),"":"",""H"",INDEX(SPLIT($D49,""H""),2)+$E49*(COLUMN()-COLUMN($G49))+$F49-1)))"),86752.0)</f>
        <v>86752</v>
      </c>
      <c r="X49" s="537">
        <f>IFERROR(__xludf.DUMMYFUNCTION("SUM(INDIRECT(CONCATENATE(""'"",INDEX(SPLIT($D49,""H""),1),""H"",INDEX(SPLIT($D49,""H""),2)+$E49*(COLUMN()-COLUMN($G49)),"":"",""H"",INDEX(SPLIT($D49,""H""),2)+$E49*(COLUMN()-COLUMN($G49))+$F49-1)))"),92342.0)</f>
        <v>92342</v>
      </c>
      <c r="Y49" s="537">
        <f>IFERROR(__xludf.DUMMYFUNCTION("SUM(INDIRECT(CONCATENATE(""'"",INDEX(SPLIT($D49,""H""),1),""H"",INDEX(SPLIT($D49,""H""),2)+$E49*(COLUMN()-COLUMN($G49)),"":"",""H"",INDEX(SPLIT($D49,""H""),2)+$E49*(COLUMN()-COLUMN($G49))+$F49-1)))"),90875.0)</f>
        <v>90875</v>
      </c>
      <c r="Z49" s="537">
        <f>IFERROR(__xludf.DUMMYFUNCTION("SUM(INDIRECT(CONCATENATE(""'"",INDEX(SPLIT($D49,""H""),1),""H"",INDEX(SPLIT($D49,""H""),2)+$E49*(COLUMN()-COLUMN($G49)),"":"",""H"",INDEX(SPLIT($D49,""H""),2)+$E49*(COLUMN()-COLUMN($G49))+$F49-1)))"),20578.0)</f>
        <v>20578</v>
      </c>
      <c r="AA49" s="537">
        <f>IFERROR(__xludf.DUMMYFUNCTION("SUM(INDIRECT(CONCATENATE(""'"",INDEX(SPLIT($D49,""H""),1),""H"",INDEX(SPLIT($D49,""H""),2)+$E49*(COLUMN()-COLUMN($G49)),"":"",""H"",INDEX(SPLIT($D49,""H""),2)+$E49*(COLUMN()-COLUMN($G49))+$F49-1)))"),83742.0)</f>
        <v>83742</v>
      </c>
      <c r="AB49" s="537">
        <f>IFERROR(__xludf.DUMMYFUNCTION("SUM(INDIRECT(CONCATENATE(""'"",INDEX(SPLIT($D49,""H""),1),""H"",INDEX(SPLIT($D49,""H""),2)+$E49*(COLUMN()-COLUMN($G49)),"":"",""H"",INDEX(SPLIT($D49,""H""),2)+$E49*(COLUMN()-COLUMN($G49))+$F49-1)))"),59000.0)</f>
        <v>59000</v>
      </c>
      <c r="AC49" s="537">
        <f>IFERROR(__xludf.DUMMYFUNCTION("SUM(INDIRECT(CONCATENATE(""'"",INDEX(SPLIT($D49,""H""),1),""H"",INDEX(SPLIT($D49,""H""),2)+$E49*(COLUMN()-COLUMN($G49)),"":"",""H"",INDEX(SPLIT($D49,""H""),2)+$E49*(COLUMN()-COLUMN($G49))+$F49-1)))"),59000.0)</f>
        <v>59000</v>
      </c>
      <c r="AD49" s="537">
        <f>IFERROR(__xludf.DUMMYFUNCTION("SUM(INDIRECT(CONCATENATE(""'"",INDEX(SPLIT($D49,""H""),1),""H"",INDEX(SPLIT($D49,""H""),2)+$E49*(COLUMN()-COLUMN($G49)),"":"",""H"",INDEX(SPLIT($D49,""H""),2)+$E49*(COLUMN()-COLUMN($G49))+$F49-1)))"),59327.0)</f>
        <v>59327</v>
      </c>
      <c r="AE49" s="537">
        <f>IFERROR(__xludf.DUMMYFUNCTION("SUM(INDIRECT(CONCATENATE(""'"",INDEX(SPLIT($D49,""H""),1),""H"",INDEX(SPLIT($D49,""H""),2)+$E49*(COLUMN()-COLUMN($G49)),"":"",""H"",INDEX(SPLIT($D49,""H""),2)+$E49*(COLUMN()-COLUMN($G49))+$F49-1)))"),59000.0)</f>
        <v>59000</v>
      </c>
      <c r="AF49" s="537">
        <f>IFERROR(__xludf.DUMMYFUNCTION("SUM(INDIRECT(CONCATENATE(""'"",INDEX(SPLIT($D49,""H""),1),""H"",INDEX(SPLIT($D49,""H""),2)+$E49*(COLUMN()-COLUMN($G49)),"":"",""H"",INDEX(SPLIT($D49,""H""),2)+$E49*(COLUMN()-COLUMN($G49))+$F49-1)))"),58524.0)</f>
        <v>58524</v>
      </c>
      <c r="AG49" s="537">
        <f>IFERROR(__xludf.DUMMYFUNCTION("SUM(INDIRECT(CONCATENATE(""'"",INDEX(SPLIT($D49,""H""),1),""H"",INDEX(SPLIT($D49,""H""),2)+$E49*(COLUMN()-COLUMN($G49)),"":"",""H"",INDEX(SPLIT($D49,""H""),2)+$E49*(COLUMN()-COLUMN($G49))+$F49-1)))"),58508.0)</f>
        <v>58508</v>
      </c>
      <c r="AH49" s="537">
        <f>IFERROR(__xludf.DUMMYFUNCTION("SUM(INDIRECT(CONCATENATE(""'"",INDEX(SPLIT($D49,""H""),1),""H"",INDEX(SPLIT($D49,""H""),2)+$E49*(COLUMN()-COLUMN($G49)),"":"",""H"",INDEX(SPLIT($D49,""H""),2)+$E49*(COLUMN()-COLUMN($G49))+$F49-1)))"),59000.0)</f>
        <v>59000</v>
      </c>
      <c r="AI49" s="537">
        <f>IFERROR(__xludf.DUMMYFUNCTION("SUM(INDIRECT(CONCATENATE(""'"",INDEX(SPLIT($D49,""H""),1),""H"",INDEX(SPLIT($D49,""H""),2)+$E49*(COLUMN()-COLUMN($G49)),"":"",""H"",INDEX(SPLIT($D49,""H""),2)+$E49*(COLUMN()-COLUMN($G49))+$F49-1)))"),118000.0)</f>
        <v>118000</v>
      </c>
      <c r="AJ49" s="537">
        <f>IFERROR(__xludf.DUMMYFUNCTION("SUM(INDIRECT(CONCATENATE(""'"",INDEX(SPLIT($D49,""H""),1),""H"",INDEX(SPLIT($D49,""H""),2)+$E49*(COLUMN()-COLUMN($G49)),"":"",""H"",INDEX(SPLIT($D49,""H""),2)+$E49*(COLUMN()-COLUMN($G49))+$F49-1)))"),59000.0)</f>
        <v>59000</v>
      </c>
      <c r="AK49" s="537">
        <f>IFERROR(__xludf.DUMMYFUNCTION("SUM(INDIRECT(CONCATENATE(""'"",INDEX(SPLIT($D49,""H""),1),""H"",INDEX(SPLIT($D49,""H""),2)+$E49*(COLUMN()-COLUMN($G49)),"":"",""H"",INDEX(SPLIT($D49,""H""),2)+$E49*(COLUMN()-COLUMN($G49))+$F49-1)))"),59000.0)</f>
        <v>59000</v>
      </c>
      <c r="AL49" s="537">
        <f>IFERROR(__xludf.DUMMYFUNCTION("SUM(INDIRECT(CONCATENATE(""'"",INDEX(SPLIT($D49,""H""),1),""H"",INDEX(SPLIT($D49,""H""),2)+$E49*(COLUMN()-COLUMN($G49)),"":"",""H"",INDEX(SPLIT($D49,""H""),2)+$E49*(COLUMN()-COLUMN($G49))+$F49-1)))"),61422.0)</f>
        <v>61422</v>
      </c>
      <c r="AM49" s="537">
        <f>IFERROR(__xludf.DUMMYFUNCTION("SUM(INDIRECT(CONCATENATE(""'"",INDEX(SPLIT($D49,""H""),1),""H"",INDEX(SPLIT($D49,""H""),2)+$E49*(COLUMN()-COLUMN($G49)),"":"",""H"",INDEX(SPLIT($D49,""H""),2)+$E49*(COLUMN()-COLUMN($G49))+$F49-1)))"),105614.0)</f>
        <v>105614</v>
      </c>
      <c r="AN49" s="537">
        <f>IFERROR(__xludf.DUMMYFUNCTION("SUM(INDIRECT(CONCATENATE(""'"",INDEX(SPLIT($D49,""H""),1),""H"",INDEX(SPLIT($D49,""H""),2)+$E49*(COLUMN()-COLUMN($G49)),"":"",""H"",INDEX(SPLIT($D49,""H""),2)+$E49*(COLUMN()-COLUMN($G49))+$F49-1)))"),60400.0)</f>
        <v>60400</v>
      </c>
      <c r="AO49" s="537">
        <f>IFERROR(__xludf.DUMMYFUNCTION("SUM(INDIRECT(CONCATENATE(""'"",INDEX(SPLIT($D49,""H""),1),""H"",INDEX(SPLIT($D49,""H""),2)+$E49*(COLUMN()-COLUMN($G49)),"":"",""H"",INDEX(SPLIT($D49,""H""),2)+$E49*(COLUMN()-COLUMN($G49))+$F49-1)))"),60400.0)</f>
        <v>60400</v>
      </c>
      <c r="AP49" s="537">
        <f>IFERROR(__xludf.DUMMYFUNCTION("SUM(INDIRECT(CONCATENATE(""'"",INDEX(SPLIT($D49,""H""),1),""H"",INDEX(SPLIT($D49,""H""),2)+$E49*(COLUMN()-COLUMN($G49)),"":"",""H"",INDEX(SPLIT($D49,""H""),2)+$E49*(COLUMN()-COLUMN($G49))+$F49-1)))"),60400.0)</f>
        <v>60400</v>
      </c>
      <c r="AQ49" s="537">
        <f>IFERROR(__xludf.DUMMYFUNCTION("SUM(INDIRECT(CONCATENATE(""'"",INDEX(SPLIT($D49,""H""),1),""H"",INDEX(SPLIT($D49,""H""),2)+$E49*(COLUMN()-COLUMN($G49)),"":"",""H"",INDEX(SPLIT($D49,""H""),2)+$E49*(COLUMN()-COLUMN($G49))+$F49-1)))"),60826.0)</f>
        <v>60826</v>
      </c>
      <c r="AR49" s="537">
        <f>IFERROR(__xludf.DUMMYFUNCTION("SUM(INDIRECT(CONCATENATE(""'"",INDEX(SPLIT($D49,""H""),1),""H"",INDEX(SPLIT($D49,""H""),2)+$E49*(COLUMN()-COLUMN($G49)),"":"",""H"",INDEX(SPLIT($D49,""H""),2)+$E49*(COLUMN()-COLUMN($G49))+$F49-1)))"),61072.0)</f>
        <v>61072</v>
      </c>
      <c r="AS49" s="537">
        <f>IFERROR(__xludf.DUMMYFUNCTION("SUM(INDIRECT(CONCATENATE(""'"",INDEX(SPLIT($D49,""H""),1),""H"",INDEX(SPLIT($D49,""H""),2)+$E49*(COLUMN()-COLUMN($G49)),"":"",""H"",INDEX(SPLIT($D49,""H""),2)+$E49*(COLUMN()-COLUMN($G49))+$F49-1)))"),76938.0)</f>
        <v>76938</v>
      </c>
      <c r="AT49" s="537">
        <f>IFERROR(__xludf.DUMMYFUNCTION("SUM(INDIRECT(CONCATENATE(""'"",INDEX(SPLIT($D49,""H""),1),""H"",INDEX(SPLIT($D49,""H""),2)+$E49*(COLUMN()-COLUMN($G49)),"":"",""H"",INDEX(SPLIT($D49,""H""),2)+$E49*(COLUMN()-COLUMN($G49))+$F49-1)))"),159173.0)</f>
        <v>159173</v>
      </c>
      <c r="AU49" s="537">
        <f>IFERROR(__xludf.DUMMYFUNCTION("SUM(INDIRECT(CONCATENATE(""'"",INDEX(SPLIT($D49,""H""),1),""H"",INDEX(SPLIT($D49,""H""),2)+$E49*(COLUMN()-COLUMN($G49)),"":"",""H"",INDEX(SPLIT($D49,""H""),2)+$E49*(COLUMN()-COLUMN($G49))+$F49-1)))"),60400.0)</f>
        <v>60400</v>
      </c>
      <c r="AV49" s="537">
        <f>IFERROR(__xludf.DUMMYFUNCTION("SUM(INDIRECT(CONCATENATE(""'"",INDEX(SPLIT($D49,""H""),1),""H"",INDEX(SPLIT($D49,""H""),2)+$E49*(COLUMN()-COLUMN($G49)),"":"",""H"",INDEX(SPLIT($D49,""H""),2)+$E49*(COLUMN()-COLUMN($G49))+$F49-1)))"),67660.0)</f>
        <v>67660</v>
      </c>
      <c r="AW49" s="537">
        <f>IFERROR(__xludf.DUMMYFUNCTION("SUM(INDIRECT(CONCATENATE(""'"",INDEX(SPLIT($D49,""H""),1),""H"",INDEX(SPLIT($D49,""H""),2)+$E49*(COLUMN()-COLUMN($G49)),"":"",""H"",INDEX(SPLIT($D49,""H""),2)+$E49*(COLUMN()-COLUMN($G49))+$F49-1)))"),68020.0)</f>
        <v>68020</v>
      </c>
      <c r="AX49" s="537">
        <f>IFERROR(__xludf.DUMMYFUNCTION("SUM(INDIRECT(CONCATENATE(""'"",INDEX(SPLIT($D49,""H""),1),""H"",INDEX(SPLIT($D49,""H""),2)+$E49*(COLUMN()-COLUMN($G49)),"":"",""H"",INDEX(SPLIT($D49,""H""),2)+$E49*(COLUMN()-COLUMN($G49))+$F49-1)))"),133540.0)</f>
        <v>133540</v>
      </c>
      <c r="AY49" s="537">
        <f>IFERROR(__xludf.DUMMYFUNCTION("SUM(INDIRECT(CONCATENATE(""'"",INDEX(SPLIT($D49,""H""),1),""H"",INDEX(SPLIT($D49,""H""),2)+$E49*(COLUMN()-COLUMN($G49)),"":"",""H"",INDEX(SPLIT($D49,""H""),2)+$E49*(COLUMN()-COLUMN($G49))+$F49-1)))"),71682.0)</f>
        <v>71682</v>
      </c>
      <c r="AZ49" s="537">
        <f>IFERROR(__xludf.DUMMYFUNCTION("SUM(INDIRECT(CONCATENATE(""'"",INDEX(SPLIT($D49,""H""),1),""H"",INDEX(SPLIT($D49,""H""),2)+$E49*(COLUMN()-COLUMN($G49)),"":"",""H"",INDEX(SPLIT($D49,""H""),2)+$E49*(COLUMN()-COLUMN($G49))+$F49-1)))"),41967.0)</f>
        <v>41967</v>
      </c>
      <c r="BA49" s="537">
        <f>IFERROR(__xludf.DUMMYFUNCTION("SUM(INDIRECT(CONCATENATE(""'"",INDEX(SPLIT($D49,""H""),1),""H"",INDEX(SPLIT($D49,""H""),2)+$E49*(COLUMN()-COLUMN($G49)),"":"",""H"",INDEX(SPLIT($D49,""H""),2)+$E49*(COLUMN()-COLUMN($G49))+$F49-1)))"),96000.0)</f>
        <v>96000</v>
      </c>
      <c r="BB49" s="537">
        <f>IFERROR(__xludf.DUMMYFUNCTION("SUM(INDIRECT(CONCATENATE(""'"",INDEX(SPLIT($D49,""H""),1),""H"",INDEX(SPLIT($D49,""H""),2)+$E49*(COLUMN()-COLUMN($G49)),"":"",""H"",INDEX(SPLIT($D49,""H""),2)+$E49*(COLUMN()-COLUMN($G49))+$F49-1)))"),93417.0)</f>
        <v>93417</v>
      </c>
      <c r="BC49" s="537">
        <f>IFERROR(__xludf.DUMMYFUNCTION("SUM(INDIRECT(CONCATENATE(""'"",INDEX(SPLIT($D49,""H""),1),""H"",INDEX(SPLIT($D49,""H""),2)+$E49*(COLUMN()-COLUMN($G49)),"":"",""H"",INDEX(SPLIT($D49,""H""),2)+$E49*(COLUMN()-COLUMN($G49))+$F49-1)))"),95000.0)</f>
        <v>95000</v>
      </c>
      <c r="BD49" s="537">
        <f>IFERROR(__xludf.DUMMYFUNCTION("SUM(INDIRECT(CONCATENATE(""'"",INDEX(SPLIT($D49,""H""),1),""H"",INDEX(SPLIT($D49,""H""),2)+$E49*(COLUMN()-COLUMN($G49)),"":"",""H"",INDEX(SPLIT($D49,""H""),2)+$E49*(COLUMN()-COLUMN($G49))+$F49-1)))"),120000.0)</f>
        <v>120000</v>
      </c>
      <c r="BE49" s="537">
        <f>IFERROR(__xludf.DUMMYFUNCTION("SUM(INDIRECT(CONCATENATE(""'"",INDEX(SPLIT($D49,""H""),1),""H"",INDEX(SPLIT($D49,""H""),2)+$E49*(COLUMN()-COLUMN($G49)),"":"",""H"",INDEX(SPLIT($D49,""H""),2)+$E49*(COLUMN()-COLUMN($G49))+$F49-1)))"),103313.0)</f>
        <v>103313</v>
      </c>
      <c r="BF49" s="537">
        <f>IFERROR(__xludf.DUMMYFUNCTION("SUM(INDIRECT(CONCATENATE(""'"",INDEX(SPLIT($D49,""H""),1),""H"",INDEX(SPLIT($D49,""H""),2)+$E49*(COLUMN()-COLUMN($G49)),"":"",""H"",INDEX(SPLIT($D49,""H""),2)+$E49*(COLUMN()-COLUMN($G49))+$F49-1)))"),316582.0)</f>
        <v>316582</v>
      </c>
      <c r="BG49" s="537">
        <f>IFERROR(__xludf.DUMMYFUNCTION("SUM(INDIRECT(CONCATENATE(""'"",INDEX(SPLIT($D49,""H""),1),""H"",INDEX(SPLIT($D49,""H""),2)+$E49*(COLUMN()-COLUMN($G49)),"":"",""H"",INDEX(SPLIT($D49,""H""),2)+$E49*(COLUMN()-COLUMN($G49))+$F49-1)))"),95000.0)</f>
        <v>95000</v>
      </c>
      <c r="BH49" s="537">
        <f>IFERROR(__xludf.DUMMYFUNCTION("SUM(INDIRECT(CONCATENATE(""'"",INDEX(SPLIT($D49,""H""),1),""H"",INDEX(SPLIT($D49,""H""),2)+$E49*(COLUMN()-COLUMN($G49)),"":"",""H"",INDEX(SPLIT($D49,""H""),2)+$E49*(COLUMN()-COLUMN($G49))+$F49-1)))"),95000.0)</f>
        <v>95000</v>
      </c>
      <c r="BI49" s="537">
        <f>IFERROR(__xludf.DUMMYFUNCTION("SUM(INDIRECT(CONCATENATE(""'"",INDEX(SPLIT($D49,""H""),1),""H"",INDEX(SPLIT($D49,""H""),2)+$E49*(COLUMN()-COLUMN($G49)),"":"",""H"",INDEX(SPLIT($D49,""H""),2)+$E49*(COLUMN()-COLUMN($G49))+$F49-1)))"),96000.0)</f>
        <v>96000</v>
      </c>
      <c r="BJ49" s="537">
        <f>IFERROR(__xludf.DUMMYFUNCTION("SUM(INDIRECT(CONCATENATE(""'"",INDEX(SPLIT($D49,""H""),1),""H"",INDEX(SPLIT($D49,""H""),2)+$E49*(COLUMN()-COLUMN($G49)),"":"",""H"",INDEX(SPLIT($D49,""H""),2)+$E49*(COLUMN()-COLUMN($G49))+$F49-1)))"),100458.0)</f>
        <v>100458</v>
      </c>
      <c r="BK49" s="537">
        <f>IFERROR(__xludf.DUMMYFUNCTION("SUM(INDIRECT(CONCATENATE(""'"",INDEX(SPLIT($D49,""H""),1),""H"",INDEX(SPLIT($D49,""H""),2)+$E49*(COLUMN()-COLUMN($G49)),"":"",""H"",INDEX(SPLIT($D49,""H""),2)+$E49*(COLUMN()-COLUMN($G49))+$F49-1)))"),99000.0)</f>
        <v>99000</v>
      </c>
      <c r="BL49" s="537">
        <f>IFERROR(__xludf.DUMMYFUNCTION("SUM(INDIRECT(CONCATENATE(""'"",INDEX(SPLIT($D49,""H""),1),""H"",INDEX(SPLIT($D49,""H""),2)+$E49*(COLUMN()-COLUMN($G49)),"":"",""H"",INDEX(SPLIT($D49,""H""),2)+$E49*(COLUMN()-COLUMN($G49))+$F49-1)))"),250858.0)</f>
        <v>250858</v>
      </c>
      <c r="BM49" s="537">
        <f>IFERROR(__xludf.DUMMYFUNCTION("SUM(INDIRECT(CONCATENATE(""'"",INDEX(SPLIT($D49,""H""),1),""H"",INDEX(SPLIT($D49,""H""),2)+$E49*(COLUMN()-COLUMN($G49)),"":"",""H"",INDEX(SPLIT($D49,""H""),2)+$E49*(COLUMN()-COLUMN($G49))+$F49-1)))"),99000.0)</f>
        <v>99000</v>
      </c>
      <c r="BN49" s="537">
        <f>IFERROR(__xludf.DUMMYFUNCTION("SUM(INDIRECT(CONCATENATE(""'"",INDEX(SPLIT($D49,""H""),1),""H"",INDEX(SPLIT($D49,""H""),2)+$E49*(COLUMN()-COLUMN($G49)),"":"",""H"",INDEX(SPLIT($D49,""H""),2)+$E49*(COLUMN()-COLUMN($G49))+$F49-1)))"),99000.0)</f>
        <v>99000</v>
      </c>
      <c r="BO49" s="537">
        <f>IFERROR(__xludf.DUMMYFUNCTION("SUM(INDIRECT(CONCATENATE(""'"",INDEX(SPLIT($D49,""H""),1),""H"",INDEX(SPLIT($D49,""H""),2)+$E49*(COLUMN()-COLUMN($G49)),"":"",""H"",INDEX(SPLIT($D49,""H""),2)+$E49*(COLUMN()-COLUMN($G49))+$F49-1)))"),178000.0)</f>
        <v>178000</v>
      </c>
      <c r="BP49" s="537">
        <f>IFERROR(__xludf.DUMMYFUNCTION("SUM(INDIRECT(CONCATENATE(""'"",INDEX(SPLIT($D49,""H""),1),""H"",INDEX(SPLIT($D49,""H""),2)+$E49*(COLUMN()-COLUMN($G49)),"":"",""H"",INDEX(SPLIT($D49,""H""),2)+$E49*(COLUMN()-COLUMN($G49))+$F49-1)))"),98000.0)</f>
        <v>98000</v>
      </c>
      <c r="BQ49" s="537">
        <f>IFERROR(__xludf.DUMMYFUNCTION("SUM(INDIRECT(CONCATENATE(""'"",INDEX(SPLIT($D49,""H""),1),""H"",INDEX(SPLIT($D49,""H""),2)+$E49*(COLUMN()-COLUMN($G49)),"":"",""H"",INDEX(SPLIT($D49,""H""),2)+$E49*(COLUMN()-COLUMN($G49))+$F49-1)))"),98000.0)</f>
        <v>98000</v>
      </c>
      <c r="BR49" s="537">
        <f>IFERROR(__xludf.DUMMYFUNCTION("SUM(INDIRECT(CONCATENATE(""'"",INDEX(SPLIT($D49,""H""),1),""H"",INDEX(SPLIT($D49,""H""),2)+$E49*(COLUMN()-COLUMN($G49)),"":"",""H"",INDEX(SPLIT($D49,""H""),2)+$E49*(COLUMN()-COLUMN($G49))+$F49-1)))"),682987.0)</f>
        <v>682987</v>
      </c>
      <c r="BS49" s="537">
        <f>IFERROR(__xludf.DUMMYFUNCTION("SUM(INDIRECT(CONCATENATE(""'"",INDEX(SPLIT($D49,""H""),1),""H"",INDEX(SPLIT($D49,""H""),2)+$E49*(COLUMN()-COLUMN($G49)),"":"",""H"",INDEX(SPLIT($D49,""H""),2)+$E49*(COLUMN()-COLUMN($G49))+$F49-1)))"),98000.0)</f>
        <v>98000</v>
      </c>
      <c r="BT49" s="537">
        <f>IFERROR(__xludf.DUMMYFUNCTION("SUM(INDIRECT(CONCATENATE(""'"",INDEX(SPLIT($D49,""H""),1),""H"",INDEX(SPLIT($D49,""H""),2)+$E49*(COLUMN()-COLUMN($G49)),"":"",""H"",INDEX(SPLIT($D49,""H""),2)+$E49*(COLUMN()-COLUMN($G49))+$F49-1)))"),99500.0)</f>
        <v>99500</v>
      </c>
      <c r="BU49" s="537">
        <f>IFERROR(__xludf.DUMMYFUNCTION("SUM(INDIRECT(CONCATENATE(""'"",INDEX(SPLIT($D49,""H""),1),""H"",INDEX(SPLIT($D49,""H""),2)+$E49*(COLUMN()-COLUMN($G49)),"":"",""H"",INDEX(SPLIT($D49,""H""),2)+$E49*(COLUMN()-COLUMN($G49))+$F49-1)))"),179000.0)</f>
        <v>179000</v>
      </c>
      <c r="BV49" s="537">
        <f>IFERROR(__xludf.DUMMYFUNCTION("SUM(INDIRECT(CONCATENATE(""'"",INDEX(SPLIT($D49,""H""),1),""H"",INDEX(SPLIT($D49,""H""),2)+$E49*(COLUMN()-COLUMN($G49)),"":"",""H"",INDEX(SPLIT($D49,""H""),2)+$E49*(COLUMN()-COLUMN($G49))+$F49-1)))"),102900.0)</f>
        <v>102900</v>
      </c>
      <c r="BW49" s="537">
        <f>IFERROR(__xludf.DUMMYFUNCTION("SUM(INDIRECT(CONCATENATE(""'"",INDEX(SPLIT($D49,""H""),1),""H"",INDEX(SPLIT($D49,""H""),2)+$E49*(COLUMN()-COLUMN($G49)),"":"",""H"",INDEX(SPLIT($D49,""H""),2)+$E49*(COLUMN()-COLUMN($G49))+$F49-1)))"),103900.0)</f>
        <v>103900</v>
      </c>
      <c r="BX49" s="537">
        <f>IFERROR(__xludf.DUMMYFUNCTION("SUM(INDIRECT(CONCATENATE(""'"",INDEX(SPLIT($D49,""H""),1),""H"",INDEX(SPLIT($D49,""H""),2)+$E49*(COLUMN()-COLUMN($G49)),"":"",""H"",INDEX(SPLIT($D49,""H""),2)+$E49*(COLUMN()-COLUMN($G49))+$F49-1)))"),225050.0)</f>
        <v>225050</v>
      </c>
      <c r="BY49" s="537">
        <f>IFERROR(__xludf.DUMMYFUNCTION("SUM(INDIRECT(CONCATENATE(""'"",INDEX(SPLIT($D49,""H""),1),""H"",INDEX(SPLIT($D49,""H""),2)+$E49*(COLUMN()-COLUMN($G49)),"":"",""H"",INDEX(SPLIT($D49,""H""),2)+$E49*(COLUMN()-COLUMN($G49))+$F49-1)))"),103900.0)</f>
        <v>103900</v>
      </c>
      <c r="BZ49" s="537">
        <f>IFERROR(__xludf.DUMMYFUNCTION("SUM(INDIRECT(CONCATENATE(""'"",INDEX(SPLIT($D49,""H""),1),""H"",INDEX(SPLIT($D49,""H""),2)+$E49*(COLUMN()-COLUMN($G49)),"":"",""H"",INDEX(SPLIT($D49,""H""),2)+$E49*(COLUMN()-COLUMN($G49))+$F49-1)))"),103900.0)</f>
        <v>103900</v>
      </c>
      <c r="CA49" s="537">
        <f>IFERROR(__xludf.DUMMYFUNCTION("SUM(INDIRECT(CONCATENATE(""'"",INDEX(SPLIT($D49,""H""),1),""H"",INDEX(SPLIT($D49,""H""),2)+$E49*(COLUMN()-COLUMN($G49)),"":"",""H"",INDEX(SPLIT($D49,""H""),2)+$E49*(COLUMN()-COLUMN($G49))+$F49-1)))"),75500.0)</f>
        <v>75500</v>
      </c>
      <c r="CB49" s="537">
        <f>IFERROR(__xludf.DUMMYFUNCTION("SUM(INDIRECT(CONCATENATE(""'"",INDEX(SPLIT($D49,""H""),1),""H"",INDEX(SPLIT($D49,""H""),2)+$E49*(COLUMN()-COLUMN($G49)),"":"",""H"",INDEX(SPLIT($D49,""H""),2)+$E49*(COLUMN()-COLUMN($G49))+$F49-1)))"),122900.0)</f>
        <v>122900</v>
      </c>
      <c r="CC49" s="537">
        <f>IFERROR(__xludf.DUMMYFUNCTION("SUM(INDIRECT(CONCATENATE(""'"",INDEX(SPLIT($D49,""H""),1),""H"",INDEX(SPLIT($D49,""H""),2)+$E49*(COLUMN()-COLUMN($G49)),"":"",""H"",INDEX(SPLIT($D49,""H""),2)+$E49*(COLUMN()-COLUMN($G49))+$F49-1)))"),102900.0)</f>
        <v>102900</v>
      </c>
      <c r="CD49" s="537">
        <f>IFERROR(__xludf.DUMMYFUNCTION("SUM(INDIRECT(CONCATENATE(""'"",INDEX(SPLIT($D49,""H""),1),""H"",INDEX(SPLIT($D49,""H""),2)+$E49*(COLUMN()-COLUMN($G49)),"":"",""H"",INDEX(SPLIT($D49,""H""),2)+$E49*(COLUMN()-COLUMN($G49))+$F49-1)))"),640334.0)</f>
        <v>640334</v>
      </c>
      <c r="CE49" s="537">
        <f>IFERROR(__xludf.DUMMYFUNCTION("SUM(INDIRECT(CONCATENATE(""'"",INDEX(SPLIT($D49,""H""),1),""H"",INDEX(SPLIT($D49,""H""),2)+$E49*(COLUMN()-COLUMN($G49)),"":"",""H"",INDEX(SPLIT($D49,""H""),2)+$E49*(COLUMN()-COLUMN($G49))+$F49-1)))"),101185.0)</f>
        <v>101185</v>
      </c>
      <c r="CF49" s="537">
        <f>IFERROR(__xludf.DUMMYFUNCTION("SUM(INDIRECT(CONCATENATE(""'"",INDEX(SPLIT($D49,""H""),1),""H"",INDEX(SPLIT($D49,""H""),2)+$E49*(COLUMN()-COLUMN($G49)),"":"",""H"",INDEX(SPLIT($D49,""H""),2)+$E49*(COLUMN()-COLUMN($G49))+$F49-1)))"),108641.0)</f>
        <v>108641</v>
      </c>
      <c r="CG49" s="537">
        <f>IFERROR(__xludf.DUMMYFUNCTION("SUM(INDIRECT(CONCATENATE(""'"",INDEX(SPLIT($D49,""H""),1),""H"",INDEX(SPLIT($D49,""H""),2)+$E49*(COLUMN()-COLUMN($G49)),"":"",""H"",INDEX(SPLIT($D49,""H""),2)+$E49*(COLUMN()-COLUMN($G49))+$F49-1)))"),178864.0)</f>
        <v>178864</v>
      </c>
      <c r="CH49" s="537">
        <f>IFERROR(__xludf.DUMMYFUNCTION("SUM(INDIRECT(CONCATENATE(""'"",INDEX(SPLIT($D49,""H""),1),""H"",INDEX(SPLIT($D49,""H""),2)+$E49*(COLUMN()-COLUMN($G49)),"":"",""H"",INDEX(SPLIT($D49,""H""),2)+$E49*(COLUMN()-COLUMN($G49))+$F49-1)))"),101649.0)</f>
        <v>101649</v>
      </c>
      <c r="CI49" s="537">
        <f>IFERROR(__xludf.DUMMYFUNCTION("SUM(INDIRECT(CONCATENATE(""'"",INDEX(SPLIT($D49,""H""),1),""H"",INDEX(SPLIT($D49,""H""),2)+$E49*(COLUMN()-COLUMN($G49)),"":"",""H"",INDEX(SPLIT($D49,""H""),2)+$E49*(COLUMN()-COLUMN($G49))+$F49-1)))"),107300.0)</f>
        <v>107300</v>
      </c>
      <c r="CJ49" s="537">
        <f>IFERROR(__xludf.DUMMYFUNCTION("SUM(INDIRECT(CONCATENATE(""'"",INDEX(SPLIT($D49,""H""),1),""H"",INDEX(SPLIT($D49,""H""),2)+$E49*(COLUMN()-COLUMN($G49)),"":"",""H"",INDEX(SPLIT($D49,""H""),2)+$E49*(COLUMN()-COLUMN($G49))+$F49-1)))"),208300.0)</f>
        <v>208300</v>
      </c>
      <c r="CK49" s="537">
        <f>IFERROR(__xludf.DUMMYFUNCTION("SUM(INDIRECT(CONCATENATE(""'"",INDEX(SPLIT($D49,""H""),1),""H"",INDEX(SPLIT($D49,""H""),2)+$E49*(COLUMN()-COLUMN($G49)),"":"",""H"",INDEX(SPLIT($D49,""H""),2)+$E49*(COLUMN()-COLUMN($G49))+$F49-1)))"),135200.0)</f>
        <v>135200</v>
      </c>
      <c r="CL49" s="537">
        <f>IFERROR(__xludf.DUMMYFUNCTION("SUM(INDIRECT(CONCATENATE(""'"",INDEX(SPLIT($D49,""H""),1),""H"",INDEX(SPLIT($D49,""H""),2)+$E49*(COLUMN()-COLUMN($G49)),"":"",""H"",INDEX(SPLIT($D49,""H""),2)+$E49*(COLUMN()-COLUMN($G49))+$F49-1)))"),107076.0)</f>
        <v>107076</v>
      </c>
      <c r="CM49" s="537">
        <f>IFERROR(__xludf.DUMMYFUNCTION("SUM(INDIRECT(CONCATENATE(""'"",INDEX(SPLIT($D49,""H""),1),""H"",INDEX(SPLIT($D49,""H""),2)+$E49*(COLUMN()-COLUMN($G49)),"":"",""H"",INDEX(SPLIT($D49,""H""),2)+$E49*(COLUMN()-COLUMN($G49))+$F49-1)))"),182065.0)</f>
        <v>182065</v>
      </c>
      <c r="CN49" s="537">
        <f>IFERROR(__xludf.DUMMYFUNCTION("SUM(INDIRECT(CONCATENATE(""'"",INDEX(SPLIT($D49,""H""),1),""H"",INDEX(SPLIT($D49,""H""),2)+$E49*(COLUMN()-COLUMN($G49)),"":"",""H"",INDEX(SPLIT($D49,""H""),2)+$E49*(COLUMN()-COLUMN($G49))+$F49-1)))"),107300.0)</f>
        <v>107300</v>
      </c>
      <c r="CO49" s="538">
        <f>IFERROR(__xludf.DUMMYFUNCTION("SUM(INDIRECT(CONCATENATE(""'"",INDEX(SPLIT($D49,""H""),1),""H"",INDEX(SPLIT($D49,""H""),2)+$E49*(COLUMN()-COLUMN($G49)),"":"",""H"",INDEX(SPLIT($D49,""H""),2)+$E49*(COLUMN()-COLUMN($G49))+$F49-1)))"),132300.0)</f>
        <v>132300</v>
      </c>
      <c r="CP49" s="537">
        <f>IFERROR(__xludf.DUMMYFUNCTION("SUM(INDIRECT(CONCATENATE(""'"",INDEX(SPLIT($D49,""H""),1),""H"",INDEX(SPLIT($D49,""H""),2)+$E49*(COLUMN()-COLUMN($G49)),"":"",""H"",INDEX(SPLIT($D49,""H""),2)+$E49*(COLUMN()-COLUMN($G49))+$F49-1)))"),107300.0)</f>
        <v>107300</v>
      </c>
      <c r="CQ49" s="537">
        <f>IFERROR(__xludf.DUMMYFUNCTION("SUM(INDIRECT(CONCATENATE(""'"",INDEX(SPLIT($D49,""H""),1),""H"",INDEX(SPLIT($D49,""H""),2)+$E49*(COLUMN()-COLUMN($G49)),"":"",""H"",INDEX(SPLIT($D49,""H""),2)+$E49*(COLUMN()-COLUMN($G49))+$F49-1)))"),603340.0)</f>
        <v>603340</v>
      </c>
      <c r="CR49" s="537">
        <f>IFERROR(__xludf.DUMMYFUNCTION("SUM(INDIRECT(CONCATENATE(""'"",INDEX(SPLIT($D49,""H""),1),""H"",INDEX(SPLIT($D49,""H""),2)+$E49*(COLUMN()-COLUMN($G49)),"":"",""H"",INDEX(SPLIT($D49,""H""),2)+$E49*(COLUMN()-COLUMN($G49))+$F49-1)))"),107300.0)</f>
        <v>107300</v>
      </c>
      <c r="CS49" s="537">
        <f>IFERROR(__xludf.DUMMYFUNCTION("SUM(INDIRECT(CONCATENATE(""'"",INDEX(SPLIT($D49,""H""),1),""H"",INDEX(SPLIT($D49,""H""),2)+$E49*(COLUMN()-COLUMN($G49)),"":"",""H"",INDEX(SPLIT($D49,""H""),2)+$E49*(COLUMN()-COLUMN($G49))+$F49-1)))"),119227.0)</f>
        <v>119227</v>
      </c>
      <c r="CT49" s="537">
        <f>IFERROR(__xludf.DUMMYFUNCTION("SUM(INDIRECT(CONCATENATE(""'"",INDEX(SPLIT($D49,""H""),1),""H"",INDEX(SPLIT($D49,""H""),2)+$E49*(COLUMN()-COLUMN($G49)),"":"",""H"",INDEX(SPLIT($D49,""H""),2)+$E49*(COLUMN()-COLUMN($G49))+$F49-1)))"),215503.0)</f>
        <v>215503</v>
      </c>
      <c r="CU49" s="537">
        <f>IFERROR(__xludf.DUMMYFUNCTION("SUM(INDIRECT(CONCATENATE(""'"",INDEX(SPLIT($D49,""H""),1),""H"",INDEX(SPLIT($D49,""H""),2)+$E49*(COLUMN()-COLUMN($G49)),"":"",""H"",INDEX(SPLIT($D49,""H""),2)+$E49*(COLUMN()-COLUMN($G49))+$F49-1)))"),110300.0)</f>
        <v>110300</v>
      </c>
      <c r="CV49" s="537">
        <f>IFERROR(__xludf.DUMMYFUNCTION("SUM(INDIRECT(CONCATENATE(""'"",INDEX(SPLIT($D49,""H""),1),""H"",INDEX(SPLIT($D49,""H""),2)+$E49*(COLUMN()-COLUMN($G49)),"":"",""H"",INDEX(SPLIT($D49,""H""),2)+$E49*(COLUMN()-COLUMN($G49))+$F49-1)))"),110300.0)</f>
        <v>110300</v>
      </c>
      <c r="CW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CX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CY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CZ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A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B49" s="537">
        <f>IFERROR(__xludf.DUMMYFUNCTION("SUM(INDIRECT(CONCATENATE(""'"",INDEX(SPLIT($D49,""H""),1),""H"",INDEX(SPLIT($D49,""H""),2)+$E49*(COLUMN()-COLUMN($G49)),"":"",""H"",INDEX(SPLIT($D49,""H""),2)+$E49*(COLUMN()-COLUMN($G49))+$F49-1)))"),5849458.0)</f>
        <v>5849458</v>
      </c>
      <c r="DC49" s="537">
        <f>IFERROR(__xludf.DUMMYFUNCTION("SUM(INDIRECT(CONCATENATE(""'"",INDEX(SPLIT($D49,""H""),1),""H"",INDEX(SPLIT($D49,""H""),2)+$E49*(COLUMN()-COLUMN($G49)),"":"",""H"",INDEX(SPLIT($D49,""H""),2)+$E49*(COLUMN()-COLUMN($G49))+$F49-1)))"),82834.50980392157)</f>
        <v>82834.5098</v>
      </c>
      <c r="DD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E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F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G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H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I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J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K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L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M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N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O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P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Q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R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S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T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U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V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W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X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Y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DZ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A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B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C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D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E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F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G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H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I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J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K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L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M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N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O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P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Q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R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S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T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U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V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W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X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Y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EZ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A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B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C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D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E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F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G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H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I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J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K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L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M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N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O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P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Q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R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S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T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U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V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W49" s="537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  <c r="FX49" s="538">
        <f>IFERROR(__xludf.DUMMYFUNCTION("SUM(INDIRECT(CONCATENATE(""'"",INDEX(SPLIT($D49,""H""),1),""H"",INDEX(SPLIT($D49,""H""),2)+$E49*(COLUMN()-COLUMN($G49)),"":"",""H"",INDEX(SPLIT($D49,""H""),2)+$E49*(COLUMN()-COLUMN($G49))+$F49-1)))"),0.0)</f>
        <v>0</v>
      </c>
    </row>
    <row r="50">
      <c r="A50" s="535" t="s">
        <v>705</v>
      </c>
      <c r="B50" s="535"/>
      <c r="C50" s="539"/>
      <c r="D50" s="540" t="s">
        <v>652</v>
      </c>
      <c r="E50" s="444" t="s">
        <v>652</v>
      </c>
      <c r="F50" s="444" t="s">
        <v>652</v>
      </c>
      <c r="G50" s="541">
        <v>0.0</v>
      </c>
      <c r="H50" s="541">
        <v>0.0</v>
      </c>
      <c r="I50" s="541">
        <v>0.0</v>
      </c>
      <c r="J50" s="541">
        <v>0.0</v>
      </c>
      <c r="K50" s="541">
        <v>0.0</v>
      </c>
      <c r="L50" s="541">
        <v>0.0</v>
      </c>
      <c r="M50" s="541">
        <v>0.0</v>
      </c>
      <c r="N50" s="541">
        <v>0.0</v>
      </c>
      <c r="O50" s="541">
        <v>0.0</v>
      </c>
      <c r="P50" s="541">
        <v>0.0</v>
      </c>
      <c r="Q50" s="541">
        <v>0.0</v>
      </c>
      <c r="R50" s="541">
        <v>0.0</v>
      </c>
      <c r="S50" s="541">
        <v>0.0</v>
      </c>
      <c r="T50" s="541">
        <v>0.0</v>
      </c>
      <c r="U50" s="541">
        <v>0.0</v>
      </c>
      <c r="V50" s="541">
        <v>0.0</v>
      </c>
      <c r="W50" s="541">
        <v>0.0</v>
      </c>
      <c r="X50" s="541">
        <v>0.0</v>
      </c>
      <c r="Y50" s="541">
        <v>0.0</v>
      </c>
      <c r="Z50" s="541">
        <v>0.0</v>
      </c>
      <c r="AA50" s="541">
        <v>0.0</v>
      </c>
      <c r="AB50" s="541">
        <v>0.0</v>
      </c>
      <c r="AC50" s="541">
        <v>0.0</v>
      </c>
      <c r="AD50" s="541">
        <v>0.0</v>
      </c>
      <c r="AE50" s="541">
        <v>0.0</v>
      </c>
      <c r="AF50" s="541">
        <v>0.0</v>
      </c>
      <c r="AG50" s="541">
        <v>0.0</v>
      </c>
      <c r="AH50" s="541">
        <v>0.0</v>
      </c>
      <c r="AI50" s="541">
        <v>0.0</v>
      </c>
      <c r="AJ50" s="541">
        <v>0.0</v>
      </c>
      <c r="AK50" s="541">
        <v>0.0</v>
      </c>
      <c r="AL50" s="541">
        <v>0.0</v>
      </c>
      <c r="AM50" s="541">
        <v>0.0</v>
      </c>
      <c r="AN50" s="541">
        <v>0.0</v>
      </c>
      <c r="AO50" s="541">
        <v>0.0</v>
      </c>
      <c r="AP50" s="541">
        <v>0.0</v>
      </c>
      <c r="AQ50" s="541">
        <v>0.0</v>
      </c>
      <c r="AR50" s="541">
        <v>0.0</v>
      </c>
      <c r="AS50" s="541">
        <v>0.0</v>
      </c>
      <c r="AT50" s="541">
        <v>0.0</v>
      </c>
      <c r="AU50" s="541">
        <v>0.0</v>
      </c>
      <c r="AV50" s="541">
        <v>0.0</v>
      </c>
      <c r="AW50" s="541">
        <v>0.0</v>
      </c>
      <c r="AX50" s="541">
        <v>0.0</v>
      </c>
      <c r="AY50" s="541">
        <v>0.0</v>
      </c>
      <c r="AZ50" s="541">
        <v>0.0</v>
      </c>
      <c r="BA50" s="541">
        <v>0.0</v>
      </c>
      <c r="BB50" s="541">
        <v>0.0</v>
      </c>
      <c r="BC50" s="541">
        <v>0.0</v>
      </c>
      <c r="BD50" s="541">
        <v>0.0</v>
      </c>
      <c r="BE50" s="541">
        <v>0.0</v>
      </c>
      <c r="BF50" s="541">
        <v>0.0</v>
      </c>
      <c r="BG50" s="541">
        <v>0.0</v>
      </c>
      <c r="BH50" s="541">
        <v>0.0</v>
      </c>
      <c r="BI50" s="541">
        <v>0.0</v>
      </c>
      <c r="BJ50" s="541">
        <v>0.0</v>
      </c>
      <c r="BK50" s="541">
        <v>0.0</v>
      </c>
      <c r="BL50" s="541">
        <v>0.0</v>
      </c>
      <c r="BM50" s="541">
        <v>0.0</v>
      </c>
      <c r="BN50" s="541">
        <v>0.0</v>
      </c>
      <c r="BO50" s="541">
        <v>0.0</v>
      </c>
      <c r="BP50" s="541">
        <v>0.0</v>
      </c>
      <c r="BQ50" s="541">
        <v>0.0</v>
      </c>
      <c r="BR50" s="541">
        <v>0.0</v>
      </c>
      <c r="BS50" s="541">
        <v>0.0</v>
      </c>
      <c r="BT50" s="542">
        <v>0.0</v>
      </c>
      <c r="BU50" s="542">
        <v>0.0</v>
      </c>
      <c r="BV50" s="542">
        <v>0.0</v>
      </c>
      <c r="BW50" s="542">
        <v>0.0</v>
      </c>
      <c r="BX50" s="542">
        <v>0.0</v>
      </c>
      <c r="BY50" s="542">
        <v>0.0</v>
      </c>
      <c r="BZ50" s="542">
        <v>0.0</v>
      </c>
      <c r="CA50" s="542">
        <v>0.0</v>
      </c>
      <c r="CB50" s="542">
        <v>0.0</v>
      </c>
      <c r="CC50" s="542">
        <v>0.0</v>
      </c>
      <c r="CD50" s="542">
        <v>0.0</v>
      </c>
      <c r="CE50" s="542">
        <v>0.0</v>
      </c>
      <c r="CF50" s="542">
        <v>0.0</v>
      </c>
      <c r="CG50" s="542">
        <v>0.0</v>
      </c>
      <c r="CH50" s="542">
        <v>0.0</v>
      </c>
      <c r="CI50" s="542">
        <v>0.0</v>
      </c>
      <c r="CJ50" s="542">
        <v>0.0</v>
      </c>
      <c r="CK50" s="542">
        <v>0.0</v>
      </c>
      <c r="CL50" s="542">
        <v>0.0</v>
      </c>
      <c r="CM50" s="542">
        <v>0.0</v>
      </c>
      <c r="CN50" s="542">
        <v>0.0</v>
      </c>
      <c r="CO50" s="543">
        <v>0.0</v>
      </c>
      <c r="CP50" s="541">
        <v>0.0</v>
      </c>
      <c r="CQ50" s="541">
        <v>0.0</v>
      </c>
      <c r="CR50" s="541">
        <v>0.0</v>
      </c>
      <c r="CS50" s="541">
        <v>0.0</v>
      </c>
      <c r="CT50" s="541">
        <v>0.0</v>
      </c>
      <c r="CU50" s="541">
        <v>0.0</v>
      </c>
      <c r="CV50" s="541">
        <v>0.0</v>
      </c>
      <c r="CW50" s="541">
        <v>0.0</v>
      </c>
      <c r="CX50" s="541">
        <v>0.0</v>
      </c>
      <c r="CY50" s="541">
        <v>0.0</v>
      </c>
      <c r="CZ50" s="541">
        <v>0.0</v>
      </c>
      <c r="DA50" s="541">
        <v>0.0</v>
      </c>
      <c r="DB50" s="541">
        <v>0.0</v>
      </c>
      <c r="DC50" s="541">
        <v>0.0</v>
      </c>
      <c r="DD50" s="541">
        <v>0.0</v>
      </c>
      <c r="DE50" s="541">
        <v>0.0</v>
      </c>
      <c r="DF50" s="541">
        <v>0.0</v>
      </c>
      <c r="DG50" s="541">
        <v>0.0</v>
      </c>
      <c r="DH50" s="541">
        <v>0.0</v>
      </c>
      <c r="DI50" s="541">
        <v>0.0</v>
      </c>
      <c r="DJ50" s="541">
        <v>0.0</v>
      </c>
      <c r="DK50" s="541">
        <v>0.0</v>
      </c>
      <c r="DL50" s="541">
        <v>0.0</v>
      </c>
      <c r="DM50" s="541">
        <v>0.0</v>
      </c>
      <c r="DN50" s="541">
        <v>0.0</v>
      </c>
      <c r="DO50" s="541">
        <v>0.0</v>
      </c>
      <c r="DP50" s="541">
        <v>0.0</v>
      </c>
      <c r="DQ50" s="541">
        <v>0.0</v>
      </c>
      <c r="DR50" s="541">
        <v>0.0</v>
      </c>
      <c r="DS50" s="541">
        <v>0.0</v>
      </c>
      <c r="DT50" s="541">
        <v>0.0</v>
      </c>
      <c r="DU50" s="541">
        <v>0.0</v>
      </c>
      <c r="DV50" s="541">
        <v>0.0</v>
      </c>
      <c r="DW50" s="541">
        <v>0.0</v>
      </c>
      <c r="DX50" s="541">
        <v>0.0</v>
      </c>
      <c r="DY50" s="541">
        <v>0.0</v>
      </c>
      <c r="DZ50" s="541">
        <v>0.0</v>
      </c>
      <c r="EA50" s="541">
        <v>0.0</v>
      </c>
      <c r="EB50" s="541">
        <v>0.0</v>
      </c>
      <c r="EC50" s="541">
        <v>0.0</v>
      </c>
      <c r="ED50" s="541">
        <v>0.0</v>
      </c>
      <c r="EE50" s="541">
        <v>0.0</v>
      </c>
      <c r="EF50" s="541">
        <v>0.0</v>
      </c>
      <c r="EG50" s="541">
        <v>0.0</v>
      </c>
      <c r="EH50" s="541">
        <v>0.0</v>
      </c>
      <c r="EI50" s="541">
        <v>0.0</v>
      </c>
      <c r="EJ50" s="541">
        <v>0.0</v>
      </c>
      <c r="EK50" s="541">
        <v>0.0</v>
      </c>
      <c r="EL50" s="541">
        <v>0.0</v>
      </c>
      <c r="EM50" s="541">
        <v>0.0</v>
      </c>
      <c r="EN50" s="541">
        <v>0.0</v>
      </c>
      <c r="EO50" s="541">
        <v>0.0</v>
      </c>
      <c r="EP50" s="541">
        <v>0.0</v>
      </c>
      <c r="EQ50" s="541">
        <v>0.0</v>
      </c>
      <c r="ER50" s="541">
        <v>0.0</v>
      </c>
      <c r="ES50" s="541">
        <v>0.0</v>
      </c>
      <c r="ET50" s="541">
        <v>0.0</v>
      </c>
      <c r="EU50" s="541">
        <v>0.0</v>
      </c>
      <c r="EV50" s="541">
        <v>0.0</v>
      </c>
      <c r="EW50" s="541">
        <v>0.0</v>
      </c>
      <c r="EX50" s="541">
        <v>0.0</v>
      </c>
      <c r="EY50" s="541">
        <v>0.0</v>
      </c>
      <c r="EZ50" s="541">
        <v>0.0</v>
      </c>
      <c r="FA50" s="541">
        <v>0.0</v>
      </c>
      <c r="FB50" s="541">
        <v>0.0</v>
      </c>
      <c r="FC50" s="542">
        <v>0.0</v>
      </c>
      <c r="FD50" s="542">
        <v>0.0</v>
      </c>
      <c r="FE50" s="542">
        <v>0.0</v>
      </c>
      <c r="FF50" s="542">
        <v>0.0</v>
      </c>
      <c r="FG50" s="542">
        <v>0.0</v>
      </c>
      <c r="FH50" s="542">
        <v>0.0</v>
      </c>
      <c r="FI50" s="542">
        <v>0.0</v>
      </c>
      <c r="FJ50" s="542">
        <v>0.0</v>
      </c>
      <c r="FK50" s="542">
        <v>0.0</v>
      </c>
      <c r="FL50" s="542">
        <v>0.0</v>
      </c>
      <c r="FM50" s="542">
        <v>0.0</v>
      </c>
      <c r="FN50" s="542">
        <v>0.0</v>
      </c>
      <c r="FO50" s="542">
        <v>0.0</v>
      </c>
      <c r="FP50" s="542">
        <v>0.0</v>
      </c>
      <c r="FQ50" s="542">
        <v>0.0</v>
      </c>
      <c r="FR50" s="542">
        <v>0.0</v>
      </c>
      <c r="FS50" s="542">
        <v>0.0</v>
      </c>
      <c r="FT50" s="542">
        <v>0.0</v>
      </c>
      <c r="FU50" s="542">
        <v>0.0</v>
      </c>
      <c r="FV50" s="542">
        <v>0.0</v>
      </c>
      <c r="FW50" s="542">
        <v>0.0</v>
      </c>
      <c r="FX50" s="543">
        <v>0.0</v>
      </c>
    </row>
    <row r="51">
      <c r="A51" s="544" t="s">
        <v>706</v>
      </c>
      <c r="B51" s="462"/>
      <c r="C51" s="545"/>
      <c r="D51" s="540" t="s">
        <v>652</v>
      </c>
      <c r="E51" s="444" t="s">
        <v>652</v>
      </c>
      <c r="F51" s="444" t="s">
        <v>652</v>
      </c>
      <c r="G51" s="546">
        <f t="shared" ref="G51:FX51" si="6">G49-G50</f>
        <v>55264</v>
      </c>
      <c r="H51" s="546">
        <f t="shared" si="6"/>
        <v>52002</v>
      </c>
      <c r="I51" s="546">
        <f t="shared" si="6"/>
        <v>79044</v>
      </c>
      <c r="J51" s="546">
        <f t="shared" si="6"/>
        <v>72009</v>
      </c>
      <c r="K51" s="546">
        <f t="shared" si="6"/>
        <v>93476</v>
      </c>
      <c r="L51" s="546">
        <f t="shared" si="6"/>
        <v>76196</v>
      </c>
      <c r="M51" s="546">
        <f t="shared" si="6"/>
        <v>74388</v>
      </c>
      <c r="N51" s="546">
        <f t="shared" si="6"/>
        <v>85163</v>
      </c>
      <c r="O51" s="546">
        <f t="shared" si="6"/>
        <v>88444</v>
      </c>
      <c r="P51" s="546">
        <f t="shared" si="6"/>
        <v>75765</v>
      </c>
      <c r="Q51" s="546">
        <f t="shared" si="6"/>
        <v>85456</v>
      </c>
      <c r="R51" s="546">
        <f t="shared" si="6"/>
        <v>89360</v>
      </c>
      <c r="S51" s="546">
        <f t="shared" si="6"/>
        <v>86671</v>
      </c>
      <c r="T51" s="546">
        <f t="shared" si="6"/>
        <v>222580</v>
      </c>
      <c r="U51" s="546">
        <f t="shared" si="6"/>
        <v>223799</v>
      </c>
      <c r="V51" s="546">
        <f t="shared" si="6"/>
        <v>85051</v>
      </c>
      <c r="W51" s="546">
        <f t="shared" si="6"/>
        <v>86752</v>
      </c>
      <c r="X51" s="546">
        <f t="shared" si="6"/>
        <v>92342</v>
      </c>
      <c r="Y51" s="546">
        <f t="shared" si="6"/>
        <v>90875</v>
      </c>
      <c r="Z51" s="546">
        <f t="shared" si="6"/>
        <v>20578</v>
      </c>
      <c r="AA51" s="546">
        <f t="shared" si="6"/>
        <v>83742</v>
      </c>
      <c r="AB51" s="546">
        <f t="shared" si="6"/>
        <v>59000</v>
      </c>
      <c r="AC51" s="546">
        <f t="shared" si="6"/>
        <v>59000</v>
      </c>
      <c r="AD51" s="546">
        <f t="shared" si="6"/>
        <v>59327</v>
      </c>
      <c r="AE51" s="546">
        <f t="shared" si="6"/>
        <v>59000</v>
      </c>
      <c r="AF51" s="546">
        <f t="shared" si="6"/>
        <v>58524</v>
      </c>
      <c r="AG51" s="546">
        <f t="shared" si="6"/>
        <v>58508</v>
      </c>
      <c r="AH51" s="546">
        <f t="shared" si="6"/>
        <v>59000</v>
      </c>
      <c r="AI51" s="546">
        <f t="shared" si="6"/>
        <v>118000</v>
      </c>
      <c r="AJ51" s="546">
        <f t="shared" si="6"/>
        <v>59000</v>
      </c>
      <c r="AK51" s="546">
        <f t="shared" si="6"/>
        <v>59000</v>
      </c>
      <c r="AL51" s="546">
        <f t="shared" si="6"/>
        <v>61422</v>
      </c>
      <c r="AM51" s="546">
        <f t="shared" si="6"/>
        <v>105614</v>
      </c>
      <c r="AN51" s="546">
        <f t="shared" si="6"/>
        <v>60400</v>
      </c>
      <c r="AO51" s="546">
        <f t="shared" si="6"/>
        <v>60400</v>
      </c>
      <c r="AP51" s="546">
        <f t="shared" si="6"/>
        <v>60400</v>
      </c>
      <c r="AQ51" s="546">
        <f t="shared" si="6"/>
        <v>60826</v>
      </c>
      <c r="AR51" s="546">
        <f t="shared" si="6"/>
        <v>61072</v>
      </c>
      <c r="AS51" s="546">
        <f t="shared" si="6"/>
        <v>76938</v>
      </c>
      <c r="AT51" s="546">
        <f t="shared" si="6"/>
        <v>159173</v>
      </c>
      <c r="AU51" s="546">
        <f t="shared" si="6"/>
        <v>60400</v>
      </c>
      <c r="AV51" s="546">
        <f t="shared" si="6"/>
        <v>67660</v>
      </c>
      <c r="AW51" s="546">
        <f t="shared" si="6"/>
        <v>68020</v>
      </c>
      <c r="AX51" s="546">
        <f t="shared" si="6"/>
        <v>133540</v>
      </c>
      <c r="AY51" s="546">
        <f t="shared" si="6"/>
        <v>71682</v>
      </c>
      <c r="AZ51" s="546">
        <f t="shared" si="6"/>
        <v>41967</v>
      </c>
      <c r="BA51" s="546">
        <f t="shared" si="6"/>
        <v>96000</v>
      </c>
      <c r="BB51" s="546">
        <f t="shared" si="6"/>
        <v>93417</v>
      </c>
      <c r="BC51" s="546">
        <f t="shared" si="6"/>
        <v>95000</v>
      </c>
      <c r="BD51" s="546">
        <f t="shared" si="6"/>
        <v>120000</v>
      </c>
      <c r="BE51" s="546">
        <f t="shared" si="6"/>
        <v>103313</v>
      </c>
      <c r="BF51" s="546">
        <f t="shared" si="6"/>
        <v>316582</v>
      </c>
      <c r="BG51" s="546">
        <f t="shared" si="6"/>
        <v>95000</v>
      </c>
      <c r="BH51" s="546">
        <f t="shared" si="6"/>
        <v>95000</v>
      </c>
      <c r="BI51" s="546">
        <f t="shared" si="6"/>
        <v>96000</v>
      </c>
      <c r="BJ51" s="546">
        <f t="shared" si="6"/>
        <v>100458</v>
      </c>
      <c r="BK51" s="546">
        <f t="shared" si="6"/>
        <v>99000</v>
      </c>
      <c r="BL51" s="546">
        <f t="shared" si="6"/>
        <v>250858</v>
      </c>
      <c r="BM51" s="546">
        <f t="shared" si="6"/>
        <v>99000</v>
      </c>
      <c r="BN51" s="546">
        <f t="shared" si="6"/>
        <v>99000</v>
      </c>
      <c r="BO51" s="546">
        <f t="shared" si="6"/>
        <v>178000</v>
      </c>
      <c r="BP51" s="546">
        <f t="shared" si="6"/>
        <v>98000</v>
      </c>
      <c r="BQ51" s="546">
        <f t="shared" si="6"/>
        <v>98000</v>
      </c>
      <c r="BR51" s="546">
        <f t="shared" si="6"/>
        <v>682987</v>
      </c>
      <c r="BS51" s="546">
        <f t="shared" si="6"/>
        <v>98000</v>
      </c>
      <c r="BT51" s="537">
        <f t="shared" si="6"/>
        <v>99500</v>
      </c>
      <c r="BU51" s="537">
        <f t="shared" si="6"/>
        <v>179000</v>
      </c>
      <c r="BV51" s="537">
        <f t="shared" si="6"/>
        <v>102900</v>
      </c>
      <c r="BW51" s="537">
        <f t="shared" si="6"/>
        <v>103900</v>
      </c>
      <c r="BX51" s="537">
        <f t="shared" si="6"/>
        <v>225050</v>
      </c>
      <c r="BY51" s="537">
        <f t="shared" si="6"/>
        <v>103900</v>
      </c>
      <c r="BZ51" s="537">
        <f t="shared" si="6"/>
        <v>103900</v>
      </c>
      <c r="CA51" s="537">
        <f t="shared" si="6"/>
        <v>75500</v>
      </c>
      <c r="CB51" s="537">
        <f t="shared" si="6"/>
        <v>122900</v>
      </c>
      <c r="CC51" s="537">
        <f t="shared" si="6"/>
        <v>102900</v>
      </c>
      <c r="CD51" s="537">
        <f t="shared" si="6"/>
        <v>640334</v>
      </c>
      <c r="CE51" s="537">
        <f t="shared" si="6"/>
        <v>101185</v>
      </c>
      <c r="CF51" s="537">
        <f t="shared" si="6"/>
        <v>108641</v>
      </c>
      <c r="CG51" s="537">
        <f t="shared" si="6"/>
        <v>178864</v>
      </c>
      <c r="CH51" s="537">
        <f t="shared" si="6"/>
        <v>101649</v>
      </c>
      <c r="CI51" s="537">
        <f t="shared" si="6"/>
        <v>107300</v>
      </c>
      <c r="CJ51" s="537">
        <f t="shared" si="6"/>
        <v>208300</v>
      </c>
      <c r="CK51" s="537">
        <f t="shared" si="6"/>
        <v>135200</v>
      </c>
      <c r="CL51" s="537">
        <f t="shared" si="6"/>
        <v>107076</v>
      </c>
      <c r="CM51" s="537">
        <f t="shared" si="6"/>
        <v>182065</v>
      </c>
      <c r="CN51" s="537">
        <f t="shared" si="6"/>
        <v>107300</v>
      </c>
      <c r="CO51" s="538">
        <f t="shared" si="6"/>
        <v>132300</v>
      </c>
      <c r="CP51" s="546">
        <f t="shared" si="6"/>
        <v>107300</v>
      </c>
      <c r="CQ51" s="546">
        <f t="shared" si="6"/>
        <v>603340</v>
      </c>
      <c r="CR51" s="546">
        <f t="shared" si="6"/>
        <v>107300</v>
      </c>
      <c r="CS51" s="546">
        <f t="shared" si="6"/>
        <v>119227</v>
      </c>
      <c r="CT51" s="546">
        <f t="shared" si="6"/>
        <v>215503</v>
      </c>
      <c r="CU51" s="546">
        <f t="shared" si="6"/>
        <v>110300</v>
      </c>
      <c r="CV51" s="546">
        <f t="shared" si="6"/>
        <v>110300</v>
      </c>
      <c r="CW51" s="546">
        <f t="shared" si="6"/>
        <v>0</v>
      </c>
      <c r="CX51" s="546">
        <f t="shared" si="6"/>
        <v>0</v>
      </c>
      <c r="CY51" s="546">
        <f t="shared" si="6"/>
        <v>0</v>
      </c>
      <c r="CZ51" s="546">
        <f t="shared" si="6"/>
        <v>0</v>
      </c>
      <c r="DA51" s="546">
        <f t="shared" si="6"/>
        <v>0</v>
      </c>
      <c r="DB51" s="546">
        <f t="shared" si="6"/>
        <v>5849458</v>
      </c>
      <c r="DC51" s="546">
        <f t="shared" si="6"/>
        <v>82834.5098</v>
      </c>
      <c r="DD51" s="546">
        <f t="shared" si="6"/>
        <v>0</v>
      </c>
      <c r="DE51" s="546">
        <f t="shared" si="6"/>
        <v>0</v>
      </c>
      <c r="DF51" s="546">
        <f t="shared" si="6"/>
        <v>0</v>
      </c>
      <c r="DG51" s="546">
        <f t="shared" si="6"/>
        <v>0</v>
      </c>
      <c r="DH51" s="546">
        <f t="shared" si="6"/>
        <v>0</v>
      </c>
      <c r="DI51" s="546">
        <f t="shared" si="6"/>
        <v>0</v>
      </c>
      <c r="DJ51" s="546">
        <f t="shared" si="6"/>
        <v>0</v>
      </c>
      <c r="DK51" s="546">
        <f t="shared" si="6"/>
        <v>0</v>
      </c>
      <c r="DL51" s="546">
        <f t="shared" si="6"/>
        <v>0</v>
      </c>
      <c r="DM51" s="546">
        <f t="shared" si="6"/>
        <v>0</v>
      </c>
      <c r="DN51" s="546">
        <f t="shared" si="6"/>
        <v>0</v>
      </c>
      <c r="DO51" s="546">
        <f t="shared" si="6"/>
        <v>0</v>
      </c>
      <c r="DP51" s="546">
        <f t="shared" si="6"/>
        <v>0</v>
      </c>
      <c r="DQ51" s="546">
        <f t="shared" si="6"/>
        <v>0</v>
      </c>
      <c r="DR51" s="546">
        <f t="shared" si="6"/>
        <v>0</v>
      </c>
      <c r="DS51" s="546">
        <f t="shared" si="6"/>
        <v>0</v>
      </c>
      <c r="DT51" s="546">
        <f t="shared" si="6"/>
        <v>0</v>
      </c>
      <c r="DU51" s="546">
        <f t="shared" si="6"/>
        <v>0</v>
      </c>
      <c r="DV51" s="546">
        <f t="shared" si="6"/>
        <v>0</v>
      </c>
      <c r="DW51" s="546">
        <f t="shared" si="6"/>
        <v>0</v>
      </c>
      <c r="DX51" s="546">
        <f t="shared" si="6"/>
        <v>0</v>
      </c>
      <c r="DY51" s="546">
        <f t="shared" si="6"/>
        <v>0</v>
      </c>
      <c r="DZ51" s="546">
        <f t="shared" si="6"/>
        <v>0</v>
      </c>
      <c r="EA51" s="546">
        <f t="shared" si="6"/>
        <v>0</v>
      </c>
      <c r="EB51" s="546">
        <f t="shared" si="6"/>
        <v>0</v>
      </c>
      <c r="EC51" s="546">
        <f t="shared" si="6"/>
        <v>0</v>
      </c>
      <c r="ED51" s="546">
        <f t="shared" si="6"/>
        <v>0</v>
      </c>
      <c r="EE51" s="546">
        <f t="shared" si="6"/>
        <v>0</v>
      </c>
      <c r="EF51" s="546">
        <f t="shared" si="6"/>
        <v>0</v>
      </c>
      <c r="EG51" s="546">
        <f t="shared" si="6"/>
        <v>0</v>
      </c>
      <c r="EH51" s="546">
        <f t="shared" si="6"/>
        <v>0</v>
      </c>
      <c r="EI51" s="546">
        <f t="shared" si="6"/>
        <v>0</v>
      </c>
      <c r="EJ51" s="546">
        <f t="shared" si="6"/>
        <v>0</v>
      </c>
      <c r="EK51" s="546">
        <f t="shared" si="6"/>
        <v>0</v>
      </c>
      <c r="EL51" s="546">
        <f t="shared" si="6"/>
        <v>0</v>
      </c>
      <c r="EM51" s="546">
        <f t="shared" si="6"/>
        <v>0</v>
      </c>
      <c r="EN51" s="546">
        <f t="shared" si="6"/>
        <v>0</v>
      </c>
      <c r="EO51" s="546">
        <f t="shared" si="6"/>
        <v>0</v>
      </c>
      <c r="EP51" s="546">
        <f t="shared" si="6"/>
        <v>0</v>
      </c>
      <c r="EQ51" s="546">
        <f t="shared" si="6"/>
        <v>0</v>
      </c>
      <c r="ER51" s="546">
        <f t="shared" si="6"/>
        <v>0</v>
      </c>
      <c r="ES51" s="546">
        <f t="shared" si="6"/>
        <v>0</v>
      </c>
      <c r="ET51" s="546">
        <f t="shared" si="6"/>
        <v>0</v>
      </c>
      <c r="EU51" s="546">
        <f t="shared" si="6"/>
        <v>0</v>
      </c>
      <c r="EV51" s="546">
        <f t="shared" si="6"/>
        <v>0</v>
      </c>
      <c r="EW51" s="546">
        <f t="shared" si="6"/>
        <v>0</v>
      </c>
      <c r="EX51" s="546">
        <f t="shared" si="6"/>
        <v>0</v>
      </c>
      <c r="EY51" s="546">
        <f t="shared" si="6"/>
        <v>0</v>
      </c>
      <c r="EZ51" s="546">
        <f t="shared" si="6"/>
        <v>0</v>
      </c>
      <c r="FA51" s="546">
        <f t="shared" si="6"/>
        <v>0</v>
      </c>
      <c r="FB51" s="546">
        <f t="shared" si="6"/>
        <v>0</v>
      </c>
      <c r="FC51" s="537">
        <f t="shared" si="6"/>
        <v>0</v>
      </c>
      <c r="FD51" s="537">
        <f t="shared" si="6"/>
        <v>0</v>
      </c>
      <c r="FE51" s="537">
        <f t="shared" si="6"/>
        <v>0</v>
      </c>
      <c r="FF51" s="537">
        <f t="shared" si="6"/>
        <v>0</v>
      </c>
      <c r="FG51" s="537">
        <f t="shared" si="6"/>
        <v>0</v>
      </c>
      <c r="FH51" s="537">
        <f t="shared" si="6"/>
        <v>0</v>
      </c>
      <c r="FI51" s="537">
        <f t="shared" si="6"/>
        <v>0</v>
      </c>
      <c r="FJ51" s="537">
        <f t="shared" si="6"/>
        <v>0</v>
      </c>
      <c r="FK51" s="537">
        <f t="shared" si="6"/>
        <v>0</v>
      </c>
      <c r="FL51" s="537">
        <f t="shared" si="6"/>
        <v>0</v>
      </c>
      <c r="FM51" s="537">
        <f t="shared" si="6"/>
        <v>0</v>
      </c>
      <c r="FN51" s="537">
        <f t="shared" si="6"/>
        <v>0</v>
      </c>
      <c r="FO51" s="537">
        <f t="shared" si="6"/>
        <v>0</v>
      </c>
      <c r="FP51" s="537">
        <f t="shared" si="6"/>
        <v>0</v>
      </c>
      <c r="FQ51" s="537">
        <f t="shared" si="6"/>
        <v>0</v>
      </c>
      <c r="FR51" s="537">
        <f t="shared" si="6"/>
        <v>0</v>
      </c>
      <c r="FS51" s="537">
        <f t="shared" si="6"/>
        <v>0</v>
      </c>
      <c r="FT51" s="537">
        <f t="shared" si="6"/>
        <v>0</v>
      </c>
      <c r="FU51" s="537">
        <f t="shared" si="6"/>
        <v>0</v>
      </c>
      <c r="FV51" s="537">
        <f t="shared" si="6"/>
        <v>0</v>
      </c>
      <c r="FW51" s="537">
        <f t="shared" si="6"/>
        <v>0</v>
      </c>
      <c r="FX51" s="538">
        <f t="shared" si="6"/>
        <v>0</v>
      </c>
    </row>
    <row r="52">
      <c r="A52" s="547" t="s">
        <v>707</v>
      </c>
      <c r="B52" s="535" t="s">
        <v>708</v>
      </c>
      <c r="C52" s="545"/>
      <c r="D52" s="470" t="s">
        <v>709</v>
      </c>
      <c r="E52" s="444">
        <v>1.0</v>
      </c>
      <c r="F52" s="444">
        <v>1.0</v>
      </c>
      <c r="G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H52" s="537">
        <f>IFERROR(__xludf.DUMMYFUNCTION("SUM(INDIRECT(CONCATENATE(""'"",INDEX(SPLIT($D52,""AC""),1),""AC"",INDEX(SPLIT($D52,""AC""),2)+$E52*(COLUMN()-COLUMN($G52)),"":"",""AC"",INDEX(SPLIT($D52,""AC""),2)+$E52*(COLUMN()-COLUMN($G52))+$F52-1)))"),14069.0)</f>
        <v>14069</v>
      </c>
      <c r="I52" s="537">
        <f>IFERROR(__xludf.DUMMYFUNCTION("SUM(INDIRECT(CONCATENATE(""'"",INDEX(SPLIT($D52,""AC""),1),""AC"",INDEX(SPLIT($D52,""AC""),2)+$E52*(COLUMN()-COLUMN($G52)),"":"",""AC"",INDEX(SPLIT($D52,""AC""),2)+$E52*(COLUMN()-COLUMN($G52))+$F52-1)))"),23464.0)</f>
        <v>23464</v>
      </c>
      <c r="J52" s="537">
        <f>IFERROR(__xludf.DUMMYFUNCTION("SUM(INDIRECT(CONCATENATE(""'"",INDEX(SPLIT($D52,""AC""),1),""AC"",INDEX(SPLIT($D52,""AC""),2)+$E52*(COLUMN()-COLUMN($G52)),"":"",""AC"",INDEX(SPLIT($D52,""AC""),2)+$E52*(COLUMN()-COLUMN($G52))+$F52-1)))"),18241.0)</f>
        <v>18241</v>
      </c>
      <c r="K52" s="537">
        <f>IFERROR(__xludf.DUMMYFUNCTION("SUM(INDIRECT(CONCATENATE(""'"",INDEX(SPLIT($D52,""AC""),1),""AC"",INDEX(SPLIT($D52,""AC""),2)+$E52*(COLUMN()-COLUMN($G52)),"":"",""AC"",INDEX(SPLIT($D52,""AC""),2)+$E52*(COLUMN()-COLUMN($G52))+$F52-1)))"),21188.0)</f>
        <v>21188</v>
      </c>
      <c r="L52" s="537">
        <f>IFERROR(__xludf.DUMMYFUNCTION("SUM(INDIRECT(CONCATENATE(""'"",INDEX(SPLIT($D52,""AC""),1),""AC"",INDEX(SPLIT($D52,""AC""),2)+$E52*(COLUMN()-COLUMN($G52)),"":"",""AC"",INDEX(SPLIT($D52,""AC""),2)+$E52*(COLUMN()-COLUMN($G52))+$F52-1)))"),22079.0)</f>
        <v>22079</v>
      </c>
      <c r="M52" s="537">
        <f>IFERROR(__xludf.DUMMYFUNCTION("SUM(INDIRECT(CONCATENATE(""'"",INDEX(SPLIT($D52,""AC""),1),""AC"",INDEX(SPLIT($D52,""AC""),2)+$E52*(COLUMN()-COLUMN($G52)),"":"",""AC"",INDEX(SPLIT($D52,""AC""),2)+$E52*(COLUMN()-COLUMN($G52))+$F52-1)))"),19388.0)</f>
        <v>19388</v>
      </c>
      <c r="N52" s="537">
        <f>IFERROR(__xludf.DUMMYFUNCTION("SUM(INDIRECT(CONCATENATE(""'"",INDEX(SPLIT($D52,""AC""),1),""AC"",INDEX(SPLIT($D52,""AC""),2)+$E52*(COLUMN()-COLUMN($G52)),"":"",""AC"",INDEX(SPLIT($D52,""AC""),2)+$E52*(COLUMN()-COLUMN($G52))+$F52-1)))"),38171.0)</f>
        <v>38171</v>
      </c>
      <c r="O52" s="537">
        <f>IFERROR(__xludf.DUMMYFUNCTION("SUM(INDIRECT(CONCATENATE(""'"",INDEX(SPLIT($D52,""AC""),1),""AC"",INDEX(SPLIT($D52,""AC""),2)+$E52*(COLUMN()-COLUMN($G52)),"":"",""AC"",INDEX(SPLIT($D52,""AC""),2)+$E52*(COLUMN()-COLUMN($G52))+$F52-1)))"),25082.0)</f>
        <v>25082</v>
      </c>
      <c r="P52" s="537">
        <f>IFERROR(__xludf.DUMMYFUNCTION("SUM(INDIRECT(CONCATENATE(""'"",INDEX(SPLIT($D52,""AC""),1),""AC"",INDEX(SPLIT($D52,""AC""),2)+$E52*(COLUMN()-COLUMN($G52)),"":"",""AC"",INDEX(SPLIT($D52,""AC""),2)+$E52*(COLUMN()-COLUMN($G52))+$F52-1)))"),21079.0)</f>
        <v>21079</v>
      </c>
      <c r="Q52" s="537">
        <f>IFERROR(__xludf.DUMMYFUNCTION("SUM(INDIRECT(CONCATENATE(""'"",INDEX(SPLIT($D52,""AC""),1),""AC"",INDEX(SPLIT($D52,""AC""),2)+$E52*(COLUMN()-COLUMN($G52)),"":"",""AC"",INDEX(SPLIT($D52,""AC""),2)+$E52*(COLUMN()-COLUMN($G52))+$F52-1)))"),26674.0)</f>
        <v>26674</v>
      </c>
      <c r="R52" s="537">
        <f>IFERROR(__xludf.DUMMYFUNCTION("SUM(INDIRECT(CONCATENATE(""'"",INDEX(SPLIT($D52,""AC""),1),""AC"",INDEX(SPLIT($D52,""AC""),2)+$E52*(COLUMN()-COLUMN($G52)),"":"",""AC"",INDEX(SPLIT($D52,""AC""),2)+$E52*(COLUMN()-COLUMN($G52))+$F52-1)))"),29896.0)</f>
        <v>29896</v>
      </c>
      <c r="S52" s="537">
        <f>IFERROR(__xludf.DUMMYFUNCTION("SUM(INDIRECT(CONCATENATE(""'"",INDEX(SPLIT($D52,""AC""),1),""AC"",INDEX(SPLIT($D52,""AC""),2)+$E52*(COLUMN()-COLUMN($G52)),"":"",""AC"",INDEX(SPLIT($D52,""AC""),2)+$E52*(COLUMN()-COLUMN($G52))+$F52-1)))"),23885.0)</f>
        <v>23885</v>
      </c>
      <c r="T52" s="537">
        <f>IFERROR(__xludf.DUMMYFUNCTION("SUM(INDIRECT(CONCATENATE(""'"",INDEX(SPLIT($D52,""AC""),1),""AC"",INDEX(SPLIT($D52,""AC""),2)+$E52*(COLUMN()-COLUMN($G52)),"":"",""AC"",INDEX(SPLIT($D52,""AC""),2)+$E52*(COLUMN()-COLUMN($G52))+$F52-1)))"),19945.0)</f>
        <v>19945</v>
      </c>
      <c r="U52" s="537">
        <f>IFERROR(__xludf.DUMMYFUNCTION("SUM(INDIRECT(CONCATENATE(""'"",INDEX(SPLIT($D52,""AC""),1),""AC"",INDEX(SPLIT($D52,""AC""),2)+$E52*(COLUMN()-COLUMN($G52)),"":"",""AC"",INDEX(SPLIT($D52,""AC""),2)+$E52*(COLUMN()-COLUMN($G52))+$F52-1)))"),23436.0)</f>
        <v>23436</v>
      </c>
      <c r="V52" s="537">
        <f>IFERROR(__xludf.DUMMYFUNCTION("SUM(INDIRECT(CONCATENATE(""'"",INDEX(SPLIT($D52,""AC""),1),""AC"",INDEX(SPLIT($D52,""AC""),2)+$E52*(COLUMN()-COLUMN($G52)),"":"",""AC"",INDEX(SPLIT($D52,""AC""),2)+$E52*(COLUMN()-COLUMN($G52))+$F52-1)))"),24750.0)</f>
        <v>24750</v>
      </c>
      <c r="W52" s="537">
        <f>IFERROR(__xludf.DUMMYFUNCTION("SUM(INDIRECT(CONCATENATE(""'"",INDEX(SPLIT($D52,""AC""),1),""AC"",INDEX(SPLIT($D52,""AC""),2)+$E52*(COLUMN()-COLUMN($G52)),"":"",""AC"",INDEX(SPLIT($D52,""AC""),2)+$E52*(COLUMN()-COLUMN($G52))+$F52-1)))"),25845.0)</f>
        <v>25845</v>
      </c>
      <c r="X52" s="537">
        <f>IFERROR(__xludf.DUMMYFUNCTION("SUM(INDIRECT(CONCATENATE(""'"",INDEX(SPLIT($D52,""AC""),1),""AC"",INDEX(SPLIT($D52,""AC""),2)+$E52*(COLUMN()-COLUMN($G52)),"":"",""AC"",INDEX(SPLIT($D52,""AC""),2)+$E52*(COLUMN()-COLUMN($G52))+$F52-1)))"),18401.0)</f>
        <v>18401</v>
      </c>
      <c r="Y52" s="537">
        <f>IFERROR(__xludf.DUMMYFUNCTION("SUM(INDIRECT(CONCATENATE(""'"",INDEX(SPLIT($D52,""AC""),1),""AC"",INDEX(SPLIT($D52,""AC""),2)+$E52*(COLUMN()-COLUMN($G52)),"":"",""AC"",INDEX(SPLIT($D52,""AC""),2)+$E52*(COLUMN()-COLUMN($G52))+$F52-1)))"),28980.0)</f>
        <v>28980</v>
      </c>
      <c r="Z52" s="537">
        <f>IFERROR(__xludf.DUMMYFUNCTION("SUM(INDIRECT(CONCATENATE(""'"",INDEX(SPLIT($D52,""AC""),1),""AC"",INDEX(SPLIT($D52,""AC""),2)+$E52*(COLUMN()-COLUMN($G52)),"":"",""AC"",INDEX(SPLIT($D52,""AC""),2)+$E52*(COLUMN()-COLUMN($G52))+$F52-1)))"),31762.0)</f>
        <v>31762</v>
      </c>
      <c r="AA52" s="537">
        <f>IFERROR(__xludf.DUMMYFUNCTION("SUM(INDIRECT(CONCATENATE(""'"",INDEX(SPLIT($D52,""AC""),1),""AC"",INDEX(SPLIT($D52,""AC""),2)+$E52*(COLUMN()-COLUMN($G52)),"":"",""AC"",INDEX(SPLIT($D52,""AC""),2)+$E52*(COLUMN()-COLUMN($G52))+$F52-1)))"),28246.0)</f>
        <v>28246</v>
      </c>
      <c r="AB52" s="537">
        <f>IFERROR(__xludf.DUMMYFUNCTION("SUM(INDIRECT(CONCATENATE(""'"",INDEX(SPLIT($D52,""AC""),1),""AC"",INDEX(SPLIT($D52,""AC""),2)+$E52*(COLUMN()-COLUMN($G52)),"":"",""AC"",INDEX(SPLIT($D52,""AC""),2)+$E52*(COLUMN()-COLUMN($G52))+$F52-1)))"),27605.0)</f>
        <v>27605</v>
      </c>
      <c r="AC52" s="537">
        <f>IFERROR(__xludf.DUMMYFUNCTION("SUM(INDIRECT(CONCATENATE(""'"",INDEX(SPLIT($D52,""AC""),1),""AC"",INDEX(SPLIT($D52,""AC""),2)+$E52*(COLUMN()-COLUMN($G52)),"":"",""AC"",INDEX(SPLIT($D52,""AC""),2)+$E52*(COLUMN()-COLUMN($G52))+$F52-1)))"),28538.0)</f>
        <v>28538</v>
      </c>
      <c r="AD52" s="537">
        <f>IFERROR(__xludf.DUMMYFUNCTION("SUM(INDIRECT(CONCATENATE(""'"",INDEX(SPLIT($D52,""AC""),1),""AC"",INDEX(SPLIT($D52,""AC""),2)+$E52*(COLUMN()-COLUMN($G52)),"":"",""AC"",INDEX(SPLIT($D52,""AC""),2)+$E52*(COLUMN()-COLUMN($G52))+$F52-1)))"),33780.0)</f>
        <v>33780</v>
      </c>
      <c r="AE52" s="537">
        <f>IFERROR(__xludf.DUMMYFUNCTION("SUM(INDIRECT(CONCATENATE(""'"",INDEX(SPLIT($D52,""AC""),1),""AC"",INDEX(SPLIT($D52,""AC""),2)+$E52*(COLUMN()-COLUMN($G52)),"":"",""AC"",INDEX(SPLIT($D52,""AC""),2)+$E52*(COLUMN()-COLUMN($G52))+$F52-1)))"),29762.0)</f>
        <v>29762</v>
      </c>
      <c r="AF52" s="537">
        <f>IFERROR(__xludf.DUMMYFUNCTION("SUM(INDIRECT(CONCATENATE(""'"",INDEX(SPLIT($D52,""AC""),1),""AC"",INDEX(SPLIT($D52,""AC""),2)+$E52*(COLUMN()-COLUMN($G52)),"":"",""AC"",INDEX(SPLIT($D52,""AC""),2)+$E52*(COLUMN()-COLUMN($G52))+$F52-1)))"),28949.0)</f>
        <v>28949</v>
      </c>
      <c r="AG52" s="537">
        <f>IFERROR(__xludf.DUMMYFUNCTION("SUM(INDIRECT(CONCATENATE(""'"",INDEX(SPLIT($D52,""AC""),1),""AC"",INDEX(SPLIT($D52,""AC""),2)+$E52*(COLUMN()-COLUMN($G52)),"":"",""AC"",INDEX(SPLIT($D52,""AC""),2)+$E52*(COLUMN()-COLUMN($G52))+$F52-1)))"),34106.0)</f>
        <v>34106</v>
      </c>
      <c r="AH52" s="537">
        <f>IFERROR(__xludf.DUMMYFUNCTION("SUM(INDIRECT(CONCATENATE(""'"",INDEX(SPLIT($D52,""AC""),1),""AC"",INDEX(SPLIT($D52,""AC""),2)+$E52*(COLUMN()-COLUMN($G52)),"":"",""AC"",INDEX(SPLIT($D52,""AC""),2)+$E52*(COLUMN()-COLUMN($G52))+$F52-1)))"),29919.0)</f>
        <v>29919</v>
      </c>
      <c r="AI52" s="537">
        <f>IFERROR(__xludf.DUMMYFUNCTION("SUM(INDIRECT(CONCATENATE(""'"",INDEX(SPLIT($D52,""AC""),1),""AC"",INDEX(SPLIT($D52,""AC""),2)+$E52*(COLUMN()-COLUMN($G52)),"":"",""AC"",INDEX(SPLIT($D52,""AC""),2)+$E52*(COLUMN()-COLUMN($G52))+$F52-1)))"),32590.0)</f>
        <v>32590</v>
      </c>
      <c r="AJ52" s="537">
        <f>IFERROR(__xludf.DUMMYFUNCTION("SUM(INDIRECT(CONCATENATE(""'"",INDEX(SPLIT($D52,""AC""),1),""AC"",INDEX(SPLIT($D52,""AC""),2)+$E52*(COLUMN()-COLUMN($G52)),"":"",""AC"",INDEX(SPLIT($D52,""AC""),2)+$E52*(COLUMN()-COLUMN($G52))+$F52-1)))"),24327.0)</f>
        <v>24327</v>
      </c>
      <c r="AK52" s="537">
        <f>IFERROR(__xludf.DUMMYFUNCTION("SUM(INDIRECT(CONCATENATE(""'"",INDEX(SPLIT($D52,""AC""),1),""AC"",INDEX(SPLIT($D52,""AC""),2)+$E52*(COLUMN()-COLUMN($G52)),"":"",""AC"",INDEX(SPLIT($D52,""AC""),2)+$E52*(COLUMN()-COLUMN($G52))+$F52-1)))"),30285.0)</f>
        <v>30285</v>
      </c>
      <c r="AL52" s="537">
        <f>IFERROR(__xludf.DUMMYFUNCTION("SUM(INDIRECT(CONCATENATE(""'"",INDEX(SPLIT($D52,""AC""),1),""AC"",INDEX(SPLIT($D52,""AC""),2)+$E52*(COLUMN()-COLUMN($G52)),"":"",""AC"",INDEX(SPLIT($D52,""AC""),2)+$E52*(COLUMN()-COLUMN($G52))+$F52-1)))"),26710.0)</f>
        <v>26710</v>
      </c>
      <c r="AM52" s="537">
        <f>IFERROR(__xludf.DUMMYFUNCTION("SUM(INDIRECT(CONCATENATE(""'"",INDEX(SPLIT($D52,""AC""),1),""AC"",INDEX(SPLIT($D52,""AC""),2)+$E52*(COLUMN()-COLUMN($G52)),"":"",""AC"",INDEX(SPLIT($D52,""AC""),2)+$E52*(COLUMN()-COLUMN($G52))+$F52-1)))"),42514.0)</f>
        <v>42514</v>
      </c>
      <c r="AN52" s="537">
        <f>IFERROR(__xludf.DUMMYFUNCTION("SUM(INDIRECT(CONCATENATE(""'"",INDEX(SPLIT($D52,""AC""),1),""AC"",INDEX(SPLIT($D52,""AC""),2)+$E52*(COLUMN()-COLUMN($G52)),"":"",""AC"",INDEX(SPLIT($D52,""AC""),2)+$E52*(COLUMN()-COLUMN($G52))+$F52-1)))"),23149.0)</f>
        <v>23149</v>
      </c>
      <c r="AO52" s="537">
        <f>IFERROR(__xludf.DUMMYFUNCTION("SUM(INDIRECT(CONCATENATE(""'"",INDEX(SPLIT($D52,""AC""),1),""AC"",INDEX(SPLIT($D52,""AC""),2)+$E52*(COLUMN()-COLUMN($G52)),"":"",""AC"",INDEX(SPLIT($D52,""AC""),2)+$E52*(COLUMN()-COLUMN($G52))+$F52-1)))"),43279.0)</f>
        <v>43279</v>
      </c>
      <c r="AP52" s="537">
        <f>IFERROR(__xludf.DUMMYFUNCTION("SUM(INDIRECT(CONCATENATE(""'"",INDEX(SPLIT($D52,""AC""),1),""AC"",INDEX(SPLIT($D52,""AC""),2)+$E52*(COLUMN()-COLUMN($G52)),"":"",""AC"",INDEX(SPLIT($D52,""AC""),2)+$E52*(COLUMN()-COLUMN($G52))+$F52-1)))"),65969.0)</f>
        <v>65969</v>
      </c>
      <c r="AQ52" s="537">
        <f>IFERROR(__xludf.DUMMYFUNCTION("SUM(INDIRECT(CONCATENATE(""'"",INDEX(SPLIT($D52,""AC""),1),""AC"",INDEX(SPLIT($D52,""AC""),2)+$E52*(COLUMN()-COLUMN($G52)),"":"",""AC"",INDEX(SPLIT($D52,""AC""),2)+$E52*(COLUMN()-COLUMN($G52))+$F52-1)))"),57248.0)</f>
        <v>57248</v>
      </c>
      <c r="AR52" s="537">
        <f>IFERROR(__xludf.DUMMYFUNCTION("SUM(INDIRECT(CONCATENATE(""'"",INDEX(SPLIT($D52,""AC""),1),""AC"",INDEX(SPLIT($D52,""AC""),2)+$E52*(COLUMN()-COLUMN($G52)),"":"",""AC"",INDEX(SPLIT($D52,""AC""),2)+$E52*(COLUMN()-COLUMN($G52))+$F52-1)))"),82535.0)</f>
        <v>82535</v>
      </c>
      <c r="AS52" s="537">
        <f>IFERROR(__xludf.DUMMYFUNCTION("SUM(INDIRECT(CONCATENATE(""'"",INDEX(SPLIT($D52,""AC""),1),""AC"",INDEX(SPLIT($D52,""AC""),2)+$E52*(COLUMN()-COLUMN($G52)),"":"",""AC"",INDEX(SPLIT($D52,""AC""),2)+$E52*(COLUMN()-COLUMN($G52))+$F52-1)))"),46632.0)</f>
        <v>46632</v>
      </c>
      <c r="AT52" s="537">
        <f>IFERROR(__xludf.DUMMYFUNCTION("SUM(INDIRECT(CONCATENATE(""'"",INDEX(SPLIT($D52,""AC""),1),""AC"",INDEX(SPLIT($D52,""AC""),2)+$E52*(COLUMN()-COLUMN($G52)),"":"",""AC"",INDEX(SPLIT($D52,""AC""),2)+$E52*(COLUMN()-COLUMN($G52))+$F52-1)))"),42519.0)</f>
        <v>42519</v>
      </c>
      <c r="AU52" s="537">
        <f>IFERROR(__xludf.DUMMYFUNCTION("SUM(INDIRECT(CONCATENATE(""'"",INDEX(SPLIT($D52,""AC""),1),""AC"",INDEX(SPLIT($D52,""AC""),2)+$E52*(COLUMN()-COLUMN($G52)),"":"",""AC"",INDEX(SPLIT($D52,""AC""),2)+$E52*(COLUMN()-COLUMN($G52))+$F52-1)))"),58089.0)</f>
        <v>58089</v>
      </c>
      <c r="AV52" s="537">
        <f>IFERROR(__xludf.DUMMYFUNCTION("SUM(INDIRECT(CONCATENATE(""'"",INDEX(SPLIT($D52,""AC""),1),""AC"",INDEX(SPLIT($D52,""AC""),2)+$E52*(COLUMN()-COLUMN($G52)),"":"",""AC"",INDEX(SPLIT($D52,""AC""),2)+$E52*(COLUMN()-COLUMN($G52))+$F52-1)))"),42013.0)</f>
        <v>42013</v>
      </c>
      <c r="AW52" s="537">
        <f>IFERROR(__xludf.DUMMYFUNCTION("SUM(INDIRECT(CONCATENATE(""'"",INDEX(SPLIT($D52,""AC""),1),""AC"",INDEX(SPLIT($D52,""AC""),2)+$E52*(COLUMN()-COLUMN($G52)),"":"",""AC"",INDEX(SPLIT($D52,""AC""),2)+$E52*(COLUMN()-COLUMN($G52))+$F52-1)))"),41322.0)</f>
        <v>41322</v>
      </c>
      <c r="AX52" s="537">
        <f>IFERROR(__xludf.DUMMYFUNCTION("SUM(INDIRECT(CONCATENATE(""'"",INDEX(SPLIT($D52,""AC""),1),""AC"",INDEX(SPLIT($D52,""AC""),2)+$E52*(COLUMN()-COLUMN($G52)),"":"",""AC"",INDEX(SPLIT($D52,""AC""),2)+$E52*(COLUMN()-COLUMN($G52))+$F52-1)))"),45003.0)</f>
        <v>45003</v>
      </c>
      <c r="AY52" s="537">
        <f>IFERROR(__xludf.DUMMYFUNCTION("SUM(INDIRECT(CONCATENATE(""'"",INDEX(SPLIT($D52,""AC""),1),""AC"",INDEX(SPLIT($D52,""AC""),2)+$E52*(COLUMN()-COLUMN($G52)),"":"",""AC"",INDEX(SPLIT($D52,""AC""),2)+$E52*(COLUMN()-COLUMN($G52))+$F52-1)))"),56033.0)</f>
        <v>56033</v>
      </c>
      <c r="AZ52" s="537">
        <f>IFERROR(__xludf.DUMMYFUNCTION("SUM(INDIRECT(CONCATENATE(""'"",INDEX(SPLIT($D52,""AC""),1),""AC"",INDEX(SPLIT($D52,""AC""),2)+$E52*(COLUMN()-COLUMN($G52)),"":"",""AC"",INDEX(SPLIT($D52,""AC""),2)+$E52*(COLUMN()-COLUMN($G52))+$F52-1)))"),43569.0)</f>
        <v>43569</v>
      </c>
      <c r="BA52" s="537">
        <f>IFERROR(__xludf.DUMMYFUNCTION("SUM(INDIRECT(CONCATENATE(""'"",INDEX(SPLIT($D52,""AC""),1),""AC"",INDEX(SPLIT($D52,""AC""),2)+$E52*(COLUMN()-COLUMN($G52)),"":"",""AC"",INDEX(SPLIT($D52,""AC""),2)+$E52*(COLUMN()-COLUMN($G52))+$F52-1)))"),32207.0)</f>
        <v>32207</v>
      </c>
      <c r="BB52" s="537">
        <f>IFERROR(__xludf.DUMMYFUNCTION("SUM(INDIRECT(CONCATENATE(""'"",INDEX(SPLIT($D52,""AC""),1),""AC"",INDEX(SPLIT($D52,""AC""),2)+$E52*(COLUMN()-COLUMN($G52)),"":"",""AC"",INDEX(SPLIT($D52,""AC""),2)+$E52*(COLUMN()-COLUMN($G52))+$F52-1)))"),41516.0)</f>
        <v>41516</v>
      </c>
      <c r="BC52" s="537">
        <f>IFERROR(__xludf.DUMMYFUNCTION("SUM(INDIRECT(CONCATENATE(""'"",INDEX(SPLIT($D52,""AC""),1),""AC"",INDEX(SPLIT($D52,""AC""),2)+$E52*(COLUMN()-COLUMN($G52)),"":"",""AC"",INDEX(SPLIT($D52,""AC""),2)+$E52*(COLUMN()-COLUMN($G52))+$F52-1)))"),86633.0)</f>
        <v>86633</v>
      </c>
      <c r="BD52" s="537">
        <f>IFERROR(__xludf.DUMMYFUNCTION("SUM(INDIRECT(CONCATENATE(""'"",INDEX(SPLIT($D52,""AC""),1),""AC"",INDEX(SPLIT($D52,""AC""),2)+$E52*(COLUMN()-COLUMN($G52)),"":"",""AC"",INDEX(SPLIT($D52,""AC""),2)+$E52*(COLUMN()-COLUMN($G52))+$F52-1)))"),64649.0)</f>
        <v>64649</v>
      </c>
      <c r="BE52" s="537">
        <f>IFERROR(__xludf.DUMMYFUNCTION("SUM(INDIRECT(CONCATENATE(""'"",INDEX(SPLIT($D52,""AC""),1),""AC"",INDEX(SPLIT($D52,""AC""),2)+$E52*(COLUMN()-COLUMN($G52)),"":"",""AC"",INDEX(SPLIT($D52,""AC""),2)+$E52*(COLUMN()-COLUMN($G52))+$F52-1)))"),64008.0)</f>
        <v>64008</v>
      </c>
      <c r="BF52" s="537">
        <f>IFERROR(__xludf.DUMMYFUNCTION("SUM(INDIRECT(CONCATENATE(""'"",INDEX(SPLIT($D52,""AC""),1),""AC"",INDEX(SPLIT($D52,""AC""),2)+$E52*(COLUMN()-COLUMN($G52)),"":"",""AC"",INDEX(SPLIT($D52,""AC""),2)+$E52*(COLUMN()-COLUMN($G52))+$F52-1)))"),87834.0)</f>
        <v>87834</v>
      </c>
      <c r="BG52" s="537">
        <f>IFERROR(__xludf.DUMMYFUNCTION("SUM(INDIRECT(CONCATENATE(""'"",INDEX(SPLIT($D52,""AC""),1),""AC"",INDEX(SPLIT($D52,""AC""),2)+$E52*(COLUMN()-COLUMN($G52)),"":"",""AC"",INDEX(SPLIT($D52,""AC""),2)+$E52*(COLUMN()-COLUMN($G52))+$F52-1)))"),47149.0)</f>
        <v>47149</v>
      </c>
      <c r="BH52" s="537">
        <f>IFERROR(__xludf.DUMMYFUNCTION("SUM(INDIRECT(CONCATENATE(""'"",INDEX(SPLIT($D52,""AC""),1),""AC"",INDEX(SPLIT($D52,""AC""),2)+$E52*(COLUMN()-COLUMN($G52)),"":"",""AC"",INDEX(SPLIT($D52,""AC""),2)+$E52*(COLUMN()-COLUMN($G52))+$F52-1)))"),53398.0)</f>
        <v>53398</v>
      </c>
      <c r="BI52" s="537">
        <f>IFERROR(__xludf.DUMMYFUNCTION("SUM(INDIRECT(CONCATENATE(""'"",INDEX(SPLIT($D52,""AC""),1),""AC"",INDEX(SPLIT($D52,""AC""),2)+$E52*(COLUMN()-COLUMN($G52)),"":"",""AC"",INDEX(SPLIT($D52,""AC""),2)+$E52*(COLUMN()-COLUMN($G52))+$F52-1)))"),62761.0)</f>
        <v>62761</v>
      </c>
      <c r="BJ52" s="537">
        <f>IFERROR(__xludf.DUMMYFUNCTION("SUM(INDIRECT(CONCATENATE(""'"",INDEX(SPLIT($D52,""AC""),1),""AC"",INDEX(SPLIT($D52,""AC""),2)+$E52*(COLUMN()-COLUMN($G52)),"":"",""AC"",INDEX(SPLIT($D52,""AC""),2)+$E52*(COLUMN()-COLUMN($G52))+$F52-1)))"),51929.0)</f>
        <v>51929</v>
      </c>
      <c r="BK52" s="537">
        <f>IFERROR(__xludf.DUMMYFUNCTION("SUM(INDIRECT(CONCATENATE(""'"",INDEX(SPLIT($D52,""AC""),1),""AC"",INDEX(SPLIT($D52,""AC""),2)+$E52*(COLUMN()-COLUMN($G52)),"":"",""AC"",INDEX(SPLIT($D52,""AC""),2)+$E52*(COLUMN()-COLUMN($G52))+$F52-1)))"),57571.0)</f>
        <v>57571</v>
      </c>
      <c r="BL52" s="537">
        <f>IFERROR(__xludf.DUMMYFUNCTION("SUM(INDIRECT(CONCATENATE(""'"",INDEX(SPLIT($D52,""AC""),1),""AC"",INDEX(SPLIT($D52,""AC""),2)+$E52*(COLUMN()-COLUMN($G52)),"":"",""AC"",INDEX(SPLIT($D52,""AC""),2)+$E52*(COLUMN()-COLUMN($G52))+$F52-1)))"),56296.0)</f>
        <v>56296</v>
      </c>
      <c r="BM52" s="537">
        <f>IFERROR(__xludf.DUMMYFUNCTION("SUM(INDIRECT(CONCATENATE(""'"",INDEX(SPLIT($D52,""AC""),1),""AC"",INDEX(SPLIT($D52,""AC""),2)+$E52*(COLUMN()-COLUMN($G52)),"":"",""AC"",INDEX(SPLIT($D52,""AC""),2)+$E52*(COLUMN()-COLUMN($G52))+$F52-1)))"),58571.0)</f>
        <v>58571</v>
      </c>
      <c r="BN52" s="537">
        <f>IFERROR(__xludf.DUMMYFUNCTION("SUM(INDIRECT(CONCATENATE(""'"",INDEX(SPLIT($D52,""AC""),1),""AC"",INDEX(SPLIT($D52,""AC""),2)+$E52*(COLUMN()-COLUMN($G52)),"":"",""AC"",INDEX(SPLIT($D52,""AC""),2)+$E52*(COLUMN()-COLUMN($G52))+$F52-1)))"),92180.0)</f>
        <v>92180</v>
      </c>
      <c r="BO52" s="537">
        <f>IFERROR(__xludf.DUMMYFUNCTION("SUM(INDIRECT(CONCATENATE(""'"",INDEX(SPLIT($D52,""AC""),1),""AC"",INDEX(SPLIT($D52,""AC""),2)+$E52*(COLUMN()-COLUMN($G52)),"":"",""AC"",INDEX(SPLIT($D52,""AC""),2)+$E52*(COLUMN()-COLUMN($G52))+$F52-1)))"),67966.0)</f>
        <v>67966</v>
      </c>
      <c r="BP52" s="537">
        <f>IFERROR(__xludf.DUMMYFUNCTION("SUM(INDIRECT(CONCATENATE(""'"",INDEX(SPLIT($D52,""AC""),1),""AC"",INDEX(SPLIT($D52,""AC""),2)+$E52*(COLUMN()-COLUMN($G52)),"":"",""AC"",INDEX(SPLIT($D52,""AC""),2)+$E52*(COLUMN()-COLUMN($G52))+$F52-1)))"),79827.0)</f>
        <v>79827</v>
      </c>
      <c r="BQ52" s="537">
        <f>IFERROR(__xludf.DUMMYFUNCTION("SUM(INDIRECT(CONCATENATE(""'"",INDEX(SPLIT($D52,""AC""),1),""AC"",INDEX(SPLIT($D52,""AC""),2)+$E52*(COLUMN()-COLUMN($G52)),"":"",""AC"",INDEX(SPLIT($D52,""AC""),2)+$E52*(COLUMN()-COLUMN($G52))+$F52-1)))"),73991.0)</f>
        <v>73991</v>
      </c>
      <c r="BR52" s="537">
        <f>IFERROR(__xludf.DUMMYFUNCTION("SUM(INDIRECT(CONCATENATE(""'"",INDEX(SPLIT($D52,""AC""),1),""AC"",INDEX(SPLIT($D52,""AC""),2)+$E52*(COLUMN()-COLUMN($G52)),"":"",""AC"",INDEX(SPLIT($D52,""AC""),2)+$E52*(COLUMN()-COLUMN($G52))+$F52-1)))"),100482.0)</f>
        <v>100482</v>
      </c>
      <c r="BS52" s="537">
        <f>IFERROR(__xludf.DUMMYFUNCTION("SUM(INDIRECT(CONCATENATE(""'"",INDEX(SPLIT($D52,""AC""),1),""AC"",INDEX(SPLIT($D52,""AC""),2)+$E52*(COLUMN()-COLUMN($G52)),"":"",""AC"",INDEX(SPLIT($D52,""AC""),2)+$E52*(COLUMN()-COLUMN($G52))+$F52-1)))"),75666.0)</f>
        <v>75666</v>
      </c>
      <c r="BT52" s="537">
        <f>IFERROR(__xludf.DUMMYFUNCTION("SUM(INDIRECT(CONCATENATE(""'"",INDEX(SPLIT($D52,""AC""),1),""AC"",INDEX(SPLIT($D52,""AC""),2)+$E52*(COLUMN()-COLUMN($G52)),"":"",""AC"",INDEX(SPLIT($D52,""AC""),2)+$E52*(COLUMN()-COLUMN($G52))+$F52-1)))"),74834.0)</f>
        <v>74834</v>
      </c>
      <c r="BU52" s="537">
        <f>IFERROR(__xludf.DUMMYFUNCTION("SUM(INDIRECT(CONCATENATE(""'"",INDEX(SPLIT($D52,""AC""),1),""AC"",INDEX(SPLIT($D52,""AC""),2)+$E52*(COLUMN()-COLUMN($G52)),"":"",""AC"",INDEX(SPLIT($D52,""AC""),2)+$E52*(COLUMN()-COLUMN($G52))+$F52-1)))"),65601.0)</f>
        <v>65601</v>
      </c>
      <c r="BV52" s="537">
        <f>IFERROR(__xludf.DUMMYFUNCTION("SUM(INDIRECT(CONCATENATE(""'"",INDEX(SPLIT($D52,""AC""),1),""AC"",INDEX(SPLIT($D52,""AC""),2)+$E52*(COLUMN()-COLUMN($G52)),"":"",""AC"",INDEX(SPLIT($D52,""AC""),2)+$E52*(COLUMN()-COLUMN($G52))+$F52-1)))"),70328.0)</f>
        <v>70328</v>
      </c>
      <c r="BW52" s="537">
        <f>IFERROR(__xludf.DUMMYFUNCTION("SUM(INDIRECT(CONCATENATE(""'"",INDEX(SPLIT($D52,""AC""),1),""AC"",INDEX(SPLIT($D52,""AC""),2)+$E52*(COLUMN()-COLUMN($G52)),"":"",""AC"",INDEX(SPLIT($D52,""AC""),2)+$E52*(COLUMN()-COLUMN($G52))+$F52-1)))"),73647.0)</f>
        <v>73647</v>
      </c>
      <c r="BX52" s="537">
        <f>IFERROR(__xludf.DUMMYFUNCTION("SUM(INDIRECT(CONCATENATE(""'"",INDEX(SPLIT($D52,""AC""),1),""AC"",INDEX(SPLIT($D52,""AC""),2)+$E52*(COLUMN()-COLUMN($G52)),"":"",""AC"",INDEX(SPLIT($D52,""AC""),2)+$E52*(COLUMN()-COLUMN($G52))+$F52-1)))"),59870.0)</f>
        <v>59870</v>
      </c>
      <c r="BY52" s="537">
        <f>IFERROR(__xludf.DUMMYFUNCTION("SUM(INDIRECT(CONCATENATE(""'"",INDEX(SPLIT($D52,""AC""),1),""AC"",INDEX(SPLIT($D52,""AC""),2)+$E52*(COLUMN()-COLUMN($G52)),"":"",""AC"",INDEX(SPLIT($D52,""AC""),2)+$E52*(COLUMN()-COLUMN($G52))+$F52-1)))"),84614.0)</f>
        <v>84614</v>
      </c>
      <c r="BZ52" s="537">
        <f>IFERROR(__xludf.DUMMYFUNCTION("SUM(INDIRECT(CONCATENATE(""'"",INDEX(SPLIT($D52,""AC""),1),""AC"",INDEX(SPLIT($D52,""AC""),2)+$E52*(COLUMN()-COLUMN($G52)),"":"",""AC"",INDEX(SPLIT($D52,""AC""),2)+$E52*(COLUMN()-COLUMN($G52))+$F52-1)))"),67886.0)</f>
        <v>67886</v>
      </c>
      <c r="CA52" s="537">
        <f>IFERROR(__xludf.DUMMYFUNCTION("SUM(INDIRECT(CONCATENATE(""'"",INDEX(SPLIT($D52,""AC""),1),""AC"",INDEX(SPLIT($D52,""AC""),2)+$E52*(COLUMN()-COLUMN($G52)),"":"",""AC"",INDEX(SPLIT($D52,""AC""),2)+$E52*(COLUMN()-COLUMN($G52))+$F52-1)))"),135549.0)</f>
        <v>135549</v>
      </c>
      <c r="CB52" s="537">
        <f>IFERROR(__xludf.DUMMYFUNCTION("SUM(INDIRECT(CONCATENATE(""'"",INDEX(SPLIT($D52,""AC""),1),""AC"",INDEX(SPLIT($D52,""AC""),2)+$E52*(COLUMN()-COLUMN($G52)),"":"",""AC"",INDEX(SPLIT($D52,""AC""),2)+$E52*(COLUMN()-COLUMN($G52))+$F52-1)))"),57600.0)</f>
        <v>57600</v>
      </c>
      <c r="CC52" s="537">
        <f>IFERROR(__xludf.DUMMYFUNCTION("SUM(INDIRECT(CONCATENATE(""'"",INDEX(SPLIT($D52,""AC""),1),""AC"",INDEX(SPLIT($D52,""AC""),2)+$E52*(COLUMN()-COLUMN($G52)),"":"",""AC"",INDEX(SPLIT($D52,""AC""),2)+$E52*(COLUMN()-COLUMN($G52))+$F52-1)))"),59945.0)</f>
        <v>59945</v>
      </c>
      <c r="CD52" s="537">
        <f>IFERROR(__xludf.DUMMYFUNCTION("SUM(INDIRECT(CONCATENATE(""'"",INDEX(SPLIT($D52,""AC""),1),""AC"",INDEX(SPLIT($D52,""AC""),2)+$E52*(COLUMN()-COLUMN($G52)),"":"",""AC"",INDEX(SPLIT($D52,""AC""),2)+$E52*(COLUMN()-COLUMN($G52))+$F52-1)))"),141187.0)</f>
        <v>141187</v>
      </c>
      <c r="CE52" s="537">
        <f>IFERROR(__xludf.DUMMYFUNCTION("SUM(INDIRECT(CONCATENATE(""'"",INDEX(SPLIT($D52,""AC""),1),""AC"",INDEX(SPLIT($D52,""AC""),2)+$E52*(COLUMN()-COLUMN($G52)),"":"",""AC"",INDEX(SPLIT($D52,""AC""),2)+$E52*(COLUMN()-COLUMN($G52))+$F52-1)))"),55436.0)</f>
        <v>55436</v>
      </c>
      <c r="CF52" s="537">
        <f>IFERROR(__xludf.DUMMYFUNCTION("SUM(INDIRECT(CONCATENATE(""'"",INDEX(SPLIT($D52,""AC""),1),""AC"",INDEX(SPLIT($D52,""AC""),2)+$E52*(COLUMN()-COLUMN($G52)),"":"",""AC"",INDEX(SPLIT($D52,""AC""),2)+$E52*(COLUMN()-COLUMN($G52))+$F52-1)))"),110201.0)</f>
        <v>110201</v>
      </c>
      <c r="CG52" s="537">
        <f>IFERROR(__xludf.DUMMYFUNCTION("SUM(INDIRECT(CONCATENATE(""'"",INDEX(SPLIT($D52,""AC""),1),""AC"",INDEX(SPLIT($D52,""AC""),2)+$E52*(COLUMN()-COLUMN($G52)),"":"",""AC"",INDEX(SPLIT($D52,""AC""),2)+$E52*(COLUMN()-COLUMN($G52))+$F52-1)))"),71673.0)</f>
        <v>71673</v>
      </c>
      <c r="CH52" s="537">
        <f>IFERROR(__xludf.DUMMYFUNCTION("SUM(INDIRECT(CONCATENATE(""'"",INDEX(SPLIT($D52,""AC""),1),""AC"",INDEX(SPLIT($D52,""AC""),2)+$E52*(COLUMN()-COLUMN($G52)),"":"",""AC"",INDEX(SPLIT($D52,""AC""),2)+$E52*(COLUMN()-COLUMN($G52))+$F52-1)))"),76782.0)</f>
        <v>76782</v>
      </c>
      <c r="CI52" s="537">
        <f>IFERROR(__xludf.DUMMYFUNCTION("SUM(INDIRECT(CONCATENATE(""'"",INDEX(SPLIT($D52,""AC""),1),""AC"",INDEX(SPLIT($D52,""AC""),2)+$E52*(COLUMN()-COLUMN($G52)),"":"",""AC"",INDEX(SPLIT($D52,""AC""),2)+$E52*(COLUMN()-COLUMN($G52))+$F52-1)))"),109453.0)</f>
        <v>109453</v>
      </c>
      <c r="CJ52" s="537">
        <f>IFERROR(__xludf.DUMMYFUNCTION("SUM(INDIRECT(CONCATENATE(""'"",INDEX(SPLIT($D52,""AC""),1),""AC"",INDEX(SPLIT($D52,""AC""),2)+$E52*(COLUMN()-COLUMN($G52)),"":"",""AC"",INDEX(SPLIT($D52,""AC""),2)+$E52*(COLUMN()-COLUMN($G52))+$F52-1)))"),182370.0)</f>
        <v>182370</v>
      </c>
      <c r="CK52" s="537">
        <f>IFERROR(__xludf.DUMMYFUNCTION("SUM(INDIRECT(CONCATENATE(""'"",INDEX(SPLIT($D52,""AC""),1),""AC"",INDEX(SPLIT($D52,""AC""),2)+$E52*(COLUMN()-COLUMN($G52)),"":"",""AC"",INDEX(SPLIT($D52,""AC""),2)+$E52*(COLUMN()-COLUMN($G52))+$F52-1)))"),56011.0)</f>
        <v>56011</v>
      </c>
      <c r="CL52" s="537">
        <f>IFERROR(__xludf.DUMMYFUNCTION("SUM(INDIRECT(CONCATENATE(""'"",INDEX(SPLIT($D52,""AC""),1),""AC"",INDEX(SPLIT($D52,""AC""),2)+$E52*(COLUMN()-COLUMN($G52)),"":"",""AC"",INDEX(SPLIT($D52,""AC""),2)+$E52*(COLUMN()-COLUMN($G52))+$F52-1)))"),68056.0)</f>
        <v>68056</v>
      </c>
      <c r="CM52" s="537">
        <f>IFERROR(__xludf.DUMMYFUNCTION("SUM(INDIRECT(CONCATENATE(""'"",INDEX(SPLIT($D52,""AC""),1),""AC"",INDEX(SPLIT($D52,""AC""),2)+$E52*(COLUMN()-COLUMN($G52)),"":"",""AC"",INDEX(SPLIT($D52,""AC""),2)+$E52*(COLUMN()-COLUMN($G52))+$F52-1)))"),109474.0)</f>
        <v>109474</v>
      </c>
      <c r="CN52" s="537">
        <f>IFERROR(__xludf.DUMMYFUNCTION("SUM(INDIRECT(CONCATENATE(""'"",INDEX(SPLIT($D52,""AC""),1),""AC"",INDEX(SPLIT($D52,""AC""),2)+$E52*(COLUMN()-COLUMN($G52)),"":"",""AC"",INDEX(SPLIT($D52,""AC""),2)+$E52*(COLUMN()-COLUMN($G52))+$F52-1)))"),144891.0)</f>
        <v>144891</v>
      </c>
      <c r="CO52" s="538">
        <f>IFERROR(__xludf.DUMMYFUNCTION("SUM(INDIRECT(CONCATENATE(""'"",INDEX(SPLIT($D52,""AC""),1),""AC"",INDEX(SPLIT($D52,""AC""),2)+$E52*(COLUMN()-COLUMN($G52)),"":"",""AC"",INDEX(SPLIT($D52,""AC""),2)+$E52*(COLUMN()-COLUMN($G52))+$F52-1)))"),74137.0)</f>
        <v>74137</v>
      </c>
      <c r="CP52" s="537">
        <f>IFERROR(__xludf.DUMMYFUNCTION("SUM(INDIRECT(CONCATENATE(""'"",INDEX(SPLIT($D52,""AC""),1),""AC"",INDEX(SPLIT($D52,""AC""),2)+$E52*(COLUMN()-COLUMN($G52)),"":"",""AC"",INDEX(SPLIT($D52,""AC""),2)+$E52*(COLUMN()-COLUMN($G52))+$F52-1)))"),143705.0)</f>
        <v>143705</v>
      </c>
      <c r="CQ52" s="537">
        <f>IFERROR(__xludf.DUMMYFUNCTION("SUM(INDIRECT(CONCATENATE(""'"",INDEX(SPLIT($D52,""AC""),1),""AC"",INDEX(SPLIT($D52,""AC""),2)+$E52*(COLUMN()-COLUMN($G52)),"":"",""AC"",INDEX(SPLIT($D52,""AC""),2)+$E52*(COLUMN()-COLUMN($G52))+$F52-1)))"),79731.0)</f>
        <v>79731</v>
      </c>
      <c r="CR52" s="537">
        <f>IFERROR(__xludf.DUMMYFUNCTION("SUM(INDIRECT(CONCATENATE(""'"",INDEX(SPLIT($D52,""AC""),1),""AC"",INDEX(SPLIT($D52,""AC""),2)+$E52*(COLUMN()-COLUMN($G52)),"":"",""AC"",INDEX(SPLIT($D52,""AC""),2)+$E52*(COLUMN()-COLUMN($G52))+$F52-1)))"),86497.0)</f>
        <v>86497</v>
      </c>
      <c r="CS52" s="537">
        <f>IFERROR(__xludf.DUMMYFUNCTION("SUM(INDIRECT(CONCATENATE(""'"",INDEX(SPLIT($D52,""AC""),1),""AC"",INDEX(SPLIT($D52,""AC""),2)+$E52*(COLUMN()-COLUMN($G52)),"":"",""AC"",INDEX(SPLIT($D52,""AC""),2)+$E52*(COLUMN()-COLUMN($G52))+$F52-1)))"),69087.0)</f>
        <v>69087</v>
      </c>
      <c r="CT52" s="537">
        <f>IFERROR(__xludf.DUMMYFUNCTION("SUM(INDIRECT(CONCATENATE(""'"",INDEX(SPLIT($D52,""AC""),1),""AC"",INDEX(SPLIT($D52,""AC""),2)+$E52*(COLUMN()-COLUMN($G52)),"":"",""AC"",INDEX(SPLIT($D52,""AC""),2)+$E52*(COLUMN()-COLUMN($G52))+$F52-1)))"),82382.0)</f>
        <v>82382</v>
      </c>
      <c r="CU52" s="537">
        <f>IFERROR(__xludf.DUMMYFUNCTION("SUM(INDIRECT(CONCATENATE(""'"",INDEX(SPLIT($D52,""AC""),1),""AC"",INDEX(SPLIT($D52,""AC""),2)+$E52*(COLUMN()-COLUMN($G52)),"":"",""AC"",INDEX(SPLIT($D52,""AC""),2)+$E52*(COLUMN()-COLUMN($G52))+$F52-1)))"),123197.0)</f>
        <v>123197</v>
      </c>
      <c r="CV52" s="537">
        <f>IFERROR(__xludf.DUMMYFUNCTION("SUM(INDIRECT(CONCATENATE(""'"",INDEX(SPLIT($D52,""AC""),1),""AC"",INDEX(SPLIT($D52,""AC""),2)+$E52*(COLUMN()-COLUMN($G52)),"":"",""AC"",INDEX(SPLIT($D52,""AC""),2)+$E52*(COLUMN()-COLUMN($G52))+$F52-1)))"),23665.0)</f>
        <v>23665</v>
      </c>
      <c r="CW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CX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CY52" s="537">
        <f>IFERROR(__xludf.DUMMYFUNCTION("SUM(INDIRECT(CONCATENATE(""'"",INDEX(SPLIT($D52,""AC""),1),""AC"",INDEX(SPLIT($D52,""AC""),2)+$E52*(COLUMN()-COLUMN($G52)),"":"",""AC"",INDEX(SPLIT($D52,""AC""),2)+$E52*(COLUMN()-COLUMN($G52))+$F52-1)))"),2030.0)</f>
        <v>2030</v>
      </c>
      <c r="CZ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A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B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C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D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E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F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G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H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I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J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K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L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M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N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O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P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Q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R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S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T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U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V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W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X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Y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DZ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A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B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C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D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E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F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G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H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I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J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K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L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M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N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O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P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Q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R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S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T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U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V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W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X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Y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EZ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A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B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C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D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E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F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G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H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I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J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K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L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M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N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O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P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Q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R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S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T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U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V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W52" s="537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  <c r="FX52" s="538">
        <f>IFERROR(__xludf.DUMMYFUNCTION("SUM(INDIRECT(CONCATENATE(""'"",INDEX(SPLIT($D52,""AC""),1),""AC"",INDEX(SPLIT($D52,""AC""),2)+$E52*(COLUMN()-COLUMN($G52)),"":"",""AC"",INDEX(SPLIT($D52,""AC""),2)+$E52*(COLUMN()-COLUMN($G52))+$F52-1)))"),0.0)</f>
        <v>0</v>
      </c>
    </row>
    <row r="53">
      <c r="A53" s="548"/>
      <c r="B53" s="535" t="s">
        <v>710</v>
      </c>
      <c r="C53" s="545"/>
      <c r="D53" s="470" t="s">
        <v>711</v>
      </c>
      <c r="E53" s="444">
        <v>1.0</v>
      </c>
      <c r="F53" s="444">
        <v>1.0</v>
      </c>
      <c r="G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H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I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J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K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L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M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N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O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P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Q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R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S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T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U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V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W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X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Y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Z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A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B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C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D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E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F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G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H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I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J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K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L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M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N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O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P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Q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R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S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T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U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V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W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X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Y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AZ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A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B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C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D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E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F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G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H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I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J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K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L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M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N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O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P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Q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BR53" s="537">
        <f>IFERROR(__xludf.DUMMYFUNCTION("SUM(INDIRECT(CONCATENATE(""'"",INDEX(SPLIT($D53,""Y""),1),""Y"",INDEX(SPLIT($D53,""Y""),2)+$E53*(COLUMN()-COLUMN($G53)),"":"",""Y"",INDEX(SPLIT($D53,""Y""),2)+$E53*(COLUMN()-COLUMN($G53))+$F53-1)))"),12956.0)</f>
        <v>12956</v>
      </c>
      <c r="BS53" s="537">
        <f>IFERROR(__xludf.DUMMYFUNCTION("SUM(INDIRECT(CONCATENATE(""'"",INDEX(SPLIT($D53,""Y""),1),""Y"",INDEX(SPLIT($D53,""Y""),2)+$E53*(COLUMN()-COLUMN($G53)),"":"",""Y"",INDEX(SPLIT($D53,""Y""),2)+$E53*(COLUMN()-COLUMN($G53))+$F53-1)))"),12740.0)</f>
        <v>12740</v>
      </c>
      <c r="BT53" s="537">
        <f>IFERROR(__xludf.DUMMYFUNCTION("SUM(INDIRECT(CONCATENATE(""'"",INDEX(SPLIT($D53,""Y""),1),""Y"",INDEX(SPLIT($D53,""Y""),2)+$E53*(COLUMN()-COLUMN($G53)),"":"",""Y"",INDEX(SPLIT($D53,""Y""),2)+$E53*(COLUMN()-COLUMN($G53))+$F53-1)))"),12527.0)</f>
        <v>12527</v>
      </c>
      <c r="BU53" s="537">
        <f>IFERROR(__xludf.DUMMYFUNCTION("SUM(INDIRECT(CONCATENATE(""'"",INDEX(SPLIT($D53,""Y""),1),""Y"",INDEX(SPLIT($D53,""Y""),2)+$E53*(COLUMN()-COLUMN($G53)),"":"",""Y"",INDEX(SPLIT($D53,""Y""),2)+$E53*(COLUMN()-COLUMN($G53))+$F53-1)))"),12318.0)</f>
        <v>12318</v>
      </c>
      <c r="BV53" s="537">
        <f>IFERROR(__xludf.DUMMYFUNCTION("SUM(INDIRECT(CONCATENATE(""'"",INDEX(SPLIT($D53,""Y""),1),""Y"",INDEX(SPLIT($D53,""Y""),2)+$E53*(COLUMN()-COLUMN($G53)),"":"",""Y"",INDEX(SPLIT($D53,""Y""),2)+$E53*(COLUMN()-COLUMN($G53))+$F53-1)))"),12113.0)</f>
        <v>12113</v>
      </c>
      <c r="BW53" s="537">
        <f>IFERROR(__xludf.DUMMYFUNCTION("SUM(INDIRECT(CONCATENATE(""'"",INDEX(SPLIT($D53,""Y""),1),""Y"",INDEX(SPLIT($D53,""Y""),2)+$E53*(COLUMN()-COLUMN($G53)),"":"",""Y"",INDEX(SPLIT($D53,""Y""),2)+$E53*(COLUMN()-COLUMN($G53))+$F53-1)))"),11911.0)</f>
        <v>11911</v>
      </c>
      <c r="BX53" s="537">
        <f>IFERROR(__xludf.DUMMYFUNCTION("SUM(INDIRECT(CONCATENATE(""'"",INDEX(SPLIT($D53,""Y""),1),""Y"",INDEX(SPLIT($D53,""Y""),2)+$E53*(COLUMN()-COLUMN($G53)),"":"",""Y"",INDEX(SPLIT($D53,""Y""),2)+$E53*(COLUMN()-COLUMN($G53))+$F53-1)))"),11713.0)</f>
        <v>11713</v>
      </c>
      <c r="BY53" s="537">
        <f>IFERROR(__xludf.DUMMYFUNCTION("SUM(INDIRECT(CONCATENATE(""'"",INDEX(SPLIT($D53,""Y""),1),""Y"",INDEX(SPLIT($D53,""Y""),2)+$E53*(COLUMN()-COLUMN($G53)),"":"",""Y"",INDEX(SPLIT($D53,""Y""),2)+$E53*(COLUMN()-COLUMN($G53))+$F53-1)))"),11517.0)</f>
        <v>11517</v>
      </c>
      <c r="BZ53" s="537">
        <f>IFERROR(__xludf.DUMMYFUNCTION("SUM(INDIRECT(CONCATENATE(""'"",INDEX(SPLIT($D53,""Y""),1),""Y"",INDEX(SPLIT($D53,""Y""),2)+$E53*(COLUMN()-COLUMN($G53)),"":"",""Y"",INDEX(SPLIT($D53,""Y""),2)+$E53*(COLUMN()-COLUMN($G53))+$F53-1)))"),11326.0)</f>
        <v>11326</v>
      </c>
      <c r="CA53" s="537">
        <f>IFERROR(__xludf.DUMMYFUNCTION("SUM(INDIRECT(CONCATENATE(""'"",INDEX(SPLIT($D53,""Y""),1),""Y"",INDEX(SPLIT($D53,""Y""),2)+$E53*(COLUMN()-COLUMN($G53)),"":"",""Y"",INDEX(SPLIT($D53,""Y""),2)+$E53*(COLUMN()-COLUMN($G53))+$F53-1)))"),11137.0)</f>
        <v>11137</v>
      </c>
      <c r="CB53" s="537">
        <f>IFERROR(__xludf.DUMMYFUNCTION("SUM(INDIRECT(CONCATENATE(""'"",INDEX(SPLIT($D53,""Y""),1),""Y"",INDEX(SPLIT($D53,""Y""),2)+$E53*(COLUMN()-COLUMN($G53)),"":"",""Y"",INDEX(SPLIT($D53,""Y""),2)+$E53*(COLUMN()-COLUMN($G53))+$F53-1)))"),10951.0)</f>
        <v>10951</v>
      </c>
      <c r="CC53" s="537">
        <f>IFERROR(__xludf.DUMMYFUNCTION("SUM(INDIRECT(CONCATENATE(""'"",INDEX(SPLIT($D53,""Y""),1),""Y"",INDEX(SPLIT($D53,""Y""),2)+$E53*(COLUMN()-COLUMN($G53)),"":"",""Y"",INDEX(SPLIT($D53,""Y""),2)+$E53*(COLUMN()-COLUMN($G53))+$F53-1)))"),10769.0)</f>
        <v>10769</v>
      </c>
      <c r="CD53" s="537">
        <f>IFERROR(__xludf.DUMMYFUNCTION("SUM(INDIRECT(CONCATENATE(""'"",INDEX(SPLIT($D53,""Y""),1),""Y"",INDEX(SPLIT($D53,""Y""),2)+$E53*(COLUMN()-COLUMN($G53)),"":"",""Y"",INDEX(SPLIT($D53,""Y""),2)+$E53*(COLUMN()-COLUMN($G53))+$F53-1)))"),10589.0)</f>
        <v>10589</v>
      </c>
      <c r="CE53" s="537">
        <f>IFERROR(__xludf.DUMMYFUNCTION("SUM(INDIRECT(CONCATENATE(""'"",INDEX(SPLIT($D53,""Y""),1),""Y"",INDEX(SPLIT($D53,""Y""),2)+$E53*(COLUMN()-COLUMN($G53)),"":"",""Y"",INDEX(SPLIT($D53,""Y""),2)+$E53*(COLUMN()-COLUMN($G53))+$F53-1)))"),10413.0)</f>
        <v>10413</v>
      </c>
      <c r="CF53" s="537">
        <f>IFERROR(__xludf.DUMMYFUNCTION("SUM(INDIRECT(CONCATENATE(""'"",INDEX(SPLIT($D53,""Y""),1),""Y"",INDEX(SPLIT($D53,""Y""),2)+$E53*(COLUMN()-COLUMN($G53)),"":"",""Y"",INDEX(SPLIT($D53,""Y""),2)+$E53*(COLUMN()-COLUMN($G53))+$F53-1)))"),10239.0)</f>
        <v>10239</v>
      </c>
      <c r="CG53" s="537">
        <f>IFERROR(__xludf.DUMMYFUNCTION("SUM(INDIRECT(CONCATENATE(""'"",INDEX(SPLIT($D53,""Y""),1),""Y"",INDEX(SPLIT($D53,""Y""),2)+$E53*(COLUMN()-COLUMN($G53)),"":"",""Y"",INDEX(SPLIT($D53,""Y""),2)+$E53*(COLUMN()-COLUMN($G53))+$F53-1)))"),10068.0)</f>
        <v>10068</v>
      </c>
      <c r="CH53" s="537">
        <f>IFERROR(__xludf.DUMMYFUNCTION("SUM(INDIRECT(CONCATENATE(""'"",INDEX(SPLIT($D53,""Y""),1),""Y"",INDEX(SPLIT($D53,""Y""),2)+$E53*(COLUMN()-COLUMN($G53)),"":"",""Y"",INDEX(SPLIT($D53,""Y""),2)+$E53*(COLUMN()-COLUMN($G53))+$F53-1)))"),9901.0)</f>
        <v>9901</v>
      </c>
      <c r="CI53" s="537">
        <f>IFERROR(__xludf.DUMMYFUNCTION("SUM(INDIRECT(CONCATENATE(""'"",INDEX(SPLIT($D53,""Y""),1),""Y"",INDEX(SPLIT($D53,""Y""),2)+$E53*(COLUMN()-COLUMN($G53)),"":"",""Y"",INDEX(SPLIT($D53,""Y""),2)+$E53*(COLUMN()-COLUMN($G53))+$F53-1)))"),9736.0)</f>
        <v>9736</v>
      </c>
      <c r="CJ53" s="537">
        <f>IFERROR(__xludf.DUMMYFUNCTION("SUM(INDIRECT(CONCATENATE(""'"",INDEX(SPLIT($D53,""Y""),1),""Y"",INDEX(SPLIT($D53,""Y""),2)+$E53*(COLUMN()-COLUMN($G53)),"":"",""Y"",INDEX(SPLIT($D53,""Y""),2)+$E53*(COLUMN()-COLUMN($G53))+$F53-1)))"),9573.0)</f>
        <v>9573</v>
      </c>
      <c r="CK53" s="537">
        <f>IFERROR(__xludf.DUMMYFUNCTION("SUM(INDIRECT(CONCATENATE(""'"",INDEX(SPLIT($D53,""Y""),1),""Y"",INDEX(SPLIT($D53,""Y""),2)+$E53*(COLUMN()-COLUMN($G53)),"":"",""Y"",INDEX(SPLIT($D53,""Y""),2)+$E53*(COLUMN()-COLUMN($G53))+$F53-1)))"),9414.0)</f>
        <v>9414</v>
      </c>
      <c r="CL53" s="537">
        <f>IFERROR(__xludf.DUMMYFUNCTION("SUM(INDIRECT(CONCATENATE(""'"",INDEX(SPLIT($D53,""Y""),1),""Y"",INDEX(SPLIT($D53,""Y""),2)+$E53*(COLUMN()-COLUMN($G53)),"":"",""Y"",INDEX(SPLIT($D53,""Y""),2)+$E53*(COLUMN()-COLUMN($G53))+$F53-1)))"),9257.0)</f>
        <v>9257</v>
      </c>
      <c r="CM53" s="537">
        <f>IFERROR(__xludf.DUMMYFUNCTION("SUM(INDIRECT(CONCATENATE(""'"",INDEX(SPLIT($D53,""Y""),1),""Y"",INDEX(SPLIT($D53,""Y""),2)+$E53*(COLUMN()-COLUMN($G53)),"":"",""Y"",INDEX(SPLIT($D53,""Y""),2)+$E53*(COLUMN()-COLUMN($G53))+$F53-1)))"),9103.0)</f>
        <v>9103</v>
      </c>
      <c r="CN53" s="537">
        <f>IFERROR(__xludf.DUMMYFUNCTION("SUM(INDIRECT(CONCATENATE(""'"",INDEX(SPLIT($D53,""Y""),1),""Y"",INDEX(SPLIT($D53,""Y""),2)+$E53*(COLUMN()-COLUMN($G53)),"":"",""Y"",INDEX(SPLIT($D53,""Y""),2)+$E53*(COLUMN()-COLUMN($G53))+$F53-1)))"),8951.0)</f>
        <v>8951</v>
      </c>
      <c r="CO53" s="538">
        <f>IFERROR(__xludf.DUMMYFUNCTION("SUM(INDIRECT(CONCATENATE(""'"",INDEX(SPLIT($D53,""Y""),1),""Y"",INDEX(SPLIT($D53,""Y""),2)+$E53*(COLUMN()-COLUMN($G53)),"":"",""Y"",INDEX(SPLIT($D53,""Y""),2)+$E53*(COLUMN()-COLUMN($G53))+$F53-1)))"),8802.0)</f>
        <v>8802</v>
      </c>
      <c r="CP53" s="537">
        <f>IFERROR(__xludf.DUMMYFUNCTION("SUM(INDIRECT(CONCATENATE(""'"",INDEX(SPLIT($D53,""Y""),1),""Y"",INDEX(SPLIT($D53,""Y""),2)+$E53*(COLUMN()-COLUMN($G53)),"":"",""Y"",INDEX(SPLIT($D53,""Y""),2)+$E53*(COLUMN()-COLUMN($G53))+$F53-1)))"),8655.0)</f>
        <v>8655</v>
      </c>
      <c r="CQ53" s="537">
        <f>IFERROR(__xludf.DUMMYFUNCTION("SUM(INDIRECT(CONCATENATE(""'"",INDEX(SPLIT($D53,""Y""),1),""Y"",INDEX(SPLIT($D53,""Y""),2)+$E53*(COLUMN()-COLUMN($G53)),"":"",""Y"",INDEX(SPLIT($D53,""Y""),2)+$E53*(COLUMN()-COLUMN($G53))+$F53-1)))"),8511.0)</f>
        <v>8511</v>
      </c>
      <c r="CR53" s="537">
        <f>IFERROR(__xludf.DUMMYFUNCTION("SUM(INDIRECT(CONCATENATE(""'"",INDEX(SPLIT($D53,""Y""),1),""Y"",INDEX(SPLIT($D53,""Y""),2)+$E53*(COLUMN()-COLUMN($G53)),"":"",""Y"",INDEX(SPLIT($D53,""Y""),2)+$E53*(COLUMN()-COLUMN($G53))+$F53-1)))"),8369.0)</f>
        <v>8369</v>
      </c>
      <c r="CS53" s="537">
        <f>IFERROR(__xludf.DUMMYFUNCTION("SUM(INDIRECT(CONCATENATE(""'"",INDEX(SPLIT($D53,""Y""),1),""Y"",INDEX(SPLIT($D53,""Y""),2)+$E53*(COLUMN()-COLUMN($G53)),"":"",""Y"",INDEX(SPLIT($D53,""Y""),2)+$E53*(COLUMN()-COLUMN($G53))+$F53-1)))"),8229.0)</f>
        <v>8229</v>
      </c>
      <c r="CT53" s="537">
        <f>IFERROR(__xludf.DUMMYFUNCTION("SUM(INDIRECT(CONCATENATE(""'"",INDEX(SPLIT($D53,""Y""),1),""Y"",INDEX(SPLIT($D53,""Y""),2)+$E53*(COLUMN()-COLUMN($G53)),"":"",""Y"",INDEX(SPLIT($D53,""Y""),2)+$E53*(COLUMN()-COLUMN($G53))+$F53-1)))"),8092.0)</f>
        <v>8092</v>
      </c>
      <c r="CU53" s="537">
        <f>IFERROR(__xludf.DUMMYFUNCTION("SUM(INDIRECT(CONCATENATE(""'"",INDEX(SPLIT($D53,""Y""),1),""Y"",INDEX(SPLIT($D53,""Y""),2)+$E53*(COLUMN()-COLUMN($G53)),"":"",""Y"",INDEX(SPLIT($D53,""Y""),2)+$E53*(COLUMN()-COLUMN($G53))+$F53-1)))"),7957.0)</f>
        <v>7957</v>
      </c>
      <c r="CV53" s="537">
        <f>IFERROR(__xludf.DUMMYFUNCTION("SUM(INDIRECT(CONCATENATE(""'"",INDEX(SPLIT($D53,""Y""),1),""Y"",INDEX(SPLIT($D53,""Y""),2)+$E53*(COLUMN()-COLUMN($G53)),"":"",""Y"",INDEX(SPLIT($D53,""Y""),2)+$E53*(COLUMN()-COLUMN($G53))+$F53-1)))"),7825.0)</f>
        <v>7825</v>
      </c>
      <c r="CW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CX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CY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CZ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A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B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C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D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E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F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G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H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I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J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K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L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M53" s="537" t="str">
        <f>IFERROR(__xludf.DUMMYFUNCTION("SUM(INDIRECT(CONCATENATE(""'"",INDEX(SPLIT($D53,""Y""),1),""Y"",INDEX(SPLIT($D53,""Y""),2)+$E53*(COLUMN()-COLUMN($G53)),"":"",""Y"",INDEX(SPLIT($D53,""Y""),2)+$E53*(COLUMN()-COLUMN($G53))+$F53-1)))"),"#REF!")</f>
        <v>#REF!</v>
      </c>
      <c r="DN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O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P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Q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R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S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T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U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V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W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X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Y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DZ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A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B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C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D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E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F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G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H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I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J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K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L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M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N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O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P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Q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R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S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T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U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V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W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X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Y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EZ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A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B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C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D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E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F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G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H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I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J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K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L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M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N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O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P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Q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R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S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T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U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V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W53" s="537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  <c r="FX53" s="538">
        <f>IFERROR(__xludf.DUMMYFUNCTION("SUM(INDIRECT(CONCATENATE(""'"",INDEX(SPLIT($D53,""Y""),1),""Y"",INDEX(SPLIT($D53,""Y""),2)+$E53*(COLUMN()-COLUMN($G53)),"":"",""Y"",INDEX(SPLIT($D53,""Y""),2)+$E53*(COLUMN()-COLUMN($G53))+$F53-1)))"),0.0)</f>
        <v>0</v>
      </c>
    </row>
    <row r="54">
      <c r="A54" s="549"/>
      <c r="B54" s="535" t="s">
        <v>712</v>
      </c>
      <c r="C54" s="539"/>
      <c r="D54" s="540" t="s">
        <v>652</v>
      </c>
      <c r="E54" s="444" t="s">
        <v>652</v>
      </c>
      <c r="F54" s="444" t="s">
        <v>652</v>
      </c>
      <c r="G54" s="541">
        <f t="shared" ref="G54:FX54" si="7">G52+G53</f>
        <v>0</v>
      </c>
      <c r="H54" s="541">
        <f t="shared" si="7"/>
        <v>14069</v>
      </c>
      <c r="I54" s="541">
        <f t="shared" si="7"/>
        <v>23464</v>
      </c>
      <c r="J54" s="541">
        <f t="shared" si="7"/>
        <v>18241</v>
      </c>
      <c r="K54" s="541">
        <f t="shared" si="7"/>
        <v>21188</v>
      </c>
      <c r="L54" s="541">
        <f t="shared" si="7"/>
        <v>22079</v>
      </c>
      <c r="M54" s="541">
        <f t="shared" si="7"/>
        <v>19388</v>
      </c>
      <c r="N54" s="541">
        <f t="shared" si="7"/>
        <v>38171</v>
      </c>
      <c r="O54" s="541">
        <f t="shared" si="7"/>
        <v>25082</v>
      </c>
      <c r="P54" s="541">
        <f t="shared" si="7"/>
        <v>21079</v>
      </c>
      <c r="Q54" s="541">
        <f t="shared" si="7"/>
        <v>26674</v>
      </c>
      <c r="R54" s="541">
        <f t="shared" si="7"/>
        <v>29896</v>
      </c>
      <c r="S54" s="541">
        <f t="shared" si="7"/>
        <v>23885</v>
      </c>
      <c r="T54" s="541">
        <f t="shared" si="7"/>
        <v>19945</v>
      </c>
      <c r="U54" s="541">
        <f t="shared" si="7"/>
        <v>23436</v>
      </c>
      <c r="V54" s="541">
        <f t="shared" si="7"/>
        <v>24750</v>
      </c>
      <c r="W54" s="541">
        <f t="shared" si="7"/>
        <v>25845</v>
      </c>
      <c r="X54" s="541">
        <f t="shared" si="7"/>
        <v>18401</v>
      </c>
      <c r="Y54" s="541">
        <f t="shared" si="7"/>
        <v>28980</v>
      </c>
      <c r="Z54" s="541">
        <f t="shared" si="7"/>
        <v>31762</v>
      </c>
      <c r="AA54" s="541">
        <f t="shared" si="7"/>
        <v>28246</v>
      </c>
      <c r="AB54" s="541">
        <f t="shared" si="7"/>
        <v>27605</v>
      </c>
      <c r="AC54" s="541">
        <f t="shared" si="7"/>
        <v>28538</v>
      </c>
      <c r="AD54" s="541">
        <f t="shared" si="7"/>
        <v>33780</v>
      </c>
      <c r="AE54" s="541">
        <f t="shared" si="7"/>
        <v>29762</v>
      </c>
      <c r="AF54" s="541">
        <f t="shared" si="7"/>
        <v>28949</v>
      </c>
      <c r="AG54" s="541">
        <f t="shared" si="7"/>
        <v>34106</v>
      </c>
      <c r="AH54" s="541">
        <f t="shared" si="7"/>
        <v>29919</v>
      </c>
      <c r="AI54" s="541">
        <f t="shared" si="7"/>
        <v>32590</v>
      </c>
      <c r="AJ54" s="541">
        <f t="shared" si="7"/>
        <v>24327</v>
      </c>
      <c r="AK54" s="541">
        <f t="shared" si="7"/>
        <v>30285</v>
      </c>
      <c r="AL54" s="541">
        <f t="shared" si="7"/>
        <v>26710</v>
      </c>
      <c r="AM54" s="541">
        <f t="shared" si="7"/>
        <v>42514</v>
      </c>
      <c r="AN54" s="541">
        <f t="shared" si="7"/>
        <v>23149</v>
      </c>
      <c r="AO54" s="541">
        <f t="shared" si="7"/>
        <v>43279</v>
      </c>
      <c r="AP54" s="541">
        <f t="shared" si="7"/>
        <v>65969</v>
      </c>
      <c r="AQ54" s="541">
        <f t="shared" si="7"/>
        <v>57248</v>
      </c>
      <c r="AR54" s="541">
        <f t="shared" si="7"/>
        <v>82535</v>
      </c>
      <c r="AS54" s="541">
        <f t="shared" si="7"/>
        <v>46632</v>
      </c>
      <c r="AT54" s="541">
        <f t="shared" si="7"/>
        <v>42519</v>
      </c>
      <c r="AU54" s="541">
        <f t="shared" si="7"/>
        <v>58089</v>
      </c>
      <c r="AV54" s="541">
        <f t="shared" si="7"/>
        <v>42013</v>
      </c>
      <c r="AW54" s="541">
        <f t="shared" si="7"/>
        <v>41322</v>
      </c>
      <c r="AX54" s="541">
        <f t="shared" si="7"/>
        <v>45003</v>
      </c>
      <c r="AY54" s="541">
        <f t="shared" si="7"/>
        <v>56033</v>
      </c>
      <c r="AZ54" s="541">
        <f t="shared" si="7"/>
        <v>43569</v>
      </c>
      <c r="BA54" s="541">
        <f t="shared" si="7"/>
        <v>32207</v>
      </c>
      <c r="BB54" s="541">
        <f t="shared" si="7"/>
        <v>41516</v>
      </c>
      <c r="BC54" s="541">
        <f t="shared" si="7"/>
        <v>86633</v>
      </c>
      <c r="BD54" s="541">
        <f t="shared" si="7"/>
        <v>64649</v>
      </c>
      <c r="BE54" s="541">
        <f t="shared" si="7"/>
        <v>64008</v>
      </c>
      <c r="BF54" s="541">
        <f t="shared" si="7"/>
        <v>87834</v>
      </c>
      <c r="BG54" s="541">
        <f t="shared" si="7"/>
        <v>47149</v>
      </c>
      <c r="BH54" s="541">
        <f t="shared" si="7"/>
        <v>53398</v>
      </c>
      <c r="BI54" s="541">
        <f t="shared" si="7"/>
        <v>62761</v>
      </c>
      <c r="BJ54" s="541">
        <f t="shared" si="7"/>
        <v>51929</v>
      </c>
      <c r="BK54" s="541">
        <f t="shared" si="7"/>
        <v>57571</v>
      </c>
      <c r="BL54" s="541">
        <f t="shared" si="7"/>
        <v>56296</v>
      </c>
      <c r="BM54" s="541">
        <f t="shared" si="7"/>
        <v>58571</v>
      </c>
      <c r="BN54" s="541">
        <f t="shared" si="7"/>
        <v>92180</v>
      </c>
      <c r="BO54" s="541">
        <f t="shared" si="7"/>
        <v>67966</v>
      </c>
      <c r="BP54" s="541">
        <f t="shared" si="7"/>
        <v>79827</v>
      </c>
      <c r="BQ54" s="541">
        <f t="shared" si="7"/>
        <v>73991</v>
      </c>
      <c r="BR54" s="541">
        <f t="shared" si="7"/>
        <v>113438</v>
      </c>
      <c r="BS54" s="541">
        <f t="shared" si="7"/>
        <v>88406</v>
      </c>
      <c r="BT54" s="542">
        <f t="shared" si="7"/>
        <v>87361</v>
      </c>
      <c r="BU54" s="542">
        <f t="shared" si="7"/>
        <v>77919</v>
      </c>
      <c r="BV54" s="542">
        <f t="shared" si="7"/>
        <v>82441</v>
      </c>
      <c r="BW54" s="542">
        <f t="shared" si="7"/>
        <v>85558</v>
      </c>
      <c r="BX54" s="542">
        <f t="shared" si="7"/>
        <v>71583</v>
      </c>
      <c r="BY54" s="542">
        <f t="shared" si="7"/>
        <v>96131</v>
      </c>
      <c r="BZ54" s="542">
        <f t="shared" si="7"/>
        <v>79212</v>
      </c>
      <c r="CA54" s="542">
        <f t="shared" si="7"/>
        <v>146686</v>
      </c>
      <c r="CB54" s="542">
        <f t="shared" si="7"/>
        <v>68551</v>
      </c>
      <c r="CC54" s="542">
        <f t="shared" si="7"/>
        <v>70714</v>
      </c>
      <c r="CD54" s="542">
        <f t="shared" si="7"/>
        <v>151776</v>
      </c>
      <c r="CE54" s="542">
        <f t="shared" si="7"/>
        <v>65849</v>
      </c>
      <c r="CF54" s="542">
        <f t="shared" si="7"/>
        <v>120440</v>
      </c>
      <c r="CG54" s="542">
        <f t="shared" si="7"/>
        <v>81741</v>
      </c>
      <c r="CH54" s="542">
        <f t="shared" si="7"/>
        <v>86683</v>
      </c>
      <c r="CI54" s="542">
        <f t="shared" si="7"/>
        <v>119189</v>
      </c>
      <c r="CJ54" s="542">
        <f t="shared" si="7"/>
        <v>191943</v>
      </c>
      <c r="CK54" s="542">
        <f t="shared" si="7"/>
        <v>65425</v>
      </c>
      <c r="CL54" s="542">
        <f t="shared" si="7"/>
        <v>77313</v>
      </c>
      <c r="CM54" s="542">
        <f t="shared" si="7"/>
        <v>118577</v>
      </c>
      <c r="CN54" s="542">
        <f t="shared" si="7"/>
        <v>153842</v>
      </c>
      <c r="CO54" s="543">
        <f t="shared" si="7"/>
        <v>82939</v>
      </c>
      <c r="CP54" s="541">
        <f t="shared" si="7"/>
        <v>152360</v>
      </c>
      <c r="CQ54" s="541">
        <f t="shared" si="7"/>
        <v>88242</v>
      </c>
      <c r="CR54" s="541">
        <f t="shared" si="7"/>
        <v>94866</v>
      </c>
      <c r="CS54" s="541">
        <f t="shared" si="7"/>
        <v>77316</v>
      </c>
      <c r="CT54" s="541">
        <f t="shared" si="7"/>
        <v>90474</v>
      </c>
      <c r="CU54" s="541">
        <f t="shared" si="7"/>
        <v>131154</v>
      </c>
      <c r="CV54" s="541">
        <f t="shared" si="7"/>
        <v>31490</v>
      </c>
      <c r="CW54" s="541">
        <f t="shared" si="7"/>
        <v>0</v>
      </c>
      <c r="CX54" s="541">
        <f t="shared" si="7"/>
        <v>0</v>
      </c>
      <c r="CY54" s="541">
        <f t="shared" si="7"/>
        <v>2030</v>
      </c>
      <c r="CZ54" s="541">
        <f t="shared" si="7"/>
        <v>0</v>
      </c>
      <c r="DA54" s="541">
        <f t="shared" si="7"/>
        <v>0</v>
      </c>
      <c r="DB54" s="541">
        <f t="shared" si="7"/>
        <v>0</v>
      </c>
      <c r="DC54" s="541">
        <f t="shared" si="7"/>
        <v>0</v>
      </c>
      <c r="DD54" s="541">
        <f t="shared" si="7"/>
        <v>0</v>
      </c>
      <c r="DE54" s="541">
        <f t="shared" si="7"/>
        <v>0</v>
      </c>
      <c r="DF54" s="541">
        <f t="shared" si="7"/>
        <v>0</v>
      </c>
      <c r="DG54" s="541">
        <f t="shared" si="7"/>
        <v>0</v>
      </c>
      <c r="DH54" s="541">
        <f t="shared" si="7"/>
        <v>0</v>
      </c>
      <c r="DI54" s="541">
        <f t="shared" si="7"/>
        <v>0</v>
      </c>
      <c r="DJ54" s="541">
        <f t="shared" si="7"/>
        <v>0</v>
      </c>
      <c r="DK54" s="541">
        <f t="shared" si="7"/>
        <v>0</v>
      </c>
      <c r="DL54" s="541">
        <f t="shared" si="7"/>
        <v>0</v>
      </c>
      <c r="DM54" s="541" t="str">
        <f t="shared" si="7"/>
        <v>#REF!</v>
      </c>
      <c r="DN54" s="541">
        <f t="shared" si="7"/>
        <v>0</v>
      </c>
      <c r="DO54" s="541">
        <f t="shared" si="7"/>
        <v>0</v>
      </c>
      <c r="DP54" s="541">
        <f t="shared" si="7"/>
        <v>0</v>
      </c>
      <c r="DQ54" s="541">
        <f t="shared" si="7"/>
        <v>0</v>
      </c>
      <c r="DR54" s="541">
        <f t="shared" si="7"/>
        <v>0</v>
      </c>
      <c r="DS54" s="541">
        <f t="shared" si="7"/>
        <v>0</v>
      </c>
      <c r="DT54" s="541">
        <f t="shared" si="7"/>
        <v>0</v>
      </c>
      <c r="DU54" s="541">
        <f t="shared" si="7"/>
        <v>0</v>
      </c>
      <c r="DV54" s="541">
        <f t="shared" si="7"/>
        <v>0</v>
      </c>
      <c r="DW54" s="541">
        <f t="shared" si="7"/>
        <v>0</v>
      </c>
      <c r="DX54" s="541">
        <f t="shared" si="7"/>
        <v>0</v>
      </c>
      <c r="DY54" s="541">
        <f t="shared" si="7"/>
        <v>0</v>
      </c>
      <c r="DZ54" s="541">
        <f t="shared" si="7"/>
        <v>0</v>
      </c>
      <c r="EA54" s="541">
        <f t="shared" si="7"/>
        <v>0</v>
      </c>
      <c r="EB54" s="541">
        <f t="shared" si="7"/>
        <v>0</v>
      </c>
      <c r="EC54" s="541">
        <f t="shared" si="7"/>
        <v>0</v>
      </c>
      <c r="ED54" s="541">
        <f t="shared" si="7"/>
        <v>0</v>
      </c>
      <c r="EE54" s="541">
        <f t="shared" si="7"/>
        <v>0</v>
      </c>
      <c r="EF54" s="541">
        <f t="shared" si="7"/>
        <v>0</v>
      </c>
      <c r="EG54" s="541">
        <f t="shared" si="7"/>
        <v>0</v>
      </c>
      <c r="EH54" s="541">
        <f t="shared" si="7"/>
        <v>0</v>
      </c>
      <c r="EI54" s="541">
        <f t="shared" si="7"/>
        <v>0</v>
      </c>
      <c r="EJ54" s="541">
        <f t="shared" si="7"/>
        <v>0</v>
      </c>
      <c r="EK54" s="541">
        <f t="shared" si="7"/>
        <v>0</v>
      </c>
      <c r="EL54" s="541">
        <f t="shared" si="7"/>
        <v>0</v>
      </c>
      <c r="EM54" s="541">
        <f t="shared" si="7"/>
        <v>0</v>
      </c>
      <c r="EN54" s="541">
        <f t="shared" si="7"/>
        <v>0</v>
      </c>
      <c r="EO54" s="541">
        <f t="shared" si="7"/>
        <v>0</v>
      </c>
      <c r="EP54" s="541">
        <f t="shared" si="7"/>
        <v>0</v>
      </c>
      <c r="EQ54" s="541">
        <f t="shared" si="7"/>
        <v>0</v>
      </c>
      <c r="ER54" s="541">
        <f t="shared" si="7"/>
        <v>0</v>
      </c>
      <c r="ES54" s="541">
        <f t="shared" si="7"/>
        <v>0</v>
      </c>
      <c r="ET54" s="541">
        <f t="shared" si="7"/>
        <v>0</v>
      </c>
      <c r="EU54" s="541">
        <f t="shared" si="7"/>
        <v>0</v>
      </c>
      <c r="EV54" s="541">
        <f t="shared" si="7"/>
        <v>0</v>
      </c>
      <c r="EW54" s="541">
        <f t="shared" si="7"/>
        <v>0</v>
      </c>
      <c r="EX54" s="541">
        <f t="shared" si="7"/>
        <v>0</v>
      </c>
      <c r="EY54" s="541">
        <f t="shared" si="7"/>
        <v>0</v>
      </c>
      <c r="EZ54" s="541">
        <f t="shared" si="7"/>
        <v>0</v>
      </c>
      <c r="FA54" s="541">
        <f t="shared" si="7"/>
        <v>0</v>
      </c>
      <c r="FB54" s="541">
        <f t="shared" si="7"/>
        <v>0</v>
      </c>
      <c r="FC54" s="542">
        <f t="shared" si="7"/>
        <v>0</v>
      </c>
      <c r="FD54" s="542">
        <f t="shared" si="7"/>
        <v>0</v>
      </c>
      <c r="FE54" s="542">
        <f t="shared" si="7"/>
        <v>0</v>
      </c>
      <c r="FF54" s="542">
        <f t="shared" si="7"/>
        <v>0</v>
      </c>
      <c r="FG54" s="542">
        <f t="shared" si="7"/>
        <v>0</v>
      </c>
      <c r="FH54" s="542">
        <f t="shared" si="7"/>
        <v>0</v>
      </c>
      <c r="FI54" s="542">
        <f t="shared" si="7"/>
        <v>0</v>
      </c>
      <c r="FJ54" s="542">
        <f t="shared" si="7"/>
        <v>0</v>
      </c>
      <c r="FK54" s="542">
        <f t="shared" si="7"/>
        <v>0</v>
      </c>
      <c r="FL54" s="542">
        <f t="shared" si="7"/>
        <v>0</v>
      </c>
      <c r="FM54" s="542">
        <f t="shared" si="7"/>
        <v>0</v>
      </c>
      <c r="FN54" s="542">
        <f t="shared" si="7"/>
        <v>0</v>
      </c>
      <c r="FO54" s="542">
        <f t="shared" si="7"/>
        <v>0</v>
      </c>
      <c r="FP54" s="542">
        <f t="shared" si="7"/>
        <v>0</v>
      </c>
      <c r="FQ54" s="542">
        <f t="shared" si="7"/>
        <v>0</v>
      </c>
      <c r="FR54" s="542">
        <f t="shared" si="7"/>
        <v>0</v>
      </c>
      <c r="FS54" s="542">
        <f t="shared" si="7"/>
        <v>0</v>
      </c>
      <c r="FT54" s="542">
        <f t="shared" si="7"/>
        <v>0</v>
      </c>
      <c r="FU54" s="542">
        <f t="shared" si="7"/>
        <v>0</v>
      </c>
      <c r="FV54" s="542">
        <f t="shared" si="7"/>
        <v>0</v>
      </c>
      <c r="FW54" s="542">
        <f t="shared" si="7"/>
        <v>0</v>
      </c>
      <c r="FX54" s="543">
        <f t="shared" si="7"/>
        <v>0</v>
      </c>
    </row>
    <row r="55">
      <c r="A55" s="535" t="s">
        <v>713</v>
      </c>
      <c r="B55" s="535"/>
      <c r="C55" s="539"/>
      <c r="D55" s="540" t="s">
        <v>652</v>
      </c>
      <c r="E55" s="444" t="s">
        <v>652</v>
      </c>
      <c r="F55" s="444" t="s">
        <v>652</v>
      </c>
      <c r="G55" s="541">
        <v>0.0</v>
      </c>
      <c r="H55" s="541">
        <v>0.0</v>
      </c>
      <c r="I55" s="541">
        <v>0.0</v>
      </c>
      <c r="J55" s="541">
        <v>0.0</v>
      </c>
      <c r="K55" s="541">
        <v>0.0</v>
      </c>
      <c r="L55" s="541">
        <v>0.0</v>
      </c>
      <c r="M55" s="541">
        <v>0.0</v>
      </c>
      <c r="N55" s="541">
        <v>0.0</v>
      </c>
      <c r="O55" s="541">
        <v>0.0</v>
      </c>
      <c r="P55" s="541">
        <v>0.0</v>
      </c>
      <c r="Q55" s="541">
        <v>0.0</v>
      </c>
      <c r="R55" s="541">
        <v>0.0</v>
      </c>
      <c r="S55" s="541">
        <v>0.0</v>
      </c>
      <c r="T55" s="541">
        <v>0.0</v>
      </c>
      <c r="U55" s="541">
        <v>0.0</v>
      </c>
      <c r="V55" s="541">
        <v>0.0</v>
      </c>
      <c r="W55" s="541">
        <v>0.0</v>
      </c>
      <c r="X55" s="541">
        <v>0.0</v>
      </c>
      <c r="Y55" s="541">
        <v>0.0</v>
      </c>
      <c r="Z55" s="541">
        <v>0.0</v>
      </c>
      <c r="AA55" s="541">
        <v>0.0</v>
      </c>
      <c r="AB55" s="541">
        <v>0.0</v>
      </c>
      <c r="AC55" s="541">
        <v>0.0</v>
      </c>
      <c r="AD55" s="541">
        <v>0.0</v>
      </c>
      <c r="AE55" s="541">
        <v>0.0</v>
      </c>
      <c r="AF55" s="541">
        <v>0.0</v>
      </c>
      <c r="AG55" s="541">
        <v>0.0</v>
      </c>
      <c r="AH55" s="541">
        <v>0.0</v>
      </c>
      <c r="AI55" s="541">
        <v>0.0</v>
      </c>
      <c r="AJ55" s="541">
        <v>0.0</v>
      </c>
      <c r="AK55" s="541">
        <v>0.0</v>
      </c>
      <c r="AL55" s="541">
        <v>0.0</v>
      </c>
      <c r="AM55" s="541">
        <v>0.0</v>
      </c>
      <c r="AN55" s="541">
        <v>0.0</v>
      </c>
      <c r="AO55" s="541">
        <v>0.0</v>
      </c>
      <c r="AP55" s="541">
        <v>0.0</v>
      </c>
      <c r="AQ55" s="541">
        <v>0.0</v>
      </c>
      <c r="AR55" s="541">
        <v>0.0</v>
      </c>
      <c r="AS55" s="541">
        <v>0.0</v>
      </c>
      <c r="AT55" s="541">
        <v>0.0</v>
      </c>
      <c r="AU55" s="541">
        <v>0.0</v>
      </c>
      <c r="AV55" s="541">
        <v>0.0</v>
      </c>
      <c r="AW55" s="541">
        <v>0.0</v>
      </c>
      <c r="AX55" s="541">
        <v>0.0</v>
      </c>
      <c r="AY55" s="541">
        <v>0.0</v>
      </c>
      <c r="AZ55" s="541">
        <v>0.0</v>
      </c>
      <c r="BA55" s="541">
        <v>0.0</v>
      </c>
      <c r="BB55" s="541">
        <v>0.0</v>
      </c>
      <c r="BC55" s="541">
        <v>0.0</v>
      </c>
      <c r="BD55" s="541">
        <v>0.0</v>
      </c>
      <c r="BE55" s="541">
        <v>0.0</v>
      </c>
      <c r="BF55" s="541">
        <v>0.0</v>
      </c>
      <c r="BG55" s="541">
        <v>0.0</v>
      </c>
      <c r="BH55" s="541">
        <v>0.0</v>
      </c>
      <c r="BI55" s="541">
        <v>0.0</v>
      </c>
      <c r="BJ55" s="541">
        <v>0.0</v>
      </c>
      <c r="BK55" s="541">
        <v>0.0</v>
      </c>
      <c r="BL55" s="541">
        <v>0.0</v>
      </c>
      <c r="BM55" s="541">
        <v>0.0</v>
      </c>
      <c r="BN55" s="541">
        <v>0.0</v>
      </c>
      <c r="BO55" s="541">
        <v>0.0</v>
      </c>
      <c r="BP55" s="541">
        <v>0.0</v>
      </c>
      <c r="BQ55" s="541">
        <v>0.0</v>
      </c>
      <c r="BR55" s="541">
        <v>0.0</v>
      </c>
      <c r="BS55" s="541">
        <v>0.0</v>
      </c>
      <c r="BT55" s="542">
        <v>0.0</v>
      </c>
      <c r="BU55" s="542">
        <v>0.0</v>
      </c>
      <c r="BV55" s="542">
        <v>0.0</v>
      </c>
      <c r="BW55" s="542">
        <v>0.0</v>
      </c>
      <c r="BX55" s="542">
        <v>0.0</v>
      </c>
      <c r="BY55" s="542">
        <v>0.0</v>
      </c>
      <c r="BZ55" s="542">
        <v>0.0</v>
      </c>
      <c r="CA55" s="542">
        <v>0.0</v>
      </c>
      <c r="CB55" s="542">
        <v>0.0</v>
      </c>
      <c r="CC55" s="542">
        <v>0.0</v>
      </c>
      <c r="CD55" s="542">
        <v>0.0</v>
      </c>
      <c r="CE55" s="542">
        <v>0.0</v>
      </c>
      <c r="CF55" s="542">
        <v>0.0</v>
      </c>
      <c r="CG55" s="542">
        <v>0.0</v>
      </c>
      <c r="CH55" s="542">
        <v>0.0</v>
      </c>
      <c r="CI55" s="542">
        <v>0.0</v>
      </c>
      <c r="CJ55" s="542">
        <v>0.0</v>
      </c>
      <c r="CK55" s="542">
        <v>0.0</v>
      </c>
      <c r="CL55" s="542">
        <v>0.0</v>
      </c>
      <c r="CM55" s="542">
        <v>0.0</v>
      </c>
      <c r="CN55" s="542">
        <v>0.0</v>
      </c>
      <c r="CO55" s="543">
        <v>0.0</v>
      </c>
      <c r="CP55" s="541">
        <v>0.0</v>
      </c>
      <c r="CQ55" s="541">
        <v>0.0</v>
      </c>
      <c r="CR55" s="541">
        <v>0.0</v>
      </c>
      <c r="CS55" s="541">
        <v>0.0</v>
      </c>
      <c r="CT55" s="541">
        <v>0.0</v>
      </c>
      <c r="CU55" s="541">
        <v>0.0</v>
      </c>
      <c r="CV55" s="541">
        <v>0.0</v>
      </c>
      <c r="CW55" s="541">
        <v>0.0</v>
      </c>
      <c r="CX55" s="541">
        <v>0.0</v>
      </c>
      <c r="CY55" s="541">
        <v>0.0</v>
      </c>
      <c r="CZ55" s="541">
        <v>0.0</v>
      </c>
      <c r="DA55" s="541">
        <v>0.0</v>
      </c>
      <c r="DB55" s="541">
        <v>0.0</v>
      </c>
      <c r="DC55" s="541">
        <v>0.0</v>
      </c>
      <c r="DD55" s="541">
        <v>0.0</v>
      </c>
      <c r="DE55" s="541">
        <v>0.0</v>
      </c>
      <c r="DF55" s="541">
        <v>0.0</v>
      </c>
      <c r="DG55" s="541">
        <v>0.0</v>
      </c>
      <c r="DH55" s="541">
        <v>0.0</v>
      </c>
      <c r="DI55" s="541">
        <v>0.0</v>
      </c>
      <c r="DJ55" s="541">
        <v>0.0</v>
      </c>
      <c r="DK55" s="541">
        <v>0.0</v>
      </c>
      <c r="DL55" s="541">
        <v>0.0</v>
      </c>
      <c r="DM55" s="541">
        <v>0.0</v>
      </c>
      <c r="DN55" s="541">
        <v>0.0</v>
      </c>
      <c r="DO55" s="541">
        <v>0.0</v>
      </c>
      <c r="DP55" s="541">
        <v>0.0</v>
      </c>
      <c r="DQ55" s="541">
        <v>0.0</v>
      </c>
      <c r="DR55" s="541">
        <v>0.0</v>
      </c>
      <c r="DS55" s="541">
        <v>0.0</v>
      </c>
      <c r="DT55" s="541">
        <v>0.0</v>
      </c>
      <c r="DU55" s="541">
        <v>0.0</v>
      </c>
      <c r="DV55" s="541">
        <v>0.0</v>
      </c>
      <c r="DW55" s="541">
        <v>0.0</v>
      </c>
      <c r="DX55" s="541">
        <v>0.0</v>
      </c>
      <c r="DY55" s="541">
        <v>0.0</v>
      </c>
      <c r="DZ55" s="541">
        <v>0.0</v>
      </c>
      <c r="EA55" s="541">
        <v>0.0</v>
      </c>
      <c r="EB55" s="541">
        <v>0.0</v>
      </c>
      <c r="EC55" s="541">
        <v>0.0</v>
      </c>
      <c r="ED55" s="541">
        <v>0.0</v>
      </c>
      <c r="EE55" s="541">
        <v>0.0</v>
      </c>
      <c r="EF55" s="541">
        <v>0.0</v>
      </c>
      <c r="EG55" s="541">
        <v>0.0</v>
      </c>
      <c r="EH55" s="541">
        <v>0.0</v>
      </c>
      <c r="EI55" s="541">
        <v>0.0</v>
      </c>
      <c r="EJ55" s="541">
        <v>0.0</v>
      </c>
      <c r="EK55" s="541">
        <v>0.0</v>
      </c>
      <c r="EL55" s="541">
        <v>0.0</v>
      </c>
      <c r="EM55" s="541">
        <v>0.0</v>
      </c>
      <c r="EN55" s="541">
        <v>0.0</v>
      </c>
      <c r="EO55" s="541">
        <v>0.0</v>
      </c>
      <c r="EP55" s="541">
        <v>0.0</v>
      </c>
      <c r="EQ55" s="541">
        <v>0.0</v>
      </c>
      <c r="ER55" s="541">
        <v>0.0</v>
      </c>
      <c r="ES55" s="541">
        <v>0.0</v>
      </c>
      <c r="ET55" s="541">
        <v>0.0</v>
      </c>
      <c r="EU55" s="541">
        <v>0.0</v>
      </c>
      <c r="EV55" s="541">
        <v>0.0</v>
      </c>
      <c r="EW55" s="541">
        <v>0.0</v>
      </c>
      <c r="EX55" s="541">
        <v>0.0</v>
      </c>
      <c r="EY55" s="541">
        <v>0.0</v>
      </c>
      <c r="EZ55" s="541">
        <v>0.0</v>
      </c>
      <c r="FA55" s="541">
        <v>0.0</v>
      </c>
      <c r="FB55" s="541">
        <v>0.0</v>
      </c>
      <c r="FC55" s="542">
        <v>0.0</v>
      </c>
      <c r="FD55" s="542">
        <v>0.0</v>
      </c>
      <c r="FE55" s="542">
        <v>0.0</v>
      </c>
      <c r="FF55" s="542">
        <v>0.0</v>
      </c>
      <c r="FG55" s="542">
        <v>0.0</v>
      </c>
      <c r="FH55" s="542">
        <v>0.0</v>
      </c>
      <c r="FI55" s="542">
        <v>0.0</v>
      </c>
      <c r="FJ55" s="542">
        <v>0.0</v>
      </c>
      <c r="FK55" s="542">
        <v>0.0</v>
      </c>
      <c r="FL55" s="542">
        <v>0.0</v>
      </c>
      <c r="FM55" s="542">
        <v>0.0</v>
      </c>
      <c r="FN55" s="542">
        <v>0.0</v>
      </c>
      <c r="FO55" s="542">
        <v>0.0</v>
      </c>
      <c r="FP55" s="542">
        <v>0.0</v>
      </c>
      <c r="FQ55" s="542">
        <v>0.0</v>
      </c>
      <c r="FR55" s="542">
        <v>0.0</v>
      </c>
      <c r="FS55" s="542">
        <v>0.0</v>
      </c>
      <c r="FT55" s="542">
        <v>0.0</v>
      </c>
      <c r="FU55" s="542">
        <v>0.0</v>
      </c>
      <c r="FV55" s="542">
        <v>0.0</v>
      </c>
      <c r="FW55" s="542">
        <v>0.0</v>
      </c>
      <c r="FX55" s="543">
        <v>0.0</v>
      </c>
    </row>
    <row r="56">
      <c r="A56" s="544" t="s">
        <v>714</v>
      </c>
      <c r="B56" s="462"/>
      <c r="C56" s="545"/>
      <c r="D56" s="540" t="s">
        <v>652</v>
      </c>
      <c r="E56" s="444" t="s">
        <v>652</v>
      </c>
      <c r="F56" s="444" t="s">
        <v>652</v>
      </c>
      <c r="G56" s="546">
        <f t="shared" ref="G56:FX56" si="8">G51-G54+G55</f>
        <v>55264</v>
      </c>
      <c r="H56" s="546">
        <f t="shared" si="8"/>
        <v>37933</v>
      </c>
      <c r="I56" s="546">
        <f t="shared" si="8"/>
        <v>55580</v>
      </c>
      <c r="J56" s="546">
        <f t="shared" si="8"/>
        <v>53768</v>
      </c>
      <c r="K56" s="546">
        <f t="shared" si="8"/>
        <v>72288</v>
      </c>
      <c r="L56" s="546">
        <f t="shared" si="8"/>
        <v>54117</v>
      </c>
      <c r="M56" s="546">
        <f t="shared" si="8"/>
        <v>55000</v>
      </c>
      <c r="N56" s="546">
        <f t="shared" si="8"/>
        <v>46992</v>
      </c>
      <c r="O56" s="546">
        <f t="shared" si="8"/>
        <v>63362</v>
      </c>
      <c r="P56" s="546">
        <f t="shared" si="8"/>
        <v>54686</v>
      </c>
      <c r="Q56" s="546">
        <f t="shared" si="8"/>
        <v>58782</v>
      </c>
      <c r="R56" s="546">
        <f t="shared" si="8"/>
        <v>59464</v>
      </c>
      <c r="S56" s="546">
        <f t="shared" si="8"/>
        <v>62786</v>
      </c>
      <c r="T56" s="546">
        <f t="shared" si="8"/>
        <v>202635</v>
      </c>
      <c r="U56" s="546">
        <f t="shared" si="8"/>
        <v>200363</v>
      </c>
      <c r="V56" s="546">
        <f t="shared" si="8"/>
        <v>60301</v>
      </c>
      <c r="W56" s="546">
        <f t="shared" si="8"/>
        <v>60907</v>
      </c>
      <c r="X56" s="546">
        <f t="shared" si="8"/>
        <v>73941</v>
      </c>
      <c r="Y56" s="546">
        <f t="shared" si="8"/>
        <v>61895</v>
      </c>
      <c r="Z56" s="546">
        <f t="shared" si="8"/>
        <v>-11184</v>
      </c>
      <c r="AA56" s="546">
        <f t="shared" si="8"/>
        <v>55496</v>
      </c>
      <c r="AB56" s="546">
        <f t="shared" si="8"/>
        <v>31395</v>
      </c>
      <c r="AC56" s="546">
        <f t="shared" si="8"/>
        <v>30462</v>
      </c>
      <c r="AD56" s="546">
        <f t="shared" si="8"/>
        <v>25547</v>
      </c>
      <c r="AE56" s="546">
        <f t="shared" si="8"/>
        <v>29238</v>
      </c>
      <c r="AF56" s="546">
        <f t="shared" si="8"/>
        <v>29575</v>
      </c>
      <c r="AG56" s="546">
        <f t="shared" si="8"/>
        <v>24402</v>
      </c>
      <c r="AH56" s="546">
        <f t="shared" si="8"/>
        <v>29081</v>
      </c>
      <c r="AI56" s="546">
        <f t="shared" si="8"/>
        <v>85410</v>
      </c>
      <c r="AJ56" s="546">
        <f t="shared" si="8"/>
        <v>34673</v>
      </c>
      <c r="AK56" s="546">
        <f t="shared" si="8"/>
        <v>28715</v>
      </c>
      <c r="AL56" s="546">
        <f t="shared" si="8"/>
        <v>34712</v>
      </c>
      <c r="AM56" s="546">
        <f t="shared" si="8"/>
        <v>63100</v>
      </c>
      <c r="AN56" s="546">
        <f t="shared" si="8"/>
        <v>37251</v>
      </c>
      <c r="AO56" s="546">
        <f t="shared" si="8"/>
        <v>17121</v>
      </c>
      <c r="AP56" s="546">
        <f t="shared" si="8"/>
        <v>-5569</v>
      </c>
      <c r="AQ56" s="546">
        <f t="shared" si="8"/>
        <v>3578</v>
      </c>
      <c r="AR56" s="546">
        <f t="shared" si="8"/>
        <v>-21463</v>
      </c>
      <c r="AS56" s="546">
        <f t="shared" si="8"/>
        <v>30306</v>
      </c>
      <c r="AT56" s="546">
        <f t="shared" si="8"/>
        <v>116654</v>
      </c>
      <c r="AU56" s="546">
        <f t="shared" si="8"/>
        <v>2311</v>
      </c>
      <c r="AV56" s="546">
        <f t="shared" si="8"/>
        <v>25647</v>
      </c>
      <c r="AW56" s="546">
        <f t="shared" si="8"/>
        <v>26698</v>
      </c>
      <c r="AX56" s="546">
        <f t="shared" si="8"/>
        <v>88537</v>
      </c>
      <c r="AY56" s="546">
        <f t="shared" si="8"/>
        <v>15649</v>
      </c>
      <c r="AZ56" s="546">
        <f t="shared" si="8"/>
        <v>-1602</v>
      </c>
      <c r="BA56" s="546">
        <f t="shared" si="8"/>
        <v>63793</v>
      </c>
      <c r="BB56" s="546">
        <f t="shared" si="8"/>
        <v>51901</v>
      </c>
      <c r="BC56" s="546">
        <f t="shared" si="8"/>
        <v>8367</v>
      </c>
      <c r="BD56" s="546">
        <f t="shared" si="8"/>
        <v>55351</v>
      </c>
      <c r="BE56" s="546">
        <f t="shared" si="8"/>
        <v>39305</v>
      </c>
      <c r="BF56" s="546">
        <f t="shared" si="8"/>
        <v>228748</v>
      </c>
      <c r="BG56" s="546">
        <f t="shared" si="8"/>
        <v>47851</v>
      </c>
      <c r="BH56" s="546">
        <f t="shared" si="8"/>
        <v>41602</v>
      </c>
      <c r="BI56" s="546">
        <f t="shared" si="8"/>
        <v>33239</v>
      </c>
      <c r="BJ56" s="546">
        <f t="shared" si="8"/>
        <v>48529</v>
      </c>
      <c r="BK56" s="546">
        <f t="shared" si="8"/>
        <v>41429</v>
      </c>
      <c r="BL56" s="546">
        <f t="shared" si="8"/>
        <v>194562</v>
      </c>
      <c r="BM56" s="546">
        <f t="shared" si="8"/>
        <v>40429</v>
      </c>
      <c r="BN56" s="546">
        <f t="shared" si="8"/>
        <v>6820</v>
      </c>
      <c r="BO56" s="546">
        <f t="shared" si="8"/>
        <v>110034</v>
      </c>
      <c r="BP56" s="546">
        <f t="shared" si="8"/>
        <v>18173</v>
      </c>
      <c r="BQ56" s="546">
        <f t="shared" si="8"/>
        <v>24009</v>
      </c>
      <c r="BR56" s="546">
        <f t="shared" si="8"/>
        <v>569549</v>
      </c>
      <c r="BS56" s="546">
        <f t="shared" si="8"/>
        <v>9594</v>
      </c>
      <c r="BT56" s="537">
        <f t="shared" si="8"/>
        <v>12139</v>
      </c>
      <c r="BU56" s="537">
        <f t="shared" si="8"/>
        <v>101081</v>
      </c>
      <c r="BV56" s="537">
        <f t="shared" si="8"/>
        <v>20459</v>
      </c>
      <c r="BW56" s="537">
        <f t="shared" si="8"/>
        <v>18342</v>
      </c>
      <c r="BX56" s="537">
        <f t="shared" si="8"/>
        <v>153467</v>
      </c>
      <c r="BY56" s="537">
        <f t="shared" si="8"/>
        <v>7769</v>
      </c>
      <c r="BZ56" s="537">
        <f t="shared" si="8"/>
        <v>24688</v>
      </c>
      <c r="CA56" s="537">
        <f t="shared" si="8"/>
        <v>-71186</v>
      </c>
      <c r="CB56" s="537">
        <f t="shared" si="8"/>
        <v>54349</v>
      </c>
      <c r="CC56" s="537">
        <f t="shared" si="8"/>
        <v>32186</v>
      </c>
      <c r="CD56" s="537">
        <f t="shared" si="8"/>
        <v>488558</v>
      </c>
      <c r="CE56" s="537">
        <f t="shared" si="8"/>
        <v>35336</v>
      </c>
      <c r="CF56" s="537">
        <f t="shared" si="8"/>
        <v>-11799</v>
      </c>
      <c r="CG56" s="537">
        <f t="shared" si="8"/>
        <v>97123</v>
      </c>
      <c r="CH56" s="537">
        <f t="shared" si="8"/>
        <v>14966</v>
      </c>
      <c r="CI56" s="537">
        <f t="shared" si="8"/>
        <v>-11889</v>
      </c>
      <c r="CJ56" s="537">
        <f t="shared" si="8"/>
        <v>16357</v>
      </c>
      <c r="CK56" s="537">
        <f t="shared" si="8"/>
        <v>69775</v>
      </c>
      <c r="CL56" s="537">
        <f t="shared" si="8"/>
        <v>29763</v>
      </c>
      <c r="CM56" s="537">
        <f t="shared" si="8"/>
        <v>63488</v>
      </c>
      <c r="CN56" s="537">
        <f t="shared" si="8"/>
        <v>-46542</v>
      </c>
      <c r="CO56" s="538">
        <f t="shared" si="8"/>
        <v>49361</v>
      </c>
      <c r="CP56" s="546">
        <f t="shared" si="8"/>
        <v>-45060</v>
      </c>
      <c r="CQ56" s="546">
        <f t="shared" si="8"/>
        <v>515098</v>
      </c>
      <c r="CR56" s="546">
        <f t="shared" si="8"/>
        <v>12434</v>
      </c>
      <c r="CS56" s="546">
        <f t="shared" si="8"/>
        <v>41911</v>
      </c>
      <c r="CT56" s="546">
        <f t="shared" si="8"/>
        <v>125029</v>
      </c>
      <c r="CU56" s="546">
        <f t="shared" si="8"/>
        <v>-20854</v>
      </c>
      <c r="CV56" s="546">
        <f t="shared" si="8"/>
        <v>78810</v>
      </c>
      <c r="CW56" s="546">
        <f t="shared" si="8"/>
        <v>0</v>
      </c>
      <c r="CX56" s="546">
        <f t="shared" si="8"/>
        <v>0</v>
      </c>
      <c r="CY56" s="546">
        <f t="shared" si="8"/>
        <v>-2030</v>
      </c>
      <c r="CZ56" s="546">
        <f t="shared" si="8"/>
        <v>0</v>
      </c>
      <c r="DA56" s="546">
        <f t="shared" si="8"/>
        <v>0</v>
      </c>
      <c r="DB56" s="546">
        <f t="shared" si="8"/>
        <v>5849458</v>
      </c>
      <c r="DC56" s="546">
        <f t="shared" si="8"/>
        <v>82834.5098</v>
      </c>
      <c r="DD56" s="546">
        <f t="shared" si="8"/>
        <v>0</v>
      </c>
      <c r="DE56" s="546">
        <f t="shared" si="8"/>
        <v>0</v>
      </c>
      <c r="DF56" s="546">
        <f t="shared" si="8"/>
        <v>0</v>
      </c>
      <c r="DG56" s="546">
        <f t="shared" si="8"/>
        <v>0</v>
      </c>
      <c r="DH56" s="546">
        <f t="shared" si="8"/>
        <v>0</v>
      </c>
      <c r="DI56" s="546">
        <f t="shared" si="8"/>
        <v>0</v>
      </c>
      <c r="DJ56" s="546">
        <f t="shared" si="8"/>
        <v>0</v>
      </c>
      <c r="DK56" s="546">
        <f t="shared" si="8"/>
        <v>0</v>
      </c>
      <c r="DL56" s="546">
        <f t="shared" si="8"/>
        <v>0</v>
      </c>
      <c r="DM56" s="546" t="str">
        <f t="shared" si="8"/>
        <v>#REF!</v>
      </c>
      <c r="DN56" s="546">
        <f t="shared" si="8"/>
        <v>0</v>
      </c>
      <c r="DO56" s="546">
        <f t="shared" si="8"/>
        <v>0</v>
      </c>
      <c r="DP56" s="546">
        <f t="shared" si="8"/>
        <v>0</v>
      </c>
      <c r="DQ56" s="546">
        <f t="shared" si="8"/>
        <v>0</v>
      </c>
      <c r="DR56" s="546">
        <f t="shared" si="8"/>
        <v>0</v>
      </c>
      <c r="DS56" s="546">
        <f t="shared" si="8"/>
        <v>0</v>
      </c>
      <c r="DT56" s="546">
        <f t="shared" si="8"/>
        <v>0</v>
      </c>
      <c r="DU56" s="546">
        <f t="shared" si="8"/>
        <v>0</v>
      </c>
      <c r="DV56" s="546">
        <f t="shared" si="8"/>
        <v>0</v>
      </c>
      <c r="DW56" s="546">
        <f t="shared" si="8"/>
        <v>0</v>
      </c>
      <c r="DX56" s="546">
        <f t="shared" si="8"/>
        <v>0</v>
      </c>
      <c r="DY56" s="546">
        <f t="shared" si="8"/>
        <v>0</v>
      </c>
      <c r="DZ56" s="546">
        <f t="shared" si="8"/>
        <v>0</v>
      </c>
      <c r="EA56" s="546">
        <f t="shared" si="8"/>
        <v>0</v>
      </c>
      <c r="EB56" s="546">
        <f t="shared" si="8"/>
        <v>0</v>
      </c>
      <c r="EC56" s="546">
        <f t="shared" si="8"/>
        <v>0</v>
      </c>
      <c r="ED56" s="546">
        <f t="shared" si="8"/>
        <v>0</v>
      </c>
      <c r="EE56" s="546">
        <f t="shared" si="8"/>
        <v>0</v>
      </c>
      <c r="EF56" s="546">
        <f t="shared" si="8"/>
        <v>0</v>
      </c>
      <c r="EG56" s="546">
        <f t="shared" si="8"/>
        <v>0</v>
      </c>
      <c r="EH56" s="546">
        <f t="shared" si="8"/>
        <v>0</v>
      </c>
      <c r="EI56" s="546">
        <f t="shared" si="8"/>
        <v>0</v>
      </c>
      <c r="EJ56" s="546">
        <f t="shared" si="8"/>
        <v>0</v>
      </c>
      <c r="EK56" s="546">
        <f t="shared" si="8"/>
        <v>0</v>
      </c>
      <c r="EL56" s="546">
        <f t="shared" si="8"/>
        <v>0</v>
      </c>
      <c r="EM56" s="546">
        <f t="shared" si="8"/>
        <v>0</v>
      </c>
      <c r="EN56" s="546">
        <f t="shared" si="8"/>
        <v>0</v>
      </c>
      <c r="EO56" s="546">
        <f t="shared" si="8"/>
        <v>0</v>
      </c>
      <c r="EP56" s="546">
        <f t="shared" si="8"/>
        <v>0</v>
      </c>
      <c r="EQ56" s="546">
        <f t="shared" si="8"/>
        <v>0</v>
      </c>
      <c r="ER56" s="546">
        <f t="shared" si="8"/>
        <v>0</v>
      </c>
      <c r="ES56" s="546">
        <f t="shared" si="8"/>
        <v>0</v>
      </c>
      <c r="ET56" s="546">
        <f t="shared" si="8"/>
        <v>0</v>
      </c>
      <c r="EU56" s="546">
        <f t="shared" si="8"/>
        <v>0</v>
      </c>
      <c r="EV56" s="546">
        <f t="shared" si="8"/>
        <v>0</v>
      </c>
      <c r="EW56" s="546">
        <f t="shared" si="8"/>
        <v>0</v>
      </c>
      <c r="EX56" s="546">
        <f t="shared" si="8"/>
        <v>0</v>
      </c>
      <c r="EY56" s="546">
        <f t="shared" si="8"/>
        <v>0</v>
      </c>
      <c r="EZ56" s="546">
        <f t="shared" si="8"/>
        <v>0</v>
      </c>
      <c r="FA56" s="546">
        <f t="shared" si="8"/>
        <v>0</v>
      </c>
      <c r="FB56" s="546">
        <f t="shared" si="8"/>
        <v>0</v>
      </c>
      <c r="FC56" s="537">
        <f t="shared" si="8"/>
        <v>0</v>
      </c>
      <c r="FD56" s="537">
        <f t="shared" si="8"/>
        <v>0</v>
      </c>
      <c r="FE56" s="537">
        <f t="shared" si="8"/>
        <v>0</v>
      </c>
      <c r="FF56" s="537">
        <f t="shared" si="8"/>
        <v>0</v>
      </c>
      <c r="FG56" s="537">
        <f t="shared" si="8"/>
        <v>0</v>
      </c>
      <c r="FH56" s="537">
        <f t="shared" si="8"/>
        <v>0</v>
      </c>
      <c r="FI56" s="537">
        <f t="shared" si="8"/>
        <v>0</v>
      </c>
      <c r="FJ56" s="537">
        <f t="shared" si="8"/>
        <v>0</v>
      </c>
      <c r="FK56" s="537">
        <f t="shared" si="8"/>
        <v>0</v>
      </c>
      <c r="FL56" s="537">
        <f t="shared" si="8"/>
        <v>0</v>
      </c>
      <c r="FM56" s="537">
        <f t="shared" si="8"/>
        <v>0</v>
      </c>
      <c r="FN56" s="537">
        <f t="shared" si="8"/>
        <v>0</v>
      </c>
      <c r="FO56" s="537">
        <f t="shared" si="8"/>
        <v>0</v>
      </c>
      <c r="FP56" s="537">
        <f t="shared" si="8"/>
        <v>0</v>
      </c>
      <c r="FQ56" s="537">
        <f t="shared" si="8"/>
        <v>0</v>
      </c>
      <c r="FR56" s="537">
        <f t="shared" si="8"/>
        <v>0</v>
      </c>
      <c r="FS56" s="537">
        <f t="shared" si="8"/>
        <v>0</v>
      </c>
      <c r="FT56" s="537">
        <f t="shared" si="8"/>
        <v>0</v>
      </c>
      <c r="FU56" s="537">
        <f t="shared" si="8"/>
        <v>0</v>
      </c>
      <c r="FV56" s="537">
        <f t="shared" si="8"/>
        <v>0</v>
      </c>
      <c r="FW56" s="537">
        <f t="shared" si="8"/>
        <v>0</v>
      </c>
      <c r="FX56" s="538">
        <f t="shared" si="8"/>
        <v>0</v>
      </c>
    </row>
    <row r="57">
      <c r="A57" s="535" t="s">
        <v>715</v>
      </c>
      <c r="B57" s="535" t="s">
        <v>408</v>
      </c>
      <c r="C57" s="550"/>
      <c r="D57" s="470" t="s">
        <v>716</v>
      </c>
      <c r="E57" s="444">
        <v>1.0</v>
      </c>
      <c r="F57" s="444">
        <v>1.0</v>
      </c>
      <c r="G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H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I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J57" s="537">
        <f>IFERROR(__xludf.DUMMYFUNCTION("SUM(INDIRECT(CONCATENATE(""'"",INDEX(SPLIT($D57,""P""),1),""P"",INDEX(SPLIT($D57,""P""),2)+$E57*(COLUMN()-COLUMN($G57)),"":"",""P"",INDEX(SPLIT($D57,""P""),2)+$E57*(COLUMN()-COLUMN($G57))+$F57-1)))"),600.0)</f>
        <v>600</v>
      </c>
      <c r="K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L57" s="537">
        <f>IFERROR(__xludf.DUMMYFUNCTION("SUM(INDIRECT(CONCATENATE(""'"",INDEX(SPLIT($D57,""P""),1),""P"",INDEX(SPLIT($D57,""P""),2)+$E57*(COLUMN()-COLUMN($G57)),"":"",""P"",INDEX(SPLIT($D57,""P""),2)+$E57*(COLUMN()-COLUMN($G57))+$F57-1)))"),100.0)</f>
        <v>100</v>
      </c>
      <c r="M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N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O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P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Q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R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S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T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U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V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W57" s="537">
        <f>IFERROR(__xludf.DUMMYFUNCTION("SUM(INDIRECT(CONCATENATE(""'"",INDEX(SPLIT($D57,""P""),1),""P"",INDEX(SPLIT($D57,""P""),2)+$E57*(COLUMN()-COLUMN($G57)),"":"",""P"",INDEX(SPLIT($D57,""P""),2)+$E57*(COLUMN()-COLUMN($G57))+$F57-1)))"),300.0)</f>
        <v>300</v>
      </c>
      <c r="X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Y57" s="537">
        <f>IFERROR(__xludf.DUMMYFUNCTION("SUM(INDIRECT(CONCATENATE(""'"",INDEX(SPLIT($D57,""P""),1),""P"",INDEX(SPLIT($D57,""P""),2)+$E57*(COLUMN()-COLUMN($G57)),"":"",""P"",INDEX(SPLIT($D57,""P""),2)+$E57*(COLUMN()-COLUMN($G57))+$F57-1)))"),15000.0)</f>
        <v>15000</v>
      </c>
      <c r="Z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A57" s="537">
        <f>IFERROR(__xludf.DUMMYFUNCTION("SUM(INDIRECT(CONCATENATE(""'"",INDEX(SPLIT($D57,""P""),1),""P"",INDEX(SPLIT($D57,""P""),2)+$E57*(COLUMN()-COLUMN($G57)),"":"",""P"",INDEX(SPLIT($D57,""P""),2)+$E57*(COLUMN()-COLUMN($G57))+$F57-1)))"),500.0)</f>
        <v>500</v>
      </c>
      <c r="AB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C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D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E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F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G57" s="537">
        <f>IFERROR(__xludf.DUMMYFUNCTION("SUM(INDIRECT(CONCATENATE(""'"",INDEX(SPLIT($D57,""P""),1),""P"",INDEX(SPLIT($D57,""P""),2)+$E57*(COLUMN()-COLUMN($G57)),"":"",""P"",INDEX(SPLIT($D57,""P""),2)+$E57*(COLUMN()-COLUMN($G57))+$F57-1)))"),400.0)</f>
        <v>400</v>
      </c>
      <c r="AH57" s="537">
        <f>IFERROR(__xludf.DUMMYFUNCTION("SUM(INDIRECT(CONCATENATE(""'"",INDEX(SPLIT($D57,""P""),1),""P"",INDEX(SPLIT($D57,""P""),2)+$E57*(COLUMN()-COLUMN($G57)),"":"",""P"",INDEX(SPLIT($D57,""P""),2)+$E57*(COLUMN()-COLUMN($G57))+$F57-1)))"),800.0)</f>
        <v>800</v>
      </c>
      <c r="AI57" s="537">
        <f>IFERROR(__xludf.DUMMYFUNCTION("SUM(INDIRECT(CONCATENATE(""'"",INDEX(SPLIT($D57,""P""),1),""P"",INDEX(SPLIT($D57,""P""),2)+$E57*(COLUMN()-COLUMN($G57)),"":"",""P"",INDEX(SPLIT($D57,""P""),2)+$E57*(COLUMN()-COLUMN($G57))+$F57-1)))"),498.0)</f>
        <v>498</v>
      </c>
      <c r="AJ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K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L57" s="537">
        <f>IFERROR(__xludf.DUMMYFUNCTION("SUM(INDIRECT(CONCATENATE(""'"",INDEX(SPLIT($D57,""P""),1),""P"",INDEX(SPLIT($D57,""P""),2)+$E57*(COLUMN()-COLUMN($G57)),"":"",""P"",INDEX(SPLIT($D57,""P""),2)+$E57*(COLUMN()-COLUMN($G57))+$F57-1)))"),2422.0)</f>
        <v>2422</v>
      </c>
      <c r="AM57" s="537">
        <f>IFERROR(__xludf.DUMMYFUNCTION("SUM(INDIRECT(CONCATENATE(""'"",INDEX(SPLIT($D57,""P""),1),""P"",INDEX(SPLIT($D57,""P""),2)+$E57*(COLUMN()-COLUMN($G57)),"":"",""P"",INDEX(SPLIT($D57,""P""),2)+$E57*(COLUMN()-COLUMN($G57))+$F57-1)))"),200.0)</f>
        <v>200</v>
      </c>
      <c r="AN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O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P57" s="537">
        <f>IFERROR(__xludf.DUMMYFUNCTION("SUM(INDIRECT(CONCATENATE(""'"",INDEX(SPLIT($D57,""P""),1),""P"",INDEX(SPLIT($D57,""P""),2)+$E57*(COLUMN()-COLUMN($G57)),"":"",""P"",INDEX(SPLIT($D57,""P""),2)+$E57*(COLUMN()-COLUMN($G57))+$F57-1)))"),42800.0)</f>
        <v>42800</v>
      </c>
      <c r="AQ57" s="537">
        <f>IFERROR(__xludf.DUMMYFUNCTION("SUM(INDIRECT(CONCATENATE(""'"",INDEX(SPLIT($D57,""P""),1),""P"",INDEX(SPLIT($D57,""P""),2)+$E57*(COLUMN()-COLUMN($G57)),"":"",""P"",INDEX(SPLIT($D57,""P""),2)+$E57*(COLUMN()-COLUMN($G57))+$F57-1)))"),700.0)</f>
        <v>700</v>
      </c>
      <c r="AR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S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T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U57" s="537">
        <f>IFERROR(__xludf.DUMMYFUNCTION("SUM(INDIRECT(CONCATENATE(""'"",INDEX(SPLIT($D57,""P""),1),""P"",INDEX(SPLIT($D57,""P""),2)+$E57*(COLUMN()-COLUMN($G57)),"":"",""P"",INDEX(SPLIT($D57,""P""),2)+$E57*(COLUMN()-COLUMN($G57))+$F57-1)))"),1000.0)</f>
        <v>1000</v>
      </c>
      <c r="AV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AW57" s="537">
        <f>IFERROR(__xludf.DUMMYFUNCTION("SUM(INDIRECT(CONCATENATE(""'"",INDEX(SPLIT($D57,""P""),1),""P"",INDEX(SPLIT($D57,""P""),2)+$E57*(COLUMN()-COLUMN($G57)),"":"",""P"",INDEX(SPLIT($D57,""P""),2)+$E57*(COLUMN()-COLUMN($G57))+$F57-1)))"),800.0)</f>
        <v>800</v>
      </c>
      <c r="AX57" s="537">
        <f>IFERROR(__xludf.DUMMYFUNCTION("SUM(INDIRECT(CONCATENATE(""'"",INDEX(SPLIT($D57,""P""),1),""P"",INDEX(SPLIT($D57,""P""),2)+$E57*(COLUMN()-COLUMN($G57)),"":"",""P"",INDEX(SPLIT($D57,""P""),2)+$E57*(COLUMN()-COLUMN($G57))+$F57-1)))"),8000.0)</f>
        <v>8000</v>
      </c>
      <c r="AY57" s="537">
        <f>IFERROR(__xludf.DUMMYFUNCTION("SUM(INDIRECT(CONCATENATE(""'"",INDEX(SPLIT($D57,""P""),1),""P"",INDEX(SPLIT($D57,""P""),2)+$E57*(COLUMN()-COLUMN($G57)),"":"",""P"",INDEX(SPLIT($D57,""P""),2)+$E57*(COLUMN()-COLUMN($G57))+$F57-1)))"),500.0)</f>
        <v>500</v>
      </c>
      <c r="AZ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A57" s="537">
        <f>IFERROR(__xludf.DUMMYFUNCTION("SUM(INDIRECT(CONCATENATE(""'"",INDEX(SPLIT($D57,""P""),1),""P"",INDEX(SPLIT($D57,""P""),2)+$E57*(COLUMN()-COLUMN($G57)),"":"",""P"",INDEX(SPLIT($D57,""P""),2)+$E57*(COLUMN()-COLUMN($G57))+$F57-1)))"),500.0)</f>
        <v>500</v>
      </c>
      <c r="BB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C57" s="537">
        <f>IFERROR(__xludf.DUMMYFUNCTION("SUM(INDIRECT(CONCATENATE(""'"",INDEX(SPLIT($D57,""P""),1),""P"",INDEX(SPLIT($D57,""P""),2)+$E57*(COLUMN()-COLUMN($G57)),"":"",""P"",INDEX(SPLIT($D57,""P""),2)+$E57*(COLUMN()-COLUMN($G57))+$F57-1)))"),400.0)</f>
        <v>400</v>
      </c>
      <c r="BD57" s="537">
        <f>IFERROR(__xludf.DUMMYFUNCTION("SUM(INDIRECT(CONCATENATE(""'"",INDEX(SPLIT($D57,""P""),1),""P"",INDEX(SPLIT($D57,""P""),2)+$E57*(COLUMN()-COLUMN($G57)),"":"",""P"",INDEX(SPLIT($D57,""P""),2)+$E57*(COLUMN()-COLUMN($G57))+$F57-1)))"),45150.0)</f>
        <v>45150</v>
      </c>
      <c r="BE57" s="537">
        <f>IFERROR(__xludf.DUMMYFUNCTION("SUM(INDIRECT(CONCATENATE(""'"",INDEX(SPLIT($D57,""P""),1),""P"",INDEX(SPLIT($D57,""P""),2)+$E57*(COLUMN()-COLUMN($G57)),"":"",""P"",INDEX(SPLIT($D57,""P""),2)+$E57*(COLUMN()-COLUMN($G57))+$F57-1)))"),3000.0)</f>
        <v>3000</v>
      </c>
      <c r="BF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G57" s="537">
        <f>IFERROR(__xludf.DUMMYFUNCTION("SUM(INDIRECT(CONCATENATE(""'"",INDEX(SPLIT($D57,""P""),1),""P"",INDEX(SPLIT($D57,""P""),2)+$E57*(COLUMN()-COLUMN($G57)),"":"",""P"",INDEX(SPLIT($D57,""P""),2)+$E57*(COLUMN()-COLUMN($G57))+$F57-1)))"),3700.0)</f>
        <v>3700</v>
      </c>
      <c r="BH57" s="537">
        <f>IFERROR(__xludf.DUMMYFUNCTION("SUM(INDIRECT(CONCATENATE(""'"",INDEX(SPLIT($D57,""P""),1),""P"",INDEX(SPLIT($D57,""P""),2)+$E57*(COLUMN()-COLUMN($G57)),"":"",""P"",INDEX(SPLIT($D57,""P""),2)+$E57*(COLUMN()-COLUMN($G57))+$F57-1)))"),1300.0)</f>
        <v>1300</v>
      </c>
      <c r="BI57" s="537">
        <f>IFERROR(__xludf.DUMMYFUNCTION("SUM(INDIRECT(CONCATENATE(""'"",INDEX(SPLIT($D57,""P""),1),""P"",INDEX(SPLIT($D57,""P""),2)+$E57*(COLUMN()-COLUMN($G57)),"":"",""P"",INDEX(SPLIT($D57,""P""),2)+$E57*(COLUMN()-COLUMN($G57))+$F57-1)))"),6000.0)</f>
        <v>6000</v>
      </c>
      <c r="BJ57" s="537">
        <f>IFERROR(__xludf.DUMMYFUNCTION("SUM(INDIRECT(CONCATENATE(""'"",INDEX(SPLIT($D57,""P""),1),""P"",INDEX(SPLIT($D57,""P""),2)+$E57*(COLUMN()-COLUMN($G57)),"":"",""P"",INDEX(SPLIT($D57,""P""),2)+$E57*(COLUMN()-COLUMN($G57))+$F57-1)))"),650.0)</f>
        <v>650</v>
      </c>
      <c r="BK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L57" s="537">
        <f>IFERROR(__xludf.DUMMYFUNCTION("SUM(INDIRECT(CONCATENATE(""'"",INDEX(SPLIT($D57,""P""),1),""P"",INDEX(SPLIT($D57,""P""),2)+$E57*(COLUMN()-COLUMN($G57)),"":"",""P"",INDEX(SPLIT($D57,""P""),2)+$E57*(COLUMN()-COLUMN($G57))+$F57-1)))"),4816.0)</f>
        <v>4816</v>
      </c>
      <c r="BM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N57" s="537">
        <f>IFERROR(__xludf.DUMMYFUNCTION("SUM(INDIRECT(CONCATENATE(""'"",INDEX(SPLIT($D57,""P""),1),""P"",INDEX(SPLIT($D57,""P""),2)+$E57*(COLUMN()-COLUMN($G57)),"":"",""P"",INDEX(SPLIT($D57,""P""),2)+$E57*(COLUMN()-COLUMN($G57))+$F57-1)))"),5000.0)</f>
        <v>5000</v>
      </c>
      <c r="BO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P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Q57" s="537">
        <f>IFERROR(__xludf.DUMMYFUNCTION("SUM(INDIRECT(CONCATENATE(""'"",INDEX(SPLIT($D57,""P""),1),""P"",INDEX(SPLIT($D57,""P""),2)+$E57*(COLUMN()-COLUMN($G57)),"":"",""P"",INDEX(SPLIT($D57,""P""),2)+$E57*(COLUMN()-COLUMN($G57))+$F57-1)))"),545.0)</f>
        <v>545</v>
      </c>
      <c r="BR57" s="537">
        <f>IFERROR(__xludf.DUMMYFUNCTION("SUM(INDIRECT(CONCATENATE(""'"",INDEX(SPLIT($D57,""P""),1),""P"",INDEX(SPLIT($D57,""P""),2)+$E57*(COLUMN()-COLUMN($G57)),"":"",""P"",INDEX(SPLIT($D57,""P""),2)+$E57*(COLUMN()-COLUMN($G57))+$F57-1)))"),3632.0)</f>
        <v>3632</v>
      </c>
      <c r="BS57" s="537">
        <f>IFERROR(__xludf.DUMMYFUNCTION("SUM(INDIRECT(CONCATENATE(""'"",INDEX(SPLIT($D57,""P""),1),""P"",INDEX(SPLIT($D57,""P""),2)+$E57*(COLUMN()-COLUMN($G57)),"":"",""P"",INDEX(SPLIT($D57,""P""),2)+$E57*(COLUMN()-COLUMN($G57))+$F57-1)))"),790.0)</f>
        <v>790</v>
      </c>
      <c r="BT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BU57" s="537">
        <f>IFERROR(__xludf.DUMMYFUNCTION("SUM(INDIRECT(CONCATENATE(""'"",INDEX(SPLIT($D57,""P""),1),""P"",INDEX(SPLIT($D57,""P""),2)+$E57*(COLUMN()-COLUMN($G57)),"":"",""P"",INDEX(SPLIT($D57,""P""),2)+$E57*(COLUMN()-COLUMN($G57))+$F57-1)))"),669.0)</f>
        <v>669</v>
      </c>
      <c r="BV57" s="537">
        <f>IFERROR(__xludf.DUMMYFUNCTION("SUM(INDIRECT(CONCATENATE(""'"",INDEX(SPLIT($D57,""P""),1),""P"",INDEX(SPLIT($D57,""P""),2)+$E57*(COLUMN()-COLUMN($G57)),"":"",""P"",INDEX(SPLIT($D57,""P""),2)+$E57*(COLUMN()-COLUMN($G57))+$F57-1)))"),322000.0)</f>
        <v>322000</v>
      </c>
      <c r="BW57" s="537">
        <f>IFERROR(__xludf.DUMMYFUNCTION("SUM(INDIRECT(CONCATENATE(""'"",INDEX(SPLIT($D57,""P""),1),""P"",INDEX(SPLIT($D57,""P""),2)+$E57*(COLUMN()-COLUMN($G57)),"":"",""P"",INDEX(SPLIT($D57,""P""),2)+$E57*(COLUMN()-COLUMN($G57))+$F57-1)))"),1000000.0)</f>
        <v>1000000</v>
      </c>
      <c r="BX57" s="537">
        <f>IFERROR(__xludf.DUMMYFUNCTION("SUM(INDIRECT(CONCATENATE(""'"",INDEX(SPLIT($D57,""P""),1),""P"",INDEX(SPLIT($D57,""P""),2)+$E57*(COLUMN()-COLUMN($G57)),"":"",""P"",INDEX(SPLIT($D57,""P""),2)+$E57*(COLUMN()-COLUMN($G57))+$F57-1)))"),9466.0)</f>
        <v>9466</v>
      </c>
      <c r="BY57" s="537">
        <f>IFERROR(__xludf.DUMMYFUNCTION("SUM(INDIRECT(CONCATENATE(""'"",INDEX(SPLIT($D57,""P""),1),""P"",INDEX(SPLIT($D57,""P""),2)+$E57*(COLUMN()-COLUMN($G57)),"":"",""P"",INDEX(SPLIT($D57,""P""),2)+$E57*(COLUMN()-COLUMN($G57))+$F57-1)))"),14353.0)</f>
        <v>14353</v>
      </c>
      <c r="BZ57" s="537">
        <f>IFERROR(__xludf.DUMMYFUNCTION("SUM(INDIRECT(CONCATENATE(""'"",INDEX(SPLIT($D57,""P""),1),""P"",INDEX(SPLIT($D57,""P""),2)+$E57*(COLUMN()-COLUMN($G57)),"":"",""P"",INDEX(SPLIT($D57,""P""),2)+$E57*(COLUMN()-COLUMN($G57))+$F57-1)))"),16544.0)</f>
        <v>16544</v>
      </c>
      <c r="CA57" s="537">
        <f>IFERROR(__xludf.DUMMYFUNCTION("SUM(INDIRECT(CONCATENATE(""'"",INDEX(SPLIT($D57,""P""),1),""P"",INDEX(SPLIT($D57,""P""),2)+$E57*(COLUMN()-COLUMN($G57)),"":"",""P"",INDEX(SPLIT($D57,""P""),2)+$E57*(COLUMN()-COLUMN($G57))+$F57-1)))"),11970.0)</f>
        <v>11970</v>
      </c>
      <c r="CB57" s="537">
        <f>IFERROR(__xludf.DUMMYFUNCTION("SUM(INDIRECT(CONCATENATE(""'"",INDEX(SPLIT($D57,""P""),1),""P"",INDEX(SPLIT($D57,""P""),2)+$E57*(COLUMN()-COLUMN($G57)),"":"",""P"",INDEX(SPLIT($D57,""P""),2)+$E57*(COLUMN()-COLUMN($G57))+$F57-1)))"),9748.0)</f>
        <v>9748</v>
      </c>
      <c r="CC57" s="537">
        <f>IFERROR(__xludf.DUMMYFUNCTION("SUM(INDIRECT(CONCATENATE(""'"",INDEX(SPLIT($D57,""P""),1),""P"",INDEX(SPLIT($D57,""P""),2)+$E57*(COLUMN()-COLUMN($G57)),"":"",""P"",INDEX(SPLIT($D57,""P""),2)+$E57*(COLUMN()-COLUMN($G57))+$F57-1)))"),16350.0)</f>
        <v>16350</v>
      </c>
      <c r="CD57" s="537">
        <f>IFERROR(__xludf.DUMMYFUNCTION("SUM(INDIRECT(CONCATENATE(""'"",INDEX(SPLIT($D57,""P""),1),""P"",INDEX(SPLIT($D57,""P""),2)+$E57*(COLUMN()-COLUMN($G57)),"":"",""P"",INDEX(SPLIT($D57,""P""),2)+$E57*(COLUMN()-COLUMN($G57))+$F57-1)))"),17369.0)</f>
        <v>17369</v>
      </c>
      <c r="CE57" s="537">
        <f>IFERROR(__xludf.DUMMYFUNCTION("SUM(INDIRECT(CONCATENATE(""'"",INDEX(SPLIT($D57,""P""),1),""P"",INDEX(SPLIT($D57,""P""),2)+$E57*(COLUMN()-COLUMN($G57)),"":"",""P"",INDEX(SPLIT($D57,""P""),2)+$E57*(COLUMN()-COLUMN($G57))+$F57-1)))"),7180.0)</f>
        <v>7180</v>
      </c>
      <c r="CF57" s="537">
        <f>IFERROR(__xludf.DUMMYFUNCTION("SUM(INDIRECT(CONCATENATE(""'"",INDEX(SPLIT($D57,""P""),1),""P"",INDEX(SPLIT($D57,""P""),2)+$E57*(COLUMN()-COLUMN($G57)),"":"",""P"",INDEX(SPLIT($D57,""P""),2)+$E57*(COLUMN()-COLUMN($G57))+$F57-1)))"),11930.0)</f>
        <v>11930</v>
      </c>
      <c r="CG57" s="537">
        <f>IFERROR(__xludf.DUMMYFUNCTION("SUM(INDIRECT(CONCATENATE(""'"",INDEX(SPLIT($D57,""P""),1),""P"",INDEX(SPLIT($D57,""P""),2)+$E57*(COLUMN()-COLUMN($G57)),"":"",""P"",INDEX(SPLIT($D57,""P""),2)+$E57*(COLUMN()-COLUMN($G57))+$F57-1)))"),15782.0)</f>
        <v>15782</v>
      </c>
      <c r="CH57" s="537">
        <f>IFERROR(__xludf.DUMMYFUNCTION("SUM(INDIRECT(CONCATENATE(""'"",INDEX(SPLIT($D57,""P""),1),""P"",INDEX(SPLIT($D57,""P""),2)+$E57*(COLUMN()-COLUMN($G57)),"":"",""P"",INDEX(SPLIT($D57,""P""),2)+$E57*(COLUMN()-COLUMN($G57))+$F57-1)))"),8874.0)</f>
        <v>8874</v>
      </c>
      <c r="CI57" s="537">
        <f>IFERROR(__xludf.DUMMYFUNCTION("SUM(INDIRECT(CONCATENATE(""'"",INDEX(SPLIT($D57,""P""),1),""P"",INDEX(SPLIT($D57,""P""),2)+$E57*(COLUMN()-COLUMN($G57)),"":"",""P"",INDEX(SPLIT($D57,""P""),2)+$E57*(COLUMN()-COLUMN($G57))+$F57-1)))"),13856.0)</f>
        <v>13856</v>
      </c>
      <c r="CJ57" s="537">
        <f>IFERROR(__xludf.DUMMYFUNCTION("SUM(INDIRECT(CONCATENATE(""'"",INDEX(SPLIT($D57,""P""),1),""P"",INDEX(SPLIT($D57,""P""),2)+$E57*(COLUMN()-COLUMN($G57)),"":"",""P"",INDEX(SPLIT($D57,""P""),2)+$E57*(COLUMN()-COLUMN($G57))+$F57-1)))"),27532.0)</f>
        <v>27532</v>
      </c>
      <c r="CK57" s="537">
        <f>IFERROR(__xludf.DUMMYFUNCTION("SUM(INDIRECT(CONCATENATE(""'"",INDEX(SPLIT($D57,""P""),1),""P"",INDEX(SPLIT($D57,""P""),2)+$E57*(COLUMN()-COLUMN($G57)),"":"",""P"",INDEX(SPLIT($D57,""P""),2)+$E57*(COLUMN()-COLUMN($G57))+$F57-1)))"),23441.0)</f>
        <v>23441</v>
      </c>
      <c r="CL57" s="537">
        <f>IFERROR(__xludf.DUMMYFUNCTION("SUM(INDIRECT(CONCATENATE(""'"",INDEX(SPLIT($D57,""P""),1),""P"",INDEX(SPLIT($D57,""P""),2)+$E57*(COLUMN()-COLUMN($G57)),"":"",""P"",INDEX(SPLIT($D57,""P""),2)+$E57*(COLUMN()-COLUMN($G57))+$F57-1)))"),26460.0)</f>
        <v>26460</v>
      </c>
      <c r="CM57" s="537">
        <f>IFERROR(__xludf.DUMMYFUNCTION("SUM(INDIRECT(CONCATENATE(""'"",INDEX(SPLIT($D57,""P""),1),""P"",INDEX(SPLIT($D57,""P""),2)+$E57*(COLUMN()-COLUMN($G57)),"":"",""P"",INDEX(SPLIT($D57,""P""),2)+$E57*(COLUMN()-COLUMN($G57))+$F57-1)))"),17670.0)</f>
        <v>17670</v>
      </c>
      <c r="CN57" s="537">
        <f>IFERROR(__xludf.DUMMYFUNCTION("SUM(INDIRECT(CONCATENATE(""'"",INDEX(SPLIT($D57,""P""),1),""P"",INDEX(SPLIT($D57,""P""),2)+$E57*(COLUMN()-COLUMN($G57)),"":"",""P"",INDEX(SPLIT($D57,""P""),2)+$E57*(COLUMN()-COLUMN($G57))+$F57-1)))"),8520.0)</f>
        <v>8520</v>
      </c>
      <c r="CO57" s="538">
        <f>IFERROR(__xludf.DUMMYFUNCTION("SUM(INDIRECT(CONCATENATE(""'"",INDEX(SPLIT($D57,""P""),1),""P"",INDEX(SPLIT($D57,""P""),2)+$E57*(COLUMN()-COLUMN($G57)),"":"",""P"",INDEX(SPLIT($D57,""P""),2)+$E57*(COLUMN()-COLUMN($G57))+$F57-1)))"),12990.0)</f>
        <v>12990</v>
      </c>
      <c r="CP57" s="537">
        <f>IFERROR(__xludf.DUMMYFUNCTION("SUM(INDIRECT(CONCATENATE(""'"",INDEX(SPLIT($D57,""P""),1),""P"",INDEX(SPLIT($D57,""P""),2)+$E57*(COLUMN()-COLUMN($G57)),"":"",""P"",INDEX(SPLIT($D57,""P""),2)+$E57*(COLUMN()-COLUMN($G57))+$F57-1)))"),941524.0)</f>
        <v>941524</v>
      </c>
      <c r="CQ57" s="537">
        <f>IFERROR(__xludf.DUMMYFUNCTION("SUM(INDIRECT(CONCATENATE(""'"",INDEX(SPLIT($D57,""P""),1),""P"",INDEX(SPLIT($D57,""P""),2)+$E57*(COLUMN()-COLUMN($G57)),"":"",""P"",INDEX(SPLIT($D57,""P""),2)+$E57*(COLUMN()-COLUMN($G57))+$F57-1)))"),8200.0)</f>
        <v>8200</v>
      </c>
      <c r="CR57" s="537">
        <f>IFERROR(__xludf.DUMMYFUNCTION("SUM(INDIRECT(CONCATENATE(""'"",INDEX(SPLIT($D57,""P""),1),""P"",INDEX(SPLIT($D57,""P""),2)+$E57*(COLUMN()-COLUMN($G57)),"":"",""P"",INDEX(SPLIT($D57,""P""),2)+$E57*(COLUMN()-COLUMN($G57))+$F57-1)))"),6000.0)</f>
        <v>6000</v>
      </c>
      <c r="CS57" s="537">
        <f>IFERROR(__xludf.DUMMYFUNCTION("SUM(INDIRECT(CONCATENATE(""'"",INDEX(SPLIT($D57,""P""),1),""P"",INDEX(SPLIT($D57,""P""),2)+$E57*(COLUMN()-COLUMN($G57)),"":"",""P"",INDEX(SPLIT($D57,""P""),2)+$E57*(COLUMN()-COLUMN($G57))+$F57-1)))"),6000.0)</f>
        <v>6000</v>
      </c>
      <c r="CT57" s="537">
        <f>IFERROR(__xludf.DUMMYFUNCTION("SUM(INDIRECT(CONCATENATE(""'"",INDEX(SPLIT($D57,""P""),1),""P"",INDEX(SPLIT($D57,""P""),2)+$E57*(COLUMN()-COLUMN($G57)),"":"",""P"",INDEX(SPLIT($D57,""P""),2)+$E57*(COLUMN()-COLUMN($G57))+$F57-1)))"),6000.0)</f>
        <v>6000</v>
      </c>
      <c r="CU57" s="537">
        <f>IFERROR(__xludf.DUMMYFUNCTION("SUM(INDIRECT(CONCATENATE(""'"",INDEX(SPLIT($D57,""P""),1),""P"",INDEX(SPLIT($D57,""P""),2)+$E57*(COLUMN()-COLUMN($G57)),"":"",""P"",INDEX(SPLIT($D57,""P""),2)+$E57*(COLUMN()-COLUMN($G57))+$F57-1)))"),8800.0)</f>
        <v>8800</v>
      </c>
      <c r="CV57" s="537">
        <f>IFERROR(__xludf.DUMMYFUNCTION("SUM(INDIRECT(CONCATENATE(""'"",INDEX(SPLIT($D57,""P""),1),""P"",INDEX(SPLIT($D57,""P""),2)+$E57*(COLUMN()-COLUMN($G57)),"":"",""P"",INDEX(SPLIT($D57,""P""),2)+$E57*(COLUMN()-COLUMN($G57))+$F57-1)))"),6000.0)</f>
        <v>6000</v>
      </c>
      <c r="CW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CX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CY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CZ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A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B57" s="537">
        <f>IFERROR(__xludf.DUMMYFUNCTION("SUM(INDIRECT(CONCATENATE(""'"",INDEX(SPLIT($D57,""P""),1),""P"",INDEX(SPLIT($D57,""P""),2)+$E57*(COLUMN()-COLUMN($G57)),"":"",""P"",INDEX(SPLIT($D57,""P""),2)+$E57*(COLUMN()-COLUMN($G57))+$F57-1)))"),145681.0)</f>
        <v>145681</v>
      </c>
      <c r="DC57" s="537">
        <f>IFERROR(__xludf.DUMMYFUNCTION("SUM(INDIRECT(CONCATENATE(""'"",INDEX(SPLIT($D57,""P""),1),""P"",INDEX(SPLIT($D57,""P""),2)+$E57*(COLUMN()-COLUMN($G57)),"":"",""P"",INDEX(SPLIT($D57,""P""),2)+$E57*(COLUMN()-COLUMN($G57))+$F57-1)))"),2312.3968253968255)</f>
        <v>2312.396825</v>
      </c>
      <c r="DD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E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F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G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H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I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J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K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L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M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N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O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P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Q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R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S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T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U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V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W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X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Y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DZ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A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B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C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D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E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F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G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H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I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J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K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L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M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N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O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P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Q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R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S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T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U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V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W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X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Y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EZ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A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B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C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D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E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F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G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H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I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J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K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L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M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N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O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P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Q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R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S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T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U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V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W57" s="537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  <c r="FX57" s="538">
        <f>IFERROR(__xludf.DUMMYFUNCTION("SUM(INDIRECT(CONCATENATE(""'"",INDEX(SPLIT($D57,""P""),1),""P"",INDEX(SPLIT($D57,""P""),2)+$E57*(COLUMN()-COLUMN($G57)),"":"",""P"",INDEX(SPLIT($D57,""P""),2)+$E57*(COLUMN()-COLUMN($G57))+$F57-1)))"),0.0)</f>
        <v>0</v>
      </c>
    </row>
    <row r="58">
      <c r="A58" s="535" t="s">
        <v>717</v>
      </c>
      <c r="B58" s="535" t="s">
        <v>548</v>
      </c>
      <c r="C58" s="545"/>
      <c r="D58" s="470" t="s">
        <v>718</v>
      </c>
      <c r="E58" s="444">
        <v>1.0</v>
      </c>
      <c r="F58" s="444">
        <v>1.0</v>
      </c>
      <c r="G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H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I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J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K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L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M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N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O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P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Q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R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S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T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U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V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W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X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Y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Z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A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B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C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D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E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F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G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H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I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J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K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L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M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N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O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P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Q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R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S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T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U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V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W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X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Y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AZ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A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B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C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D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E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F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G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H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I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J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K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L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M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N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O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P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Q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BR58" s="537">
        <f>IFERROR(__xludf.DUMMYFUNCTION("SUM(INDIRECT(CONCATENATE(""'"",INDEX(SPLIT($D58,""Z""),1),""Z"",INDEX(SPLIT($D58,""Z""),2)+$E58*(COLUMN()-COLUMN($G58)),"":"",""Z"",INDEX(SPLIT($D58,""Z""),2)+$E58*(COLUMN()-COLUMN($G58))+$F58-1)))"),903.0)</f>
        <v>903</v>
      </c>
      <c r="BS58" s="537">
        <f>IFERROR(__xludf.DUMMYFUNCTION("SUM(INDIRECT(CONCATENATE(""'"",INDEX(SPLIT($D58,""Z""),1),""Z"",INDEX(SPLIT($D58,""Z""),2)+$E58*(COLUMN()-COLUMN($G58)),"":"",""Z"",INDEX(SPLIT($D58,""Z""),2)+$E58*(COLUMN()-COLUMN($G58))+$F58-1)))"),824.0)</f>
        <v>824</v>
      </c>
      <c r="BT58" s="537">
        <f>IFERROR(__xludf.DUMMYFUNCTION("SUM(INDIRECT(CONCATENATE(""'"",INDEX(SPLIT($D58,""Z""),1),""Z"",INDEX(SPLIT($D58,""Z""),2)+$E58*(COLUMN()-COLUMN($G58)),"":"",""Z"",INDEX(SPLIT($D58,""Z""),2)+$E58*(COLUMN()-COLUMN($G58))+$F58-1)))"),815.0)</f>
        <v>815</v>
      </c>
      <c r="BU58" s="537">
        <f>IFERROR(__xludf.DUMMYFUNCTION("SUM(INDIRECT(CONCATENATE(""'"",INDEX(SPLIT($D58,""Z""),1),""Z"",INDEX(SPLIT($D58,""Z""),2)+$E58*(COLUMN()-COLUMN($G58)),"":"",""Z"",INDEX(SPLIT($D58,""Z""),2)+$E58*(COLUMN()-COLUMN($G58))+$F58-1)))"),806.0)</f>
        <v>806</v>
      </c>
      <c r="BV58" s="537">
        <f>IFERROR(__xludf.DUMMYFUNCTION("SUM(INDIRECT(CONCATENATE(""'"",INDEX(SPLIT($D58,""Z""),1),""Z"",INDEX(SPLIT($D58,""Z""),2)+$E58*(COLUMN()-COLUMN($G58)),"":"",""Z"",INDEX(SPLIT($D58,""Z""),2)+$E58*(COLUMN()-COLUMN($G58))+$F58-1)))"),836.0)</f>
        <v>836</v>
      </c>
      <c r="BW58" s="537">
        <f>IFERROR(__xludf.DUMMYFUNCTION("SUM(INDIRECT(CONCATENATE(""'"",INDEX(SPLIT($D58,""Z""),1),""Z"",INDEX(SPLIT($D58,""Z""),2)+$E58*(COLUMN()-COLUMN($G58)),"":"",""Z"",INDEX(SPLIT($D58,""Z""),2)+$E58*(COLUMN()-COLUMN($G58))+$F58-1)))"),848.0453)</f>
        <v>848.0453</v>
      </c>
      <c r="BX58" s="537">
        <f>IFERROR(__xludf.DUMMYFUNCTION("SUM(INDIRECT(CONCATENATE(""'"",INDEX(SPLIT($D58,""Z""),1),""Z"",INDEX(SPLIT($D58,""Z""),2)+$E58*(COLUMN()-COLUMN($G58)),"":"",""Z"",INDEX(SPLIT($D58,""Z""),2)+$E58*(COLUMN()-COLUMN($G58))+$F58-1)))"),838.1702)</f>
        <v>838.1702</v>
      </c>
      <c r="BY58" s="537">
        <f>IFERROR(__xludf.DUMMYFUNCTION("SUM(INDIRECT(CONCATENATE(""'"",INDEX(SPLIT($D58,""Z""),1),""Z"",INDEX(SPLIT($D58,""Z""),2)+$E58*(COLUMN()-COLUMN($G58)),"":"",""Z"",INDEX(SPLIT($D58,""Z""),2)+$E58*(COLUMN()-COLUMN($G58))+$F58-1)))"),828.2775)</f>
        <v>828.2775</v>
      </c>
      <c r="BZ58" s="537">
        <f>IFERROR(__xludf.DUMMYFUNCTION("SUM(INDIRECT(CONCATENATE(""'"",INDEX(SPLIT($D58,""Z""),1),""Z"",INDEX(SPLIT($D58,""Z""),2)+$E58*(COLUMN()-COLUMN($G58)),"":"",""Z"",INDEX(SPLIT($D58,""Z""),2)+$E58*(COLUMN()-COLUMN($G58))+$F58-1)))"),818.3673)</f>
        <v>818.3673</v>
      </c>
      <c r="CA58" s="537">
        <f>IFERROR(__xludf.DUMMYFUNCTION("SUM(INDIRECT(CONCATENATE(""'"",INDEX(SPLIT($D58,""Z""),1),""Z"",INDEX(SPLIT($D58,""Z""),2)+$E58*(COLUMN()-COLUMN($G58)),"":"",""Z"",INDEX(SPLIT($D58,""Z""),2)+$E58*(COLUMN()-COLUMN($G58))+$F58-1)))"),808.4395)</f>
        <v>808.4395</v>
      </c>
      <c r="CB58" s="537">
        <f>IFERROR(__xludf.DUMMYFUNCTION("SUM(INDIRECT(CONCATENATE(""'"",INDEX(SPLIT($D58,""Z""),1),""Z"",INDEX(SPLIT($D58,""Z""),2)+$E58*(COLUMN()-COLUMN($G58)),"":"",""Z"",INDEX(SPLIT($D58,""Z""),2)+$E58*(COLUMN()-COLUMN($G58))+$F58-1)))"),798.4941)</f>
        <v>798.4941</v>
      </c>
      <c r="CC58" s="537">
        <f>IFERROR(__xludf.DUMMYFUNCTION("SUM(INDIRECT(CONCATENATE(""'"",INDEX(SPLIT($D58,""Z""),1),""Z"",INDEX(SPLIT($D58,""Z""),2)+$E58*(COLUMN()-COLUMN($G58)),"":"",""Z"",INDEX(SPLIT($D58,""Z""),2)+$E58*(COLUMN()-COLUMN($G58))+$F58-1)))"),788.531)</f>
        <v>788.531</v>
      </c>
      <c r="CD58" s="537">
        <f>IFERROR(__xludf.DUMMYFUNCTION("SUM(INDIRECT(CONCATENATE(""'"",INDEX(SPLIT($D58,""Z""),1),""Z"",INDEX(SPLIT($D58,""Z""),2)+$E58*(COLUMN()-COLUMN($G58)),"":"",""Z"",INDEX(SPLIT($D58,""Z""),2)+$E58*(COLUMN()-COLUMN($G58))+$F58-1)))"),778.5503)</f>
        <v>778.5503</v>
      </c>
      <c r="CE58" s="537">
        <f>IFERROR(__xludf.DUMMYFUNCTION("SUM(INDIRECT(CONCATENATE(""'"",INDEX(SPLIT($D58,""Z""),1),""Z"",INDEX(SPLIT($D58,""Z""),2)+$E58*(COLUMN()-COLUMN($G58)),"":"",""Z"",INDEX(SPLIT($D58,""Z""),2)+$E58*(COLUMN()-COLUMN($G58))+$F58-1)))"),768.5518)</f>
        <v>768.5518</v>
      </c>
      <c r="CF58" s="537">
        <f>IFERROR(__xludf.DUMMYFUNCTION("SUM(INDIRECT(CONCATENATE(""'"",INDEX(SPLIT($D58,""Z""),1),""Z"",INDEX(SPLIT($D58,""Z""),2)+$E58*(COLUMN()-COLUMN($G58)),"":"",""Z"",INDEX(SPLIT($D58,""Z""),2)+$E58*(COLUMN()-COLUMN($G58))+$F58-1)))"),758.5356)</f>
        <v>758.5356</v>
      </c>
      <c r="CG58" s="537">
        <f>IFERROR(__xludf.DUMMYFUNCTION("SUM(INDIRECT(CONCATENATE(""'"",INDEX(SPLIT($D58,""Z""),1),""Z"",INDEX(SPLIT($D58,""Z""),2)+$E58*(COLUMN()-COLUMN($G58)),"":"",""Z"",INDEX(SPLIT($D58,""Z""),2)+$E58*(COLUMN()-COLUMN($G58))+$F58-1)))"),748.5016)</f>
        <v>748.5016</v>
      </c>
      <c r="CH58" s="537">
        <f>IFERROR(__xludf.DUMMYFUNCTION("SUM(INDIRECT(CONCATENATE(""'"",INDEX(SPLIT($D58,""Z""),1),""Z"",INDEX(SPLIT($D58,""Z""),2)+$E58*(COLUMN()-COLUMN($G58)),"":"",""Z"",INDEX(SPLIT($D58,""Z""),2)+$E58*(COLUMN()-COLUMN($G58))+$F58-1)))"),738.4497)</f>
        <v>738.4497</v>
      </c>
      <c r="CI58" s="537">
        <f>IFERROR(__xludf.DUMMYFUNCTION("SUM(INDIRECT(CONCATENATE(""'"",INDEX(SPLIT($D58,""Z""),1),""Z"",INDEX(SPLIT($D58,""Z""),2)+$E58*(COLUMN()-COLUMN($G58)),"":"",""Z"",INDEX(SPLIT($D58,""Z""),2)+$E58*(COLUMN()-COLUMN($G58))+$F58-1)))"),728.3801)</f>
        <v>728.3801</v>
      </c>
      <c r="CJ58" s="537">
        <f>IFERROR(__xludf.DUMMYFUNCTION("SUM(INDIRECT(CONCATENATE(""'"",INDEX(SPLIT($D58,""Z""),1),""Z"",INDEX(SPLIT($D58,""Z""),2)+$E58*(COLUMN()-COLUMN($G58)),"":"",""Z"",INDEX(SPLIT($D58,""Z""),2)+$E58*(COLUMN()-COLUMN($G58))+$F58-1)))"),718.2926)</f>
        <v>718.2926</v>
      </c>
      <c r="CK58" s="537">
        <f>IFERROR(__xludf.DUMMYFUNCTION("SUM(INDIRECT(CONCATENATE(""'"",INDEX(SPLIT($D58,""Z""),1),""Z"",INDEX(SPLIT($D58,""Z""),2)+$E58*(COLUMN()-COLUMN($G58)),"":"",""Z"",INDEX(SPLIT($D58,""Z""),2)+$E58*(COLUMN()-COLUMN($G58))+$F58-1)))"),708.1871)</f>
        <v>708.1871</v>
      </c>
      <c r="CL58" s="537">
        <f>IFERROR(__xludf.DUMMYFUNCTION("SUM(INDIRECT(CONCATENATE(""'"",INDEX(SPLIT($D58,""Z""),1),""Z"",INDEX(SPLIT($D58,""Z""),2)+$E58*(COLUMN()-COLUMN($G58)),"":"",""Z"",INDEX(SPLIT($D58,""Z""),2)+$E58*(COLUMN()-COLUMN($G58))+$F58-1)))"),698.0638)</f>
        <v>698.0638</v>
      </c>
      <c r="CM58" s="537">
        <f>IFERROR(__xludf.DUMMYFUNCTION("SUM(INDIRECT(CONCATENATE(""'"",INDEX(SPLIT($D58,""Z""),1),""Z"",INDEX(SPLIT($D58,""Z""),2)+$E58*(COLUMN()-COLUMN($G58)),"":"",""Z"",INDEX(SPLIT($D58,""Z""),2)+$E58*(COLUMN()-COLUMN($G58))+$F58-1)))"),332.935)</f>
        <v>332.935</v>
      </c>
      <c r="CN58" s="537">
        <f>IFERROR(__xludf.DUMMYFUNCTION("SUM(INDIRECT(CONCATENATE(""'"",INDEX(SPLIT($D58,""Z""),1),""Z"",INDEX(SPLIT($D58,""Z""),2)+$E58*(COLUMN()-COLUMN($G58)),"":"",""Z"",INDEX(SPLIT($D58,""Z""),2)+$E58*(COLUMN()-COLUMN($G58))+$F58-1)))"),328.0181)</f>
        <v>328.0181</v>
      </c>
      <c r="CO58" s="538">
        <f>IFERROR(__xludf.DUMMYFUNCTION("SUM(INDIRECT(CONCATENATE(""'"",INDEX(SPLIT($D58,""Z""),1),""Z"",INDEX(SPLIT($D58,""Z""),2)+$E58*(COLUMN()-COLUMN($G58)),"":"",""Z"",INDEX(SPLIT($D58,""Z""),2)+$E58*(COLUMN()-COLUMN($G58))+$F58-1)))"),323.0926)</f>
        <v>323.0926</v>
      </c>
      <c r="CP58" s="537">
        <f>IFERROR(__xludf.DUMMYFUNCTION("SUM(INDIRECT(CONCATENATE(""'"",INDEX(SPLIT($D58,""Z""),1),""Z"",INDEX(SPLIT($D58,""Z""),2)+$E58*(COLUMN()-COLUMN($G58)),"":"",""Z"",INDEX(SPLIT($D58,""Z""),2)+$E58*(COLUMN()-COLUMN($G58))+$F58-1)))"),318.1583)</f>
        <v>318.1583</v>
      </c>
      <c r="CQ58" s="537">
        <f>IFERROR(__xludf.DUMMYFUNCTION("SUM(INDIRECT(CONCATENATE(""'"",INDEX(SPLIT($D58,""Z""),1),""Z"",INDEX(SPLIT($D58,""Z""),2)+$E58*(COLUMN()-COLUMN($G58)),"":"",""Z"",INDEX(SPLIT($D58,""Z""),2)+$E58*(COLUMN()-COLUMN($G58))+$F58-1)))"),313.2152)</f>
        <v>313.2152</v>
      </c>
      <c r="CR58" s="537">
        <f>IFERROR(__xludf.DUMMYFUNCTION("SUM(INDIRECT(CONCATENATE(""'"",INDEX(SPLIT($D58,""Z""),1),""Z"",INDEX(SPLIT($D58,""Z""),2)+$E58*(COLUMN()-COLUMN($G58)),"":"",""Z"",INDEX(SPLIT($D58,""Z""),2)+$E58*(COLUMN()-COLUMN($G58))+$F58-1)))"),308.2634)</f>
        <v>308.2634</v>
      </c>
      <c r="CS58" s="537">
        <f>IFERROR(__xludf.DUMMYFUNCTION("SUM(INDIRECT(CONCATENATE(""'"",INDEX(SPLIT($D58,""Z""),1),""Z"",INDEX(SPLIT($D58,""Z""),2)+$E58*(COLUMN()-COLUMN($G58)),"":"",""Z"",INDEX(SPLIT($D58,""Z""),2)+$E58*(COLUMN()-COLUMN($G58))+$F58-1)))"),140.0)</f>
        <v>140</v>
      </c>
      <c r="CT58" s="537">
        <f>IFERROR(__xludf.DUMMYFUNCTION("SUM(INDIRECT(CONCATENATE(""'"",INDEX(SPLIT($D58,""Z""),1),""Z"",INDEX(SPLIT($D58,""Z""),2)+$E58*(COLUMN()-COLUMN($G58)),"":"",""Z"",INDEX(SPLIT($D58,""Z""),2)+$E58*(COLUMN()-COLUMN($G58))+$F58-1)))"),2300.0)</f>
        <v>2300</v>
      </c>
      <c r="CU58" s="537">
        <f>IFERROR(__xludf.DUMMYFUNCTION("SUM(INDIRECT(CONCATENATE(""'"",INDEX(SPLIT($D58,""Z""),1),""Z"",INDEX(SPLIT($D58,""Z""),2)+$E58*(COLUMN()-COLUMN($G58)),"":"",""Z"",INDEX(SPLIT($D58,""Z""),2)+$E58*(COLUMN()-COLUMN($G58))+$F58-1)))"),1917.0)</f>
        <v>1917</v>
      </c>
      <c r="CV58" s="537">
        <f>IFERROR(__xludf.DUMMYFUNCTION("SUM(INDIRECT(CONCATENATE(""'"",INDEX(SPLIT($D58,""Z""),1),""Z"",INDEX(SPLIT($D58,""Z""),2)+$E58*(COLUMN()-COLUMN($G58)),"":"",""Z"",INDEX(SPLIT($D58,""Z""),2)+$E58*(COLUMN()-COLUMN($G58))+$F58-1)))"),1896.0)</f>
        <v>1896</v>
      </c>
      <c r="CW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CX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CY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CZ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A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B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C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D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E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F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G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H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I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J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K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L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M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N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O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P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Q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R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S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T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U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V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W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X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Y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DZ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A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B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C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D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E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F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G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H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I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J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K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L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M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N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O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P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Q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R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S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T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U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V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W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X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Y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EZ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A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B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C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D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E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F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G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H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I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J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K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L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M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N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O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P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Q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R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S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T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U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V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W58" s="537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  <c r="FX58" s="538">
        <f>IFERROR(__xludf.DUMMYFUNCTION("SUM(INDIRECT(CONCATENATE(""'"",INDEX(SPLIT($D58,""Z""),1),""Z"",INDEX(SPLIT($D58,""Z""),2)+$E58*(COLUMN()-COLUMN($G58)),"":"",""Z"",INDEX(SPLIT($D58,""Z""),2)+$E58*(COLUMN()-COLUMN($G58))+$F58-1)))"),0.0)</f>
        <v>0</v>
      </c>
    </row>
    <row r="59">
      <c r="A59" s="544" t="s">
        <v>719</v>
      </c>
      <c r="B59" s="462"/>
      <c r="C59" s="545"/>
      <c r="D59" s="540" t="s">
        <v>652</v>
      </c>
      <c r="E59" s="444" t="s">
        <v>652</v>
      </c>
      <c r="F59" s="444" t="s">
        <v>652</v>
      </c>
      <c r="G59" s="546">
        <f t="shared" ref="G59:FX59" si="9">G57+G58</f>
        <v>0</v>
      </c>
      <c r="H59" s="546">
        <f t="shared" si="9"/>
        <v>0</v>
      </c>
      <c r="I59" s="546">
        <f t="shared" si="9"/>
        <v>0</v>
      </c>
      <c r="J59" s="546">
        <f t="shared" si="9"/>
        <v>600</v>
      </c>
      <c r="K59" s="546">
        <f t="shared" si="9"/>
        <v>0</v>
      </c>
      <c r="L59" s="546">
        <f t="shared" si="9"/>
        <v>100</v>
      </c>
      <c r="M59" s="546">
        <f t="shared" si="9"/>
        <v>0</v>
      </c>
      <c r="N59" s="546">
        <f t="shared" si="9"/>
        <v>0</v>
      </c>
      <c r="O59" s="546">
        <f t="shared" si="9"/>
        <v>0</v>
      </c>
      <c r="P59" s="546">
        <f t="shared" si="9"/>
        <v>0</v>
      </c>
      <c r="Q59" s="546">
        <f t="shared" si="9"/>
        <v>0</v>
      </c>
      <c r="R59" s="546">
        <f t="shared" si="9"/>
        <v>0</v>
      </c>
      <c r="S59" s="546">
        <f t="shared" si="9"/>
        <v>0</v>
      </c>
      <c r="T59" s="546">
        <f t="shared" si="9"/>
        <v>0</v>
      </c>
      <c r="U59" s="546">
        <f t="shared" si="9"/>
        <v>0</v>
      </c>
      <c r="V59" s="546">
        <f t="shared" si="9"/>
        <v>0</v>
      </c>
      <c r="W59" s="546">
        <f t="shared" si="9"/>
        <v>300</v>
      </c>
      <c r="X59" s="546">
        <f t="shared" si="9"/>
        <v>0</v>
      </c>
      <c r="Y59" s="546">
        <f t="shared" si="9"/>
        <v>15000</v>
      </c>
      <c r="Z59" s="546">
        <f t="shared" si="9"/>
        <v>0</v>
      </c>
      <c r="AA59" s="546">
        <f t="shared" si="9"/>
        <v>500</v>
      </c>
      <c r="AB59" s="546">
        <f t="shared" si="9"/>
        <v>0</v>
      </c>
      <c r="AC59" s="546">
        <f t="shared" si="9"/>
        <v>0</v>
      </c>
      <c r="AD59" s="546">
        <f t="shared" si="9"/>
        <v>0</v>
      </c>
      <c r="AE59" s="546">
        <f t="shared" si="9"/>
        <v>0</v>
      </c>
      <c r="AF59" s="546">
        <f t="shared" si="9"/>
        <v>0</v>
      </c>
      <c r="AG59" s="546">
        <f t="shared" si="9"/>
        <v>400</v>
      </c>
      <c r="AH59" s="546">
        <f t="shared" si="9"/>
        <v>800</v>
      </c>
      <c r="AI59" s="546">
        <f t="shared" si="9"/>
        <v>498</v>
      </c>
      <c r="AJ59" s="546">
        <f t="shared" si="9"/>
        <v>0</v>
      </c>
      <c r="AK59" s="546">
        <f t="shared" si="9"/>
        <v>0</v>
      </c>
      <c r="AL59" s="546">
        <f t="shared" si="9"/>
        <v>2422</v>
      </c>
      <c r="AM59" s="546">
        <f t="shared" si="9"/>
        <v>200</v>
      </c>
      <c r="AN59" s="546">
        <f t="shared" si="9"/>
        <v>0</v>
      </c>
      <c r="AO59" s="546">
        <f t="shared" si="9"/>
        <v>0</v>
      </c>
      <c r="AP59" s="546">
        <f t="shared" si="9"/>
        <v>42800</v>
      </c>
      <c r="AQ59" s="546">
        <f t="shared" si="9"/>
        <v>700</v>
      </c>
      <c r="AR59" s="546">
        <f t="shared" si="9"/>
        <v>0</v>
      </c>
      <c r="AS59" s="546">
        <f t="shared" si="9"/>
        <v>0</v>
      </c>
      <c r="AT59" s="546">
        <f t="shared" si="9"/>
        <v>0</v>
      </c>
      <c r="AU59" s="546">
        <f t="shared" si="9"/>
        <v>1000</v>
      </c>
      <c r="AV59" s="546">
        <f t="shared" si="9"/>
        <v>0</v>
      </c>
      <c r="AW59" s="546">
        <f t="shared" si="9"/>
        <v>800</v>
      </c>
      <c r="AX59" s="546">
        <f t="shared" si="9"/>
        <v>8000</v>
      </c>
      <c r="AY59" s="546">
        <f t="shared" si="9"/>
        <v>500</v>
      </c>
      <c r="AZ59" s="546">
        <f t="shared" si="9"/>
        <v>0</v>
      </c>
      <c r="BA59" s="546">
        <f t="shared" si="9"/>
        <v>500</v>
      </c>
      <c r="BB59" s="546">
        <f t="shared" si="9"/>
        <v>0</v>
      </c>
      <c r="BC59" s="546">
        <f t="shared" si="9"/>
        <v>400</v>
      </c>
      <c r="BD59" s="546">
        <f t="shared" si="9"/>
        <v>45150</v>
      </c>
      <c r="BE59" s="546">
        <f t="shared" si="9"/>
        <v>3000</v>
      </c>
      <c r="BF59" s="546">
        <f t="shared" si="9"/>
        <v>0</v>
      </c>
      <c r="BG59" s="546">
        <f t="shared" si="9"/>
        <v>3700</v>
      </c>
      <c r="BH59" s="546">
        <f t="shared" si="9"/>
        <v>1300</v>
      </c>
      <c r="BI59" s="546">
        <f t="shared" si="9"/>
        <v>6000</v>
      </c>
      <c r="BJ59" s="546">
        <f t="shared" si="9"/>
        <v>650</v>
      </c>
      <c r="BK59" s="546">
        <f t="shared" si="9"/>
        <v>0</v>
      </c>
      <c r="BL59" s="546">
        <f t="shared" si="9"/>
        <v>4816</v>
      </c>
      <c r="BM59" s="546">
        <f t="shared" si="9"/>
        <v>0</v>
      </c>
      <c r="BN59" s="546">
        <f t="shared" si="9"/>
        <v>5000</v>
      </c>
      <c r="BO59" s="546">
        <f t="shared" si="9"/>
        <v>0</v>
      </c>
      <c r="BP59" s="546">
        <f t="shared" si="9"/>
        <v>0</v>
      </c>
      <c r="BQ59" s="546">
        <f t="shared" si="9"/>
        <v>545</v>
      </c>
      <c r="BR59" s="546">
        <f t="shared" si="9"/>
        <v>4535</v>
      </c>
      <c r="BS59" s="546">
        <f t="shared" si="9"/>
        <v>1614</v>
      </c>
      <c r="BT59" s="537">
        <f t="shared" si="9"/>
        <v>815</v>
      </c>
      <c r="BU59" s="537">
        <f t="shared" si="9"/>
        <v>1475</v>
      </c>
      <c r="BV59" s="537">
        <f t="shared" si="9"/>
        <v>322836</v>
      </c>
      <c r="BW59" s="537">
        <f t="shared" si="9"/>
        <v>1000848.045</v>
      </c>
      <c r="BX59" s="537">
        <f t="shared" si="9"/>
        <v>10304.1702</v>
      </c>
      <c r="BY59" s="537">
        <f t="shared" si="9"/>
        <v>15181.2775</v>
      </c>
      <c r="BZ59" s="537">
        <f t="shared" si="9"/>
        <v>17362.3673</v>
      </c>
      <c r="CA59" s="537">
        <f t="shared" si="9"/>
        <v>12778.4395</v>
      </c>
      <c r="CB59" s="537">
        <f t="shared" si="9"/>
        <v>10546.4941</v>
      </c>
      <c r="CC59" s="537">
        <f t="shared" si="9"/>
        <v>17138.531</v>
      </c>
      <c r="CD59" s="537">
        <f t="shared" si="9"/>
        <v>18147.5503</v>
      </c>
      <c r="CE59" s="537">
        <f t="shared" si="9"/>
        <v>7948.5518</v>
      </c>
      <c r="CF59" s="537">
        <f t="shared" si="9"/>
        <v>12688.5356</v>
      </c>
      <c r="CG59" s="537">
        <f t="shared" si="9"/>
        <v>16530.5016</v>
      </c>
      <c r="CH59" s="537">
        <f t="shared" si="9"/>
        <v>9612.4497</v>
      </c>
      <c r="CI59" s="537">
        <f t="shared" si="9"/>
        <v>14584.3801</v>
      </c>
      <c r="CJ59" s="537">
        <f t="shared" si="9"/>
        <v>28250.2926</v>
      </c>
      <c r="CK59" s="537">
        <f t="shared" si="9"/>
        <v>24149.1871</v>
      </c>
      <c r="CL59" s="537">
        <f t="shared" si="9"/>
        <v>27158.0638</v>
      </c>
      <c r="CM59" s="537">
        <f t="shared" si="9"/>
        <v>18002.935</v>
      </c>
      <c r="CN59" s="537">
        <f t="shared" si="9"/>
        <v>8848.0181</v>
      </c>
      <c r="CO59" s="538">
        <f t="shared" si="9"/>
        <v>13313.0926</v>
      </c>
      <c r="CP59" s="546">
        <f t="shared" si="9"/>
        <v>941842.1583</v>
      </c>
      <c r="CQ59" s="546">
        <f t="shared" si="9"/>
        <v>8513.2152</v>
      </c>
      <c r="CR59" s="546">
        <f t="shared" si="9"/>
        <v>6308.2634</v>
      </c>
      <c r="CS59" s="546">
        <f t="shared" si="9"/>
        <v>6140</v>
      </c>
      <c r="CT59" s="546">
        <f t="shared" si="9"/>
        <v>8300</v>
      </c>
      <c r="CU59" s="546">
        <f t="shared" si="9"/>
        <v>10717</v>
      </c>
      <c r="CV59" s="546">
        <f t="shared" si="9"/>
        <v>7896</v>
      </c>
      <c r="CW59" s="546">
        <f t="shared" si="9"/>
        <v>0</v>
      </c>
      <c r="CX59" s="546">
        <f t="shared" si="9"/>
        <v>0</v>
      </c>
      <c r="CY59" s="546">
        <f t="shared" si="9"/>
        <v>0</v>
      </c>
      <c r="CZ59" s="546">
        <f t="shared" si="9"/>
        <v>0</v>
      </c>
      <c r="DA59" s="546">
        <f t="shared" si="9"/>
        <v>0</v>
      </c>
      <c r="DB59" s="546">
        <f t="shared" si="9"/>
        <v>145681</v>
      </c>
      <c r="DC59" s="546">
        <f t="shared" si="9"/>
        <v>2312.396825</v>
      </c>
      <c r="DD59" s="546">
        <f t="shared" si="9"/>
        <v>0</v>
      </c>
      <c r="DE59" s="546">
        <f t="shared" si="9"/>
        <v>0</v>
      </c>
      <c r="DF59" s="546">
        <f t="shared" si="9"/>
        <v>0</v>
      </c>
      <c r="DG59" s="546">
        <f t="shared" si="9"/>
        <v>0</v>
      </c>
      <c r="DH59" s="546">
        <f t="shared" si="9"/>
        <v>0</v>
      </c>
      <c r="DI59" s="546">
        <f t="shared" si="9"/>
        <v>0</v>
      </c>
      <c r="DJ59" s="546">
        <f t="shared" si="9"/>
        <v>0</v>
      </c>
      <c r="DK59" s="546">
        <f t="shared" si="9"/>
        <v>0</v>
      </c>
      <c r="DL59" s="546">
        <f t="shared" si="9"/>
        <v>0</v>
      </c>
      <c r="DM59" s="546">
        <f t="shared" si="9"/>
        <v>0</v>
      </c>
      <c r="DN59" s="546">
        <f t="shared" si="9"/>
        <v>0</v>
      </c>
      <c r="DO59" s="546">
        <f t="shared" si="9"/>
        <v>0</v>
      </c>
      <c r="DP59" s="546">
        <f t="shared" si="9"/>
        <v>0</v>
      </c>
      <c r="DQ59" s="546">
        <f t="shared" si="9"/>
        <v>0</v>
      </c>
      <c r="DR59" s="546">
        <f t="shared" si="9"/>
        <v>0</v>
      </c>
      <c r="DS59" s="546">
        <f t="shared" si="9"/>
        <v>0</v>
      </c>
      <c r="DT59" s="546">
        <f t="shared" si="9"/>
        <v>0</v>
      </c>
      <c r="DU59" s="546">
        <f t="shared" si="9"/>
        <v>0</v>
      </c>
      <c r="DV59" s="546">
        <f t="shared" si="9"/>
        <v>0</v>
      </c>
      <c r="DW59" s="546">
        <f t="shared" si="9"/>
        <v>0</v>
      </c>
      <c r="DX59" s="546">
        <f t="shared" si="9"/>
        <v>0</v>
      </c>
      <c r="DY59" s="546">
        <f t="shared" si="9"/>
        <v>0</v>
      </c>
      <c r="DZ59" s="546">
        <f t="shared" si="9"/>
        <v>0</v>
      </c>
      <c r="EA59" s="546">
        <f t="shared" si="9"/>
        <v>0</v>
      </c>
      <c r="EB59" s="546">
        <f t="shared" si="9"/>
        <v>0</v>
      </c>
      <c r="EC59" s="546">
        <f t="shared" si="9"/>
        <v>0</v>
      </c>
      <c r="ED59" s="546">
        <f t="shared" si="9"/>
        <v>0</v>
      </c>
      <c r="EE59" s="546">
        <f t="shared" si="9"/>
        <v>0</v>
      </c>
      <c r="EF59" s="546">
        <f t="shared" si="9"/>
        <v>0</v>
      </c>
      <c r="EG59" s="546">
        <f t="shared" si="9"/>
        <v>0</v>
      </c>
      <c r="EH59" s="546">
        <f t="shared" si="9"/>
        <v>0</v>
      </c>
      <c r="EI59" s="546">
        <f t="shared" si="9"/>
        <v>0</v>
      </c>
      <c r="EJ59" s="546">
        <f t="shared" si="9"/>
        <v>0</v>
      </c>
      <c r="EK59" s="546">
        <f t="shared" si="9"/>
        <v>0</v>
      </c>
      <c r="EL59" s="546">
        <f t="shared" si="9"/>
        <v>0</v>
      </c>
      <c r="EM59" s="546">
        <f t="shared" si="9"/>
        <v>0</v>
      </c>
      <c r="EN59" s="546">
        <f t="shared" si="9"/>
        <v>0</v>
      </c>
      <c r="EO59" s="546">
        <f t="shared" si="9"/>
        <v>0</v>
      </c>
      <c r="EP59" s="546">
        <f t="shared" si="9"/>
        <v>0</v>
      </c>
      <c r="EQ59" s="546">
        <f t="shared" si="9"/>
        <v>0</v>
      </c>
      <c r="ER59" s="546">
        <f t="shared" si="9"/>
        <v>0</v>
      </c>
      <c r="ES59" s="546">
        <f t="shared" si="9"/>
        <v>0</v>
      </c>
      <c r="ET59" s="546">
        <f t="shared" si="9"/>
        <v>0</v>
      </c>
      <c r="EU59" s="546">
        <f t="shared" si="9"/>
        <v>0</v>
      </c>
      <c r="EV59" s="546">
        <f t="shared" si="9"/>
        <v>0</v>
      </c>
      <c r="EW59" s="546">
        <f t="shared" si="9"/>
        <v>0</v>
      </c>
      <c r="EX59" s="546">
        <f t="shared" si="9"/>
        <v>0</v>
      </c>
      <c r="EY59" s="546">
        <f t="shared" si="9"/>
        <v>0</v>
      </c>
      <c r="EZ59" s="546">
        <f t="shared" si="9"/>
        <v>0</v>
      </c>
      <c r="FA59" s="546">
        <f t="shared" si="9"/>
        <v>0</v>
      </c>
      <c r="FB59" s="546">
        <f t="shared" si="9"/>
        <v>0</v>
      </c>
      <c r="FC59" s="537">
        <f t="shared" si="9"/>
        <v>0</v>
      </c>
      <c r="FD59" s="537">
        <f t="shared" si="9"/>
        <v>0</v>
      </c>
      <c r="FE59" s="537">
        <f t="shared" si="9"/>
        <v>0</v>
      </c>
      <c r="FF59" s="537">
        <f t="shared" si="9"/>
        <v>0</v>
      </c>
      <c r="FG59" s="537">
        <f t="shared" si="9"/>
        <v>0</v>
      </c>
      <c r="FH59" s="537">
        <f t="shared" si="9"/>
        <v>0</v>
      </c>
      <c r="FI59" s="537">
        <f t="shared" si="9"/>
        <v>0</v>
      </c>
      <c r="FJ59" s="537">
        <f t="shared" si="9"/>
        <v>0</v>
      </c>
      <c r="FK59" s="537">
        <f t="shared" si="9"/>
        <v>0</v>
      </c>
      <c r="FL59" s="537">
        <f t="shared" si="9"/>
        <v>0</v>
      </c>
      <c r="FM59" s="537">
        <f t="shared" si="9"/>
        <v>0</v>
      </c>
      <c r="FN59" s="537">
        <f t="shared" si="9"/>
        <v>0</v>
      </c>
      <c r="FO59" s="537">
        <f t="shared" si="9"/>
        <v>0</v>
      </c>
      <c r="FP59" s="537">
        <f t="shared" si="9"/>
        <v>0</v>
      </c>
      <c r="FQ59" s="537">
        <f t="shared" si="9"/>
        <v>0</v>
      </c>
      <c r="FR59" s="537">
        <f t="shared" si="9"/>
        <v>0</v>
      </c>
      <c r="FS59" s="537">
        <f t="shared" si="9"/>
        <v>0</v>
      </c>
      <c r="FT59" s="537">
        <f t="shared" si="9"/>
        <v>0</v>
      </c>
      <c r="FU59" s="537">
        <f t="shared" si="9"/>
        <v>0</v>
      </c>
      <c r="FV59" s="537">
        <f t="shared" si="9"/>
        <v>0</v>
      </c>
      <c r="FW59" s="537">
        <f t="shared" si="9"/>
        <v>0</v>
      </c>
      <c r="FX59" s="538">
        <f t="shared" si="9"/>
        <v>0</v>
      </c>
    </row>
    <row r="60">
      <c r="A60" s="544" t="s">
        <v>720</v>
      </c>
      <c r="B60" s="462"/>
      <c r="C60" s="551"/>
      <c r="D60" s="540" t="s">
        <v>652</v>
      </c>
      <c r="E60" s="444" t="s">
        <v>652</v>
      </c>
      <c r="F60" s="444" t="s">
        <v>652</v>
      </c>
      <c r="G60" s="552">
        <f t="shared" ref="G60:FX60" si="10">G56+G59</f>
        <v>55264</v>
      </c>
      <c r="H60" s="552">
        <f t="shared" si="10"/>
        <v>37933</v>
      </c>
      <c r="I60" s="552">
        <f t="shared" si="10"/>
        <v>55580</v>
      </c>
      <c r="J60" s="552">
        <f t="shared" si="10"/>
        <v>54368</v>
      </c>
      <c r="K60" s="552">
        <f t="shared" si="10"/>
        <v>72288</v>
      </c>
      <c r="L60" s="552">
        <f t="shared" si="10"/>
        <v>54217</v>
      </c>
      <c r="M60" s="552">
        <f t="shared" si="10"/>
        <v>55000</v>
      </c>
      <c r="N60" s="552">
        <f t="shared" si="10"/>
        <v>46992</v>
      </c>
      <c r="O60" s="552">
        <f t="shared" si="10"/>
        <v>63362</v>
      </c>
      <c r="P60" s="552">
        <f t="shared" si="10"/>
        <v>54686</v>
      </c>
      <c r="Q60" s="552">
        <f t="shared" si="10"/>
        <v>58782</v>
      </c>
      <c r="R60" s="552">
        <f t="shared" si="10"/>
        <v>59464</v>
      </c>
      <c r="S60" s="552">
        <f t="shared" si="10"/>
        <v>62786</v>
      </c>
      <c r="T60" s="552">
        <f t="shared" si="10"/>
        <v>202635</v>
      </c>
      <c r="U60" s="552">
        <f t="shared" si="10"/>
        <v>200363</v>
      </c>
      <c r="V60" s="552">
        <f t="shared" si="10"/>
        <v>60301</v>
      </c>
      <c r="W60" s="552">
        <f t="shared" si="10"/>
        <v>61207</v>
      </c>
      <c r="X60" s="552">
        <f t="shared" si="10"/>
        <v>73941</v>
      </c>
      <c r="Y60" s="552">
        <f t="shared" si="10"/>
        <v>76895</v>
      </c>
      <c r="Z60" s="552">
        <f t="shared" si="10"/>
        <v>-11184</v>
      </c>
      <c r="AA60" s="552">
        <f t="shared" si="10"/>
        <v>55996</v>
      </c>
      <c r="AB60" s="552">
        <f t="shared" si="10"/>
        <v>31395</v>
      </c>
      <c r="AC60" s="552">
        <f t="shared" si="10"/>
        <v>30462</v>
      </c>
      <c r="AD60" s="552">
        <f t="shared" si="10"/>
        <v>25547</v>
      </c>
      <c r="AE60" s="552">
        <f t="shared" si="10"/>
        <v>29238</v>
      </c>
      <c r="AF60" s="552">
        <f t="shared" si="10"/>
        <v>29575</v>
      </c>
      <c r="AG60" s="552">
        <f t="shared" si="10"/>
        <v>24802</v>
      </c>
      <c r="AH60" s="552">
        <f t="shared" si="10"/>
        <v>29881</v>
      </c>
      <c r="AI60" s="552">
        <f t="shared" si="10"/>
        <v>85908</v>
      </c>
      <c r="AJ60" s="552">
        <f t="shared" si="10"/>
        <v>34673</v>
      </c>
      <c r="AK60" s="552">
        <f t="shared" si="10"/>
        <v>28715</v>
      </c>
      <c r="AL60" s="552">
        <f t="shared" si="10"/>
        <v>37134</v>
      </c>
      <c r="AM60" s="552">
        <f t="shared" si="10"/>
        <v>63300</v>
      </c>
      <c r="AN60" s="552">
        <f t="shared" si="10"/>
        <v>37251</v>
      </c>
      <c r="AO60" s="552">
        <f t="shared" si="10"/>
        <v>17121</v>
      </c>
      <c r="AP60" s="552">
        <f t="shared" si="10"/>
        <v>37231</v>
      </c>
      <c r="AQ60" s="552">
        <f t="shared" si="10"/>
        <v>4278</v>
      </c>
      <c r="AR60" s="552">
        <f t="shared" si="10"/>
        <v>-21463</v>
      </c>
      <c r="AS60" s="552">
        <f t="shared" si="10"/>
        <v>30306</v>
      </c>
      <c r="AT60" s="552">
        <f t="shared" si="10"/>
        <v>116654</v>
      </c>
      <c r="AU60" s="552">
        <f t="shared" si="10"/>
        <v>3311</v>
      </c>
      <c r="AV60" s="552">
        <f t="shared" si="10"/>
        <v>25647</v>
      </c>
      <c r="AW60" s="552">
        <f t="shared" si="10"/>
        <v>27498</v>
      </c>
      <c r="AX60" s="552">
        <f t="shared" si="10"/>
        <v>96537</v>
      </c>
      <c r="AY60" s="552">
        <f t="shared" si="10"/>
        <v>16149</v>
      </c>
      <c r="AZ60" s="552">
        <f t="shared" si="10"/>
        <v>-1602</v>
      </c>
      <c r="BA60" s="552">
        <f t="shared" si="10"/>
        <v>64293</v>
      </c>
      <c r="BB60" s="552">
        <f t="shared" si="10"/>
        <v>51901</v>
      </c>
      <c r="BC60" s="552">
        <f t="shared" si="10"/>
        <v>8767</v>
      </c>
      <c r="BD60" s="552">
        <f t="shared" si="10"/>
        <v>100501</v>
      </c>
      <c r="BE60" s="552">
        <f t="shared" si="10"/>
        <v>42305</v>
      </c>
      <c r="BF60" s="552">
        <f t="shared" si="10"/>
        <v>228748</v>
      </c>
      <c r="BG60" s="552">
        <f t="shared" si="10"/>
        <v>51551</v>
      </c>
      <c r="BH60" s="552">
        <f t="shared" si="10"/>
        <v>42902</v>
      </c>
      <c r="BI60" s="552">
        <f t="shared" si="10"/>
        <v>39239</v>
      </c>
      <c r="BJ60" s="552">
        <f t="shared" si="10"/>
        <v>49179</v>
      </c>
      <c r="BK60" s="552">
        <f t="shared" si="10"/>
        <v>41429</v>
      </c>
      <c r="BL60" s="552">
        <f t="shared" si="10"/>
        <v>199378</v>
      </c>
      <c r="BM60" s="552">
        <f t="shared" si="10"/>
        <v>40429</v>
      </c>
      <c r="BN60" s="552">
        <f t="shared" si="10"/>
        <v>11820</v>
      </c>
      <c r="BO60" s="552">
        <f t="shared" si="10"/>
        <v>110034</v>
      </c>
      <c r="BP60" s="552">
        <f t="shared" si="10"/>
        <v>18173</v>
      </c>
      <c r="BQ60" s="552">
        <f t="shared" si="10"/>
        <v>24554</v>
      </c>
      <c r="BR60" s="552">
        <f t="shared" si="10"/>
        <v>574084</v>
      </c>
      <c r="BS60" s="552">
        <f t="shared" si="10"/>
        <v>11208</v>
      </c>
      <c r="BT60" s="552">
        <f t="shared" si="10"/>
        <v>12954</v>
      </c>
      <c r="BU60" s="552">
        <f t="shared" si="10"/>
        <v>102556</v>
      </c>
      <c r="BV60" s="552">
        <f t="shared" si="10"/>
        <v>343295</v>
      </c>
      <c r="BW60" s="552">
        <f t="shared" si="10"/>
        <v>1019190.045</v>
      </c>
      <c r="BX60" s="552">
        <f t="shared" si="10"/>
        <v>163771.1702</v>
      </c>
      <c r="BY60" s="552">
        <f t="shared" si="10"/>
        <v>22950.2775</v>
      </c>
      <c r="BZ60" s="552">
        <f t="shared" si="10"/>
        <v>42050.3673</v>
      </c>
      <c r="CA60" s="552">
        <f t="shared" si="10"/>
        <v>-58407.5605</v>
      </c>
      <c r="CB60" s="552">
        <f t="shared" si="10"/>
        <v>64895.4941</v>
      </c>
      <c r="CC60" s="552">
        <f t="shared" si="10"/>
        <v>49324.531</v>
      </c>
      <c r="CD60" s="552">
        <f t="shared" si="10"/>
        <v>506705.5503</v>
      </c>
      <c r="CE60" s="552">
        <f t="shared" si="10"/>
        <v>43284.5518</v>
      </c>
      <c r="CF60" s="552">
        <f t="shared" si="10"/>
        <v>889.5356</v>
      </c>
      <c r="CG60" s="552">
        <f t="shared" si="10"/>
        <v>113653.5016</v>
      </c>
      <c r="CH60" s="552">
        <f t="shared" si="10"/>
        <v>24578.4497</v>
      </c>
      <c r="CI60" s="552">
        <f t="shared" si="10"/>
        <v>2695.3801</v>
      </c>
      <c r="CJ60" s="552">
        <f t="shared" si="10"/>
        <v>44607.2926</v>
      </c>
      <c r="CK60" s="552">
        <f t="shared" si="10"/>
        <v>93924.1871</v>
      </c>
      <c r="CL60" s="552">
        <f t="shared" si="10"/>
        <v>56921.0638</v>
      </c>
      <c r="CM60" s="552">
        <f t="shared" si="10"/>
        <v>81490.935</v>
      </c>
      <c r="CN60" s="552">
        <f t="shared" si="10"/>
        <v>-37693.9819</v>
      </c>
      <c r="CO60" s="553">
        <f t="shared" si="10"/>
        <v>62674.0926</v>
      </c>
      <c r="CP60" s="552">
        <f t="shared" si="10"/>
        <v>896782.1583</v>
      </c>
      <c r="CQ60" s="552">
        <f t="shared" si="10"/>
        <v>523611.2152</v>
      </c>
      <c r="CR60" s="552">
        <f t="shared" si="10"/>
        <v>18742.2634</v>
      </c>
      <c r="CS60" s="552">
        <f t="shared" si="10"/>
        <v>48051</v>
      </c>
      <c r="CT60" s="552">
        <f t="shared" si="10"/>
        <v>133329</v>
      </c>
      <c r="CU60" s="552">
        <f t="shared" si="10"/>
        <v>-10137</v>
      </c>
      <c r="CV60" s="552">
        <f t="shared" si="10"/>
        <v>86706</v>
      </c>
      <c r="CW60" s="552">
        <f t="shared" si="10"/>
        <v>0</v>
      </c>
      <c r="CX60" s="552">
        <f t="shared" si="10"/>
        <v>0</v>
      </c>
      <c r="CY60" s="552">
        <f t="shared" si="10"/>
        <v>-2030</v>
      </c>
      <c r="CZ60" s="552">
        <f t="shared" si="10"/>
        <v>0</v>
      </c>
      <c r="DA60" s="552">
        <f t="shared" si="10"/>
        <v>0</v>
      </c>
      <c r="DB60" s="552">
        <f t="shared" si="10"/>
        <v>5995139</v>
      </c>
      <c r="DC60" s="552">
        <f t="shared" si="10"/>
        <v>85146.90663</v>
      </c>
      <c r="DD60" s="552">
        <f t="shared" si="10"/>
        <v>0</v>
      </c>
      <c r="DE60" s="552">
        <f t="shared" si="10"/>
        <v>0</v>
      </c>
      <c r="DF60" s="552">
        <f t="shared" si="10"/>
        <v>0</v>
      </c>
      <c r="DG60" s="552">
        <f t="shared" si="10"/>
        <v>0</v>
      </c>
      <c r="DH60" s="552">
        <f t="shared" si="10"/>
        <v>0</v>
      </c>
      <c r="DI60" s="552">
        <f t="shared" si="10"/>
        <v>0</v>
      </c>
      <c r="DJ60" s="552">
        <f t="shared" si="10"/>
        <v>0</v>
      </c>
      <c r="DK60" s="552">
        <f t="shared" si="10"/>
        <v>0</v>
      </c>
      <c r="DL60" s="552">
        <f t="shared" si="10"/>
        <v>0</v>
      </c>
      <c r="DM60" s="552" t="str">
        <f t="shared" si="10"/>
        <v>#REF!</v>
      </c>
      <c r="DN60" s="552">
        <f t="shared" si="10"/>
        <v>0</v>
      </c>
      <c r="DO60" s="552">
        <f t="shared" si="10"/>
        <v>0</v>
      </c>
      <c r="DP60" s="552">
        <f t="shared" si="10"/>
        <v>0</v>
      </c>
      <c r="DQ60" s="552">
        <f t="shared" si="10"/>
        <v>0</v>
      </c>
      <c r="DR60" s="552">
        <f t="shared" si="10"/>
        <v>0</v>
      </c>
      <c r="DS60" s="552">
        <f t="shared" si="10"/>
        <v>0</v>
      </c>
      <c r="DT60" s="552">
        <f t="shared" si="10"/>
        <v>0</v>
      </c>
      <c r="DU60" s="552">
        <f t="shared" si="10"/>
        <v>0</v>
      </c>
      <c r="DV60" s="552">
        <f t="shared" si="10"/>
        <v>0</v>
      </c>
      <c r="DW60" s="552">
        <f t="shared" si="10"/>
        <v>0</v>
      </c>
      <c r="DX60" s="552">
        <f t="shared" si="10"/>
        <v>0</v>
      </c>
      <c r="DY60" s="552">
        <f t="shared" si="10"/>
        <v>0</v>
      </c>
      <c r="DZ60" s="552">
        <f t="shared" si="10"/>
        <v>0</v>
      </c>
      <c r="EA60" s="552">
        <f t="shared" si="10"/>
        <v>0</v>
      </c>
      <c r="EB60" s="552">
        <f t="shared" si="10"/>
        <v>0</v>
      </c>
      <c r="EC60" s="552">
        <f t="shared" si="10"/>
        <v>0</v>
      </c>
      <c r="ED60" s="552">
        <f t="shared" si="10"/>
        <v>0</v>
      </c>
      <c r="EE60" s="552">
        <f t="shared" si="10"/>
        <v>0</v>
      </c>
      <c r="EF60" s="552">
        <f t="shared" si="10"/>
        <v>0</v>
      </c>
      <c r="EG60" s="552">
        <f t="shared" si="10"/>
        <v>0</v>
      </c>
      <c r="EH60" s="552">
        <f t="shared" si="10"/>
        <v>0</v>
      </c>
      <c r="EI60" s="552">
        <f t="shared" si="10"/>
        <v>0</v>
      </c>
      <c r="EJ60" s="552">
        <f t="shared" si="10"/>
        <v>0</v>
      </c>
      <c r="EK60" s="552">
        <f t="shared" si="10"/>
        <v>0</v>
      </c>
      <c r="EL60" s="552">
        <f t="shared" si="10"/>
        <v>0</v>
      </c>
      <c r="EM60" s="552">
        <f t="shared" si="10"/>
        <v>0</v>
      </c>
      <c r="EN60" s="552">
        <f t="shared" si="10"/>
        <v>0</v>
      </c>
      <c r="EO60" s="552">
        <f t="shared" si="10"/>
        <v>0</v>
      </c>
      <c r="EP60" s="552">
        <f t="shared" si="10"/>
        <v>0</v>
      </c>
      <c r="EQ60" s="552">
        <f t="shared" si="10"/>
        <v>0</v>
      </c>
      <c r="ER60" s="552">
        <f t="shared" si="10"/>
        <v>0</v>
      </c>
      <c r="ES60" s="552">
        <f t="shared" si="10"/>
        <v>0</v>
      </c>
      <c r="ET60" s="552">
        <f t="shared" si="10"/>
        <v>0</v>
      </c>
      <c r="EU60" s="552">
        <f t="shared" si="10"/>
        <v>0</v>
      </c>
      <c r="EV60" s="552">
        <f t="shared" si="10"/>
        <v>0</v>
      </c>
      <c r="EW60" s="552">
        <f t="shared" si="10"/>
        <v>0</v>
      </c>
      <c r="EX60" s="552">
        <f t="shared" si="10"/>
        <v>0</v>
      </c>
      <c r="EY60" s="552">
        <f t="shared" si="10"/>
        <v>0</v>
      </c>
      <c r="EZ60" s="552">
        <f t="shared" si="10"/>
        <v>0</v>
      </c>
      <c r="FA60" s="552">
        <f t="shared" si="10"/>
        <v>0</v>
      </c>
      <c r="FB60" s="552">
        <f t="shared" si="10"/>
        <v>0</v>
      </c>
      <c r="FC60" s="552">
        <f t="shared" si="10"/>
        <v>0</v>
      </c>
      <c r="FD60" s="552">
        <f t="shared" si="10"/>
        <v>0</v>
      </c>
      <c r="FE60" s="552">
        <f t="shared" si="10"/>
        <v>0</v>
      </c>
      <c r="FF60" s="552">
        <f t="shared" si="10"/>
        <v>0</v>
      </c>
      <c r="FG60" s="552">
        <f t="shared" si="10"/>
        <v>0</v>
      </c>
      <c r="FH60" s="552">
        <f t="shared" si="10"/>
        <v>0</v>
      </c>
      <c r="FI60" s="552">
        <f t="shared" si="10"/>
        <v>0</v>
      </c>
      <c r="FJ60" s="552">
        <f t="shared" si="10"/>
        <v>0</v>
      </c>
      <c r="FK60" s="552">
        <f t="shared" si="10"/>
        <v>0</v>
      </c>
      <c r="FL60" s="552">
        <f t="shared" si="10"/>
        <v>0</v>
      </c>
      <c r="FM60" s="552">
        <f t="shared" si="10"/>
        <v>0</v>
      </c>
      <c r="FN60" s="552">
        <f t="shared" si="10"/>
        <v>0</v>
      </c>
      <c r="FO60" s="552">
        <f t="shared" si="10"/>
        <v>0</v>
      </c>
      <c r="FP60" s="552">
        <f t="shared" si="10"/>
        <v>0</v>
      </c>
      <c r="FQ60" s="552">
        <f t="shared" si="10"/>
        <v>0</v>
      </c>
      <c r="FR60" s="552">
        <f t="shared" si="10"/>
        <v>0</v>
      </c>
      <c r="FS60" s="552">
        <f t="shared" si="10"/>
        <v>0</v>
      </c>
      <c r="FT60" s="552">
        <f t="shared" si="10"/>
        <v>0</v>
      </c>
      <c r="FU60" s="552">
        <f t="shared" si="10"/>
        <v>0</v>
      </c>
      <c r="FV60" s="552">
        <f t="shared" si="10"/>
        <v>0</v>
      </c>
      <c r="FW60" s="552">
        <f t="shared" si="10"/>
        <v>0</v>
      </c>
      <c r="FX60" s="553">
        <f t="shared" si="10"/>
        <v>0</v>
      </c>
    </row>
    <row r="61">
      <c r="A61" s="535" t="s">
        <v>721</v>
      </c>
      <c r="B61" s="535" t="s">
        <v>722</v>
      </c>
      <c r="C61" s="545"/>
      <c r="D61" s="554" t="s">
        <v>723</v>
      </c>
      <c r="E61" s="493">
        <v>1.0</v>
      </c>
      <c r="F61" s="493">
        <v>1.0</v>
      </c>
      <c r="G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H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I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J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K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L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M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N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O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P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Q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R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S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T61" s="555">
        <f>IFERROR(__xludf.DUMMYFUNCTION("SUM(INDIRECT(CONCATENATE(""'"",INDEX(SPLIT($D61,""AA""),1),""AA"",INDEX(SPLIT($D61,""AA""),2)+$E61*(COLUMN()-COLUMN($G61)),"":"",""AA"",INDEX(SPLIT($D61,""AA""),2)+$E61*(COLUMN()-COLUMN($G61))+$F61-1)))"),6978.0)</f>
        <v>6978</v>
      </c>
      <c r="U61" s="555">
        <f>IFERROR(__xludf.DUMMYFUNCTION("SUM(INDIRECT(CONCATENATE(""'"",INDEX(SPLIT($D61,""AA""),1),""AA"",INDEX(SPLIT($D61,""AA""),2)+$E61*(COLUMN()-COLUMN($G61)),"":"",""AA"",INDEX(SPLIT($D61,""AA""),2)+$E61*(COLUMN()-COLUMN($G61))+$F61-1)))"),6682.0)</f>
        <v>6682</v>
      </c>
      <c r="V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W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X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Y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Z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A61" s="555">
        <f>IFERROR(__xludf.DUMMYFUNCTION("SUM(INDIRECT(CONCATENATE(""'"",INDEX(SPLIT($D61,""AA""),1),""AA"",INDEX(SPLIT($D61,""AA""),2)+$E61*(COLUMN()-COLUMN($G61)),"":"",""AA"",INDEX(SPLIT($D61,""AA""),2)+$E61*(COLUMN()-COLUMN($G61))+$F61-1)))"),26554.0)</f>
        <v>26554</v>
      </c>
      <c r="AB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C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D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E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F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G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H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I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J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K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L61" s="555">
        <f>IFERROR(__xludf.DUMMYFUNCTION("SUM(INDIRECT(CONCATENATE(""'"",INDEX(SPLIT($D61,""AA""),1),""AA"",INDEX(SPLIT($D61,""AA""),2)+$E61*(COLUMN()-COLUMN($G61)),"":"",""AA"",INDEX(SPLIT($D61,""AA""),2)+$E61*(COLUMN()-COLUMN($G61))+$F61-1)))"),15807.0)</f>
        <v>15807</v>
      </c>
      <c r="AM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N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O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P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Q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R61" s="555">
        <f>IFERROR(__xludf.DUMMYFUNCTION("SUM(INDIRECT(CONCATENATE(""'"",INDEX(SPLIT($D61,""AA""),1),""AA"",INDEX(SPLIT($D61,""AA""),2)+$E61*(COLUMN()-COLUMN($G61)),"":"",""AA"",INDEX(SPLIT($D61,""AA""),2)+$E61*(COLUMN()-COLUMN($G61))+$F61-1)))"),220.0)</f>
        <v>220</v>
      </c>
      <c r="AS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T61" s="555">
        <f>IFERROR(__xludf.DUMMYFUNCTION("SUM(INDIRECT(CONCATENATE(""'"",INDEX(SPLIT($D61,""AA""),1),""AA"",INDEX(SPLIT($D61,""AA""),2)+$E61*(COLUMN()-COLUMN($G61)),"":"",""AA"",INDEX(SPLIT($D61,""AA""),2)+$E61*(COLUMN()-COLUMN($G61))+$F61-1)))"),4530.0)</f>
        <v>4530</v>
      </c>
      <c r="AU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V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W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X61" s="555">
        <f>IFERROR(__xludf.DUMMYFUNCTION("SUM(INDIRECT(CONCATENATE(""'"",INDEX(SPLIT($D61,""AA""),1),""AA"",INDEX(SPLIT($D61,""AA""),2)+$E61*(COLUMN()-COLUMN($G61)),"":"",""AA"",INDEX(SPLIT($D61,""AA""),2)+$E61*(COLUMN()-COLUMN($G61))+$F61-1)))"),19071.0)</f>
        <v>19071</v>
      </c>
      <c r="AY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AZ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BA61" s="555">
        <f>IFERROR(__xludf.DUMMYFUNCTION("SUM(INDIRECT(CONCATENATE(""'"",INDEX(SPLIT($D61,""AA""),1),""AA"",INDEX(SPLIT($D61,""AA""),2)+$E61*(COLUMN()-COLUMN($G61)),"":"",""AA"",INDEX(SPLIT($D61,""AA""),2)+$E61*(COLUMN()-COLUMN($G61))+$F61-1)))"),2705.0)</f>
        <v>2705</v>
      </c>
      <c r="BB61" s="555">
        <f>IFERROR(__xludf.DUMMYFUNCTION("SUM(INDIRECT(CONCATENATE(""'"",INDEX(SPLIT($D61,""AA""),1),""AA"",INDEX(SPLIT($D61,""AA""),2)+$E61*(COLUMN()-COLUMN($G61)),"":"",""AA"",INDEX(SPLIT($D61,""AA""),2)+$E61*(COLUMN()-COLUMN($G61))+$F61-1)))"),2178.0)</f>
        <v>2178</v>
      </c>
      <c r="BC61" s="555">
        <f>IFERROR(__xludf.DUMMYFUNCTION("SUM(INDIRECT(CONCATENATE(""'"",INDEX(SPLIT($D61,""AA""),1),""AA"",INDEX(SPLIT($D61,""AA""),2)+$E61*(COLUMN()-COLUMN($G61)),"":"",""AA"",INDEX(SPLIT($D61,""AA""),2)+$E61*(COLUMN()-COLUMN($G61))+$F61-1)))"),2232.0)</f>
        <v>2232</v>
      </c>
      <c r="BD61" s="555">
        <f>IFERROR(__xludf.DUMMYFUNCTION("SUM(INDIRECT(CONCATENATE(""'"",INDEX(SPLIT($D61,""AA""),1),""AA"",INDEX(SPLIT($D61,""AA""),2)+$E61*(COLUMN()-COLUMN($G61)),"":"",""AA"",INDEX(SPLIT($D61,""AA""),2)+$E61*(COLUMN()-COLUMN($G61))+$F61-1)))"),2482.0)</f>
        <v>2482</v>
      </c>
      <c r="BE61" s="555">
        <f>IFERROR(__xludf.DUMMYFUNCTION("SUM(INDIRECT(CONCATENATE(""'"",INDEX(SPLIT($D61,""AA""),1),""AA"",INDEX(SPLIT($D61,""AA""),2)+$E61*(COLUMN()-COLUMN($G61)),"":"",""AA"",INDEX(SPLIT($D61,""AA""),2)+$E61*(COLUMN()-COLUMN($G61))+$F61-1)))"),2259.0)</f>
        <v>2259</v>
      </c>
      <c r="BF61" s="555">
        <f>IFERROR(__xludf.DUMMYFUNCTION("SUM(INDIRECT(CONCATENATE(""'"",INDEX(SPLIT($D61,""AA""),1),""AA"",INDEX(SPLIT($D61,""AA""),2)+$E61*(COLUMN()-COLUMN($G61)),"":"",""AA"",INDEX(SPLIT($D61,""AA""),2)+$E61*(COLUMN()-COLUMN($G61))+$F61-1)))"),13886.0)</f>
        <v>13886</v>
      </c>
      <c r="BG61" s="555">
        <f>IFERROR(__xludf.DUMMYFUNCTION("SUM(INDIRECT(CONCATENATE(""'"",INDEX(SPLIT($D61,""AA""),1),""AA"",INDEX(SPLIT($D61,""AA""),2)+$E61*(COLUMN()-COLUMN($G61)),"":"",""AA"",INDEX(SPLIT($D61,""AA""),2)+$E61*(COLUMN()-COLUMN($G61))+$F61-1)))"),2245.0)</f>
        <v>2245</v>
      </c>
      <c r="BH61" s="555">
        <f>IFERROR(__xludf.DUMMYFUNCTION("SUM(INDIRECT(CONCATENATE(""'"",INDEX(SPLIT($D61,""AA""),1),""AA"",INDEX(SPLIT($D61,""AA""),2)+$E61*(COLUMN()-COLUMN($G61)),"":"",""AA"",INDEX(SPLIT($D61,""AA""),2)+$E61*(COLUMN()-COLUMN($G61))+$F61-1)))"),2265.0)</f>
        <v>2265</v>
      </c>
      <c r="BI61" s="555">
        <f>IFERROR(__xludf.DUMMYFUNCTION("SUM(INDIRECT(CONCATENATE(""'"",INDEX(SPLIT($D61,""AA""),1),""AA"",INDEX(SPLIT($D61,""AA""),2)+$E61*(COLUMN()-COLUMN($G61)),"":"",""AA"",INDEX(SPLIT($D61,""AA""),2)+$E61*(COLUMN()-COLUMN($G61))+$F61-1)))"),2606.0)</f>
        <v>2606</v>
      </c>
      <c r="BJ61" s="555">
        <f>IFERROR(__xludf.DUMMYFUNCTION("SUM(INDIRECT(CONCATENATE(""'"",INDEX(SPLIT($D61,""AA""),1),""AA"",INDEX(SPLIT($D61,""AA""),2)+$E61*(COLUMN()-COLUMN($G61)),"":"",""AA"",INDEX(SPLIT($D61,""AA""),2)+$E61*(COLUMN()-COLUMN($G61))+$F61-1)))"),12962.0)</f>
        <v>12962</v>
      </c>
      <c r="BK61" s="555">
        <f>IFERROR(__xludf.DUMMYFUNCTION("SUM(INDIRECT(CONCATENATE(""'"",INDEX(SPLIT($D61,""AA""),1),""AA"",INDEX(SPLIT($D61,""AA""),2)+$E61*(COLUMN()-COLUMN($G61)),"":"",""AA"",INDEX(SPLIT($D61,""AA""),2)+$E61*(COLUMN()-COLUMN($G61))+$F61-1)))"),2985.0)</f>
        <v>2985</v>
      </c>
      <c r="BL61" s="555">
        <f>IFERROR(__xludf.DUMMYFUNCTION("SUM(INDIRECT(CONCATENATE(""'"",INDEX(SPLIT($D61,""AA""),1),""AA"",INDEX(SPLIT($D61,""AA""),2)+$E61*(COLUMN()-COLUMN($G61)),"":"",""AA"",INDEX(SPLIT($D61,""AA""),2)+$E61*(COLUMN()-COLUMN($G61))+$F61-1)))"),10473.0)</f>
        <v>10473</v>
      </c>
      <c r="BM61" s="555">
        <f>IFERROR(__xludf.DUMMYFUNCTION("SUM(INDIRECT(CONCATENATE(""'"",INDEX(SPLIT($D61,""AA""),1),""AA"",INDEX(SPLIT($D61,""AA""),2)+$E61*(COLUMN()-COLUMN($G61)),"":"",""AA"",INDEX(SPLIT($D61,""AA""),2)+$E61*(COLUMN()-COLUMN($G61))+$F61-1)))"),2987.0)</f>
        <v>2987</v>
      </c>
      <c r="BN61" s="555">
        <f>IFERROR(__xludf.DUMMYFUNCTION("SUM(INDIRECT(CONCATENATE(""'"",INDEX(SPLIT($D61,""AA""),1),""AA"",INDEX(SPLIT($D61,""AA""),2)+$E61*(COLUMN()-COLUMN($G61)),"":"",""AA"",INDEX(SPLIT($D61,""AA""),2)+$E61*(COLUMN()-COLUMN($G61))+$F61-1)))"),2997.0)</f>
        <v>2997</v>
      </c>
      <c r="BO61" s="555">
        <f>IFERROR(__xludf.DUMMYFUNCTION("SUM(INDIRECT(CONCATENATE(""'"",INDEX(SPLIT($D61,""AA""),1),""AA"",INDEX(SPLIT($D61,""AA""),2)+$E61*(COLUMN()-COLUMN($G61)),"":"",""AA"",INDEX(SPLIT($D61,""AA""),2)+$E61*(COLUMN()-COLUMN($G61))+$F61-1)))"),4192.0)</f>
        <v>4192</v>
      </c>
      <c r="BP61" s="555">
        <f>IFERROR(__xludf.DUMMYFUNCTION("SUM(INDIRECT(CONCATENATE(""'"",INDEX(SPLIT($D61,""AA""),1),""AA"",INDEX(SPLIT($D61,""AA""),2)+$E61*(COLUMN()-COLUMN($G61)),"":"",""AA"",INDEX(SPLIT($D61,""AA""),2)+$E61*(COLUMN()-COLUMN($G61))+$F61-1)))"),3789.0)</f>
        <v>3789</v>
      </c>
      <c r="BQ61" s="555">
        <f>IFERROR(__xludf.DUMMYFUNCTION("SUM(INDIRECT(CONCATENATE(""'"",INDEX(SPLIT($D61,""AA""),1),""AA"",INDEX(SPLIT($D61,""AA""),2)+$E61*(COLUMN()-COLUMN($G61)),"":"",""AA"",INDEX(SPLIT($D61,""AA""),2)+$E61*(COLUMN()-COLUMN($G61))+$F61-1)))"),2987.0)</f>
        <v>2987</v>
      </c>
      <c r="BR61" s="555">
        <f>IFERROR(__xludf.DUMMYFUNCTION("SUM(INDIRECT(CONCATENATE(""'"",INDEX(SPLIT($D61,""AA""),1),""AA"",INDEX(SPLIT($D61,""AA""),2)+$E61*(COLUMN()-COLUMN($G61)),"":"",""AA"",INDEX(SPLIT($D61,""AA""),2)+$E61*(COLUMN()-COLUMN($G61))+$F61-1)))"),34205.0)</f>
        <v>34205</v>
      </c>
      <c r="BS61" s="555">
        <f>IFERROR(__xludf.DUMMYFUNCTION("SUM(INDIRECT(CONCATENATE(""'"",INDEX(SPLIT($D61,""AA""),1),""AA"",INDEX(SPLIT($D61,""AA""),2)+$E61*(COLUMN()-COLUMN($G61)),"":"",""AA"",INDEX(SPLIT($D61,""AA""),2)+$E61*(COLUMN()-COLUMN($G61))+$F61-1)))"),2453.0)</f>
        <v>2453</v>
      </c>
      <c r="BT61" s="555">
        <f>IFERROR(__xludf.DUMMYFUNCTION("SUM(INDIRECT(CONCATENATE(""'"",INDEX(SPLIT($D61,""AA""),1),""AA"",INDEX(SPLIT($D61,""AA""),2)+$E61*(COLUMN()-COLUMN($G61)),"":"",""AA"",INDEX(SPLIT($D61,""AA""),2)+$E61*(COLUMN()-COLUMN($G61))+$F61-1)))"),2461.0)</f>
        <v>2461</v>
      </c>
      <c r="BU61" s="555">
        <f>IFERROR(__xludf.DUMMYFUNCTION("SUM(INDIRECT(CONCATENATE(""'"",INDEX(SPLIT($D61,""AA""),1),""AA"",INDEX(SPLIT($D61,""AA""),2)+$E61*(COLUMN()-COLUMN($G61)),"":"",""AA"",INDEX(SPLIT($D61,""AA""),2)+$E61*(COLUMN()-COLUMN($G61))+$F61-1)))"),4421.0)</f>
        <v>4421</v>
      </c>
      <c r="BV61" s="555">
        <f>IFERROR(__xludf.DUMMYFUNCTION("SUM(INDIRECT(CONCATENATE(""'"",INDEX(SPLIT($D61,""AA""),1),""AA"",INDEX(SPLIT($D61,""AA""),2)+$E61*(COLUMN()-COLUMN($G61)),"":"",""AA"",INDEX(SPLIT($D61,""AA""),2)+$E61*(COLUMN()-COLUMN($G61))+$F61-1)))"),25011.0)</f>
        <v>25011</v>
      </c>
      <c r="BW61" s="555">
        <f>IFERROR(__xludf.DUMMYFUNCTION("SUM(INDIRECT(CONCATENATE(""'"",INDEX(SPLIT($D61,""AA""),1),""AA"",INDEX(SPLIT($D61,""AA""),2)+$E61*(COLUMN()-COLUMN($G61)),"":"",""AA"",INDEX(SPLIT($D61,""AA""),2)+$E61*(COLUMN()-COLUMN($G61))+$F61-1)))"),3322.0)</f>
        <v>3322</v>
      </c>
      <c r="BX61" s="555">
        <f>IFERROR(__xludf.DUMMYFUNCTION("SUM(INDIRECT(CONCATENATE(""'"",INDEX(SPLIT($D61,""AA""),1),""AA"",INDEX(SPLIT($D61,""AA""),2)+$E61*(COLUMN()-COLUMN($G61)),"":"",""AA"",INDEX(SPLIT($D61,""AA""),2)+$E61*(COLUMN()-COLUMN($G61))+$F61-1)))"),7110.0)</f>
        <v>7110</v>
      </c>
      <c r="BY61" s="555">
        <f>IFERROR(__xludf.DUMMYFUNCTION("SUM(INDIRECT(CONCATENATE(""'"",INDEX(SPLIT($D61,""AA""),1),""AA"",INDEX(SPLIT($D61,""AA""),2)+$E61*(COLUMN()-COLUMN($G61)),"":"",""AA"",INDEX(SPLIT($D61,""AA""),2)+$E61*(COLUMN()-COLUMN($G61))+$F61-1)))"),3260.0)</f>
        <v>3260</v>
      </c>
      <c r="BZ61" s="555">
        <f>IFERROR(__xludf.DUMMYFUNCTION("SUM(INDIRECT(CONCATENATE(""'"",INDEX(SPLIT($D61,""AA""),1),""AA"",INDEX(SPLIT($D61,""AA""),2)+$E61*(COLUMN()-COLUMN($G61)),"":"",""AA"",INDEX(SPLIT($D61,""AA""),2)+$E61*(COLUMN()-COLUMN($G61))+$F61-1)))"),3260.0)</f>
        <v>3260</v>
      </c>
      <c r="CA61" s="555">
        <f>IFERROR(__xludf.DUMMYFUNCTION("SUM(INDIRECT(CONCATENATE(""'"",INDEX(SPLIT($D61,""AA""),1),""AA"",INDEX(SPLIT($D61,""AA""),2)+$E61*(COLUMN()-COLUMN($G61)),"":"",""AA"",INDEX(SPLIT($D61,""AA""),2)+$E61*(COLUMN()-COLUMN($G61))+$F61-1)))"),1593.0)</f>
        <v>1593</v>
      </c>
      <c r="CB61" s="555">
        <f>IFERROR(__xludf.DUMMYFUNCTION("SUM(INDIRECT(CONCATENATE(""'"",INDEX(SPLIT($D61,""AA""),1),""AA"",INDEX(SPLIT($D61,""AA""),2)+$E61*(COLUMN()-COLUMN($G61)),"":"",""AA"",INDEX(SPLIT($D61,""AA""),2)+$E61*(COLUMN()-COLUMN($G61))+$F61-1)))"),3260.0)</f>
        <v>3260</v>
      </c>
      <c r="CC61" s="555">
        <f>IFERROR(__xludf.DUMMYFUNCTION("SUM(INDIRECT(CONCATENATE(""'"",INDEX(SPLIT($D61,""AA""),1),""AA"",INDEX(SPLIT($D61,""AA""),2)+$E61*(COLUMN()-COLUMN($G61)),"":"",""AA"",INDEX(SPLIT($D61,""AA""),2)+$E61*(COLUMN()-COLUMN($G61))+$F61-1)))"),3260.0)</f>
        <v>3260</v>
      </c>
      <c r="CD61" s="555">
        <f>IFERROR(__xludf.DUMMYFUNCTION("SUM(INDIRECT(CONCATENATE(""'"",INDEX(SPLIT($D61,""AA""),1),""AA"",INDEX(SPLIT($D61,""AA""),2)+$E61*(COLUMN()-COLUMN($G61)),"":"",""AA"",INDEX(SPLIT($D61,""AA""),2)+$E61*(COLUMN()-COLUMN($G61))+$F61-1)))"),34163.0)</f>
        <v>34163</v>
      </c>
      <c r="CE61" s="555">
        <f>IFERROR(__xludf.DUMMYFUNCTION("SUM(INDIRECT(CONCATENATE(""'"",INDEX(SPLIT($D61,""AA""),1),""AA"",INDEX(SPLIT($D61,""AA""),2)+$E61*(COLUMN()-COLUMN($G61)),"":"",""AA"",INDEX(SPLIT($D61,""AA""),2)+$E61*(COLUMN()-COLUMN($G61))+$F61-1)))"),3080.0)</f>
        <v>3080</v>
      </c>
      <c r="CF61" s="555">
        <f>IFERROR(__xludf.DUMMYFUNCTION("SUM(INDIRECT(CONCATENATE(""'"",INDEX(SPLIT($D61,""AA""),1),""AA"",INDEX(SPLIT($D61,""AA""),2)+$E61*(COLUMN()-COLUMN($G61)),"":"",""AA"",INDEX(SPLIT($D61,""AA""),2)+$E61*(COLUMN()-COLUMN($G61))+$F61-1)))"),3080.0)</f>
        <v>3080</v>
      </c>
      <c r="CG61" s="555">
        <f>IFERROR(__xludf.DUMMYFUNCTION("SUM(INDIRECT(CONCATENATE(""'"",INDEX(SPLIT($D61,""AA""),1),""AA"",INDEX(SPLIT($D61,""AA""),2)+$E61*(COLUMN()-COLUMN($G61)),"":"",""AA"",INDEX(SPLIT($D61,""AA""),2)+$E61*(COLUMN()-COLUMN($G61))+$F61-1)))"),4793.0)</f>
        <v>4793</v>
      </c>
      <c r="CH61" s="555">
        <f>IFERROR(__xludf.DUMMYFUNCTION("SUM(INDIRECT(CONCATENATE(""'"",INDEX(SPLIT($D61,""AA""),1),""AA"",INDEX(SPLIT($D61,""AA""),2)+$E61*(COLUMN()-COLUMN($G61)),"":"",""AA"",INDEX(SPLIT($D61,""AA""),2)+$E61*(COLUMN()-COLUMN($G61))+$F61-1)))"),3080.0)</f>
        <v>3080</v>
      </c>
      <c r="CI61" s="555">
        <f>IFERROR(__xludf.DUMMYFUNCTION("SUM(INDIRECT(CONCATENATE(""'"",INDEX(SPLIT($D61,""AA""),1),""AA"",INDEX(SPLIT($D61,""AA""),2)+$E61*(COLUMN()-COLUMN($G61)),"":"",""AA"",INDEX(SPLIT($D61,""AA""),2)+$E61*(COLUMN()-COLUMN($G61))+$F61-1)))"),3860.0)</f>
        <v>3860</v>
      </c>
      <c r="CJ61" s="555">
        <f>IFERROR(__xludf.DUMMYFUNCTION("SUM(INDIRECT(CONCATENATE(""'"",INDEX(SPLIT($D61,""AA""),1),""AA"",INDEX(SPLIT($D61,""AA""),2)+$E61*(COLUMN()-COLUMN($G61)),"":"",""AA"",INDEX(SPLIT($D61,""AA""),2)+$E61*(COLUMN()-COLUMN($G61))+$F61-1)))"),11041.0)</f>
        <v>11041</v>
      </c>
      <c r="CK61" s="555">
        <f>IFERROR(__xludf.DUMMYFUNCTION("SUM(INDIRECT(CONCATENATE(""'"",INDEX(SPLIT($D61,""AA""),1),""AA"",INDEX(SPLIT($D61,""AA""),2)+$E61*(COLUMN()-COLUMN($G61)),"":"",""AA"",INDEX(SPLIT($D61,""AA""),2)+$E61*(COLUMN()-COLUMN($G61))+$F61-1)))"),4400.0)</f>
        <v>4400</v>
      </c>
      <c r="CL61" s="555">
        <f>IFERROR(__xludf.DUMMYFUNCTION("SUM(INDIRECT(CONCATENATE(""'"",INDEX(SPLIT($D61,""AA""),1),""AA"",INDEX(SPLIT($D61,""AA""),2)+$E61*(COLUMN()-COLUMN($G61)),"":"",""AA"",INDEX(SPLIT($D61,""AA""),2)+$E61*(COLUMN()-COLUMN($G61))+$F61-1)))"),3860.0)</f>
        <v>3860</v>
      </c>
      <c r="CM61" s="555">
        <f>IFERROR(__xludf.DUMMYFUNCTION("SUM(INDIRECT(CONCATENATE(""'"",INDEX(SPLIT($D61,""AA""),1),""AA"",INDEX(SPLIT($D61,""AA""),2)+$E61*(COLUMN()-COLUMN($G61)),"":"",""AA"",INDEX(SPLIT($D61,""AA""),2)+$E61*(COLUMN()-COLUMN($G61))+$F61-1)))"),3620.0)</f>
        <v>3620</v>
      </c>
      <c r="CN61" s="555">
        <f>IFERROR(__xludf.DUMMYFUNCTION("SUM(INDIRECT(CONCATENATE(""'"",INDEX(SPLIT($D61,""AA""),1),""AA"",INDEX(SPLIT($D61,""AA""),2)+$E61*(COLUMN()-COLUMN($G61)),"":"",""AA"",INDEX(SPLIT($D61,""AA""),2)+$E61*(COLUMN()-COLUMN($G61))+$F61-1)))"),3500.0)</f>
        <v>3500</v>
      </c>
      <c r="CO61" s="556">
        <f>IFERROR(__xludf.DUMMYFUNCTION("SUM(INDIRECT(CONCATENATE(""'"",INDEX(SPLIT($D61,""AA""),1),""AA"",INDEX(SPLIT($D61,""AA""),2)+$E61*(COLUMN()-COLUMN($G61)),"":"",""AA"",INDEX(SPLIT($D61,""AA""),2)+$E61*(COLUMN()-COLUMN($G61))+$F61-1)))"),3500.0)</f>
        <v>3500</v>
      </c>
      <c r="CP61" s="555">
        <f>IFERROR(__xludf.DUMMYFUNCTION("SUM(INDIRECT(CONCATENATE(""'"",INDEX(SPLIT($D61,""AA""),1),""AA"",INDEX(SPLIT($D61,""AA""),2)+$E61*(COLUMN()-COLUMN($G61)),"":"",""AA"",INDEX(SPLIT($D61,""AA""),2)+$E61*(COLUMN()-COLUMN($G61))+$F61-1)))"),3450.0)</f>
        <v>3450</v>
      </c>
      <c r="CQ61" s="555">
        <f>IFERROR(__xludf.DUMMYFUNCTION("SUM(INDIRECT(CONCATENATE(""'"",INDEX(SPLIT($D61,""AA""),1),""AA"",INDEX(SPLIT($D61,""AA""),2)+$E61*(COLUMN()-COLUMN($G61)),"":"",""AA"",INDEX(SPLIT($D61,""AA""),2)+$E61*(COLUMN()-COLUMN($G61))+$F61-1)))"),3390.0)</f>
        <v>3390</v>
      </c>
      <c r="CR61" s="555">
        <f>IFERROR(__xludf.DUMMYFUNCTION("SUM(INDIRECT(CONCATENATE(""'"",INDEX(SPLIT($D61,""AA""),1),""AA"",INDEX(SPLIT($D61,""AA""),2)+$E61*(COLUMN()-COLUMN($G61)),"":"",""AA"",INDEX(SPLIT($D61,""AA""),2)+$E61*(COLUMN()-COLUMN($G61))+$F61-1)))"),3450.0)</f>
        <v>3450</v>
      </c>
      <c r="CS61" s="555">
        <f>IFERROR(__xludf.DUMMYFUNCTION("SUM(INDIRECT(CONCATENATE(""'"",INDEX(SPLIT($D61,""AA""),1),""AA"",INDEX(SPLIT($D61,""AA""),2)+$E61*(COLUMN()-COLUMN($G61)),"":"",""AA"",INDEX(SPLIT($D61,""AA""),2)+$E61*(COLUMN()-COLUMN($G61))+$F61-1)))"),4050.0)</f>
        <v>4050</v>
      </c>
      <c r="CT61" s="555">
        <f>IFERROR(__xludf.DUMMYFUNCTION("SUM(INDIRECT(CONCATENATE(""'"",INDEX(SPLIT($D61,""AA""),1),""AA"",INDEX(SPLIT($D61,""AA""),2)+$E61*(COLUMN()-COLUMN($G61)),"":"",""AA"",INDEX(SPLIT($D61,""AA""),2)+$E61*(COLUMN()-COLUMN($G61))+$F61-1)))"),104379.0)</f>
        <v>104379</v>
      </c>
      <c r="CU61" s="555">
        <f>IFERROR(__xludf.DUMMYFUNCTION("SUM(INDIRECT(CONCATENATE(""'"",INDEX(SPLIT($D61,""AA""),1),""AA"",INDEX(SPLIT($D61,""AA""),2)+$E61*(COLUMN()-COLUMN($G61)),"":"",""AA"",INDEX(SPLIT($D61,""AA""),2)+$E61*(COLUMN()-COLUMN($G61))+$F61-1)))"),3810.0)</f>
        <v>3810</v>
      </c>
      <c r="CV61" s="555">
        <f>IFERROR(__xludf.DUMMYFUNCTION("SUM(INDIRECT(CONCATENATE(""'"",INDEX(SPLIT($D61,""AA""),1),""AA"",INDEX(SPLIT($D61,""AA""),2)+$E61*(COLUMN()-COLUMN($G61)),"":"",""AA"",INDEX(SPLIT($D61,""AA""),2)+$E61*(COLUMN()-COLUMN($G61))+$F61-1)))"),3810.0)</f>
        <v>3810</v>
      </c>
      <c r="CW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CX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CY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CZ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A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B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C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D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E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F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G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H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I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J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K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L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M61" s="555" t="str">
        <f>IFERROR(__xludf.DUMMYFUNCTION("SUM(INDIRECT(CONCATENATE(""'"",INDEX(SPLIT($D61,""AA""),1),""AA"",INDEX(SPLIT($D61,""AA""),2)+$E61*(COLUMN()-COLUMN($G61)),"":"",""AA"",INDEX(SPLIT($D61,""AA""),2)+$E61*(COLUMN()-COLUMN($G61))+$F61-1)))"),"#REF!")</f>
        <v>#REF!</v>
      </c>
      <c r="DN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O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P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Q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R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S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T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U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V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W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X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Y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DZ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A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B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C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D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E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F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G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H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I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J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K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L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M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N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O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P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Q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R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S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T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U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V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W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X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Y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EZ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A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B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C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D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E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F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G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H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I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J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K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L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M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N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O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P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Q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R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S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T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U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V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W61" s="555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  <c r="FX61" s="556">
        <f>IFERROR(__xludf.DUMMYFUNCTION("SUM(INDIRECT(CONCATENATE(""'"",INDEX(SPLIT($D61,""AA""),1),""AA"",INDEX(SPLIT($D61,""AA""),2)+$E61*(COLUMN()-COLUMN($G61)),"":"",""AA"",INDEX(SPLIT($D61,""AA""),2)+$E61*(COLUMN()-COLUMN($G61))+$F61-1)))"),0.0)</f>
        <v>0</v>
      </c>
    </row>
    <row r="62">
      <c r="A62" s="544"/>
      <c r="B62" s="462"/>
      <c r="C62" s="551"/>
      <c r="D62" s="557" t="s">
        <v>652</v>
      </c>
      <c r="E62" s="558" t="s">
        <v>652</v>
      </c>
      <c r="F62" s="558" t="s">
        <v>652</v>
      </c>
      <c r="G62" s="552"/>
      <c r="H62" s="552"/>
      <c r="I62" s="552"/>
      <c r="J62" s="552"/>
      <c r="K62" s="552"/>
      <c r="L62" s="552"/>
      <c r="M62" s="552"/>
      <c r="N62" s="552"/>
      <c r="O62" s="552"/>
      <c r="P62" s="552"/>
      <c r="Q62" s="552"/>
      <c r="R62" s="552"/>
      <c r="S62" s="552"/>
      <c r="T62" s="552"/>
      <c r="U62" s="552"/>
      <c r="V62" s="552"/>
      <c r="W62" s="552"/>
      <c r="X62" s="552"/>
      <c r="Y62" s="552"/>
      <c r="Z62" s="552"/>
      <c r="AA62" s="552"/>
      <c r="AB62" s="552"/>
      <c r="AC62" s="552"/>
      <c r="AD62" s="552"/>
      <c r="AE62" s="552"/>
      <c r="AF62" s="552"/>
      <c r="AG62" s="552"/>
      <c r="AH62" s="552"/>
      <c r="AI62" s="552"/>
      <c r="AJ62" s="552"/>
      <c r="AK62" s="552"/>
      <c r="AL62" s="552"/>
      <c r="AM62" s="552"/>
      <c r="AN62" s="552"/>
      <c r="AO62" s="552"/>
      <c r="AP62" s="552"/>
      <c r="AQ62" s="552"/>
      <c r="AR62" s="552"/>
      <c r="AS62" s="552"/>
      <c r="AT62" s="552"/>
      <c r="AU62" s="552"/>
      <c r="AV62" s="552"/>
      <c r="AW62" s="552"/>
      <c r="AX62" s="552"/>
      <c r="AY62" s="552"/>
      <c r="AZ62" s="552"/>
      <c r="BA62" s="552"/>
      <c r="BB62" s="552"/>
      <c r="BC62" s="552"/>
      <c r="BD62" s="552"/>
      <c r="BE62" s="552"/>
      <c r="BF62" s="552"/>
      <c r="BG62" s="552"/>
      <c r="BH62" s="552"/>
      <c r="BI62" s="552"/>
      <c r="BJ62" s="552"/>
      <c r="BK62" s="552"/>
      <c r="BL62" s="552"/>
      <c r="BM62" s="552"/>
      <c r="BN62" s="552"/>
      <c r="BO62" s="552"/>
      <c r="BP62" s="552"/>
      <c r="BQ62" s="552"/>
      <c r="BR62" s="552"/>
      <c r="BS62" s="552"/>
      <c r="BT62" s="552"/>
      <c r="BU62" s="552"/>
      <c r="BV62" s="552"/>
      <c r="BW62" s="552"/>
      <c r="BX62" s="552"/>
      <c r="BY62" s="552"/>
      <c r="BZ62" s="552"/>
      <c r="CA62" s="552"/>
      <c r="CB62" s="552"/>
      <c r="CC62" s="552"/>
      <c r="CD62" s="552"/>
      <c r="CE62" s="552"/>
      <c r="CF62" s="552"/>
      <c r="CG62" s="552"/>
      <c r="CH62" s="552"/>
      <c r="CI62" s="552"/>
      <c r="CJ62" s="552"/>
      <c r="CK62" s="552"/>
      <c r="CL62" s="552"/>
      <c r="CM62" s="552"/>
      <c r="CN62" s="552"/>
      <c r="CO62" s="553"/>
      <c r="CP62" s="552"/>
      <c r="CQ62" s="552"/>
      <c r="CR62" s="552"/>
      <c r="CS62" s="552"/>
      <c r="CT62" s="552"/>
      <c r="CU62" s="552"/>
      <c r="CV62" s="552"/>
      <c r="CW62" s="552"/>
      <c r="CX62" s="552"/>
      <c r="CY62" s="552"/>
      <c r="CZ62" s="552"/>
      <c r="DA62" s="552"/>
      <c r="DB62" s="552"/>
      <c r="DC62" s="552"/>
      <c r="DD62" s="552"/>
      <c r="DE62" s="552"/>
      <c r="DF62" s="552"/>
      <c r="DG62" s="552"/>
      <c r="DH62" s="552"/>
      <c r="DI62" s="552"/>
      <c r="DJ62" s="552"/>
      <c r="DK62" s="552"/>
      <c r="DL62" s="552"/>
      <c r="DM62" s="552"/>
      <c r="DN62" s="552"/>
      <c r="DO62" s="552"/>
      <c r="DP62" s="552"/>
      <c r="DQ62" s="552"/>
      <c r="DR62" s="552"/>
      <c r="DS62" s="552"/>
      <c r="DT62" s="552"/>
      <c r="DU62" s="552"/>
      <c r="DV62" s="552"/>
      <c r="DW62" s="552"/>
      <c r="DX62" s="552"/>
      <c r="DY62" s="552"/>
      <c r="DZ62" s="552"/>
      <c r="EA62" s="552"/>
      <c r="EB62" s="552"/>
      <c r="EC62" s="552"/>
      <c r="ED62" s="552"/>
      <c r="EE62" s="552"/>
      <c r="EF62" s="552"/>
      <c r="EG62" s="552"/>
      <c r="EH62" s="552"/>
      <c r="EI62" s="552"/>
      <c r="EJ62" s="552"/>
      <c r="EK62" s="552"/>
      <c r="EL62" s="552"/>
      <c r="EM62" s="552"/>
      <c r="EN62" s="552"/>
      <c r="EO62" s="552"/>
      <c r="EP62" s="552"/>
      <c r="EQ62" s="552"/>
      <c r="ER62" s="552"/>
      <c r="ES62" s="552"/>
      <c r="ET62" s="552"/>
      <c r="EU62" s="552"/>
      <c r="EV62" s="552"/>
      <c r="EW62" s="552"/>
      <c r="EX62" s="552"/>
      <c r="EY62" s="552"/>
      <c r="EZ62" s="552"/>
      <c r="FA62" s="552"/>
      <c r="FB62" s="552"/>
      <c r="FC62" s="552"/>
      <c r="FD62" s="552"/>
      <c r="FE62" s="552"/>
      <c r="FF62" s="552"/>
      <c r="FG62" s="552"/>
      <c r="FH62" s="552"/>
      <c r="FI62" s="552"/>
      <c r="FJ62" s="552"/>
      <c r="FK62" s="552"/>
      <c r="FL62" s="552"/>
      <c r="FM62" s="552"/>
      <c r="FN62" s="552"/>
      <c r="FO62" s="552"/>
      <c r="FP62" s="552"/>
      <c r="FQ62" s="552"/>
      <c r="FR62" s="552"/>
      <c r="FS62" s="552"/>
      <c r="FT62" s="552"/>
      <c r="FU62" s="552"/>
      <c r="FV62" s="552"/>
      <c r="FW62" s="552"/>
      <c r="FX62" s="553"/>
    </row>
    <row r="63">
      <c r="A63" s="544" t="s">
        <v>724</v>
      </c>
      <c r="B63" s="462"/>
      <c r="C63" s="551"/>
      <c r="D63" s="540" t="s">
        <v>652</v>
      </c>
      <c r="E63" s="444" t="s">
        <v>652</v>
      </c>
      <c r="F63" s="444" t="s">
        <v>652</v>
      </c>
      <c r="G63" s="552">
        <f t="shared" ref="G63:FX63" si="11">G60-G61</f>
        <v>55264</v>
      </c>
      <c r="H63" s="552">
        <f t="shared" si="11"/>
        <v>37933</v>
      </c>
      <c r="I63" s="552">
        <f t="shared" si="11"/>
        <v>55580</v>
      </c>
      <c r="J63" s="552">
        <f t="shared" si="11"/>
        <v>54368</v>
      </c>
      <c r="K63" s="552">
        <f t="shared" si="11"/>
        <v>72288</v>
      </c>
      <c r="L63" s="552">
        <f t="shared" si="11"/>
        <v>54217</v>
      </c>
      <c r="M63" s="552">
        <f t="shared" si="11"/>
        <v>55000</v>
      </c>
      <c r="N63" s="552">
        <f t="shared" si="11"/>
        <v>46992</v>
      </c>
      <c r="O63" s="552">
        <f t="shared" si="11"/>
        <v>63362</v>
      </c>
      <c r="P63" s="552">
        <f t="shared" si="11"/>
        <v>54686</v>
      </c>
      <c r="Q63" s="552">
        <f t="shared" si="11"/>
        <v>58782</v>
      </c>
      <c r="R63" s="552">
        <f t="shared" si="11"/>
        <v>59464</v>
      </c>
      <c r="S63" s="552">
        <f t="shared" si="11"/>
        <v>62786</v>
      </c>
      <c r="T63" s="552">
        <f t="shared" si="11"/>
        <v>195657</v>
      </c>
      <c r="U63" s="552">
        <f t="shared" si="11"/>
        <v>193681</v>
      </c>
      <c r="V63" s="552">
        <f t="shared" si="11"/>
        <v>60301</v>
      </c>
      <c r="W63" s="552">
        <f t="shared" si="11"/>
        <v>61207</v>
      </c>
      <c r="X63" s="552">
        <f t="shared" si="11"/>
        <v>73941</v>
      </c>
      <c r="Y63" s="552">
        <f t="shared" si="11"/>
        <v>76895</v>
      </c>
      <c r="Z63" s="552">
        <f t="shared" si="11"/>
        <v>-11184</v>
      </c>
      <c r="AA63" s="552">
        <f t="shared" si="11"/>
        <v>29442</v>
      </c>
      <c r="AB63" s="552">
        <f t="shared" si="11"/>
        <v>31395</v>
      </c>
      <c r="AC63" s="552">
        <f t="shared" si="11"/>
        <v>30462</v>
      </c>
      <c r="AD63" s="552">
        <f t="shared" si="11"/>
        <v>25547</v>
      </c>
      <c r="AE63" s="552">
        <f t="shared" si="11"/>
        <v>29238</v>
      </c>
      <c r="AF63" s="552">
        <f t="shared" si="11"/>
        <v>29575</v>
      </c>
      <c r="AG63" s="552">
        <f t="shared" si="11"/>
        <v>24802</v>
      </c>
      <c r="AH63" s="552">
        <f t="shared" si="11"/>
        <v>29881</v>
      </c>
      <c r="AI63" s="552">
        <f t="shared" si="11"/>
        <v>85908</v>
      </c>
      <c r="AJ63" s="552">
        <f t="shared" si="11"/>
        <v>34673</v>
      </c>
      <c r="AK63" s="552">
        <f t="shared" si="11"/>
        <v>28715</v>
      </c>
      <c r="AL63" s="552">
        <f t="shared" si="11"/>
        <v>21327</v>
      </c>
      <c r="AM63" s="552">
        <f t="shared" si="11"/>
        <v>63300</v>
      </c>
      <c r="AN63" s="552">
        <f t="shared" si="11"/>
        <v>37251</v>
      </c>
      <c r="AO63" s="552">
        <f t="shared" si="11"/>
        <v>17121</v>
      </c>
      <c r="AP63" s="552">
        <f t="shared" si="11"/>
        <v>37231</v>
      </c>
      <c r="AQ63" s="552">
        <f t="shared" si="11"/>
        <v>4278</v>
      </c>
      <c r="AR63" s="552">
        <f t="shared" si="11"/>
        <v>-21683</v>
      </c>
      <c r="AS63" s="552">
        <f t="shared" si="11"/>
        <v>30306</v>
      </c>
      <c r="AT63" s="552">
        <f t="shared" si="11"/>
        <v>112124</v>
      </c>
      <c r="AU63" s="552">
        <f t="shared" si="11"/>
        <v>3311</v>
      </c>
      <c r="AV63" s="552">
        <f t="shared" si="11"/>
        <v>25647</v>
      </c>
      <c r="AW63" s="552">
        <f t="shared" si="11"/>
        <v>27498</v>
      </c>
      <c r="AX63" s="552">
        <f t="shared" si="11"/>
        <v>77466</v>
      </c>
      <c r="AY63" s="552">
        <f t="shared" si="11"/>
        <v>16149</v>
      </c>
      <c r="AZ63" s="552">
        <f t="shared" si="11"/>
        <v>-1602</v>
      </c>
      <c r="BA63" s="552">
        <f t="shared" si="11"/>
        <v>61588</v>
      </c>
      <c r="BB63" s="552">
        <f t="shared" si="11"/>
        <v>49723</v>
      </c>
      <c r="BC63" s="552">
        <f t="shared" si="11"/>
        <v>6535</v>
      </c>
      <c r="BD63" s="552">
        <f t="shared" si="11"/>
        <v>98019</v>
      </c>
      <c r="BE63" s="552">
        <f t="shared" si="11"/>
        <v>40046</v>
      </c>
      <c r="BF63" s="552">
        <f t="shared" si="11"/>
        <v>214862</v>
      </c>
      <c r="BG63" s="552">
        <f t="shared" si="11"/>
        <v>49306</v>
      </c>
      <c r="BH63" s="552">
        <f t="shared" si="11"/>
        <v>40637</v>
      </c>
      <c r="BI63" s="552">
        <f t="shared" si="11"/>
        <v>36633</v>
      </c>
      <c r="BJ63" s="552">
        <f t="shared" si="11"/>
        <v>36217</v>
      </c>
      <c r="BK63" s="552">
        <f t="shared" si="11"/>
        <v>38444</v>
      </c>
      <c r="BL63" s="552">
        <f t="shared" si="11"/>
        <v>188905</v>
      </c>
      <c r="BM63" s="552">
        <f t="shared" si="11"/>
        <v>37442</v>
      </c>
      <c r="BN63" s="552">
        <f t="shared" si="11"/>
        <v>8823</v>
      </c>
      <c r="BO63" s="552">
        <f t="shared" si="11"/>
        <v>105842</v>
      </c>
      <c r="BP63" s="552">
        <f t="shared" si="11"/>
        <v>14384</v>
      </c>
      <c r="BQ63" s="552">
        <f t="shared" si="11"/>
        <v>21567</v>
      </c>
      <c r="BR63" s="552">
        <f t="shared" si="11"/>
        <v>539879</v>
      </c>
      <c r="BS63" s="552">
        <f t="shared" si="11"/>
        <v>8755</v>
      </c>
      <c r="BT63" s="552">
        <f t="shared" si="11"/>
        <v>10493</v>
      </c>
      <c r="BU63" s="552">
        <f t="shared" si="11"/>
        <v>98135</v>
      </c>
      <c r="BV63" s="552">
        <f t="shared" si="11"/>
        <v>318284</v>
      </c>
      <c r="BW63" s="552">
        <f t="shared" si="11"/>
        <v>1015868.045</v>
      </c>
      <c r="BX63" s="552">
        <f t="shared" si="11"/>
        <v>156661.1702</v>
      </c>
      <c r="BY63" s="552">
        <f t="shared" si="11"/>
        <v>19690.2775</v>
      </c>
      <c r="BZ63" s="552">
        <f t="shared" si="11"/>
        <v>38790.3673</v>
      </c>
      <c r="CA63" s="552">
        <f t="shared" si="11"/>
        <v>-60000.5605</v>
      </c>
      <c r="CB63" s="552">
        <f t="shared" si="11"/>
        <v>61635.4941</v>
      </c>
      <c r="CC63" s="552">
        <f t="shared" si="11"/>
        <v>46064.531</v>
      </c>
      <c r="CD63" s="552">
        <f t="shared" si="11"/>
        <v>472542.5503</v>
      </c>
      <c r="CE63" s="552">
        <f t="shared" si="11"/>
        <v>40204.5518</v>
      </c>
      <c r="CF63" s="552">
        <f t="shared" si="11"/>
        <v>-2190.4644</v>
      </c>
      <c r="CG63" s="552">
        <f t="shared" si="11"/>
        <v>108860.5016</v>
      </c>
      <c r="CH63" s="552">
        <f t="shared" si="11"/>
        <v>21498.4497</v>
      </c>
      <c r="CI63" s="552">
        <f t="shared" si="11"/>
        <v>-1164.6199</v>
      </c>
      <c r="CJ63" s="552">
        <f t="shared" si="11"/>
        <v>33566.2926</v>
      </c>
      <c r="CK63" s="552">
        <f t="shared" si="11"/>
        <v>89524.1871</v>
      </c>
      <c r="CL63" s="552">
        <f t="shared" si="11"/>
        <v>53061.0638</v>
      </c>
      <c r="CM63" s="552">
        <f t="shared" si="11"/>
        <v>77870.935</v>
      </c>
      <c r="CN63" s="552">
        <f t="shared" si="11"/>
        <v>-41193.9819</v>
      </c>
      <c r="CO63" s="552">
        <f t="shared" si="11"/>
        <v>59174.0926</v>
      </c>
      <c r="CP63" s="552">
        <f t="shared" si="11"/>
        <v>893332.1583</v>
      </c>
      <c r="CQ63" s="552">
        <f t="shared" si="11"/>
        <v>520221.2152</v>
      </c>
      <c r="CR63" s="552">
        <f t="shared" si="11"/>
        <v>15292.2634</v>
      </c>
      <c r="CS63" s="552">
        <f t="shared" si="11"/>
        <v>44001</v>
      </c>
      <c r="CT63" s="552">
        <f t="shared" si="11"/>
        <v>28950</v>
      </c>
      <c r="CU63" s="552">
        <f t="shared" si="11"/>
        <v>-13947</v>
      </c>
      <c r="CV63" s="552">
        <f t="shared" si="11"/>
        <v>82896</v>
      </c>
      <c r="CW63" s="552">
        <f t="shared" si="11"/>
        <v>0</v>
      </c>
      <c r="CX63" s="552">
        <f t="shared" si="11"/>
        <v>0</v>
      </c>
      <c r="CY63" s="552">
        <f t="shared" si="11"/>
        <v>-2030</v>
      </c>
      <c r="CZ63" s="552">
        <f t="shared" si="11"/>
        <v>0</v>
      </c>
      <c r="DA63" s="552">
        <f t="shared" si="11"/>
        <v>0</v>
      </c>
      <c r="DB63" s="552">
        <f t="shared" si="11"/>
        <v>5995139</v>
      </c>
      <c r="DC63" s="552">
        <f t="shared" si="11"/>
        <v>85146.90663</v>
      </c>
      <c r="DD63" s="552">
        <f t="shared" si="11"/>
        <v>0</v>
      </c>
      <c r="DE63" s="552">
        <f t="shared" si="11"/>
        <v>0</v>
      </c>
      <c r="DF63" s="552">
        <f t="shared" si="11"/>
        <v>0</v>
      </c>
      <c r="DG63" s="552">
        <f t="shared" si="11"/>
        <v>0</v>
      </c>
      <c r="DH63" s="552">
        <f t="shared" si="11"/>
        <v>0</v>
      </c>
      <c r="DI63" s="552">
        <f t="shared" si="11"/>
        <v>0</v>
      </c>
      <c r="DJ63" s="552">
        <f t="shared" si="11"/>
        <v>0</v>
      </c>
      <c r="DK63" s="552">
        <f t="shared" si="11"/>
        <v>0</v>
      </c>
      <c r="DL63" s="552">
        <f t="shared" si="11"/>
        <v>0</v>
      </c>
      <c r="DM63" s="552" t="str">
        <f t="shared" si="11"/>
        <v>#REF!</v>
      </c>
      <c r="DN63" s="552">
        <f t="shared" si="11"/>
        <v>0</v>
      </c>
      <c r="DO63" s="552">
        <f t="shared" si="11"/>
        <v>0</v>
      </c>
      <c r="DP63" s="552">
        <f t="shared" si="11"/>
        <v>0</v>
      </c>
      <c r="DQ63" s="552">
        <f t="shared" si="11"/>
        <v>0</v>
      </c>
      <c r="DR63" s="552">
        <f t="shared" si="11"/>
        <v>0</v>
      </c>
      <c r="DS63" s="552">
        <f t="shared" si="11"/>
        <v>0</v>
      </c>
      <c r="DT63" s="552">
        <f t="shared" si="11"/>
        <v>0</v>
      </c>
      <c r="DU63" s="552">
        <f t="shared" si="11"/>
        <v>0</v>
      </c>
      <c r="DV63" s="552">
        <f t="shared" si="11"/>
        <v>0</v>
      </c>
      <c r="DW63" s="552">
        <f t="shared" si="11"/>
        <v>0</v>
      </c>
      <c r="DX63" s="552">
        <f t="shared" si="11"/>
        <v>0</v>
      </c>
      <c r="DY63" s="552">
        <f t="shared" si="11"/>
        <v>0</v>
      </c>
      <c r="DZ63" s="552">
        <f t="shared" si="11"/>
        <v>0</v>
      </c>
      <c r="EA63" s="552">
        <f t="shared" si="11"/>
        <v>0</v>
      </c>
      <c r="EB63" s="552">
        <f t="shared" si="11"/>
        <v>0</v>
      </c>
      <c r="EC63" s="552">
        <f t="shared" si="11"/>
        <v>0</v>
      </c>
      <c r="ED63" s="552">
        <f t="shared" si="11"/>
        <v>0</v>
      </c>
      <c r="EE63" s="552">
        <f t="shared" si="11"/>
        <v>0</v>
      </c>
      <c r="EF63" s="552">
        <f t="shared" si="11"/>
        <v>0</v>
      </c>
      <c r="EG63" s="552">
        <f t="shared" si="11"/>
        <v>0</v>
      </c>
      <c r="EH63" s="552">
        <f t="shared" si="11"/>
        <v>0</v>
      </c>
      <c r="EI63" s="552">
        <f t="shared" si="11"/>
        <v>0</v>
      </c>
      <c r="EJ63" s="552">
        <f t="shared" si="11"/>
        <v>0</v>
      </c>
      <c r="EK63" s="552">
        <f t="shared" si="11"/>
        <v>0</v>
      </c>
      <c r="EL63" s="552">
        <f t="shared" si="11"/>
        <v>0</v>
      </c>
      <c r="EM63" s="552">
        <f t="shared" si="11"/>
        <v>0</v>
      </c>
      <c r="EN63" s="552">
        <f t="shared" si="11"/>
        <v>0</v>
      </c>
      <c r="EO63" s="552">
        <f t="shared" si="11"/>
        <v>0</v>
      </c>
      <c r="EP63" s="552">
        <f t="shared" si="11"/>
        <v>0</v>
      </c>
      <c r="EQ63" s="552">
        <f t="shared" si="11"/>
        <v>0</v>
      </c>
      <c r="ER63" s="552">
        <f t="shared" si="11"/>
        <v>0</v>
      </c>
      <c r="ES63" s="552">
        <f t="shared" si="11"/>
        <v>0</v>
      </c>
      <c r="ET63" s="552">
        <f t="shared" si="11"/>
        <v>0</v>
      </c>
      <c r="EU63" s="552">
        <f t="shared" si="11"/>
        <v>0</v>
      </c>
      <c r="EV63" s="552">
        <f t="shared" si="11"/>
        <v>0</v>
      </c>
      <c r="EW63" s="552">
        <f t="shared" si="11"/>
        <v>0</v>
      </c>
      <c r="EX63" s="552">
        <f t="shared" si="11"/>
        <v>0</v>
      </c>
      <c r="EY63" s="552">
        <f t="shared" si="11"/>
        <v>0</v>
      </c>
      <c r="EZ63" s="552">
        <f t="shared" si="11"/>
        <v>0</v>
      </c>
      <c r="FA63" s="552">
        <f t="shared" si="11"/>
        <v>0</v>
      </c>
      <c r="FB63" s="552">
        <f t="shared" si="11"/>
        <v>0</v>
      </c>
      <c r="FC63" s="552">
        <f t="shared" si="11"/>
        <v>0</v>
      </c>
      <c r="FD63" s="552">
        <f t="shared" si="11"/>
        <v>0</v>
      </c>
      <c r="FE63" s="552">
        <f t="shared" si="11"/>
        <v>0</v>
      </c>
      <c r="FF63" s="552">
        <f t="shared" si="11"/>
        <v>0</v>
      </c>
      <c r="FG63" s="552">
        <f t="shared" si="11"/>
        <v>0</v>
      </c>
      <c r="FH63" s="552">
        <f t="shared" si="11"/>
        <v>0</v>
      </c>
      <c r="FI63" s="552">
        <f t="shared" si="11"/>
        <v>0</v>
      </c>
      <c r="FJ63" s="552">
        <f t="shared" si="11"/>
        <v>0</v>
      </c>
      <c r="FK63" s="552">
        <f t="shared" si="11"/>
        <v>0</v>
      </c>
      <c r="FL63" s="552">
        <f t="shared" si="11"/>
        <v>0</v>
      </c>
      <c r="FM63" s="552">
        <f t="shared" si="11"/>
        <v>0</v>
      </c>
      <c r="FN63" s="552">
        <f t="shared" si="11"/>
        <v>0</v>
      </c>
      <c r="FO63" s="552">
        <f t="shared" si="11"/>
        <v>0</v>
      </c>
      <c r="FP63" s="552">
        <f t="shared" si="11"/>
        <v>0</v>
      </c>
      <c r="FQ63" s="552">
        <f t="shared" si="11"/>
        <v>0</v>
      </c>
      <c r="FR63" s="552">
        <f t="shared" si="11"/>
        <v>0</v>
      </c>
      <c r="FS63" s="552">
        <f t="shared" si="11"/>
        <v>0</v>
      </c>
      <c r="FT63" s="552">
        <f t="shared" si="11"/>
        <v>0</v>
      </c>
      <c r="FU63" s="552">
        <f t="shared" si="11"/>
        <v>0</v>
      </c>
      <c r="FV63" s="552">
        <f t="shared" si="11"/>
        <v>0</v>
      </c>
      <c r="FW63" s="552">
        <f t="shared" si="11"/>
        <v>0</v>
      </c>
      <c r="FX63" s="552">
        <f t="shared" si="11"/>
        <v>0</v>
      </c>
    </row>
    <row r="64">
      <c r="A64" s="453" t="s">
        <v>725</v>
      </c>
      <c r="B64" s="559" t="s">
        <v>726</v>
      </c>
      <c r="C64" s="560"/>
      <c r="D64" s="540" t="s">
        <v>652</v>
      </c>
      <c r="E64" s="444" t="s">
        <v>652</v>
      </c>
      <c r="F64" s="444" t="s">
        <v>652</v>
      </c>
      <c r="G64" s="541">
        <v>0.0</v>
      </c>
      <c r="H64" s="541">
        <v>0.0</v>
      </c>
      <c r="I64" s="541">
        <v>0.0</v>
      </c>
      <c r="J64" s="541">
        <v>0.0</v>
      </c>
      <c r="K64" s="541">
        <v>0.0</v>
      </c>
      <c r="L64" s="541">
        <v>0.0</v>
      </c>
      <c r="M64" s="541">
        <v>0.0</v>
      </c>
      <c r="N64" s="541">
        <v>0.0</v>
      </c>
      <c r="O64" s="541">
        <v>0.0</v>
      </c>
      <c r="P64" s="541">
        <v>0.0</v>
      </c>
      <c r="Q64" s="541">
        <v>0.0</v>
      </c>
      <c r="R64" s="541">
        <v>0.0</v>
      </c>
      <c r="S64" s="541">
        <v>0.0</v>
      </c>
      <c r="T64" s="541">
        <v>0.0</v>
      </c>
      <c r="U64" s="541">
        <v>0.0</v>
      </c>
      <c r="V64" s="541">
        <v>0.0</v>
      </c>
      <c r="W64" s="541">
        <v>0.0</v>
      </c>
      <c r="X64" s="541">
        <v>0.0</v>
      </c>
      <c r="Y64" s="541">
        <v>0.0</v>
      </c>
      <c r="Z64" s="541">
        <v>0.0</v>
      </c>
      <c r="AA64" s="541">
        <v>0.0</v>
      </c>
      <c r="AB64" s="541">
        <v>0.0</v>
      </c>
      <c r="AC64" s="541">
        <v>0.0</v>
      </c>
      <c r="AD64" s="541">
        <v>0.0</v>
      </c>
      <c r="AE64" s="541">
        <v>0.0</v>
      </c>
      <c r="AF64" s="541">
        <v>0.0</v>
      </c>
      <c r="AG64" s="541">
        <v>0.0</v>
      </c>
      <c r="AH64" s="541">
        <v>0.0</v>
      </c>
      <c r="AI64" s="541">
        <v>0.0</v>
      </c>
      <c r="AJ64" s="541">
        <v>0.0</v>
      </c>
      <c r="AK64" s="541">
        <v>0.0</v>
      </c>
      <c r="AL64" s="541">
        <v>0.0</v>
      </c>
      <c r="AM64" s="541">
        <v>0.0</v>
      </c>
      <c r="AN64" s="541">
        <v>0.0</v>
      </c>
      <c r="AO64" s="541">
        <v>0.0</v>
      </c>
      <c r="AP64" s="541">
        <v>0.0</v>
      </c>
      <c r="AQ64" s="541">
        <v>0.0</v>
      </c>
      <c r="AR64" s="541">
        <v>0.0</v>
      </c>
      <c r="AS64" s="541">
        <v>0.0</v>
      </c>
      <c r="AT64" s="541">
        <v>0.0</v>
      </c>
      <c r="AU64" s="541">
        <v>0.0</v>
      </c>
      <c r="AV64" s="541">
        <v>0.0</v>
      </c>
      <c r="AW64" s="541">
        <v>0.0</v>
      </c>
      <c r="AX64" s="541">
        <v>0.0</v>
      </c>
      <c r="AY64" s="541">
        <v>0.0</v>
      </c>
      <c r="AZ64" s="541">
        <v>0.0</v>
      </c>
      <c r="BA64" s="541">
        <v>0.0</v>
      </c>
      <c r="BB64" s="541">
        <v>0.0</v>
      </c>
      <c r="BC64" s="541">
        <v>0.0</v>
      </c>
      <c r="BD64" s="541">
        <v>0.0</v>
      </c>
      <c r="BE64" s="541">
        <v>0.0</v>
      </c>
      <c r="BF64" s="541">
        <v>0.0</v>
      </c>
      <c r="BG64" s="541">
        <v>0.0</v>
      </c>
      <c r="BH64" s="541">
        <v>0.0</v>
      </c>
      <c r="BI64" s="541">
        <v>0.0</v>
      </c>
      <c r="BJ64" s="541">
        <v>0.0</v>
      </c>
      <c r="BK64" s="541">
        <v>0.0</v>
      </c>
      <c r="BL64" s="541">
        <v>0.0</v>
      </c>
      <c r="BM64" s="541">
        <v>0.0</v>
      </c>
      <c r="BN64" s="541">
        <v>0.0</v>
      </c>
      <c r="BO64" s="541">
        <v>0.0</v>
      </c>
      <c r="BP64" s="541">
        <v>0.0</v>
      </c>
      <c r="BQ64" s="541">
        <v>0.0</v>
      </c>
      <c r="BR64" s="541">
        <v>0.0</v>
      </c>
      <c r="BS64" s="541">
        <v>0.0</v>
      </c>
      <c r="BT64" s="542">
        <v>0.0</v>
      </c>
      <c r="BU64" s="542">
        <v>0.0</v>
      </c>
      <c r="BV64" s="542">
        <v>0.0</v>
      </c>
      <c r="BW64" s="542">
        <v>0.0</v>
      </c>
      <c r="BX64" s="542">
        <v>0.0</v>
      </c>
      <c r="BY64" s="542">
        <v>0.0</v>
      </c>
      <c r="BZ64" s="542">
        <v>0.0</v>
      </c>
      <c r="CA64" s="542">
        <v>0.0</v>
      </c>
      <c r="CB64" s="542">
        <v>0.0</v>
      </c>
      <c r="CC64" s="542">
        <v>0.0</v>
      </c>
      <c r="CD64" s="542">
        <v>0.0</v>
      </c>
      <c r="CE64" s="542">
        <v>0.0</v>
      </c>
      <c r="CF64" s="542">
        <v>0.0</v>
      </c>
      <c r="CG64" s="542">
        <v>0.0</v>
      </c>
      <c r="CH64" s="542">
        <v>0.0</v>
      </c>
      <c r="CI64" s="542">
        <v>0.0</v>
      </c>
      <c r="CJ64" s="542">
        <v>0.0</v>
      </c>
      <c r="CK64" s="542">
        <v>0.0</v>
      </c>
      <c r="CL64" s="542">
        <v>0.0</v>
      </c>
      <c r="CM64" s="542">
        <v>0.0</v>
      </c>
      <c r="CN64" s="542">
        <v>0.0</v>
      </c>
      <c r="CO64" s="543">
        <v>0.0</v>
      </c>
      <c r="CP64" s="541">
        <v>0.0</v>
      </c>
      <c r="CQ64" s="541">
        <v>0.0</v>
      </c>
      <c r="CR64" s="541">
        <v>0.0</v>
      </c>
      <c r="CS64" s="541">
        <v>0.0</v>
      </c>
      <c r="CT64" s="541">
        <v>0.0</v>
      </c>
      <c r="CU64" s="541">
        <v>0.0</v>
      </c>
      <c r="CV64" s="541">
        <v>0.0</v>
      </c>
      <c r="CW64" s="541">
        <v>0.0</v>
      </c>
      <c r="CX64" s="541">
        <v>0.0</v>
      </c>
      <c r="CY64" s="541">
        <v>0.0</v>
      </c>
      <c r="CZ64" s="541">
        <v>0.0</v>
      </c>
      <c r="DA64" s="541">
        <v>0.0</v>
      </c>
      <c r="DB64" s="541">
        <v>0.0</v>
      </c>
      <c r="DC64" s="541">
        <v>0.0</v>
      </c>
      <c r="DD64" s="541">
        <v>0.0</v>
      </c>
      <c r="DE64" s="541">
        <v>0.0</v>
      </c>
      <c r="DF64" s="541">
        <v>0.0</v>
      </c>
      <c r="DG64" s="541">
        <v>0.0</v>
      </c>
      <c r="DH64" s="541">
        <v>0.0</v>
      </c>
      <c r="DI64" s="541">
        <v>0.0</v>
      </c>
      <c r="DJ64" s="541">
        <v>0.0</v>
      </c>
      <c r="DK64" s="541">
        <v>0.0</v>
      </c>
      <c r="DL64" s="541">
        <v>0.0</v>
      </c>
      <c r="DM64" s="541">
        <v>0.0</v>
      </c>
      <c r="DN64" s="541">
        <v>0.0</v>
      </c>
      <c r="DO64" s="541">
        <v>0.0</v>
      </c>
      <c r="DP64" s="541">
        <v>0.0</v>
      </c>
      <c r="DQ64" s="541">
        <v>0.0</v>
      </c>
      <c r="DR64" s="541">
        <v>0.0</v>
      </c>
      <c r="DS64" s="541">
        <v>0.0</v>
      </c>
      <c r="DT64" s="541">
        <v>0.0</v>
      </c>
      <c r="DU64" s="541">
        <v>0.0</v>
      </c>
      <c r="DV64" s="541">
        <v>0.0</v>
      </c>
      <c r="DW64" s="541">
        <v>0.0</v>
      </c>
      <c r="DX64" s="541">
        <v>0.0</v>
      </c>
      <c r="DY64" s="541">
        <v>0.0</v>
      </c>
      <c r="DZ64" s="541">
        <v>0.0</v>
      </c>
      <c r="EA64" s="541">
        <v>0.0</v>
      </c>
      <c r="EB64" s="541">
        <v>0.0</v>
      </c>
      <c r="EC64" s="541">
        <v>0.0</v>
      </c>
      <c r="ED64" s="541">
        <v>0.0</v>
      </c>
      <c r="EE64" s="541">
        <v>0.0</v>
      </c>
      <c r="EF64" s="541">
        <v>0.0</v>
      </c>
      <c r="EG64" s="541">
        <v>0.0</v>
      </c>
      <c r="EH64" s="541">
        <v>0.0</v>
      </c>
      <c r="EI64" s="541">
        <v>0.0</v>
      </c>
      <c r="EJ64" s="541">
        <v>0.0</v>
      </c>
      <c r="EK64" s="541">
        <v>0.0</v>
      </c>
      <c r="EL64" s="541">
        <v>0.0</v>
      </c>
      <c r="EM64" s="541">
        <v>0.0</v>
      </c>
      <c r="EN64" s="541">
        <v>0.0</v>
      </c>
      <c r="EO64" s="541">
        <v>0.0</v>
      </c>
      <c r="EP64" s="541">
        <v>0.0</v>
      </c>
      <c r="EQ64" s="541">
        <v>0.0</v>
      </c>
      <c r="ER64" s="541">
        <v>0.0</v>
      </c>
      <c r="ES64" s="541">
        <v>0.0</v>
      </c>
      <c r="ET64" s="541">
        <v>0.0</v>
      </c>
      <c r="EU64" s="541">
        <v>0.0</v>
      </c>
      <c r="EV64" s="541">
        <v>0.0</v>
      </c>
      <c r="EW64" s="541">
        <v>0.0</v>
      </c>
      <c r="EX64" s="541">
        <v>0.0</v>
      </c>
      <c r="EY64" s="541">
        <v>0.0</v>
      </c>
      <c r="EZ64" s="541">
        <v>0.0</v>
      </c>
      <c r="FA64" s="541">
        <v>0.0</v>
      </c>
      <c r="FB64" s="541">
        <v>0.0</v>
      </c>
      <c r="FC64" s="542">
        <v>0.0</v>
      </c>
      <c r="FD64" s="542">
        <v>0.0</v>
      </c>
      <c r="FE64" s="542">
        <v>0.0</v>
      </c>
      <c r="FF64" s="542">
        <v>0.0</v>
      </c>
      <c r="FG64" s="542">
        <v>0.0</v>
      </c>
      <c r="FH64" s="542">
        <v>0.0</v>
      </c>
      <c r="FI64" s="542">
        <v>0.0</v>
      </c>
      <c r="FJ64" s="542">
        <v>0.0</v>
      </c>
      <c r="FK64" s="542">
        <v>0.0</v>
      </c>
      <c r="FL64" s="542">
        <v>0.0</v>
      </c>
      <c r="FM64" s="542">
        <v>0.0</v>
      </c>
      <c r="FN64" s="542">
        <v>0.0</v>
      </c>
      <c r="FO64" s="542">
        <v>0.0</v>
      </c>
      <c r="FP64" s="542">
        <v>0.0</v>
      </c>
      <c r="FQ64" s="542">
        <v>0.0</v>
      </c>
      <c r="FR64" s="542">
        <v>0.0</v>
      </c>
      <c r="FS64" s="542">
        <v>0.0</v>
      </c>
      <c r="FT64" s="542">
        <v>0.0</v>
      </c>
      <c r="FU64" s="542">
        <v>0.0</v>
      </c>
      <c r="FV64" s="542">
        <v>0.0</v>
      </c>
      <c r="FW64" s="542">
        <v>0.0</v>
      </c>
      <c r="FX64" s="543">
        <v>0.0</v>
      </c>
    </row>
    <row r="65">
      <c r="A65" s="544" t="s">
        <v>727</v>
      </c>
      <c r="B65" s="462"/>
      <c r="C65" s="551"/>
      <c r="D65" s="540" t="s">
        <v>652</v>
      </c>
      <c r="E65" s="444" t="s">
        <v>652</v>
      </c>
      <c r="F65" s="444" t="s">
        <v>652</v>
      </c>
      <c r="G65" s="552">
        <f t="shared" ref="G65:FX65" si="12">G63-G64</f>
        <v>55264</v>
      </c>
      <c r="H65" s="552">
        <f t="shared" si="12"/>
        <v>37933</v>
      </c>
      <c r="I65" s="552">
        <f t="shared" si="12"/>
        <v>55580</v>
      </c>
      <c r="J65" s="552">
        <f t="shared" si="12"/>
        <v>54368</v>
      </c>
      <c r="K65" s="552">
        <f t="shared" si="12"/>
        <v>72288</v>
      </c>
      <c r="L65" s="552">
        <f t="shared" si="12"/>
        <v>54217</v>
      </c>
      <c r="M65" s="552">
        <f t="shared" si="12"/>
        <v>55000</v>
      </c>
      <c r="N65" s="552">
        <f t="shared" si="12"/>
        <v>46992</v>
      </c>
      <c r="O65" s="552">
        <f t="shared" si="12"/>
        <v>63362</v>
      </c>
      <c r="P65" s="552">
        <f t="shared" si="12"/>
        <v>54686</v>
      </c>
      <c r="Q65" s="552">
        <f t="shared" si="12"/>
        <v>58782</v>
      </c>
      <c r="R65" s="552">
        <f t="shared" si="12"/>
        <v>59464</v>
      </c>
      <c r="S65" s="552">
        <f t="shared" si="12"/>
        <v>62786</v>
      </c>
      <c r="T65" s="552">
        <f t="shared" si="12"/>
        <v>195657</v>
      </c>
      <c r="U65" s="552">
        <f t="shared" si="12"/>
        <v>193681</v>
      </c>
      <c r="V65" s="552">
        <f t="shared" si="12"/>
        <v>60301</v>
      </c>
      <c r="W65" s="552">
        <f t="shared" si="12"/>
        <v>61207</v>
      </c>
      <c r="X65" s="552">
        <f t="shared" si="12"/>
        <v>73941</v>
      </c>
      <c r="Y65" s="552">
        <f t="shared" si="12"/>
        <v>76895</v>
      </c>
      <c r="Z65" s="552">
        <f t="shared" si="12"/>
        <v>-11184</v>
      </c>
      <c r="AA65" s="552">
        <f t="shared" si="12"/>
        <v>29442</v>
      </c>
      <c r="AB65" s="552">
        <f t="shared" si="12"/>
        <v>31395</v>
      </c>
      <c r="AC65" s="552">
        <f t="shared" si="12"/>
        <v>30462</v>
      </c>
      <c r="AD65" s="552">
        <f t="shared" si="12"/>
        <v>25547</v>
      </c>
      <c r="AE65" s="552">
        <f t="shared" si="12"/>
        <v>29238</v>
      </c>
      <c r="AF65" s="552">
        <f t="shared" si="12"/>
        <v>29575</v>
      </c>
      <c r="AG65" s="552">
        <f t="shared" si="12"/>
        <v>24802</v>
      </c>
      <c r="AH65" s="552">
        <f t="shared" si="12"/>
        <v>29881</v>
      </c>
      <c r="AI65" s="552">
        <f t="shared" si="12"/>
        <v>85908</v>
      </c>
      <c r="AJ65" s="552">
        <f t="shared" si="12"/>
        <v>34673</v>
      </c>
      <c r="AK65" s="552">
        <f t="shared" si="12"/>
        <v>28715</v>
      </c>
      <c r="AL65" s="552">
        <f t="shared" si="12"/>
        <v>21327</v>
      </c>
      <c r="AM65" s="552">
        <f t="shared" si="12"/>
        <v>63300</v>
      </c>
      <c r="AN65" s="552">
        <f t="shared" si="12"/>
        <v>37251</v>
      </c>
      <c r="AO65" s="552">
        <f t="shared" si="12"/>
        <v>17121</v>
      </c>
      <c r="AP65" s="552">
        <f t="shared" si="12"/>
        <v>37231</v>
      </c>
      <c r="AQ65" s="552">
        <f t="shared" si="12"/>
        <v>4278</v>
      </c>
      <c r="AR65" s="552">
        <f t="shared" si="12"/>
        <v>-21683</v>
      </c>
      <c r="AS65" s="552">
        <f t="shared" si="12"/>
        <v>30306</v>
      </c>
      <c r="AT65" s="552">
        <f t="shared" si="12"/>
        <v>112124</v>
      </c>
      <c r="AU65" s="552">
        <f t="shared" si="12"/>
        <v>3311</v>
      </c>
      <c r="AV65" s="552">
        <f t="shared" si="12"/>
        <v>25647</v>
      </c>
      <c r="AW65" s="552">
        <f t="shared" si="12"/>
        <v>27498</v>
      </c>
      <c r="AX65" s="552">
        <f t="shared" si="12"/>
        <v>77466</v>
      </c>
      <c r="AY65" s="552">
        <f t="shared" si="12"/>
        <v>16149</v>
      </c>
      <c r="AZ65" s="552">
        <f t="shared" si="12"/>
        <v>-1602</v>
      </c>
      <c r="BA65" s="552">
        <f t="shared" si="12"/>
        <v>61588</v>
      </c>
      <c r="BB65" s="552">
        <f t="shared" si="12"/>
        <v>49723</v>
      </c>
      <c r="BC65" s="552">
        <f t="shared" si="12"/>
        <v>6535</v>
      </c>
      <c r="BD65" s="552">
        <f t="shared" si="12"/>
        <v>98019</v>
      </c>
      <c r="BE65" s="552">
        <f t="shared" si="12"/>
        <v>40046</v>
      </c>
      <c r="BF65" s="552">
        <f t="shared" si="12"/>
        <v>214862</v>
      </c>
      <c r="BG65" s="552">
        <f t="shared" si="12"/>
        <v>49306</v>
      </c>
      <c r="BH65" s="552">
        <f t="shared" si="12"/>
        <v>40637</v>
      </c>
      <c r="BI65" s="552">
        <f t="shared" si="12"/>
        <v>36633</v>
      </c>
      <c r="BJ65" s="552">
        <f t="shared" si="12"/>
        <v>36217</v>
      </c>
      <c r="BK65" s="552">
        <f t="shared" si="12"/>
        <v>38444</v>
      </c>
      <c r="BL65" s="552">
        <f t="shared" si="12"/>
        <v>188905</v>
      </c>
      <c r="BM65" s="552">
        <f t="shared" si="12"/>
        <v>37442</v>
      </c>
      <c r="BN65" s="552">
        <f t="shared" si="12"/>
        <v>8823</v>
      </c>
      <c r="BO65" s="552">
        <f t="shared" si="12"/>
        <v>105842</v>
      </c>
      <c r="BP65" s="552">
        <f t="shared" si="12"/>
        <v>14384</v>
      </c>
      <c r="BQ65" s="552">
        <f t="shared" si="12"/>
        <v>21567</v>
      </c>
      <c r="BR65" s="552">
        <f t="shared" si="12"/>
        <v>539879</v>
      </c>
      <c r="BS65" s="552">
        <f t="shared" si="12"/>
        <v>8755</v>
      </c>
      <c r="BT65" s="552">
        <f t="shared" si="12"/>
        <v>10493</v>
      </c>
      <c r="BU65" s="552">
        <f t="shared" si="12"/>
        <v>98135</v>
      </c>
      <c r="BV65" s="552">
        <f t="shared" si="12"/>
        <v>318284</v>
      </c>
      <c r="BW65" s="552">
        <f t="shared" si="12"/>
        <v>1015868.045</v>
      </c>
      <c r="BX65" s="552">
        <f t="shared" si="12"/>
        <v>156661.1702</v>
      </c>
      <c r="BY65" s="552">
        <f t="shared" si="12"/>
        <v>19690.2775</v>
      </c>
      <c r="BZ65" s="552">
        <f t="shared" si="12"/>
        <v>38790.3673</v>
      </c>
      <c r="CA65" s="552">
        <f t="shared" si="12"/>
        <v>-60000.5605</v>
      </c>
      <c r="CB65" s="552">
        <f t="shared" si="12"/>
        <v>61635.4941</v>
      </c>
      <c r="CC65" s="552">
        <f t="shared" si="12"/>
        <v>46064.531</v>
      </c>
      <c r="CD65" s="552">
        <f t="shared" si="12"/>
        <v>472542.5503</v>
      </c>
      <c r="CE65" s="552">
        <f t="shared" si="12"/>
        <v>40204.5518</v>
      </c>
      <c r="CF65" s="552">
        <f t="shared" si="12"/>
        <v>-2190.4644</v>
      </c>
      <c r="CG65" s="552">
        <f t="shared" si="12"/>
        <v>108860.5016</v>
      </c>
      <c r="CH65" s="552">
        <f t="shared" si="12"/>
        <v>21498.4497</v>
      </c>
      <c r="CI65" s="552">
        <f t="shared" si="12"/>
        <v>-1164.6199</v>
      </c>
      <c r="CJ65" s="552">
        <f t="shared" si="12"/>
        <v>33566.2926</v>
      </c>
      <c r="CK65" s="552">
        <f t="shared" si="12"/>
        <v>89524.1871</v>
      </c>
      <c r="CL65" s="552">
        <f t="shared" si="12"/>
        <v>53061.0638</v>
      </c>
      <c r="CM65" s="552">
        <f t="shared" si="12"/>
        <v>77870.935</v>
      </c>
      <c r="CN65" s="552">
        <f t="shared" si="12"/>
        <v>-41193.9819</v>
      </c>
      <c r="CO65" s="552">
        <f t="shared" si="12"/>
        <v>59174.0926</v>
      </c>
      <c r="CP65" s="552">
        <f t="shared" si="12"/>
        <v>893332.1583</v>
      </c>
      <c r="CQ65" s="552">
        <f t="shared" si="12"/>
        <v>520221.2152</v>
      </c>
      <c r="CR65" s="552">
        <f t="shared" si="12"/>
        <v>15292.2634</v>
      </c>
      <c r="CS65" s="552">
        <f t="shared" si="12"/>
        <v>44001</v>
      </c>
      <c r="CT65" s="552">
        <f t="shared" si="12"/>
        <v>28950</v>
      </c>
      <c r="CU65" s="552">
        <f t="shared" si="12"/>
        <v>-13947</v>
      </c>
      <c r="CV65" s="552">
        <f t="shared" si="12"/>
        <v>82896</v>
      </c>
      <c r="CW65" s="552">
        <f t="shared" si="12"/>
        <v>0</v>
      </c>
      <c r="CX65" s="552">
        <f t="shared" si="12"/>
        <v>0</v>
      </c>
      <c r="CY65" s="552">
        <f t="shared" si="12"/>
        <v>-2030</v>
      </c>
      <c r="CZ65" s="552">
        <f t="shared" si="12"/>
        <v>0</v>
      </c>
      <c r="DA65" s="552">
        <f t="shared" si="12"/>
        <v>0</v>
      </c>
      <c r="DB65" s="552">
        <f t="shared" si="12"/>
        <v>5995139</v>
      </c>
      <c r="DC65" s="552">
        <f t="shared" si="12"/>
        <v>85146.90663</v>
      </c>
      <c r="DD65" s="552">
        <f t="shared" si="12"/>
        <v>0</v>
      </c>
      <c r="DE65" s="552">
        <f t="shared" si="12"/>
        <v>0</v>
      </c>
      <c r="DF65" s="552">
        <f t="shared" si="12"/>
        <v>0</v>
      </c>
      <c r="DG65" s="552">
        <f t="shared" si="12"/>
        <v>0</v>
      </c>
      <c r="DH65" s="552">
        <f t="shared" si="12"/>
        <v>0</v>
      </c>
      <c r="DI65" s="552">
        <f t="shared" si="12"/>
        <v>0</v>
      </c>
      <c r="DJ65" s="552">
        <f t="shared" si="12"/>
        <v>0</v>
      </c>
      <c r="DK65" s="552">
        <f t="shared" si="12"/>
        <v>0</v>
      </c>
      <c r="DL65" s="552">
        <f t="shared" si="12"/>
        <v>0</v>
      </c>
      <c r="DM65" s="552" t="str">
        <f t="shared" si="12"/>
        <v>#REF!</v>
      </c>
      <c r="DN65" s="552">
        <f t="shared" si="12"/>
        <v>0</v>
      </c>
      <c r="DO65" s="552">
        <f t="shared" si="12"/>
        <v>0</v>
      </c>
      <c r="DP65" s="552">
        <f t="shared" si="12"/>
        <v>0</v>
      </c>
      <c r="DQ65" s="552">
        <f t="shared" si="12"/>
        <v>0</v>
      </c>
      <c r="DR65" s="552">
        <f t="shared" si="12"/>
        <v>0</v>
      </c>
      <c r="DS65" s="552">
        <f t="shared" si="12"/>
        <v>0</v>
      </c>
      <c r="DT65" s="552">
        <f t="shared" si="12"/>
        <v>0</v>
      </c>
      <c r="DU65" s="552">
        <f t="shared" si="12"/>
        <v>0</v>
      </c>
      <c r="DV65" s="552">
        <f t="shared" si="12"/>
        <v>0</v>
      </c>
      <c r="DW65" s="552">
        <f t="shared" si="12"/>
        <v>0</v>
      </c>
      <c r="DX65" s="552">
        <f t="shared" si="12"/>
        <v>0</v>
      </c>
      <c r="DY65" s="552">
        <f t="shared" si="12"/>
        <v>0</v>
      </c>
      <c r="DZ65" s="552">
        <f t="shared" si="12"/>
        <v>0</v>
      </c>
      <c r="EA65" s="552">
        <f t="shared" si="12"/>
        <v>0</v>
      </c>
      <c r="EB65" s="552">
        <f t="shared" si="12"/>
        <v>0</v>
      </c>
      <c r="EC65" s="552">
        <f t="shared" si="12"/>
        <v>0</v>
      </c>
      <c r="ED65" s="552">
        <f t="shared" si="12"/>
        <v>0</v>
      </c>
      <c r="EE65" s="552">
        <f t="shared" si="12"/>
        <v>0</v>
      </c>
      <c r="EF65" s="552">
        <f t="shared" si="12"/>
        <v>0</v>
      </c>
      <c r="EG65" s="552">
        <f t="shared" si="12"/>
        <v>0</v>
      </c>
      <c r="EH65" s="552">
        <f t="shared" si="12"/>
        <v>0</v>
      </c>
      <c r="EI65" s="552">
        <f t="shared" si="12"/>
        <v>0</v>
      </c>
      <c r="EJ65" s="552">
        <f t="shared" si="12"/>
        <v>0</v>
      </c>
      <c r="EK65" s="552">
        <f t="shared" si="12"/>
        <v>0</v>
      </c>
      <c r="EL65" s="552">
        <f t="shared" si="12"/>
        <v>0</v>
      </c>
      <c r="EM65" s="552">
        <f t="shared" si="12"/>
        <v>0</v>
      </c>
      <c r="EN65" s="552">
        <f t="shared" si="12"/>
        <v>0</v>
      </c>
      <c r="EO65" s="552">
        <f t="shared" si="12"/>
        <v>0</v>
      </c>
      <c r="EP65" s="552">
        <f t="shared" si="12"/>
        <v>0</v>
      </c>
      <c r="EQ65" s="552">
        <f t="shared" si="12"/>
        <v>0</v>
      </c>
      <c r="ER65" s="552">
        <f t="shared" si="12"/>
        <v>0</v>
      </c>
      <c r="ES65" s="552">
        <f t="shared" si="12"/>
        <v>0</v>
      </c>
      <c r="ET65" s="552">
        <f t="shared" si="12"/>
        <v>0</v>
      </c>
      <c r="EU65" s="552">
        <f t="shared" si="12"/>
        <v>0</v>
      </c>
      <c r="EV65" s="552">
        <f t="shared" si="12"/>
        <v>0</v>
      </c>
      <c r="EW65" s="552">
        <f t="shared" si="12"/>
        <v>0</v>
      </c>
      <c r="EX65" s="552">
        <f t="shared" si="12"/>
        <v>0</v>
      </c>
      <c r="EY65" s="552">
        <f t="shared" si="12"/>
        <v>0</v>
      </c>
      <c r="EZ65" s="552">
        <f t="shared" si="12"/>
        <v>0</v>
      </c>
      <c r="FA65" s="552">
        <f t="shared" si="12"/>
        <v>0</v>
      </c>
      <c r="FB65" s="552">
        <f t="shared" si="12"/>
        <v>0</v>
      </c>
      <c r="FC65" s="552">
        <f t="shared" si="12"/>
        <v>0</v>
      </c>
      <c r="FD65" s="552">
        <f t="shared" si="12"/>
        <v>0</v>
      </c>
      <c r="FE65" s="552">
        <f t="shared" si="12"/>
        <v>0</v>
      </c>
      <c r="FF65" s="552">
        <f t="shared" si="12"/>
        <v>0</v>
      </c>
      <c r="FG65" s="552">
        <f t="shared" si="12"/>
        <v>0</v>
      </c>
      <c r="FH65" s="552">
        <f t="shared" si="12"/>
        <v>0</v>
      </c>
      <c r="FI65" s="552">
        <f t="shared" si="12"/>
        <v>0</v>
      </c>
      <c r="FJ65" s="552">
        <f t="shared" si="12"/>
        <v>0</v>
      </c>
      <c r="FK65" s="552">
        <f t="shared" si="12"/>
        <v>0</v>
      </c>
      <c r="FL65" s="552">
        <f t="shared" si="12"/>
        <v>0</v>
      </c>
      <c r="FM65" s="552">
        <f t="shared" si="12"/>
        <v>0</v>
      </c>
      <c r="FN65" s="552">
        <f t="shared" si="12"/>
        <v>0</v>
      </c>
      <c r="FO65" s="552">
        <f t="shared" si="12"/>
        <v>0</v>
      </c>
      <c r="FP65" s="552">
        <f t="shared" si="12"/>
        <v>0</v>
      </c>
      <c r="FQ65" s="552">
        <f t="shared" si="12"/>
        <v>0</v>
      </c>
      <c r="FR65" s="552">
        <f t="shared" si="12"/>
        <v>0</v>
      </c>
      <c r="FS65" s="552">
        <f t="shared" si="12"/>
        <v>0</v>
      </c>
      <c r="FT65" s="552">
        <f t="shared" si="12"/>
        <v>0</v>
      </c>
      <c r="FU65" s="552">
        <f t="shared" si="12"/>
        <v>0</v>
      </c>
      <c r="FV65" s="552">
        <f t="shared" si="12"/>
        <v>0</v>
      </c>
      <c r="FW65" s="552">
        <f t="shared" si="12"/>
        <v>0</v>
      </c>
      <c r="FX65" s="552">
        <f t="shared" si="12"/>
        <v>0</v>
      </c>
    </row>
    <row r="66">
      <c r="A66" s="453" t="s">
        <v>18</v>
      </c>
      <c r="B66" s="16"/>
      <c r="C66" s="561"/>
      <c r="D66" s="562"/>
      <c r="E66" s="563"/>
      <c r="F66" s="563"/>
      <c r="G66" s="564"/>
      <c r="H66" s="564"/>
      <c r="I66" s="564"/>
      <c r="J66" s="564"/>
      <c r="K66" s="564"/>
      <c r="L66" s="564"/>
      <c r="M66" s="564"/>
      <c r="N66" s="564"/>
      <c r="O66" s="564"/>
      <c r="P66" s="564"/>
      <c r="Q66" s="564"/>
      <c r="R66" s="564"/>
      <c r="S66" s="564"/>
      <c r="T66" s="564"/>
      <c r="U66" s="564"/>
      <c r="V66" s="564"/>
      <c r="W66" s="564"/>
      <c r="X66" s="564"/>
      <c r="Y66" s="564"/>
      <c r="Z66" s="564"/>
      <c r="AA66" s="564"/>
      <c r="AB66" s="564"/>
      <c r="AC66" s="564"/>
      <c r="AD66" s="564"/>
      <c r="AE66" s="564"/>
      <c r="AF66" s="564"/>
      <c r="AG66" s="564"/>
      <c r="AH66" s="564"/>
      <c r="AI66" s="564"/>
      <c r="AJ66" s="564"/>
      <c r="AK66" s="564"/>
      <c r="AL66" s="564"/>
      <c r="AM66" s="564"/>
      <c r="AN66" s="564"/>
      <c r="AO66" s="564"/>
      <c r="AP66" s="564"/>
      <c r="AQ66" s="564"/>
      <c r="AR66" s="564"/>
      <c r="AS66" s="564"/>
      <c r="AT66" s="565"/>
      <c r="AU66" s="564"/>
      <c r="AV66" s="564"/>
      <c r="AW66" s="564"/>
      <c r="AX66" s="564"/>
      <c r="AY66" s="564"/>
      <c r="AZ66" s="564"/>
      <c r="BA66" s="564"/>
      <c r="BB66" s="564"/>
      <c r="BC66" s="564"/>
      <c r="BD66" s="564"/>
      <c r="BE66" s="564"/>
      <c r="BF66" s="564"/>
      <c r="BG66" s="564"/>
      <c r="BH66" s="564"/>
      <c r="BI66" s="564"/>
      <c r="BJ66" s="564"/>
      <c r="BK66" s="564"/>
      <c r="BL66" s="564"/>
      <c r="BM66" s="564"/>
      <c r="BN66" s="564"/>
      <c r="BO66" s="564"/>
      <c r="BP66" s="564"/>
      <c r="BQ66" s="564"/>
      <c r="BR66" s="564"/>
      <c r="BS66" s="564"/>
      <c r="BT66" s="564"/>
      <c r="BU66" s="564"/>
      <c r="BV66" s="564"/>
      <c r="BW66" s="564"/>
      <c r="BX66" s="564"/>
      <c r="BY66" s="564"/>
      <c r="BZ66" s="564"/>
      <c r="CA66" s="564"/>
      <c r="CB66" s="564"/>
      <c r="CC66" s="564"/>
      <c r="CD66" s="564"/>
      <c r="CE66" s="564"/>
      <c r="CF66" s="564"/>
      <c r="CG66" s="564"/>
      <c r="CH66" s="564"/>
      <c r="CI66" s="564"/>
      <c r="CJ66" s="564"/>
      <c r="CK66" s="564"/>
      <c r="CL66" s="564"/>
      <c r="CM66" s="564"/>
      <c r="CN66" s="564"/>
      <c r="CO66" s="566"/>
      <c r="CP66" s="564"/>
      <c r="CQ66" s="564"/>
      <c r="CR66" s="564"/>
      <c r="CS66" s="564"/>
      <c r="CT66" s="564"/>
      <c r="CU66" s="564"/>
      <c r="CV66" s="564"/>
      <c r="CW66" s="564"/>
      <c r="CX66" s="564"/>
      <c r="CY66" s="564"/>
      <c r="CZ66" s="564"/>
      <c r="DA66" s="564"/>
      <c r="DB66" s="564"/>
      <c r="DC66" s="564"/>
      <c r="DD66" s="564"/>
      <c r="DE66" s="564"/>
      <c r="DF66" s="564"/>
      <c r="DG66" s="564"/>
      <c r="DH66" s="564"/>
      <c r="DI66" s="564"/>
      <c r="DJ66" s="564"/>
      <c r="DK66" s="564"/>
      <c r="DL66" s="564"/>
      <c r="DM66" s="564"/>
      <c r="DN66" s="564"/>
      <c r="DO66" s="564"/>
      <c r="DP66" s="564"/>
      <c r="DQ66" s="564"/>
      <c r="DR66" s="564"/>
      <c r="DS66" s="564"/>
      <c r="DT66" s="564"/>
      <c r="DU66" s="564"/>
      <c r="DV66" s="564"/>
      <c r="DW66" s="564"/>
      <c r="DX66" s="564"/>
      <c r="DY66" s="564"/>
      <c r="DZ66" s="564"/>
      <c r="EA66" s="564"/>
      <c r="EB66" s="564"/>
      <c r="EC66" s="565"/>
      <c r="ED66" s="564"/>
      <c r="EE66" s="564"/>
      <c r="EF66" s="564"/>
      <c r="EG66" s="564"/>
      <c r="EH66" s="564"/>
      <c r="EI66" s="564"/>
      <c r="EJ66" s="564"/>
      <c r="EK66" s="564"/>
      <c r="EL66" s="564"/>
      <c r="EM66" s="564"/>
      <c r="EN66" s="564"/>
      <c r="EO66" s="564"/>
      <c r="EP66" s="564"/>
      <c r="EQ66" s="564"/>
      <c r="ER66" s="564"/>
      <c r="ES66" s="564"/>
      <c r="ET66" s="564"/>
      <c r="EU66" s="564"/>
      <c r="EV66" s="564"/>
      <c r="EW66" s="564"/>
      <c r="EX66" s="564"/>
      <c r="EY66" s="564"/>
      <c r="EZ66" s="564"/>
      <c r="FA66" s="564"/>
      <c r="FB66" s="564"/>
      <c r="FC66" s="564"/>
      <c r="FD66" s="564"/>
      <c r="FE66" s="564"/>
      <c r="FF66" s="564"/>
      <c r="FG66" s="564"/>
      <c r="FH66" s="564"/>
      <c r="FI66" s="564"/>
      <c r="FJ66" s="564"/>
      <c r="FK66" s="564"/>
      <c r="FL66" s="564"/>
      <c r="FM66" s="564"/>
      <c r="FN66" s="564"/>
      <c r="FO66" s="564"/>
      <c r="FP66" s="564"/>
      <c r="FQ66" s="564"/>
      <c r="FR66" s="564"/>
      <c r="FS66" s="564"/>
      <c r="FT66" s="564"/>
      <c r="FU66" s="564"/>
      <c r="FV66" s="564"/>
      <c r="FW66" s="564"/>
      <c r="FX66" s="566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  <c r="BW67" s="567"/>
      <c r="BX67" s="567"/>
      <c r="BY67" s="567"/>
      <c r="BZ67" s="567"/>
      <c r="CA67" s="567"/>
      <c r="CB67" s="567"/>
      <c r="CC67" s="567"/>
      <c r="CD67" s="567"/>
      <c r="CE67" s="567"/>
      <c r="CF67" s="567"/>
      <c r="CG67" s="567"/>
      <c r="CH67" s="567"/>
      <c r="CI67" s="567"/>
      <c r="CJ67" s="567"/>
      <c r="CK67" s="567"/>
      <c r="CL67" s="567"/>
      <c r="CM67" s="567"/>
      <c r="CN67" s="567"/>
      <c r="CO67" s="567"/>
      <c r="CP67" s="567"/>
      <c r="CQ67" s="567"/>
      <c r="CR67" s="567"/>
      <c r="CS67" s="567"/>
      <c r="CT67" s="567"/>
      <c r="CU67" s="567"/>
      <c r="CV67" s="567"/>
      <c r="CW67" s="567"/>
      <c r="CX67" s="567"/>
      <c r="CY67" s="567"/>
      <c r="CZ67" s="567"/>
      <c r="DA67" s="567"/>
      <c r="DB67" s="567"/>
      <c r="DC67" s="567"/>
      <c r="DD67" s="567"/>
      <c r="DE67" s="567"/>
      <c r="DF67" s="567"/>
      <c r="DG67" s="567"/>
      <c r="DH67" s="567"/>
      <c r="DI67" s="567"/>
      <c r="DJ67" s="567"/>
      <c r="DK67" s="567"/>
      <c r="DL67" s="567"/>
      <c r="DM67" s="567"/>
      <c r="DN67" s="567"/>
      <c r="DO67" s="567"/>
      <c r="DP67" s="567"/>
      <c r="DQ67" s="567"/>
      <c r="DR67" s="567"/>
      <c r="DS67" s="567"/>
      <c r="DT67" s="567"/>
      <c r="DU67" s="567"/>
      <c r="DV67" s="567"/>
      <c r="DW67" s="567"/>
      <c r="DX67" s="567"/>
      <c r="DY67" s="567"/>
      <c r="DZ67" s="567"/>
      <c r="EA67" s="567"/>
      <c r="EB67" s="567"/>
      <c r="EC67" s="567"/>
      <c r="ED67" s="567"/>
      <c r="EE67" s="567"/>
      <c r="EF67" s="567"/>
      <c r="EG67" s="567"/>
      <c r="EH67" s="567"/>
      <c r="EI67" s="567"/>
      <c r="EJ67" s="567"/>
      <c r="EK67" s="567"/>
      <c r="EL67" s="567"/>
      <c r="EM67" s="567"/>
      <c r="EN67" s="567"/>
      <c r="EO67" s="567"/>
      <c r="EP67" s="567"/>
      <c r="EQ67" s="567"/>
      <c r="ER67" s="567"/>
      <c r="ES67" s="567"/>
      <c r="ET67" s="567"/>
      <c r="EU67" s="567"/>
      <c r="EV67" s="567"/>
      <c r="EW67" s="567"/>
      <c r="EX67" s="567"/>
      <c r="EY67" s="567"/>
      <c r="EZ67" s="567"/>
      <c r="FA67" s="567"/>
      <c r="FB67" s="567"/>
      <c r="FC67" s="567"/>
      <c r="FD67" s="567"/>
      <c r="FE67" s="567"/>
      <c r="FF67" s="567"/>
      <c r="FG67" s="567"/>
      <c r="FH67" s="567"/>
      <c r="FI67" s="567"/>
      <c r="FJ67" s="567"/>
      <c r="FK67" s="567"/>
      <c r="FL67" s="567"/>
      <c r="FM67" s="567"/>
      <c r="FN67" s="567"/>
      <c r="FO67" s="567"/>
      <c r="FP67" s="567"/>
      <c r="FQ67" s="567"/>
      <c r="FR67" s="567"/>
      <c r="FS67" s="567"/>
      <c r="FT67" s="567"/>
      <c r="FU67" s="567"/>
      <c r="FV67" s="567"/>
      <c r="FW67" s="567"/>
      <c r="FX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  <c r="BW68" s="567"/>
      <c r="BX68" s="567"/>
      <c r="BY68" s="567"/>
      <c r="BZ68" s="567"/>
      <c r="CA68" s="567"/>
      <c r="CB68" s="567"/>
      <c r="CC68" s="567"/>
      <c r="CD68" s="567"/>
      <c r="CE68" s="567"/>
      <c r="CF68" s="567"/>
      <c r="CG68" s="567"/>
      <c r="CH68" s="567"/>
      <c r="CI68" s="567"/>
      <c r="CJ68" s="567"/>
      <c r="CK68" s="567"/>
      <c r="CL68" s="567"/>
      <c r="CM68" s="567"/>
      <c r="CN68" s="567"/>
      <c r="CO68" s="567"/>
      <c r="CP68" s="567"/>
      <c r="CQ68" s="567"/>
      <c r="CR68" s="567"/>
      <c r="CS68" s="567"/>
      <c r="CT68" s="567"/>
      <c r="CU68" s="567"/>
      <c r="CV68" s="567"/>
      <c r="CW68" s="567"/>
      <c r="CX68" s="567"/>
      <c r="CY68" s="567"/>
      <c r="CZ68" s="567"/>
      <c r="DA68" s="567"/>
      <c r="DB68" s="567"/>
      <c r="DC68" s="567"/>
      <c r="DD68" s="567"/>
      <c r="DE68" s="567"/>
      <c r="DF68" s="567"/>
      <c r="DG68" s="567"/>
      <c r="DH68" s="567"/>
      <c r="DI68" s="567"/>
      <c r="DJ68" s="567"/>
      <c r="DK68" s="567"/>
      <c r="DL68" s="567"/>
      <c r="DM68" s="567"/>
      <c r="DN68" s="567"/>
      <c r="DO68" s="567"/>
      <c r="DP68" s="567"/>
      <c r="DQ68" s="567"/>
      <c r="DR68" s="567"/>
      <c r="DS68" s="567"/>
      <c r="DT68" s="567"/>
      <c r="DU68" s="567"/>
      <c r="DV68" s="567"/>
      <c r="DW68" s="567"/>
      <c r="DX68" s="567"/>
      <c r="DY68" s="567"/>
      <c r="DZ68" s="567"/>
      <c r="EA68" s="567"/>
      <c r="EB68" s="567"/>
      <c r="EC68" s="567"/>
      <c r="ED68" s="567"/>
      <c r="EE68" s="567"/>
      <c r="EF68" s="567"/>
      <c r="EG68" s="567"/>
      <c r="EH68" s="567"/>
      <c r="EI68" s="567"/>
      <c r="EJ68" s="567"/>
      <c r="EK68" s="567"/>
      <c r="EL68" s="567"/>
      <c r="EM68" s="567"/>
      <c r="EN68" s="567"/>
      <c r="EO68" s="567"/>
      <c r="EP68" s="567"/>
      <c r="EQ68" s="567"/>
      <c r="ER68" s="567"/>
      <c r="ES68" s="567"/>
      <c r="ET68" s="567"/>
      <c r="EU68" s="567"/>
      <c r="EV68" s="567"/>
      <c r="EW68" s="567"/>
      <c r="EX68" s="567"/>
      <c r="EY68" s="567"/>
      <c r="EZ68" s="567"/>
      <c r="FA68" s="567"/>
      <c r="FB68" s="567"/>
      <c r="FC68" s="567"/>
      <c r="FD68" s="567"/>
      <c r="FE68" s="567"/>
      <c r="FF68" s="567"/>
      <c r="FG68" s="567"/>
      <c r="FH68" s="567"/>
      <c r="FI68" s="567"/>
      <c r="FJ68" s="567"/>
      <c r="FK68" s="567"/>
      <c r="FL68" s="567"/>
      <c r="FM68" s="567"/>
      <c r="FN68" s="567"/>
      <c r="FO68" s="567"/>
      <c r="FP68" s="567"/>
      <c r="FQ68" s="567"/>
      <c r="FR68" s="567"/>
      <c r="FS68" s="567"/>
      <c r="FT68" s="567"/>
      <c r="FU68" s="567"/>
      <c r="FV68" s="567"/>
      <c r="FW68" s="567"/>
      <c r="FX68" s="567"/>
    </row>
    <row r="69">
      <c r="A69" s="568" t="s">
        <v>728</v>
      </c>
      <c r="B69" s="28"/>
      <c r="C69" s="29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  <c r="V69" s="428"/>
      <c r="W69" s="428"/>
      <c r="X69" s="428"/>
      <c r="Y69" s="428"/>
      <c r="Z69" s="428"/>
      <c r="AA69" s="428"/>
      <c r="AB69" s="428"/>
      <c r="AC69" s="428"/>
      <c r="AD69" s="428"/>
      <c r="AE69" s="428"/>
      <c r="AF69" s="428"/>
      <c r="AG69" s="428"/>
      <c r="AH69" s="428"/>
      <c r="AI69" s="428"/>
      <c r="AJ69" s="428"/>
      <c r="AK69" s="428"/>
      <c r="AL69" s="428"/>
      <c r="AM69" s="428"/>
      <c r="AN69" s="428"/>
      <c r="AO69" s="428"/>
      <c r="AP69" s="428"/>
      <c r="AQ69" s="428"/>
      <c r="AR69" s="428"/>
      <c r="AS69" s="428"/>
      <c r="AT69" s="428"/>
      <c r="AU69" s="428"/>
      <c r="AV69" s="428"/>
      <c r="AW69" s="428"/>
      <c r="AX69" s="428"/>
      <c r="AY69" s="428"/>
      <c r="AZ69" s="428"/>
      <c r="BA69" s="428"/>
      <c r="BB69" s="428"/>
      <c r="BC69" s="428"/>
      <c r="BD69" s="428"/>
      <c r="BE69" s="428"/>
      <c r="BF69" s="428"/>
      <c r="BG69" s="428"/>
      <c r="BH69" s="428"/>
      <c r="BI69" s="428"/>
      <c r="BJ69" s="428"/>
      <c r="BK69" s="428"/>
      <c r="BL69" s="428"/>
      <c r="BM69" s="428"/>
      <c r="BN69" s="428"/>
      <c r="BO69" s="428"/>
      <c r="BP69" s="428"/>
      <c r="BQ69" s="428"/>
      <c r="BR69" s="428"/>
      <c r="BS69" s="428"/>
      <c r="BT69" s="428"/>
      <c r="BU69" s="428"/>
      <c r="BV69" s="428"/>
      <c r="BW69" s="428"/>
      <c r="BX69" s="428"/>
      <c r="BY69" s="428"/>
      <c r="BZ69" s="428"/>
      <c r="CA69" s="428"/>
      <c r="CB69" s="428"/>
      <c r="CC69" s="428"/>
      <c r="CD69" s="428"/>
      <c r="CE69" s="428"/>
      <c r="CF69" s="428"/>
      <c r="CG69" s="428"/>
      <c r="CH69" s="428"/>
      <c r="CI69" s="428"/>
      <c r="CJ69" s="428"/>
      <c r="CK69" s="428"/>
      <c r="CL69" s="428"/>
      <c r="CM69" s="428"/>
      <c r="CN69" s="428"/>
      <c r="CO69" s="428"/>
      <c r="CP69" s="567"/>
      <c r="CQ69" s="567"/>
      <c r="CR69" s="567"/>
      <c r="CS69" s="567"/>
      <c r="CT69" s="567"/>
      <c r="CU69" s="567"/>
      <c r="CV69" s="567"/>
      <c r="CW69" s="567"/>
      <c r="CX69" s="567"/>
      <c r="CY69" s="567"/>
      <c r="CZ69" s="567"/>
      <c r="DA69" s="567"/>
      <c r="DB69" s="567"/>
      <c r="DC69" s="567"/>
      <c r="DD69" s="567"/>
      <c r="DE69" s="567"/>
      <c r="DF69" s="567"/>
      <c r="DG69" s="567"/>
      <c r="DH69" s="567"/>
      <c r="DI69" s="567"/>
      <c r="DJ69" s="567"/>
      <c r="DK69" s="567"/>
      <c r="DL69" s="567"/>
      <c r="DM69" s="567"/>
      <c r="DN69" s="567"/>
      <c r="DO69" s="567"/>
      <c r="DP69" s="567"/>
      <c r="DQ69" s="567"/>
      <c r="DR69" s="567"/>
      <c r="DS69" s="567"/>
      <c r="DT69" s="567"/>
      <c r="DU69" s="567"/>
      <c r="DV69" s="567"/>
      <c r="DW69" s="567"/>
      <c r="DX69" s="567"/>
      <c r="DY69" s="567"/>
      <c r="DZ69" s="567"/>
      <c r="EA69" s="567"/>
      <c r="EB69" s="567"/>
      <c r="EC69" s="567"/>
      <c r="ED69" s="567"/>
      <c r="EE69" s="567"/>
      <c r="EF69" s="567"/>
      <c r="EG69" s="567"/>
      <c r="EH69" s="567"/>
      <c r="EI69" s="567"/>
      <c r="EJ69" s="567"/>
      <c r="EK69" s="567"/>
      <c r="EL69" s="567"/>
      <c r="EM69" s="567"/>
      <c r="EN69" s="567"/>
      <c r="EO69" s="567"/>
      <c r="EP69" s="567"/>
      <c r="EQ69" s="567"/>
      <c r="ER69" s="567"/>
      <c r="ES69" s="567"/>
      <c r="ET69" s="567"/>
      <c r="EU69" s="567"/>
      <c r="EV69" s="567"/>
      <c r="EW69" s="567"/>
      <c r="EX69" s="567"/>
      <c r="EY69" s="567"/>
      <c r="EZ69" s="567"/>
      <c r="FA69" s="567"/>
      <c r="FB69" s="567"/>
      <c r="FC69" s="567"/>
      <c r="FD69" s="567"/>
      <c r="FE69" s="567"/>
      <c r="FF69" s="567"/>
      <c r="FG69" s="567"/>
      <c r="FH69" s="567"/>
      <c r="FI69" s="567"/>
      <c r="FJ69" s="567"/>
      <c r="FK69" s="567"/>
      <c r="FL69" s="567"/>
      <c r="FM69" s="567"/>
      <c r="FN69" s="567"/>
      <c r="FO69" s="567"/>
      <c r="FP69" s="567"/>
      <c r="FQ69" s="567"/>
      <c r="FR69" s="567"/>
      <c r="FS69" s="567"/>
      <c r="FT69" s="567"/>
      <c r="FU69" s="567"/>
      <c r="FV69" s="567"/>
      <c r="FW69" s="567"/>
      <c r="FX69" s="567"/>
    </row>
    <row r="70">
      <c r="A70" s="287"/>
      <c r="B70" s="114"/>
      <c r="C70" s="65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  <c r="V70" s="428"/>
      <c r="W70" s="428"/>
      <c r="X70" s="428"/>
      <c r="Y70" s="428"/>
      <c r="Z70" s="428"/>
      <c r="AA70" s="428"/>
      <c r="AB70" s="428"/>
      <c r="AC70" s="428"/>
      <c r="AD70" s="428"/>
      <c r="AE70" s="428"/>
      <c r="AF70" s="428"/>
      <c r="AG70" s="428"/>
      <c r="AH70" s="428"/>
      <c r="AI70" s="428"/>
      <c r="AJ70" s="428"/>
      <c r="AK70" s="428"/>
      <c r="AL70" s="428"/>
      <c r="AM70" s="428"/>
      <c r="AN70" s="428"/>
      <c r="AO70" s="428"/>
      <c r="AP70" s="428"/>
      <c r="AQ70" s="428"/>
      <c r="AR70" s="428"/>
      <c r="AS70" s="428"/>
      <c r="AT70" s="428"/>
      <c r="AU70" s="428"/>
      <c r="AV70" s="428"/>
      <c r="AW70" s="428"/>
      <c r="AX70" s="428"/>
      <c r="AY70" s="428"/>
      <c r="AZ70" s="428"/>
      <c r="BA70" s="428"/>
      <c r="BB70" s="428"/>
      <c r="BC70" s="428"/>
      <c r="BD70" s="428"/>
      <c r="BE70" s="428"/>
      <c r="BF70" s="428"/>
      <c r="BG70" s="428"/>
      <c r="BH70" s="428"/>
      <c r="BI70" s="428"/>
      <c r="BJ70" s="428"/>
      <c r="BK70" s="428"/>
      <c r="BL70" s="428"/>
      <c r="BM70" s="428"/>
      <c r="BN70" s="428"/>
      <c r="BO70" s="428"/>
      <c r="BP70" s="428"/>
      <c r="BQ70" s="428"/>
      <c r="BR70" s="428"/>
      <c r="BS70" s="428"/>
      <c r="BT70" s="428"/>
      <c r="BU70" s="428"/>
      <c r="BV70" s="428"/>
      <c r="BW70" s="428"/>
      <c r="BX70" s="428"/>
      <c r="BY70" s="428"/>
      <c r="BZ70" s="428"/>
      <c r="CA70" s="428"/>
      <c r="CB70" s="428"/>
      <c r="CC70" s="428"/>
      <c r="CD70" s="428"/>
      <c r="CE70" s="428"/>
      <c r="CF70" s="428"/>
      <c r="CG70" s="428"/>
      <c r="CH70" s="428"/>
      <c r="CI70" s="428"/>
      <c r="CJ70" s="428"/>
      <c r="CK70" s="428"/>
      <c r="CL70" s="428"/>
      <c r="CM70" s="428"/>
      <c r="CN70" s="428"/>
      <c r="CO70" s="428"/>
      <c r="CP70" s="567"/>
      <c r="CQ70" s="567"/>
      <c r="CR70" s="567"/>
      <c r="CS70" s="567"/>
      <c r="CT70" s="567"/>
      <c r="CU70" s="567"/>
      <c r="CV70" s="567"/>
      <c r="CW70" s="567"/>
      <c r="CX70" s="567"/>
      <c r="CY70" s="567"/>
      <c r="CZ70" s="567"/>
      <c r="DA70" s="567"/>
      <c r="DB70" s="567"/>
      <c r="DC70" s="567"/>
      <c r="DD70" s="567"/>
      <c r="DE70" s="567"/>
      <c r="DF70" s="567"/>
      <c r="DG70" s="567"/>
      <c r="DH70" s="567"/>
      <c r="DI70" s="567"/>
      <c r="DJ70" s="567"/>
      <c r="DK70" s="567"/>
      <c r="DL70" s="567"/>
      <c r="DM70" s="567"/>
      <c r="DN70" s="567"/>
      <c r="DO70" s="567"/>
      <c r="DP70" s="567"/>
      <c r="DQ70" s="567"/>
      <c r="DR70" s="567"/>
      <c r="DS70" s="567"/>
      <c r="DT70" s="567"/>
      <c r="DU70" s="567"/>
      <c r="DV70" s="567"/>
      <c r="DW70" s="567"/>
      <c r="DX70" s="567"/>
      <c r="DY70" s="567"/>
      <c r="DZ70" s="567"/>
      <c r="EA70" s="567"/>
      <c r="EB70" s="567"/>
      <c r="EC70" s="567"/>
      <c r="ED70" s="567"/>
      <c r="EE70" s="567"/>
      <c r="EF70" s="567"/>
      <c r="EG70" s="567"/>
      <c r="EH70" s="567"/>
      <c r="EI70" s="567"/>
      <c r="EJ70" s="567"/>
      <c r="EK70" s="567"/>
      <c r="EL70" s="567"/>
      <c r="EM70" s="567"/>
      <c r="EN70" s="567"/>
      <c r="EO70" s="567"/>
      <c r="EP70" s="567"/>
      <c r="EQ70" s="567"/>
      <c r="ER70" s="567"/>
      <c r="ES70" s="567"/>
      <c r="ET70" s="567"/>
      <c r="EU70" s="567"/>
      <c r="EV70" s="567"/>
      <c r="EW70" s="567"/>
      <c r="EX70" s="567"/>
      <c r="EY70" s="567"/>
      <c r="EZ70" s="567"/>
      <c r="FA70" s="567"/>
      <c r="FB70" s="567"/>
      <c r="FC70" s="567"/>
      <c r="FD70" s="567"/>
      <c r="FE70" s="567"/>
      <c r="FF70" s="567"/>
      <c r="FG70" s="567"/>
      <c r="FH70" s="567"/>
      <c r="FI70" s="567"/>
      <c r="FJ70" s="567"/>
      <c r="FK70" s="567"/>
      <c r="FL70" s="567"/>
      <c r="FM70" s="567"/>
      <c r="FN70" s="567"/>
      <c r="FO70" s="567"/>
      <c r="FP70" s="567"/>
      <c r="FQ70" s="567"/>
      <c r="FR70" s="567"/>
      <c r="FS70" s="567"/>
      <c r="FT70" s="567"/>
      <c r="FU70" s="567"/>
      <c r="FV70" s="567"/>
      <c r="FW70" s="567"/>
      <c r="FX70" s="567"/>
    </row>
    <row r="71">
      <c r="A71" s="569" t="s">
        <v>729</v>
      </c>
      <c r="B71" s="570" t="s">
        <v>720</v>
      </c>
      <c r="C71" s="571"/>
      <c r="D71" s="572" t="s">
        <v>652</v>
      </c>
      <c r="E71" s="444" t="s">
        <v>652</v>
      </c>
      <c r="F71" s="444" t="s">
        <v>652</v>
      </c>
      <c r="G71" s="537">
        <f t="shared" ref="G71:DA71" si="13">G60</f>
        <v>55264</v>
      </c>
      <c r="H71" s="537">
        <f t="shared" si="13"/>
        <v>37933</v>
      </c>
      <c r="I71" s="537">
        <f t="shared" si="13"/>
        <v>55580</v>
      </c>
      <c r="J71" s="537">
        <f t="shared" si="13"/>
        <v>54368</v>
      </c>
      <c r="K71" s="537">
        <f t="shared" si="13"/>
        <v>72288</v>
      </c>
      <c r="L71" s="537">
        <f t="shared" si="13"/>
        <v>54217</v>
      </c>
      <c r="M71" s="537">
        <f t="shared" si="13"/>
        <v>55000</v>
      </c>
      <c r="N71" s="537">
        <f t="shared" si="13"/>
        <v>46992</v>
      </c>
      <c r="O71" s="537">
        <f t="shared" si="13"/>
        <v>63362</v>
      </c>
      <c r="P71" s="537">
        <f t="shared" si="13"/>
        <v>54686</v>
      </c>
      <c r="Q71" s="537">
        <f t="shared" si="13"/>
        <v>58782</v>
      </c>
      <c r="R71" s="537">
        <f t="shared" si="13"/>
        <v>59464</v>
      </c>
      <c r="S71" s="537">
        <f t="shared" si="13"/>
        <v>62786</v>
      </c>
      <c r="T71" s="537">
        <f t="shared" si="13"/>
        <v>202635</v>
      </c>
      <c r="U71" s="537">
        <f t="shared" si="13"/>
        <v>200363</v>
      </c>
      <c r="V71" s="537">
        <f t="shared" si="13"/>
        <v>60301</v>
      </c>
      <c r="W71" s="537">
        <f t="shared" si="13"/>
        <v>61207</v>
      </c>
      <c r="X71" s="537">
        <f t="shared" si="13"/>
        <v>73941</v>
      </c>
      <c r="Y71" s="537">
        <f t="shared" si="13"/>
        <v>76895</v>
      </c>
      <c r="Z71" s="537">
        <f t="shared" si="13"/>
        <v>-11184</v>
      </c>
      <c r="AA71" s="537">
        <f t="shared" si="13"/>
        <v>55996</v>
      </c>
      <c r="AB71" s="537">
        <f t="shared" si="13"/>
        <v>31395</v>
      </c>
      <c r="AC71" s="537">
        <f t="shared" si="13"/>
        <v>30462</v>
      </c>
      <c r="AD71" s="537">
        <f t="shared" si="13"/>
        <v>25547</v>
      </c>
      <c r="AE71" s="537">
        <f t="shared" si="13"/>
        <v>29238</v>
      </c>
      <c r="AF71" s="537">
        <f t="shared" si="13"/>
        <v>29575</v>
      </c>
      <c r="AG71" s="537">
        <f t="shared" si="13"/>
        <v>24802</v>
      </c>
      <c r="AH71" s="537">
        <f t="shared" si="13"/>
        <v>29881</v>
      </c>
      <c r="AI71" s="537">
        <f t="shared" si="13"/>
        <v>85908</v>
      </c>
      <c r="AJ71" s="537">
        <f t="shared" si="13"/>
        <v>34673</v>
      </c>
      <c r="AK71" s="537">
        <f t="shared" si="13"/>
        <v>28715</v>
      </c>
      <c r="AL71" s="537">
        <f t="shared" si="13"/>
        <v>37134</v>
      </c>
      <c r="AM71" s="537">
        <f t="shared" si="13"/>
        <v>63300</v>
      </c>
      <c r="AN71" s="537">
        <f t="shared" si="13"/>
        <v>37251</v>
      </c>
      <c r="AO71" s="537">
        <f t="shared" si="13"/>
        <v>17121</v>
      </c>
      <c r="AP71" s="537">
        <f t="shared" si="13"/>
        <v>37231</v>
      </c>
      <c r="AQ71" s="537">
        <f t="shared" si="13"/>
        <v>4278</v>
      </c>
      <c r="AR71" s="537">
        <f t="shared" si="13"/>
        <v>-21463</v>
      </c>
      <c r="AS71" s="537">
        <f t="shared" si="13"/>
        <v>30306</v>
      </c>
      <c r="AT71" s="537">
        <f t="shared" si="13"/>
        <v>116654</v>
      </c>
      <c r="AU71" s="537">
        <f t="shared" si="13"/>
        <v>3311</v>
      </c>
      <c r="AV71" s="537">
        <f t="shared" si="13"/>
        <v>25647</v>
      </c>
      <c r="AW71" s="537">
        <f t="shared" si="13"/>
        <v>27498</v>
      </c>
      <c r="AX71" s="537">
        <f t="shared" si="13"/>
        <v>96537</v>
      </c>
      <c r="AY71" s="537">
        <f t="shared" si="13"/>
        <v>16149</v>
      </c>
      <c r="AZ71" s="537">
        <f t="shared" si="13"/>
        <v>-1602</v>
      </c>
      <c r="BA71" s="537">
        <f t="shared" si="13"/>
        <v>64293</v>
      </c>
      <c r="BB71" s="537">
        <f t="shared" si="13"/>
        <v>51901</v>
      </c>
      <c r="BC71" s="537">
        <f t="shared" si="13"/>
        <v>8767</v>
      </c>
      <c r="BD71" s="537">
        <f t="shared" si="13"/>
        <v>100501</v>
      </c>
      <c r="BE71" s="537">
        <f t="shared" si="13"/>
        <v>42305</v>
      </c>
      <c r="BF71" s="537">
        <f t="shared" si="13"/>
        <v>228748</v>
      </c>
      <c r="BG71" s="537">
        <f t="shared" si="13"/>
        <v>51551</v>
      </c>
      <c r="BH71" s="537">
        <f t="shared" si="13"/>
        <v>42902</v>
      </c>
      <c r="BI71" s="537">
        <f t="shared" si="13"/>
        <v>39239</v>
      </c>
      <c r="BJ71" s="537">
        <f t="shared" si="13"/>
        <v>49179</v>
      </c>
      <c r="BK71" s="537">
        <f t="shared" si="13"/>
        <v>41429</v>
      </c>
      <c r="BL71" s="537">
        <f t="shared" si="13"/>
        <v>199378</v>
      </c>
      <c r="BM71" s="537">
        <f t="shared" si="13"/>
        <v>40429</v>
      </c>
      <c r="BN71" s="537">
        <f t="shared" si="13"/>
        <v>11820</v>
      </c>
      <c r="BO71" s="537">
        <f t="shared" si="13"/>
        <v>110034</v>
      </c>
      <c r="BP71" s="537">
        <f t="shared" si="13"/>
        <v>18173</v>
      </c>
      <c r="BQ71" s="537">
        <f t="shared" si="13"/>
        <v>24554</v>
      </c>
      <c r="BR71" s="537">
        <f t="shared" si="13"/>
        <v>574084</v>
      </c>
      <c r="BS71" s="537">
        <f t="shared" si="13"/>
        <v>11208</v>
      </c>
      <c r="BT71" s="537">
        <f t="shared" si="13"/>
        <v>12954</v>
      </c>
      <c r="BU71" s="537">
        <f t="shared" si="13"/>
        <v>102556</v>
      </c>
      <c r="BV71" s="537">
        <f t="shared" si="13"/>
        <v>343295</v>
      </c>
      <c r="BW71" s="537">
        <f t="shared" si="13"/>
        <v>1019190.045</v>
      </c>
      <c r="BX71" s="537">
        <f t="shared" si="13"/>
        <v>163771.1702</v>
      </c>
      <c r="BY71" s="537">
        <f t="shared" si="13"/>
        <v>22950.2775</v>
      </c>
      <c r="BZ71" s="537">
        <f t="shared" si="13"/>
        <v>42050.3673</v>
      </c>
      <c r="CA71" s="537">
        <f t="shared" si="13"/>
        <v>-58407.5605</v>
      </c>
      <c r="CB71" s="537">
        <f t="shared" si="13"/>
        <v>64895.4941</v>
      </c>
      <c r="CC71" s="537">
        <f t="shared" si="13"/>
        <v>49324.531</v>
      </c>
      <c r="CD71" s="537">
        <f t="shared" si="13"/>
        <v>506705.5503</v>
      </c>
      <c r="CE71" s="537">
        <f t="shared" si="13"/>
        <v>43284.5518</v>
      </c>
      <c r="CF71" s="537">
        <f t="shared" si="13"/>
        <v>889.5356</v>
      </c>
      <c r="CG71" s="537">
        <f t="shared" si="13"/>
        <v>113653.5016</v>
      </c>
      <c r="CH71" s="537">
        <f t="shared" si="13"/>
        <v>24578.4497</v>
      </c>
      <c r="CI71" s="537">
        <f t="shared" si="13"/>
        <v>2695.3801</v>
      </c>
      <c r="CJ71" s="537">
        <f t="shared" si="13"/>
        <v>44607.2926</v>
      </c>
      <c r="CK71" s="537">
        <f t="shared" si="13"/>
        <v>93924.1871</v>
      </c>
      <c r="CL71" s="537">
        <f t="shared" si="13"/>
        <v>56921.0638</v>
      </c>
      <c r="CM71" s="537">
        <f t="shared" si="13"/>
        <v>81490.935</v>
      </c>
      <c r="CN71" s="537">
        <f t="shared" si="13"/>
        <v>-37693.9819</v>
      </c>
      <c r="CO71" s="538">
        <f t="shared" si="13"/>
        <v>62674.0926</v>
      </c>
      <c r="CP71" s="573">
        <f t="shared" si="13"/>
        <v>896782.1583</v>
      </c>
      <c r="CQ71" s="537">
        <f t="shared" si="13"/>
        <v>523611.2152</v>
      </c>
      <c r="CR71" s="537">
        <f t="shared" si="13"/>
        <v>18742.2634</v>
      </c>
      <c r="CS71" s="537">
        <f t="shared" si="13"/>
        <v>48051</v>
      </c>
      <c r="CT71" s="537">
        <f t="shared" si="13"/>
        <v>133329</v>
      </c>
      <c r="CU71" s="537">
        <f t="shared" si="13"/>
        <v>-10137</v>
      </c>
      <c r="CV71" s="537">
        <f t="shared" si="13"/>
        <v>86706</v>
      </c>
      <c r="CW71" s="537">
        <f t="shared" si="13"/>
        <v>0</v>
      </c>
      <c r="CX71" s="537">
        <f t="shared" si="13"/>
        <v>0</v>
      </c>
      <c r="CY71" s="537">
        <f t="shared" si="13"/>
        <v>-2030</v>
      </c>
      <c r="CZ71" s="537">
        <f t="shared" si="13"/>
        <v>0</v>
      </c>
      <c r="DA71" s="537">
        <f t="shared" si="13"/>
        <v>0</v>
      </c>
      <c r="DB71" s="567"/>
      <c r="DC71" s="567"/>
      <c r="DD71" s="567"/>
      <c r="DE71" s="567"/>
      <c r="DF71" s="567"/>
      <c r="DG71" s="567"/>
      <c r="DH71" s="567"/>
      <c r="DI71" s="567"/>
      <c r="DJ71" s="567"/>
      <c r="DK71" s="567"/>
      <c r="DL71" s="567"/>
      <c r="DM71" s="567"/>
      <c r="DN71" s="567"/>
      <c r="DO71" s="567"/>
      <c r="DP71" s="567"/>
      <c r="DQ71" s="567"/>
      <c r="DR71" s="567"/>
      <c r="DS71" s="567"/>
      <c r="DT71" s="567"/>
      <c r="DU71" s="567"/>
      <c r="DV71" s="567"/>
      <c r="DW71" s="567"/>
      <c r="DX71" s="567"/>
      <c r="DY71" s="567"/>
      <c r="DZ71" s="567"/>
      <c r="EA71" s="567"/>
      <c r="EB71" s="567"/>
      <c r="EC71" s="567"/>
      <c r="ED71" s="567"/>
      <c r="EE71" s="567"/>
      <c r="EF71" s="567"/>
      <c r="EG71" s="567"/>
      <c r="EH71" s="567"/>
      <c r="EI71" s="567"/>
      <c r="EJ71" s="567"/>
      <c r="EK71" s="567"/>
      <c r="EL71" s="567"/>
      <c r="EM71" s="567"/>
      <c r="EN71" s="567"/>
      <c r="EO71" s="567"/>
      <c r="EP71" s="567"/>
      <c r="EQ71" s="567"/>
      <c r="ER71" s="567"/>
      <c r="ES71" s="567"/>
      <c r="ET71" s="567"/>
      <c r="EU71" s="567"/>
      <c r="EV71" s="567"/>
      <c r="EW71" s="567"/>
      <c r="EX71" s="567"/>
      <c r="EY71" s="567"/>
      <c r="EZ71" s="567"/>
      <c r="FA71" s="567"/>
      <c r="FB71" s="567"/>
      <c r="FC71" s="567"/>
      <c r="FD71" s="567"/>
      <c r="FE71" s="567"/>
      <c r="FF71" s="567"/>
      <c r="FG71" s="567"/>
      <c r="FH71" s="567"/>
      <c r="FI71" s="567"/>
      <c r="FJ71" s="567"/>
      <c r="FK71" s="567"/>
      <c r="FL71" s="567"/>
      <c r="FM71" s="567"/>
      <c r="FN71" s="567"/>
      <c r="FO71" s="567"/>
      <c r="FP71" s="567"/>
      <c r="FQ71" s="567"/>
      <c r="FR71" s="567"/>
      <c r="FS71" s="567"/>
      <c r="FT71" s="567"/>
      <c r="FU71" s="567"/>
      <c r="FV71" s="567"/>
      <c r="FW71" s="567"/>
      <c r="FX71" s="567"/>
    </row>
    <row r="72">
      <c r="A72" s="146"/>
      <c r="B72" s="570" t="s">
        <v>730</v>
      </c>
      <c r="C72" s="570" t="s">
        <v>731</v>
      </c>
      <c r="D72" s="572" t="s">
        <v>652</v>
      </c>
      <c r="E72" s="444" t="s">
        <v>652</v>
      </c>
      <c r="F72" s="444" t="s">
        <v>652</v>
      </c>
      <c r="G72" s="574">
        <f t="shared" ref="G72:DA72" si="14">G53</f>
        <v>0</v>
      </c>
      <c r="H72" s="574">
        <f t="shared" si="14"/>
        <v>0</v>
      </c>
      <c r="I72" s="574">
        <f t="shared" si="14"/>
        <v>0</v>
      </c>
      <c r="J72" s="574">
        <f t="shared" si="14"/>
        <v>0</v>
      </c>
      <c r="K72" s="574">
        <f t="shared" si="14"/>
        <v>0</v>
      </c>
      <c r="L72" s="574">
        <f t="shared" si="14"/>
        <v>0</v>
      </c>
      <c r="M72" s="574">
        <f t="shared" si="14"/>
        <v>0</v>
      </c>
      <c r="N72" s="574">
        <f t="shared" si="14"/>
        <v>0</v>
      </c>
      <c r="O72" s="574">
        <f t="shared" si="14"/>
        <v>0</v>
      </c>
      <c r="P72" s="574">
        <f t="shared" si="14"/>
        <v>0</v>
      </c>
      <c r="Q72" s="574">
        <f t="shared" si="14"/>
        <v>0</v>
      </c>
      <c r="R72" s="574">
        <f t="shared" si="14"/>
        <v>0</v>
      </c>
      <c r="S72" s="574">
        <f t="shared" si="14"/>
        <v>0</v>
      </c>
      <c r="T72" s="574">
        <f t="shared" si="14"/>
        <v>0</v>
      </c>
      <c r="U72" s="574">
        <f t="shared" si="14"/>
        <v>0</v>
      </c>
      <c r="V72" s="574">
        <f t="shared" si="14"/>
        <v>0</v>
      </c>
      <c r="W72" s="574">
        <f t="shared" si="14"/>
        <v>0</v>
      </c>
      <c r="X72" s="574">
        <f t="shared" si="14"/>
        <v>0</v>
      </c>
      <c r="Y72" s="574">
        <f t="shared" si="14"/>
        <v>0</v>
      </c>
      <c r="Z72" s="574">
        <f t="shared" si="14"/>
        <v>0</v>
      </c>
      <c r="AA72" s="574">
        <f t="shared" si="14"/>
        <v>0</v>
      </c>
      <c r="AB72" s="574">
        <f t="shared" si="14"/>
        <v>0</v>
      </c>
      <c r="AC72" s="574">
        <f t="shared" si="14"/>
        <v>0</v>
      </c>
      <c r="AD72" s="574">
        <f t="shared" si="14"/>
        <v>0</v>
      </c>
      <c r="AE72" s="574">
        <f t="shared" si="14"/>
        <v>0</v>
      </c>
      <c r="AF72" s="574">
        <f t="shared" si="14"/>
        <v>0</v>
      </c>
      <c r="AG72" s="574">
        <f t="shared" si="14"/>
        <v>0</v>
      </c>
      <c r="AH72" s="574">
        <f t="shared" si="14"/>
        <v>0</v>
      </c>
      <c r="AI72" s="574">
        <f t="shared" si="14"/>
        <v>0</v>
      </c>
      <c r="AJ72" s="574">
        <f t="shared" si="14"/>
        <v>0</v>
      </c>
      <c r="AK72" s="574">
        <f t="shared" si="14"/>
        <v>0</v>
      </c>
      <c r="AL72" s="574">
        <f t="shared" si="14"/>
        <v>0</v>
      </c>
      <c r="AM72" s="574">
        <f t="shared" si="14"/>
        <v>0</v>
      </c>
      <c r="AN72" s="574">
        <f t="shared" si="14"/>
        <v>0</v>
      </c>
      <c r="AO72" s="574">
        <f t="shared" si="14"/>
        <v>0</v>
      </c>
      <c r="AP72" s="574">
        <f t="shared" si="14"/>
        <v>0</v>
      </c>
      <c r="AQ72" s="574">
        <f t="shared" si="14"/>
        <v>0</v>
      </c>
      <c r="AR72" s="574">
        <f t="shared" si="14"/>
        <v>0</v>
      </c>
      <c r="AS72" s="574">
        <f t="shared" si="14"/>
        <v>0</v>
      </c>
      <c r="AT72" s="574">
        <f t="shared" si="14"/>
        <v>0</v>
      </c>
      <c r="AU72" s="574">
        <f t="shared" si="14"/>
        <v>0</v>
      </c>
      <c r="AV72" s="574">
        <f t="shared" si="14"/>
        <v>0</v>
      </c>
      <c r="AW72" s="574">
        <f t="shared" si="14"/>
        <v>0</v>
      </c>
      <c r="AX72" s="574">
        <f t="shared" si="14"/>
        <v>0</v>
      </c>
      <c r="AY72" s="574">
        <f t="shared" si="14"/>
        <v>0</v>
      </c>
      <c r="AZ72" s="574">
        <f t="shared" si="14"/>
        <v>0</v>
      </c>
      <c r="BA72" s="574">
        <f t="shared" si="14"/>
        <v>0</v>
      </c>
      <c r="BB72" s="574">
        <f t="shared" si="14"/>
        <v>0</v>
      </c>
      <c r="BC72" s="574">
        <f t="shared" si="14"/>
        <v>0</v>
      </c>
      <c r="BD72" s="574">
        <f t="shared" si="14"/>
        <v>0</v>
      </c>
      <c r="BE72" s="574">
        <f t="shared" si="14"/>
        <v>0</v>
      </c>
      <c r="BF72" s="574">
        <f t="shared" si="14"/>
        <v>0</v>
      </c>
      <c r="BG72" s="574">
        <f t="shared" si="14"/>
        <v>0</v>
      </c>
      <c r="BH72" s="574">
        <f t="shared" si="14"/>
        <v>0</v>
      </c>
      <c r="BI72" s="574">
        <f t="shared" si="14"/>
        <v>0</v>
      </c>
      <c r="BJ72" s="574">
        <f t="shared" si="14"/>
        <v>0</v>
      </c>
      <c r="BK72" s="574">
        <f t="shared" si="14"/>
        <v>0</v>
      </c>
      <c r="BL72" s="574">
        <f t="shared" si="14"/>
        <v>0</v>
      </c>
      <c r="BM72" s="574">
        <f t="shared" si="14"/>
        <v>0</v>
      </c>
      <c r="BN72" s="574">
        <f t="shared" si="14"/>
        <v>0</v>
      </c>
      <c r="BO72" s="574">
        <f t="shared" si="14"/>
        <v>0</v>
      </c>
      <c r="BP72" s="574">
        <f t="shared" si="14"/>
        <v>0</v>
      </c>
      <c r="BQ72" s="574">
        <f t="shared" si="14"/>
        <v>0</v>
      </c>
      <c r="BR72" s="574">
        <f t="shared" si="14"/>
        <v>12956</v>
      </c>
      <c r="BS72" s="574">
        <f t="shared" si="14"/>
        <v>12740</v>
      </c>
      <c r="BT72" s="574">
        <f t="shared" si="14"/>
        <v>12527</v>
      </c>
      <c r="BU72" s="574">
        <f t="shared" si="14"/>
        <v>12318</v>
      </c>
      <c r="BV72" s="574">
        <f t="shared" si="14"/>
        <v>12113</v>
      </c>
      <c r="BW72" s="574">
        <f t="shared" si="14"/>
        <v>11911</v>
      </c>
      <c r="BX72" s="574">
        <f t="shared" si="14"/>
        <v>11713</v>
      </c>
      <c r="BY72" s="574">
        <f t="shared" si="14"/>
        <v>11517</v>
      </c>
      <c r="BZ72" s="574">
        <f t="shared" si="14"/>
        <v>11326</v>
      </c>
      <c r="CA72" s="574">
        <f t="shared" si="14"/>
        <v>11137</v>
      </c>
      <c r="CB72" s="574">
        <f t="shared" si="14"/>
        <v>10951</v>
      </c>
      <c r="CC72" s="574">
        <f t="shared" si="14"/>
        <v>10769</v>
      </c>
      <c r="CD72" s="574">
        <f t="shared" si="14"/>
        <v>10589</v>
      </c>
      <c r="CE72" s="574">
        <f t="shared" si="14"/>
        <v>10413</v>
      </c>
      <c r="CF72" s="574">
        <f t="shared" si="14"/>
        <v>10239</v>
      </c>
      <c r="CG72" s="574">
        <f t="shared" si="14"/>
        <v>10068</v>
      </c>
      <c r="CH72" s="574">
        <f t="shared" si="14"/>
        <v>9901</v>
      </c>
      <c r="CI72" s="574">
        <f t="shared" si="14"/>
        <v>9736</v>
      </c>
      <c r="CJ72" s="574">
        <f t="shared" si="14"/>
        <v>9573</v>
      </c>
      <c r="CK72" s="574">
        <f t="shared" si="14"/>
        <v>9414</v>
      </c>
      <c r="CL72" s="574">
        <f t="shared" si="14"/>
        <v>9257</v>
      </c>
      <c r="CM72" s="574">
        <f t="shared" si="14"/>
        <v>9103</v>
      </c>
      <c r="CN72" s="574">
        <f t="shared" si="14"/>
        <v>8951</v>
      </c>
      <c r="CO72" s="575">
        <f t="shared" si="14"/>
        <v>8802</v>
      </c>
      <c r="CP72" s="576">
        <f t="shared" si="14"/>
        <v>8655</v>
      </c>
      <c r="CQ72" s="574">
        <f t="shared" si="14"/>
        <v>8511</v>
      </c>
      <c r="CR72" s="574">
        <f t="shared" si="14"/>
        <v>8369</v>
      </c>
      <c r="CS72" s="574">
        <f t="shared" si="14"/>
        <v>8229</v>
      </c>
      <c r="CT72" s="574">
        <f t="shared" si="14"/>
        <v>8092</v>
      </c>
      <c r="CU72" s="574">
        <f t="shared" si="14"/>
        <v>7957</v>
      </c>
      <c r="CV72" s="574">
        <f t="shared" si="14"/>
        <v>7825</v>
      </c>
      <c r="CW72" s="574">
        <f t="shared" si="14"/>
        <v>0</v>
      </c>
      <c r="CX72" s="574">
        <f t="shared" si="14"/>
        <v>0</v>
      </c>
      <c r="CY72" s="574">
        <f t="shared" si="14"/>
        <v>0</v>
      </c>
      <c r="CZ72" s="574">
        <f t="shared" si="14"/>
        <v>0</v>
      </c>
      <c r="DA72" s="574">
        <f t="shared" si="14"/>
        <v>0</v>
      </c>
      <c r="DB72" s="567"/>
      <c r="DC72" s="567"/>
      <c r="DD72" s="567"/>
      <c r="DE72" s="567"/>
      <c r="DF72" s="567"/>
      <c r="DG72" s="567"/>
      <c r="DH72" s="567"/>
      <c r="DI72" s="567"/>
      <c r="DJ72" s="567"/>
      <c r="DK72" s="567"/>
      <c r="DL72" s="567"/>
      <c r="DM72" s="567"/>
      <c r="DN72" s="567"/>
      <c r="DO72" s="567"/>
      <c r="DP72" s="567"/>
      <c r="DQ72" s="567"/>
      <c r="DR72" s="567"/>
      <c r="DS72" s="567"/>
      <c r="DT72" s="567"/>
      <c r="DU72" s="567"/>
      <c r="DV72" s="567"/>
      <c r="DW72" s="567"/>
      <c r="DX72" s="567"/>
      <c r="DY72" s="567"/>
      <c r="DZ72" s="567"/>
      <c r="EA72" s="567"/>
      <c r="EB72" s="567"/>
      <c r="EC72" s="567"/>
      <c r="ED72" s="567"/>
      <c r="EE72" s="567"/>
      <c r="EF72" s="567"/>
      <c r="EG72" s="567"/>
      <c r="EH72" s="567"/>
      <c r="EI72" s="567"/>
      <c r="EJ72" s="567"/>
      <c r="EK72" s="567"/>
      <c r="EL72" s="567"/>
      <c r="EM72" s="567"/>
      <c r="EN72" s="567"/>
      <c r="EO72" s="567"/>
      <c r="EP72" s="567"/>
      <c r="EQ72" s="567"/>
      <c r="ER72" s="567"/>
      <c r="ES72" s="567"/>
      <c r="ET72" s="567"/>
      <c r="EU72" s="567"/>
      <c r="EV72" s="567"/>
      <c r="EW72" s="567"/>
      <c r="EX72" s="567"/>
      <c r="EY72" s="567"/>
      <c r="EZ72" s="567"/>
      <c r="FA72" s="567"/>
      <c r="FB72" s="567"/>
      <c r="FC72" s="567"/>
      <c r="FD72" s="567"/>
      <c r="FE72" s="567"/>
      <c r="FF72" s="567"/>
      <c r="FG72" s="567"/>
      <c r="FH72" s="567"/>
      <c r="FI72" s="567"/>
      <c r="FJ72" s="567"/>
      <c r="FK72" s="567"/>
      <c r="FL72" s="567"/>
      <c r="FM72" s="567"/>
      <c r="FN72" s="567"/>
      <c r="FO72" s="567"/>
      <c r="FP72" s="567"/>
      <c r="FQ72" s="567"/>
      <c r="FR72" s="567"/>
      <c r="FS72" s="567"/>
      <c r="FT72" s="567"/>
      <c r="FU72" s="567"/>
      <c r="FV72" s="567"/>
      <c r="FW72" s="567"/>
      <c r="FX72" s="567"/>
    </row>
    <row r="73">
      <c r="A73" s="146"/>
      <c r="B73" s="577" t="s">
        <v>732</v>
      </c>
      <c r="C73" s="16"/>
      <c r="D73" s="572" t="s">
        <v>652</v>
      </c>
      <c r="E73" s="444" t="s">
        <v>652</v>
      </c>
      <c r="F73" s="444" t="s">
        <v>652</v>
      </c>
      <c r="G73" s="537">
        <f t="shared" ref="G73:DA73" si="15">G71+G72</f>
        <v>55264</v>
      </c>
      <c r="H73" s="537">
        <f t="shared" si="15"/>
        <v>37933</v>
      </c>
      <c r="I73" s="537">
        <f t="shared" si="15"/>
        <v>55580</v>
      </c>
      <c r="J73" s="537">
        <f t="shared" si="15"/>
        <v>54368</v>
      </c>
      <c r="K73" s="537">
        <f t="shared" si="15"/>
        <v>72288</v>
      </c>
      <c r="L73" s="537">
        <f t="shared" si="15"/>
        <v>54217</v>
      </c>
      <c r="M73" s="537">
        <f t="shared" si="15"/>
        <v>55000</v>
      </c>
      <c r="N73" s="537">
        <f t="shared" si="15"/>
        <v>46992</v>
      </c>
      <c r="O73" s="537">
        <f t="shared" si="15"/>
        <v>63362</v>
      </c>
      <c r="P73" s="537">
        <f t="shared" si="15"/>
        <v>54686</v>
      </c>
      <c r="Q73" s="537">
        <f t="shared" si="15"/>
        <v>58782</v>
      </c>
      <c r="R73" s="537">
        <f t="shared" si="15"/>
        <v>59464</v>
      </c>
      <c r="S73" s="537">
        <f t="shared" si="15"/>
        <v>62786</v>
      </c>
      <c r="T73" s="537">
        <f t="shared" si="15"/>
        <v>202635</v>
      </c>
      <c r="U73" s="537">
        <f t="shared" si="15"/>
        <v>200363</v>
      </c>
      <c r="V73" s="537">
        <f t="shared" si="15"/>
        <v>60301</v>
      </c>
      <c r="W73" s="537">
        <f t="shared" si="15"/>
        <v>61207</v>
      </c>
      <c r="X73" s="537">
        <f t="shared" si="15"/>
        <v>73941</v>
      </c>
      <c r="Y73" s="537">
        <f t="shared" si="15"/>
        <v>76895</v>
      </c>
      <c r="Z73" s="537">
        <f t="shared" si="15"/>
        <v>-11184</v>
      </c>
      <c r="AA73" s="537">
        <f t="shared" si="15"/>
        <v>55996</v>
      </c>
      <c r="AB73" s="537">
        <f t="shared" si="15"/>
        <v>31395</v>
      </c>
      <c r="AC73" s="537">
        <f t="shared" si="15"/>
        <v>30462</v>
      </c>
      <c r="AD73" s="537">
        <f t="shared" si="15"/>
        <v>25547</v>
      </c>
      <c r="AE73" s="537">
        <f t="shared" si="15"/>
        <v>29238</v>
      </c>
      <c r="AF73" s="537">
        <f t="shared" si="15"/>
        <v>29575</v>
      </c>
      <c r="AG73" s="537">
        <f t="shared" si="15"/>
        <v>24802</v>
      </c>
      <c r="AH73" s="537">
        <f t="shared" si="15"/>
        <v>29881</v>
      </c>
      <c r="AI73" s="537">
        <f t="shared" si="15"/>
        <v>85908</v>
      </c>
      <c r="AJ73" s="537">
        <f t="shared" si="15"/>
        <v>34673</v>
      </c>
      <c r="AK73" s="537">
        <f t="shared" si="15"/>
        <v>28715</v>
      </c>
      <c r="AL73" s="537">
        <f t="shared" si="15"/>
        <v>37134</v>
      </c>
      <c r="AM73" s="537">
        <f t="shared" si="15"/>
        <v>63300</v>
      </c>
      <c r="AN73" s="537">
        <f t="shared" si="15"/>
        <v>37251</v>
      </c>
      <c r="AO73" s="537">
        <f t="shared" si="15"/>
        <v>17121</v>
      </c>
      <c r="AP73" s="537">
        <f t="shared" si="15"/>
        <v>37231</v>
      </c>
      <c r="AQ73" s="537">
        <f t="shared" si="15"/>
        <v>4278</v>
      </c>
      <c r="AR73" s="537">
        <f t="shared" si="15"/>
        <v>-21463</v>
      </c>
      <c r="AS73" s="537">
        <f t="shared" si="15"/>
        <v>30306</v>
      </c>
      <c r="AT73" s="537">
        <f t="shared" si="15"/>
        <v>116654</v>
      </c>
      <c r="AU73" s="537">
        <f t="shared" si="15"/>
        <v>3311</v>
      </c>
      <c r="AV73" s="537">
        <f t="shared" si="15"/>
        <v>25647</v>
      </c>
      <c r="AW73" s="537">
        <f t="shared" si="15"/>
        <v>27498</v>
      </c>
      <c r="AX73" s="537">
        <f t="shared" si="15"/>
        <v>96537</v>
      </c>
      <c r="AY73" s="537">
        <f t="shared" si="15"/>
        <v>16149</v>
      </c>
      <c r="AZ73" s="537">
        <f t="shared" si="15"/>
        <v>-1602</v>
      </c>
      <c r="BA73" s="537">
        <f t="shared" si="15"/>
        <v>64293</v>
      </c>
      <c r="BB73" s="537">
        <f t="shared" si="15"/>
        <v>51901</v>
      </c>
      <c r="BC73" s="537">
        <f t="shared" si="15"/>
        <v>8767</v>
      </c>
      <c r="BD73" s="537">
        <f t="shared" si="15"/>
        <v>100501</v>
      </c>
      <c r="BE73" s="537">
        <f t="shared" si="15"/>
        <v>42305</v>
      </c>
      <c r="BF73" s="537">
        <f t="shared" si="15"/>
        <v>228748</v>
      </c>
      <c r="BG73" s="537">
        <f t="shared" si="15"/>
        <v>51551</v>
      </c>
      <c r="BH73" s="537">
        <f t="shared" si="15"/>
        <v>42902</v>
      </c>
      <c r="BI73" s="537">
        <f t="shared" si="15"/>
        <v>39239</v>
      </c>
      <c r="BJ73" s="537">
        <f t="shared" si="15"/>
        <v>49179</v>
      </c>
      <c r="BK73" s="537">
        <f t="shared" si="15"/>
        <v>41429</v>
      </c>
      <c r="BL73" s="537">
        <f t="shared" si="15"/>
        <v>199378</v>
      </c>
      <c r="BM73" s="537">
        <f t="shared" si="15"/>
        <v>40429</v>
      </c>
      <c r="BN73" s="537">
        <f t="shared" si="15"/>
        <v>11820</v>
      </c>
      <c r="BO73" s="537">
        <f t="shared" si="15"/>
        <v>110034</v>
      </c>
      <c r="BP73" s="537">
        <f t="shared" si="15"/>
        <v>18173</v>
      </c>
      <c r="BQ73" s="537">
        <f t="shared" si="15"/>
        <v>24554</v>
      </c>
      <c r="BR73" s="537">
        <f t="shared" si="15"/>
        <v>587040</v>
      </c>
      <c r="BS73" s="537">
        <f t="shared" si="15"/>
        <v>23948</v>
      </c>
      <c r="BT73" s="537">
        <f t="shared" si="15"/>
        <v>25481</v>
      </c>
      <c r="BU73" s="537">
        <f t="shared" si="15"/>
        <v>114874</v>
      </c>
      <c r="BV73" s="537">
        <f t="shared" si="15"/>
        <v>355408</v>
      </c>
      <c r="BW73" s="537">
        <f t="shared" si="15"/>
        <v>1031101.045</v>
      </c>
      <c r="BX73" s="537">
        <f t="shared" si="15"/>
        <v>175484.1702</v>
      </c>
      <c r="BY73" s="537">
        <f t="shared" si="15"/>
        <v>34467.2775</v>
      </c>
      <c r="BZ73" s="537">
        <f t="shared" si="15"/>
        <v>53376.3673</v>
      </c>
      <c r="CA73" s="537">
        <f t="shared" si="15"/>
        <v>-47270.5605</v>
      </c>
      <c r="CB73" s="537">
        <f t="shared" si="15"/>
        <v>75846.4941</v>
      </c>
      <c r="CC73" s="537">
        <f t="shared" si="15"/>
        <v>60093.531</v>
      </c>
      <c r="CD73" s="537">
        <f t="shared" si="15"/>
        <v>517294.5503</v>
      </c>
      <c r="CE73" s="537">
        <f t="shared" si="15"/>
        <v>53697.5518</v>
      </c>
      <c r="CF73" s="537">
        <f t="shared" si="15"/>
        <v>11128.5356</v>
      </c>
      <c r="CG73" s="537">
        <f t="shared" si="15"/>
        <v>123721.5016</v>
      </c>
      <c r="CH73" s="537">
        <f t="shared" si="15"/>
        <v>34479.4497</v>
      </c>
      <c r="CI73" s="537">
        <f t="shared" si="15"/>
        <v>12431.3801</v>
      </c>
      <c r="CJ73" s="537">
        <f t="shared" si="15"/>
        <v>54180.2926</v>
      </c>
      <c r="CK73" s="537">
        <f t="shared" si="15"/>
        <v>103338.1871</v>
      </c>
      <c r="CL73" s="537">
        <f t="shared" si="15"/>
        <v>66178.0638</v>
      </c>
      <c r="CM73" s="537">
        <f t="shared" si="15"/>
        <v>90593.935</v>
      </c>
      <c r="CN73" s="537">
        <f t="shared" si="15"/>
        <v>-28742.9819</v>
      </c>
      <c r="CO73" s="538">
        <f t="shared" si="15"/>
        <v>71476.0926</v>
      </c>
      <c r="CP73" s="573">
        <f t="shared" si="15"/>
        <v>905437.1583</v>
      </c>
      <c r="CQ73" s="537">
        <f t="shared" si="15"/>
        <v>532122.2152</v>
      </c>
      <c r="CR73" s="537">
        <f t="shared" si="15"/>
        <v>27111.2634</v>
      </c>
      <c r="CS73" s="537">
        <f t="shared" si="15"/>
        <v>56280</v>
      </c>
      <c r="CT73" s="537">
        <f t="shared" si="15"/>
        <v>141421</v>
      </c>
      <c r="CU73" s="537">
        <f t="shared" si="15"/>
        <v>-2180</v>
      </c>
      <c r="CV73" s="537">
        <f t="shared" si="15"/>
        <v>94531</v>
      </c>
      <c r="CW73" s="537">
        <f t="shared" si="15"/>
        <v>0</v>
      </c>
      <c r="CX73" s="537">
        <f t="shared" si="15"/>
        <v>0</v>
      </c>
      <c r="CY73" s="537">
        <f t="shared" si="15"/>
        <v>-2030</v>
      </c>
      <c r="CZ73" s="537">
        <f t="shared" si="15"/>
        <v>0</v>
      </c>
      <c r="DA73" s="537">
        <f t="shared" si="15"/>
        <v>0</v>
      </c>
      <c r="DB73" s="567"/>
      <c r="DC73" s="567"/>
      <c r="DD73" s="567"/>
      <c r="DE73" s="567"/>
      <c r="DF73" s="567"/>
      <c r="DG73" s="567"/>
      <c r="DH73" s="567"/>
      <c r="DI73" s="567"/>
      <c r="DJ73" s="567"/>
      <c r="DK73" s="567"/>
      <c r="DL73" s="567"/>
      <c r="DM73" s="567"/>
      <c r="DN73" s="567"/>
      <c r="DO73" s="567"/>
      <c r="DP73" s="567"/>
      <c r="DQ73" s="567"/>
      <c r="DR73" s="567"/>
      <c r="DS73" s="567"/>
      <c r="DT73" s="567"/>
      <c r="DU73" s="567"/>
      <c r="DV73" s="567"/>
      <c r="DW73" s="567"/>
      <c r="DX73" s="567"/>
      <c r="DY73" s="567"/>
      <c r="DZ73" s="567"/>
      <c r="EA73" s="567"/>
      <c r="EB73" s="567"/>
      <c r="EC73" s="567"/>
      <c r="ED73" s="567"/>
      <c r="EE73" s="567"/>
      <c r="EF73" s="567"/>
      <c r="EG73" s="567"/>
      <c r="EH73" s="567"/>
      <c r="EI73" s="567"/>
      <c r="EJ73" s="567"/>
      <c r="EK73" s="567"/>
      <c r="EL73" s="567"/>
      <c r="EM73" s="567"/>
      <c r="EN73" s="567"/>
      <c r="EO73" s="567"/>
      <c r="EP73" s="567"/>
      <c r="EQ73" s="567"/>
      <c r="ER73" s="567"/>
      <c r="ES73" s="567"/>
      <c r="ET73" s="567"/>
      <c r="EU73" s="567"/>
      <c r="EV73" s="567"/>
      <c r="EW73" s="567"/>
      <c r="EX73" s="567"/>
      <c r="EY73" s="567"/>
      <c r="EZ73" s="567"/>
      <c r="FA73" s="567"/>
      <c r="FB73" s="567"/>
      <c r="FC73" s="567"/>
      <c r="FD73" s="567"/>
      <c r="FE73" s="567"/>
      <c r="FF73" s="567"/>
      <c r="FG73" s="567"/>
      <c r="FH73" s="567"/>
      <c r="FI73" s="567"/>
      <c r="FJ73" s="567"/>
      <c r="FK73" s="567"/>
      <c r="FL73" s="567"/>
      <c r="FM73" s="567"/>
      <c r="FN73" s="567"/>
      <c r="FO73" s="567"/>
      <c r="FP73" s="567"/>
      <c r="FQ73" s="567"/>
      <c r="FR73" s="567"/>
      <c r="FS73" s="567"/>
      <c r="FT73" s="567"/>
      <c r="FU73" s="567"/>
      <c r="FV73" s="567"/>
      <c r="FW73" s="567"/>
      <c r="FX73" s="567"/>
    </row>
    <row r="74">
      <c r="A74" s="147"/>
      <c r="B74" s="570" t="s">
        <v>733</v>
      </c>
      <c r="C74" s="571"/>
      <c r="D74" s="572" t="s">
        <v>652</v>
      </c>
      <c r="E74" s="444" t="s">
        <v>652</v>
      </c>
      <c r="F74" s="444" t="s">
        <v>652</v>
      </c>
      <c r="G74" s="537">
        <f t="shared" ref="G74:DA74" si="16">G61</f>
        <v>0</v>
      </c>
      <c r="H74" s="537">
        <f t="shared" si="16"/>
        <v>0</v>
      </c>
      <c r="I74" s="537">
        <f t="shared" si="16"/>
        <v>0</v>
      </c>
      <c r="J74" s="537">
        <f t="shared" si="16"/>
        <v>0</v>
      </c>
      <c r="K74" s="537">
        <f t="shared" si="16"/>
        <v>0</v>
      </c>
      <c r="L74" s="537">
        <f t="shared" si="16"/>
        <v>0</v>
      </c>
      <c r="M74" s="537">
        <f t="shared" si="16"/>
        <v>0</v>
      </c>
      <c r="N74" s="537">
        <f t="shared" si="16"/>
        <v>0</v>
      </c>
      <c r="O74" s="537">
        <f t="shared" si="16"/>
        <v>0</v>
      </c>
      <c r="P74" s="537">
        <f t="shared" si="16"/>
        <v>0</v>
      </c>
      <c r="Q74" s="537">
        <f t="shared" si="16"/>
        <v>0</v>
      </c>
      <c r="R74" s="537">
        <f t="shared" si="16"/>
        <v>0</v>
      </c>
      <c r="S74" s="537">
        <f t="shared" si="16"/>
        <v>0</v>
      </c>
      <c r="T74" s="537">
        <f t="shared" si="16"/>
        <v>6978</v>
      </c>
      <c r="U74" s="537">
        <f t="shared" si="16"/>
        <v>6682</v>
      </c>
      <c r="V74" s="537">
        <f t="shared" si="16"/>
        <v>0</v>
      </c>
      <c r="W74" s="537">
        <f t="shared" si="16"/>
        <v>0</v>
      </c>
      <c r="X74" s="537">
        <f t="shared" si="16"/>
        <v>0</v>
      </c>
      <c r="Y74" s="537">
        <f t="shared" si="16"/>
        <v>0</v>
      </c>
      <c r="Z74" s="537">
        <f t="shared" si="16"/>
        <v>0</v>
      </c>
      <c r="AA74" s="537">
        <f t="shared" si="16"/>
        <v>26554</v>
      </c>
      <c r="AB74" s="537">
        <f t="shared" si="16"/>
        <v>0</v>
      </c>
      <c r="AC74" s="537">
        <f t="shared" si="16"/>
        <v>0</v>
      </c>
      <c r="AD74" s="537">
        <f t="shared" si="16"/>
        <v>0</v>
      </c>
      <c r="AE74" s="537">
        <f t="shared" si="16"/>
        <v>0</v>
      </c>
      <c r="AF74" s="537">
        <f t="shared" si="16"/>
        <v>0</v>
      </c>
      <c r="AG74" s="537">
        <f t="shared" si="16"/>
        <v>0</v>
      </c>
      <c r="AH74" s="537">
        <f t="shared" si="16"/>
        <v>0</v>
      </c>
      <c r="AI74" s="537">
        <f t="shared" si="16"/>
        <v>0</v>
      </c>
      <c r="AJ74" s="537">
        <f t="shared" si="16"/>
        <v>0</v>
      </c>
      <c r="AK74" s="537">
        <f t="shared" si="16"/>
        <v>0</v>
      </c>
      <c r="AL74" s="537">
        <f t="shared" si="16"/>
        <v>15807</v>
      </c>
      <c r="AM74" s="537">
        <f t="shared" si="16"/>
        <v>0</v>
      </c>
      <c r="AN74" s="537">
        <f t="shared" si="16"/>
        <v>0</v>
      </c>
      <c r="AO74" s="537">
        <f t="shared" si="16"/>
        <v>0</v>
      </c>
      <c r="AP74" s="537">
        <f t="shared" si="16"/>
        <v>0</v>
      </c>
      <c r="AQ74" s="537">
        <f t="shared" si="16"/>
        <v>0</v>
      </c>
      <c r="AR74" s="537">
        <f t="shared" si="16"/>
        <v>220</v>
      </c>
      <c r="AS74" s="537">
        <f t="shared" si="16"/>
        <v>0</v>
      </c>
      <c r="AT74" s="537">
        <f t="shared" si="16"/>
        <v>4530</v>
      </c>
      <c r="AU74" s="537">
        <f t="shared" si="16"/>
        <v>0</v>
      </c>
      <c r="AV74" s="537">
        <f t="shared" si="16"/>
        <v>0</v>
      </c>
      <c r="AW74" s="537">
        <f t="shared" si="16"/>
        <v>0</v>
      </c>
      <c r="AX74" s="537">
        <f t="shared" si="16"/>
        <v>19071</v>
      </c>
      <c r="AY74" s="537">
        <f t="shared" si="16"/>
        <v>0</v>
      </c>
      <c r="AZ74" s="537">
        <f t="shared" si="16"/>
        <v>0</v>
      </c>
      <c r="BA74" s="537">
        <f t="shared" si="16"/>
        <v>2705</v>
      </c>
      <c r="BB74" s="537">
        <f t="shared" si="16"/>
        <v>2178</v>
      </c>
      <c r="BC74" s="537">
        <f t="shared" si="16"/>
        <v>2232</v>
      </c>
      <c r="BD74" s="537">
        <f t="shared" si="16"/>
        <v>2482</v>
      </c>
      <c r="BE74" s="537">
        <f t="shared" si="16"/>
        <v>2259</v>
      </c>
      <c r="BF74" s="537">
        <f t="shared" si="16"/>
        <v>13886</v>
      </c>
      <c r="BG74" s="537">
        <f t="shared" si="16"/>
        <v>2245</v>
      </c>
      <c r="BH74" s="537">
        <f t="shared" si="16"/>
        <v>2265</v>
      </c>
      <c r="BI74" s="537">
        <f t="shared" si="16"/>
        <v>2606</v>
      </c>
      <c r="BJ74" s="537">
        <f t="shared" si="16"/>
        <v>12962</v>
      </c>
      <c r="BK74" s="537">
        <f t="shared" si="16"/>
        <v>2985</v>
      </c>
      <c r="BL74" s="537">
        <f t="shared" si="16"/>
        <v>10473</v>
      </c>
      <c r="BM74" s="537">
        <f t="shared" si="16"/>
        <v>2987</v>
      </c>
      <c r="BN74" s="537">
        <f t="shared" si="16"/>
        <v>2997</v>
      </c>
      <c r="BO74" s="537">
        <f t="shared" si="16"/>
        <v>4192</v>
      </c>
      <c r="BP74" s="537">
        <f t="shared" si="16"/>
        <v>3789</v>
      </c>
      <c r="BQ74" s="537">
        <f t="shared" si="16"/>
        <v>2987</v>
      </c>
      <c r="BR74" s="537">
        <f t="shared" si="16"/>
        <v>34205</v>
      </c>
      <c r="BS74" s="537">
        <f t="shared" si="16"/>
        <v>2453</v>
      </c>
      <c r="BT74" s="537">
        <f t="shared" si="16"/>
        <v>2461</v>
      </c>
      <c r="BU74" s="537">
        <f t="shared" si="16"/>
        <v>4421</v>
      </c>
      <c r="BV74" s="537">
        <f t="shared" si="16"/>
        <v>25011</v>
      </c>
      <c r="BW74" s="537">
        <f t="shared" si="16"/>
        <v>3322</v>
      </c>
      <c r="BX74" s="537">
        <f t="shared" si="16"/>
        <v>7110</v>
      </c>
      <c r="BY74" s="537">
        <f t="shared" si="16"/>
        <v>3260</v>
      </c>
      <c r="BZ74" s="537">
        <f t="shared" si="16"/>
        <v>3260</v>
      </c>
      <c r="CA74" s="537">
        <f t="shared" si="16"/>
        <v>1593</v>
      </c>
      <c r="CB74" s="537">
        <f t="shared" si="16"/>
        <v>3260</v>
      </c>
      <c r="CC74" s="537">
        <f t="shared" si="16"/>
        <v>3260</v>
      </c>
      <c r="CD74" s="537">
        <f t="shared" si="16"/>
        <v>34163</v>
      </c>
      <c r="CE74" s="537">
        <f t="shared" si="16"/>
        <v>3080</v>
      </c>
      <c r="CF74" s="537">
        <f t="shared" si="16"/>
        <v>3080</v>
      </c>
      <c r="CG74" s="537">
        <f t="shared" si="16"/>
        <v>4793</v>
      </c>
      <c r="CH74" s="537">
        <f t="shared" si="16"/>
        <v>3080</v>
      </c>
      <c r="CI74" s="537">
        <f t="shared" si="16"/>
        <v>3860</v>
      </c>
      <c r="CJ74" s="537">
        <f t="shared" si="16"/>
        <v>11041</v>
      </c>
      <c r="CK74" s="537">
        <f t="shared" si="16"/>
        <v>4400</v>
      </c>
      <c r="CL74" s="537">
        <f t="shared" si="16"/>
        <v>3860</v>
      </c>
      <c r="CM74" s="537">
        <f t="shared" si="16"/>
        <v>3620</v>
      </c>
      <c r="CN74" s="537">
        <f t="shared" si="16"/>
        <v>3500</v>
      </c>
      <c r="CO74" s="538">
        <f t="shared" si="16"/>
        <v>3500</v>
      </c>
      <c r="CP74" s="573">
        <f t="shared" si="16"/>
        <v>3450</v>
      </c>
      <c r="CQ74" s="537">
        <f t="shared" si="16"/>
        <v>3390</v>
      </c>
      <c r="CR74" s="537">
        <f t="shared" si="16"/>
        <v>3450</v>
      </c>
      <c r="CS74" s="537">
        <f t="shared" si="16"/>
        <v>4050</v>
      </c>
      <c r="CT74" s="537">
        <f t="shared" si="16"/>
        <v>104379</v>
      </c>
      <c r="CU74" s="537">
        <f t="shared" si="16"/>
        <v>3810</v>
      </c>
      <c r="CV74" s="537">
        <f t="shared" si="16"/>
        <v>3810</v>
      </c>
      <c r="CW74" s="537">
        <f t="shared" si="16"/>
        <v>0</v>
      </c>
      <c r="CX74" s="537">
        <f t="shared" si="16"/>
        <v>0</v>
      </c>
      <c r="CY74" s="537">
        <f t="shared" si="16"/>
        <v>0</v>
      </c>
      <c r="CZ74" s="537">
        <f t="shared" si="16"/>
        <v>0</v>
      </c>
      <c r="DA74" s="537">
        <f t="shared" si="16"/>
        <v>0</v>
      </c>
      <c r="DB74" s="567"/>
      <c r="DC74" s="567"/>
      <c r="DD74" s="567"/>
      <c r="DE74" s="567"/>
      <c r="DF74" s="567"/>
      <c r="DG74" s="567"/>
      <c r="DH74" s="567"/>
      <c r="DI74" s="567"/>
      <c r="DJ74" s="567"/>
      <c r="DK74" s="567"/>
      <c r="DL74" s="567"/>
      <c r="DM74" s="567"/>
      <c r="DN74" s="567"/>
      <c r="DO74" s="567"/>
      <c r="DP74" s="567"/>
      <c r="DQ74" s="567"/>
      <c r="DR74" s="567"/>
      <c r="DS74" s="567"/>
      <c r="DT74" s="567"/>
      <c r="DU74" s="567"/>
      <c r="DV74" s="567"/>
      <c r="DW74" s="567"/>
      <c r="DX74" s="567"/>
      <c r="DY74" s="567"/>
      <c r="DZ74" s="567"/>
      <c r="EA74" s="567"/>
      <c r="EB74" s="567"/>
      <c r="EC74" s="567"/>
      <c r="ED74" s="567"/>
      <c r="EE74" s="567"/>
      <c r="EF74" s="567"/>
      <c r="EG74" s="567"/>
      <c r="EH74" s="567"/>
      <c r="EI74" s="567"/>
      <c r="EJ74" s="567"/>
      <c r="EK74" s="567"/>
      <c r="EL74" s="567"/>
      <c r="EM74" s="567"/>
      <c r="EN74" s="567"/>
      <c r="EO74" s="567"/>
      <c r="EP74" s="567"/>
      <c r="EQ74" s="567"/>
      <c r="ER74" s="567"/>
      <c r="ES74" s="567"/>
      <c r="ET74" s="567"/>
      <c r="EU74" s="567"/>
      <c r="EV74" s="567"/>
      <c r="EW74" s="567"/>
      <c r="EX74" s="567"/>
      <c r="EY74" s="567"/>
      <c r="EZ74" s="567"/>
      <c r="FA74" s="567"/>
      <c r="FB74" s="567"/>
      <c r="FC74" s="567"/>
      <c r="FD74" s="567"/>
      <c r="FE74" s="567"/>
      <c r="FF74" s="567"/>
      <c r="FG74" s="567"/>
      <c r="FH74" s="567"/>
      <c r="FI74" s="567"/>
      <c r="FJ74" s="567"/>
      <c r="FK74" s="567"/>
      <c r="FL74" s="567"/>
      <c r="FM74" s="567"/>
      <c r="FN74" s="567"/>
      <c r="FO74" s="567"/>
      <c r="FP74" s="567"/>
      <c r="FQ74" s="567"/>
      <c r="FR74" s="567"/>
      <c r="FS74" s="567"/>
      <c r="FT74" s="567"/>
      <c r="FU74" s="567"/>
      <c r="FV74" s="567"/>
      <c r="FW74" s="567"/>
      <c r="FX74" s="567"/>
    </row>
    <row r="75">
      <c r="A75" s="578" t="s">
        <v>734</v>
      </c>
      <c r="B75" s="15"/>
      <c r="C75" s="16"/>
      <c r="D75" s="572" t="s">
        <v>652</v>
      </c>
      <c r="E75" s="444" t="s">
        <v>652</v>
      </c>
      <c r="F75" s="444" t="s">
        <v>652</v>
      </c>
      <c r="G75" s="537">
        <f t="shared" ref="G75:DA75" si="17">G73-G74</f>
        <v>55264</v>
      </c>
      <c r="H75" s="537">
        <f t="shared" si="17"/>
        <v>37933</v>
      </c>
      <c r="I75" s="537">
        <f t="shared" si="17"/>
        <v>55580</v>
      </c>
      <c r="J75" s="537">
        <f t="shared" si="17"/>
        <v>54368</v>
      </c>
      <c r="K75" s="537">
        <f t="shared" si="17"/>
        <v>72288</v>
      </c>
      <c r="L75" s="537">
        <f t="shared" si="17"/>
        <v>54217</v>
      </c>
      <c r="M75" s="537">
        <f t="shared" si="17"/>
        <v>55000</v>
      </c>
      <c r="N75" s="537">
        <f t="shared" si="17"/>
        <v>46992</v>
      </c>
      <c r="O75" s="537">
        <f t="shared" si="17"/>
        <v>63362</v>
      </c>
      <c r="P75" s="537">
        <f t="shared" si="17"/>
        <v>54686</v>
      </c>
      <c r="Q75" s="537">
        <f t="shared" si="17"/>
        <v>58782</v>
      </c>
      <c r="R75" s="537">
        <f t="shared" si="17"/>
        <v>59464</v>
      </c>
      <c r="S75" s="537">
        <f t="shared" si="17"/>
        <v>62786</v>
      </c>
      <c r="T75" s="537">
        <f t="shared" si="17"/>
        <v>195657</v>
      </c>
      <c r="U75" s="537">
        <f t="shared" si="17"/>
        <v>193681</v>
      </c>
      <c r="V75" s="537">
        <f t="shared" si="17"/>
        <v>60301</v>
      </c>
      <c r="W75" s="537">
        <f t="shared" si="17"/>
        <v>61207</v>
      </c>
      <c r="X75" s="537">
        <f t="shared" si="17"/>
        <v>73941</v>
      </c>
      <c r="Y75" s="537">
        <f t="shared" si="17"/>
        <v>76895</v>
      </c>
      <c r="Z75" s="537">
        <f t="shared" si="17"/>
        <v>-11184</v>
      </c>
      <c r="AA75" s="537">
        <f t="shared" si="17"/>
        <v>29442</v>
      </c>
      <c r="AB75" s="537">
        <f t="shared" si="17"/>
        <v>31395</v>
      </c>
      <c r="AC75" s="537">
        <f t="shared" si="17"/>
        <v>30462</v>
      </c>
      <c r="AD75" s="537">
        <f t="shared" si="17"/>
        <v>25547</v>
      </c>
      <c r="AE75" s="537">
        <f t="shared" si="17"/>
        <v>29238</v>
      </c>
      <c r="AF75" s="537">
        <f t="shared" si="17"/>
        <v>29575</v>
      </c>
      <c r="AG75" s="537">
        <f t="shared" si="17"/>
        <v>24802</v>
      </c>
      <c r="AH75" s="537">
        <f t="shared" si="17"/>
        <v>29881</v>
      </c>
      <c r="AI75" s="537">
        <f t="shared" si="17"/>
        <v>85908</v>
      </c>
      <c r="AJ75" s="537">
        <f t="shared" si="17"/>
        <v>34673</v>
      </c>
      <c r="AK75" s="537">
        <f t="shared" si="17"/>
        <v>28715</v>
      </c>
      <c r="AL75" s="537">
        <f t="shared" si="17"/>
        <v>21327</v>
      </c>
      <c r="AM75" s="537">
        <f t="shared" si="17"/>
        <v>63300</v>
      </c>
      <c r="AN75" s="537">
        <f t="shared" si="17"/>
        <v>37251</v>
      </c>
      <c r="AO75" s="537">
        <f t="shared" si="17"/>
        <v>17121</v>
      </c>
      <c r="AP75" s="537">
        <f t="shared" si="17"/>
        <v>37231</v>
      </c>
      <c r="AQ75" s="537">
        <f t="shared" si="17"/>
        <v>4278</v>
      </c>
      <c r="AR75" s="537">
        <f t="shared" si="17"/>
        <v>-21683</v>
      </c>
      <c r="AS75" s="537">
        <f t="shared" si="17"/>
        <v>30306</v>
      </c>
      <c r="AT75" s="537">
        <f t="shared" si="17"/>
        <v>112124</v>
      </c>
      <c r="AU75" s="537">
        <f t="shared" si="17"/>
        <v>3311</v>
      </c>
      <c r="AV75" s="537">
        <f t="shared" si="17"/>
        <v>25647</v>
      </c>
      <c r="AW75" s="537">
        <f t="shared" si="17"/>
        <v>27498</v>
      </c>
      <c r="AX75" s="537">
        <f t="shared" si="17"/>
        <v>77466</v>
      </c>
      <c r="AY75" s="537">
        <f t="shared" si="17"/>
        <v>16149</v>
      </c>
      <c r="AZ75" s="537">
        <f t="shared" si="17"/>
        <v>-1602</v>
      </c>
      <c r="BA75" s="537">
        <f t="shared" si="17"/>
        <v>61588</v>
      </c>
      <c r="BB75" s="537">
        <f t="shared" si="17"/>
        <v>49723</v>
      </c>
      <c r="BC75" s="537">
        <f t="shared" si="17"/>
        <v>6535</v>
      </c>
      <c r="BD75" s="537">
        <f t="shared" si="17"/>
        <v>98019</v>
      </c>
      <c r="BE75" s="537">
        <f t="shared" si="17"/>
        <v>40046</v>
      </c>
      <c r="BF75" s="537">
        <f t="shared" si="17"/>
        <v>214862</v>
      </c>
      <c r="BG75" s="537">
        <f t="shared" si="17"/>
        <v>49306</v>
      </c>
      <c r="BH75" s="537">
        <f t="shared" si="17"/>
        <v>40637</v>
      </c>
      <c r="BI75" s="537">
        <f t="shared" si="17"/>
        <v>36633</v>
      </c>
      <c r="BJ75" s="537">
        <f t="shared" si="17"/>
        <v>36217</v>
      </c>
      <c r="BK75" s="537">
        <f t="shared" si="17"/>
        <v>38444</v>
      </c>
      <c r="BL75" s="537">
        <f t="shared" si="17"/>
        <v>188905</v>
      </c>
      <c r="BM75" s="537">
        <f t="shared" si="17"/>
        <v>37442</v>
      </c>
      <c r="BN75" s="537">
        <f t="shared" si="17"/>
        <v>8823</v>
      </c>
      <c r="BO75" s="537">
        <f t="shared" si="17"/>
        <v>105842</v>
      </c>
      <c r="BP75" s="537">
        <f t="shared" si="17"/>
        <v>14384</v>
      </c>
      <c r="BQ75" s="537">
        <f t="shared" si="17"/>
        <v>21567</v>
      </c>
      <c r="BR75" s="537">
        <f t="shared" si="17"/>
        <v>552835</v>
      </c>
      <c r="BS75" s="537">
        <f t="shared" si="17"/>
        <v>21495</v>
      </c>
      <c r="BT75" s="537">
        <f t="shared" si="17"/>
        <v>23020</v>
      </c>
      <c r="BU75" s="537">
        <f t="shared" si="17"/>
        <v>110453</v>
      </c>
      <c r="BV75" s="537">
        <f t="shared" si="17"/>
        <v>330397</v>
      </c>
      <c r="BW75" s="537">
        <f t="shared" si="17"/>
        <v>1027779.045</v>
      </c>
      <c r="BX75" s="537">
        <f t="shared" si="17"/>
        <v>168374.1702</v>
      </c>
      <c r="BY75" s="537">
        <f t="shared" si="17"/>
        <v>31207.2775</v>
      </c>
      <c r="BZ75" s="537">
        <f t="shared" si="17"/>
        <v>50116.3673</v>
      </c>
      <c r="CA75" s="537">
        <f t="shared" si="17"/>
        <v>-48863.5605</v>
      </c>
      <c r="CB75" s="537">
        <f t="shared" si="17"/>
        <v>72586.4941</v>
      </c>
      <c r="CC75" s="537">
        <f t="shared" si="17"/>
        <v>56833.531</v>
      </c>
      <c r="CD75" s="537">
        <f t="shared" si="17"/>
        <v>483131.5503</v>
      </c>
      <c r="CE75" s="537">
        <f t="shared" si="17"/>
        <v>50617.5518</v>
      </c>
      <c r="CF75" s="537">
        <f t="shared" si="17"/>
        <v>8048.5356</v>
      </c>
      <c r="CG75" s="537">
        <f t="shared" si="17"/>
        <v>118928.5016</v>
      </c>
      <c r="CH75" s="537">
        <f t="shared" si="17"/>
        <v>31399.4497</v>
      </c>
      <c r="CI75" s="537">
        <f t="shared" si="17"/>
        <v>8571.3801</v>
      </c>
      <c r="CJ75" s="537">
        <f t="shared" si="17"/>
        <v>43139.2926</v>
      </c>
      <c r="CK75" s="537">
        <f t="shared" si="17"/>
        <v>98938.1871</v>
      </c>
      <c r="CL75" s="537">
        <f t="shared" si="17"/>
        <v>62318.0638</v>
      </c>
      <c r="CM75" s="537">
        <f t="shared" si="17"/>
        <v>86973.935</v>
      </c>
      <c r="CN75" s="537">
        <f t="shared" si="17"/>
        <v>-32242.9819</v>
      </c>
      <c r="CO75" s="538">
        <f t="shared" si="17"/>
        <v>67976.0926</v>
      </c>
      <c r="CP75" s="573">
        <f t="shared" si="17"/>
        <v>901987.1583</v>
      </c>
      <c r="CQ75" s="537">
        <f t="shared" si="17"/>
        <v>528732.2152</v>
      </c>
      <c r="CR75" s="537">
        <f t="shared" si="17"/>
        <v>23661.2634</v>
      </c>
      <c r="CS75" s="537">
        <f t="shared" si="17"/>
        <v>52230</v>
      </c>
      <c r="CT75" s="537">
        <f t="shared" si="17"/>
        <v>37042</v>
      </c>
      <c r="CU75" s="537">
        <f t="shared" si="17"/>
        <v>-5990</v>
      </c>
      <c r="CV75" s="537">
        <f t="shared" si="17"/>
        <v>90721</v>
      </c>
      <c r="CW75" s="537">
        <f t="shared" si="17"/>
        <v>0</v>
      </c>
      <c r="CX75" s="537">
        <f t="shared" si="17"/>
        <v>0</v>
      </c>
      <c r="CY75" s="537">
        <f t="shared" si="17"/>
        <v>-2030</v>
      </c>
      <c r="CZ75" s="537">
        <f t="shared" si="17"/>
        <v>0</v>
      </c>
      <c r="DA75" s="537">
        <f t="shared" si="17"/>
        <v>0</v>
      </c>
      <c r="DB75" s="567"/>
      <c r="DC75" s="567"/>
      <c r="DD75" s="567"/>
      <c r="DE75" s="567"/>
      <c r="DF75" s="567"/>
      <c r="DG75" s="567"/>
      <c r="DH75" s="567"/>
      <c r="DI75" s="567"/>
      <c r="DJ75" s="567"/>
      <c r="DK75" s="567"/>
      <c r="DL75" s="567"/>
      <c r="DM75" s="567"/>
      <c r="DN75" s="567"/>
      <c r="DO75" s="567"/>
      <c r="DP75" s="567"/>
      <c r="DQ75" s="567"/>
      <c r="DR75" s="567"/>
      <c r="DS75" s="567"/>
      <c r="DT75" s="567"/>
      <c r="DU75" s="567"/>
      <c r="DV75" s="567"/>
      <c r="DW75" s="567"/>
      <c r="DX75" s="567"/>
      <c r="DY75" s="567"/>
      <c r="DZ75" s="567"/>
      <c r="EA75" s="567"/>
      <c r="EB75" s="567"/>
      <c r="EC75" s="567"/>
      <c r="ED75" s="567"/>
      <c r="EE75" s="567"/>
      <c r="EF75" s="567"/>
      <c r="EG75" s="567"/>
      <c r="EH75" s="567"/>
      <c r="EI75" s="567"/>
      <c r="EJ75" s="567"/>
      <c r="EK75" s="567"/>
      <c r="EL75" s="567"/>
      <c r="EM75" s="567"/>
      <c r="EN75" s="567"/>
      <c r="EO75" s="567"/>
      <c r="EP75" s="567"/>
      <c r="EQ75" s="567"/>
      <c r="ER75" s="567"/>
      <c r="ES75" s="567"/>
      <c r="ET75" s="567"/>
      <c r="EU75" s="567"/>
      <c r="EV75" s="567"/>
      <c r="EW75" s="567"/>
      <c r="EX75" s="567"/>
      <c r="EY75" s="567"/>
      <c r="EZ75" s="567"/>
      <c r="FA75" s="567"/>
      <c r="FB75" s="567"/>
      <c r="FC75" s="567"/>
      <c r="FD75" s="567"/>
      <c r="FE75" s="567"/>
      <c r="FF75" s="567"/>
      <c r="FG75" s="567"/>
      <c r="FH75" s="567"/>
      <c r="FI75" s="567"/>
      <c r="FJ75" s="567"/>
      <c r="FK75" s="567"/>
      <c r="FL75" s="567"/>
      <c r="FM75" s="567"/>
      <c r="FN75" s="567"/>
      <c r="FO75" s="567"/>
      <c r="FP75" s="567"/>
      <c r="FQ75" s="567"/>
      <c r="FR75" s="567"/>
      <c r="FS75" s="567"/>
      <c r="FT75" s="567"/>
      <c r="FU75" s="567"/>
      <c r="FV75" s="567"/>
      <c r="FW75" s="567"/>
      <c r="FX75" s="567"/>
    </row>
    <row r="76">
      <c r="A76" s="579" t="s">
        <v>735</v>
      </c>
      <c r="B76" s="580" t="s">
        <v>736</v>
      </c>
      <c r="C76" s="580" t="s">
        <v>737</v>
      </c>
      <c r="D76" s="581" t="s">
        <v>738</v>
      </c>
      <c r="E76" s="444">
        <v>1.0</v>
      </c>
      <c r="F76" s="444">
        <v>1.0</v>
      </c>
      <c r="G76" s="542">
        <v>0.0</v>
      </c>
      <c r="H76" s="542">
        <v>0.0</v>
      </c>
      <c r="I76" s="542">
        <v>0.0</v>
      </c>
      <c r="J76" s="542">
        <v>0.0</v>
      </c>
      <c r="K76" s="542">
        <v>0.0</v>
      </c>
      <c r="L76" s="542">
        <v>0.0</v>
      </c>
      <c r="M76" s="542">
        <v>0.0</v>
      </c>
      <c r="N76" s="542">
        <v>0.0</v>
      </c>
      <c r="O76" s="542">
        <v>0.0</v>
      </c>
      <c r="P76" s="542">
        <v>0.0</v>
      </c>
      <c r="Q76" s="542">
        <v>0.0</v>
      </c>
      <c r="R76" s="542">
        <v>0.0</v>
      </c>
      <c r="S76" s="542">
        <v>0.0</v>
      </c>
      <c r="T76" s="542">
        <v>0.0</v>
      </c>
      <c r="U76" s="542">
        <v>0.0</v>
      </c>
      <c r="V76" s="542">
        <v>0.0</v>
      </c>
      <c r="W76" s="542">
        <v>0.0</v>
      </c>
      <c r="X76" s="542">
        <v>0.0</v>
      </c>
      <c r="Y76" s="542">
        <v>0.0</v>
      </c>
      <c r="Z76" s="542">
        <v>0.0</v>
      </c>
      <c r="AA76" s="542">
        <v>0.0</v>
      </c>
      <c r="AB76" s="542">
        <v>0.0</v>
      </c>
      <c r="AC76" s="542">
        <v>0.0</v>
      </c>
      <c r="AD76" s="542">
        <v>0.0</v>
      </c>
      <c r="AE76" s="542">
        <v>0.0</v>
      </c>
      <c r="AF76" s="542">
        <v>0.0</v>
      </c>
      <c r="AG76" s="542">
        <v>0.0</v>
      </c>
      <c r="AH76" s="542">
        <v>0.0</v>
      </c>
      <c r="AI76" s="542">
        <v>0.0</v>
      </c>
      <c r="AJ76" s="542">
        <v>0.0</v>
      </c>
      <c r="AK76" s="542">
        <v>0.0</v>
      </c>
      <c r="AL76" s="542">
        <v>0.0</v>
      </c>
      <c r="AM76" s="542">
        <v>0.0</v>
      </c>
      <c r="AN76" s="542">
        <v>0.0</v>
      </c>
      <c r="AO76" s="542">
        <v>0.0</v>
      </c>
      <c r="AP76" s="542">
        <v>0.0</v>
      </c>
      <c r="AQ76" s="542">
        <v>0.0</v>
      </c>
      <c r="AR76" s="542">
        <v>0.0</v>
      </c>
      <c r="AS76" s="542">
        <v>0.0</v>
      </c>
      <c r="AT76" s="542">
        <v>0.0</v>
      </c>
      <c r="AU76" s="542">
        <v>0.0</v>
      </c>
      <c r="AV76" s="542">
        <v>0.0</v>
      </c>
      <c r="AW76" s="542">
        <v>0.0</v>
      </c>
      <c r="AX76" s="542">
        <v>0.0</v>
      </c>
      <c r="AY76" s="542">
        <v>0.0</v>
      </c>
      <c r="AZ76" s="542">
        <v>0.0</v>
      </c>
      <c r="BA76" s="542">
        <v>0.0</v>
      </c>
      <c r="BB76" s="542">
        <v>0.0</v>
      </c>
      <c r="BC76" s="542">
        <v>0.0</v>
      </c>
      <c r="BD76" s="542">
        <v>0.0</v>
      </c>
      <c r="BE76" s="542">
        <v>0.0</v>
      </c>
      <c r="BF76" s="542">
        <v>0.0</v>
      </c>
      <c r="BG76" s="542">
        <v>0.0</v>
      </c>
      <c r="BH76" s="542">
        <v>0.0</v>
      </c>
      <c r="BI76" s="542">
        <v>0.0</v>
      </c>
      <c r="BJ76" s="542">
        <v>0.0</v>
      </c>
      <c r="BK76" s="542">
        <v>0.0</v>
      </c>
      <c r="BL76" s="542">
        <v>0.0</v>
      </c>
      <c r="BM76" s="542">
        <v>0.0</v>
      </c>
      <c r="BN76" s="542">
        <v>0.0</v>
      </c>
      <c r="BO76" s="542">
        <v>0.0</v>
      </c>
      <c r="BP76" s="542">
        <v>0.0</v>
      </c>
      <c r="BQ76" s="542">
        <v>0.0</v>
      </c>
      <c r="BR76" s="542">
        <v>0.0</v>
      </c>
      <c r="BS76" s="542">
        <v>0.0</v>
      </c>
      <c r="BT76" s="542">
        <v>0.0</v>
      </c>
      <c r="BU76" s="542">
        <v>0.0</v>
      </c>
      <c r="BV76" s="542">
        <v>0.0</v>
      </c>
      <c r="BW76" s="542">
        <v>0.0</v>
      </c>
      <c r="BX76" s="542">
        <v>0.0</v>
      </c>
      <c r="BY76" s="542">
        <v>0.0</v>
      </c>
      <c r="BZ76" s="542">
        <v>0.0</v>
      </c>
      <c r="CA76" s="542">
        <v>0.0</v>
      </c>
      <c r="CB76" s="542">
        <v>0.0</v>
      </c>
      <c r="CC76" s="542">
        <v>0.0</v>
      </c>
      <c r="CD76" s="542">
        <v>0.0</v>
      </c>
      <c r="CE76" s="542">
        <v>0.0</v>
      </c>
      <c r="CF76" s="542">
        <v>0.0</v>
      </c>
      <c r="CG76" s="542">
        <v>0.0</v>
      </c>
      <c r="CH76" s="542">
        <v>0.0</v>
      </c>
      <c r="CI76" s="542">
        <v>0.0</v>
      </c>
      <c r="CJ76" s="542">
        <v>0.0</v>
      </c>
      <c r="CK76" s="542">
        <v>0.0</v>
      </c>
      <c r="CL76" s="542">
        <f>IFERROR(__xludf.DUMMYFUNCTION("SUM(INDIRECT(CONCATENATE(""'"",INDEX(SPLIT($D76,""L""),1),""L"",INDEX(SPLIT($D76,""L""),2)+$E76*(COLUMN()-COLUMN($G76)),"":"",""L"",INDEX(SPLIT($D76,""L""),2)+$E76*(COLUMN()-COLUMN($G76))+$F76-1)))"),15500.0)</f>
        <v>15500</v>
      </c>
      <c r="CM76" s="542">
        <f>IFERROR(__xludf.DUMMYFUNCTION("SUM(INDIRECT(CONCATENATE(""'"",INDEX(SPLIT($D76,""L""),1),""L"",INDEX(SPLIT($D76,""L""),2)+$E76*(COLUMN()-COLUMN($G76)),"":"",""L"",INDEX(SPLIT($D76,""L""),2)+$E76*(COLUMN()-COLUMN($G76))+$F76-1)))"),15500.0)</f>
        <v>15500</v>
      </c>
      <c r="CN76" s="542">
        <f>IFERROR(__xludf.DUMMYFUNCTION("SUM(INDIRECT(CONCATENATE(""'"",INDEX(SPLIT($D76,""L""),1),""L"",INDEX(SPLIT($D76,""L""),2)+$E76*(COLUMN()-COLUMN($G76)),"":"",""L"",INDEX(SPLIT($D76,""L""),2)+$E76*(COLUMN()-COLUMN($G76))+$F76-1)))"),15500.0)</f>
        <v>15500</v>
      </c>
      <c r="CO76" s="543">
        <f>IFERROR(__xludf.DUMMYFUNCTION("SUM(INDIRECT(CONCATENATE(""'"",INDEX(SPLIT($D76,""L""),1),""L"",INDEX(SPLIT($D76,""L""),2)+$E76*(COLUMN()-COLUMN($G76)),"":"",""L"",INDEX(SPLIT($D76,""L""),2)+$E76*(COLUMN()-COLUMN($G76))+$F76-1)))"),15500.0)</f>
        <v>15500</v>
      </c>
      <c r="CP76" s="582">
        <f>IFERROR(__xludf.DUMMYFUNCTION("SUM(INDIRECT(CONCATENATE(""'"",INDEX(SPLIT($D76,""L""),1),""L"",INDEX(SPLIT($D76,""L""),2)+$E76*(COLUMN()-COLUMN($G76)),"":"",""L"",INDEX(SPLIT($D76,""L""),2)+$E76*(COLUMN()-COLUMN($G76))+$F76-1)))"),15500.0)</f>
        <v>15500</v>
      </c>
      <c r="CQ76" s="542">
        <f>IFERROR(__xludf.DUMMYFUNCTION("SUM(INDIRECT(CONCATENATE(""'"",INDEX(SPLIT($D76,""L""),1),""L"",INDEX(SPLIT($D76,""L""),2)+$E76*(COLUMN()-COLUMN($G76)),"":"",""L"",INDEX(SPLIT($D76,""L""),2)+$E76*(COLUMN()-COLUMN($G76))+$F76-1)))"),20150.0)</f>
        <v>20150</v>
      </c>
      <c r="CR76" s="542">
        <f>IFERROR(__xludf.DUMMYFUNCTION("SUM(INDIRECT(CONCATENATE(""'"",INDEX(SPLIT($D76,""L""),1),""L"",INDEX(SPLIT($D76,""L""),2)+$E76*(COLUMN()-COLUMN($G76)),"":"",""L"",INDEX(SPLIT($D76,""L""),2)+$E76*(COLUMN()-COLUMN($G76))+$F76-1)))"),20150.0)</f>
        <v>20150</v>
      </c>
      <c r="CS76" s="542">
        <f>IFERROR(__xludf.DUMMYFUNCTION("SUM(INDIRECT(CONCATENATE(""'"",INDEX(SPLIT($D76,""L""),1),""L"",INDEX(SPLIT($D76,""L""),2)+$E76*(COLUMN()-COLUMN($G76)),"":"",""L"",INDEX(SPLIT($D76,""L""),2)+$E76*(COLUMN()-COLUMN($G76))+$F76-1)))"),20150.0)</f>
        <v>20150</v>
      </c>
      <c r="CT76" s="542">
        <f>IFERROR(__xludf.DUMMYFUNCTION("SUM(INDIRECT(CONCATENATE(""'"",INDEX(SPLIT($D76,""L""),1),""L"",INDEX(SPLIT($D76,""L""),2)+$E76*(COLUMN()-COLUMN($G76)),"":"",""L"",INDEX(SPLIT($D76,""L""),2)+$E76*(COLUMN()-COLUMN($G76))+$F76-1)))"),20150.0)</f>
        <v>20150</v>
      </c>
      <c r="CU76" s="542">
        <f>IFERROR(__xludf.DUMMYFUNCTION("SUM(INDIRECT(CONCATENATE(""'"",INDEX(SPLIT($D76,""L""),1),""L"",INDEX(SPLIT($D76,""L""),2)+$E76*(COLUMN()-COLUMN($G76)),"":"",""L"",INDEX(SPLIT($D76,""L""),2)+$E76*(COLUMN()-COLUMN($G76))+$F76-1)))"),20150.0)</f>
        <v>20150</v>
      </c>
      <c r="CV76" s="542">
        <f>IFERROR(__xludf.DUMMYFUNCTION("SUM(INDIRECT(CONCATENATE(""'"",INDEX(SPLIT($D76,""L""),1),""L"",INDEX(SPLIT($D76,""L""),2)+$E76*(COLUMN()-COLUMN($G76)),"":"",""L"",INDEX(SPLIT($D76,""L""),2)+$E76*(COLUMN()-COLUMN($G76))+$F76-1)))"),20150.0)</f>
        <v>20150</v>
      </c>
      <c r="CW76" s="542">
        <f>IFERROR(__xludf.DUMMYFUNCTION("SUM(INDIRECT(CONCATENATE(""'"",INDEX(SPLIT($D76,""L""),1),""L"",INDEX(SPLIT($D76,""L""),2)+$E76*(COLUMN()-COLUMN($G76)),"":"",""L"",INDEX(SPLIT($D76,""L""),2)+$E76*(COLUMN()-COLUMN($G76))+$F76-1)))"),0.0)</f>
        <v>0</v>
      </c>
      <c r="CX76" s="542">
        <f>IFERROR(__xludf.DUMMYFUNCTION("SUM(INDIRECT(CONCATENATE(""'"",INDEX(SPLIT($D76,""L""),1),""L"",INDEX(SPLIT($D76,""L""),2)+$E76*(COLUMN()-COLUMN($G76)),"":"",""L"",INDEX(SPLIT($D76,""L""),2)+$E76*(COLUMN()-COLUMN($G76))+$F76-1)))"),0.0)</f>
        <v>0</v>
      </c>
      <c r="CY76" s="542">
        <f>IFERROR(__xludf.DUMMYFUNCTION("SUM(INDIRECT(CONCATENATE(""'"",INDEX(SPLIT($D76,""L""),1),""L"",INDEX(SPLIT($D76,""L""),2)+$E76*(COLUMN()-COLUMN($G76)),"":"",""L"",INDEX(SPLIT($D76,""L""),2)+$E76*(COLUMN()-COLUMN($G76))+$F76-1)))"),0.0)</f>
        <v>0</v>
      </c>
      <c r="CZ76" s="542">
        <f>IFERROR(__xludf.DUMMYFUNCTION("SUM(INDIRECT(CONCATENATE(""'"",INDEX(SPLIT($D76,""L""),1),""L"",INDEX(SPLIT($D76,""L""),2)+$E76*(COLUMN()-COLUMN($G76)),"":"",""L"",INDEX(SPLIT($D76,""L""),2)+$E76*(COLUMN()-COLUMN($G76))+$F76-1)))"),0.0)</f>
        <v>0</v>
      </c>
      <c r="DA76" s="542">
        <f>IFERROR(__xludf.DUMMYFUNCTION("SUM(INDIRECT(CONCATENATE(""'"",INDEX(SPLIT($D76,""L""),1),""L"",INDEX(SPLIT($D76,""L""),2)+$E76*(COLUMN()-COLUMN($G76)),"":"",""L"",INDEX(SPLIT($D76,""L""),2)+$E76*(COLUMN()-COLUMN($G76))+$F76-1)))"),0.0)</f>
        <v>0</v>
      </c>
      <c r="DB76" s="567"/>
      <c r="DC76" s="567"/>
      <c r="DD76" s="567"/>
      <c r="DE76" s="567"/>
      <c r="DF76" s="567"/>
      <c r="DG76" s="567"/>
      <c r="DH76" s="567"/>
      <c r="DI76" s="567"/>
      <c r="DJ76" s="567"/>
      <c r="DK76" s="567"/>
      <c r="DL76" s="567"/>
      <c r="DM76" s="567"/>
      <c r="DN76" s="567"/>
      <c r="DO76" s="567"/>
      <c r="DP76" s="567"/>
      <c r="DQ76" s="567"/>
      <c r="DR76" s="567"/>
      <c r="DS76" s="567"/>
      <c r="DT76" s="567"/>
      <c r="DU76" s="567"/>
      <c r="DV76" s="567"/>
      <c r="DW76" s="567"/>
      <c r="DX76" s="567"/>
      <c r="DY76" s="567"/>
      <c r="DZ76" s="567"/>
      <c r="EA76" s="567"/>
      <c r="EB76" s="567"/>
      <c r="EC76" s="567"/>
      <c r="ED76" s="567"/>
      <c r="EE76" s="567"/>
      <c r="EF76" s="567"/>
      <c r="EG76" s="567"/>
      <c r="EH76" s="567"/>
      <c r="EI76" s="567"/>
      <c r="EJ76" s="567"/>
      <c r="EK76" s="567"/>
      <c r="EL76" s="567"/>
      <c r="EM76" s="567"/>
      <c r="EN76" s="567"/>
      <c r="EO76" s="567"/>
      <c r="EP76" s="567"/>
      <c r="EQ76" s="567"/>
      <c r="ER76" s="567"/>
      <c r="ES76" s="567"/>
      <c r="ET76" s="567"/>
      <c r="EU76" s="567"/>
      <c r="EV76" s="567"/>
      <c r="EW76" s="567"/>
      <c r="EX76" s="567"/>
      <c r="EY76" s="567"/>
      <c r="EZ76" s="567"/>
      <c r="FA76" s="567"/>
      <c r="FB76" s="567"/>
      <c r="FC76" s="567"/>
      <c r="FD76" s="567"/>
      <c r="FE76" s="567"/>
      <c r="FF76" s="567"/>
      <c r="FG76" s="567"/>
      <c r="FH76" s="567"/>
      <c r="FI76" s="567"/>
      <c r="FJ76" s="567"/>
      <c r="FK76" s="567"/>
      <c r="FL76" s="567"/>
      <c r="FM76" s="567"/>
      <c r="FN76" s="567"/>
      <c r="FO76" s="567"/>
      <c r="FP76" s="567"/>
      <c r="FQ76" s="567"/>
      <c r="FR76" s="567"/>
      <c r="FS76" s="567"/>
      <c r="FT76" s="567"/>
      <c r="FU76" s="567"/>
      <c r="FV76" s="567"/>
      <c r="FW76" s="567"/>
      <c r="FX76" s="567"/>
    </row>
    <row r="77">
      <c r="A77" s="146"/>
      <c r="B77" s="580" t="s">
        <v>736</v>
      </c>
      <c r="C77" s="580" t="s">
        <v>677</v>
      </c>
      <c r="D77" s="572" t="s">
        <v>652</v>
      </c>
      <c r="E77" s="444" t="s">
        <v>652</v>
      </c>
      <c r="F77" s="444" t="s">
        <v>652</v>
      </c>
      <c r="G77" s="542">
        <v>0.0</v>
      </c>
      <c r="H77" s="542">
        <v>0.0</v>
      </c>
      <c r="I77" s="542">
        <v>0.0</v>
      </c>
      <c r="J77" s="542">
        <v>0.0</v>
      </c>
      <c r="K77" s="542">
        <v>0.0</v>
      </c>
      <c r="L77" s="542">
        <v>0.0</v>
      </c>
      <c r="M77" s="542">
        <v>0.0</v>
      </c>
      <c r="N77" s="542">
        <v>0.0</v>
      </c>
      <c r="O77" s="542">
        <v>0.0</v>
      </c>
      <c r="P77" s="542">
        <v>0.0</v>
      </c>
      <c r="Q77" s="542">
        <v>0.0</v>
      </c>
      <c r="R77" s="542">
        <v>0.0</v>
      </c>
      <c r="S77" s="542">
        <v>0.0</v>
      </c>
      <c r="T77" s="542">
        <v>0.0</v>
      </c>
      <c r="U77" s="542">
        <v>0.0</v>
      </c>
      <c r="V77" s="542">
        <v>0.0</v>
      </c>
      <c r="W77" s="542">
        <v>0.0</v>
      </c>
      <c r="X77" s="542">
        <v>0.0</v>
      </c>
      <c r="Y77" s="542">
        <v>0.0</v>
      </c>
      <c r="Z77" s="542">
        <v>0.0</v>
      </c>
      <c r="AA77" s="542">
        <v>0.0</v>
      </c>
      <c r="AB77" s="542">
        <v>0.0</v>
      </c>
      <c r="AC77" s="542">
        <v>0.0</v>
      </c>
      <c r="AD77" s="542">
        <v>0.0</v>
      </c>
      <c r="AE77" s="542">
        <v>0.0</v>
      </c>
      <c r="AF77" s="542">
        <v>0.0</v>
      </c>
      <c r="AG77" s="542">
        <v>0.0</v>
      </c>
      <c r="AH77" s="542">
        <v>0.0</v>
      </c>
      <c r="AI77" s="542">
        <v>0.0</v>
      </c>
      <c r="AJ77" s="542">
        <v>0.0</v>
      </c>
      <c r="AK77" s="542">
        <v>0.0</v>
      </c>
      <c r="AL77" s="542">
        <v>0.0</v>
      </c>
      <c r="AM77" s="542">
        <v>0.0</v>
      </c>
      <c r="AN77" s="542">
        <v>0.0</v>
      </c>
      <c r="AO77" s="542">
        <v>0.0</v>
      </c>
      <c r="AP77" s="542">
        <v>0.0</v>
      </c>
      <c r="AQ77" s="542">
        <v>0.0</v>
      </c>
      <c r="AR77" s="542">
        <v>0.0</v>
      </c>
      <c r="AS77" s="542">
        <v>0.0</v>
      </c>
      <c r="AT77" s="542">
        <v>0.0</v>
      </c>
      <c r="AU77" s="542">
        <v>0.0</v>
      </c>
      <c r="AV77" s="542">
        <v>0.0</v>
      </c>
      <c r="AW77" s="542">
        <v>0.0</v>
      </c>
      <c r="AX77" s="542">
        <v>0.0</v>
      </c>
      <c r="AY77" s="542">
        <v>0.0</v>
      </c>
      <c r="AZ77" s="542">
        <v>0.0</v>
      </c>
      <c r="BA77" s="542">
        <v>0.0</v>
      </c>
      <c r="BB77" s="542">
        <v>0.0</v>
      </c>
      <c r="BC77" s="542">
        <v>0.0</v>
      </c>
      <c r="BD77" s="542">
        <v>0.0</v>
      </c>
      <c r="BE77" s="542">
        <v>0.0</v>
      </c>
      <c r="BF77" s="542">
        <v>0.0</v>
      </c>
      <c r="BG77" s="542">
        <v>0.0</v>
      </c>
      <c r="BH77" s="542">
        <v>0.0</v>
      </c>
      <c r="BI77" s="542">
        <v>0.0</v>
      </c>
      <c r="BJ77" s="542">
        <v>0.0</v>
      </c>
      <c r="BK77" s="542">
        <v>0.0</v>
      </c>
      <c r="BL77" s="542">
        <v>0.0</v>
      </c>
      <c r="BM77" s="542">
        <v>0.0</v>
      </c>
      <c r="BN77" s="542">
        <v>0.0</v>
      </c>
      <c r="BO77" s="542">
        <v>0.0</v>
      </c>
      <c r="BP77" s="542">
        <v>0.0</v>
      </c>
      <c r="BQ77" s="542">
        <v>0.0</v>
      </c>
      <c r="BR77" s="542">
        <v>0.0</v>
      </c>
      <c r="BS77" s="542">
        <v>0.0</v>
      </c>
      <c r="BT77" s="542">
        <v>0.0</v>
      </c>
      <c r="BU77" s="542">
        <v>0.0</v>
      </c>
      <c r="BV77" s="542">
        <v>0.0</v>
      </c>
      <c r="BW77" s="542">
        <v>0.0</v>
      </c>
      <c r="BX77" s="542">
        <v>0.0</v>
      </c>
      <c r="BY77" s="542">
        <v>0.0</v>
      </c>
      <c r="BZ77" s="542">
        <v>0.0</v>
      </c>
      <c r="CA77" s="542">
        <v>0.0</v>
      </c>
      <c r="CB77" s="542">
        <v>0.0</v>
      </c>
      <c r="CC77" s="542">
        <v>0.0</v>
      </c>
      <c r="CD77" s="542">
        <v>0.0</v>
      </c>
      <c r="CE77" s="542">
        <v>0.0</v>
      </c>
      <c r="CF77" s="542">
        <v>0.0</v>
      </c>
      <c r="CG77" s="542">
        <v>0.0</v>
      </c>
      <c r="CH77" s="542">
        <v>0.0</v>
      </c>
      <c r="CI77" s="542">
        <v>0.0</v>
      </c>
      <c r="CJ77" s="542">
        <v>0.0</v>
      </c>
      <c r="CK77" s="542">
        <v>0.0</v>
      </c>
      <c r="CL77" s="542">
        <v>0.0</v>
      </c>
      <c r="CM77" s="542">
        <v>0.0</v>
      </c>
      <c r="CN77" s="542">
        <v>0.0</v>
      </c>
      <c r="CO77" s="543">
        <v>0.0</v>
      </c>
      <c r="CP77" s="582">
        <v>0.0</v>
      </c>
      <c r="CQ77" s="542">
        <v>0.0</v>
      </c>
      <c r="CR77" s="542">
        <v>0.0</v>
      </c>
      <c r="CS77" s="542">
        <v>0.0</v>
      </c>
      <c r="CT77" s="542">
        <v>0.0</v>
      </c>
      <c r="CU77" s="542">
        <v>0.0</v>
      </c>
      <c r="CV77" s="542">
        <v>0.0</v>
      </c>
      <c r="CW77" s="542">
        <v>0.0</v>
      </c>
      <c r="CX77" s="542">
        <v>0.0</v>
      </c>
      <c r="CY77" s="542">
        <v>0.0</v>
      </c>
      <c r="CZ77" s="542">
        <v>0.0</v>
      </c>
      <c r="DA77" s="542">
        <v>0.0</v>
      </c>
      <c r="DB77" s="567"/>
      <c r="DC77" s="567"/>
      <c r="DD77" s="567"/>
      <c r="DE77" s="567"/>
      <c r="DF77" s="567"/>
      <c r="DG77" s="567"/>
      <c r="DH77" s="567"/>
      <c r="DI77" s="567"/>
      <c r="DJ77" s="567"/>
      <c r="DK77" s="567"/>
      <c r="DL77" s="567"/>
      <c r="DM77" s="567"/>
      <c r="DN77" s="567"/>
      <c r="DO77" s="567"/>
      <c r="DP77" s="567"/>
      <c r="DQ77" s="567"/>
      <c r="DR77" s="567"/>
      <c r="DS77" s="567"/>
      <c r="DT77" s="567"/>
      <c r="DU77" s="567"/>
      <c r="DV77" s="567"/>
      <c r="DW77" s="567"/>
      <c r="DX77" s="567"/>
      <c r="DY77" s="567"/>
      <c r="DZ77" s="567"/>
      <c r="EA77" s="567"/>
      <c r="EB77" s="567"/>
      <c r="EC77" s="567"/>
      <c r="ED77" s="567"/>
      <c r="EE77" s="567"/>
      <c r="EF77" s="567"/>
      <c r="EG77" s="567"/>
      <c r="EH77" s="567"/>
      <c r="EI77" s="567"/>
      <c r="EJ77" s="567"/>
      <c r="EK77" s="567"/>
      <c r="EL77" s="567"/>
      <c r="EM77" s="567"/>
      <c r="EN77" s="567"/>
      <c r="EO77" s="567"/>
      <c r="EP77" s="567"/>
      <c r="EQ77" s="567"/>
      <c r="ER77" s="567"/>
      <c r="ES77" s="567"/>
      <c r="ET77" s="567"/>
      <c r="EU77" s="567"/>
      <c r="EV77" s="567"/>
      <c r="EW77" s="567"/>
      <c r="EX77" s="567"/>
      <c r="EY77" s="567"/>
      <c r="EZ77" s="567"/>
      <c r="FA77" s="567"/>
      <c r="FB77" s="567"/>
      <c r="FC77" s="567"/>
      <c r="FD77" s="567"/>
      <c r="FE77" s="567"/>
      <c r="FF77" s="567"/>
      <c r="FG77" s="567"/>
      <c r="FH77" s="567"/>
      <c r="FI77" s="567"/>
      <c r="FJ77" s="567"/>
      <c r="FK77" s="567"/>
      <c r="FL77" s="567"/>
      <c r="FM77" s="567"/>
      <c r="FN77" s="567"/>
      <c r="FO77" s="567"/>
      <c r="FP77" s="567"/>
      <c r="FQ77" s="567"/>
      <c r="FR77" s="567"/>
      <c r="FS77" s="567"/>
      <c r="FT77" s="567"/>
      <c r="FU77" s="567"/>
      <c r="FV77" s="567"/>
      <c r="FW77" s="567"/>
      <c r="FX77" s="567"/>
    </row>
    <row r="78">
      <c r="A78" s="146"/>
      <c r="B78" s="580" t="s">
        <v>736</v>
      </c>
      <c r="C78" s="580" t="s">
        <v>739</v>
      </c>
      <c r="D78" s="581" t="s">
        <v>740</v>
      </c>
      <c r="E78" s="444">
        <v>1.0</v>
      </c>
      <c r="F78" s="444">
        <v>1.0</v>
      </c>
      <c r="G78" s="542">
        <v>0.0</v>
      </c>
      <c r="H78" s="542">
        <v>0.0</v>
      </c>
      <c r="I78" s="542">
        <v>0.0</v>
      </c>
      <c r="J78" s="542">
        <v>0.0</v>
      </c>
      <c r="K78" s="542">
        <v>0.0</v>
      </c>
      <c r="L78" s="542">
        <v>0.0</v>
      </c>
      <c r="M78" s="542">
        <v>0.0</v>
      </c>
      <c r="N78" s="542">
        <v>0.0</v>
      </c>
      <c r="O78" s="542">
        <v>0.0</v>
      </c>
      <c r="P78" s="542">
        <v>0.0</v>
      </c>
      <c r="Q78" s="542">
        <v>0.0</v>
      </c>
      <c r="R78" s="542">
        <v>0.0</v>
      </c>
      <c r="S78" s="542">
        <v>0.0</v>
      </c>
      <c r="T78" s="542">
        <v>0.0</v>
      </c>
      <c r="U78" s="542">
        <v>0.0</v>
      </c>
      <c r="V78" s="542">
        <v>0.0</v>
      </c>
      <c r="W78" s="542">
        <v>0.0</v>
      </c>
      <c r="X78" s="542">
        <v>0.0</v>
      </c>
      <c r="Y78" s="542">
        <v>0.0</v>
      </c>
      <c r="Z78" s="542">
        <v>0.0</v>
      </c>
      <c r="AA78" s="542">
        <v>0.0</v>
      </c>
      <c r="AB78" s="542">
        <v>0.0</v>
      </c>
      <c r="AC78" s="542">
        <v>0.0</v>
      </c>
      <c r="AD78" s="542">
        <v>0.0</v>
      </c>
      <c r="AE78" s="542">
        <v>0.0</v>
      </c>
      <c r="AF78" s="542">
        <v>0.0</v>
      </c>
      <c r="AG78" s="542">
        <v>0.0</v>
      </c>
      <c r="AH78" s="542">
        <v>0.0</v>
      </c>
      <c r="AI78" s="542">
        <v>0.0</v>
      </c>
      <c r="AJ78" s="542">
        <v>0.0</v>
      </c>
      <c r="AK78" s="542">
        <v>0.0</v>
      </c>
      <c r="AL78" s="542">
        <v>0.0</v>
      </c>
      <c r="AM78" s="542">
        <v>0.0</v>
      </c>
      <c r="AN78" s="542">
        <v>0.0</v>
      </c>
      <c r="AO78" s="542">
        <v>0.0</v>
      </c>
      <c r="AP78" s="542">
        <v>0.0</v>
      </c>
      <c r="AQ78" s="542">
        <v>0.0</v>
      </c>
      <c r="AR78" s="542">
        <v>0.0</v>
      </c>
      <c r="AS78" s="542">
        <v>0.0</v>
      </c>
      <c r="AT78" s="542">
        <v>0.0</v>
      </c>
      <c r="AU78" s="542">
        <v>0.0</v>
      </c>
      <c r="AV78" s="542">
        <v>0.0</v>
      </c>
      <c r="AW78" s="542">
        <v>0.0</v>
      </c>
      <c r="AX78" s="542">
        <v>0.0</v>
      </c>
      <c r="AY78" s="542">
        <v>0.0</v>
      </c>
      <c r="AZ78" s="542">
        <v>0.0</v>
      </c>
      <c r="BA78" s="542">
        <v>0.0</v>
      </c>
      <c r="BB78" s="542">
        <v>0.0</v>
      </c>
      <c r="BC78" s="542">
        <v>0.0</v>
      </c>
      <c r="BD78" s="542">
        <v>0.0</v>
      </c>
      <c r="BE78" s="542">
        <v>0.0</v>
      </c>
      <c r="BF78" s="542">
        <v>0.0</v>
      </c>
      <c r="BG78" s="542">
        <v>0.0</v>
      </c>
      <c r="BH78" s="542">
        <v>0.0</v>
      </c>
      <c r="BI78" s="542">
        <v>0.0</v>
      </c>
      <c r="BJ78" s="542">
        <v>0.0</v>
      </c>
      <c r="BK78" s="542">
        <v>0.0</v>
      </c>
      <c r="BL78" s="542">
        <v>0.0</v>
      </c>
      <c r="BM78" s="542">
        <v>0.0</v>
      </c>
      <c r="BN78" s="542">
        <v>0.0</v>
      </c>
      <c r="BO78" s="542">
        <v>0.0</v>
      </c>
      <c r="BP78" s="542">
        <v>0.0</v>
      </c>
      <c r="BQ78" s="542">
        <v>0.0</v>
      </c>
      <c r="BR78" s="542">
        <v>0.0</v>
      </c>
      <c r="BS78" s="542">
        <v>0.0</v>
      </c>
      <c r="BT78" s="542">
        <v>0.0</v>
      </c>
      <c r="BU78" s="542">
        <v>0.0</v>
      </c>
      <c r="BV78" s="542">
        <v>0.0</v>
      </c>
      <c r="BW78" s="542">
        <v>0.0</v>
      </c>
      <c r="BX78" s="542">
        <v>0.0</v>
      </c>
      <c r="BY78" s="542">
        <v>0.0</v>
      </c>
      <c r="BZ78" s="542">
        <v>0.0</v>
      </c>
      <c r="CA78" s="542">
        <v>0.0</v>
      </c>
      <c r="CB78" s="542">
        <v>0.0</v>
      </c>
      <c r="CC78" s="542">
        <v>0.0</v>
      </c>
      <c r="CD78" s="542">
        <v>0.0</v>
      </c>
      <c r="CE78" s="542">
        <v>0.0</v>
      </c>
      <c r="CF78" s="542">
        <v>0.0</v>
      </c>
      <c r="CG78" s="542">
        <v>0.0</v>
      </c>
      <c r="CH78" s="542">
        <v>0.0</v>
      </c>
      <c r="CI78" s="542">
        <v>0.0</v>
      </c>
      <c r="CJ78" s="542">
        <v>0.0</v>
      </c>
      <c r="CK78" s="542">
        <v>0.0</v>
      </c>
      <c r="CL78" s="542">
        <f>IFERROR(__xludf.DUMMYFUNCTION("SUM(INDIRECT(CONCATENATE(""'"",INDEX(SPLIT($D78,""O""),1),""O"",INDEX(SPLIT($D78,""O""),2)+$E78*(COLUMN()-COLUMN($G78)),"":"",""O"",INDEX(SPLIT($D78,""O""),2)+$E78*(COLUMN()-COLUMN($G76))+$F78-1)))"),0.0)</f>
        <v>0</v>
      </c>
      <c r="CM78" s="542">
        <f>IFERROR(__xludf.DUMMYFUNCTION("SUM(INDIRECT(CONCATENATE(""'"",INDEX(SPLIT($D78,""O""),1),""O"",INDEX(SPLIT($D78,""O""),2)+$E78*(COLUMN()-COLUMN($G78)),"":"",""O"",INDEX(SPLIT($D78,""O""),2)+$E78*(COLUMN()-COLUMN($G76))+$F78-1)))"),15624.0)</f>
        <v>15624</v>
      </c>
      <c r="CN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O78" s="543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P78" s="58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Q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R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S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T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U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V78" s="542">
        <f>IFERROR(__xludf.DUMMYFUNCTION("SUM(INDIRECT(CONCATENATE(""'"",INDEX(SPLIT($D78,""O""),1),""O"",INDEX(SPLIT($D78,""O""),2)+$E78*(COLUMN()-COLUMN($G78)),"":"",""O"",INDEX(SPLIT($D78,""O""),2)+$E78*(COLUMN()-COLUMN($G76))+$F78-1)))"),16740.0)</f>
        <v>16740</v>
      </c>
      <c r="CW78" s="542">
        <f>IFERROR(__xludf.DUMMYFUNCTION("SUM(INDIRECT(CONCATENATE(""'"",INDEX(SPLIT($D78,""O""),1),""O"",INDEX(SPLIT($D78,""O""),2)+$E78*(COLUMN()-COLUMN($G78)),"":"",""O"",INDEX(SPLIT($D78,""O""),2)+$E78*(COLUMN()-COLUMN($G76))+$F78-1)))"),0.0)</f>
        <v>0</v>
      </c>
      <c r="CX78" s="542">
        <f>IFERROR(__xludf.DUMMYFUNCTION("SUM(INDIRECT(CONCATENATE(""'"",INDEX(SPLIT($D78,""O""),1),""O"",INDEX(SPLIT($D78,""O""),2)+$E78*(COLUMN()-COLUMN($G78)),"":"",""O"",INDEX(SPLIT($D78,""O""),2)+$E78*(COLUMN()-COLUMN($G76))+$F78-1)))"),0.0)</f>
        <v>0</v>
      </c>
      <c r="CY78" s="542">
        <f>IFERROR(__xludf.DUMMYFUNCTION("SUM(INDIRECT(CONCATENATE(""'"",INDEX(SPLIT($D78,""O""),1),""O"",INDEX(SPLIT($D78,""O""),2)+$E78*(COLUMN()-COLUMN($G78)),"":"",""O"",INDEX(SPLIT($D78,""O""),2)+$E78*(COLUMN()-COLUMN($G76))+$F78-1)))"),0.0)</f>
        <v>0</v>
      </c>
      <c r="CZ78" s="542">
        <f>IFERROR(__xludf.DUMMYFUNCTION("SUM(INDIRECT(CONCATENATE(""'"",INDEX(SPLIT($D78,""O""),1),""O"",INDEX(SPLIT($D78,""O""),2)+$E78*(COLUMN()-COLUMN($G78)),"":"",""O"",INDEX(SPLIT($D78,""O""),2)+$E78*(COLUMN()-COLUMN($G76))+$F78-1)))"),0.0)</f>
        <v>0</v>
      </c>
      <c r="DA78" s="542">
        <f>IFERROR(__xludf.DUMMYFUNCTION("SUM(INDIRECT(CONCATENATE(""'"",INDEX(SPLIT($D78,""O""),1),""O"",INDEX(SPLIT($D78,""O""),2)+$E78*(COLUMN()-COLUMN($G78)),"":"",""O"",INDEX(SPLIT($D78,""O""),2)+$E78*(COLUMN()-COLUMN($G76))+$F78-1)))"),0.0)</f>
        <v>0</v>
      </c>
      <c r="DB78" s="567"/>
      <c r="DC78" s="567"/>
      <c r="DD78" s="567"/>
      <c r="DE78" s="567"/>
      <c r="DF78" s="567"/>
      <c r="DG78" s="567"/>
      <c r="DH78" s="567"/>
      <c r="DI78" s="567"/>
      <c r="DJ78" s="567"/>
      <c r="DK78" s="567"/>
      <c r="DL78" s="567"/>
      <c r="DM78" s="567"/>
      <c r="DN78" s="567"/>
      <c r="DO78" s="567"/>
      <c r="DP78" s="567"/>
      <c r="DQ78" s="567"/>
      <c r="DR78" s="567"/>
      <c r="DS78" s="567"/>
      <c r="DT78" s="567"/>
      <c r="DU78" s="567"/>
      <c r="DV78" s="567"/>
      <c r="DW78" s="567"/>
      <c r="DX78" s="567"/>
      <c r="DY78" s="567"/>
      <c r="DZ78" s="567"/>
      <c r="EA78" s="567"/>
      <c r="EB78" s="567"/>
      <c r="EC78" s="567"/>
      <c r="ED78" s="567"/>
      <c r="EE78" s="567"/>
      <c r="EF78" s="567"/>
      <c r="EG78" s="567"/>
      <c r="EH78" s="567"/>
      <c r="EI78" s="567"/>
      <c r="EJ78" s="567"/>
      <c r="EK78" s="567"/>
      <c r="EL78" s="567"/>
      <c r="EM78" s="567"/>
      <c r="EN78" s="567"/>
      <c r="EO78" s="567"/>
      <c r="EP78" s="567"/>
      <c r="EQ78" s="567"/>
      <c r="ER78" s="567"/>
      <c r="ES78" s="567"/>
      <c r="ET78" s="567"/>
      <c r="EU78" s="567"/>
      <c r="EV78" s="567"/>
      <c r="EW78" s="567"/>
      <c r="EX78" s="567"/>
      <c r="EY78" s="567"/>
      <c r="EZ78" s="567"/>
      <c r="FA78" s="567"/>
      <c r="FB78" s="567"/>
      <c r="FC78" s="567"/>
      <c r="FD78" s="567"/>
      <c r="FE78" s="567"/>
      <c r="FF78" s="567"/>
      <c r="FG78" s="567"/>
      <c r="FH78" s="567"/>
      <c r="FI78" s="567"/>
      <c r="FJ78" s="567"/>
      <c r="FK78" s="567"/>
      <c r="FL78" s="567"/>
      <c r="FM78" s="567"/>
      <c r="FN78" s="567"/>
      <c r="FO78" s="567"/>
      <c r="FP78" s="567"/>
      <c r="FQ78" s="567"/>
      <c r="FR78" s="567"/>
      <c r="FS78" s="567"/>
      <c r="FT78" s="567"/>
      <c r="FU78" s="567"/>
      <c r="FV78" s="567"/>
      <c r="FW78" s="567"/>
      <c r="FX78" s="567"/>
    </row>
    <row r="79">
      <c r="A79" s="146"/>
      <c r="B79" s="580" t="s">
        <v>741</v>
      </c>
      <c r="C79" s="580" t="s">
        <v>742</v>
      </c>
      <c r="D79" s="572" t="s">
        <v>652</v>
      </c>
      <c r="E79" s="444" t="s">
        <v>652</v>
      </c>
      <c r="F79" s="444" t="s">
        <v>652</v>
      </c>
      <c r="G79" s="542">
        <v>0.0</v>
      </c>
      <c r="H79" s="542">
        <v>0.0</v>
      </c>
      <c r="I79" s="542">
        <v>0.0</v>
      </c>
      <c r="J79" s="542">
        <v>0.0</v>
      </c>
      <c r="K79" s="542">
        <v>0.0</v>
      </c>
      <c r="L79" s="542">
        <v>0.0</v>
      </c>
      <c r="M79" s="542">
        <v>0.0</v>
      </c>
      <c r="N79" s="542">
        <v>0.0</v>
      </c>
      <c r="O79" s="542">
        <v>0.0</v>
      </c>
      <c r="P79" s="542">
        <v>0.0</v>
      </c>
      <c r="Q79" s="542">
        <v>0.0</v>
      </c>
      <c r="R79" s="542">
        <v>0.0</v>
      </c>
      <c r="S79" s="542">
        <v>0.0</v>
      </c>
      <c r="T79" s="542">
        <v>0.0</v>
      </c>
      <c r="U79" s="542">
        <v>0.0</v>
      </c>
      <c r="V79" s="542">
        <v>0.0</v>
      </c>
      <c r="W79" s="542">
        <v>0.0</v>
      </c>
      <c r="X79" s="542">
        <v>0.0</v>
      </c>
      <c r="Y79" s="542">
        <v>0.0</v>
      </c>
      <c r="Z79" s="542">
        <v>0.0</v>
      </c>
      <c r="AA79" s="542">
        <v>0.0</v>
      </c>
      <c r="AB79" s="542">
        <v>0.0</v>
      </c>
      <c r="AC79" s="542">
        <v>0.0</v>
      </c>
      <c r="AD79" s="542">
        <v>0.0</v>
      </c>
      <c r="AE79" s="542">
        <v>0.0</v>
      </c>
      <c r="AF79" s="542">
        <v>0.0</v>
      </c>
      <c r="AG79" s="542">
        <v>0.0</v>
      </c>
      <c r="AH79" s="542">
        <v>0.0</v>
      </c>
      <c r="AI79" s="542">
        <v>0.0</v>
      </c>
      <c r="AJ79" s="542">
        <v>0.0</v>
      </c>
      <c r="AK79" s="542">
        <v>0.0</v>
      </c>
      <c r="AL79" s="542">
        <v>0.0</v>
      </c>
      <c r="AM79" s="542">
        <v>0.0</v>
      </c>
      <c r="AN79" s="542">
        <v>0.0</v>
      </c>
      <c r="AO79" s="542">
        <v>0.0</v>
      </c>
      <c r="AP79" s="542">
        <v>0.0</v>
      </c>
      <c r="AQ79" s="542">
        <v>0.0</v>
      </c>
      <c r="AR79" s="542">
        <v>0.0</v>
      </c>
      <c r="AS79" s="542">
        <v>0.0</v>
      </c>
      <c r="AT79" s="542">
        <v>0.0</v>
      </c>
      <c r="AU79" s="542">
        <v>0.0</v>
      </c>
      <c r="AV79" s="542">
        <v>0.0</v>
      </c>
      <c r="AW79" s="542">
        <v>0.0</v>
      </c>
      <c r="AX79" s="542">
        <v>0.0</v>
      </c>
      <c r="AY79" s="542">
        <v>0.0</v>
      </c>
      <c r="AZ79" s="542">
        <v>0.0</v>
      </c>
      <c r="BA79" s="542">
        <v>0.0</v>
      </c>
      <c r="BB79" s="542">
        <v>0.0</v>
      </c>
      <c r="BC79" s="542">
        <v>0.0</v>
      </c>
      <c r="BD79" s="542">
        <v>0.0</v>
      </c>
      <c r="BE79" s="542">
        <v>0.0</v>
      </c>
      <c r="BF79" s="542">
        <v>0.0</v>
      </c>
      <c r="BG79" s="542">
        <v>0.0</v>
      </c>
      <c r="BH79" s="542">
        <v>0.0</v>
      </c>
      <c r="BI79" s="542">
        <v>0.0</v>
      </c>
      <c r="BJ79" s="542">
        <v>0.0</v>
      </c>
      <c r="BK79" s="542">
        <v>0.0</v>
      </c>
      <c r="BL79" s="542">
        <v>0.0</v>
      </c>
      <c r="BM79" s="542">
        <v>0.0</v>
      </c>
      <c r="BN79" s="542">
        <v>0.0</v>
      </c>
      <c r="BO79" s="542">
        <v>0.0</v>
      </c>
      <c r="BP79" s="542">
        <v>0.0</v>
      </c>
      <c r="BQ79" s="542">
        <v>0.0</v>
      </c>
      <c r="BR79" s="542">
        <v>0.0</v>
      </c>
      <c r="BS79" s="542">
        <v>0.0</v>
      </c>
      <c r="BT79" s="542">
        <v>0.0</v>
      </c>
      <c r="BU79" s="542">
        <v>0.0</v>
      </c>
      <c r="BV79" s="542">
        <v>0.0</v>
      </c>
      <c r="BW79" s="542">
        <v>0.0</v>
      </c>
      <c r="BX79" s="542">
        <v>0.0</v>
      </c>
      <c r="BY79" s="542">
        <v>0.0</v>
      </c>
      <c r="BZ79" s="542">
        <v>0.0</v>
      </c>
      <c r="CA79" s="542">
        <v>0.0</v>
      </c>
      <c r="CB79" s="542">
        <v>0.0</v>
      </c>
      <c r="CC79" s="542">
        <v>0.0</v>
      </c>
      <c r="CD79" s="542">
        <v>0.0</v>
      </c>
      <c r="CE79" s="542">
        <v>0.0</v>
      </c>
      <c r="CF79" s="542">
        <v>0.0</v>
      </c>
      <c r="CG79" s="542">
        <v>0.0</v>
      </c>
      <c r="CH79" s="542">
        <v>0.0</v>
      </c>
      <c r="CI79" s="542">
        <v>0.0</v>
      </c>
      <c r="CJ79" s="542">
        <v>0.0</v>
      </c>
      <c r="CK79" s="542">
        <v>0.0</v>
      </c>
      <c r="CL79" s="542">
        <v>0.0</v>
      </c>
      <c r="CM79" s="542">
        <v>0.0</v>
      </c>
      <c r="CN79" s="542">
        <v>0.0</v>
      </c>
      <c r="CO79" s="543">
        <v>0.0</v>
      </c>
      <c r="CP79" s="582">
        <v>0.0</v>
      </c>
      <c r="CQ79" s="542">
        <v>0.0</v>
      </c>
      <c r="CR79" s="542">
        <v>0.0</v>
      </c>
      <c r="CS79" s="542">
        <v>0.0</v>
      </c>
      <c r="CT79" s="542">
        <v>0.0</v>
      </c>
      <c r="CU79" s="542">
        <v>0.0</v>
      </c>
      <c r="CV79" s="542">
        <v>0.0</v>
      </c>
      <c r="CW79" s="542">
        <v>0.0</v>
      </c>
      <c r="CX79" s="542">
        <v>0.0</v>
      </c>
      <c r="CY79" s="542">
        <v>0.0</v>
      </c>
      <c r="CZ79" s="542">
        <v>0.0</v>
      </c>
      <c r="DA79" s="542">
        <v>0.0</v>
      </c>
      <c r="DB79" s="567"/>
      <c r="DC79" s="567"/>
      <c r="DD79" s="567"/>
      <c r="DE79" s="567"/>
      <c r="DF79" s="567"/>
      <c r="DG79" s="567"/>
      <c r="DH79" s="567"/>
      <c r="DI79" s="567"/>
      <c r="DJ79" s="567"/>
      <c r="DK79" s="567"/>
      <c r="DL79" s="567"/>
      <c r="DM79" s="567"/>
      <c r="DN79" s="567"/>
      <c r="DO79" s="567"/>
      <c r="DP79" s="567"/>
      <c r="DQ79" s="567"/>
      <c r="DR79" s="567"/>
      <c r="DS79" s="567"/>
      <c r="DT79" s="567"/>
      <c r="DU79" s="567"/>
      <c r="DV79" s="567"/>
      <c r="DW79" s="567"/>
      <c r="DX79" s="567"/>
      <c r="DY79" s="567"/>
      <c r="DZ79" s="567"/>
      <c r="EA79" s="567"/>
      <c r="EB79" s="567"/>
      <c r="EC79" s="567"/>
      <c r="ED79" s="567"/>
      <c r="EE79" s="567"/>
      <c r="EF79" s="567"/>
      <c r="EG79" s="567"/>
      <c r="EH79" s="567"/>
      <c r="EI79" s="567"/>
      <c r="EJ79" s="567"/>
      <c r="EK79" s="567"/>
      <c r="EL79" s="567"/>
      <c r="EM79" s="567"/>
      <c r="EN79" s="567"/>
      <c r="EO79" s="567"/>
      <c r="EP79" s="567"/>
      <c r="EQ79" s="567"/>
      <c r="ER79" s="567"/>
      <c r="ES79" s="567"/>
      <c r="ET79" s="567"/>
      <c r="EU79" s="567"/>
      <c r="EV79" s="567"/>
      <c r="EW79" s="567"/>
      <c r="EX79" s="567"/>
      <c r="EY79" s="567"/>
      <c r="EZ79" s="567"/>
      <c r="FA79" s="567"/>
      <c r="FB79" s="567"/>
      <c r="FC79" s="567"/>
      <c r="FD79" s="567"/>
      <c r="FE79" s="567"/>
      <c r="FF79" s="567"/>
      <c r="FG79" s="567"/>
      <c r="FH79" s="567"/>
      <c r="FI79" s="567"/>
      <c r="FJ79" s="567"/>
      <c r="FK79" s="567"/>
      <c r="FL79" s="567"/>
      <c r="FM79" s="567"/>
      <c r="FN79" s="567"/>
      <c r="FO79" s="567"/>
      <c r="FP79" s="567"/>
      <c r="FQ79" s="567"/>
      <c r="FR79" s="567"/>
      <c r="FS79" s="567"/>
      <c r="FT79" s="567"/>
      <c r="FU79" s="567"/>
      <c r="FV79" s="567"/>
      <c r="FW79" s="567"/>
      <c r="FX79" s="567"/>
    </row>
    <row r="80">
      <c r="A80" s="146"/>
      <c r="B80" s="580" t="s">
        <v>741</v>
      </c>
      <c r="C80" s="580" t="s">
        <v>677</v>
      </c>
      <c r="D80" s="572" t="s">
        <v>652</v>
      </c>
      <c r="E80" s="444" t="s">
        <v>652</v>
      </c>
      <c r="F80" s="444" t="s">
        <v>652</v>
      </c>
      <c r="G80" s="542">
        <v>0.0</v>
      </c>
      <c r="H80" s="542">
        <v>0.0</v>
      </c>
      <c r="I80" s="542">
        <v>0.0</v>
      </c>
      <c r="J80" s="542">
        <v>0.0</v>
      </c>
      <c r="K80" s="542">
        <v>0.0</v>
      </c>
      <c r="L80" s="542">
        <v>0.0</v>
      </c>
      <c r="M80" s="542">
        <v>0.0</v>
      </c>
      <c r="N80" s="542">
        <v>0.0</v>
      </c>
      <c r="O80" s="542">
        <v>0.0</v>
      </c>
      <c r="P80" s="542">
        <v>0.0</v>
      </c>
      <c r="Q80" s="542">
        <v>0.0</v>
      </c>
      <c r="R80" s="542">
        <v>0.0</v>
      </c>
      <c r="S80" s="542">
        <v>0.0</v>
      </c>
      <c r="T80" s="542">
        <v>0.0</v>
      </c>
      <c r="U80" s="542">
        <v>0.0</v>
      </c>
      <c r="V80" s="542">
        <v>0.0</v>
      </c>
      <c r="W80" s="542">
        <v>0.0</v>
      </c>
      <c r="X80" s="542">
        <v>0.0</v>
      </c>
      <c r="Y80" s="542">
        <v>0.0</v>
      </c>
      <c r="Z80" s="542">
        <v>0.0</v>
      </c>
      <c r="AA80" s="542">
        <v>0.0</v>
      </c>
      <c r="AB80" s="542">
        <v>0.0</v>
      </c>
      <c r="AC80" s="542">
        <v>0.0</v>
      </c>
      <c r="AD80" s="542">
        <v>0.0</v>
      </c>
      <c r="AE80" s="542">
        <v>0.0</v>
      </c>
      <c r="AF80" s="542">
        <v>0.0</v>
      </c>
      <c r="AG80" s="542">
        <v>0.0</v>
      </c>
      <c r="AH80" s="542">
        <v>0.0</v>
      </c>
      <c r="AI80" s="542">
        <v>0.0</v>
      </c>
      <c r="AJ80" s="542">
        <v>0.0</v>
      </c>
      <c r="AK80" s="542">
        <v>0.0</v>
      </c>
      <c r="AL80" s="542">
        <v>0.0</v>
      </c>
      <c r="AM80" s="542">
        <v>0.0</v>
      </c>
      <c r="AN80" s="542">
        <v>0.0</v>
      </c>
      <c r="AO80" s="542">
        <v>0.0</v>
      </c>
      <c r="AP80" s="542">
        <v>0.0</v>
      </c>
      <c r="AQ80" s="542">
        <v>0.0</v>
      </c>
      <c r="AR80" s="542">
        <v>0.0</v>
      </c>
      <c r="AS80" s="542">
        <v>0.0</v>
      </c>
      <c r="AT80" s="542">
        <v>0.0</v>
      </c>
      <c r="AU80" s="542">
        <v>0.0</v>
      </c>
      <c r="AV80" s="542">
        <v>0.0</v>
      </c>
      <c r="AW80" s="542">
        <v>0.0</v>
      </c>
      <c r="AX80" s="542">
        <v>0.0</v>
      </c>
      <c r="AY80" s="542">
        <v>0.0</v>
      </c>
      <c r="AZ80" s="542">
        <v>0.0</v>
      </c>
      <c r="BA80" s="542">
        <v>0.0</v>
      </c>
      <c r="BB80" s="542">
        <v>0.0</v>
      </c>
      <c r="BC80" s="542">
        <v>0.0</v>
      </c>
      <c r="BD80" s="542">
        <v>0.0</v>
      </c>
      <c r="BE80" s="542">
        <v>0.0</v>
      </c>
      <c r="BF80" s="542">
        <v>0.0</v>
      </c>
      <c r="BG80" s="542">
        <v>0.0</v>
      </c>
      <c r="BH80" s="542">
        <v>0.0</v>
      </c>
      <c r="BI80" s="542">
        <v>0.0</v>
      </c>
      <c r="BJ80" s="542">
        <v>0.0</v>
      </c>
      <c r="BK80" s="542">
        <v>0.0</v>
      </c>
      <c r="BL80" s="542">
        <v>0.0</v>
      </c>
      <c r="BM80" s="542">
        <v>0.0</v>
      </c>
      <c r="BN80" s="542">
        <v>0.0</v>
      </c>
      <c r="BO80" s="542">
        <v>0.0</v>
      </c>
      <c r="BP80" s="542">
        <v>0.0</v>
      </c>
      <c r="BQ80" s="542">
        <v>0.0</v>
      </c>
      <c r="BR80" s="542">
        <v>0.0</v>
      </c>
      <c r="BS80" s="542">
        <v>0.0</v>
      </c>
      <c r="BT80" s="542">
        <v>0.0</v>
      </c>
      <c r="BU80" s="542">
        <v>0.0</v>
      </c>
      <c r="BV80" s="542">
        <v>0.0</v>
      </c>
      <c r="BW80" s="542">
        <v>0.0</v>
      </c>
      <c r="BX80" s="542">
        <v>0.0</v>
      </c>
      <c r="BY80" s="542">
        <v>0.0</v>
      </c>
      <c r="BZ80" s="542">
        <v>0.0</v>
      </c>
      <c r="CA80" s="542">
        <v>0.0</v>
      </c>
      <c r="CB80" s="542">
        <v>0.0</v>
      </c>
      <c r="CC80" s="542">
        <v>0.0</v>
      </c>
      <c r="CD80" s="542">
        <v>0.0</v>
      </c>
      <c r="CE80" s="542">
        <v>0.0</v>
      </c>
      <c r="CF80" s="542">
        <v>0.0</v>
      </c>
      <c r="CG80" s="542">
        <v>0.0</v>
      </c>
      <c r="CH80" s="542">
        <v>0.0</v>
      </c>
      <c r="CI80" s="542">
        <v>0.0</v>
      </c>
      <c r="CJ80" s="542">
        <v>0.0</v>
      </c>
      <c r="CK80" s="542">
        <v>0.0</v>
      </c>
      <c r="CL80" s="542">
        <v>0.0</v>
      </c>
      <c r="CM80" s="542">
        <v>0.0</v>
      </c>
      <c r="CN80" s="542">
        <v>0.0</v>
      </c>
      <c r="CO80" s="543">
        <v>0.0</v>
      </c>
      <c r="CP80" s="582">
        <v>0.0</v>
      </c>
      <c r="CQ80" s="542">
        <v>0.0</v>
      </c>
      <c r="CR80" s="542">
        <v>0.0</v>
      </c>
      <c r="CS80" s="542">
        <v>0.0</v>
      </c>
      <c r="CT80" s="542">
        <v>0.0</v>
      </c>
      <c r="CU80" s="542">
        <v>0.0</v>
      </c>
      <c r="CV80" s="542">
        <v>0.0</v>
      </c>
      <c r="CW80" s="542">
        <v>0.0</v>
      </c>
      <c r="CX80" s="542">
        <v>0.0</v>
      </c>
      <c r="CY80" s="542">
        <v>0.0</v>
      </c>
      <c r="CZ80" s="542">
        <v>0.0</v>
      </c>
      <c r="DA80" s="542">
        <v>0.0</v>
      </c>
      <c r="DB80" s="567"/>
      <c r="DC80" s="567"/>
      <c r="DD80" s="567"/>
      <c r="DE80" s="567"/>
      <c r="DF80" s="567"/>
      <c r="DG80" s="567"/>
      <c r="DH80" s="567"/>
      <c r="DI80" s="567"/>
      <c r="DJ80" s="567"/>
      <c r="DK80" s="567"/>
      <c r="DL80" s="567"/>
      <c r="DM80" s="567"/>
      <c r="DN80" s="567"/>
      <c r="DO80" s="567"/>
      <c r="DP80" s="567"/>
      <c r="DQ80" s="567"/>
      <c r="DR80" s="567"/>
      <c r="DS80" s="567"/>
      <c r="DT80" s="567"/>
      <c r="DU80" s="567"/>
      <c r="DV80" s="567"/>
      <c r="DW80" s="567"/>
      <c r="DX80" s="567"/>
      <c r="DY80" s="567"/>
      <c r="DZ80" s="567"/>
      <c r="EA80" s="567"/>
      <c r="EB80" s="567"/>
      <c r="EC80" s="567"/>
      <c r="ED80" s="567"/>
      <c r="EE80" s="567"/>
      <c r="EF80" s="567"/>
      <c r="EG80" s="567"/>
      <c r="EH80" s="567"/>
      <c r="EI80" s="567"/>
      <c r="EJ80" s="567"/>
      <c r="EK80" s="567"/>
      <c r="EL80" s="567"/>
      <c r="EM80" s="567"/>
      <c r="EN80" s="567"/>
      <c r="EO80" s="567"/>
      <c r="EP80" s="567"/>
      <c r="EQ80" s="567"/>
      <c r="ER80" s="567"/>
      <c r="ES80" s="567"/>
      <c r="ET80" s="567"/>
      <c r="EU80" s="567"/>
      <c r="EV80" s="567"/>
      <c r="EW80" s="567"/>
      <c r="EX80" s="567"/>
      <c r="EY80" s="567"/>
      <c r="EZ80" s="567"/>
      <c r="FA80" s="567"/>
      <c r="FB80" s="567"/>
      <c r="FC80" s="567"/>
      <c r="FD80" s="567"/>
      <c r="FE80" s="567"/>
      <c r="FF80" s="567"/>
      <c r="FG80" s="567"/>
      <c r="FH80" s="567"/>
      <c r="FI80" s="567"/>
      <c r="FJ80" s="567"/>
      <c r="FK80" s="567"/>
      <c r="FL80" s="567"/>
      <c r="FM80" s="567"/>
      <c r="FN80" s="567"/>
      <c r="FO80" s="567"/>
      <c r="FP80" s="567"/>
      <c r="FQ80" s="567"/>
      <c r="FR80" s="567"/>
      <c r="FS80" s="567"/>
      <c r="FT80" s="567"/>
      <c r="FU80" s="567"/>
      <c r="FV80" s="567"/>
      <c r="FW80" s="567"/>
      <c r="FX80" s="567"/>
    </row>
    <row r="81">
      <c r="A81" s="146"/>
      <c r="B81" s="580" t="s">
        <v>741</v>
      </c>
      <c r="C81" s="580" t="s">
        <v>678</v>
      </c>
      <c r="D81" s="572" t="s">
        <v>652</v>
      </c>
      <c r="E81" s="444" t="s">
        <v>652</v>
      </c>
      <c r="F81" s="444" t="s">
        <v>652</v>
      </c>
      <c r="G81" s="542">
        <v>0.0</v>
      </c>
      <c r="H81" s="542">
        <v>0.0</v>
      </c>
      <c r="I81" s="542">
        <v>0.0</v>
      </c>
      <c r="J81" s="542">
        <v>0.0</v>
      </c>
      <c r="K81" s="542">
        <v>0.0</v>
      </c>
      <c r="L81" s="542">
        <v>0.0</v>
      </c>
      <c r="M81" s="542">
        <v>0.0</v>
      </c>
      <c r="N81" s="542">
        <v>0.0</v>
      </c>
      <c r="O81" s="542">
        <v>0.0</v>
      </c>
      <c r="P81" s="542">
        <v>0.0</v>
      </c>
      <c r="Q81" s="542">
        <v>0.0</v>
      </c>
      <c r="R81" s="542">
        <v>0.0</v>
      </c>
      <c r="S81" s="542">
        <v>0.0</v>
      </c>
      <c r="T81" s="542">
        <v>0.0</v>
      </c>
      <c r="U81" s="542">
        <v>0.0</v>
      </c>
      <c r="V81" s="542">
        <v>0.0</v>
      </c>
      <c r="W81" s="542">
        <v>0.0</v>
      </c>
      <c r="X81" s="542">
        <v>0.0</v>
      </c>
      <c r="Y81" s="542">
        <v>0.0</v>
      </c>
      <c r="Z81" s="542">
        <v>0.0</v>
      </c>
      <c r="AA81" s="542">
        <v>0.0</v>
      </c>
      <c r="AB81" s="542">
        <v>0.0</v>
      </c>
      <c r="AC81" s="542">
        <v>0.0</v>
      </c>
      <c r="AD81" s="542">
        <v>0.0</v>
      </c>
      <c r="AE81" s="542">
        <v>0.0</v>
      </c>
      <c r="AF81" s="542">
        <v>0.0</v>
      </c>
      <c r="AG81" s="542">
        <v>0.0</v>
      </c>
      <c r="AH81" s="542">
        <v>0.0</v>
      </c>
      <c r="AI81" s="542">
        <v>0.0</v>
      </c>
      <c r="AJ81" s="542">
        <v>0.0</v>
      </c>
      <c r="AK81" s="542">
        <v>0.0</v>
      </c>
      <c r="AL81" s="542">
        <v>0.0</v>
      </c>
      <c r="AM81" s="542">
        <v>0.0</v>
      </c>
      <c r="AN81" s="542">
        <v>0.0</v>
      </c>
      <c r="AO81" s="542">
        <v>0.0</v>
      </c>
      <c r="AP81" s="542">
        <v>0.0</v>
      </c>
      <c r="AQ81" s="542">
        <v>0.0</v>
      </c>
      <c r="AR81" s="542">
        <v>0.0</v>
      </c>
      <c r="AS81" s="542">
        <v>0.0</v>
      </c>
      <c r="AT81" s="542">
        <v>0.0</v>
      </c>
      <c r="AU81" s="542">
        <v>0.0</v>
      </c>
      <c r="AV81" s="542">
        <v>0.0</v>
      </c>
      <c r="AW81" s="542">
        <v>0.0</v>
      </c>
      <c r="AX81" s="542">
        <v>0.0</v>
      </c>
      <c r="AY81" s="542">
        <v>0.0</v>
      </c>
      <c r="AZ81" s="542">
        <v>0.0</v>
      </c>
      <c r="BA81" s="542">
        <v>0.0</v>
      </c>
      <c r="BB81" s="542">
        <v>0.0</v>
      </c>
      <c r="BC81" s="542">
        <v>0.0</v>
      </c>
      <c r="BD81" s="542">
        <v>0.0</v>
      </c>
      <c r="BE81" s="542">
        <v>0.0</v>
      </c>
      <c r="BF81" s="542">
        <v>0.0</v>
      </c>
      <c r="BG81" s="542">
        <v>0.0</v>
      </c>
      <c r="BH81" s="542">
        <v>0.0</v>
      </c>
      <c r="BI81" s="542">
        <v>0.0</v>
      </c>
      <c r="BJ81" s="542">
        <v>0.0</v>
      </c>
      <c r="BK81" s="542">
        <v>0.0</v>
      </c>
      <c r="BL81" s="542">
        <v>0.0</v>
      </c>
      <c r="BM81" s="542">
        <v>0.0</v>
      </c>
      <c r="BN81" s="542">
        <v>0.0</v>
      </c>
      <c r="BO81" s="542">
        <v>0.0</v>
      </c>
      <c r="BP81" s="542">
        <v>0.0</v>
      </c>
      <c r="BQ81" s="542">
        <v>0.0</v>
      </c>
      <c r="BR81" s="542">
        <v>0.0</v>
      </c>
      <c r="BS81" s="542">
        <v>0.0</v>
      </c>
      <c r="BT81" s="542">
        <v>0.0</v>
      </c>
      <c r="BU81" s="542">
        <v>0.0</v>
      </c>
      <c r="BV81" s="542">
        <v>0.0</v>
      </c>
      <c r="BW81" s="542">
        <v>0.0</v>
      </c>
      <c r="BX81" s="542">
        <v>0.0</v>
      </c>
      <c r="BY81" s="542">
        <v>0.0</v>
      </c>
      <c r="BZ81" s="542">
        <v>0.0</v>
      </c>
      <c r="CA81" s="542">
        <v>0.0</v>
      </c>
      <c r="CB81" s="542">
        <v>0.0</v>
      </c>
      <c r="CC81" s="542">
        <v>0.0</v>
      </c>
      <c r="CD81" s="542">
        <v>0.0</v>
      </c>
      <c r="CE81" s="542">
        <v>0.0</v>
      </c>
      <c r="CF81" s="542">
        <v>0.0</v>
      </c>
      <c r="CG81" s="542">
        <v>0.0</v>
      </c>
      <c r="CH81" s="542">
        <v>0.0</v>
      </c>
      <c r="CI81" s="542">
        <v>0.0</v>
      </c>
      <c r="CJ81" s="542">
        <v>0.0</v>
      </c>
      <c r="CK81" s="542">
        <v>0.0</v>
      </c>
      <c r="CL81" s="542">
        <v>0.0</v>
      </c>
      <c r="CM81" s="542">
        <v>0.0</v>
      </c>
      <c r="CN81" s="542">
        <v>0.0</v>
      </c>
      <c r="CO81" s="543">
        <v>0.0</v>
      </c>
      <c r="CP81" s="582">
        <v>0.0</v>
      </c>
      <c r="CQ81" s="542">
        <v>0.0</v>
      </c>
      <c r="CR81" s="542">
        <v>0.0</v>
      </c>
      <c r="CS81" s="542">
        <v>0.0</v>
      </c>
      <c r="CT81" s="542">
        <v>0.0</v>
      </c>
      <c r="CU81" s="542">
        <v>0.0</v>
      </c>
      <c r="CV81" s="542">
        <v>0.0</v>
      </c>
      <c r="CW81" s="542">
        <v>0.0</v>
      </c>
      <c r="CX81" s="542">
        <v>0.0</v>
      </c>
      <c r="CY81" s="542">
        <v>0.0</v>
      </c>
      <c r="CZ81" s="542">
        <v>0.0</v>
      </c>
      <c r="DA81" s="542">
        <v>0.0</v>
      </c>
      <c r="DB81" s="567"/>
      <c r="DC81" s="567"/>
      <c r="DD81" s="567"/>
      <c r="DE81" s="567"/>
      <c r="DF81" s="567"/>
      <c r="DG81" s="567"/>
      <c r="DH81" s="567"/>
      <c r="DI81" s="567"/>
      <c r="DJ81" s="567"/>
      <c r="DK81" s="567"/>
      <c r="DL81" s="567"/>
      <c r="DM81" s="567"/>
      <c r="DN81" s="567"/>
      <c r="DO81" s="567"/>
      <c r="DP81" s="567"/>
      <c r="DQ81" s="567"/>
      <c r="DR81" s="567"/>
      <c r="DS81" s="567"/>
      <c r="DT81" s="567"/>
      <c r="DU81" s="567"/>
      <c r="DV81" s="567"/>
      <c r="DW81" s="567"/>
      <c r="DX81" s="567"/>
      <c r="DY81" s="567"/>
      <c r="DZ81" s="567"/>
      <c r="EA81" s="567"/>
      <c r="EB81" s="567"/>
      <c r="EC81" s="567"/>
      <c r="ED81" s="567"/>
      <c r="EE81" s="567"/>
      <c r="EF81" s="567"/>
      <c r="EG81" s="567"/>
      <c r="EH81" s="567"/>
      <c r="EI81" s="567"/>
      <c r="EJ81" s="567"/>
      <c r="EK81" s="567"/>
      <c r="EL81" s="567"/>
      <c r="EM81" s="567"/>
      <c r="EN81" s="567"/>
      <c r="EO81" s="567"/>
      <c r="EP81" s="567"/>
      <c r="EQ81" s="567"/>
      <c r="ER81" s="567"/>
      <c r="ES81" s="567"/>
      <c r="ET81" s="567"/>
      <c r="EU81" s="567"/>
      <c r="EV81" s="567"/>
      <c r="EW81" s="567"/>
      <c r="EX81" s="567"/>
      <c r="EY81" s="567"/>
      <c r="EZ81" s="567"/>
      <c r="FA81" s="567"/>
      <c r="FB81" s="567"/>
      <c r="FC81" s="567"/>
      <c r="FD81" s="567"/>
      <c r="FE81" s="567"/>
      <c r="FF81" s="567"/>
      <c r="FG81" s="567"/>
      <c r="FH81" s="567"/>
      <c r="FI81" s="567"/>
      <c r="FJ81" s="567"/>
      <c r="FK81" s="567"/>
      <c r="FL81" s="567"/>
      <c r="FM81" s="567"/>
      <c r="FN81" s="567"/>
      <c r="FO81" s="567"/>
      <c r="FP81" s="567"/>
      <c r="FQ81" s="567"/>
      <c r="FR81" s="567"/>
      <c r="FS81" s="567"/>
      <c r="FT81" s="567"/>
      <c r="FU81" s="567"/>
      <c r="FV81" s="567"/>
      <c r="FW81" s="567"/>
      <c r="FX81" s="567"/>
    </row>
    <row r="82">
      <c r="A82" s="146"/>
      <c r="B82" s="580" t="s">
        <v>725</v>
      </c>
      <c r="C82" s="580" t="s">
        <v>743</v>
      </c>
      <c r="D82" s="572" t="s">
        <v>652</v>
      </c>
      <c r="E82" s="444" t="s">
        <v>652</v>
      </c>
      <c r="F82" s="444" t="s">
        <v>652</v>
      </c>
      <c r="G82" s="537">
        <f t="shared" ref="G82:DA82" si="18">G64</f>
        <v>0</v>
      </c>
      <c r="H82" s="537">
        <f t="shared" si="18"/>
        <v>0</v>
      </c>
      <c r="I82" s="537">
        <f t="shared" si="18"/>
        <v>0</v>
      </c>
      <c r="J82" s="537">
        <f t="shared" si="18"/>
        <v>0</v>
      </c>
      <c r="K82" s="537">
        <f t="shared" si="18"/>
        <v>0</v>
      </c>
      <c r="L82" s="537">
        <f t="shared" si="18"/>
        <v>0</v>
      </c>
      <c r="M82" s="537">
        <f t="shared" si="18"/>
        <v>0</v>
      </c>
      <c r="N82" s="537">
        <f t="shared" si="18"/>
        <v>0</v>
      </c>
      <c r="O82" s="537">
        <f t="shared" si="18"/>
        <v>0</v>
      </c>
      <c r="P82" s="537">
        <f t="shared" si="18"/>
        <v>0</v>
      </c>
      <c r="Q82" s="537">
        <f t="shared" si="18"/>
        <v>0</v>
      </c>
      <c r="R82" s="537">
        <f t="shared" si="18"/>
        <v>0</v>
      </c>
      <c r="S82" s="537">
        <f t="shared" si="18"/>
        <v>0</v>
      </c>
      <c r="T82" s="537">
        <f t="shared" si="18"/>
        <v>0</v>
      </c>
      <c r="U82" s="537">
        <f t="shared" si="18"/>
        <v>0</v>
      </c>
      <c r="V82" s="537">
        <f t="shared" si="18"/>
        <v>0</v>
      </c>
      <c r="W82" s="537">
        <f t="shared" si="18"/>
        <v>0</v>
      </c>
      <c r="X82" s="537">
        <f t="shared" si="18"/>
        <v>0</v>
      </c>
      <c r="Y82" s="537">
        <f t="shared" si="18"/>
        <v>0</v>
      </c>
      <c r="Z82" s="537">
        <f t="shared" si="18"/>
        <v>0</v>
      </c>
      <c r="AA82" s="537">
        <f t="shared" si="18"/>
        <v>0</v>
      </c>
      <c r="AB82" s="537">
        <f t="shared" si="18"/>
        <v>0</v>
      </c>
      <c r="AC82" s="537">
        <f t="shared" si="18"/>
        <v>0</v>
      </c>
      <c r="AD82" s="537">
        <f t="shared" si="18"/>
        <v>0</v>
      </c>
      <c r="AE82" s="537">
        <f t="shared" si="18"/>
        <v>0</v>
      </c>
      <c r="AF82" s="537">
        <f t="shared" si="18"/>
        <v>0</v>
      </c>
      <c r="AG82" s="537">
        <f t="shared" si="18"/>
        <v>0</v>
      </c>
      <c r="AH82" s="537">
        <f t="shared" si="18"/>
        <v>0</v>
      </c>
      <c r="AI82" s="537">
        <f t="shared" si="18"/>
        <v>0</v>
      </c>
      <c r="AJ82" s="537">
        <f t="shared" si="18"/>
        <v>0</v>
      </c>
      <c r="AK82" s="537">
        <f t="shared" si="18"/>
        <v>0</v>
      </c>
      <c r="AL82" s="537">
        <f t="shared" si="18"/>
        <v>0</v>
      </c>
      <c r="AM82" s="537">
        <f t="shared" si="18"/>
        <v>0</v>
      </c>
      <c r="AN82" s="537">
        <f t="shared" si="18"/>
        <v>0</v>
      </c>
      <c r="AO82" s="537">
        <f t="shared" si="18"/>
        <v>0</v>
      </c>
      <c r="AP82" s="537">
        <f t="shared" si="18"/>
        <v>0</v>
      </c>
      <c r="AQ82" s="537">
        <f t="shared" si="18"/>
        <v>0</v>
      </c>
      <c r="AR82" s="537">
        <f t="shared" si="18"/>
        <v>0</v>
      </c>
      <c r="AS82" s="537">
        <f t="shared" si="18"/>
        <v>0</v>
      </c>
      <c r="AT82" s="537">
        <f t="shared" si="18"/>
        <v>0</v>
      </c>
      <c r="AU82" s="537">
        <f t="shared" si="18"/>
        <v>0</v>
      </c>
      <c r="AV82" s="537">
        <f t="shared" si="18"/>
        <v>0</v>
      </c>
      <c r="AW82" s="537">
        <f t="shared" si="18"/>
        <v>0</v>
      </c>
      <c r="AX82" s="537">
        <f t="shared" si="18"/>
        <v>0</v>
      </c>
      <c r="AY82" s="537">
        <f t="shared" si="18"/>
        <v>0</v>
      </c>
      <c r="AZ82" s="537">
        <f t="shared" si="18"/>
        <v>0</v>
      </c>
      <c r="BA82" s="537">
        <f t="shared" si="18"/>
        <v>0</v>
      </c>
      <c r="BB82" s="537">
        <f t="shared" si="18"/>
        <v>0</v>
      </c>
      <c r="BC82" s="537">
        <f t="shared" si="18"/>
        <v>0</v>
      </c>
      <c r="BD82" s="537">
        <f t="shared" si="18"/>
        <v>0</v>
      </c>
      <c r="BE82" s="537">
        <f t="shared" si="18"/>
        <v>0</v>
      </c>
      <c r="BF82" s="537">
        <f t="shared" si="18"/>
        <v>0</v>
      </c>
      <c r="BG82" s="537">
        <f t="shared" si="18"/>
        <v>0</v>
      </c>
      <c r="BH82" s="537">
        <f t="shared" si="18"/>
        <v>0</v>
      </c>
      <c r="BI82" s="537">
        <f t="shared" si="18"/>
        <v>0</v>
      </c>
      <c r="BJ82" s="537">
        <f t="shared" si="18"/>
        <v>0</v>
      </c>
      <c r="BK82" s="537">
        <f t="shared" si="18"/>
        <v>0</v>
      </c>
      <c r="BL82" s="537">
        <f t="shared" si="18"/>
        <v>0</v>
      </c>
      <c r="BM82" s="537">
        <f t="shared" si="18"/>
        <v>0</v>
      </c>
      <c r="BN82" s="537">
        <f t="shared" si="18"/>
        <v>0</v>
      </c>
      <c r="BO82" s="537">
        <f t="shared" si="18"/>
        <v>0</v>
      </c>
      <c r="BP82" s="537">
        <f t="shared" si="18"/>
        <v>0</v>
      </c>
      <c r="BQ82" s="537">
        <f t="shared" si="18"/>
        <v>0</v>
      </c>
      <c r="BR82" s="537">
        <f t="shared" si="18"/>
        <v>0</v>
      </c>
      <c r="BS82" s="537">
        <f t="shared" si="18"/>
        <v>0</v>
      </c>
      <c r="BT82" s="537">
        <f t="shared" si="18"/>
        <v>0</v>
      </c>
      <c r="BU82" s="537">
        <f t="shared" si="18"/>
        <v>0</v>
      </c>
      <c r="BV82" s="537">
        <f t="shared" si="18"/>
        <v>0</v>
      </c>
      <c r="BW82" s="537">
        <f t="shared" si="18"/>
        <v>0</v>
      </c>
      <c r="BX82" s="537">
        <f t="shared" si="18"/>
        <v>0</v>
      </c>
      <c r="BY82" s="537">
        <f t="shared" si="18"/>
        <v>0</v>
      </c>
      <c r="BZ82" s="537">
        <f t="shared" si="18"/>
        <v>0</v>
      </c>
      <c r="CA82" s="537">
        <f t="shared" si="18"/>
        <v>0</v>
      </c>
      <c r="CB82" s="537">
        <f t="shared" si="18"/>
        <v>0</v>
      </c>
      <c r="CC82" s="537">
        <f t="shared" si="18"/>
        <v>0</v>
      </c>
      <c r="CD82" s="537">
        <f t="shared" si="18"/>
        <v>0</v>
      </c>
      <c r="CE82" s="537">
        <f t="shared" si="18"/>
        <v>0</v>
      </c>
      <c r="CF82" s="537">
        <f t="shared" si="18"/>
        <v>0</v>
      </c>
      <c r="CG82" s="537">
        <f t="shared" si="18"/>
        <v>0</v>
      </c>
      <c r="CH82" s="537">
        <f t="shared" si="18"/>
        <v>0</v>
      </c>
      <c r="CI82" s="537">
        <f t="shared" si="18"/>
        <v>0</v>
      </c>
      <c r="CJ82" s="537">
        <f t="shared" si="18"/>
        <v>0</v>
      </c>
      <c r="CK82" s="537">
        <f t="shared" si="18"/>
        <v>0</v>
      </c>
      <c r="CL82" s="537">
        <f t="shared" si="18"/>
        <v>0</v>
      </c>
      <c r="CM82" s="537">
        <f t="shared" si="18"/>
        <v>0</v>
      </c>
      <c r="CN82" s="537">
        <f t="shared" si="18"/>
        <v>0</v>
      </c>
      <c r="CO82" s="538">
        <f t="shared" si="18"/>
        <v>0</v>
      </c>
      <c r="CP82" s="573">
        <f t="shared" si="18"/>
        <v>0</v>
      </c>
      <c r="CQ82" s="537">
        <f t="shared" si="18"/>
        <v>0</v>
      </c>
      <c r="CR82" s="537">
        <f t="shared" si="18"/>
        <v>0</v>
      </c>
      <c r="CS82" s="537">
        <f t="shared" si="18"/>
        <v>0</v>
      </c>
      <c r="CT82" s="537">
        <f t="shared" si="18"/>
        <v>0</v>
      </c>
      <c r="CU82" s="537">
        <f t="shared" si="18"/>
        <v>0</v>
      </c>
      <c r="CV82" s="537">
        <f t="shared" si="18"/>
        <v>0</v>
      </c>
      <c r="CW82" s="537">
        <f t="shared" si="18"/>
        <v>0</v>
      </c>
      <c r="CX82" s="537">
        <f t="shared" si="18"/>
        <v>0</v>
      </c>
      <c r="CY82" s="537">
        <f t="shared" si="18"/>
        <v>0</v>
      </c>
      <c r="CZ82" s="537">
        <f t="shared" si="18"/>
        <v>0</v>
      </c>
      <c r="DA82" s="537">
        <f t="shared" si="18"/>
        <v>0</v>
      </c>
      <c r="DB82" s="567"/>
      <c r="DC82" s="567"/>
      <c r="DD82" s="567"/>
      <c r="DE82" s="567"/>
      <c r="DF82" s="567"/>
      <c r="DG82" s="567"/>
      <c r="DH82" s="567"/>
      <c r="DI82" s="567"/>
      <c r="DJ82" s="567"/>
      <c r="DK82" s="567"/>
      <c r="DL82" s="567"/>
      <c r="DM82" s="567"/>
      <c r="DN82" s="567"/>
      <c r="DO82" s="567"/>
      <c r="DP82" s="567"/>
      <c r="DQ82" s="567"/>
      <c r="DR82" s="567"/>
      <c r="DS82" s="567"/>
      <c r="DT82" s="567"/>
      <c r="DU82" s="567"/>
      <c r="DV82" s="567"/>
      <c r="DW82" s="567"/>
      <c r="DX82" s="567"/>
      <c r="DY82" s="567"/>
      <c r="DZ82" s="567"/>
      <c r="EA82" s="567"/>
      <c r="EB82" s="567"/>
      <c r="EC82" s="567"/>
      <c r="ED82" s="567"/>
      <c r="EE82" s="567"/>
      <c r="EF82" s="567"/>
      <c r="EG82" s="567"/>
      <c r="EH82" s="567"/>
      <c r="EI82" s="567"/>
      <c r="EJ82" s="567"/>
      <c r="EK82" s="567"/>
      <c r="EL82" s="567"/>
      <c r="EM82" s="567"/>
      <c r="EN82" s="567"/>
      <c r="EO82" s="567"/>
      <c r="EP82" s="567"/>
      <c r="EQ82" s="567"/>
      <c r="ER82" s="567"/>
      <c r="ES82" s="567"/>
      <c r="ET82" s="567"/>
      <c r="EU82" s="567"/>
      <c r="EV82" s="567"/>
      <c r="EW82" s="567"/>
      <c r="EX82" s="567"/>
      <c r="EY82" s="567"/>
      <c r="EZ82" s="567"/>
      <c r="FA82" s="567"/>
      <c r="FB82" s="567"/>
      <c r="FC82" s="567"/>
      <c r="FD82" s="567"/>
      <c r="FE82" s="567"/>
      <c r="FF82" s="567"/>
      <c r="FG82" s="567"/>
      <c r="FH82" s="567"/>
      <c r="FI82" s="567"/>
      <c r="FJ82" s="567"/>
      <c r="FK82" s="567"/>
      <c r="FL82" s="567"/>
      <c r="FM82" s="567"/>
      <c r="FN82" s="567"/>
      <c r="FO82" s="567"/>
      <c r="FP82" s="567"/>
      <c r="FQ82" s="567"/>
      <c r="FR82" s="567"/>
      <c r="FS82" s="567"/>
      <c r="FT82" s="567"/>
      <c r="FU82" s="567"/>
      <c r="FV82" s="567"/>
      <c r="FW82" s="567"/>
      <c r="FX82" s="567"/>
    </row>
    <row r="83">
      <c r="A83" s="146"/>
      <c r="B83" s="570" t="s">
        <v>744</v>
      </c>
      <c r="C83" s="570" t="s">
        <v>745</v>
      </c>
      <c r="D83" s="581" t="s">
        <v>746</v>
      </c>
      <c r="E83" s="444">
        <v>1.0</v>
      </c>
      <c r="F83" s="444">
        <v>1.0</v>
      </c>
      <c r="G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H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I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J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K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L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M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N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O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P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Q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R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S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T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U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V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W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X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Y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Z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A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B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C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D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E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F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G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H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I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J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K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L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M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N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O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P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Q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R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S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T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U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V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W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X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Y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AZ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A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B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C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D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E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F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G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H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I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J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K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L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M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N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O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P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Q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R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S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T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U83" s="574">
        <f>IFERROR(__xludf.DUMMYFUNCTION("SUM(INDIRECT(CONCATENATE(""'"",INDEX(SPLIT($D83,""C""),1),""C"",INDEX(SPLIT($D83,""C""),2)+$E83*(COLUMN()-COLUMN($G83)),"":"",""C"",INDEX(SPLIT($D83,""C""),2)+$E83*(COLUMN()-COLUMN($G83))+$F83-1)))"),1380000.0)</f>
        <v>1380000</v>
      </c>
      <c r="BV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BW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X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BY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BZ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A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B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C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D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E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F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G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H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I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J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K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L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M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N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O83" s="575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P83" s="576">
        <f>IFERROR(__xludf.DUMMYFUNCTION("SUM(INDIRECT(CONCATENATE(""'"",INDEX(SPLIT($D83,""C""),1),""C"",INDEX(SPLIT($D83,""C""),2)+$E83*(COLUMN()-COLUMN($G83)),"":"",""C"",INDEX(SPLIT($D83,""C""),2)+$E83*(COLUMN()-COLUMN($G83))+$F83-1)))"),45000.0)</f>
        <v>45000</v>
      </c>
      <c r="CQ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R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S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T83" s="574">
        <f>IFERROR(__xludf.DUMMYFUNCTION("SUM(INDIRECT(CONCATENATE(""'"",INDEX(SPLIT($D83,""C""),1),""C"",INDEX(SPLIT($D83,""C""),2)+$E83*(COLUMN()-COLUMN($G83)),"":"",""C"",INDEX(SPLIT($D83,""C""),2)+$E83*(COLUMN()-COLUMN($G83))+$F83-1)))"),50000.0)</f>
        <v>50000</v>
      </c>
      <c r="CU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V83" s="574">
        <f>IFERROR(__xludf.DUMMYFUNCTION("SUM(INDIRECT(CONCATENATE(""'"",INDEX(SPLIT($D83,""C""),1),""C"",INDEX(SPLIT($D83,""C""),2)+$E83*(COLUMN()-COLUMN($G83)),"":"",""C"",INDEX(SPLIT($D83,""C""),2)+$E83*(COLUMN()-COLUMN($G83))+$F83-1)))"),40000.0)</f>
        <v>40000</v>
      </c>
      <c r="CW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X83" s="574">
        <f>IFERROR(__xludf.DUMMYFUNCTION("SUM(INDIRECT(CONCATENATE(""'"",INDEX(SPLIT($D83,""C""),1),""C"",INDEX(SPLIT($D83,""C""),2)+$E83*(COLUMN()-COLUMN($G83)),"":"",""C"",INDEX(SPLIT($D83,""C""),2)+$E83*(COLUMN()-COLUMN($G83))+$F83-1)))"),40000.0)</f>
        <v>40000</v>
      </c>
      <c r="CY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CZ83" s="574">
        <f>IFERROR(__xludf.DUMMYFUNCTION("SUM(INDIRECT(CONCATENATE(""'"",INDEX(SPLIT($D83,""C""),1),""C"",INDEX(SPLIT($D83,""C""),2)+$E83*(COLUMN()-COLUMN($G83)),"":"",""C"",INDEX(SPLIT($D83,""C""),2)+$E83*(COLUMN()-COLUMN($G83))+$F83-1)))"),40000.0)</f>
        <v>40000</v>
      </c>
      <c r="DA83" s="574">
        <f>IFERROR(__xludf.DUMMYFUNCTION("SUM(INDIRECT(CONCATENATE(""'"",INDEX(SPLIT($D83,""C""),1),""C"",INDEX(SPLIT($D83,""C""),2)+$E83*(COLUMN()-COLUMN($G83)),"":"",""C"",INDEX(SPLIT($D83,""C""),2)+$E83*(COLUMN()-COLUMN($G83))+$F83-1)))"),0.0)</f>
        <v>0</v>
      </c>
      <c r="DB83" s="567"/>
      <c r="DC83" s="567"/>
      <c r="DD83" s="567"/>
      <c r="DE83" s="567"/>
      <c r="DF83" s="567"/>
      <c r="DG83" s="567"/>
      <c r="DH83" s="567"/>
      <c r="DI83" s="567"/>
      <c r="DJ83" s="567"/>
      <c r="DK83" s="567"/>
      <c r="DL83" s="567"/>
      <c r="DM83" s="567"/>
      <c r="DN83" s="567"/>
      <c r="DO83" s="567"/>
      <c r="DP83" s="567"/>
      <c r="DQ83" s="567"/>
      <c r="DR83" s="567"/>
      <c r="DS83" s="567"/>
      <c r="DT83" s="567"/>
      <c r="DU83" s="567"/>
      <c r="DV83" s="567"/>
      <c r="DW83" s="567"/>
      <c r="DX83" s="567"/>
      <c r="DY83" s="567"/>
      <c r="DZ83" s="567"/>
      <c r="EA83" s="567"/>
      <c r="EB83" s="567"/>
      <c r="EC83" s="567"/>
      <c r="ED83" s="567"/>
      <c r="EE83" s="567"/>
      <c r="EF83" s="567"/>
      <c r="EG83" s="567"/>
      <c r="EH83" s="567"/>
      <c r="EI83" s="567"/>
      <c r="EJ83" s="567"/>
      <c r="EK83" s="567"/>
      <c r="EL83" s="567"/>
      <c r="EM83" s="567"/>
      <c r="EN83" s="567"/>
      <c r="EO83" s="567"/>
      <c r="EP83" s="567"/>
      <c r="EQ83" s="567"/>
      <c r="ER83" s="567"/>
      <c r="ES83" s="567"/>
      <c r="ET83" s="567"/>
      <c r="EU83" s="567"/>
      <c r="EV83" s="567"/>
      <c r="EW83" s="567"/>
      <c r="EX83" s="567"/>
      <c r="EY83" s="567"/>
      <c r="EZ83" s="567"/>
      <c r="FA83" s="567"/>
      <c r="FB83" s="567"/>
      <c r="FC83" s="567"/>
      <c r="FD83" s="567"/>
      <c r="FE83" s="567"/>
      <c r="FF83" s="567"/>
      <c r="FG83" s="567"/>
      <c r="FH83" s="567"/>
      <c r="FI83" s="567"/>
      <c r="FJ83" s="567"/>
      <c r="FK83" s="567"/>
      <c r="FL83" s="567"/>
      <c r="FM83" s="567"/>
      <c r="FN83" s="567"/>
      <c r="FO83" s="567"/>
      <c r="FP83" s="567"/>
      <c r="FQ83" s="567"/>
      <c r="FR83" s="567"/>
      <c r="FS83" s="567"/>
      <c r="FT83" s="567"/>
      <c r="FU83" s="567"/>
      <c r="FV83" s="567"/>
      <c r="FW83" s="567"/>
      <c r="FX83" s="567"/>
    </row>
    <row r="84">
      <c r="A84" s="146"/>
      <c r="B84" s="570" t="s">
        <v>747</v>
      </c>
      <c r="C84" s="570" t="s">
        <v>629</v>
      </c>
      <c r="D84" s="581" t="s">
        <v>748</v>
      </c>
      <c r="E84" s="444">
        <v>1.0</v>
      </c>
      <c r="F84" s="444">
        <v>1.0</v>
      </c>
      <c r="G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H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I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J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K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L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M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N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O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P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Q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R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S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T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U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V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W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X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Y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Z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A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B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C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D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E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F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G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H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I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J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K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L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M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N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O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P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Q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R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S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T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U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V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W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X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Y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AZ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A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B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C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D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E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F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G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H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I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J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K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L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M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N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O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P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Q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R84" s="574">
        <f>IFERROR(__xludf.DUMMYFUNCTION("SUM(INDIRECT(CONCATENATE(""'"",INDEX(SPLIT($D84,""F""),1),""F"",INDEX(SPLIT($D84,""F""),2)+$E84*(COLUMN()-COLUMN($G84)),"":"",""F"",INDEX(SPLIT($D84,""F""),2)+$E84*(COLUMN()-COLUMN($G84))+$F84-1)))"),777360.0)</f>
        <v>777360</v>
      </c>
      <c r="BS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T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U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V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W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X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Y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BZ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A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B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C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D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E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F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G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H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I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J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K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L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M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N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O84" s="575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P84" s="576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Q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R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S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T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U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V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W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X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Y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CZ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DA84" s="574">
        <f>IFERROR(__xludf.DUMMYFUNCTION("SUM(INDIRECT(CONCATENATE(""'"",INDEX(SPLIT($D84,""F""),1),""F"",INDEX(SPLIT($D84,""F""),2)+$E84*(COLUMN()-COLUMN($G84)),"":"",""F"",INDEX(SPLIT($D84,""F""),2)+$E84*(COLUMN()-COLUMN($G84))+$F84-1)))"),0.0)</f>
        <v>0</v>
      </c>
      <c r="DB84" s="567"/>
      <c r="DC84" s="567"/>
      <c r="DD84" s="567"/>
      <c r="DE84" s="567"/>
      <c r="DF84" s="567"/>
      <c r="DG84" s="567"/>
      <c r="DH84" s="567"/>
      <c r="DI84" s="567"/>
      <c r="DJ84" s="567"/>
      <c r="DK84" s="567"/>
      <c r="DL84" s="567"/>
      <c r="DM84" s="567"/>
      <c r="DN84" s="567"/>
      <c r="DO84" s="567"/>
      <c r="DP84" s="567"/>
      <c r="DQ84" s="567"/>
      <c r="DR84" s="567"/>
      <c r="DS84" s="567"/>
      <c r="DT84" s="567"/>
      <c r="DU84" s="567"/>
      <c r="DV84" s="567"/>
      <c r="DW84" s="567"/>
      <c r="DX84" s="567"/>
      <c r="DY84" s="567"/>
      <c r="DZ84" s="567"/>
      <c r="EA84" s="567"/>
      <c r="EB84" s="567"/>
      <c r="EC84" s="567"/>
      <c r="ED84" s="567"/>
      <c r="EE84" s="567"/>
      <c r="EF84" s="567"/>
      <c r="EG84" s="567"/>
      <c r="EH84" s="567"/>
      <c r="EI84" s="567"/>
      <c r="EJ84" s="567"/>
      <c r="EK84" s="567"/>
      <c r="EL84" s="567"/>
      <c r="EM84" s="567"/>
      <c r="EN84" s="567"/>
      <c r="EO84" s="567"/>
      <c r="EP84" s="567"/>
      <c r="EQ84" s="567"/>
      <c r="ER84" s="567"/>
      <c r="ES84" s="567"/>
      <c r="ET84" s="567"/>
      <c r="EU84" s="567"/>
      <c r="EV84" s="567"/>
      <c r="EW84" s="567"/>
      <c r="EX84" s="567"/>
      <c r="EY84" s="567"/>
      <c r="EZ84" s="567"/>
      <c r="FA84" s="567"/>
      <c r="FB84" s="567"/>
      <c r="FC84" s="567"/>
      <c r="FD84" s="567"/>
      <c r="FE84" s="567"/>
      <c r="FF84" s="567"/>
      <c r="FG84" s="567"/>
      <c r="FH84" s="567"/>
      <c r="FI84" s="567"/>
      <c r="FJ84" s="567"/>
      <c r="FK84" s="567"/>
      <c r="FL84" s="567"/>
      <c r="FM84" s="567"/>
      <c r="FN84" s="567"/>
      <c r="FO84" s="567"/>
      <c r="FP84" s="567"/>
      <c r="FQ84" s="567"/>
      <c r="FR84" s="567"/>
      <c r="FS84" s="567"/>
      <c r="FT84" s="567"/>
      <c r="FU84" s="567"/>
      <c r="FV84" s="567"/>
      <c r="FW84" s="567"/>
      <c r="FX84" s="567"/>
    </row>
    <row r="85">
      <c r="A85" s="147"/>
      <c r="B85" s="570" t="s">
        <v>749</v>
      </c>
      <c r="C85" s="570" t="s">
        <v>633</v>
      </c>
      <c r="D85" s="581" t="s">
        <v>750</v>
      </c>
      <c r="E85" s="444">
        <v>1.0</v>
      </c>
      <c r="F85" s="444">
        <v>1.0</v>
      </c>
      <c r="G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H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I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J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K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L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M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N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O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P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Q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R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S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T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U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V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W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X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Y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Z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A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B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C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D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E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F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G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H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I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J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K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L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M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N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O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P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Q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R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S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T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U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V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W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X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Y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AZ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A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B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C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D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E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F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G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H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I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J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K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L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M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N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O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P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Q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R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S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T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BU85" s="574">
        <f>IFERROR(__xludf.DUMMYFUNCTION("SUM(INDIRECT(CONCATENATE(""'"",INDEX(SPLIT($D85,""I""),1),""I"",INDEX(SPLIT($D85,""I""),2)+$E85*(COLUMN()-COLUMN($G85)),"":"",""I"",INDEX(SPLIT($D85,""I""),2)+$E85*(COLUMN()-COLUMN($G85))+$F85-1)))"),2868.0)</f>
        <v>2868</v>
      </c>
      <c r="BV85" s="574">
        <f>IFERROR(__xludf.DUMMYFUNCTION("SUM(INDIRECT(CONCATENATE(""'"",INDEX(SPLIT($D85,""I""),1),""I"",INDEX(SPLIT($D85,""I""),2)+$E85*(COLUMN()-COLUMN($G85)),"":"",""I"",INDEX(SPLIT($D85,""I""),2)+$E85*(COLUMN()-COLUMN($G85))+$F85-1)))"),3003.0)</f>
        <v>3003</v>
      </c>
      <c r="BW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BX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BY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BZ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A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CB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C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D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E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F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G85" s="574">
        <f>IFERROR(__xludf.DUMMYFUNCTION("SUM(INDIRECT(CONCATENATE(""'"",INDEX(SPLIT($D85,""I""),1),""I"",INDEX(SPLIT($D85,""I""),2)+$E85*(COLUMN()-COLUMN($G85)),"":"",""I"",INDEX(SPLIT($D85,""I""),2)+$E85*(COLUMN()-COLUMN($G85))+$F85-1)))"),3087.0)</f>
        <v>3087</v>
      </c>
      <c r="CH85" s="574">
        <f>IFERROR(__xludf.DUMMYFUNCTION("SUM(INDIRECT(CONCATENATE(""'"",INDEX(SPLIT($D85,""I""),1),""I"",INDEX(SPLIT($D85,""I""),2)+$E85*(COLUMN()-COLUMN($G85)),"":"",""I"",INDEX(SPLIT($D85,""I""),2)+$E85*(COLUMN()-COLUMN($G85))+$F85-1)))"),4116.0)</f>
        <v>4116</v>
      </c>
      <c r="CI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J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K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L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M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N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O85" s="575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P85" s="576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Q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R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S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T85" s="574">
        <f>IFERROR(__xludf.DUMMYFUNCTION("SUM(INDIRECT(CONCATENATE(""'"",INDEX(SPLIT($D85,""I""),1),""I"",INDEX(SPLIT($D85,""I""),2)+$E85*(COLUMN()-COLUMN($G85)),"":"",""I"",INDEX(SPLIT($D85,""I""),2)+$E85*(COLUMN()-COLUMN($G85))+$F85-1)))"),4292.0)</f>
        <v>4292</v>
      </c>
      <c r="CU85" s="574">
        <f>IFERROR(__xludf.DUMMYFUNCTION("SUM(INDIRECT(CONCATENATE(""'"",INDEX(SPLIT($D85,""I""),1),""I"",INDEX(SPLIT($D85,""I""),2)+$E85*(COLUMN()-COLUMN($G85)),"":"",""I"",INDEX(SPLIT($D85,""I""),2)+$E85*(COLUMN()-COLUMN($G85))+$F85-1)))"),4412.0)</f>
        <v>4412</v>
      </c>
      <c r="CV85" s="574">
        <f>IFERROR(__xludf.DUMMYFUNCTION("SUM(INDIRECT(CONCATENATE(""'"",INDEX(SPLIT($D85,""I""),1),""I"",INDEX(SPLIT($D85,""I""),2)+$E85*(COLUMN()-COLUMN($G85)),"":"",""I"",INDEX(SPLIT($D85,""I""),2)+$E85*(COLUMN()-COLUMN($G85))+$F85-1)))"),4412.0)</f>
        <v>4412</v>
      </c>
      <c r="CW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CX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CY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CZ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DA85" s="574">
        <f>IFERROR(__xludf.DUMMYFUNCTION("SUM(INDIRECT(CONCATENATE(""'"",INDEX(SPLIT($D85,""I""),1),""I"",INDEX(SPLIT($D85,""I""),2)+$E85*(COLUMN()-COLUMN($G85)),"":"",""I"",INDEX(SPLIT($D85,""I""),2)+$E85*(COLUMN()-COLUMN($G85))+$F85-1)))"),0.0)</f>
        <v>0</v>
      </c>
      <c r="DB85" s="567"/>
      <c r="DC85" s="567"/>
      <c r="DD85" s="567"/>
      <c r="DE85" s="567"/>
      <c r="DF85" s="567"/>
      <c r="DG85" s="567"/>
      <c r="DH85" s="567"/>
      <c r="DI85" s="567"/>
      <c r="DJ85" s="567"/>
      <c r="DK85" s="567"/>
      <c r="DL85" s="567"/>
      <c r="DM85" s="567"/>
      <c r="DN85" s="567"/>
      <c r="DO85" s="567"/>
      <c r="DP85" s="567"/>
      <c r="DQ85" s="567"/>
      <c r="DR85" s="567"/>
      <c r="DS85" s="567"/>
      <c r="DT85" s="567"/>
      <c r="DU85" s="567"/>
      <c r="DV85" s="567"/>
      <c r="DW85" s="567"/>
      <c r="DX85" s="567"/>
      <c r="DY85" s="567"/>
      <c r="DZ85" s="567"/>
      <c r="EA85" s="567"/>
      <c r="EB85" s="567"/>
      <c r="EC85" s="567"/>
      <c r="ED85" s="567"/>
      <c r="EE85" s="567"/>
      <c r="EF85" s="567"/>
      <c r="EG85" s="567"/>
      <c r="EH85" s="567"/>
      <c r="EI85" s="567"/>
      <c r="EJ85" s="567"/>
      <c r="EK85" s="567"/>
      <c r="EL85" s="567"/>
      <c r="EM85" s="567"/>
      <c r="EN85" s="567"/>
      <c r="EO85" s="567"/>
      <c r="EP85" s="567"/>
      <c r="EQ85" s="567"/>
      <c r="ER85" s="567"/>
      <c r="ES85" s="567"/>
      <c r="ET85" s="567"/>
      <c r="EU85" s="567"/>
      <c r="EV85" s="567"/>
      <c r="EW85" s="567"/>
      <c r="EX85" s="567"/>
      <c r="EY85" s="567"/>
      <c r="EZ85" s="567"/>
      <c r="FA85" s="567"/>
      <c r="FB85" s="567"/>
      <c r="FC85" s="567"/>
      <c r="FD85" s="567"/>
      <c r="FE85" s="567"/>
      <c r="FF85" s="567"/>
      <c r="FG85" s="567"/>
      <c r="FH85" s="567"/>
      <c r="FI85" s="567"/>
      <c r="FJ85" s="567"/>
      <c r="FK85" s="567"/>
      <c r="FL85" s="567"/>
      <c r="FM85" s="567"/>
      <c r="FN85" s="567"/>
      <c r="FO85" s="567"/>
      <c r="FP85" s="567"/>
      <c r="FQ85" s="567"/>
      <c r="FR85" s="567"/>
      <c r="FS85" s="567"/>
      <c r="FT85" s="567"/>
      <c r="FU85" s="567"/>
      <c r="FV85" s="567"/>
      <c r="FW85" s="567"/>
      <c r="FX85" s="567"/>
    </row>
    <row r="86">
      <c r="A86" s="578" t="s">
        <v>751</v>
      </c>
      <c r="B86" s="15"/>
      <c r="C86" s="16"/>
      <c r="D86" s="583" t="s">
        <v>652</v>
      </c>
      <c r="E86" s="584" t="s">
        <v>652</v>
      </c>
      <c r="F86" s="584" t="s">
        <v>652</v>
      </c>
      <c r="G86" s="537">
        <f t="shared" ref="G86:DA86" si="19">G79-G76+G81-G78-G83-G84-G85</f>
        <v>0</v>
      </c>
      <c r="H86" s="537">
        <f t="shared" si="19"/>
        <v>0</v>
      </c>
      <c r="I86" s="537">
        <f t="shared" si="19"/>
        <v>0</v>
      </c>
      <c r="J86" s="537">
        <f t="shared" si="19"/>
        <v>0</v>
      </c>
      <c r="K86" s="537">
        <f t="shared" si="19"/>
        <v>0</v>
      </c>
      <c r="L86" s="537">
        <f t="shared" si="19"/>
        <v>0</v>
      </c>
      <c r="M86" s="537">
        <f t="shared" si="19"/>
        <v>0</v>
      </c>
      <c r="N86" s="537">
        <f t="shared" si="19"/>
        <v>0</v>
      </c>
      <c r="O86" s="537">
        <f t="shared" si="19"/>
        <v>0</v>
      </c>
      <c r="P86" s="537">
        <f t="shared" si="19"/>
        <v>0</v>
      </c>
      <c r="Q86" s="537">
        <f t="shared" si="19"/>
        <v>0</v>
      </c>
      <c r="R86" s="537">
        <f t="shared" si="19"/>
        <v>0</v>
      </c>
      <c r="S86" s="537">
        <f t="shared" si="19"/>
        <v>0</v>
      </c>
      <c r="T86" s="537">
        <f t="shared" si="19"/>
        <v>0</v>
      </c>
      <c r="U86" s="537">
        <f t="shared" si="19"/>
        <v>0</v>
      </c>
      <c r="V86" s="537">
        <f t="shared" si="19"/>
        <v>0</v>
      </c>
      <c r="W86" s="537">
        <f t="shared" si="19"/>
        <v>0</v>
      </c>
      <c r="X86" s="537">
        <f t="shared" si="19"/>
        <v>0</v>
      </c>
      <c r="Y86" s="537">
        <f t="shared" si="19"/>
        <v>0</v>
      </c>
      <c r="Z86" s="537">
        <f t="shared" si="19"/>
        <v>0</v>
      </c>
      <c r="AA86" s="537">
        <f t="shared" si="19"/>
        <v>0</v>
      </c>
      <c r="AB86" s="537">
        <f t="shared" si="19"/>
        <v>0</v>
      </c>
      <c r="AC86" s="537">
        <f t="shared" si="19"/>
        <v>0</v>
      </c>
      <c r="AD86" s="537">
        <f t="shared" si="19"/>
        <v>0</v>
      </c>
      <c r="AE86" s="537">
        <f t="shared" si="19"/>
        <v>0</v>
      </c>
      <c r="AF86" s="537">
        <f t="shared" si="19"/>
        <v>0</v>
      </c>
      <c r="AG86" s="537">
        <f t="shared" si="19"/>
        <v>0</v>
      </c>
      <c r="AH86" s="537">
        <f t="shared" si="19"/>
        <v>0</v>
      </c>
      <c r="AI86" s="537">
        <f t="shared" si="19"/>
        <v>0</v>
      </c>
      <c r="AJ86" s="537">
        <f t="shared" si="19"/>
        <v>0</v>
      </c>
      <c r="AK86" s="537">
        <f t="shared" si="19"/>
        <v>0</v>
      </c>
      <c r="AL86" s="537">
        <f t="shared" si="19"/>
        <v>0</v>
      </c>
      <c r="AM86" s="537">
        <f t="shared" si="19"/>
        <v>0</v>
      </c>
      <c r="AN86" s="537">
        <f t="shared" si="19"/>
        <v>0</v>
      </c>
      <c r="AO86" s="537">
        <f t="shared" si="19"/>
        <v>0</v>
      </c>
      <c r="AP86" s="537">
        <f t="shared" si="19"/>
        <v>0</v>
      </c>
      <c r="AQ86" s="537">
        <f t="shared" si="19"/>
        <v>0</v>
      </c>
      <c r="AR86" s="537">
        <f t="shared" si="19"/>
        <v>0</v>
      </c>
      <c r="AS86" s="537">
        <f t="shared" si="19"/>
        <v>0</v>
      </c>
      <c r="AT86" s="537">
        <f t="shared" si="19"/>
        <v>0</v>
      </c>
      <c r="AU86" s="537">
        <f t="shared" si="19"/>
        <v>0</v>
      </c>
      <c r="AV86" s="537">
        <f t="shared" si="19"/>
        <v>0</v>
      </c>
      <c r="AW86" s="537">
        <f t="shared" si="19"/>
        <v>0</v>
      </c>
      <c r="AX86" s="537">
        <f t="shared" si="19"/>
        <v>0</v>
      </c>
      <c r="AY86" s="537">
        <f t="shared" si="19"/>
        <v>0</v>
      </c>
      <c r="AZ86" s="537">
        <f t="shared" si="19"/>
        <v>0</v>
      </c>
      <c r="BA86" s="537">
        <f t="shared" si="19"/>
        <v>0</v>
      </c>
      <c r="BB86" s="537">
        <f t="shared" si="19"/>
        <v>0</v>
      </c>
      <c r="BC86" s="537">
        <f t="shared" si="19"/>
        <v>0</v>
      </c>
      <c r="BD86" s="537">
        <f t="shared" si="19"/>
        <v>0</v>
      </c>
      <c r="BE86" s="537">
        <f t="shared" si="19"/>
        <v>0</v>
      </c>
      <c r="BF86" s="537">
        <f t="shared" si="19"/>
        <v>0</v>
      </c>
      <c r="BG86" s="537">
        <f t="shared" si="19"/>
        <v>0</v>
      </c>
      <c r="BH86" s="537">
        <f t="shared" si="19"/>
        <v>0</v>
      </c>
      <c r="BI86" s="537">
        <f t="shared" si="19"/>
        <v>0</v>
      </c>
      <c r="BJ86" s="537">
        <f t="shared" si="19"/>
        <v>0</v>
      </c>
      <c r="BK86" s="537">
        <f t="shared" si="19"/>
        <v>0</v>
      </c>
      <c r="BL86" s="537">
        <f t="shared" si="19"/>
        <v>0</v>
      </c>
      <c r="BM86" s="537">
        <f t="shared" si="19"/>
        <v>0</v>
      </c>
      <c r="BN86" s="537">
        <f t="shared" si="19"/>
        <v>0</v>
      </c>
      <c r="BO86" s="537">
        <f t="shared" si="19"/>
        <v>0</v>
      </c>
      <c r="BP86" s="537">
        <f t="shared" si="19"/>
        <v>0</v>
      </c>
      <c r="BQ86" s="537">
        <f t="shared" si="19"/>
        <v>0</v>
      </c>
      <c r="BR86" s="537">
        <f t="shared" si="19"/>
        <v>-777360</v>
      </c>
      <c r="BS86" s="537">
        <f t="shared" si="19"/>
        <v>0</v>
      </c>
      <c r="BT86" s="537">
        <f t="shared" si="19"/>
        <v>0</v>
      </c>
      <c r="BU86" s="537">
        <f t="shared" si="19"/>
        <v>-1382868</v>
      </c>
      <c r="BV86" s="537">
        <f t="shared" si="19"/>
        <v>-53003</v>
      </c>
      <c r="BW86" s="537">
        <f t="shared" si="19"/>
        <v>-3087</v>
      </c>
      <c r="BX86" s="537">
        <f t="shared" si="19"/>
        <v>-53087</v>
      </c>
      <c r="BY86" s="537">
        <f t="shared" si="19"/>
        <v>-3087</v>
      </c>
      <c r="BZ86" s="537">
        <f t="shared" si="19"/>
        <v>-53087</v>
      </c>
      <c r="CA86" s="537">
        <f t="shared" si="19"/>
        <v>0</v>
      </c>
      <c r="CB86" s="537">
        <f t="shared" si="19"/>
        <v>-53087</v>
      </c>
      <c r="CC86" s="537">
        <f t="shared" si="19"/>
        <v>-3087</v>
      </c>
      <c r="CD86" s="537">
        <f t="shared" si="19"/>
        <v>-53087</v>
      </c>
      <c r="CE86" s="537">
        <f t="shared" si="19"/>
        <v>-3087</v>
      </c>
      <c r="CF86" s="537">
        <f t="shared" si="19"/>
        <v>-53087</v>
      </c>
      <c r="CG86" s="537">
        <f t="shared" si="19"/>
        <v>-3087</v>
      </c>
      <c r="CH86" s="537">
        <f t="shared" si="19"/>
        <v>-54116</v>
      </c>
      <c r="CI86" s="537">
        <f t="shared" si="19"/>
        <v>-4292</v>
      </c>
      <c r="CJ86" s="537">
        <f t="shared" si="19"/>
        <v>-54292</v>
      </c>
      <c r="CK86" s="537">
        <f t="shared" si="19"/>
        <v>-4292</v>
      </c>
      <c r="CL86" s="537">
        <f t="shared" si="19"/>
        <v>-69792</v>
      </c>
      <c r="CM86" s="537">
        <f t="shared" si="19"/>
        <v>-35416</v>
      </c>
      <c r="CN86" s="537">
        <f t="shared" si="19"/>
        <v>-86532</v>
      </c>
      <c r="CO86" s="538">
        <f t="shared" si="19"/>
        <v>-36532</v>
      </c>
      <c r="CP86" s="573">
        <f t="shared" si="19"/>
        <v>-81532</v>
      </c>
      <c r="CQ86" s="537">
        <f t="shared" si="19"/>
        <v>-41182</v>
      </c>
      <c r="CR86" s="537">
        <f t="shared" si="19"/>
        <v>-91182</v>
      </c>
      <c r="CS86" s="537">
        <f t="shared" si="19"/>
        <v>-41182</v>
      </c>
      <c r="CT86" s="537">
        <f t="shared" si="19"/>
        <v>-91182</v>
      </c>
      <c r="CU86" s="537">
        <f t="shared" si="19"/>
        <v>-41302</v>
      </c>
      <c r="CV86" s="537">
        <f t="shared" si="19"/>
        <v>-81302</v>
      </c>
      <c r="CW86" s="537">
        <f t="shared" si="19"/>
        <v>0</v>
      </c>
      <c r="CX86" s="537">
        <f t="shared" si="19"/>
        <v>-40000</v>
      </c>
      <c r="CY86" s="537">
        <f t="shared" si="19"/>
        <v>0</v>
      </c>
      <c r="CZ86" s="537">
        <f t="shared" si="19"/>
        <v>-40000</v>
      </c>
      <c r="DA86" s="537">
        <f t="shared" si="19"/>
        <v>0</v>
      </c>
      <c r="DB86" s="567"/>
      <c r="DC86" s="567"/>
      <c r="DD86" s="567"/>
      <c r="DE86" s="567"/>
      <c r="DF86" s="567"/>
      <c r="DG86" s="567"/>
      <c r="DH86" s="567"/>
      <c r="DI86" s="567"/>
      <c r="DJ86" s="567"/>
      <c r="DK86" s="567"/>
      <c r="DL86" s="567"/>
      <c r="DM86" s="567"/>
      <c r="DN86" s="567"/>
      <c r="DO86" s="567"/>
      <c r="DP86" s="567"/>
      <c r="DQ86" s="567"/>
      <c r="DR86" s="567"/>
      <c r="DS86" s="567"/>
      <c r="DT86" s="567"/>
      <c r="DU86" s="567"/>
      <c r="DV86" s="567"/>
      <c r="DW86" s="567"/>
      <c r="DX86" s="567"/>
      <c r="DY86" s="567"/>
      <c r="DZ86" s="567"/>
      <c r="EA86" s="567"/>
      <c r="EB86" s="567"/>
      <c r="EC86" s="567"/>
      <c r="ED86" s="567"/>
      <c r="EE86" s="567"/>
      <c r="EF86" s="567"/>
      <c r="EG86" s="567"/>
      <c r="EH86" s="567"/>
      <c r="EI86" s="567"/>
      <c r="EJ86" s="567"/>
      <c r="EK86" s="567"/>
      <c r="EL86" s="567"/>
      <c r="EM86" s="567"/>
      <c r="EN86" s="567"/>
      <c r="EO86" s="567"/>
      <c r="EP86" s="567"/>
      <c r="EQ86" s="567"/>
      <c r="ER86" s="567"/>
      <c r="ES86" s="567"/>
      <c r="ET86" s="567"/>
      <c r="EU86" s="567"/>
      <c r="EV86" s="567"/>
      <c r="EW86" s="567"/>
      <c r="EX86" s="567"/>
      <c r="EY86" s="567"/>
      <c r="EZ86" s="567"/>
      <c r="FA86" s="567"/>
      <c r="FB86" s="567"/>
      <c r="FC86" s="567"/>
      <c r="FD86" s="567"/>
      <c r="FE86" s="567"/>
      <c r="FF86" s="567"/>
      <c r="FG86" s="567"/>
      <c r="FH86" s="567"/>
      <c r="FI86" s="567"/>
      <c r="FJ86" s="567"/>
      <c r="FK86" s="567"/>
      <c r="FL86" s="567"/>
      <c r="FM86" s="567"/>
      <c r="FN86" s="567"/>
      <c r="FO86" s="567"/>
      <c r="FP86" s="567"/>
      <c r="FQ86" s="567"/>
      <c r="FR86" s="567"/>
      <c r="FS86" s="567"/>
      <c r="FT86" s="567"/>
      <c r="FU86" s="567"/>
      <c r="FV86" s="567"/>
      <c r="FW86" s="567"/>
      <c r="FX86" s="567"/>
    </row>
    <row r="87">
      <c r="A87" s="579" t="s">
        <v>752</v>
      </c>
      <c r="B87" s="570" t="s">
        <v>753</v>
      </c>
      <c r="C87" s="570" t="s">
        <v>558</v>
      </c>
      <c r="D87" s="572" t="s">
        <v>652</v>
      </c>
      <c r="E87" s="444" t="s">
        <v>652</v>
      </c>
      <c r="F87" s="444" t="s">
        <v>652</v>
      </c>
      <c r="G87" s="542">
        <v>0.0</v>
      </c>
      <c r="H87" s="542">
        <v>0.0</v>
      </c>
      <c r="I87" s="542">
        <v>0.0</v>
      </c>
      <c r="J87" s="542">
        <v>0.0</v>
      </c>
      <c r="K87" s="542">
        <v>0.0</v>
      </c>
      <c r="L87" s="542">
        <v>0.0</v>
      </c>
      <c r="M87" s="542">
        <v>0.0</v>
      </c>
      <c r="N87" s="542">
        <v>0.0</v>
      </c>
      <c r="O87" s="542">
        <v>0.0</v>
      </c>
      <c r="P87" s="542">
        <v>0.0</v>
      </c>
      <c r="Q87" s="542">
        <v>0.0</v>
      </c>
      <c r="R87" s="542">
        <v>0.0</v>
      </c>
      <c r="S87" s="542">
        <v>0.0</v>
      </c>
      <c r="T87" s="542">
        <v>0.0</v>
      </c>
      <c r="U87" s="542">
        <v>0.0</v>
      </c>
      <c r="V87" s="542">
        <v>0.0</v>
      </c>
      <c r="W87" s="542">
        <v>0.0</v>
      </c>
      <c r="X87" s="542">
        <v>0.0</v>
      </c>
      <c r="Y87" s="542">
        <v>0.0</v>
      </c>
      <c r="Z87" s="542">
        <v>0.0</v>
      </c>
      <c r="AA87" s="542">
        <v>0.0</v>
      </c>
      <c r="AB87" s="542">
        <v>0.0</v>
      </c>
      <c r="AC87" s="542">
        <v>0.0</v>
      </c>
      <c r="AD87" s="542">
        <v>0.0</v>
      </c>
      <c r="AE87" s="542">
        <v>0.0</v>
      </c>
      <c r="AF87" s="542">
        <v>0.0</v>
      </c>
      <c r="AG87" s="542">
        <v>0.0</v>
      </c>
      <c r="AH87" s="542">
        <v>0.0</v>
      </c>
      <c r="AI87" s="542">
        <v>0.0</v>
      </c>
      <c r="AJ87" s="542">
        <v>0.0</v>
      </c>
      <c r="AK87" s="542">
        <v>0.0</v>
      </c>
      <c r="AL87" s="542">
        <v>0.0</v>
      </c>
      <c r="AM87" s="542">
        <v>0.0</v>
      </c>
      <c r="AN87" s="542">
        <v>0.0</v>
      </c>
      <c r="AO87" s="542">
        <v>0.0</v>
      </c>
      <c r="AP87" s="542">
        <v>0.0</v>
      </c>
      <c r="AQ87" s="542">
        <v>0.0</v>
      </c>
      <c r="AR87" s="542">
        <v>0.0</v>
      </c>
      <c r="AS87" s="542">
        <v>0.0</v>
      </c>
      <c r="AT87" s="542">
        <v>0.0</v>
      </c>
      <c r="AU87" s="542">
        <v>0.0</v>
      </c>
      <c r="AV87" s="542">
        <v>0.0</v>
      </c>
      <c r="AW87" s="542">
        <v>0.0</v>
      </c>
      <c r="AX87" s="542">
        <v>0.0</v>
      </c>
      <c r="AY87" s="542">
        <v>0.0</v>
      </c>
      <c r="AZ87" s="542">
        <v>0.0</v>
      </c>
      <c r="BA87" s="542">
        <v>0.0</v>
      </c>
      <c r="BB87" s="542">
        <v>0.0</v>
      </c>
      <c r="BC87" s="542">
        <v>0.0</v>
      </c>
      <c r="BD87" s="542">
        <v>0.0</v>
      </c>
      <c r="BE87" s="542">
        <v>0.0</v>
      </c>
      <c r="BF87" s="542">
        <v>0.0</v>
      </c>
      <c r="BG87" s="542">
        <v>0.0</v>
      </c>
      <c r="BH87" s="542">
        <v>0.0</v>
      </c>
      <c r="BI87" s="542">
        <v>0.0</v>
      </c>
      <c r="BJ87" s="542">
        <v>0.0</v>
      </c>
      <c r="BK87" s="542">
        <v>0.0</v>
      </c>
      <c r="BL87" s="542">
        <v>0.0</v>
      </c>
      <c r="BM87" s="542">
        <v>0.0</v>
      </c>
      <c r="BN87" s="542">
        <v>0.0</v>
      </c>
      <c r="BO87" s="542">
        <v>0.0</v>
      </c>
      <c r="BP87" s="542">
        <v>0.0</v>
      </c>
      <c r="BQ87" s="542">
        <v>0.0</v>
      </c>
      <c r="BR87" s="537">
        <f>'貸款'!D49</f>
        <v>878019</v>
      </c>
      <c r="BS87" s="542">
        <v>0.0</v>
      </c>
      <c r="BT87" s="542">
        <v>0.0</v>
      </c>
      <c r="BU87" s="542">
        <v>0.0</v>
      </c>
      <c r="BV87" s="542">
        <v>0.0</v>
      </c>
      <c r="BW87" s="542">
        <v>0.0</v>
      </c>
      <c r="BX87" s="542">
        <v>0.0</v>
      </c>
      <c r="BY87" s="542">
        <v>0.0</v>
      </c>
      <c r="BZ87" s="542">
        <v>0.0</v>
      </c>
      <c r="CA87" s="542">
        <v>0.0</v>
      </c>
      <c r="CB87" s="542">
        <v>0.0</v>
      </c>
      <c r="CC87" s="542">
        <v>0.0</v>
      </c>
      <c r="CD87" s="542">
        <v>0.0</v>
      </c>
      <c r="CE87" s="542">
        <v>0.0</v>
      </c>
      <c r="CF87" s="542">
        <v>0.0</v>
      </c>
      <c r="CG87" s="542">
        <v>0.0</v>
      </c>
      <c r="CH87" s="542">
        <v>0.0</v>
      </c>
      <c r="CI87" s="542">
        <v>0.0</v>
      </c>
      <c r="CJ87" s="542">
        <v>0.0</v>
      </c>
      <c r="CK87" s="542">
        <v>0.0</v>
      </c>
      <c r="CL87" s="542">
        <v>0.0</v>
      </c>
      <c r="CM87" s="542">
        <v>0.0</v>
      </c>
      <c r="CN87" s="542">
        <v>0.0</v>
      </c>
      <c r="CO87" s="543">
        <v>0.0</v>
      </c>
      <c r="CP87" s="582">
        <v>0.0</v>
      </c>
      <c r="CQ87" s="542">
        <v>0.0</v>
      </c>
      <c r="CR87" s="542">
        <v>0.0</v>
      </c>
      <c r="CS87" s="542">
        <v>0.0</v>
      </c>
      <c r="CT87" s="542">
        <v>0.0</v>
      </c>
      <c r="CU87" s="542">
        <v>0.0</v>
      </c>
      <c r="CV87" s="542">
        <v>0.0</v>
      </c>
      <c r="CW87" s="542">
        <v>0.0</v>
      </c>
      <c r="CX87" s="542">
        <v>0.0</v>
      </c>
      <c r="CY87" s="542">
        <v>0.0</v>
      </c>
      <c r="CZ87" s="542">
        <v>0.0</v>
      </c>
      <c r="DA87" s="542">
        <v>0.0</v>
      </c>
      <c r="DB87" s="567"/>
      <c r="DC87" s="567"/>
      <c r="DD87" s="567"/>
      <c r="DE87" s="567"/>
      <c r="DF87" s="567"/>
      <c r="DG87" s="567"/>
      <c r="DH87" s="567"/>
      <c r="DI87" s="567"/>
      <c r="DJ87" s="567"/>
      <c r="DK87" s="567"/>
      <c r="DL87" s="567"/>
      <c r="DM87" s="567"/>
      <c r="DN87" s="567"/>
      <c r="DO87" s="567"/>
      <c r="DP87" s="567"/>
      <c r="DQ87" s="567"/>
      <c r="DR87" s="567"/>
      <c r="DS87" s="567"/>
      <c r="DT87" s="567"/>
      <c r="DU87" s="567"/>
      <c r="DV87" s="567"/>
      <c r="DW87" s="567"/>
      <c r="DX87" s="567"/>
      <c r="DY87" s="567"/>
      <c r="DZ87" s="567"/>
      <c r="EA87" s="567"/>
      <c r="EB87" s="567"/>
      <c r="EC87" s="567"/>
      <c r="ED87" s="567"/>
      <c r="EE87" s="567"/>
      <c r="EF87" s="567"/>
      <c r="EG87" s="567"/>
      <c r="EH87" s="567"/>
      <c r="EI87" s="567"/>
      <c r="EJ87" s="567"/>
      <c r="EK87" s="567"/>
      <c r="EL87" s="567"/>
      <c r="EM87" s="567"/>
      <c r="EN87" s="567"/>
      <c r="EO87" s="567"/>
      <c r="EP87" s="567"/>
      <c r="EQ87" s="567"/>
      <c r="ER87" s="567"/>
      <c r="ES87" s="567"/>
      <c r="ET87" s="567"/>
      <c r="EU87" s="567"/>
      <c r="EV87" s="567"/>
      <c r="EW87" s="567"/>
      <c r="EX87" s="567"/>
      <c r="EY87" s="567"/>
      <c r="EZ87" s="567"/>
      <c r="FA87" s="567"/>
      <c r="FB87" s="567"/>
      <c r="FC87" s="567"/>
      <c r="FD87" s="567"/>
      <c r="FE87" s="567"/>
      <c r="FF87" s="567"/>
      <c r="FG87" s="567"/>
      <c r="FH87" s="567"/>
      <c r="FI87" s="567"/>
      <c r="FJ87" s="567"/>
      <c r="FK87" s="567"/>
      <c r="FL87" s="567"/>
      <c r="FM87" s="567"/>
      <c r="FN87" s="567"/>
      <c r="FO87" s="567"/>
      <c r="FP87" s="567"/>
      <c r="FQ87" s="567"/>
      <c r="FR87" s="567"/>
      <c r="FS87" s="567"/>
      <c r="FT87" s="567"/>
      <c r="FU87" s="567"/>
      <c r="FV87" s="567"/>
      <c r="FW87" s="567"/>
      <c r="FX87" s="567"/>
    </row>
    <row r="88">
      <c r="A88" s="147"/>
      <c r="B88" s="570" t="s">
        <v>754</v>
      </c>
      <c r="C88" s="570" t="s">
        <v>558</v>
      </c>
      <c r="D88" s="581" t="s">
        <v>755</v>
      </c>
      <c r="E88" s="444">
        <v>1.0</v>
      </c>
      <c r="F88" s="444">
        <v>1.0</v>
      </c>
      <c r="G88" s="542">
        <v>0.0</v>
      </c>
      <c r="H88" s="542">
        <v>0.0</v>
      </c>
      <c r="I88" s="542">
        <v>0.0</v>
      </c>
      <c r="J88" s="542">
        <v>0.0</v>
      </c>
      <c r="K88" s="542">
        <v>0.0</v>
      </c>
      <c r="L88" s="542">
        <v>0.0</v>
      </c>
      <c r="M88" s="542">
        <v>0.0</v>
      </c>
      <c r="N88" s="542">
        <v>0.0</v>
      </c>
      <c r="O88" s="542">
        <v>0.0</v>
      </c>
      <c r="P88" s="542">
        <v>0.0</v>
      </c>
      <c r="Q88" s="542">
        <v>0.0</v>
      </c>
      <c r="R88" s="542">
        <v>0.0</v>
      </c>
      <c r="S88" s="542">
        <v>0.0</v>
      </c>
      <c r="T88" s="542">
        <v>0.0</v>
      </c>
      <c r="U88" s="542">
        <v>0.0</v>
      </c>
      <c r="V88" s="542">
        <v>0.0</v>
      </c>
      <c r="W88" s="542">
        <v>0.0</v>
      </c>
      <c r="X88" s="542">
        <v>0.0</v>
      </c>
      <c r="Y88" s="542">
        <v>0.0</v>
      </c>
      <c r="Z88" s="542">
        <v>0.0</v>
      </c>
      <c r="AA88" s="542">
        <v>0.0</v>
      </c>
      <c r="AB88" s="542">
        <v>0.0</v>
      </c>
      <c r="AC88" s="542">
        <v>0.0</v>
      </c>
      <c r="AD88" s="542">
        <v>0.0</v>
      </c>
      <c r="AE88" s="542">
        <v>0.0</v>
      </c>
      <c r="AF88" s="542">
        <v>0.0</v>
      </c>
      <c r="AG88" s="542">
        <v>0.0</v>
      </c>
      <c r="AH88" s="542">
        <v>0.0</v>
      </c>
      <c r="AI88" s="542">
        <v>0.0</v>
      </c>
      <c r="AJ88" s="542">
        <v>0.0</v>
      </c>
      <c r="AK88" s="542">
        <v>0.0</v>
      </c>
      <c r="AL88" s="542">
        <v>0.0</v>
      </c>
      <c r="AM88" s="542">
        <v>0.0</v>
      </c>
      <c r="AN88" s="542">
        <v>0.0</v>
      </c>
      <c r="AO88" s="542">
        <v>0.0</v>
      </c>
      <c r="AP88" s="542">
        <v>0.0</v>
      </c>
      <c r="AQ88" s="542">
        <v>0.0</v>
      </c>
      <c r="AR88" s="542">
        <v>0.0</v>
      </c>
      <c r="AS88" s="542">
        <v>0.0</v>
      </c>
      <c r="AT88" s="542">
        <v>0.0</v>
      </c>
      <c r="AU88" s="542">
        <v>0.0</v>
      </c>
      <c r="AV88" s="542">
        <v>0.0</v>
      </c>
      <c r="AW88" s="542">
        <v>0.0</v>
      </c>
      <c r="AX88" s="542">
        <v>0.0</v>
      </c>
      <c r="AY88" s="542">
        <v>0.0</v>
      </c>
      <c r="AZ88" s="542">
        <v>0.0</v>
      </c>
      <c r="BA88" s="542">
        <v>0.0</v>
      </c>
      <c r="BB88" s="542">
        <v>0.0</v>
      </c>
      <c r="BC88" s="542">
        <v>0.0</v>
      </c>
      <c r="BD88" s="542">
        <v>0.0</v>
      </c>
      <c r="BE88" s="542">
        <v>0.0</v>
      </c>
      <c r="BF88" s="542">
        <v>0.0</v>
      </c>
      <c r="BG88" s="542">
        <v>0.0</v>
      </c>
      <c r="BH88" s="542">
        <v>0.0</v>
      </c>
      <c r="BI88" s="542">
        <v>0.0</v>
      </c>
      <c r="BJ88" s="542">
        <v>0.0</v>
      </c>
      <c r="BK88" s="542">
        <v>0.0</v>
      </c>
      <c r="BL88" s="542">
        <v>0.0</v>
      </c>
      <c r="BM88" s="542">
        <v>0.0</v>
      </c>
      <c r="BN88" s="542">
        <v>0.0</v>
      </c>
      <c r="BO88" s="542">
        <v>0.0</v>
      </c>
      <c r="BP88" s="542">
        <v>0.0</v>
      </c>
      <c r="BQ88" s="542">
        <v>0.0</v>
      </c>
      <c r="BR88" s="585">
        <f>IFERROR(__xludf.DUMMYFUNCTION("SUM(INDIRECT(CONCATENATE(""'"",INDEX(SPLIT($D88,""F""),1),""F"",INDEX(SPLIT($D88,""F""),2)+$E88*(COLUMN()-COLUMN($BR88)),"":"",""F"",INDEX(SPLIT($D88,""F""),2)+$E88*(COLUMN()-COLUMN($BR88))+$F88-1)))"),0.0)</f>
        <v>0</v>
      </c>
      <c r="BS88" s="585">
        <f>IFERROR(__xludf.DUMMYFUNCTION("SUM(INDIRECT(CONCATENATE(""'"",INDEX(SPLIT($D88,""F""),1),""F"",INDEX(SPLIT($D88,""F""),2)+$E88*(COLUMN()-COLUMN($BR88)),"":"",""F"",INDEX(SPLIT($D88,""F""),2)+$E88*(COLUMN()-COLUMN($BR88))+$F88-1)))"),5551.0)</f>
        <v>5551</v>
      </c>
      <c r="BT88" s="585">
        <f>IFERROR(__xludf.DUMMYFUNCTION("SUM(INDIRECT(CONCATENATE(""'"",INDEX(SPLIT($D88,""F""),1),""F"",INDEX(SPLIT($D88,""F""),2)+$E88*(COLUMN()-COLUMN($BR88)),"":"",""F"",INDEX(SPLIT($D88,""F""),2)+$E88*(COLUMN()-COLUMN($BR88))+$F88-1)))"),5560.0)</f>
        <v>5560</v>
      </c>
      <c r="BU88" s="585">
        <f>IFERROR(__xludf.DUMMYFUNCTION("SUM(INDIRECT(CONCATENATE(""'"",INDEX(SPLIT($D88,""F""),1),""F"",INDEX(SPLIT($D88,""F""),2)+$E88*(COLUMN()-COLUMN($BR88)),"":"",""F"",INDEX(SPLIT($D88,""F""),2)+$E88*(COLUMN()-COLUMN($BR88))+$F88-1)))"),5569.0)</f>
        <v>5569</v>
      </c>
      <c r="BV88" s="585">
        <f>IFERROR(__xludf.DUMMYFUNCTION("SUM(INDIRECT(CONCATENATE(""'"",INDEX(SPLIT($D88,""F""),1),""F"",INDEX(SPLIT($D88,""F""),2)+$E88*(COLUMN()-COLUMN($BR88)),"":"",""F"",INDEX(SPLIT($D88,""F""),2)+$E88*(COLUMN()-COLUMN($BR88))+$F88-1)))"),5548.0)</f>
        <v>5548</v>
      </c>
      <c r="BW88" s="585">
        <f>IFERROR(__xludf.DUMMYFUNCTION("SUM(INDIRECT(CONCATENATE(""'"",INDEX(SPLIT($D88,""F""),1),""F"",INDEX(SPLIT($D88,""F""),2)+$E88*(COLUMN()-COLUMN($BR88)),"":"",""F"",INDEX(SPLIT($D88,""F""),2)+$E88*(COLUMN()-COLUMN($BR88))+$F88-1)))"),5563.449)</f>
        <v>5563.449</v>
      </c>
      <c r="BX88" s="585">
        <f>IFERROR(__xludf.DUMMYFUNCTION("SUM(INDIRECT(CONCATENATE(""'"",INDEX(SPLIT($D88,""F""),1),""F"",INDEX(SPLIT($D88,""F""),2)+$E88*(COLUMN()-COLUMN($BR88)),"":"",""F"",INDEX(SPLIT($D88,""F""),2)+$E88*(COLUMN()-COLUMN($BR88))+$F88-1)))"),5573.3241)</f>
        <v>5573.3241</v>
      </c>
      <c r="BY88" s="585">
        <f>IFERROR(__xludf.DUMMYFUNCTION("SUM(INDIRECT(CONCATENATE(""'"",INDEX(SPLIT($D88,""F""),1),""F"",INDEX(SPLIT($D88,""F""),2)+$E88*(COLUMN()-COLUMN($BR88)),"":"",""F"",INDEX(SPLIT($D88,""F""),2)+$E88*(COLUMN()-COLUMN($BR88))+$F88-1)))"),5583.2168)</f>
        <v>5583.2168</v>
      </c>
      <c r="BZ88" s="585">
        <f>IFERROR(__xludf.DUMMYFUNCTION("SUM(INDIRECT(CONCATENATE(""'"",INDEX(SPLIT($D88,""F""),1),""F"",INDEX(SPLIT($D88,""F""),2)+$E88*(COLUMN()-COLUMN($BR88)),"":"",""F"",INDEX(SPLIT($D88,""F""),2)+$E88*(COLUMN()-COLUMN($BR88))+$F88-1)))"),5593.127)</f>
        <v>5593.127</v>
      </c>
      <c r="CA88" s="585">
        <f>IFERROR(__xludf.DUMMYFUNCTION("SUM(INDIRECT(CONCATENATE(""'"",INDEX(SPLIT($D88,""F""),1),""F"",INDEX(SPLIT($D88,""F""),2)+$E88*(COLUMN()-COLUMN($BR88)),"":"",""F"",INDEX(SPLIT($D88,""F""),2)+$E88*(COLUMN()-COLUMN($BR88))+$F88-1)))"),5603.0548)</f>
        <v>5603.0548</v>
      </c>
      <c r="CB88" s="585">
        <f>IFERROR(__xludf.DUMMYFUNCTION("SUM(INDIRECT(CONCATENATE(""'"",INDEX(SPLIT($D88,""F""),1),""F"",INDEX(SPLIT($D88,""F""),2)+$E88*(COLUMN()-COLUMN($BR88)),"":"",""F"",INDEX(SPLIT($D88,""F""),2)+$E88*(COLUMN()-COLUMN($BR88))+$F88-1)))"),5613.0002)</f>
        <v>5613.0002</v>
      </c>
      <c r="CC88" s="585">
        <f>IFERROR(__xludf.DUMMYFUNCTION("SUM(INDIRECT(CONCATENATE(""'"",INDEX(SPLIT($D88,""F""),1),""F"",INDEX(SPLIT($D88,""F""),2)+$E88*(COLUMN()-COLUMN($BR88)),"":"",""F"",INDEX(SPLIT($D88,""F""),2)+$E88*(COLUMN()-COLUMN($BR88))+$F88-1)))"),5622.9633)</f>
        <v>5622.9633</v>
      </c>
      <c r="CD88" s="585">
        <f>IFERROR(__xludf.DUMMYFUNCTION("SUM(INDIRECT(CONCATENATE(""'"",INDEX(SPLIT($D88,""F""),1),""F"",INDEX(SPLIT($D88,""F""),2)+$E88*(COLUMN()-COLUMN($BR88)),"":"",""F"",INDEX(SPLIT($D88,""F""),2)+$E88*(COLUMN()-COLUMN($BR88))+$F88-1)))"),5632.944)</f>
        <v>5632.944</v>
      </c>
      <c r="CE88" s="585">
        <f>IFERROR(__xludf.DUMMYFUNCTION("SUM(INDIRECT(CONCATENATE(""'"",INDEX(SPLIT($D88,""F""),1),""F"",INDEX(SPLIT($D88,""F""),2)+$E88*(COLUMN()-COLUMN($BR88)),"":"",""F"",INDEX(SPLIT($D88,""F""),2)+$E88*(COLUMN()-COLUMN($BR88))+$F88-1)))"),5642.9425)</f>
        <v>5642.9425</v>
      </c>
      <c r="CF88" s="585">
        <f>IFERROR(__xludf.DUMMYFUNCTION("SUM(INDIRECT(CONCATENATE(""'"",INDEX(SPLIT($D88,""F""),1),""F"",INDEX(SPLIT($D88,""F""),2)+$E88*(COLUMN()-COLUMN($BR88)),"":"",""F"",INDEX(SPLIT($D88,""F""),2)+$E88*(COLUMN()-COLUMN($BR88))+$F88-1)))"),5652.9587)</f>
        <v>5652.9587</v>
      </c>
      <c r="CG88" s="585">
        <f>IFERROR(__xludf.DUMMYFUNCTION("SUM(INDIRECT(CONCATENATE(""'"",INDEX(SPLIT($D88,""F""),1),""F"",INDEX(SPLIT($D88,""F""),2)+$E88*(COLUMN()-COLUMN($BR88)),"":"",""F"",INDEX(SPLIT($D88,""F""),2)+$E88*(COLUMN()-COLUMN($BR88))+$F88-1)))"),5662.9927)</f>
        <v>5662.9927</v>
      </c>
      <c r="CH88" s="585">
        <f>IFERROR(__xludf.DUMMYFUNCTION("SUM(INDIRECT(CONCATENATE(""'"",INDEX(SPLIT($D88,""F""),1),""F"",INDEX(SPLIT($D88,""F""),2)+$E88*(COLUMN()-COLUMN($BR88)),"":"",""F"",INDEX(SPLIT($D88,""F""),2)+$E88*(COLUMN()-COLUMN($BR88))+$F88-1)))"),5673.0446)</f>
        <v>5673.0446</v>
      </c>
      <c r="CI88" s="585">
        <f>IFERROR(__xludf.DUMMYFUNCTION("SUM(INDIRECT(CONCATENATE(""'"",INDEX(SPLIT($D88,""F""),1),""F"",INDEX(SPLIT($D88,""F""),2)+$E88*(COLUMN()-COLUMN($BR88)),"":"",""F"",INDEX(SPLIT($D88,""F""),2)+$E88*(COLUMN()-COLUMN($BR88))+$F88-1)))"),5683.1142)</f>
        <v>5683.1142</v>
      </c>
      <c r="CJ88" s="585">
        <f>IFERROR(__xludf.DUMMYFUNCTION("SUM(INDIRECT(CONCATENATE(""'"",INDEX(SPLIT($D88,""F""),1),""F"",INDEX(SPLIT($D88,""F""),2)+$E88*(COLUMN()-COLUMN($BR88)),"":"",""F"",INDEX(SPLIT($D88,""F""),2)+$E88*(COLUMN()-COLUMN($BR88))+$F88-1)))"),5693.2017)</f>
        <v>5693.2017</v>
      </c>
      <c r="CK88" s="585">
        <f>IFERROR(__xludf.DUMMYFUNCTION("SUM(INDIRECT(CONCATENATE(""'"",INDEX(SPLIT($D88,""F""),1),""F"",INDEX(SPLIT($D88,""F""),2)+$E88*(COLUMN()-COLUMN($BR88)),"":"",""F"",INDEX(SPLIT($D88,""F""),2)+$E88*(COLUMN()-COLUMN($BR88))+$F88-1)))"),5703.3072)</f>
        <v>5703.3072</v>
      </c>
      <c r="CL88" s="585">
        <f>IFERROR(__xludf.DUMMYFUNCTION("SUM(INDIRECT(CONCATENATE(""'"",INDEX(SPLIT($D88,""F""),1),""F"",INDEX(SPLIT($D88,""F""),2)+$E88*(COLUMN()-COLUMN($BR88)),"":"",""F"",INDEX(SPLIT($D88,""F""),2)+$E88*(COLUMN()-COLUMN($BR88))+$F88-1)))"),5713.4305)</f>
        <v>5713.4305</v>
      </c>
      <c r="CM88" s="585">
        <f>IFERROR(__xludf.DUMMYFUNCTION("SUM(INDIRECT(CONCATENATE(""'"",INDEX(SPLIT($D88,""F""),1),""F"",INDEX(SPLIT($D88,""F""),2)+$E88*(COLUMN()-COLUMN($BR88)),"":"",""F"",INDEX(SPLIT($D88,""F""),2)+$E88*(COLUMN()-COLUMN($BR88))+$F88-1)))"),2770.0467)</f>
        <v>2770.0467</v>
      </c>
      <c r="CN88" s="585">
        <f>IFERROR(__xludf.DUMMYFUNCTION("SUM(INDIRECT(CONCATENATE(""'"",INDEX(SPLIT($D88,""F""),1),""F"",INDEX(SPLIT($D88,""F""),2)+$E88*(COLUMN()-COLUMN($BR88)),"":"",""F"",INDEX(SPLIT($D88,""F""),2)+$E88*(COLUMN()-COLUMN($BR88))+$F88-1)))"),2774.9636)</f>
        <v>2774.9636</v>
      </c>
      <c r="CO88" s="586">
        <f>IFERROR(__xludf.DUMMYFUNCTION("SUM(INDIRECT(CONCATENATE(""'"",INDEX(SPLIT($D88,""F""),1),""F"",INDEX(SPLIT($D88,""F""),2)+$E88*(COLUMN()-COLUMN($BR88)),"":"",""F"",INDEX(SPLIT($D88,""F""),2)+$E88*(COLUMN()-COLUMN($BR88))+$F88-1)))"),2779.8891)</f>
        <v>2779.8891</v>
      </c>
      <c r="CP88" s="587">
        <f>IFERROR(__xludf.DUMMYFUNCTION("SUM(INDIRECT(CONCATENATE(""'"",INDEX(SPLIT($D88,""F""),1),""F"",INDEX(SPLIT($D88,""F""),2)+$E88*(COLUMN()-COLUMN($BR88)),"":"",""F"",INDEX(SPLIT($D88,""F""),2)+$E88*(COLUMN()-COLUMN($BR88))+$F88-1)))"),2784.8234)</f>
        <v>2784.8234</v>
      </c>
      <c r="CQ88" s="585">
        <f>IFERROR(__xludf.DUMMYFUNCTION("SUM(INDIRECT(CONCATENATE(""'"",INDEX(SPLIT($D88,""F""),1),""F"",INDEX(SPLIT($D88,""F""),2)+$E88*(COLUMN()-COLUMN($BR88)),"":"",""F"",INDEX(SPLIT($D88,""F""),2)+$E88*(COLUMN()-COLUMN($BR88))+$F88-1)))"),2789.7665)</f>
        <v>2789.7665</v>
      </c>
      <c r="CR88" s="585">
        <f>IFERROR(__xludf.DUMMYFUNCTION("SUM(INDIRECT(CONCATENATE(""'"",INDEX(SPLIT($D88,""F""),1),""F"",INDEX(SPLIT($D88,""F""),2)+$E88*(COLUMN()-COLUMN($BR88)),"":"",""F"",INDEX(SPLIT($D88,""F""),2)+$E88*(COLUMN()-COLUMN($BR88))+$F88-1)))"),2794.7183)</f>
        <v>2794.7183</v>
      </c>
      <c r="CS88" s="585">
        <f>IFERROR(__xludf.DUMMYFUNCTION("SUM(INDIRECT(CONCATENATE(""'"",INDEX(SPLIT($D88,""F""),1),""F"",INDEX(SPLIT($D88,""F""),2)+$E88*(COLUMN()-COLUMN($BR88)),"":"",""F"",INDEX(SPLIT($D88,""F""),2)+$E88*(COLUMN()-COLUMN($BR88))+$F88-1)))"),2799.6789)</f>
        <v>2799.6789</v>
      </c>
      <c r="CT88" s="585">
        <f>IFERROR(__xludf.DUMMYFUNCTION("SUM(INDIRECT(CONCATENATE(""'"",INDEX(SPLIT($D88,""F""),1),""F"",INDEX(SPLIT($D88,""F""),2)+$E88*(COLUMN()-COLUMN($BR88)),"":"",""F"",INDEX(SPLIT($D88,""F""),2)+$E88*(COLUMN()-COLUMN($BR88))+$F88-1)))"),0.0)</f>
        <v>0</v>
      </c>
      <c r="CU88" s="585">
        <f>IFERROR(__xludf.DUMMYFUNCTION("SUM(INDIRECT(CONCATENATE(""'"",INDEX(SPLIT($D88,""F""),1),""F"",INDEX(SPLIT($D88,""F""),2)+$E88*(COLUMN()-COLUMN($BR88)),"":"",""F"",INDEX(SPLIT($D88,""F""),2)+$E88*(COLUMN()-COLUMN($BR88))+$F88-1)))"),10983.0)</f>
        <v>10983</v>
      </c>
      <c r="CV88" s="585">
        <f>IFERROR(__xludf.DUMMYFUNCTION("SUM(INDIRECT(CONCATENATE(""'"",INDEX(SPLIT($D88,""F""),1),""F"",INDEX(SPLIT($D88,""F""),2)+$E88*(COLUMN()-COLUMN($BR88)),"":"",""F"",INDEX(SPLIT($D88,""F""),2)+$E88*(COLUMN()-COLUMN($BR88))+$F88-1)))"),11004.0)</f>
        <v>11004</v>
      </c>
      <c r="CW88" s="585">
        <f>IFERROR(__xludf.DUMMYFUNCTION("SUM(INDIRECT(CONCATENATE(""'"",INDEX(SPLIT($D88,""F""),1),""F"",INDEX(SPLIT($D88,""F""),2)+$E88*(COLUMN()-COLUMN($BR88)),"":"",""F"",INDEX(SPLIT($D88,""F""),2)+$E88*(COLUMN()-COLUMN($BR88))+$F88-1)))"),11025.0)</f>
        <v>11025</v>
      </c>
      <c r="CX88" s="585">
        <f>IFERROR(__xludf.DUMMYFUNCTION("SUM(INDIRECT(CONCATENATE(""'"",INDEX(SPLIT($D88,""F""),1),""F"",INDEX(SPLIT($D88,""F""),2)+$E88*(COLUMN()-COLUMN($BR88)),"":"",""F"",INDEX(SPLIT($D88,""F""),2)+$E88*(COLUMN()-COLUMN($BR88))+$F88-1)))"),11047.0)</f>
        <v>11047</v>
      </c>
      <c r="CY88" s="585">
        <f>IFERROR(__xludf.DUMMYFUNCTION("SUM(INDIRECT(CONCATENATE(""'"",INDEX(SPLIT($D88,""F""),1),""F"",INDEX(SPLIT($D88,""F""),2)+$E88*(COLUMN()-COLUMN($BR88)),"":"",""F"",INDEX(SPLIT($D88,""F""),2)+$E88*(COLUMN()-COLUMN($BR88))+$F88-1)))"),11068.0)</f>
        <v>11068</v>
      </c>
      <c r="CZ88" s="585">
        <f>IFERROR(__xludf.DUMMYFUNCTION("SUM(INDIRECT(CONCATENATE(""'"",INDEX(SPLIT($D88,""F""),1),""F"",INDEX(SPLIT($D88,""F""),2)+$E88*(COLUMN()-COLUMN($BR88)),"":"",""F"",INDEX(SPLIT($D88,""F""),2)+$E88*(COLUMN()-COLUMN($BR88))+$F88-1)))"),11089.0)</f>
        <v>11089</v>
      </c>
      <c r="DA88" s="585">
        <f>IFERROR(__xludf.DUMMYFUNCTION("SUM(INDIRECT(CONCATENATE(""'"",INDEX(SPLIT($D88,""F""),1),""F"",INDEX(SPLIT($D88,""F""),2)+$E88*(COLUMN()-COLUMN($BR88)),"":"",""F"",INDEX(SPLIT($D88,""F""),2)+$E88*(COLUMN()-COLUMN($BR88))+$F88-1)))"),11110.0)</f>
        <v>11110</v>
      </c>
      <c r="DB88" s="567"/>
      <c r="DC88" s="567"/>
      <c r="DD88" s="567"/>
      <c r="DE88" s="567"/>
      <c r="DF88" s="567"/>
      <c r="DG88" s="567"/>
      <c r="DH88" s="567"/>
      <c r="DI88" s="567"/>
      <c r="DJ88" s="567"/>
      <c r="DK88" s="567"/>
      <c r="DL88" s="567"/>
      <c r="DM88" s="567"/>
      <c r="DN88" s="567"/>
      <c r="DO88" s="567"/>
      <c r="DP88" s="567"/>
      <c r="DQ88" s="567"/>
      <c r="DR88" s="567"/>
      <c r="DS88" s="567"/>
      <c r="DT88" s="567"/>
      <c r="DU88" s="567"/>
      <c r="DV88" s="567"/>
      <c r="DW88" s="567"/>
      <c r="DX88" s="567"/>
      <c r="DY88" s="567"/>
      <c r="DZ88" s="567"/>
      <c r="EA88" s="567"/>
      <c r="EB88" s="567"/>
      <c r="EC88" s="567"/>
      <c r="ED88" s="567"/>
      <c r="EE88" s="567"/>
      <c r="EF88" s="567"/>
      <c r="EG88" s="567"/>
      <c r="EH88" s="567"/>
      <c r="EI88" s="567"/>
      <c r="EJ88" s="567"/>
      <c r="EK88" s="567"/>
      <c r="EL88" s="567"/>
      <c r="EM88" s="567"/>
      <c r="EN88" s="567"/>
      <c r="EO88" s="567"/>
      <c r="EP88" s="567"/>
      <c r="EQ88" s="567"/>
      <c r="ER88" s="567"/>
      <c r="ES88" s="567"/>
      <c r="ET88" s="567"/>
      <c r="EU88" s="567"/>
      <c r="EV88" s="567"/>
      <c r="EW88" s="567"/>
      <c r="EX88" s="567"/>
      <c r="EY88" s="567"/>
      <c r="EZ88" s="567"/>
      <c r="FA88" s="567"/>
      <c r="FB88" s="567"/>
      <c r="FC88" s="567"/>
      <c r="FD88" s="567"/>
      <c r="FE88" s="567"/>
      <c r="FF88" s="567"/>
      <c r="FG88" s="567"/>
      <c r="FH88" s="567"/>
      <c r="FI88" s="567"/>
      <c r="FJ88" s="567"/>
      <c r="FK88" s="567"/>
      <c r="FL88" s="567"/>
      <c r="FM88" s="567"/>
      <c r="FN88" s="567"/>
      <c r="FO88" s="567"/>
      <c r="FP88" s="567"/>
      <c r="FQ88" s="567"/>
      <c r="FR88" s="567"/>
      <c r="FS88" s="567"/>
      <c r="FT88" s="567"/>
      <c r="FU88" s="567"/>
      <c r="FV88" s="567"/>
      <c r="FW88" s="567"/>
      <c r="FX88" s="567"/>
    </row>
    <row r="89">
      <c r="A89" s="578" t="s">
        <v>756</v>
      </c>
      <c r="B89" s="15"/>
      <c r="C89" s="16"/>
      <c r="D89" s="583" t="s">
        <v>652</v>
      </c>
      <c r="E89" s="584" t="s">
        <v>652</v>
      </c>
      <c r="F89" s="584" t="s">
        <v>652</v>
      </c>
      <c r="G89" s="537">
        <f t="shared" ref="G89:DA89" si="20">G87-G88</f>
        <v>0</v>
      </c>
      <c r="H89" s="537">
        <f t="shared" si="20"/>
        <v>0</v>
      </c>
      <c r="I89" s="537">
        <f t="shared" si="20"/>
        <v>0</v>
      </c>
      <c r="J89" s="537">
        <f t="shared" si="20"/>
        <v>0</v>
      </c>
      <c r="K89" s="537">
        <f t="shared" si="20"/>
        <v>0</v>
      </c>
      <c r="L89" s="537">
        <f t="shared" si="20"/>
        <v>0</v>
      </c>
      <c r="M89" s="537">
        <f t="shared" si="20"/>
        <v>0</v>
      </c>
      <c r="N89" s="537">
        <f t="shared" si="20"/>
        <v>0</v>
      </c>
      <c r="O89" s="537">
        <f t="shared" si="20"/>
        <v>0</v>
      </c>
      <c r="P89" s="537">
        <f t="shared" si="20"/>
        <v>0</v>
      </c>
      <c r="Q89" s="537">
        <f t="shared" si="20"/>
        <v>0</v>
      </c>
      <c r="R89" s="537">
        <f t="shared" si="20"/>
        <v>0</v>
      </c>
      <c r="S89" s="537">
        <f t="shared" si="20"/>
        <v>0</v>
      </c>
      <c r="T89" s="537">
        <f t="shared" si="20"/>
        <v>0</v>
      </c>
      <c r="U89" s="537">
        <f t="shared" si="20"/>
        <v>0</v>
      </c>
      <c r="V89" s="537">
        <f t="shared" si="20"/>
        <v>0</v>
      </c>
      <c r="W89" s="537">
        <f t="shared" si="20"/>
        <v>0</v>
      </c>
      <c r="X89" s="537">
        <f t="shared" si="20"/>
        <v>0</v>
      </c>
      <c r="Y89" s="537">
        <f t="shared" si="20"/>
        <v>0</v>
      </c>
      <c r="Z89" s="537">
        <f t="shared" si="20"/>
        <v>0</v>
      </c>
      <c r="AA89" s="537">
        <f t="shared" si="20"/>
        <v>0</v>
      </c>
      <c r="AB89" s="537">
        <f t="shared" si="20"/>
        <v>0</v>
      </c>
      <c r="AC89" s="537">
        <f t="shared" si="20"/>
        <v>0</v>
      </c>
      <c r="AD89" s="537">
        <f t="shared" si="20"/>
        <v>0</v>
      </c>
      <c r="AE89" s="537">
        <f t="shared" si="20"/>
        <v>0</v>
      </c>
      <c r="AF89" s="537">
        <f t="shared" si="20"/>
        <v>0</v>
      </c>
      <c r="AG89" s="537">
        <f t="shared" si="20"/>
        <v>0</v>
      </c>
      <c r="AH89" s="537">
        <f t="shared" si="20"/>
        <v>0</v>
      </c>
      <c r="AI89" s="537">
        <f t="shared" si="20"/>
        <v>0</v>
      </c>
      <c r="AJ89" s="537">
        <f t="shared" si="20"/>
        <v>0</v>
      </c>
      <c r="AK89" s="537">
        <f t="shared" si="20"/>
        <v>0</v>
      </c>
      <c r="AL89" s="537">
        <f t="shared" si="20"/>
        <v>0</v>
      </c>
      <c r="AM89" s="537">
        <f t="shared" si="20"/>
        <v>0</v>
      </c>
      <c r="AN89" s="537">
        <f t="shared" si="20"/>
        <v>0</v>
      </c>
      <c r="AO89" s="537">
        <f t="shared" si="20"/>
        <v>0</v>
      </c>
      <c r="AP89" s="537">
        <f t="shared" si="20"/>
        <v>0</v>
      </c>
      <c r="AQ89" s="537">
        <f t="shared" si="20"/>
        <v>0</v>
      </c>
      <c r="AR89" s="537">
        <f t="shared" si="20"/>
        <v>0</v>
      </c>
      <c r="AS89" s="537">
        <f t="shared" si="20"/>
        <v>0</v>
      </c>
      <c r="AT89" s="537">
        <f t="shared" si="20"/>
        <v>0</v>
      </c>
      <c r="AU89" s="537">
        <f t="shared" si="20"/>
        <v>0</v>
      </c>
      <c r="AV89" s="537">
        <f t="shared" si="20"/>
        <v>0</v>
      </c>
      <c r="AW89" s="537">
        <f t="shared" si="20"/>
        <v>0</v>
      </c>
      <c r="AX89" s="537">
        <f t="shared" si="20"/>
        <v>0</v>
      </c>
      <c r="AY89" s="537">
        <f t="shared" si="20"/>
        <v>0</v>
      </c>
      <c r="AZ89" s="537">
        <f t="shared" si="20"/>
        <v>0</v>
      </c>
      <c r="BA89" s="537">
        <f t="shared" si="20"/>
        <v>0</v>
      </c>
      <c r="BB89" s="537">
        <f t="shared" si="20"/>
        <v>0</v>
      </c>
      <c r="BC89" s="537">
        <f t="shared" si="20"/>
        <v>0</v>
      </c>
      <c r="BD89" s="537">
        <f t="shared" si="20"/>
        <v>0</v>
      </c>
      <c r="BE89" s="537">
        <f t="shared" si="20"/>
        <v>0</v>
      </c>
      <c r="BF89" s="537">
        <f t="shared" si="20"/>
        <v>0</v>
      </c>
      <c r="BG89" s="537">
        <f t="shared" si="20"/>
        <v>0</v>
      </c>
      <c r="BH89" s="537">
        <f t="shared" si="20"/>
        <v>0</v>
      </c>
      <c r="BI89" s="537">
        <f t="shared" si="20"/>
        <v>0</v>
      </c>
      <c r="BJ89" s="537">
        <f t="shared" si="20"/>
        <v>0</v>
      </c>
      <c r="BK89" s="537">
        <f t="shared" si="20"/>
        <v>0</v>
      </c>
      <c r="BL89" s="537">
        <f t="shared" si="20"/>
        <v>0</v>
      </c>
      <c r="BM89" s="537">
        <f t="shared" si="20"/>
        <v>0</v>
      </c>
      <c r="BN89" s="537">
        <f t="shared" si="20"/>
        <v>0</v>
      </c>
      <c r="BO89" s="537">
        <f t="shared" si="20"/>
        <v>0</v>
      </c>
      <c r="BP89" s="537">
        <f t="shared" si="20"/>
        <v>0</v>
      </c>
      <c r="BQ89" s="537">
        <f t="shared" si="20"/>
        <v>0</v>
      </c>
      <c r="BR89" s="537">
        <f t="shared" si="20"/>
        <v>878019</v>
      </c>
      <c r="BS89" s="537">
        <f t="shared" si="20"/>
        <v>-5551</v>
      </c>
      <c r="BT89" s="537">
        <f t="shared" si="20"/>
        <v>-5560</v>
      </c>
      <c r="BU89" s="537">
        <f t="shared" si="20"/>
        <v>-5569</v>
      </c>
      <c r="BV89" s="537">
        <f t="shared" si="20"/>
        <v>-5548</v>
      </c>
      <c r="BW89" s="537">
        <f t="shared" si="20"/>
        <v>-5563.449</v>
      </c>
      <c r="BX89" s="537">
        <f t="shared" si="20"/>
        <v>-5573.3241</v>
      </c>
      <c r="BY89" s="537">
        <f t="shared" si="20"/>
        <v>-5583.2168</v>
      </c>
      <c r="BZ89" s="537">
        <f t="shared" si="20"/>
        <v>-5593.127</v>
      </c>
      <c r="CA89" s="537">
        <f t="shared" si="20"/>
        <v>-5603.0548</v>
      </c>
      <c r="CB89" s="537">
        <f t="shared" si="20"/>
        <v>-5613.0002</v>
      </c>
      <c r="CC89" s="537">
        <f t="shared" si="20"/>
        <v>-5622.9633</v>
      </c>
      <c r="CD89" s="537">
        <f t="shared" si="20"/>
        <v>-5632.944</v>
      </c>
      <c r="CE89" s="537">
        <f t="shared" si="20"/>
        <v>-5642.9425</v>
      </c>
      <c r="CF89" s="537">
        <f t="shared" si="20"/>
        <v>-5652.9587</v>
      </c>
      <c r="CG89" s="537">
        <f t="shared" si="20"/>
        <v>-5662.9927</v>
      </c>
      <c r="CH89" s="537">
        <f t="shared" si="20"/>
        <v>-5673.0446</v>
      </c>
      <c r="CI89" s="537">
        <f t="shared" si="20"/>
        <v>-5683.1142</v>
      </c>
      <c r="CJ89" s="537">
        <f t="shared" si="20"/>
        <v>-5693.2017</v>
      </c>
      <c r="CK89" s="537">
        <f t="shared" si="20"/>
        <v>-5703.3072</v>
      </c>
      <c r="CL89" s="537">
        <f t="shared" si="20"/>
        <v>-5713.4305</v>
      </c>
      <c r="CM89" s="537">
        <f t="shared" si="20"/>
        <v>-2770.0467</v>
      </c>
      <c r="CN89" s="537">
        <f t="shared" si="20"/>
        <v>-2774.9636</v>
      </c>
      <c r="CO89" s="538">
        <f t="shared" si="20"/>
        <v>-2779.8891</v>
      </c>
      <c r="CP89" s="573">
        <f t="shared" si="20"/>
        <v>-2784.8234</v>
      </c>
      <c r="CQ89" s="537">
        <f t="shared" si="20"/>
        <v>-2789.7665</v>
      </c>
      <c r="CR89" s="537">
        <f t="shared" si="20"/>
        <v>-2794.7183</v>
      </c>
      <c r="CS89" s="537">
        <f t="shared" si="20"/>
        <v>-2799.6789</v>
      </c>
      <c r="CT89" s="537">
        <f t="shared" si="20"/>
        <v>0</v>
      </c>
      <c r="CU89" s="537">
        <f t="shared" si="20"/>
        <v>-10983</v>
      </c>
      <c r="CV89" s="537">
        <f t="shared" si="20"/>
        <v>-11004</v>
      </c>
      <c r="CW89" s="537">
        <f t="shared" si="20"/>
        <v>-11025</v>
      </c>
      <c r="CX89" s="537">
        <f t="shared" si="20"/>
        <v>-11047</v>
      </c>
      <c r="CY89" s="537">
        <f t="shared" si="20"/>
        <v>-11068</v>
      </c>
      <c r="CZ89" s="537">
        <f t="shared" si="20"/>
        <v>-11089</v>
      </c>
      <c r="DA89" s="537">
        <f t="shared" si="20"/>
        <v>-11110</v>
      </c>
      <c r="DB89" s="567"/>
      <c r="DC89" s="567"/>
      <c r="DD89" s="567"/>
      <c r="DE89" s="567"/>
      <c r="DF89" s="567"/>
      <c r="DG89" s="567"/>
      <c r="DH89" s="567"/>
      <c r="DI89" s="567"/>
      <c r="DJ89" s="567"/>
      <c r="DK89" s="567"/>
      <c r="DL89" s="567"/>
      <c r="DM89" s="567"/>
      <c r="DN89" s="567"/>
      <c r="DO89" s="567"/>
      <c r="DP89" s="567"/>
      <c r="DQ89" s="567"/>
      <c r="DR89" s="567"/>
      <c r="DS89" s="567"/>
      <c r="DT89" s="567"/>
      <c r="DU89" s="567"/>
      <c r="DV89" s="567"/>
      <c r="DW89" s="567"/>
      <c r="DX89" s="567"/>
      <c r="DY89" s="567"/>
      <c r="DZ89" s="567"/>
      <c r="EA89" s="567"/>
      <c r="EB89" s="567"/>
      <c r="EC89" s="567"/>
      <c r="ED89" s="567"/>
      <c r="EE89" s="567"/>
      <c r="EF89" s="567"/>
      <c r="EG89" s="567"/>
      <c r="EH89" s="567"/>
      <c r="EI89" s="567"/>
      <c r="EJ89" s="567"/>
      <c r="EK89" s="567"/>
      <c r="EL89" s="567"/>
      <c r="EM89" s="567"/>
      <c r="EN89" s="567"/>
      <c r="EO89" s="567"/>
      <c r="EP89" s="567"/>
      <c r="EQ89" s="567"/>
      <c r="ER89" s="567"/>
      <c r="ES89" s="567"/>
      <c r="ET89" s="567"/>
      <c r="EU89" s="567"/>
      <c r="EV89" s="567"/>
      <c r="EW89" s="567"/>
      <c r="EX89" s="567"/>
      <c r="EY89" s="567"/>
      <c r="EZ89" s="567"/>
      <c r="FA89" s="567"/>
      <c r="FB89" s="567"/>
      <c r="FC89" s="567"/>
      <c r="FD89" s="567"/>
      <c r="FE89" s="567"/>
      <c r="FF89" s="567"/>
      <c r="FG89" s="567"/>
      <c r="FH89" s="567"/>
      <c r="FI89" s="567"/>
      <c r="FJ89" s="567"/>
      <c r="FK89" s="567"/>
      <c r="FL89" s="567"/>
      <c r="FM89" s="567"/>
      <c r="FN89" s="567"/>
      <c r="FO89" s="567"/>
      <c r="FP89" s="567"/>
      <c r="FQ89" s="567"/>
      <c r="FR89" s="567"/>
      <c r="FS89" s="567"/>
      <c r="FT89" s="567"/>
      <c r="FU89" s="567"/>
      <c r="FV89" s="567"/>
      <c r="FW89" s="567"/>
      <c r="FX89" s="567"/>
    </row>
    <row r="90">
      <c r="A90" s="578" t="s">
        <v>757</v>
      </c>
      <c r="B90" s="15"/>
      <c r="C90" s="16"/>
      <c r="D90" s="572" t="s">
        <v>652</v>
      </c>
      <c r="E90" s="444" t="s">
        <v>652</v>
      </c>
      <c r="F90" s="444" t="s">
        <v>652</v>
      </c>
      <c r="G90" s="552">
        <f t="shared" ref="G90:DA90" si="21">G75+G86+G89</f>
        <v>55264</v>
      </c>
      <c r="H90" s="552">
        <f t="shared" si="21"/>
        <v>37933</v>
      </c>
      <c r="I90" s="552">
        <f t="shared" si="21"/>
        <v>55580</v>
      </c>
      <c r="J90" s="552">
        <f t="shared" si="21"/>
        <v>54368</v>
      </c>
      <c r="K90" s="552">
        <f t="shared" si="21"/>
        <v>72288</v>
      </c>
      <c r="L90" s="552">
        <f t="shared" si="21"/>
        <v>54217</v>
      </c>
      <c r="M90" s="552">
        <f t="shared" si="21"/>
        <v>55000</v>
      </c>
      <c r="N90" s="552">
        <f t="shared" si="21"/>
        <v>46992</v>
      </c>
      <c r="O90" s="552">
        <f t="shared" si="21"/>
        <v>63362</v>
      </c>
      <c r="P90" s="552">
        <f t="shared" si="21"/>
        <v>54686</v>
      </c>
      <c r="Q90" s="552">
        <f t="shared" si="21"/>
        <v>58782</v>
      </c>
      <c r="R90" s="552">
        <f t="shared" si="21"/>
        <v>59464</v>
      </c>
      <c r="S90" s="552">
        <f t="shared" si="21"/>
        <v>62786</v>
      </c>
      <c r="T90" s="552">
        <f t="shared" si="21"/>
        <v>195657</v>
      </c>
      <c r="U90" s="552">
        <f t="shared" si="21"/>
        <v>193681</v>
      </c>
      <c r="V90" s="552">
        <f t="shared" si="21"/>
        <v>60301</v>
      </c>
      <c r="W90" s="552">
        <f t="shared" si="21"/>
        <v>61207</v>
      </c>
      <c r="X90" s="552">
        <f t="shared" si="21"/>
        <v>73941</v>
      </c>
      <c r="Y90" s="552">
        <f t="shared" si="21"/>
        <v>76895</v>
      </c>
      <c r="Z90" s="552">
        <f t="shared" si="21"/>
        <v>-11184</v>
      </c>
      <c r="AA90" s="552">
        <f t="shared" si="21"/>
        <v>29442</v>
      </c>
      <c r="AB90" s="552">
        <f t="shared" si="21"/>
        <v>31395</v>
      </c>
      <c r="AC90" s="552">
        <f t="shared" si="21"/>
        <v>30462</v>
      </c>
      <c r="AD90" s="552">
        <f t="shared" si="21"/>
        <v>25547</v>
      </c>
      <c r="AE90" s="552">
        <f t="shared" si="21"/>
        <v>29238</v>
      </c>
      <c r="AF90" s="552">
        <f t="shared" si="21"/>
        <v>29575</v>
      </c>
      <c r="AG90" s="552">
        <f t="shared" si="21"/>
        <v>24802</v>
      </c>
      <c r="AH90" s="552">
        <f t="shared" si="21"/>
        <v>29881</v>
      </c>
      <c r="AI90" s="552">
        <f t="shared" si="21"/>
        <v>85908</v>
      </c>
      <c r="AJ90" s="552">
        <f t="shared" si="21"/>
        <v>34673</v>
      </c>
      <c r="AK90" s="552">
        <f t="shared" si="21"/>
        <v>28715</v>
      </c>
      <c r="AL90" s="552">
        <f t="shared" si="21"/>
        <v>21327</v>
      </c>
      <c r="AM90" s="552">
        <f t="shared" si="21"/>
        <v>63300</v>
      </c>
      <c r="AN90" s="552">
        <f t="shared" si="21"/>
        <v>37251</v>
      </c>
      <c r="AO90" s="552">
        <f t="shared" si="21"/>
        <v>17121</v>
      </c>
      <c r="AP90" s="552">
        <f t="shared" si="21"/>
        <v>37231</v>
      </c>
      <c r="AQ90" s="552">
        <f t="shared" si="21"/>
        <v>4278</v>
      </c>
      <c r="AR90" s="552">
        <f t="shared" si="21"/>
        <v>-21683</v>
      </c>
      <c r="AS90" s="552">
        <f t="shared" si="21"/>
        <v>30306</v>
      </c>
      <c r="AT90" s="552">
        <f t="shared" si="21"/>
        <v>112124</v>
      </c>
      <c r="AU90" s="552">
        <f t="shared" si="21"/>
        <v>3311</v>
      </c>
      <c r="AV90" s="552">
        <f t="shared" si="21"/>
        <v>25647</v>
      </c>
      <c r="AW90" s="552">
        <f t="shared" si="21"/>
        <v>27498</v>
      </c>
      <c r="AX90" s="552">
        <f t="shared" si="21"/>
        <v>77466</v>
      </c>
      <c r="AY90" s="552">
        <f t="shared" si="21"/>
        <v>16149</v>
      </c>
      <c r="AZ90" s="552">
        <f t="shared" si="21"/>
        <v>-1602</v>
      </c>
      <c r="BA90" s="552">
        <f t="shared" si="21"/>
        <v>61588</v>
      </c>
      <c r="BB90" s="552">
        <f t="shared" si="21"/>
        <v>49723</v>
      </c>
      <c r="BC90" s="552">
        <f t="shared" si="21"/>
        <v>6535</v>
      </c>
      <c r="BD90" s="552">
        <f t="shared" si="21"/>
        <v>98019</v>
      </c>
      <c r="BE90" s="552">
        <f t="shared" si="21"/>
        <v>40046</v>
      </c>
      <c r="BF90" s="552">
        <f t="shared" si="21"/>
        <v>214862</v>
      </c>
      <c r="BG90" s="552">
        <f t="shared" si="21"/>
        <v>49306</v>
      </c>
      <c r="BH90" s="552">
        <f t="shared" si="21"/>
        <v>40637</v>
      </c>
      <c r="BI90" s="552">
        <f t="shared" si="21"/>
        <v>36633</v>
      </c>
      <c r="BJ90" s="552">
        <f t="shared" si="21"/>
        <v>36217</v>
      </c>
      <c r="BK90" s="552">
        <f t="shared" si="21"/>
        <v>38444</v>
      </c>
      <c r="BL90" s="552">
        <f t="shared" si="21"/>
        <v>188905</v>
      </c>
      <c r="BM90" s="552">
        <f t="shared" si="21"/>
        <v>37442</v>
      </c>
      <c r="BN90" s="552">
        <f t="shared" si="21"/>
        <v>8823</v>
      </c>
      <c r="BO90" s="552">
        <f t="shared" si="21"/>
        <v>105842</v>
      </c>
      <c r="BP90" s="552">
        <f t="shared" si="21"/>
        <v>14384</v>
      </c>
      <c r="BQ90" s="552">
        <f t="shared" si="21"/>
        <v>21567</v>
      </c>
      <c r="BR90" s="552">
        <f t="shared" si="21"/>
        <v>653494</v>
      </c>
      <c r="BS90" s="552">
        <f t="shared" si="21"/>
        <v>15944</v>
      </c>
      <c r="BT90" s="552">
        <f t="shared" si="21"/>
        <v>17460</v>
      </c>
      <c r="BU90" s="552">
        <f t="shared" si="21"/>
        <v>-1277984</v>
      </c>
      <c r="BV90" s="552">
        <f t="shared" si="21"/>
        <v>271846</v>
      </c>
      <c r="BW90" s="552">
        <f t="shared" si="21"/>
        <v>1019128.596</v>
      </c>
      <c r="BX90" s="552">
        <f t="shared" si="21"/>
        <v>109713.8461</v>
      </c>
      <c r="BY90" s="552">
        <f t="shared" si="21"/>
        <v>22537.0607</v>
      </c>
      <c r="BZ90" s="552">
        <f t="shared" si="21"/>
        <v>-8563.7597</v>
      </c>
      <c r="CA90" s="552">
        <f t="shared" si="21"/>
        <v>-54466.6153</v>
      </c>
      <c r="CB90" s="552">
        <f t="shared" si="21"/>
        <v>13886.4939</v>
      </c>
      <c r="CC90" s="552">
        <f t="shared" si="21"/>
        <v>48123.5677</v>
      </c>
      <c r="CD90" s="552">
        <f t="shared" si="21"/>
        <v>424411.6063</v>
      </c>
      <c r="CE90" s="552">
        <f t="shared" si="21"/>
        <v>41887.6093</v>
      </c>
      <c r="CF90" s="552">
        <f t="shared" si="21"/>
        <v>-50691.4231</v>
      </c>
      <c r="CG90" s="552">
        <f t="shared" si="21"/>
        <v>110178.5089</v>
      </c>
      <c r="CH90" s="552">
        <f t="shared" si="21"/>
        <v>-28389.5949</v>
      </c>
      <c r="CI90" s="552">
        <f t="shared" si="21"/>
        <v>-1403.7341</v>
      </c>
      <c r="CJ90" s="552">
        <f t="shared" si="21"/>
        <v>-16845.9091</v>
      </c>
      <c r="CK90" s="552">
        <f t="shared" si="21"/>
        <v>88942.8799</v>
      </c>
      <c r="CL90" s="552">
        <f t="shared" si="21"/>
        <v>-13187.3667</v>
      </c>
      <c r="CM90" s="552">
        <f t="shared" si="21"/>
        <v>48787.8883</v>
      </c>
      <c r="CN90" s="552">
        <f t="shared" si="21"/>
        <v>-121549.9455</v>
      </c>
      <c r="CO90" s="553">
        <f t="shared" si="21"/>
        <v>28664.2035</v>
      </c>
      <c r="CP90" s="588">
        <f t="shared" si="21"/>
        <v>817670.3349</v>
      </c>
      <c r="CQ90" s="552">
        <f t="shared" si="21"/>
        <v>484760.4487</v>
      </c>
      <c r="CR90" s="552">
        <f t="shared" si="21"/>
        <v>-70315.4549</v>
      </c>
      <c r="CS90" s="552">
        <f t="shared" si="21"/>
        <v>8248.3211</v>
      </c>
      <c r="CT90" s="552">
        <f t="shared" si="21"/>
        <v>-54140</v>
      </c>
      <c r="CU90" s="552">
        <f t="shared" si="21"/>
        <v>-58275</v>
      </c>
      <c r="CV90" s="552">
        <f t="shared" si="21"/>
        <v>-1585</v>
      </c>
      <c r="CW90" s="552">
        <f t="shared" si="21"/>
        <v>-11025</v>
      </c>
      <c r="CX90" s="552">
        <f t="shared" si="21"/>
        <v>-51047</v>
      </c>
      <c r="CY90" s="552">
        <f t="shared" si="21"/>
        <v>-13098</v>
      </c>
      <c r="CZ90" s="552">
        <f t="shared" si="21"/>
        <v>-51089</v>
      </c>
      <c r="DA90" s="552">
        <f t="shared" si="21"/>
        <v>-11110</v>
      </c>
      <c r="DB90" s="567"/>
      <c r="DC90" s="567"/>
      <c r="DD90" s="567"/>
      <c r="DE90" s="567"/>
      <c r="DF90" s="567"/>
      <c r="DG90" s="567"/>
      <c r="DH90" s="567"/>
      <c r="DI90" s="567"/>
      <c r="DJ90" s="567"/>
      <c r="DK90" s="567"/>
      <c r="DL90" s="567"/>
      <c r="DM90" s="567"/>
      <c r="DN90" s="567"/>
      <c r="DO90" s="567"/>
      <c r="DP90" s="567"/>
      <c r="DQ90" s="567"/>
      <c r="DR90" s="567"/>
      <c r="DS90" s="567"/>
      <c r="DT90" s="567"/>
      <c r="DU90" s="567"/>
      <c r="DV90" s="567"/>
      <c r="DW90" s="567"/>
      <c r="DX90" s="567"/>
      <c r="DY90" s="567"/>
      <c r="DZ90" s="567"/>
      <c r="EA90" s="567"/>
      <c r="EB90" s="567"/>
      <c r="EC90" s="567"/>
      <c r="ED90" s="567"/>
      <c r="EE90" s="567"/>
      <c r="EF90" s="567"/>
      <c r="EG90" s="567"/>
      <c r="EH90" s="567"/>
      <c r="EI90" s="567"/>
      <c r="EJ90" s="567"/>
      <c r="EK90" s="567"/>
      <c r="EL90" s="567"/>
      <c r="EM90" s="567"/>
      <c r="EN90" s="567"/>
      <c r="EO90" s="567"/>
      <c r="EP90" s="567"/>
      <c r="EQ90" s="567"/>
      <c r="ER90" s="567"/>
      <c r="ES90" s="567"/>
      <c r="ET90" s="567"/>
      <c r="EU90" s="567"/>
      <c r="EV90" s="567"/>
      <c r="EW90" s="567"/>
      <c r="EX90" s="567"/>
      <c r="EY90" s="567"/>
      <c r="EZ90" s="567"/>
      <c r="FA90" s="567"/>
      <c r="FB90" s="567"/>
      <c r="FC90" s="567"/>
      <c r="FD90" s="567"/>
      <c r="FE90" s="567"/>
      <c r="FF90" s="567"/>
      <c r="FG90" s="567"/>
      <c r="FH90" s="567"/>
      <c r="FI90" s="567"/>
      <c r="FJ90" s="567"/>
      <c r="FK90" s="567"/>
      <c r="FL90" s="567"/>
      <c r="FM90" s="567"/>
      <c r="FN90" s="567"/>
      <c r="FO90" s="567"/>
      <c r="FP90" s="567"/>
      <c r="FQ90" s="567"/>
      <c r="FR90" s="567"/>
      <c r="FS90" s="567"/>
      <c r="FT90" s="567"/>
      <c r="FU90" s="567"/>
      <c r="FV90" s="567"/>
      <c r="FW90" s="567"/>
      <c r="FX90" s="567"/>
    </row>
    <row r="91">
      <c r="A91" s="578" t="s">
        <v>758</v>
      </c>
      <c r="B91" s="15"/>
      <c r="C91" s="16"/>
      <c r="D91" s="572" t="s">
        <v>652</v>
      </c>
      <c r="E91" s="444" t="s">
        <v>652</v>
      </c>
      <c r="F91" s="444" t="s">
        <v>652</v>
      </c>
      <c r="G91" s="542">
        <v>0.0</v>
      </c>
      <c r="H91" s="537">
        <f t="shared" ref="H91:DA91" si="22">G92</f>
        <v>55264</v>
      </c>
      <c r="I91" s="537">
        <f t="shared" si="22"/>
        <v>93197</v>
      </c>
      <c r="J91" s="537">
        <f t="shared" si="22"/>
        <v>148777</v>
      </c>
      <c r="K91" s="537">
        <f t="shared" si="22"/>
        <v>203145</v>
      </c>
      <c r="L91" s="537">
        <f t="shared" si="22"/>
        <v>275433</v>
      </c>
      <c r="M91" s="537">
        <f t="shared" si="22"/>
        <v>329650</v>
      </c>
      <c r="N91" s="537">
        <f t="shared" si="22"/>
        <v>384650</v>
      </c>
      <c r="O91" s="537">
        <f t="shared" si="22"/>
        <v>431642</v>
      </c>
      <c r="P91" s="537">
        <f t="shared" si="22"/>
        <v>495004</v>
      </c>
      <c r="Q91" s="537">
        <f t="shared" si="22"/>
        <v>549690</v>
      </c>
      <c r="R91" s="537">
        <f t="shared" si="22"/>
        <v>608472</v>
      </c>
      <c r="S91" s="537">
        <f t="shared" si="22"/>
        <v>667936</v>
      </c>
      <c r="T91" s="537">
        <f t="shared" si="22"/>
        <v>730722</v>
      </c>
      <c r="U91" s="537">
        <f t="shared" si="22"/>
        <v>926379</v>
      </c>
      <c r="V91" s="537">
        <f t="shared" si="22"/>
        <v>1120060</v>
      </c>
      <c r="W91" s="537">
        <f t="shared" si="22"/>
        <v>1180361</v>
      </c>
      <c r="X91" s="537">
        <f t="shared" si="22"/>
        <v>1241568</v>
      </c>
      <c r="Y91" s="537">
        <f t="shared" si="22"/>
        <v>1315509</v>
      </c>
      <c r="Z91" s="537">
        <f t="shared" si="22"/>
        <v>1392404</v>
      </c>
      <c r="AA91" s="537">
        <f t="shared" si="22"/>
        <v>1381220</v>
      </c>
      <c r="AB91" s="537">
        <f t="shared" si="22"/>
        <v>1410662</v>
      </c>
      <c r="AC91" s="537">
        <f t="shared" si="22"/>
        <v>1442057</v>
      </c>
      <c r="AD91" s="537">
        <f t="shared" si="22"/>
        <v>1472519</v>
      </c>
      <c r="AE91" s="537">
        <f t="shared" si="22"/>
        <v>1498066</v>
      </c>
      <c r="AF91" s="537">
        <f t="shared" si="22"/>
        <v>1527304</v>
      </c>
      <c r="AG91" s="537">
        <f t="shared" si="22"/>
        <v>1556879</v>
      </c>
      <c r="AH91" s="537">
        <f t="shared" si="22"/>
        <v>1581681</v>
      </c>
      <c r="AI91" s="537">
        <f t="shared" si="22"/>
        <v>1611562</v>
      </c>
      <c r="AJ91" s="537">
        <f t="shared" si="22"/>
        <v>1697470</v>
      </c>
      <c r="AK91" s="537">
        <f t="shared" si="22"/>
        <v>1732143</v>
      </c>
      <c r="AL91" s="537">
        <f t="shared" si="22"/>
        <v>1760858</v>
      </c>
      <c r="AM91" s="537">
        <f t="shared" si="22"/>
        <v>1782185</v>
      </c>
      <c r="AN91" s="537">
        <f t="shared" si="22"/>
        <v>1845485</v>
      </c>
      <c r="AO91" s="537">
        <f t="shared" si="22"/>
        <v>1882736</v>
      </c>
      <c r="AP91" s="537">
        <f t="shared" si="22"/>
        <v>1899857</v>
      </c>
      <c r="AQ91" s="537">
        <f t="shared" si="22"/>
        <v>1937088</v>
      </c>
      <c r="AR91" s="537">
        <f t="shared" si="22"/>
        <v>1941366</v>
      </c>
      <c r="AS91" s="537">
        <f t="shared" si="22"/>
        <v>1919683</v>
      </c>
      <c r="AT91" s="537">
        <f t="shared" si="22"/>
        <v>1949989</v>
      </c>
      <c r="AU91" s="537">
        <f t="shared" si="22"/>
        <v>2062113</v>
      </c>
      <c r="AV91" s="537">
        <f t="shared" si="22"/>
        <v>2065424</v>
      </c>
      <c r="AW91" s="537">
        <f t="shared" si="22"/>
        <v>2091071</v>
      </c>
      <c r="AX91" s="537">
        <f t="shared" si="22"/>
        <v>2118569</v>
      </c>
      <c r="AY91" s="537">
        <f t="shared" si="22"/>
        <v>2196035</v>
      </c>
      <c r="AZ91" s="537">
        <f t="shared" si="22"/>
        <v>2212184</v>
      </c>
      <c r="BA91" s="537">
        <f t="shared" si="22"/>
        <v>2210582</v>
      </c>
      <c r="BB91" s="537">
        <f t="shared" si="22"/>
        <v>2272170</v>
      </c>
      <c r="BC91" s="537">
        <f t="shared" si="22"/>
        <v>2321893</v>
      </c>
      <c r="BD91" s="537">
        <f t="shared" si="22"/>
        <v>2328428</v>
      </c>
      <c r="BE91" s="537">
        <f t="shared" si="22"/>
        <v>2426447</v>
      </c>
      <c r="BF91" s="537">
        <f t="shared" si="22"/>
        <v>2466493</v>
      </c>
      <c r="BG91" s="537">
        <f t="shared" si="22"/>
        <v>2681355</v>
      </c>
      <c r="BH91" s="537">
        <f t="shared" si="22"/>
        <v>2730661</v>
      </c>
      <c r="BI91" s="537">
        <f t="shared" si="22"/>
        <v>2771298</v>
      </c>
      <c r="BJ91" s="537">
        <f t="shared" si="22"/>
        <v>2807931</v>
      </c>
      <c r="BK91" s="537">
        <f t="shared" si="22"/>
        <v>2844148</v>
      </c>
      <c r="BL91" s="537">
        <f t="shared" si="22"/>
        <v>2882592</v>
      </c>
      <c r="BM91" s="537">
        <f t="shared" si="22"/>
        <v>3071497</v>
      </c>
      <c r="BN91" s="537">
        <f t="shared" si="22"/>
        <v>3108939</v>
      </c>
      <c r="BO91" s="537">
        <f t="shared" si="22"/>
        <v>3117762</v>
      </c>
      <c r="BP91" s="537">
        <f t="shared" si="22"/>
        <v>3223604</v>
      </c>
      <c r="BQ91" s="537">
        <f t="shared" si="22"/>
        <v>3237988</v>
      </c>
      <c r="BR91" s="537">
        <f t="shared" si="22"/>
        <v>3259555</v>
      </c>
      <c r="BS91" s="537">
        <f t="shared" si="22"/>
        <v>3913049</v>
      </c>
      <c r="BT91" s="537">
        <f t="shared" si="22"/>
        <v>3928993</v>
      </c>
      <c r="BU91" s="537">
        <f t="shared" si="22"/>
        <v>3946453</v>
      </c>
      <c r="BV91" s="537">
        <f t="shared" si="22"/>
        <v>2668469</v>
      </c>
      <c r="BW91" s="537">
        <f t="shared" si="22"/>
        <v>2940315</v>
      </c>
      <c r="BX91" s="537">
        <f t="shared" si="22"/>
        <v>3959443.596</v>
      </c>
      <c r="BY91" s="537">
        <f t="shared" si="22"/>
        <v>4069157.442</v>
      </c>
      <c r="BZ91" s="537">
        <f t="shared" si="22"/>
        <v>4091694.503</v>
      </c>
      <c r="CA91" s="537">
        <f t="shared" si="22"/>
        <v>4083130.743</v>
      </c>
      <c r="CB91" s="537">
        <f t="shared" si="22"/>
        <v>4028664.128</v>
      </c>
      <c r="CC91" s="537">
        <f t="shared" si="22"/>
        <v>4042550.622</v>
      </c>
      <c r="CD91" s="537">
        <f t="shared" si="22"/>
        <v>4090674.19</v>
      </c>
      <c r="CE91" s="537">
        <f t="shared" si="22"/>
        <v>4515085.796</v>
      </c>
      <c r="CF91" s="537">
        <f t="shared" si="22"/>
        <v>4556973.405</v>
      </c>
      <c r="CG91" s="537">
        <f t="shared" si="22"/>
        <v>4506281.982</v>
      </c>
      <c r="CH91" s="537">
        <f t="shared" si="22"/>
        <v>4616460.491</v>
      </c>
      <c r="CI91" s="537">
        <f t="shared" si="22"/>
        <v>4588070.896</v>
      </c>
      <c r="CJ91" s="537">
        <f t="shared" si="22"/>
        <v>4586667.162</v>
      </c>
      <c r="CK91" s="537">
        <f t="shared" si="22"/>
        <v>4569821.253</v>
      </c>
      <c r="CL91" s="537">
        <f t="shared" si="22"/>
        <v>4658764.133</v>
      </c>
      <c r="CM91" s="537">
        <f t="shared" si="22"/>
        <v>4645576.766</v>
      </c>
      <c r="CN91" s="537">
        <f t="shared" si="22"/>
        <v>4694364.655</v>
      </c>
      <c r="CO91" s="538">
        <f t="shared" si="22"/>
        <v>4572814.709</v>
      </c>
      <c r="CP91" s="573">
        <f t="shared" si="22"/>
        <v>4601478.913</v>
      </c>
      <c r="CQ91" s="537">
        <f t="shared" si="22"/>
        <v>5419149.247</v>
      </c>
      <c r="CR91" s="537">
        <f t="shared" si="22"/>
        <v>5903909.696</v>
      </c>
      <c r="CS91" s="537">
        <f t="shared" si="22"/>
        <v>5833594.241</v>
      </c>
      <c r="CT91" s="537">
        <f t="shared" si="22"/>
        <v>5841842.562</v>
      </c>
      <c r="CU91" s="537">
        <f t="shared" si="22"/>
        <v>5787702.562</v>
      </c>
      <c r="CV91" s="537">
        <f t="shared" si="22"/>
        <v>5729427.562</v>
      </c>
      <c r="CW91" s="537">
        <f t="shared" si="22"/>
        <v>5727842.562</v>
      </c>
      <c r="CX91" s="537">
        <f t="shared" si="22"/>
        <v>5716817.562</v>
      </c>
      <c r="CY91" s="537">
        <f t="shared" si="22"/>
        <v>5665770.562</v>
      </c>
      <c r="CZ91" s="537">
        <f t="shared" si="22"/>
        <v>5652672.562</v>
      </c>
      <c r="DA91" s="537">
        <f t="shared" si="22"/>
        <v>5601583.562</v>
      </c>
      <c r="DB91" s="567"/>
      <c r="DC91" s="567"/>
      <c r="DD91" s="567"/>
      <c r="DE91" s="567"/>
      <c r="DF91" s="567"/>
      <c r="DG91" s="567"/>
      <c r="DH91" s="567"/>
      <c r="DI91" s="567"/>
      <c r="DJ91" s="567"/>
      <c r="DK91" s="567"/>
      <c r="DL91" s="567"/>
      <c r="DM91" s="567"/>
      <c r="DN91" s="567"/>
      <c r="DO91" s="567"/>
      <c r="DP91" s="567"/>
      <c r="DQ91" s="567"/>
      <c r="DR91" s="567"/>
      <c r="DS91" s="567"/>
      <c r="DT91" s="567"/>
      <c r="DU91" s="567"/>
      <c r="DV91" s="567"/>
      <c r="DW91" s="567"/>
      <c r="DX91" s="567"/>
      <c r="DY91" s="567"/>
      <c r="DZ91" s="567"/>
      <c r="EA91" s="567"/>
      <c r="EB91" s="567"/>
      <c r="EC91" s="567"/>
      <c r="ED91" s="567"/>
      <c r="EE91" s="567"/>
      <c r="EF91" s="567"/>
      <c r="EG91" s="567"/>
      <c r="EH91" s="567"/>
      <c r="EI91" s="567"/>
      <c r="EJ91" s="567"/>
      <c r="EK91" s="567"/>
      <c r="EL91" s="567"/>
      <c r="EM91" s="567"/>
      <c r="EN91" s="567"/>
      <c r="EO91" s="567"/>
      <c r="EP91" s="567"/>
      <c r="EQ91" s="567"/>
      <c r="ER91" s="567"/>
      <c r="ES91" s="567"/>
      <c r="ET91" s="567"/>
      <c r="EU91" s="567"/>
      <c r="EV91" s="567"/>
      <c r="EW91" s="567"/>
      <c r="EX91" s="567"/>
      <c r="EY91" s="567"/>
      <c r="EZ91" s="567"/>
      <c r="FA91" s="567"/>
      <c r="FB91" s="567"/>
      <c r="FC91" s="567"/>
      <c r="FD91" s="567"/>
      <c r="FE91" s="567"/>
      <c r="FF91" s="567"/>
      <c r="FG91" s="567"/>
      <c r="FH91" s="567"/>
      <c r="FI91" s="567"/>
      <c r="FJ91" s="567"/>
      <c r="FK91" s="567"/>
      <c r="FL91" s="567"/>
      <c r="FM91" s="567"/>
      <c r="FN91" s="567"/>
      <c r="FO91" s="567"/>
      <c r="FP91" s="567"/>
      <c r="FQ91" s="567"/>
      <c r="FR91" s="567"/>
      <c r="FS91" s="567"/>
      <c r="FT91" s="567"/>
      <c r="FU91" s="567"/>
      <c r="FV91" s="567"/>
      <c r="FW91" s="567"/>
      <c r="FX91" s="567"/>
    </row>
    <row r="92">
      <c r="A92" s="578" t="s">
        <v>759</v>
      </c>
      <c r="B92" s="15"/>
      <c r="C92" s="16"/>
      <c r="D92" s="572" t="s">
        <v>652</v>
      </c>
      <c r="E92" s="444" t="s">
        <v>652</v>
      </c>
      <c r="F92" s="444" t="s">
        <v>652</v>
      </c>
      <c r="G92" s="589">
        <f t="shared" ref="G92:DA92" si="23">G91+G90</f>
        <v>55264</v>
      </c>
      <c r="H92" s="589">
        <f t="shared" si="23"/>
        <v>93197</v>
      </c>
      <c r="I92" s="589">
        <f t="shared" si="23"/>
        <v>148777</v>
      </c>
      <c r="J92" s="589">
        <f t="shared" si="23"/>
        <v>203145</v>
      </c>
      <c r="K92" s="589">
        <f t="shared" si="23"/>
        <v>275433</v>
      </c>
      <c r="L92" s="589">
        <f t="shared" si="23"/>
        <v>329650</v>
      </c>
      <c r="M92" s="589">
        <f t="shared" si="23"/>
        <v>384650</v>
      </c>
      <c r="N92" s="589">
        <f t="shared" si="23"/>
        <v>431642</v>
      </c>
      <c r="O92" s="589">
        <f t="shared" si="23"/>
        <v>495004</v>
      </c>
      <c r="P92" s="589">
        <f t="shared" si="23"/>
        <v>549690</v>
      </c>
      <c r="Q92" s="589">
        <f t="shared" si="23"/>
        <v>608472</v>
      </c>
      <c r="R92" s="589">
        <f t="shared" si="23"/>
        <v>667936</v>
      </c>
      <c r="S92" s="589">
        <f t="shared" si="23"/>
        <v>730722</v>
      </c>
      <c r="T92" s="589">
        <f t="shared" si="23"/>
        <v>926379</v>
      </c>
      <c r="U92" s="589">
        <f t="shared" si="23"/>
        <v>1120060</v>
      </c>
      <c r="V92" s="589">
        <f t="shared" si="23"/>
        <v>1180361</v>
      </c>
      <c r="W92" s="589">
        <f t="shared" si="23"/>
        <v>1241568</v>
      </c>
      <c r="X92" s="589">
        <f t="shared" si="23"/>
        <v>1315509</v>
      </c>
      <c r="Y92" s="589">
        <f t="shared" si="23"/>
        <v>1392404</v>
      </c>
      <c r="Z92" s="589">
        <f t="shared" si="23"/>
        <v>1381220</v>
      </c>
      <c r="AA92" s="589">
        <f t="shared" si="23"/>
        <v>1410662</v>
      </c>
      <c r="AB92" s="589">
        <f t="shared" si="23"/>
        <v>1442057</v>
      </c>
      <c r="AC92" s="589">
        <f t="shared" si="23"/>
        <v>1472519</v>
      </c>
      <c r="AD92" s="589">
        <f t="shared" si="23"/>
        <v>1498066</v>
      </c>
      <c r="AE92" s="589">
        <f t="shared" si="23"/>
        <v>1527304</v>
      </c>
      <c r="AF92" s="589">
        <f t="shared" si="23"/>
        <v>1556879</v>
      </c>
      <c r="AG92" s="589">
        <f t="shared" si="23"/>
        <v>1581681</v>
      </c>
      <c r="AH92" s="589">
        <f t="shared" si="23"/>
        <v>1611562</v>
      </c>
      <c r="AI92" s="589">
        <f t="shared" si="23"/>
        <v>1697470</v>
      </c>
      <c r="AJ92" s="589">
        <f t="shared" si="23"/>
        <v>1732143</v>
      </c>
      <c r="AK92" s="589">
        <f t="shared" si="23"/>
        <v>1760858</v>
      </c>
      <c r="AL92" s="589">
        <f t="shared" si="23"/>
        <v>1782185</v>
      </c>
      <c r="AM92" s="589">
        <f t="shared" si="23"/>
        <v>1845485</v>
      </c>
      <c r="AN92" s="589">
        <f t="shared" si="23"/>
        <v>1882736</v>
      </c>
      <c r="AO92" s="589">
        <f t="shared" si="23"/>
        <v>1899857</v>
      </c>
      <c r="AP92" s="589">
        <f t="shared" si="23"/>
        <v>1937088</v>
      </c>
      <c r="AQ92" s="589">
        <f t="shared" si="23"/>
        <v>1941366</v>
      </c>
      <c r="AR92" s="589">
        <f t="shared" si="23"/>
        <v>1919683</v>
      </c>
      <c r="AS92" s="589">
        <f t="shared" si="23"/>
        <v>1949989</v>
      </c>
      <c r="AT92" s="589">
        <f t="shared" si="23"/>
        <v>2062113</v>
      </c>
      <c r="AU92" s="589">
        <f t="shared" si="23"/>
        <v>2065424</v>
      </c>
      <c r="AV92" s="589">
        <f t="shared" si="23"/>
        <v>2091071</v>
      </c>
      <c r="AW92" s="589">
        <f t="shared" si="23"/>
        <v>2118569</v>
      </c>
      <c r="AX92" s="589">
        <f t="shared" si="23"/>
        <v>2196035</v>
      </c>
      <c r="AY92" s="589">
        <f t="shared" si="23"/>
        <v>2212184</v>
      </c>
      <c r="AZ92" s="589">
        <f t="shared" si="23"/>
        <v>2210582</v>
      </c>
      <c r="BA92" s="589">
        <f t="shared" si="23"/>
        <v>2272170</v>
      </c>
      <c r="BB92" s="589">
        <f t="shared" si="23"/>
        <v>2321893</v>
      </c>
      <c r="BC92" s="589">
        <f t="shared" si="23"/>
        <v>2328428</v>
      </c>
      <c r="BD92" s="589">
        <f t="shared" si="23"/>
        <v>2426447</v>
      </c>
      <c r="BE92" s="589">
        <f t="shared" si="23"/>
        <v>2466493</v>
      </c>
      <c r="BF92" s="589">
        <f t="shared" si="23"/>
        <v>2681355</v>
      </c>
      <c r="BG92" s="589">
        <f t="shared" si="23"/>
        <v>2730661</v>
      </c>
      <c r="BH92" s="589">
        <f t="shared" si="23"/>
        <v>2771298</v>
      </c>
      <c r="BI92" s="589">
        <f t="shared" si="23"/>
        <v>2807931</v>
      </c>
      <c r="BJ92" s="589">
        <f t="shared" si="23"/>
        <v>2844148</v>
      </c>
      <c r="BK92" s="589">
        <f t="shared" si="23"/>
        <v>2882592</v>
      </c>
      <c r="BL92" s="589">
        <f t="shared" si="23"/>
        <v>3071497</v>
      </c>
      <c r="BM92" s="589">
        <f t="shared" si="23"/>
        <v>3108939</v>
      </c>
      <c r="BN92" s="589">
        <f t="shared" si="23"/>
        <v>3117762</v>
      </c>
      <c r="BO92" s="589">
        <f t="shared" si="23"/>
        <v>3223604</v>
      </c>
      <c r="BP92" s="589">
        <f t="shared" si="23"/>
        <v>3237988</v>
      </c>
      <c r="BQ92" s="589">
        <f t="shared" si="23"/>
        <v>3259555</v>
      </c>
      <c r="BR92" s="589">
        <f t="shared" si="23"/>
        <v>3913049</v>
      </c>
      <c r="BS92" s="589">
        <f t="shared" si="23"/>
        <v>3928993</v>
      </c>
      <c r="BT92" s="589">
        <f t="shared" si="23"/>
        <v>3946453</v>
      </c>
      <c r="BU92" s="589">
        <f t="shared" si="23"/>
        <v>2668469</v>
      </c>
      <c r="BV92" s="589">
        <f t="shared" si="23"/>
        <v>2940315</v>
      </c>
      <c r="BW92" s="589">
        <f t="shared" si="23"/>
        <v>3959443.596</v>
      </c>
      <c r="BX92" s="589">
        <f t="shared" si="23"/>
        <v>4069157.442</v>
      </c>
      <c r="BY92" s="589">
        <f t="shared" si="23"/>
        <v>4091694.503</v>
      </c>
      <c r="BZ92" s="589">
        <f t="shared" si="23"/>
        <v>4083130.743</v>
      </c>
      <c r="CA92" s="589">
        <f t="shared" si="23"/>
        <v>4028664.128</v>
      </c>
      <c r="CB92" s="589">
        <f t="shared" si="23"/>
        <v>4042550.622</v>
      </c>
      <c r="CC92" s="589">
        <f t="shared" si="23"/>
        <v>4090674.19</v>
      </c>
      <c r="CD92" s="589">
        <f t="shared" si="23"/>
        <v>4515085.796</v>
      </c>
      <c r="CE92" s="589">
        <f t="shared" si="23"/>
        <v>4556973.405</v>
      </c>
      <c r="CF92" s="589">
        <f t="shared" si="23"/>
        <v>4506281.982</v>
      </c>
      <c r="CG92" s="589">
        <f t="shared" si="23"/>
        <v>4616460.491</v>
      </c>
      <c r="CH92" s="589">
        <f t="shared" si="23"/>
        <v>4588070.896</v>
      </c>
      <c r="CI92" s="589">
        <f t="shared" si="23"/>
        <v>4586667.162</v>
      </c>
      <c r="CJ92" s="589">
        <f t="shared" si="23"/>
        <v>4569821.253</v>
      </c>
      <c r="CK92" s="589">
        <f t="shared" si="23"/>
        <v>4658764.133</v>
      </c>
      <c r="CL92" s="589">
        <f t="shared" si="23"/>
        <v>4645576.766</v>
      </c>
      <c r="CM92" s="589">
        <f t="shared" si="23"/>
        <v>4694364.655</v>
      </c>
      <c r="CN92" s="589">
        <f t="shared" si="23"/>
        <v>4572814.709</v>
      </c>
      <c r="CO92" s="590">
        <f t="shared" si="23"/>
        <v>4601478.913</v>
      </c>
      <c r="CP92" s="591">
        <f t="shared" si="23"/>
        <v>5419149.247</v>
      </c>
      <c r="CQ92" s="589">
        <f t="shared" si="23"/>
        <v>5903909.696</v>
      </c>
      <c r="CR92" s="589">
        <f t="shared" si="23"/>
        <v>5833594.241</v>
      </c>
      <c r="CS92" s="589">
        <f t="shared" si="23"/>
        <v>5841842.562</v>
      </c>
      <c r="CT92" s="589">
        <f t="shared" si="23"/>
        <v>5787702.562</v>
      </c>
      <c r="CU92" s="589">
        <f t="shared" si="23"/>
        <v>5729427.562</v>
      </c>
      <c r="CV92" s="589">
        <f t="shared" si="23"/>
        <v>5727842.562</v>
      </c>
      <c r="CW92" s="589">
        <f t="shared" si="23"/>
        <v>5716817.562</v>
      </c>
      <c r="CX92" s="589">
        <f t="shared" si="23"/>
        <v>5665770.562</v>
      </c>
      <c r="CY92" s="589">
        <f t="shared" si="23"/>
        <v>5652672.562</v>
      </c>
      <c r="CZ92" s="589">
        <f t="shared" si="23"/>
        <v>5601583.562</v>
      </c>
      <c r="DA92" s="589">
        <f t="shared" si="23"/>
        <v>5590473.562</v>
      </c>
      <c r="DB92" s="567"/>
      <c r="DC92" s="567"/>
      <c r="DD92" s="567"/>
      <c r="DE92" s="567"/>
      <c r="DF92" s="567"/>
      <c r="DG92" s="567"/>
      <c r="DH92" s="567"/>
      <c r="DI92" s="567"/>
      <c r="DJ92" s="567"/>
      <c r="DK92" s="567"/>
      <c r="DL92" s="567"/>
      <c r="DM92" s="567"/>
      <c r="DN92" s="567"/>
      <c r="DO92" s="567"/>
      <c r="DP92" s="567"/>
      <c r="DQ92" s="567"/>
      <c r="DR92" s="567"/>
      <c r="DS92" s="567"/>
      <c r="DT92" s="567"/>
      <c r="DU92" s="567"/>
      <c r="DV92" s="567"/>
      <c r="DW92" s="567"/>
      <c r="DX92" s="567"/>
      <c r="DY92" s="567"/>
      <c r="DZ92" s="567"/>
      <c r="EA92" s="567"/>
      <c r="EB92" s="567"/>
      <c r="EC92" s="567"/>
      <c r="ED92" s="567"/>
      <c r="EE92" s="567"/>
      <c r="EF92" s="567"/>
      <c r="EG92" s="567"/>
      <c r="EH92" s="567"/>
      <c r="EI92" s="567"/>
      <c r="EJ92" s="567"/>
      <c r="EK92" s="567"/>
      <c r="EL92" s="567"/>
      <c r="EM92" s="567"/>
      <c r="EN92" s="567"/>
      <c r="EO92" s="567"/>
      <c r="EP92" s="567"/>
      <c r="EQ92" s="567"/>
      <c r="ER92" s="567"/>
      <c r="ES92" s="567"/>
      <c r="ET92" s="567"/>
      <c r="EU92" s="567"/>
      <c r="EV92" s="567"/>
      <c r="EW92" s="567"/>
      <c r="EX92" s="567"/>
      <c r="EY92" s="567"/>
      <c r="EZ92" s="567"/>
      <c r="FA92" s="567"/>
      <c r="FB92" s="567"/>
      <c r="FC92" s="567"/>
      <c r="FD92" s="567"/>
      <c r="FE92" s="567"/>
      <c r="FF92" s="567"/>
      <c r="FG92" s="567"/>
      <c r="FH92" s="567"/>
      <c r="FI92" s="567"/>
      <c r="FJ92" s="567"/>
      <c r="FK92" s="567"/>
      <c r="FL92" s="567"/>
      <c r="FM92" s="567"/>
      <c r="FN92" s="567"/>
      <c r="FO92" s="567"/>
      <c r="FP92" s="567"/>
      <c r="FQ92" s="567"/>
      <c r="FR92" s="567"/>
      <c r="FS92" s="567"/>
      <c r="FT92" s="567"/>
      <c r="FU92" s="567"/>
      <c r="FV92" s="567"/>
      <c r="FW92" s="567"/>
      <c r="FX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67"/>
      <c r="CE93" s="567"/>
      <c r="CF93" s="567"/>
      <c r="CG93" s="567"/>
      <c r="CH93" s="567"/>
      <c r="CI93" s="567"/>
      <c r="CJ93" s="567"/>
      <c r="CK93" s="567"/>
      <c r="CL93" s="567"/>
      <c r="CM93" s="567"/>
      <c r="CN93" s="567"/>
      <c r="CO93" s="567"/>
      <c r="CP93" s="567"/>
      <c r="CQ93" s="567"/>
      <c r="CR93" s="567"/>
      <c r="CS93" s="567"/>
      <c r="CT93" s="567"/>
      <c r="CU93" s="567"/>
      <c r="CV93" s="567"/>
      <c r="CW93" s="567"/>
      <c r="CX93" s="567"/>
      <c r="CY93" s="567"/>
      <c r="CZ93" s="567"/>
      <c r="DA93" s="567"/>
      <c r="DB93" s="567"/>
      <c r="DC93" s="567"/>
      <c r="DD93" s="567"/>
      <c r="DE93" s="567"/>
      <c r="DF93" s="567"/>
      <c r="DG93" s="567"/>
      <c r="DH93" s="567"/>
      <c r="DI93" s="567"/>
      <c r="DJ93" s="567"/>
      <c r="DK93" s="567"/>
      <c r="DL93" s="567"/>
      <c r="DM93" s="567"/>
      <c r="DN93" s="567"/>
      <c r="DO93" s="567"/>
      <c r="DP93" s="567"/>
      <c r="DQ93" s="567"/>
      <c r="DR93" s="567"/>
      <c r="DS93" s="567"/>
      <c r="DT93" s="567"/>
      <c r="DU93" s="567"/>
      <c r="DV93" s="567"/>
      <c r="DW93" s="567"/>
      <c r="DX93" s="567"/>
      <c r="DY93" s="567"/>
      <c r="DZ93" s="567"/>
      <c r="EA93" s="567"/>
      <c r="EB93" s="567"/>
      <c r="EC93" s="567"/>
      <c r="ED93" s="567"/>
      <c r="EE93" s="567"/>
      <c r="EF93" s="567"/>
      <c r="EG93" s="567"/>
      <c r="EH93" s="567"/>
      <c r="EI93" s="567"/>
      <c r="EJ93" s="567"/>
      <c r="EK93" s="567"/>
      <c r="EL93" s="567"/>
      <c r="EM93" s="567"/>
      <c r="EN93" s="567"/>
      <c r="EO93" s="567"/>
      <c r="EP93" s="567"/>
      <c r="EQ93" s="567"/>
      <c r="ER93" s="567"/>
      <c r="ES93" s="567"/>
      <c r="ET93" s="567"/>
      <c r="EU93" s="567"/>
      <c r="EV93" s="567"/>
      <c r="EW93" s="567"/>
      <c r="EX93" s="567"/>
      <c r="EY93" s="567"/>
      <c r="EZ93" s="567"/>
      <c r="FA93" s="567"/>
      <c r="FB93" s="567"/>
      <c r="FC93" s="567"/>
      <c r="FD93" s="567"/>
      <c r="FE93" s="567"/>
      <c r="FF93" s="567"/>
      <c r="FG93" s="567"/>
      <c r="FH93" s="567"/>
      <c r="FI93" s="567"/>
      <c r="FJ93" s="567"/>
      <c r="FK93" s="567"/>
      <c r="FL93" s="567"/>
      <c r="FM93" s="567"/>
      <c r="FN93" s="567"/>
      <c r="FO93" s="567"/>
      <c r="FP93" s="567"/>
      <c r="FQ93" s="567"/>
      <c r="FR93" s="567"/>
      <c r="FS93" s="567"/>
      <c r="FT93" s="567"/>
      <c r="FU93" s="567"/>
      <c r="FV93" s="567"/>
      <c r="FW93" s="567"/>
      <c r="FX93" s="567"/>
    </row>
    <row r="94">
      <c r="A94" s="592" t="s">
        <v>760</v>
      </c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  <c r="CL94" s="567"/>
      <c r="CM94" s="567"/>
      <c r="CN94" s="567"/>
      <c r="CO94" s="567"/>
      <c r="CP94" s="567"/>
      <c r="CQ94" s="567"/>
      <c r="CR94" s="567"/>
      <c r="CS94" s="567"/>
      <c r="CT94" s="567"/>
      <c r="CU94" s="567"/>
      <c r="CV94" s="567"/>
      <c r="CW94" s="567"/>
      <c r="CX94" s="567"/>
      <c r="CY94" s="567"/>
      <c r="CZ94" s="567"/>
      <c r="DA94" s="567"/>
      <c r="DB94" s="567"/>
      <c r="DC94" s="567"/>
      <c r="DD94" s="567"/>
      <c r="DE94" s="567"/>
      <c r="DF94" s="567"/>
      <c r="DG94" s="567"/>
      <c r="DH94" s="567"/>
      <c r="DI94" s="567"/>
      <c r="DJ94" s="567"/>
      <c r="DK94" s="567"/>
      <c r="DL94" s="567"/>
      <c r="DM94" s="567"/>
      <c r="DN94" s="567"/>
      <c r="DO94" s="567"/>
      <c r="DP94" s="567"/>
      <c r="DQ94" s="567"/>
      <c r="DR94" s="567"/>
      <c r="DS94" s="567"/>
      <c r="DT94" s="567"/>
      <c r="DU94" s="567"/>
      <c r="DV94" s="567"/>
      <c r="DW94" s="567"/>
      <c r="DX94" s="567"/>
      <c r="DY94" s="567"/>
      <c r="DZ94" s="567"/>
      <c r="EA94" s="567"/>
      <c r="EB94" s="567"/>
      <c r="EC94" s="567"/>
      <c r="ED94" s="567"/>
      <c r="EE94" s="567"/>
      <c r="EF94" s="567"/>
      <c r="EG94" s="567"/>
      <c r="EH94" s="567"/>
      <c r="EI94" s="567"/>
      <c r="EJ94" s="567"/>
      <c r="EK94" s="567"/>
      <c r="EL94" s="567"/>
      <c r="EM94" s="567"/>
      <c r="EN94" s="567"/>
      <c r="EO94" s="567"/>
      <c r="EP94" s="567"/>
      <c r="EQ94" s="567"/>
      <c r="ER94" s="567"/>
      <c r="ES94" s="567"/>
      <c r="ET94" s="567"/>
      <c r="EU94" s="567"/>
      <c r="EV94" s="567"/>
      <c r="EW94" s="567"/>
      <c r="EX94" s="567"/>
      <c r="EY94" s="567"/>
      <c r="EZ94" s="567"/>
      <c r="FA94" s="567"/>
      <c r="FB94" s="567"/>
      <c r="FC94" s="567"/>
      <c r="FD94" s="567"/>
      <c r="FE94" s="567"/>
      <c r="FF94" s="567"/>
      <c r="FG94" s="567"/>
      <c r="FH94" s="567"/>
      <c r="FI94" s="567"/>
      <c r="FJ94" s="567"/>
      <c r="FK94" s="567"/>
      <c r="FL94" s="567"/>
      <c r="FM94" s="567"/>
      <c r="FN94" s="567"/>
      <c r="FO94" s="567"/>
      <c r="FP94" s="567"/>
      <c r="FQ94" s="567"/>
      <c r="FR94" s="567"/>
      <c r="FS94" s="567"/>
      <c r="FT94" s="567"/>
      <c r="FU94" s="567"/>
      <c r="FV94" s="567"/>
      <c r="FW94" s="567"/>
      <c r="FX94" s="567"/>
    </row>
    <row r="95">
      <c r="A95" s="593" t="s">
        <v>761</v>
      </c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  <c r="BW95" s="567"/>
      <c r="BX95" s="567"/>
      <c r="BY95" s="567"/>
      <c r="BZ95" s="567"/>
      <c r="CA95" s="567"/>
      <c r="CB95" s="567"/>
      <c r="CC95" s="567"/>
      <c r="CD95" s="594">
        <f t="shared" ref="CD95:DA95" si="24">sum(BY90:CD90)/6</f>
        <v>74321.39227</v>
      </c>
      <c r="CE95" s="594">
        <f t="shared" si="24"/>
        <v>77546.4837</v>
      </c>
      <c r="CF95" s="594">
        <f t="shared" si="24"/>
        <v>70525.20647</v>
      </c>
      <c r="CG95" s="594">
        <f t="shared" si="24"/>
        <v>97966.0605</v>
      </c>
      <c r="CH95" s="594">
        <f t="shared" si="24"/>
        <v>90920.0457</v>
      </c>
      <c r="CI95" s="594">
        <f t="shared" si="24"/>
        <v>82665.4954</v>
      </c>
      <c r="CJ95" s="594">
        <f t="shared" si="24"/>
        <v>9122.576167</v>
      </c>
      <c r="CK95" s="594">
        <f t="shared" si="24"/>
        <v>16965.12127</v>
      </c>
      <c r="CL95" s="594">
        <f t="shared" si="24"/>
        <v>23215.79733</v>
      </c>
      <c r="CM95" s="594">
        <f t="shared" si="24"/>
        <v>12984.02723</v>
      </c>
      <c r="CN95" s="594">
        <f t="shared" si="24"/>
        <v>-2542.697867</v>
      </c>
      <c r="CO95" s="594">
        <f t="shared" si="24"/>
        <v>2468.625067</v>
      </c>
      <c r="CP95" s="594">
        <f t="shared" si="24"/>
        <v>141554.6657</v>
      </c>
      <c r="CQ95" s="594">
        <f t="shared" si="24"/>
        <v>207524.2605</v>
      </c>
      <c r="CR95" s="594">
        <f t="shared" si="24"/>
        <v>198002.9125</v>
      </c>
      <c r="CS95" s="594">
        <f t="shared" si="24"/>
        <v>191246.318</v>
      </c>
      <c r="CT95" s="594">
        <f t="shared" si="24"/>
        <v>202481.3089</v>
      </c>
      <c r="CU95" s="594">
        <f t="shared" si="24"/>
        <v>187991.4416</v>
      </c>
      <c r="CV95" s="594">
        <f t="shared" si="24"/>
        <v>51448.88582</v>
      </c>
      <c r="CW95" s="594">
        <f t="shared" si="24"/>
        <v>-31182.0223</v>
      </c>
      <c r="CX95" s="594">
        <f t="shared" si="24"/>
        <v>-27970.61315</v>
      </c>
      <c r="CY95" s="594">
        <f t="shared" si="24"/>
        <v>-31528.33333</v>
      </c>
      <c r="CZ95" s="594">
        <f t="shared" si="24"/>
        <v>-31019.83333</v>
      </c>
      <c r="DA95" s="594">
        <f t="shared" si="24"/>
        <v>-23159</v>
      </c>
      <c r="DB95" s="567"/>
      <c r="DC95" s="567"/>
      <c r="DD95" s="567"/>
      <c r="DE95" s="567"/>
      <c r="DF95" s="567"/>
      <c r="DG95" s="567"/>
      <c r="DH95" s="567"/>
      <c r="DI95" s="567"/>
      <c r="DJ95" s="567"/>
      <c r="DK95" s="567"/>
      <c r="DL95" s="567"/>
      <c r="DM95" s="567"/>
      <c r="DN95" s="567"/>
      <c r="DO95" s="567"/>
      <c r="DP95" s="567"/>
      <c r="DQ95" s="567"/>
      <c r="DR95" s="567"/>
      <c r="DS95" s="567"/>
      <c r="DT95" s="567"/>
      <c r="DU95" s="567"/>
      <c r="DV95" s="567"/>
      <c r="DW95" s="567"/>
      <c r="DX95" s="567"/>
      <c r="DY95" s="567"/>
      <c r="DZ95" s="567"/>
      <c r="EA95" s="567"/>
      <c r="EB95" s="567"/>
      <c r="EC95" s="567"/>
      <c r="ED95" s="567"/>
      <c r="EE95" s="567"/>
      <c r="EF95" s="567"/>
      <c r="EG95" s="567"/>
      <c r="EH95" s="567"/>
      <c r="EI95" s="567"/>
      <c r="EJ95" s="567"/>
      <c r="EK95" s="567"/>
      <c r="EL95" s="567"/>
      <c r="EM95" s="567"/>
      <c r="EN95" s="567"/>
      <c r="EO95" s="567"/>
      <c r="EP95" s="567"/>
      <c r="EQ95" s="567"/>
      <c r="ER95" s="567"/>
      <c r="ES95" s="567"/>
      <c r="ET95" s="567"/>
      <c r="EU95" s="567"/>
      <c r="EV95" s="567"/>
      <c r="EW95" s="567"/>
      <c r="EX95" s="567"/>
      <c r="EY95" s="567"/>
      <c r="EZ95" s="567"/>
      <c r="FA95" s="567"/>
      <c r="FB95" s="567"/>
      <c r="FC95" s="567"/>
      <c r="FD95" s="567"/>
      <c r="FE95" s="567"/>
      <c r="FF95" s="567"/>
      <c r="FG95" s="567"/>
      <c r="FH95" s="567"/>
      <c r="FI95" s="567"/>
      <c r="FJ95" s="567"/>
      <c r="FK95" s="567"/>
      <c r="FL95" s="567"/>
      <c r="FM95" s="567"/>
      <c r="FN95" s="567"/>
      <c r="FO95" s="567"/>
      <c r="FP95" s="567"/>
      <c r="FQ95" s="567"/>
      <c r="FR95" s="567"/>
      <c r="FS95" s="567"/>
      <c r="FT95" s="567"/>
      <c r="FU95" s="567"/>
      <c r="FV95" s="567"/>
      <c r="FW95" s="567"/>
      <c r="FX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  <c r="BW96" s="567"/>
      <c r="BX96" s="567"/>
      <c r="BY96" s="567"/>
      <c r="BZ96" s="567"/>
      <c r="CA96" s="567"/>
      <c r="CB96" s="567"/>
      <c r="CC96" s="567"/>
      <c r="CD96" s="567"/>
      <c r="CE96" s="567"/>
      <c r="CF96" s="567"/>
      <c r="CG96" s="567"/>
      <c r="CH96" s="567"/>
      <c r="CI96" s="567"/>
      <c r="CJ96" s="567"/>
      <c r="CK96" s="567"/>
      <c r="CL96" s="567"/>
      <c r="CM96" s="567"/>
      <c r="CN96" s="567"/>
      <c r="CO96" s="567"/>
      <c r="CP96" s="567"/>
      <c r="CQ96" s="567"/>
      <c r="CR96" s="567"/>
      <c r="CS96" s="567"/>
      <c r="CT96" s="567"/>
      <c r="CU96" s="567"/>
      <c r="CV96" s="567"/>
      <c r="CW96" s="567"/>
      <c r="CX96" s="567"/>
      <c r="CY96" s="567"/>
      <c r="CZ96" s="567"/>
      <c r="DA96" s="567"/>
      <c r="DB96" s="567"/>
      <c r="DC96" s="567"/>
      <c r="DD96" s="567"/>
      <c r="DE96" s="567"/>
      <c r="DF96" s="567"/>
      <c r="DG96" s="567"/>
      <c r="DH96" s="567"/>
      <c r="DI96" s="567"/>
      <c r="DJ96" s="567"/>
      <c r="DK96" s="567"/>
      <c r="DL96" s="567"/>
      <c r="DM96" s="567"/>
      <c r="DN96" s="567"/>
      <c r="DO96" s="567"/>
      <c r="DP96" s="567"/>
      <c r="DQ96" s="567"/>
      <c r="DR96" s="567"/>
      <c r="DS96" s="567"/>
      <c r="DT96" s="567"/>
      <c r="DU96" s="567"/>
      <c r="DV96" s="567"/>
      <c r="DW96" s="567"/>
      <c r="DX96" s="567"/>
      <c r="DY96" s="567"/>
      <c r="DZ96" s="567"/>
      <c r="EA96" s="567"/>
      <c r="EB96" s="567"/>
      <c r="EC96" s="567"/>
      <c r="ED96" s="567"/>
      <c r="EE96" s="567"/>
      <c r="EF96" s="567"/>
      <c r="EG96" s="567"/>
      <c r="EH96" s="567"/>
      <c r="EI96" s="567"/>
      <c r="EJ96" s="567"/>
      <c r="EK96" s="567"/>
      <c r="EL96" s="567"/>
      <c r="EM96" s="567"/>
      <c r="EN96" s="567"/>
      <c r="EO96" s="567"/>
      <c r="EP96" s="567"/>
      <c r="EQ96" s="567"/>
      <c r="ER96" s="567"/>
      <c r="ES96" s="567"/>
      <c r="ET96" s="567"/>
      <c r="EU96" s="567"/>
      <c r="EV96" s="567"/>
      <c r="EW96" s="567"/>
      <c r="EX96" s="567"/>
      <c r="EY96" s="567"/>
      <c r="EZ96" s="567"/>
      <c r="FA96" s="567"/>
      <c r="FB96" s="567"/>
      <c r="FC96" s="567"/>
      <c r="FD96" s="567"/>
      <c r="FE96" s="567"/>
      <c r="FF96" s="567"/>
      <c r="FG96" s="567"/>
      <c r="FH96" s="567"/>
      <c r="FI96" s="567"/>
      <c r="FJ96" s="567"/>
      <c r="FK96" s="567"/>
      <c r="FL96" s="567"/>
      <c r="FM96" s="567"/>
      <c r="FN96" s="567"/>
      <c r="FO96" s="567"/>
      <c r="FP96" s="567"/>
      <c r="FQ96" s="567"/>
      <c r="FR96" s="567"/>
      <c r="FS96" s="567"/>
      <c r="FT96" s="567"/>
      <c r="FU96" s="567"/>
      <c r="FV96" s="567"/>
      <c r="FW96" s="567"/>
      <c r="FX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  <c r="BW97" s="567"/>
      <c r="BX97" s="567"/>
      <c r="BY97" s="567"/>
      <c r="BZ97" s="567"/>
      <c r="CA97" s="567"/>
      <c r="CB97" s="567"/>
      <c r="CC97" s="567"/>
      <c r="CD97" s="567"/>
      <c r="CE97" s="567"/>
      <c r="CF97" s="567"/>
      <c r="CG97" s="567"/>
      <c r="CH97" s="567"/>
      <c r="CI97" s="567"/>
      <c r="CJ97" s="567"/>
      <c r="CK97" s="567"/>
      <c r="CL97" s="567"/>
      <c r="CM97" s="567"/>
      <c r="CN97" s="567"/>
      <c r="CO97" s="567"/>
      <c r="CP97" s="567"/>
      <c r="CQ97" s="567"/>
      <c r="CR97" s="567"/>
      <c r="CS97" s="567"/>
      <c r="CT97" s="567"/>
      <c r="CU97" s="567"/>
      <c r="CV97" s="567"/>
      <c r="CW97" s="567"/>
      <c r="CX97" s="567"/>
      <c r="CY97" s="567"/>
      <c r="CZ97" s="567"/>
      <c r="DA97" s="567"/>
      <c r="DB97" s="567"/>
      <c r="DC97" s="567"/>
      <c r="DD97" s="567"/>
      <c r="DE97" s="567"/>
      <c r="DF97" s="567"/>
      <c r="DG97" s="567"/>
      <c r="DH97" s="567"/>
      <c r="DI97" s="567"/>
      <c r="DJ97" s="567"/>
      <c r="DK97" s="567"/>
      <c r="DL97" s="567"/>
      <c r="DM97" s="567"/>
      <c r="DN97" s="567"/>
      <c r="DO97" s="567"/>
      <c r="DP97" s="567"/>
      <c r="DQ97" s="567"/>
      <c r="DR97" s="567"/>
      <c r="DS97" s="567"/>
      <c r="DT97" s="567"/>
      <c r="DU97" s="567"/>
      <c r="DV97" s="567"/>
      <c r="DW97" s="567"/>
      <c r="DX97" s="567"/>
      <c r="DY97" s="567"/>
      <c r="DZ97" s="567"/>
      <c r="EA97" s="567"/>
      <c r="EB97" s="567"/>
      <c r="EC97" s="567"/>
      <c r="ED97" s="567"/>
      <c r="EE97" s="567"/>
      <c r="EF97" s="567"/>
      <c r="EG97" s="567"/>
      <c r="EH97" s="567"/>
      <c r="EI97" s="567"/>
      <c r="EJ97" s="567"/>
      <c r="EK97" s="567"/>
      <c r="EL97" s="567"/>
      <c r="EM97" s="567"/>
      <c r="EN97" s="567"/>
      <c r="EO97" s="567"/>
      <c r="EP97" s="567"/>
      <c r="EQ97" s="567"/>
      <c r="ER97" s="567"/>
      <c r="ES97" s="567"/>
      <c r="ET97" s="567"/>
      <c r="EU97" s="567"/>
      <c r="EV97" s="567"/>
      <c r="EW97" s="567"/>
      <c r="EX97" s="567"/>
      <c r="EY97" s="567"/>
      <c r="EZ97" s="567"/>
      <c r="FA97" s="567"/>
      <c r="FB97" s="567"/>
      <c r="FC97" s="567"/>
      <c r="FD97" s="567"/>
      <c r="FE97" s="567"/>
      <c r="FF97" s="567"/>
      <c r="FG97" s="567"/>
      <c r="FH97" s="567"/>
      <c r="FI97" s="567"/>
      <c r="FJ97" s="567"/>
      <c r="FK97" s="567"/>
      <c r="FL97" s="567"/>
      <c r="FM97" s="567"/>
      <c r="FN97" s="567"/>
      <c r="FO97" s="567"/>
      <c r="FP97" s="567"/>
      <c r="FQ97" s="567"/>
      <c r="FR97" s="567"/>
      <c r="FS97" s="567"/>
      <c r="FT97" s="567"/>
      <c r="FU97" s="567"/>
      <c r="FV97" s="567"/>
      <c r="FW97" s="567"/>
      <c r="FX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  <c r="BW98" s="567"/>
      <c r="BX98" s="567"/>
      <c r="BY98" s="567"/>
      <c r="BZ98" s="567"/>
      <c r="CA98" s="567"/>
      <c r="CB98" s="567"/>
      <c r="CC98" s="567"/>
      <c r="CD98" s="567"/>
      <c r="CE98" s="567"/>
      <c r="CF98" s="567"/>
      <c r="CG98" s="567"/>
      <c r="CH98" s="567"/>
      <c r="CI98" s="567"/>
      <c r="CJ98" s="567"/>
      <c r="CK98" s="567"/>
      <c r="CL98" s="567"/>
      <c r="CM98" s="567"/>
      <c r="CN98" s="567"/>
      <c r="CO98" s="567"/>
      <c r="CP98" s="567"/>
      <c r="CQ98" s="567"/>
      <c r="CR98" s="567"/>
      <c r="CS98" s="567"/>
      <c r="CT98" s="567"/>
      <c r="CU98" s="567"/>
      <c r="CV98" s="567"/>
      <c r="CW98" s="567"/>
      <c r="CX98" s="567"/>
      <c r="CY98" s="567"/>
      <c r="CZ98" s="567"/>
      <c r="DA98" s="567"/>
      <c r="DB98" s="567"/>
      <c r="DC98" s="567"/>
      <c r="DD98" s="567"/>
      <c r="DE98" s="567"/>
      <c r="DF98" s="567"/>
      <c r="DG98" s="567"/>
      <c r="DH98" s="567"/>
      <c r="DI98" s="567"/>
      <c r="DJ98" s="567"/>
      <c r="DK98" s="567"/>
      <c r="DL98" s="567"/>
      <c r="DM98" s="567"/>
      <c r="DN98" s="567"/>
      <c r="DO98" s="567"/>
      <c r="DP98" s="567"/>
      <c r="DQ98" s="567"/>
      <c r="DR98" s="567"/>
      <c r="DS98" s="567"/>
      <c r="DT98" s="567"/>
      <c r="DU98" s="567"/>
      <c r="DV98" s="567"/>
      <c r="DW98" s="567"/>
      <c r="DX98" s="567"/>
      <c r="DY98" s="567"/>
      <c r="DZ98" s="567"/>
      <c r="EA98" s="567"/>
      <c r="EB98" s="567"/>
      <c r="EC98" s="567"/>
      <c r="ED98" s="567"/>
      <c r="EE98" s="567"/>
      <c r="EF98" s="567"/>
      <c r="EG98" s="567"/>
      <c r="EH98" s="567"/>
      <c r="EI98" s="567"/>
      <c r="EJ98" s="567"/>
      <c r="EK98" s="567"/>
      <c r="EL98" s="567"/>
      <c r="EM98" s="567"/>
      <c r="EN98" s="567"/>
      <c r="EO98" s="567"/>
      <c r="EP98" s="567"/>
      <c r="EQ98" s="567"/>
      <c r="ER98" s="567"/>
      <c r="ES98" s="567"/>
      <c r="ET98" s="567"/>
      <c r="EU98" s="567"/>
      <c r="EV98" s="567"/>
      <c r="EW98" s="567"/>
      <c r="EX98" s="567"/>
      <c r="EY98" s="567"/>
      <c r="EZ98" s="567"/>
      <c r="FA98" s="567"/>
      <c r="FB98" s="567"/>
      <c r="FC98" s="567"/>
      <c r="FD98" s="567"/>
      <c r="FE98" s="567"/>
      <c r="FF98" s="567"/>
      <c r="FG98" s="567"/>
      <c r="FH98" s="567"/>
      <c r="FI98" s="567"/>
      <c r="FJ98" s="567"/>
      <c r="FK98" s="567"/>
      <c r="FL98" s="567"/>
      <c r="FM98" s="567"/>
      <c r="FN98" s="567"/>
      <c r="FO98" s="567"/>
      <c r="FP98" s="567"/>
      <c r="FQ98" s="567"/>
      <c r="FR98" s="567"/>
      <c r="FS98" s="567"/>
      <c r="FT98" s="567"/>
      <c r="FU98" s="567"/>
      <c r="FV98" s="567"/>
      <c r="FW98" s="567"/>
      <c r="FX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  <c r="BW99" s="567"/>
      <c r="BX99" s="567"/>
      <c r="BY99" s="567"/>
      <c r="BZ99" s="567"/>
      <c r="CA99" s="567"/>
      <c r="CB99" s="567"/>
      <c r="CC99" s="567"/>
      <c r="CD99" s="567"/>
      <c r="CE99" s="567"/>
      <c r="CF99" s="567"/>
      <c r="CG99" s="567"/>
      <c r="CH99" s="567"/>
      <c r="CI99" s="567"/>
      <c r="CJ99" s="567"/>
      <c r="CK99" s="567"/>
      <c r="CL99" s="567"/>
      <c r="CM99" s="567"/>
      <c r="CN99" s="567"/>
      <c r="CO99" s="567"/>
      <c r="CP99" s="567"/>
      <c r="CQ99" s="567"/>
      <c r="CR99" s="567"/>
      <c r="CS99" s="567"/>
      <c r="CT99" s="567"/>
      <c r="CU99" s="567"/>
      <c r="CV99" s="567"/>
      <c r="CW99" s="567"/>
      <c r="CX99" s="567"/>
      <c r="CY99" s="567"/>
      <c r="CZ99" s="567"/>
      <c r="DA99" s="567"/>
      <c r="DB99" s="567"/>
      <c r="DC99" s="567"/>
      <c r="DD99" s="567"/>
      <c r="DE99" s="567"/>
      <c r="DF99" s="567"/>
      <c r="DG99" s="567"/>
      <c r="DH99" s="567"/>
      <c r="DI99" s="567"/>
      <c r="DJ99" s="567"/>
      <c r="DK99" s="567"/>
      <c r="DL99" s="567"/>
      <c r="DM99" s="567"/>
      <c r="DN99" s="567"/>
      <c r="DO99" s="567"/>
      <c r="DP99" s="567"/>
      <c r="DQ99" s="567"/>
      <c r="DR99" s="567"/>
      <c r="DS99" s="567"/>
      <c r="DT99" s="567"/>
      <c r="DU99" s="567"/>
      <c r="DV99" s="567"/>
      <c r="DW99" s="567"/>
      <c r="DX99" s="567"/>
      <c r="DY99" s="567"/>
      <c r="DZ99" s="567"/>
      <c r="EA99" s="567"/>
      <c r="EB99" s="567"/>
      <c r="EC99" s="567"/>
      <c r="ED99" s="567"/>
      <c r="EE99" s="567"/>
      <c r="EF99" s="567"/>
      <c r="EG99" s="567"/>
      <c r="EH99" s="567"/>
      <c r="EI99" s="567"/>
      <c r="EJ99" s="567"/>
      <c r="EK99" s="567"/>
      <c r="EL99" s="567"/>
      <c r="EM99" s="567"/>
      <c r="EN99" s="567"/>
      <c r="EO99" s="567"/>
      <c r="EP99" s="567"/>
      <c r="EQ99" s="567"/>
      <c r="ER99" s="567"/>
      <c r="ES99" s="567"/>
      <c r="ET99" s="567"/>
      <c r="EU99" s="567"/>
      <c r="EV99" s="567"/>
      <c r="EW99" s="567"/>
      <c r="EX99" s="567"/>
      <c r="EY99" s="567"/>
      <c r="EZ99" s="567"/>
      <c r="FA99" s="567"/>
      <c r="FB99" s="567"/>
      <c r="FC99" s="567"/>
      <c r="FD99" s="567"/>
      <c r="FE99" s="567"/>
      <c r="FF99" s="567"/>
      <c r="FG99" s="567"/>
      <c r="FH99" s="567"/>
      <c r="FI99" s="567"/>
      <c r="FJ99" s="567"/>
      <c r="FK99" s="567"/>
      <c r="FL99" s="567"/>
      <c r="FM99" s="567"/>
      <c r="FN99" s="567"/>
      <c r="FO99" s="567"/>
      <c r="FP99" s="567"/>
      <c r="FQ99" s="567"/>
      <c r="FR99" s="567"/>
      <c r="FS99" s="567"/>
      <c r="FT99" s="567"/>
      <c r="FU99" s="567"/>
      <c r="FV99" s="567"/>
      <c r="FW99" s="567"/>
      <c r="FX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  <c r="BW100" s="567"/>
      <c r="BX100" s="567"/>
      <c r="BY100" s="567"/>
      <c r="BZ100" s="567"/>
      <c r="CA100" s="567"/>
      <c r="CB100" s="567"/>
      <c r="CC100" s="567"/>
      <c r="CD100" s="567"/>
      <c r="CE100" s="567"/>
      <c r="CF100" s="567"/>
      <c r="CG100" s="567"/>
      <c r="CH100" s="567"/>
      <c r="CI100" s="567"/>
      <c r="CJ100" s="567"/>
      <c r="CK100" s="567"/>
      <c r="CL100" s="567"/>
      <c r="CM100" s="567"/>
      <c r="CN100" s="567"/>
      <c r="CO100" s="567"/>
      <c r="CP100" s="567"/>
      <c r="CQ100" s="567"/>
      <c r="CR100" s="567"/>
      <c r="CS100" s="567"/>
      <c r="CT100" s="567"/>
      <c r="CU100" s="567"/>
      <c r="CV100" s="567"/>
      <c r="CW100" s="567"/>
      <c r="CX100" s="567"/>
      <c r="CY100" s="567"/>
      <c r="CZ100" s="567"/>
      <c r="DA100" s="567"/>
      <c r="DB100" s="567"/>
      <c r="DC100" s="567"/>
      <c r="DD100" s="567"/>
      <c r="DE100" s="567"/>
      <c r="DF100" s="567"/>
      <c r="DG100" s="567"/>
      <c r="DH100" s="567"/>
      <c r="DI100" s="567"/>
      <c r="DJ100" s="567"/>
      <c r="DK100" s="567"/>
      <c r="DL100" s="567"/>
      <c r="DM100" s="567"/>
      <c r="DN100" s="567"/>
      <c r="DO100" s="567"/>
      <c r="DP100" s="567"/>
      <c r="DQ100" s="567"/>
      <c r="DR100" s="567"/>
      <c r="DS100" s="567"/>
      <c r="DT100" s="567"/>
      <c r="DU100" s="567"/>
      <c r="DV100" s="567"/>
      <c r="DW100" s="567"/>
      <c r="DX100" s="567"/>
      <c r="DY100" s="567"/>
      <c r="DZ100" s="567"/>
      <c r="EA100" s="567"/>
      <c r="EB100" s="567"/>
      <c r="EC100" s="567"/>
      <c r="ED100" s="567"/>
      <c r="EE100" s="567"/>
      <c r="EF100" s="567"/>
      <c r="EG100" s="567"/>
      <c r="EH100" s="567"/>
      <c r="EI100" s="567"/>
      <c r="EJ100" s="567"/>
      <c r="EK100" s="567"/>
      <c r="EL100" s="567"/>
      <c r="EM100" s="567"/>
      <c r="EN100" s="567"/>
      <c r="EO100" s="567"/>
      <c r="EP100" s="567"/>
      <c r="EQ100" s="567"/>
      <c r="ER100" s="567"/>
      <c r="ES100" s="567"/>
      <c r="ET100" s="567"/>
      <c r="EU100" s="567"/>
      <c r="EV100" s="567"/>
      <c r="EW100" s="567"/>
      <c r="EX100" s="567"/>
      <c r="EY100" s="567"/>
      <c r="EZ100" s="567"/>
      <c r="FA100" s="567"/>
      <c r="FB100" s="567"/>
      <c r="FC100" s="567"/>
      <c r="FD100" s="567"/>
      <c r="FE100" s="567"/>
      <c r="FF100" s="567"/>
      <c r="FG100" s="567"/>
      <c r="FH100" s="567"/>
      <c r="FI100" s="567"/>
      <c r="FJ100" s="567"/>
      <c r="FK100" s="567"/>
      <c r="FL100" s="567"/>
      <c r="FM100" s="567"/>
      <c r="FN100" s="567"/>
      <c r="FO100" s="567"/>
      <c r="FP100" s="567"/>
      <c r="FQ100" s="567"/>
      <c r="FR100" s="567"/>
      <c r="FS100" s="567"/>
      <c r="FT100" s="567"/>
      <c r="FU100" s="567"/>
      <c r="FV100" s="567"/>
      <c r="FW100" s="567"/>
      <c r="FX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  <c r="BW101" s="567"/>
      <c r="BX101" s="567"/>
      <c r="BY101" s="567"/>
      <c r="BZ101" s="567"/>
      <c r="CA101" s="567"/>
      <c r="CB101" s="567"/>
      <c r="CC101" s="567"/>
      <c r="CD101" s="567"/>
      <c r="CE101" s="567"/>
      <c r="CF101" s="567"/>
      <c r="CG101" s="567"/>
      <c r="CH101" s="567"/>
      <c r="CI101" s="567"/>
      <c r="CJ101" s="567"/>
      <c r="CK101" s="567"/>
      <c r="CL101" s="567"/>
      <c r="CM101" s="567"/>
      <c r="CN101" s="567"/>
      <c r="CO101" s="567"/>
      <c r="CP101" s="567"/>
      <c r="CQ101" s="567"/>
      <c r="CR101" s="567"/>
      <c r="CS101" s="567"/>
      <c r="CT101" s="567"/>
      <c r="CU101" s="567"/>
      <c r="CV101" s="567"/>
      <c r="CW101" s="567"/>
      <c r="CX101" s="567"/>
      <c r="CY101" s="567"/>
      <c r="CZ101" s="567"/>
      <c r="DA101" s="567"/>
      <c r="DB101" s="567"/>
      <c r="DC101" s="567"/>
      <c r="DD101" s="567"/>
      <c r="DE101" s="567"/>
      <c r="DF101" s="567"/>
      <c r="DG101" s="567"/>
      <c r="DH101" s="567"/>
      <c r="DI101" s="567"/>
      <c r="DJ101" s="567"/>
      <c r="DK101" s="567"/>
      <c r="DL101" s="567"/>
      <c r="DM101" s="567"/>
      <c r="DN101" s="567"/>
      <c r="DO101" s="567"/>
      <c r="DP101" s="567"/>
      <c r="DQ101" s="567"/>
      <c r="DR101" s="567"/>
      <c r="DS101" s="567"/>
      <c r="DT101" s="567"/>
      <c r="DU101" s="567"/>
      <c r="DV101" s="567"/>
      <c r="DW101" s="567"/>
      <c r="DX101" s="567"/>
      <c r="DY101" s="567"/>
      <c r="DZ101" s="567"/>
      <c r="EA101" s="567"/>
      <c r="EB101" s="567"/>
      <c r="EC101" s="567"/>
      <c r="ED101" s="567"/>
      <c r="EE101" s="567"/>
      <c r="EF101" s="567"/>
      <c r="EG101" s="567"/>
      <c r="EH101" s="567"/>
      <c r="EI101" s="567"/>
      <c r="EJ101" s="567"/>
      <c r="EK101" s="567"/>
      <c r="EL101" s="567"/>
      <c r="EM101" s="567"/>
      <c r="EN101" s="567"/>
      <c r="EO101" s="567"/>
      <c r="EP101" s="567"/>
      <c r="EQ101" s="567"/>
      <c r="ER101" s="567"/>
      <c r="ES101" s="567"/>
      <c r="ET101" s="567"/>
      <c r="EU101" s="567"/>
      <c r="EV101" s="567"/>
      <c r="EW101" s="567"/>
      <c r="EX101" s="567"/>
      <c r="EY101" s="567"/>
      <c r="EZ101" s="567"/>
      <c r="FA101" s="567"/>
      <c r="FB101" s="567"/>
      <c r="FC101" s="567"/>
      <c r="FD101" s="567"/>
      <c r="FE101" s="567"/>
      <c r="FF101" s="567"/>
      <c r="FG101" s="567"/>
      <c r="FH101" s="567"/>
      <c r="FI101" s="567"/>
      <c r="FJ101" s="567"/>
      <c r="FK101" s="567"/>
      <c r="FL101" s="567"/>
      <c r="FM101" s="567"/>
      <c r="FN101" s="567"/>
      <c r="FO101" s="567"/>
      <c r="FP101" s="567"/>
      <c r="FQ101" s="567"/>
      <c r="FR101" s="567"/>
      <c r="FS101" s="567"/>
      <c r="FT101" s="567"/>
      <c r="FU101" s="567"/>
      <c r="FV101" s="567"/>
      <c r="FW101" s="567"/>
      <c r="FX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  <c r="BW102" s="567"/>
      <c r="BX102" s="567"/>
      <c r="BY102" s="567"/>
      <c r="BZ102" s="567"/>
      <c r="CA102" s="567"/>
      <c r="CB102" s="567"/>
      <c r="CC102" s="567"/>
      <c r="CD102" s="567"/>
      <c r="CE102" s="567"/>
      <c r="CF102" s="567"/>
      <c r="CG102" s="567"/>
      <c r="CH102" s="567"/>
      <c r="CI102" s="567"/>
      <c r="CJ102" s="567"/>
      <c r="CK102" s="567"/>
      <c r="CL102" s="567"/>
      <c r="CM102" s="567"/>
      <c r="CN102" s="567"/>
      <c r="CO102" s="567"/>
      <c r="CP102" s="567"/>
      <c r="CQ102" s="567"/>
      <c r="CR102" s="567"/>
      <c r="CS102" s="567"/>
      <c r="CT102" s="567"/>
      <c r="CU102" s="567"/>
      <c r="CV102" s="567"/>
      <c r="CW102" s="567"/>
      <c r="CX102" s="567"/>
      <c r="CY102" s="567"/>
      <c r="CZ102" s="567"/>
      <c r="DA102" s="567"/>
      <c r="DB102" s="567"/>
      <c r="DC102" s="567"/>
      <c r="DD102" s="567"/>
      <c r="DE102" s="567"/>
      <c r="DF102" s="567"/>
      <c r="DG102" s="567"/>
      <c r="DH102" s="567"/>
      <c r="DI102" s="567"/>
      <c r="DJ102" s="567"/>
      <c r="DK102" s="567"/>
      <c r="DL102" s="567"/>
      <c r="DM102" s="567"/>
      <c r="DN102" s="567"/>
      <c r="DO102" s="567"/>
      <c r="DP102" s="567"/>
      <c r="DQ102" s="567"/>
      <c r="DR102" s="567"/>
      <c r="DS102" s="567"/>
      <c r="DT102" s="567"/>
      <c r="DU102" s="567"/>
      <c r="DV102" s="567"/>
      <c r="DW102" s="567"/>
      <c r="DX102" s="567"/>
      <c r="DY102" s="567"/>
      <c r="DZ102" s="567"/>
      <c r="EA102" s="567"/>
      <c r="EB102" s="567"/>
      <c r="EC102" s="567"/>
      <c r="ED102" s="567"/>
      <c r="EE102" s="567"/>
      <c r="EF102" s="567"/>
      <c r="EG102" s="567"/>
      <c r="EH102" s="567"/>
      <c r="EI102" s="567"/>
      <c r="EJ102" s="567"/>
      <c r="EK102" s="567"/>
      <c r="EL102" s="567"/>
      <c r="EM102" s="567"/>
      <c r="EN102" s="567"/>
      <c r="EO102" s="567"/>
      <c r="EP102" s="567"/>
      <c r="EQ102" s="567"/>
      <c r="ER102" s="567"/>
      <c r="ES102" s="567"/>
      <c r="ET102" s="567"/>
      <c r="EU102" s="567"/>
      <c r="EV102" s="567"/>
      <c r="EW102" s="567"/>
      <c r="EX102" s="567"/>
      <c r="EY102" s="567"/>
      <c r="EZ102" s="567"/>
      <c r="FA102" s="567"/>
      <c r="FB102" s="567"/>
      <c r="FC102" s="567"/>
      <c r="FD102" s="567"/>
      <c r="FE102" s="567"/>
      <c r="FF102" s="567"/>
      <c r="FG102" s="567"/>
      <c r="FH102" s="567"/>
      <c r="FI102" s="567"/>
      <c r="FJ102" s="567"/>
      <c r="FK102" s="567"/>
      <c r="FL102" s="567"/>
      <c r="FM102" s="567"/>
      <c r="FN102" s="567"/>
      <c r="FO102" s="567"/>
      <c r="FP102" s="567"/>
      <c r="FQ102" s="567"/>
      <c r="FR102" s="567"/>
      <c r="FS102" s="567"/>
      <c r="FT102" s="567"/>
      <c r="FU102" s="567"/>
      <c r="FV102" s="567"/>
      <c r="FW102" s="567"/>
      <c r="FX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CD103" s="567"/>
      <c r="CE103" s="567"/>
      <c r="CF103" s="567"/>
      <c r="CG103" s="567"/>
      <c r="CH103" s="567"/>
      <c r="CI103" s="567"/>
      <c r="CJ103" s="567"/>
      <c r="CK103" s="567"/>
      <c r="CL103" s="567"/>
      <c r="CM103" s="567"/>
      <c r="CN103" s="567"/>
      <c r="CO103" s="567"/>
      <c r="CP103" s="567"/>
      <c r="CQ103" s="567"/>
      <c r="CR103" s="567"/>
      <c r="CS103" s="567"/>
      <c r="CT103" s="567"/>
      <c r="CU103" s="567"/>
      <c r="CV103" s="567"/>
      <c r="CW103" s="567"/>
      <c r="CX103" s="567"/>
      <c r="CY103" s="567"/>
      <c r="CZ103" s="567"/>
      <c r="DA103" s="567"/>
      <c r="DB103" s="567"/>
      <c r="DC103" s="567"/>
      <c r="DD103" s="567"/>
      <c r="DE103" s="567"/>
      <c r="DF103" s="567"/>
      <c r="DG103" s="567"/>
      <c r="DH103" s="567"/>
      <c r="DI103" s="567"/>
      <c r="DJ103" s="567"/>
      <c r="DK103" s="567"/>
      <c r="DL103" s="567"/>
      <c r="DM103" s="567"/>
      <c r="DN103" s="567"/>
      <c r="DO103" s="567"/>
      <c r="DP103" s="567"/>
      <c r="DQ103" s="567"/>
      <c r="DR103" s="567"/>
      <c r="DS103" s="567"/>
      <c r="DT103" s="567"/>
      <c r="DU103" s="567"/>
      <c r="DV103" s="567"/>
      <c r="DW103" s="567"/>
      <c r="DX103" s="567"/>
      <c r="DY103" s="567"/>
      <c r="DZ103" s="567"/>
      <c r="EA103" s="567"/>
      <c r="EB103" s="567"/>
      <c r="EC103" s="567"/>
      <c r="ED103" s="567"/>
      <c r="EE103" s="567"/>
      <c r="EF103" s="567"/>
      <c r="EG103" s="567"/>
      <c r="EH103" s="567"/>
      <c r="EI103" s="567"/>
      <c r="EJ103" s="567"/>
      <c r="EK103" s="567"/>
      <c r="EL103" s="567"/>
      <c r="EM103" s="567"/>
      <c r="EN103" s="567"/>
      <c r="EO103" s="567"/>
      <c r="EP103" s="567"/>
      <c r="EQ103" s="567"/>
      <c r="ER103" s="567"/>
      <c r="ES103" s="567"/>
      <c r="ET103" s="567"/>
      <c r="EU103" s="567"/>
      <c r="EV103" s="567"/>
      <c r="EW103" s="567"/>
      <c r="EX103" s="567"/>
      <c r="EY103" s="567"/>
      <c r="EZ103" s="567"/>
      <c r="FA103" s="567"/>
      <c r="FB103" s="567"/>
      <c r="FC103" s="567"/>
      <c r="FD103" s="567"/>
      <c r="FE103" s="567"/>
      <c r="FF103" s="567"/>
      <c r="FG103" s="567"/>
      <c r="FH103" s="567"/>
      <c r="FI103" s="567"/>
      <c r="FJ103" s="567"/>
      <c r="FK103" s="567"/>
      <c r="FL103" s="567"/>
      <c r="FM103" s="567"/>
      <c r="FN103" s="567"/>
      <c r="FO103" s="567"/>
      <c r="FP103" s="567"/>
      <c r="FQ103" s="567"/>
      <c r="FR103" s="567"/>
      <c r="FS103" s="567"/>
      <c r="FT103" s="567"/>
      <c r="FU103" s="567"/>
      <c r="FV103" s="567"/>
      <c r="FW103" s="567"/>
      <c r="FX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  <c r="CL104" s="567"/>
      <c r="CM104" s="567"/>
      <c r="CN104" s="567"/>
      <c r="CO104" s="567"/>
      <c r="CP104" s="567"/>
      <c r="CQ104" s="567"/>
      <c r="CR104" s="567"/>
      <c r="CS104" s="567"/>
      <c r="CT104" s="567"/>
      <c r="CU104" s="567"/>
      <c r="CV104" s="567"/>
      <c r="CW104" s="567"/>
      <c r="CX104" s="567"/>
      <c r="CY104" s="567"/>
      <c r="CZ104" s="567"/>
      <c r="DA104" s="567"/>
      <c r="DB104" s="567"/>
      <c r="DC104" s="567"/>
      <c r="DD104" s="567"/>
      <c r="DE104" s="567"/>
      <c r="DF104" s="567"/>
      <c r="DG104" s="567"/>
      <c r="DH104" s="567"/>
      <c r="DI104" s="567"/>
      <c r="DJ104" s="567"/>
      <c r="DK104" s="567"/>
      <c r="DL104" s="567"/>
      <c r="DM104" s="567"/>
      <c r="DN104" s="567"/>
      <c r="DO104" s="567"/>
      <c r="DP104" s="567"/>
      <c r="DQ104" s="567"/>
      <c r="DR104" s="567"/>
      <c r="DS104" s="567"/>
      <c r="DT104" s="567"/>
      <c r="DU104" s="567"/>
      <c r="DV104" s="567"/>
      <c r="DW104" s="567"/>
      <c r="DX104" s="567"/>
      <c r="DY104" s="567"/>
      <c r="DZ104" s="567"/>
      <c r="EA104" s="567"/>
      <c r="EB104" s="567"/>
      <c r="EC104" s="567"/>
      <c r="ED104" s="567"/>
      <c r="EE104" s="567"/>
      <c r="EF104" s="567"/>
      <c r="EG104" s="567"/>
      <c r="EH104" s="567"/>
      <c r="EI104" s="567"/>
      <c r="EJ104" s="567"/>
      <c r="EK104" s="567"/>
      <c r="EL104" s="567"/>
      <c r="EM104" s="567"/>
      <c r="EN104" s="567"/>
      <c r="EO104" s="567"/>
      <c r="EP104" s="567"/>
      <c r="EQ104" s="567"/>
      <c r="ER104" s="567"/>
      <c r="ES104" s="567"/>
      <c r="ET104" s="567"/>
      <c r="EU104" s="567"/>
      <c r="EV104" s="567"/>
      <c r="EW104" s="567"/>
      <c r="EX104" s="567"/>
      <c r="EY104" s="567"/>
      <c r="EZ104" s="567"/>
      <c r="FA104" s="567"/>
      <c r="FB104" s="567"/>
      <c r="FC104" s="567"/>
      <c r="FD104" s="567"/>
      <c r="FE104" s="567"/>
      <c r="FF104" s="567"/>
      <c r="FG104" s="567"/>
      <c r="FH104" s="567"/>
      <c r="FI104" s="567"/>
      <c r="FJ104" s="567"/>
      <c r="FK104" s="567"/>
      <c r="FL104" s="567"/>
      <c r="FM104" s="567"/>
      <c r="FN104" s="567"/>
      <c r="FO104" s="567"/>
      <c r="FP104" s="567"/>
      <c r="FQ104" s="567"/>
      <c r="FR104" s="567"/>
      <c r="FS104" s="567"/>
      <c r="FT104" s="567"/>
      <c r="FU104" s="567"/>
      <c r="FV104" s="567"/>
      <c r="FW104" s="567"/>
      <c r="FX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  <c r="BW105" s="567"/>
      <c r="BX105" s="567"/>
      <c r="BY105" s="567"/>
      <c r="BZ105" s="567"/>
      <c r="CA105" s="567"/>
      <c r="CB105" s="567"/>
      <c r="CC105" s="567"/>
      <c r="CD105" s="567"/>
      <c r="CE105" s="567"/>
      <c r="CF105" s="567"/>
      <c r="CG105" s="567"/>
      <c r="CH105" s="567"/>
      <c r="CI105" s="567"/>
      <c r="CJ105" s="567"/>
      <c r="CK105" s="567"/>
      <c r="CL105" s="567"/>
      <c r="CM105" s="567"/>
      <c r="CN105" s="567"/>
      <c r="CO105" s="567"/>
      <c r="CP105" s="567"/>
      <c r="CQ105" s="567"/>
      <c r="CR105" s="567"/>
      <c r="CS105" s="567"/>
      <c r="CT105" s="567"/>
      <c r="CU105" s="567"/>
      <c r="CV105" s="567"/>
      <c r="CW105" s="567"/>
      <c r="CX105" s="567"/>
      <c r="CY105" s="567"/>
      <c r="CZ105" s="567"/>
      <c r="DA105" s="567"/>
      <c r="DB105" s="567"/>
      <c r="DC105" s="567"/>
      <c r="DD105" s="567"/>
      <c r="DE105" s="567"/>
      <c r="DF105" s="567"/>
      <c r="DG105" s="567"/>
      <c r="DH105" s="567"/>
      <c r="DI105" s="567"/>
      <c r="DJ105" s="567"/>
      <c r="DK105" s="567"/>
      <c r="DL105" s="567"/>
      <c r="DM105" s="567"/>
      <c r="DN105" s="567"/>
      <c r="DO105" s="567"/>
      <c r="DP105" s="567"/>
      <c r="DQ105" s="567"/>
      <c r="DR105" s="567"/>
      <c r="DS105" s="567"/>
      <c r="DT105" s="567"/>
      <c r="DU105" s="567"/>
      <c r="DV105" s="567"/>
      <c r="DW105" s="567"/>
      <c r="DX105" s="567"/>
      <c r="DY105" s="567"/>
      <c r="DZ105" s="567"/>
      <c r="EA105" s="567"/>
      <c r="EB105" s="567"/>
      <c r="EC105" s="567"/>
      <c r="ED105" s="567"/>
      <c r="EE105" s="567"/>
      <c r="EF105" s="567"/>
      <c r="EG105" s="567"/>
      <c r="EH105" s="567"/>
      <c r="EI105" s="567"/>
      <c r="EJ105" s="567"/>
      <c r="EK105" s="567"/>
      <c r="EL105" s="567"/>
      <c r="EM105" s="567"/>
      <c r="EN105" s="567"/>
      <c r="EO105" s="567"/>
      <c r="EP105" s="567"/>
      <c r="EQ105" s="567"/>
      <c r="ER105" s="567"/>
      <c r="ES105" s="567"/>
      <c r="ET105" s="567"/>
      <c r="EU105" s="567"/>
      <c r="EV105" s="567"/>
      <c r="EW105" s="567"/>
      <c r="EX105" s="567"/>
      <c r="EY105" s="567"/>
      <c r="EZ105" s="567"/>
      <c r="FA105" s="567"/>
      <c r="FB105" s="567"/>
      <c r="FC105" s="567"/>
      <c r="FD105" s="567"/>
      <c r="FE105" s="567"/>
      <c r="FF105" s="567"/>
      <c r="FG105" s="567"/>
      <c r="FH105" s="567"/>
      <c r="FI105" s="567"/>
      <c r="FJ105" s="567"/>
      <c r="FK105" s="567"/>
      <c r="FL105" s="567"/>
      <c r="FM105" s="567"/>
      <c r="FN105" s="567"/>
      <c r="FO105" s="567"/>
      <c r="FP105" s="567"/>
      <c r="FQ105" s="567"/>
      <c r="FR105" s="567"/>
      <c r="FS105" s="567"/>
      <c r="FT105" s="567"/>
      <c r="FU105" s="567"/>
      <c r="FV105" s="567"/>
      <c r="FW105" s="567"/>
      <c r="FX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  <c r="BW106" s="567"/>
      <c r="BX106" s="567"/>
      <c r="BY106" s="567"/>
      <c r="BZ106" s="567"/>
      <c r="CA106" s="567"/>
      <c r="CB106" s="567"/>
      <c r="CC106" s="567"/>
      <c r="CD106" s="567"/>
      <c r="CE106" s="567"/>
      <c r="CF106" s="567"/>
      <c r="CG106" s="567"/>
      <c r="CH106" s="567"/>
      <c r="CI106" s="567"/>
      <c r="CJ106" s="567"/>
      <c r="CK106" s="567"/>
      <c r="CL106" s="567"/>
      <c r="CM106" s="567"/>
      <c r="CN106" s="567"/>
      <c r="CO106" s="567"/>
      <c r="CP106" s="567"/>
      <c r="CQ106" s="567"/>
      <c r="CR106" s="567"/>
      <c r="CS106" s="567"/>
      <c r="CT106" s="567"/>
      <c r="CU106" s="567"/>
      <c r="CV106" s="567"/>
      <c r="CW106" s="567"/>
      <c r="CX106" s="567"/>
      <c r="CY106" s="567"/>
      <c r="CZ106" s="567"/>
      <c r="DA106" s="567"/>
      <c r="DB106" s="567"/>
      <c r="DC106" s="567"/>
      <c r="DD106" s="567"/>
      <c r="DE106" s="567"/>
      <c r="DF106" s="567"/>
      <c r="DG106" s="567"/>
      <c r="DH106" s="567"/>
      <c r="DI106" s="567"/>
      <c r="DJ106" s="567"/>
      <c r="DK106" s="567"/>
      <c r="DL106" s="567"/>
      <c r="DM106" s="567"/>
      <c r="DN106" s="567"/>
      <c r="DO106" s="567"/>
      <c r="DP106" s="567"/>
      <c r="DQ106" s="567"/>
      <c r="DR106" s="567"/>
      <c r="DS106" s="567"/>
      <c r="DT106" s="567"/>
      <c r="DU106" s="567"/>
      <c r="DV106" s="567"/>
      <c r="DW106" s="567"/>
      <c r="DX106" s="567"/>
      <c r="DY106" s="567"/>
      <c r="DZ106" s="567"/>
      <c r="EA106" s="567"/>
      <c r="EB106" s="567"/>
      <c r="EC106" s="567"/>
      <c r="ED106" s="567"/>
      <c r="EE106" s="567"/>
      <c r="EF106" s="567"/>
      <c r="EG106" s="567"/>
      <c r="EH106" s="567"/>
      <c r="EI106" s="567"/>
      <c r="EJ106" s="567"/>
      <c r="EK106" s="567"/>
      <c r="EL106" s="567"/>
      <c r="EM106" s="567"/>
      <c r="EN106" s="567"/>
      <c r="EO106" s="567"/>
      <c r="EP106" s="567"/>
      <c r="EQ106" s="567"/>
      <c r="ER106" s="567"/>
      <c r="ES106" s="567"/>
      <c r="ET106" s="567"/>
      <c r="EU106" s="567"/>
      <c r="EV106" s="567"/>
      <c r="EW106" s="567"/>
      <c r="EX106" s="567"/>
      <c r="EY106" s="567"/>
      <c r="EZ106" s="567"/>
      <c r="FA106" s="567"/>
      <c r="FB106" s="567"/>
      <c r="FC106" s="567"/>
      <c r="FD106" s="567"/>
      <c r="FE106" s="567"/>
      <c r="FF106" s="567"/>
      <c r="FG106" s="567"/>
      <c r="FH106" s="567"/>
      <c r="FI106" s="567"/>
      <c r="FJ106" s="567"/>
      <c r="FK106" s="567"/>
      <c r="FL106" s="567"/>
      <c r="FM106" s="567"/>
      <c r="FN106" s="567"/>
      <c r="FO106" s="567"/>
      <c r="FP106" s="567"/>
      <c r="FQ106" s="567"/>
      <c r="FR106" s="567"/>
      <c r="FS106" s="567"/>
      <c r="FT106" s="567"/>
      <c r="FU106" s="567"/>
      <c r="FV106" s="567"/>
      <c r="FW106" s="567"/>
      <c r="FX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  <c r="BW107" s="567"/>
      <c r="BX107" s="567"/>
      <c r="BY107" s="567"/>
      <c r="BZ107" s="567"/>
      <c r="CA107" s="567"/>
      <c r="CB107" s="567"/>
      <c r="CC107" s="567"/>
      <c r="CD107" s="567"/>
      <c r="CE107" s="567"/>
      <c r="CF107" s="567"/>
      <c r="CG107" s="567"/>
      <c r="CH107" s="567"/>
      <c r="CI107" s="567"/>
      <c r="CJ107" s="567"/>
      <c r="CK107" s="567"/>
      <c r="CL107" s="567"/>
      <c r="CM107" s="567"/>
      <c r="CN107" s="567"/>
      <c r="CO107" s="567"/>
      <c r="CP107" s="567"/>
      <c r="CQ107" s="567"/>
      <c r="CR107" s="567"/>
      <c r="CS107" s="567"/>
      <c r="CT107" s="567"/>
      <c r="CU107" s="567"/>
      <c r="CV107" s="567"/>
      <c r="CW107" s="567"/>
      <c r="CX107" s="567"/>
      <c r="CY107" s="567"/>
      <c r="CZ107" s="567"/>
      <c r="DA107" s="567"/>
      <c r="DB107" s="567"/>
      <c r="DC107" s="567"/>
      <c r="DD107" s="567"/>
      <c r="DE107" s="567"/>
      <c r="DF107" s="567"/>
      <c r="DG107" s="567"/>
      <c r="DH107" s="567"/>
      <c r="DI107" s="567"/>
      <c r="DJ107" s="567"/>
      <c r="DK107" s="567"/>
      <c r="DL107" s="567"/>
      <c r="DM107" s="567"/>
      <c r="DN107" s="567"/>
      <c r="DO107" s="567"/>
      <c r="DP107" s="567"/>
      <c r="DQ107" s="567"/>
      <c r="DR107" s="567"/>
      <c r="DS107" s="567"/>
      <c r="DT107" s="567"/>
      <c r="DU107" s="567"/>
      <c r="DV107" s="567"/>
      <c r="DW107" s="567"/>
      <c r="DX107" s="567"/>
      <c r="DY107" s="567"/>
      <c r="DZ107" s="567"/>
      <c r="EA107" s="567"/>
      <c r="EB107" s="567"/>
      <c r="EC107" s="567"/>
      <c r="ED107" s="567"/>
      <c r="EE107" s="567"/>
      <c r="EF107" s="567"/>
      <c r="EG107" s="567"/>
      <c r="EH107" s="567"/>
      <c r="EI107" s="567"/>
      <c r="EJ107" s="567"/>
      <c r="EK107" s="567"/>
      <c r="EL107" s="567"/>
      <c r="EM107" s="567"/>
      <c r="EN107" s="567"/>
      <c r="EO107" s="567"/>
      <c r="EP107" s="567"/>
      <c r="EQ107" s="567"/>
      <c r="ER107" s="567"/>
      <c r="ES107" s="567"/>
      <c r="ET107" s="567"/>
      <c r="EU107" s="567"/>
      <c r="EV107" s="567"/>
      <c r="EW107" s="567"/>
      <c r="EX107" s="567"/>
      <c r="EY107" s="567"/>
      <c r="EZ107" s="567"/>
      <c r="FA107" s="567"/>
      <c r="FB107" s="567"/>
      <c r="FC107" s="567"/>
      <c r="FD107" s="567"/>
      <c r="FE107" s="567"/>
      <c r="FF107" s="567"/>
      <c r="FG107" s="567"/>
      <c r="FH107" s="567"/>
      <c r="FI107" s="567"/>
      <c r="FJ107" s="567"/>
      <c r="FK107" s="567"/>
      <c r="FL107" s="567"/>
      <c r="FM107" s="567"/>
      <c r="FN107" s="567"/>
      <c r="FO107" s="567"/>
      <c r="FP107" s="567"/>
      <c r="FQ107" s="567"/>
      <c r="FR107" s="567"/>
      <c r="FS107" s="567"/>
      <c r="FT107" s="567"/>
      <c r="FU107" s="567"/>
      <c r="FV107" s="567"/>
      <c r="FW107" s="567"/>
      <c r="FX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  <c r="BW108" s="567"/>
      <c r="BX108" s="567"/>
      <c r="BY108" s="567"/>
      <c r="BZ108" s="567"/>
      <c r="CA108" s="567"/>
      <c r="CB108" s="567"/>
      <c r="CC108" s="567"/>
      <c r="CD108" s="567"/>
      <c r="CE108" s="567"/>
      <c r="CF108" s="567"/>
      <c r="CG108" s="567"/>
      <c r="CH108" s="567"/>
      <c r="CI108" s="567"/>
      <c r="CJ108" s="567"/>
      <c r="CK108" s="567"/>
      <c r="CL108" s="567"/>
      <c r="CM108" s="567"/>
      <c r="CN108" s="567"/>
      <c r="CO108" s="567"/>
      <c r="CP108" s="567"/>
      <c r="CQ108" s="567"/>
      <c r="CR108" s="567"/>
      <c r="CS108" s="567"/>
      <c r="CT108" s="567"/>
      <c r="CU108" s="567"/>
      <c r="CV108" s="567"/>
      <c r="CW108" s="567"/>
      <c r="CX108" s="567"/>
      <c r="CY108" s="567"/>
      <c r="CZ108" s="567"/>
      <c r="DA108" s="567"/>
      <c r="DB108" s="567"/>
      <c r="DC108" s="567"/>
      <c r="DD108" s="567"/>
      <c r="DE108" s="567"/>
      <c r="DF108" s="567"/>
      <c r="DG108" s="567"/>
      <c r="DH108" s="567"/>
      <c r="DI108" s="567"/>
      <c r="DJ108" s="567"/>
      <c r="DK108" s="567"/>
      <c r="DL108" s="567"/>
      <c r="DM108" s="567"/>
      <c r="DN108" s="567"/>
      <c r="DO108" s="567"/>
      <c r="DP108" s="567"/>
      <c r="DQ108" s="567"/>
      <c r="DR108" s="567"/>
      <c r="DS108" s="567"/>
      <c r="DT108" s="567"/>
      <c r="DU108" s="567"/>
      <c r="DV108" s="567"/>
      <c r="DW108" s="567"/>
      <c r="DX108" s="567"/>
      <c r="DY108" s="567"/>
      <c r="DZ108" s="567"/>
      <c r="EA108" s="567"/>
      <c r="EB108" s="567"/>
      <c r="EC108" s="567"/>
      <c r="ED108" s="567"/>
      <c r="EE108" s="567"/>
      <c r="EF108" s="567"/>
      <c r="EG108" s="567"/>
      <c r="EH108" s="567"/>
      <c r="EI108" s="567"/>
      <c r="EJ108" s="567"/>
      <c r="EK108" s="567"/>
      <c r="EL108" s="567"/>
      <c r="EM108" s="567"/>
      <c r="EN108" s="567"/>
      <c r="EO108" s="567"/>
      <c r="EP108" s="567"/>
      <c r="EQ108" s="567"/>
      <c r="ER108" s="567"/>
      <c r="ES108" s="567"/>
      <c r="ET108" s="567"/>
      <c r="EU108" s="567"/>
      <c r="EV108" s="567"/>
      <c r="EW108" s="567"/>
      <c r="EX108" s="567"/>
      <c r="EY108" s="567"/>
      <c r="EZ108" s="567"/>
      <c r="FA108" s="567"/>
      <c r="FB108" s="567"/>
      <c r="FC108" s="567"/>
      <c r="FD108" s="567"/>
      <c r="FE108" s="567"/>
      <c r="FF108" s="567"/>
      <c r="FG108" s="567"/>
      <c r="FH108" s="567"/>
      <c r="FI108" s="567"/>
      <c r="FJ108" s="567"/>
      <c r="FK108" s="567"/>
      <c r="FL108" s="567"/>
      <c r="FM108" s="567"/>
      <c r="FN108" s="567"/>
      <c r="FO108" s="567"/>
      <c r="FP108" s="567"/>
      <c r="FQ108" s="567"/>
      <c r="FR108" s="567"/>
      <c r="FS108" s="567"/>
      <c r="FT108" s="567"/>
      <c r="FU108" s="567"/>
      <c r="FV108" s="567"/>
      <c r="FW108" s="567"/>
      <c r="FX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  <c r="BW109" s="567"/>
      <c r="BX109" s="567"/>
      <c r="BY109" s="567"/>
      <c r="BZ109" s="567"/>
      <c r="CA109" s="567"/>
      <c r="CB109" s="567"/>
      <c r="CC109" s="567"/>
      <c r="CD109" s="567"/>
      <c r="CE109" s="567"/>
      <c r="CF109" s="567"/>
      <c r="CG109" s="567"/>
      <c r="CH109" s="567"/>
      <c r="CI109" s="567"/>
      <c r="CJ109" s="567"/>
      <c r="CK109" s="567"/>
      <c r="CL109" s="567"/>
      <c r="CM109" s="567"/>
      <c r="CN109" s="567"/>
      <c r="CO109" s="567"/>
      <c r="CP109" s="567"/>
      <c r="CQ109" s="567"/>
      <c r="CR109" s="567"/>
      <c r="CS109" s="567"/>
      <c r="CT109" s="567"/>
      <c r="CU109" s="567"/>
      <c r="CV109" s="567"/>
      <c r="CW109" s="567"/>
      <c r="CX109" s="567"/>
      <c r="CY109" s="567"/>
      <c r="CZ109" s="567"/>
      <c r="DA109" s="567"/>
      <c r="DB109" s="567"/>
      <c r="DC109" s="567"/>
      <c r="DD109" s="567"/>
      <c r="DE109" s="567"/>
      <c r="DF109" s="567"/>
      <c r="DG109" s="567"/>
      <c r="DH109" s="567"/>
      <c r="DI109" s="567"/>
      <c r="DJ109" s="567"/>
      <c r="DK109" s="567"/>
      <c r="DL109" s="567"/>
      <c r="DM109" s="567"/>
      <c r="DN109" s="567"/>
      <c r="DO109" s="567"/>
      <c r="DP109" s="567"/>
      <c r="DQ109" s="567"/>
      <c r="DR109" s="567"/>
      <c r="DS109" s="567"/>
      <c r="DT109" s="567"/>
      <c r="DU109" s="567"/>
      <c r="DV109" s="567"/>
      <c r="DW109" s="567"/>
      <c r="DX109" s="567"/>
      <c r="DY109" s="567"/>
      <c r="DZ109" s="567"/>
      <c r="EA109" s="567"/>
      <c r="EB109" s="567"/>
      <c r="EC109" s="567"/>
      <c r="ED109" s="567"/>
      <c r="EE109" s="567"/>
      <c r="EF109" s="567"/>
      <c r="EG109" s="567"/>
      <c r="EH109" s="567"/>
      <c r="EI109" s="567"/>
      <c r="EJ109" s="567"/>
      <c r="EK109" s="567"/>
      <c r="EL109" s="567"/>
      <c r="EM109" s="567"/>
      <c r="EN109" s="567"/>
      <c r="EO109" s="567"/>
      <c r="EP109" s="567"/>
      <c r="EQ109" s="567"/>
      <c r="ER109" s="567"/>
      <c r="ES109" s="567"/>
      <c r="ET109" s="567"/>
      <c r="EU109" s="567"/>
      <c r="EV109" s="567"/>
      <c r="EW109" s="567"/>
      <c r="EX109" s="567"/>
      <c r="EY109" s="567"/>
      <c r="EZ109" s="567"/>
      <c r="FA109" s="567"/>
      <c r="FB109" s="567"/>
      <c r="FC109" s="567"/>
      <c r="FD109" s="567"/>
      <c r="FE109" s="567"/>
      <c r="FF109" s="567"/>
      <c r="FG109" s="567"/>
      <c r="FH109" s="567"/>
      <c r="FI109" s="567"/>
      <c r="FJ109" s="567"/>
      <c r="FK109" s="567"/>
      <c r="FL109" s="567"/>
      <c r="FM109" s="567"/>
      <c r="FN109" s="567"/>
      <c r="FO109" s="567"/>
      <c r="FP109" s="567"/>
      <c r="FQ109" s="567"/>
      <c r="FR109" s="567"/>
      <c r="FS109" s="567"/>
      <c r="FT109" s="567"/>
      <c r="FU109" s="567"/>
      <c r="FV109" s="567"/>
      <c r="FW109" s="567"/>
      <c r="FX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  <c r="BW110" s="567"/>
      <c r="BX110" s="567"/>
      <c r="BY110" s="567"/>
      <c r="BZ110" s="567"/>
      <c r="CA110" s="567"/>
      <c r="CB110" s="567"/>
      <c r="CC110" s="567"/>
      <c r="CD110" s="567"/>
      <c r="CE110" s="567"/>
      <c r="CF110" s="567"/>
      <c r="CG110" s="567"/>
      <c r="CH110" s="567"/>
      <c r="CI110" s="567"/>
      <c r="CJ110" s="567"/>
      <c r="CK110" s="567"/>
      <c r="CL110" s="567"/>
      <c r="CM110" s="567"/>
      <c r="CN110" s="567"/>
      <c r="CO110" s="567"/>
      <c r="CP110" s="567"/>
      <c r="CQ110" s="567"/>
      <c r="CR110" s="567"/>
      <c r="CS110" s="567"/>
      <c r="CT110" s="567"/>
      <c r="CU110" s="567"/>
      <c r="CV110" s="567"/>
      <c r="CW110" s="567"/>
      <c r="CX110" s="567"/>
      <c r="CY110" s="567"/>
      <c r="CZ110" s="567"/>
      <c r="DA110" s="567"/>
      <c r="DB110" s="567"/>
      <c r="DC110" s="567"/>
      <c r="DD110" s="567"/>
      <c r="DE110" s="567"/>
      <c r="DF110" s="567"/>
      <c r="DG110" s="567"/>
      <c r="DH110" s="567"/>
      <c r="DI110" s="567"/>
      <c r="DJ110" s="567"/>
      <c r="DK110" s="567"/>
      <c r="DL110" s="567"/>
      <c r="DM110" s="567"/>
      <c r="DN110" s="567"/>
      <c r="DO110" s="567"/>
      <c r="DP110" s="567"/>
      <c r="DQ110" s="567"/>
      <c r="DR110" s="567"/>
      <c r="DS110" s="567"/>
      <c r="DT110" s="567"/>
      <c r="DU110" s="567"/>
      <c r="DV110" s="567"/>
      <c r="DW110" s="567"/>
      <c r="DX110" s="567"/>
      <c r="DY110" s="567"/>
      <c r="DZ110" s="567"/>
      <c r="EA110" s="567"/>
      <c r="EB110" s="567"/>
      <c r="EC110" s="567"/>
      <c r="ED110" s="567"/>
      <c r="EE110" s="567"/>
      <c r="EF110" s="567"/>
      <c r="EG110" s="567"/>
      <c r="EH110" s="567"/>
      <c r="EI110" s="567"/>
      <c r="EJ110" s="567"/>
      <c r="EK110" s="567"/>
      <c r="EL110" s="567"/>
      <c r="EM110" s="567"/>
      <c r="EN110" s="567"/>
      <c r="EO110" s="567"/>
      <c r="EP110" s="567"/>
      <c r="EQ110" s="567"/>
      <c r="ER110" s="567"/>
      <c r="ES110" s="567"/>
      <c r="ET110" s="567"/>
      <c r="EU110" s="567"/>
      <c r="EV110" s="567"/>
      <c r="EW110" s="567"/>
      <c r="EX110" s="567"/>
      <c r="EY110" s="567"/>
      <c r="EZ110" s="567"/>
      <c r="FA110" s="567"/>
      <c r="FB110" s="567"/>
      <c r="FC110" s="567"/>
      <c r="FD110" s="567"/>
      <c r="FE110" s="567"/>
      <c r="FF110" s="567"/>
      <c r="FG110" s="567"/>
      <c r="FH110" s="567"/>
      <c r="FI110" s="567"/>
      <c r="FJ110" s="567"/>
      <c r="FK110" s="567"/>
      <c r="FL110" s="567"/>
      <c r="FM110" s="567"/>
      <c r="FN110" s="567"/>
      <c r="FO110" s="567"/>
      <c r="FP110" s="567"/>
      <c r="FQ110" s="567"/>
      <c r="FR110" s="567"/>
      <c r="FS110" s="567"/>
      <c r="FT110" s="567"/>
      <c r="FU110" s="567"/>
      <c r="FV110" s="567"/>
      <c r="FW110" s="567"/>
      <c r="FX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  <c r="BW111" s="567"/>
      <c r="BX111" s="567"/>
      <c r="BY111" s="567"/>
      <c r="BZ111" s="567"/>
      <c r="CA111" s="567"/>
      <c r="CB111" s="567"/>
      <c r="CC111" s="567"/>
      <c r="CD111" s="567"/>
      <c r="CE111" s="567"/>
      <c r="CF111" s="567"/>
      <c r="CG111" s="567"/>
      <c r="CH111" s="567"/>
      <c r="CI111" s="567"/>
      <c r="CJ111" s="567"/>
      <c r="CK111" s="567"/>
      <c r="CL111" s="567"/>
      <c r="CM111" s="567"/>
      <c r="CN111" s="567"/>
      <c r="CO111" s="567"/>
      <c r="CP111" s="567"/>
      <c r="CQ111" s="567"/>
      <c r="CR111" s="567"/>
      <c r="CS111" s="567"/>
      <c r="CT111" s="567"/>
      <c r="CU111" s="567"/>
      <c r="CV111" s="567"/>
      <c r="CW111" s="567"/>
      <c r="CX111" s="567"/>
      <c r="CY111" s="567"/>
      <c r="CZ111" s="567"/>
      <c r="DA111" s="567"/>
      <c r="DB111" s="567"/>
      <c r="DC111" s="567"/>
      <c r="DD111" s="567"/>
      <c r="DE111" s="567"/>
      <c r="DF111" s="567"/>
      <c r="DG111" s="567"/>
      <c r="DH111" s="567"/>
      <c r="DI111" s="567"/>
      <c r="DJ111" s="567"/>
      <c r="DK111" s="567"/>
      <c r="DL111" s="567"/>
      <c r="DM111" s="567"/>
      <c r="DN111" s="567"/>
      <c r="DO111" s="567"/>
      <c r="DP111" s="567"/>
      <c r="DQ111" s="567"/>
      <c r="DR111" s="567"/>
      <c r="DS111" s="567"/>
      <c r="DT111" s="567"/>
      <c r="DU111" s="567"/>
      <c r="DV111" s="567"/>
      <c r="DW111" s="567"/>
      <c r="DX111" s="567"/>
      <c r="DY111" s="567"/>
      <c r="DZ111" s="567"/>
      <c r="EA111" s="567"/>
      <c r="EB111" s="567"/>
      <c r="EC111" s="567"/>
      <c r="ED111" s="567"/>
      <c r="EE111" s="567"/>
      <c r="EF111" s="567"/>
      <c r="EG111" s="567"/>
      <c r="EH111" s="567"/>
      <c r="EI111" s="567"/>
      <c r="EJ111" s="567"/>
      <c r="EK111" s="567"/>
      <c r="EL111" s="567"/>
      <c r="EM111" s="567"/>
      <c r="EN111" s="567"/>
      <c r="EO111" s="567"/>
      <c r="EP111" s="567"/>
      <c r="EQ111" s="567"/>
      <c r="ER111" s="567"/>
      <c r="ES111" s="567"/>
      <c r="ET111" s="567"/>
      <c r="EU111" s="567"/>
      <c r="EV111" s="567"/>
      <c r="EW111" s="567"/>
      <c r="EX111" s="567"/>
      <c r="EY111" s="567"/>
      <c r="EZ111" s="567"/>
      <c r="FA111" s="567"/>
      <c r="FB111" s="567"/>
      <c r="FC111" s="567"/>
      <c r="FD111" s="567"/>
      <c r="FE111" s="567"/>
      <c r="FF111" s="567"/>
      <c r="FG111" s="567"/>
      <c r="FH111" s="567"/>
      <c r="FI111" s="567"/>
      <c r="FJ111" s="567"/>
      <c r="FK111" s="567"/>
      <c r="FL111" s="567"/>
      <c r="FM111" s="567"/>
      <c r="FN111" s="567"/>
      <c r="FO111" s="567"/>
      <c r="FP111" s="567"/>
      <c r="FQ111" s="567"/>
      <c r="FR111" s="567"/>
      <c r="FS111" s="567"/>
      <c r="FT111" s="567"/>
      <c r="FU111" s="567"/>
      <c r="FV111" s="567"/>
      <c r="FW111" s="567"/>
      <c r="FX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  <c r="BW112" s="567"/>
      <c r="BX112" s="567"/>
      <c r="BY112" s="567"/>
      <c r="BZ112" s="567"/>
      <c r="CA112" s="567"/>
      <c r="CB112" s="567"/>
      <c r="CC112" s="567"/>
      <c r="CD112" s="567"/>
      <c r="CE112" s="567"/>
      <c r="CF112" s="567"/>
      <c r="CG112" s="567"/>
      <c r="CH112" s="567"/>
      <c r="CI112" s="567"/>
      <c r="CJ112" s="567"/>
      <c r="CK112" s="567"/>
      <c r="CL112" s="567"/>
      <c r="CM112" s="567"/>
      <c r="CN112" s="567"/>
      <c r="CO112" s="567"/>
      <c r="CP112" s="567"/>
      <c r="CQ112" s="567"/>
      <c r="CR112" s="567"/>
      <c r="CS112" s="567"/>
      <c r="CT112" s="567"/>
      <c r="CU112" s="567"/>
      <c r="CV112" s="567"/>
      <c r="CW112" s="567"/>
      <c r="CX112" s="567"/>
      <c r="CY112" s="567"/>
      <c r="CZ112" s="567"/>
      <c r="DA112" s="567"/>
      <c r="DB112" s="567"/>
      <c r="DC112" s="567"/>
      <c r="DD112" s="567"/>
      <c r="DE112" s="567"/>
      <c r="DF112" s="567"/>
      <c r="DG112" s="567"/>
      <c r="DH112" s="567"/>
      <c r="DI112" s="567"/>
      <c r="DJ112" s="567"/>
      <c r="DK112" s="567"/>
      <c r="DL112" s="567"/>
      <c r="DM112" s="567"/>
      <c r="DN112" s="567"/>
      <c r="DO112" s="567"/>
      <c r="DP112" s="567"/>
      <c r="DQ112" s="567"/>
      <c r="DR112" s="567"/>
      <c r="DS112" s="567"/>
      <c r="DT112" s="567"/>
      <c r="DU112" s="567"/>
      <c r="DV112" s="567"/>
      <c r="DW112" s="567"/>
      <c r="DX112" s="567"/>
      <c r="DY112" s="567"/>
      <c r="DZ112" s="567"/>
      <c r="EA112" s="567"/>
      <c r="EB112" s="567"/>
      <c r="EC112" s="567"/>
      <c r="ED112" s="567"/>
      <c r="EE112" s="567"/>
      <c r="EF112" s="567"/>
      <c r="EG112" s="567"/>
      <c r="EH112" s="567"/>
      <c r="EI112" s="567"/>
      <c r="EJ112" s="567"/>
      <c r="EK112" s="567"/>
      <c r="EL112" s="567"/>
      <c r="EM112" s="567"/>
      <c r="EN112" s="567"/>
      <c r="EO112" s="567"/>
      <c r="EP112" s="567"/>
      <c r="EQ112" s="567"/>
      <c r="ER112" s="567"/>
      <c r="ES112" s="567"/>
      <c r="ET112" s="567"/>
      <c r="EU112" s="567"/>
      <c r="EV112" s="567"/>
      <c r="EW112" s="567"/>
      <c r="EX112" s="567"/>
      <c r="EY112" s="567"/>
      <c r="EZ112" s="567"/>
      <c r="FA112" s="567"/>
      <c r="FB112" s="567"/>
      <c r="FC112" s="567"/>
      <c r="FD112" s="567"/>
      <c r="FE112" s="567"/>
      <c r="FF112" s="567"/>
      <c r="FG112" s="567"/>
      <c r="FH112" s="567"/>
      <c r="FI112" s="567"/>
      <c r="FJ112" s="567"/>
      <c r="FK112" s="567"/>
      <c r="FL112" s="567"/>
      <c r="FM112" s="567"/>
      <c r="FN112" s="567"/>
      <c r="FO112" s="567"/>
      <c r="FP112" s="567"/>
      <c r="FQ112" s="567"/>
      <c r="FR112" s="567"/>
      <c r="FS112" s="567"/>
      <c r="FT112" s="567"/>
      <c r="FU112" s="567"/>
      <c r="FV112" s="567"/>
      <c r="FW112" s="567"/>
      <c r="FX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  <c r="BW113" s="567"/>
      <c r="BX113" s="567"/>
      <c r="BY113" s="567"/>
      <c r="BZ113" s="567"/>
      <c r="CA113" s="567"/>
      <c r="CB113" s="567"/>
      <c r="CC113" s="567"/>
      <c r="CD113" s="567"/>
      <c r="CE113" s="567"/>
      <c r="CF113" s="567"/>
      <c r="CG113" s="567"/>
      <c r="CH113" s="567"/>
      <c r="CI113" s="567"/>
      <c r="CJ113" s="567"/>
      <c r="CK113" s="567"/>
      <c r="CL113" s="567"/>
      <c r="CM113" s="567"/>
      <c r="CN113" s="567"/>
      <c r="CO113" s="567"/>
      <c r="CP113" s="567"/>
      <c r="CQ113" s="567"/>
      <c r="CR113" s="567"/>
      <c r="CS113" s="567"/>
      <c r="CT113" s="567"/>
      <c r="CU113" s="567"/>
      <c r="CV113" s="567"/>
      <c r="CW113" s="567"/>
      <c r="CX113" s="567"/>
      <c r="CY113" s="567"/>
      <c r="CZ113" s="567"/>
      <c r="DA113" s="567"/>
      <c r="DB113" s="567"/>
      <c r="DC113" s="567"/>
      <c r="DD113" s="567"/>
      <c r="DE113" s="567"/>
      <c r="DF113" s="567"/>
      <c r="DG113" s="567"/>
      <c r="DH113" s="567"/>
      <c r="DI113" s="567"/>
      <c r="DJ113" s="567"/>
      <c r="DK113" s="567"/>
      <c r="DL113" s="567"/>
      <c r="DM113" s="567"/>
      <c r="DN113" s="567"/>
      <c r="DO113" s="567"/>
      <c r="DP113" s="567"/>
      <c r="DQ113" s="567"/>
      <c r="DR113" s="567"/>
      <c r="DS113" s="567"/>
      <c r="DT113" s="567"/>
      <c r="DU113" s="567"/>
      <c r="DV113" s="567"/>
      <c r="DW113" s="567"/>
      <c r="DX113" s="567"/>
      <c r="DY113" s="567"/>
      <c r="DZ113" s="567"/>
      <c r="EA113" s="567"/>
      <c r="EB113" s="567"/>
      <c r="EC113" s="567"/>
      <c r="ED113" s="567"/>
      <c r="EE113" s="567"/>
      <c r="EF113" s="567"/>
      <c r="EG113" s="567"/>
      <c r="EH113" s="567"/>
      <c r="EI113" s="567"/>
      <c r="EJ113" s="567"/>
      <c r="EK113" s="567"/>
      <c r="EL113" s="567"/>
      <c r="EM113" s="567"/>
      <c r="EN113" s="567"/>
      <c r="EO113" s="567"/>
      <c r="EP113" s="567"/>
      <c r="EQ113" s="567"/>
      <c r="ER113" s="567"/>
      <c r="ES113" s="567"/>
      <c r="ET113" s="567"/>
      <c r="EU113" s="567"/>
      <c r="EV113" s="567"/>
      <c r="EW113" s="567"/>
      <c r="EX113" s="567"/>
      <c r="EY113" s="567"/>
      <c r="EZ113" s="567"/>
      <c r="FA113" s="567"/>
      <c r="FB113" s="567"/>
      <c r="FC113" s="567"/>
      <c r="FD113" s="567"/>
      <c r="FE113" s="567"/>
      <c r="FF113" s="567"/>
      <c r="FG113" s="567"/>
      <c r="FH113" s="567"/>
      <c r="FI113" s="567"/>
      <c r="FJ113" s="567"/>
      <c r="FK113" s="567"/>
      <c r="FL113" s="567"/>
      <c r="FM113" s="567"/>
      <c r="FN113" s="567"/>
      <c r="FO113" s="567"/>
      <c r="FP113" s="567"/>
      <c r="FQ113" s="567"/>
      <c r="FR113" s="567"/>
      <c r="FS113" s="567"/>
      <c r="FT113" s="567"/>
      <c r="FU113" s="567"/>
      <c r="FV113" s="567"/>
      <c r="FW113" s="567"/>
      <c r="FX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  <c r="BW114" s="567"/>
      <c r="BX114" s="567"/>
      <c r="BY114" s="567"/>
      <c r="BZ114" s="567"/>
      <c r="CA114" s="567"/>
      <c r="CB114" s="567"/>
      <c r="CC114" s="567"/>
      <c r="CD114" s="567"/>
      <c r="CE114" s="567"/>
      <c r="CF114" s="567"/>
      <c r="CG114" s="567"/>
      <c r="CH114" s="567"/>
      <c r="CI114" s="567"/>
      <c r="CJ114" s="567"/>
      <c r="CK114" s="567"/>
      <c r="CL114" s="567"/>
      <c r="CM114" s="567"/>
      <c r="CN114" s="567"/>
      <c r="CO114" s="567"/>
      <c r="CP114" s="567"/>
      <c r="CQ114" s="567"/>
      <c r="CR114" s="567"/>
      <c r="CS114" s="567"/>
      <c r="CT114" s="567"/>
      <c r="CU114" s="567"/>
      <c r="CV114" s="567"/>
      <c r="CW114" s="567"/>
      <c r="CX114" s="567"/>
      <c r="CY114" s="567"/>
      <c r="CZ114" s="567"/>
      <c r="DA114" s="567"/>
      <c r="DB114" s="567"/>
      <c r="DC114" s="567"/>
      <c r="DD114" s="567"/>
      <c r="DE114" s="567"/>
      <c r="DF114" s="567"/>
      <c r="DG114" s="567"/>
      <c r="DH114" s="567"/>
      <c r="DI114" s="567"/>
      <c r="DJ114" s="567"/>
      <c r="DK114" s="567"/>
      <c r="DL114" s="567"/>
      <c r="DM114" s="567"/>
      <c r="DN114" s="567"/>
      <c r="DO114" s="567"/>
      <c r="DP114" s="567"/>
      <c r="DQ114" s="567"/>
      <c r="DR114" s="567"/>
      <c r="DS114" s="567"/>
      <c r="DT114" s="567"/>
      <c r="DU114" s="567"/>
      <c r="DV114" s="567"/>
      <c r="DW114" s="567"/>
      <c r="DX114" s="567"/>
      <c r="DY114" s="567"/>
      <c r="DZ114" s="567"/>
      <c r="EA114" s="567"/>
      <c r="EB114" s="567"/>
      <c r="EC114" s="567"/>
      <c r="ED114" s="567"/>
      <c r="EE114" s="567"/>
      <c r="EF114" s="567"/>
      <c r="EG114" s="567"/>
      <c r="EH114" s="567"/>
      <c r="EI114" s="567"/>
      <c r="EJ114" s="567"/>
      <c r="EK114" s="567"/>
      <c r="EL114" s="567"/>
      <c r="EM114" s="567"/>
      <c r="EN114" s="567"/>
      <c r="EO114" s="567"/>
      <c r="EP114" s="567"/>
      <c r="EQ114" s="567"/>
      <c r="ER114" s="567"/>
      <c r="ES114" s="567"/>
      <c r="ET114" s="567"/>
      <c r="EU114" s="567"/>
      <c r="EV114" s="567"/>
      <c r="EW114" s="567"/>
      <c r="EX114" s="567"/>
      <c r="EY114" s="567"/>
      <c r="EZ114" s="567"/>
      <c r="FA114" s="567"/>
      <c r="FB114" s="567"/>
      <c r="FC114" s="567"/>
      <c r="FD114" s="567"/>
      <c r="FE114" s="567"/>
      <c r="FF114" s="567"/>
      <c r="FG114" s="567"/>
      <c r="FH114" s="567"/>
      <c r="FI114" s="567"/>
      <c r="FJ114" s="567"/>
      <c r="FK114" s="567"/>
      <c r="FL114" s="567"/>
      <c r="FM114" s="567"/>
      <c r="FN114" s="567"/>
      <c r="FO114" s="567"/>
      <c r="FP114" s="567"/>
      <c r="FQ114" s="567"/>
      <c r="FR114" s="567"/>
      <c r="FS114" s="567"/>
      <c r="FT114" s="567"/>
      <c r="FU114" s="567"/>
      <c r="FV114" s="567"/>
      <c r="FW114" s="567"/>
      <c r="FX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  <c r="BW115" s="567"/>
      <c r="BX115" s="567"/>
      <c r="BY115" s="567"/>
      <c r="BZ115" s="567"/>
      <c r="CA115" s="567"/>
      <c r="CB115" s="567"/>
      <c r="CC115" s="567"/>
      <c r="CD115" s="567"/>
      <c r="CE115" s="567"/>
      <c r="CF115" s="567"/>
      <c r="CG115" s="567"/>
      <c r="CH115" s="567"/>
      <c r="CI115" s="567"/>
      <c r="CJ115" s="567"/>
      <c r="CK115" s="567"/>
      <c r="CL115" s="567"/>
      <c r="CM115" s="567"/>
      <c r="CN115" s="567"/>
      <c r="CO115" s="567"/>
      <c r="CP115" s="567"/>
      <c r="CQ115" s="567"/>
      <c r="CR115" s="567"/>
      <c r="CS115" s="567"/>
      <c r="CT115" s="567"/>
      <c r="CU115" s="567"/>
      <c r="CV115" s="567"/>
      <c r="CW115" s="567"/>
      <c r="CX115" s="567"/>
      <c r="CY115" s="567"/>
      <c r="CZ115" s="567"/>
      <c r="DA115" s="567"/>
      <c r="DB115" s="567"/>
      <c r="DC115" s="567"/>
      <c r="DD115" s="567"/>
      <c r="DE115" s="567"/>
      <c r="DF115" s="567"/>
      <c r="DG115" s="567"/>
      <c r="DH115" s="567"/>
      <c r="DI115" s="567"/>
      <c r="DJ115" s="567"/>
      <c r="DK115" s="567"/>
      <c r="DL115" s="567"/>
      <c r="DM115" s="567"/>
      <c r="DN115" s="567"/>
      <c r="DO115" s="567"/>
      <c r="DP115" s="567"/>
      <c r="DQ115" s="567"/>
      <c r="DR115" s="567"/>
      <c r="DS115" s="567"/>
      <c r="DT115" s="567"/>
      <c r="DU115" s="567"/>
      <c r="DV115" s="567"/>
      <c r="DW115" s="567"/>
      <c r="DX115" s="567"/>
      <c r="DY115" s="567"/>
      <c r="DZ115" s="567"/>
      <c r="EA115" s="567"/>
      <c r="EB115" s="567"/>
      <c r="EC115" s="567"/>
      <c r="ED115" s="567"/>
      <c r="EE115" s="567"/>
      <c r="EF115" s="567"/>
      <c r="EG115" s="567"/>
      <c r="EH115" s="567"/>
      <c r="EI115" s="567"/>
      <c r="EJ115" s="567"/>
      <c r="EK115" s="567"/>
      <c r="EL115" s="567"/>
      <c r="EM115" s="567"/>
      <c r="EN115" s="567"/>
      <c r="EO115" s="567"/>
      <c r="EP115" s="567"/>
      <c r="EQ115" s="567"/>
      <c r="ER115" s="567"/>
      <c r="ES115" s="567"/>
      <c r="ET115" s="567"/>
      <c r="EU115" s="567"/>
      <c r="EV115" s="567"/>
      <c r="EW115" s="567"/>
      <c r="EX115" s="567"/>
      <c r="EY115" s="567"/>
      <c r="EZ115" s="567"/>
      <c r="FA115" s="567"/>
      <c r="FB115" s="567"/>
      <c r="FC115" s="567"/>
      <c r="FD115" s="567"/>
      <c r="FE115" s="567"/>
      <c r="FF115" s="567"/>
      <c r="FG115" s="567"/>
      <c r="FH115" s="567"/>
      <c r="FI115" s="567"/>
      <c r="FJ115" s="567"/>
      <c r="FK115" s="567"/>
      <c r="FL115" s="567"/>
      <c r="FM115" s="567"/>
      <c r="FN115" s="567"/>
      <c r="FO115" s="567"/>
      <c r="FP115" s="567"/>
      <c r="FQ115" s="567"/>
      <c r="FR115" s="567"/>
      <c r="FS115" s="567"/>
      <c r="FT115" s="567"/>
      <c r="FU115" s="567"/>
      <c r="FV115" s="567"/>
      <c r="FW115" s="567"/>
      <c r="FX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  <c r="BW116" s="567"/>
      <c r="BX116" s="567"/>
      <c r="BY116" s="567"/>
      <c r="BZ116" s="567"/>
      <c r="CA116" s="567"/>
      <c r="CB116" s="567"/>
      <c r="CC116" s="567"/>
      <c r="CD116" s="567"/>
      <c r="CE116" s="567"/>
      <c r="CF116" s="567"/>
      <c r="CG116" s="567"/>
      <c r="CH116" s="567"/>
      <c r="CI116" s="567"/>
      <c r="CJ116" s="567"/>
      <c r="CK116" s="567"/>
      <c r="CL116" s="567"/>
      <c r="CM116" s="567"/>
      <c r="CN116" s="567"/>
      <c r="CO116" s="567"/>
      <c r="CP116" s="567"/>
      <c r="CQ116" s="567"/>
      <c r="CR116" s="567"/>
      <c r="CS116" s="567"/>
      <c r="CT116" s="567"/>
      <c r="CU116" s="567"/>
      <c r="CV116" s="567"/>
      <c r="CW116" s="567"/>
      <c r="CX116" s="567"/>
      <c r="CY116" s="567"/>
      <c r="CZ116" s="567"/>
      <c r="DA116" s="567"/>
      <c r="DB116" s="567"/>
      <c r="DC116" s="567"/>
      <c r="DD116" s="567"/>
      <c r="DE116" s="567"/>
      <c r="DF116" s="567"/>
      <c r="DG116" s="567"/>
      <c r="DH116" s="567"/>
      <c r="DI116" s="567"/>
      <c r="DJ116" s="567"/>
      <c r="DK116" s="567"/>
      <c r="DL116" s="567"/>
      <c r="DM116" s="567"/>
      <c r="DN116" s="567"/>
      <c r="DO116" s="567"/>
      <c r="DP116" s="567"/>
      <c r="DQ116" s="567"/>
      <c r="DR116" s="567"/>
      <c r="DS116" s="567"/>
      <c r="DT116" s="567"/>
      <c r="DU116" s="567"/>
      <c r="DV116" s="567"/>
      <c r="DW116" s="567"/>
      <c r="DX116" s="567"/>
      <c r="DY116" s="567"/>
      <c r="DZ116" s="567"/>
      <c r="EA116" s="567"/>
      <c r="EB116" s="567"/>
      <c r="EC116" s="567"/>
      <c r="ED116" s="567"/>
      <c r="EE116" s="567"/>
      <c r="EF116" s="567"/>
      <c r="EG116" s="567"/>
      <c r="EH116" s="567"/>
      <c r="EI116" s="567"/>
      <c r="EJ116" s="567"/>
      <c r="EK116" s="567"/>
      <c r="EL116" s="567"/>
      <c r="EM116" s="567"/>
      <c r="EN116" s="567"/>
      <c r="EO116" s="567"/>
      <c r="EP116" s="567"/>
      <c r="EQ116" s="567"/>
      <c r="ER116" s="567"/>
      <c r="ES116" s="567"/>
      <c r="ET116" s="567"/>
      <c r="EU116" s="567"/>
      <c r="EV116" s="567"/>
      <c r="EW116" s="567"/>
      <c r="EX116" s="567"/>
      <c r="EY116" s="567"/>
      <c r="EZ116" s="567"/>
      <c r="FA116" s="567"/>
      <c r="FB116" s="567"/>
      <c r="FC116" s="567"/>
      <c r="FD116" s="567"/>
      <c r="FE116" s="567"/>
      <c r="FF116" s="567"/>
      <c r="FG116" s="567"/>
      <c r="FH116" s="567"/>
      <c r="FI116" s="567"/>
      <c r="FJ116" s="567"/>
      <c r="FK116" s="567"/>
      <c r="FL116" s="567"/>
      <c r="FM116" s="567"/>
      <c r="FN116" s="567"/>
      <c r="FO116" s="567"/>
      <c r="FP116" s="567"/>
      <c r="FQ116" s="567"/>
      <c r="FR116" s="567"/>
      <c r="FS116" s="567"/>
      <c r="FT116" s="567"/>
      <c r="FU116" s="567"/>
      <c r="FV116" s="567"/>
      <c r="FW116" s="567"/>
      <c r="FX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  <c r="BW117" s="567"/>
      <c r="BX117" s="567"/>
      <c r="BY117" s="567"/>
      <c r="BZ117" s="567"/>
      <c r="CA117" s="567"/>
      <c r="CB117" s="567"/>
      <c r="CC117" s="567"/>
      <c r="CD117" s="567"/>
      <c r="CE117" s="567"/>
      <c r="CF117" s="567"/>
      <c r="CG117" s="567"/>
      <c r="CH117" s="567"/>
      <c r="CI117" s="567"/>
      <c r="CJ117" s="567"/>
      <c r="CK117" s="567"/>
      <c r="CL117" s="567"/>
      <c r="CM117" s="567"/>
      <c r="CN117" s="567"/>
      <c r="CO117" s="567"/>
      <c r="CP117" s="567"/>
      <c r="CQ117" s="567"/>
      <c r="CR117" s="567"/>
      <c r="CS117" s="567"/>
      <c r="CT117" s="567"/>
      <c r="CU117" s="567"/>
      <c r="CV117" s="567"/>
      <c r="CW117" s="567"/>
      <c r="CX117" s="567"/>
      <c r="CY117" s="567"/>
      <c r="CZ117" s="567"/>
      <c r="DA117" s="567"/>
      <c r="DB117" s="567"/>
      <c r="DC117" s="567"/>
      <c r="DD117" s="567"/>
      <c r="DE117" s="567"/>
      <c r="DF117" s="567"/>
      <c r="DG117" s="567"/>
      <c r="DH117" s="567"/>
      <c r="DI117" s="567"/>
      <c r="DJ117" s="567"/>
      <c r="DK117" s="567"/>
      <c r="DL117" s="567"/>
      <c r="DM117" s="567"/>
      <c r="DN117" s="567"/>
      <c r="DO117" s="567"/>
      <c r="DP117" s="567"/>
      <c r="DQ117" s="567"/>
      <c r="DR117" s="567"/>
      <c r="DS117" s="567"/>
      <c r="DT117" s="567"/>
      <c r="DU117" s="567"/>
      <c r="DV117" s="567"/>
      <c r="DW117" s="567"/>
      <c r="DX117" s="567"/>
      <c r="DY117" s="567"/>
      <c r="DZ117" s="567"/>
      <c r="EA117" s="567"/>
      <c r="EB117" s="567"/>
      <c r="EC117" s="567"/>
      <c r="ED117" s="567"/>
      <c r="EE117" s="567"/>
      <c r="EF117" s="567"/>
      <c r="EG117" s="567"/>
      <c r="EH117" s="567"/>
      <c r="EI117" s="567"/>
      <c r="EJ117" s="567"/>
      <c r="EK117" s="567"/>
      <c r="EL117" s="567"/>
      <c r="EM117" s="567"/>
      <c r="EN117" s="567"/>
      <c r="EO117" s="567"/>
      <c r="EP117" s="567"/>
      <c r="EQ117" s="567"/>
      <c r="ER117" s="567"/>
      <c r="ES117" s="567"/>
      <c r="ET117" s="567"/>
      <c r="EU117" s="567"/>
      <c r="EV117" s="567"/>
      <c r="EW117" s="567"/>
      <c r="EX117" s="567"/>
      <c r="EY117" s="567"/>
      <c r="EZ117" s="567"/>
      <c r="FA117" s="567"/>
      <c r="FB117" s="567"/>
      <c r="FC117" s="567"/>
      <c r="FD117" s="567"/>
      <c r="FE117" s="567"/>
      <c r="FF117" s="567"/>
      <c r="FG117" s="567"/>
      <c r="FH117" s="567"/>
      <c r="FI117" s="567"/>
      <c r="FJ117" s="567"/>
      <c r="FK117" s="567"/>
      <c r="FL117" s="567"/>
      <c r="FM117" s="567"/>
      <c r="FN117" s="567"/>
      <c r="FO117" s="567"/>
      <c r="FP117" s="567"/>
      <c r="FQ117" s="567"/>
      <c r="FR117" s="567"/>
      <c r="FS117" s="567"/>
      <c r="FT117" s="567"/>
      <c r="FU117" s="567"/>
      <c r="FV117" s="567"/>
      <c r="FW117" s="567"/>
      <c r="FX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  <c r="CL118" s="567"/>
      <c r="CM118" s="567"/>
      <c r="CN118" s="567"/>
      <c r="CO118" s="567"/>
      <c r="CP118" s="567"/>
      <c r="CQ118" s="567"/>
      <c r="CR118" s="567"/>
      <c r="CS118" s="567"/>
      <c r="CT118" s="567"/>
      <c r="CU118" s="567"/>
      <c r="CV118" s="567"/>
      <c r="CW118" s="567"/>
      <c r="CX118" s="567"/>
      <c r="CY118" s="567"/>
      <c r="CZ118" s="567"/>
      <c r="DA118" s="567"/>
      <c r="DB118" s="567"/>
      <c r="DC118" s="567"/>
      <c r="DD118" s="567"/>
      <c r="DE118" s="567"/>
      <c r="DF118" s="567"/>
      <c r="DG118" s="567"/>
      <c r="DH118" s="567"/>
      <c r="DI118" s="567"/>
      <c r="DJ118" s="567"/>
      <c r="DK118" s="567"/>
      <c r="DL118" s="567"/>
      <c r="DM118" s="567"/>
      <c r="DN118" s="567"/>
      <c r="DO118" s="567"/>
      <c r="DP118" s="567"/>
      <c r="DQ118" s="567"/>
      <c r="DR118" s="567"/>
      <c r="DS118" s="567"/>
      <c r="DT118" s="567"/>
      <c r="DU118" s="567"/>
      <c r="DV118" s="567"/>
      <c r="DW118" s="567"/>
      <c r="DX118" s="567"/>
      <c r="DY118" s="567"/>
      <c r="DZ118" s="567"/>
      <c r="EA118" s="567"/>
      <c r="EB118" s="567"/>
      <c r="EC118" s="567"/>
      <c r="ED118" s="567"/>
      <c r="EE118" s="567"/>
      <c r="EF118" s="567"/>
      <c r="EG118" s="567"/>
      <c r="EH118" s="567"/>
      <c r="EI118" s="567"/>
      <c r="EJ118" s="567"/>
      <c r="EK118" s="567"/>
      <c r="EL118" s="567"/>
      <c r="EM118" s="567"/>
      <c r="EN118" s="567"/>
      <c r="EO118" s="567"/>
      <c r="EP118" s="567"/>
      <c r="EQ118" s="567"/>
      <c r="ER118" s="567"/>
      <c r="ES118" s="567"/>
      <c r="ET118" s="567"/>
      <c r="EU118" s="567"/>
      <c r="EV118" s="567"/>
      <c r="EW118" s="567"/>
      <c r="EX118" s="567"/>
      <c r="EY118" s="567"/>
      <c r="EZ118" s="567"/>
      <c r="FA118" s="567"/>
      <c r="FB118" s="567"/>
      <c r="FC118" s="567"/>
      <c r="FD118" s="567"/>
      <c r="FE118" s="567"/>
      <c r="FF118" s="567"/>
      <c r="FG118" s="567"/>
      <c r="FH118" s="567"/>
      <c r="FI118" s="567"/>
      <c r="FJ118" s="567"/>
      <c r="FK118" s="567"/>
      <c r="FL118" s="567"/>
      <c r="FM118" s="567"/>
      <c r="FN118" s="567"/>
      <c r="FO118" s="567"/>
      <c r="FP118" s="567"/>
      <c r="FQ118" s="567"/>
      <c r="FR118" s="567"/>
      <c r="FS118" s="567"/>
      <c r="FT118" s="567"/>
      <c r="FU118" s="567"/>
      <c r="FV118" s="567"/>
      <c r="FW118" s="567"/>
      <c r="FX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  <c r="BW119" s="567"/>
      <c r="BX119" s="567"/>
      <c r="BY119" s="567"/>
      <c r="BZ119" s="567"/>
      <c r="CA119" s="567"/>
      <c r="CB119" s="567"/>
      <c r="CC119" s="567"/>
      <c r="CD119" s="567"/>
      <c r="CE119" s="567"/>
      <c r="CF119" s="567"/>
      <c r="CG119" s="567"/>
      <c r="CH119" s="567"/>
      <c r="CI119" s="567"/>
      <c r="CJ119" s="567"/>
      <c r="CK119" s="567"/>
      <c r="CL119" s="567"/>
      <c r="CM119" s="567"/>
      <c r="CN119" s="567"/>
      <c r="CO119" s="567"/>
      <c r="CP119" s="567"/>
      <c r="CQ119" s="567"/>
      <c r="CR119" s="567"/>
      <c r="CS119" s="567"/>
      <c r="CT119" s="567"/>
      <c r="CU119" s="567"/>
      <c r="CV119" s="567"/>
      <c r="CW119" s="567"/>
      <c r="CX119" s="567"/>
      <c r="CY119" s="567"/>
      <c r="CZ119" s="567"/>
      <c r="DA119" s="567"/>
      <c r="DB119" s="567"/>
      <c r="DC119" s="567"/>
      <c r="DD119" s="567"/>
      <c r="DE119" s="567"/>
      <c r="DF119" s="567"/>
      <c r="DG119" s="567"/>
      <c r="DH119" s="567"/>
      <c r="DI119" s="567"/>
      <c r="DJ119" s="567"/>
      <c r="DK119" s="567"/>
      <c r="DL119" s="567"/>
      <c r="DM119" s="567"/>
      <c r="DN119" s="567"/>
      <c r="DO119" s="567"/>
      <c r="DP119" s="567"/>
      <c r="DQ119" s="567"/>
      <c r="DR119" s="567"/>
      <c r="DS119" s="567"/>
      <c r="DT119" s="567"/>
      <c r="DU119" s="567"/>
      <c r="DV119" s="567"/>
      <c r="DW119" s="567"/>
      <c r="DX119" s="567"/>
      <c r="DY119" s="567"/>
      <c r="DZ119" s="567"/>
      <c r="EA119" s="567"/>
      <c r="EB119" s="567"/>
      <c r="EC119" s="567"/>
      <c r="ED119" s="567"/>
      <c r="EE119" s="567"/>
      <c r="EF119" s="567"/>
      <c r="EG119" s="567"/>
      <c r="EH119" s="567"/>
      <c r="EI119" s="567"/>
      <c r="EJ119" s="567"/>
      <c r="EK119" s="567"/>
      <c r="EL119" s="567"/>
      <c r="EM119" s="567"/>
      <c r="EN119" s="567"/>
      <c r="EO119" s="567"/>
      <c r="EP119" s="567"/>
      <c r="EQ119" s="567"/>
      <c r="ER119" s="567"/>
      <c r="ES119" s="567"/>
      <c r="ET119" s="567"/>
      <c r="EU119" s="567"/>
      <c r="EV119" s="567"/>
      <c r="EW119" s="567"/>
      <c r="EX119" s="567"/>
      <c r="EY119" s="567"/>
      <c r="EZ119" s="567"/>
      <c r="FA119" s="567"/>
      <c r="FB119" s="567"/>
      <c r="FC119" s="567"/>
      <c r="FD119" s="567"/>
      <c r="FE119" s="567"/>
      <c r="FF119" s="567"/>
      <c r="FG119" s="567"/>
      <c r="FH119" s="567"/>
      <c r="FI119" s="567"/>
      <c r="FJ119" s="567"/>
      <c r="FK119" s="567"/>
      <c r="FL119" s="567"/>
      <c r="FM119" s="567"/>
      <c r="FN119" s="567"/>
      <c r="FO119" s="567"/>
      <c r="FP119" s="567"/>
      <c r="FQ119" s="567"/>
      <c r="FR119" s="567"/>
      <c r="FS119" s="567"/>
      <c r="FT119" s="567"/>
      <c r="FU119" s="567"/>
      <c r="FV119" s="567"/>
      <c r="FW119" s="567"/>
      <c r="FX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  <c r="BW120" s="567"/>
      <c r="BX120" s="567"/>
      <c r="BY120" s="567"/>
      <c r="BZ120" s="567"/>
      <c r="CA120" s="567"/>
      <c r="CB120" s="567"/>
      <c r="CC120" s="567"/>
      <c r="CD120" s="567"/>
      <c r="CE120" s="567"/>
      <c r="CF120" s="567"/>
      <c r="CG120" s="567"/>
      <c r="CH120" s="567"/>
      <c r="CI120" s="567"/>
      <c r="CJ120" s="567"/>
      <c r="CK120" s="567"/>
      <c r="CL120" s="567"/>
      <c r="CM120" s="567"/>
      <c r="CN120" s="567"/>
      <c r="CO120" s="567"/>
      <c r="CP120" s="567"/>
      <c r="CQ120" s="567"/>
      <c r="CR120" s="567"/>
      <c r="CS120" s="567"/>
      <c r="CT120" s="567"/>
      <c r="CU120" s="567"/>
      <c r="CV120" s="567"/>
      <c r="CW120" s="567"/>
      <c r="CX120" s="567"/>
      <c r="CY120" s="567"/>
      <c r="CZ120" s="567"/>
      <c r="DA120" s="567"/>
      <c r="DB120" s="567"/>
      <c r="DC120" s="567"/>
      <c r="DD120" s="567"/>
      <c r="DE120" s="567"/>
      <c r="DF120" s="567"/>
      <c r="DG120" s="567"/>
      <c r="DH120" s="567"/>
      <c r="DI120" s="567"/>
      <c r="DJ120" s="567"/>
      <c r="DK120" s="567"/>
      <c r="DL120" s="567"/>
      <c r="DM120" s="567"/>
      <c r="DN120" s="567"/>
      <c r="DO120" s="567"/>
      <c r="DP120" s="567"/>
      <c r="DQ120" s="567"/>
      <c r="DR120" s="567"/>
      <c r="DS120" s="567"/>
      <c r="DT120" s="567"/>
      <c r="DU120" s="567"/>
      <c r="DV120" s="567"/>
      <c r="DW120" s="567"/>
      <c r="DX120" s="567"/>
      <c r="DY120" s="567"/>
      <c r="DZ120" s="567"/>
      <c r="EA120" s="567"/>
      <c r="EB120" s="567"/>
      <c r="EC120" s="567"/>
      <c r="ED120" s="567"/>
      <c r="EE120" s="567"/>
      <c r="EF120" s="567"/>
      <c r="EG120" s="567"/>
      <c r="EH120" s="567"/>
      <c r="EI120" s="567"/>
      <c r="EJ120" s="567"/>
      <c r="EK120" s="567"/>
      <c r="EL120" s="567"/>
      <c r="EM120" s="567"/>
      <c r="EN120" s="567"/>
      <c r="EO120" s="567"/>
      <c r="EP120" s="567"/>
      <c r="EQ120" s="567"/>
      <c r="ER120" s="567"/>
      <c r="ES120" s="567"/>
      <c r="ET120" s="567"/>
      <c r="EU120" s="567"/>
      <c r="EV120" s="567"/>
      <c r="EW120" s="567"/>
      <c r="EX120" s="567"/>
      <c r="EY120" s="567"/>
      <c r="EZ120" s="567"/>
      <c r="FA120" s="567"/>
      <c r="FB120" s="567"/>
      <c r="FC120" s="567"/>
      <c r="FD120" s="567"/>
      <c r="FE120" s="567"/>
      <c r="FF120" s="567"/>
      <c r="FG120" s="567"/>
      <c r="FH120" s="567"/>
      <c r="FI120" s="567"/>
      <c r="FJ120" s="567"/>
      <c r="FK120" s="567"/>
      <c r="FL120" s="567"/>
      <c r="FM120" s="567"/>
      <c r="FN120" s="567"/>
      <c r="FO120" s="567"/>
      <c r="FP120" s="567"/>
      <c r="FQ120" s="567"/>
      <c r="FR120" s="567"/>
      <c r="FS120" s="567"/>
      <c r="FT120" s="567"/>
      <c r="FU120" s="567"/>
      <c r="FV120" s="567"/>
      <c r="FW120" s="567"/>
      <c r="FX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  <c r="BW121" s="567"/>
      <c r="BX121" s="567"/>
      <c r="BY121" s="567"/>
      <c r="BZ121" s="567"/>
      <c r="CA121" s="567"/>
      <c r="CB121" s="567"/>
      <c r="CC121" s="567"/>
      <c r="CD121" s="567"/>
      <c r="CE121" s="567"/>
      <c r="CF121" s="567"/>
      <c r="CG121" s="567"/>
      <c r="CH121" s="567"/>
      <c r="CI121" s="567"/>
      <c r="CJ121" s="567"/>
      <c r="CK121" s="567"/>
      <c r="CL121" s="567"/>
      <c r="CM121" s="567"/>
      <c r="CN121" s="567"/>
      <c r="CO121" s="567"/>
      <c r="CP121" s="567"/>
      <c r="CQ121" s="567"/>
      <c r="CR121" s="567"/>
      <c r="CS121" s="567"/>
      <c r="CT121" s="567"/>
      <c r="CU121" s="567"/>
      <c r="CV121" s="567"/>
      <c r="CW121" s="567"/>
      <c r="CX121" s="567"/>
      <c r="CY121" s="567"/>
      <c r="CZ121" s="567"/>
      <c r="DA121" s="567"/>
      <c r="DB121" s="567"/>
      <c r="DC121" s="567"/>
      <c r="DD121" s="567"/>
      <c r="DE121" s="567"/>
      <c r="DF121" s="567"/>
      <c r="DG121" s="567"/>
      <c r="DH121" s="567"/>
      <c r="DI121" s="567"/>
      <c r="DJ121" s="567"/>
      <c r="DK121" s="567"/>
      <c r="DL121" s="567"/>
      <c r="DM121" s="567"/>
      <c r="DN121" s="567"/>
      <c r="DO121" s="567"/>
      <c r="DP121" s="567"/>
      <c r="DQ121" s="567"/>
      <c r="DR121" s="567"/>
      <c r="DS121" s="567"/>
      <c r="DT121" s="567"/>
      <c r="DU121" s="567"/>
      <c r="DV121" s="567"/>
      <c r="DW121" s="567"/>
      <c r="DX121" s="567"/>
      <c r="DY121" s="567"/>
      <c r="DZ121" s="567"/>
      <c r="EA121" s="567"/>
      <c r="EB121" s="567"/>
      <c r="EC121" s="567"/>
      <c r="ED121" s="567"/>
      <c r="EE121" s="567"/>
      <c r="EF121" s="567"/>
      <c r="EG121" s="567"/>
      <c r="EH121" s="567"/>
      <c r="EI121" s="567"/>
      <c r="EJ121" s="567"/>
      <c r="EK121" s="567"/>
      <c r="EL121" s="567"/>
      <c r="EM121" s="567"/>
      <c r="EN121" s="567"/>
      <c r="EO121" s="567"/>
      <c r="EP121" s="567"/>
      <c r="EQ121" s="567"/>
      <c r="ER121" s="567"/>
      <c r="ES121" s="567"/>
      <c r="ET121" s="567"/>
      <c r="EU121" s="567"/>
      <c r="EV121" s="567"/>
      <c r="EW121" s="567"/>
      <c r="EX121" s="567"/>
      <c r="EY121" s="567"/>
      <c r="EZ121" s="567"/>
      <c r="FA121" s="567"/>
      <c r="FB121" s="567"/>
      <c r="FC121" s="567"/>
      <c r="FD121" s="567"/>
      <c r="FE121" s="567"/>
      <c r="FF121" s="567"/>
      <c r="FG121" s="567"/>
      <c r="FH121" s="567"/>
      <c r="FI121" s="567"/>
      <c r="FJ121" s="567"/>
      <c r="FK121" s="567"/>
      <c r="FL121" s="567"/>
      <c r="FM121" s="567"/>
      <c r="FN121" s="567"/>
      <c r="FO121" s="567"/>
      <c r="FP121" s="567"/>
      <c r="FQ121" s="567"/>
      <c r="FR121" s="567"/>
      <c r="FS121" s="567"/>
      <c r="FT121" s="567"/>
      <c r="FU121" s="567"/>
      <c r="FV121" s="567"/>
      <c r="FW121" s="567"/>
      <c r="FX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  <c r="BW122" s="567"/>
      <c r="BX122" s="567"/>
      <c r="BY122" s="567"/>
      <c r="BZ122" s="567"/>
      <c r="CA122" s="567"/>
      <c r="CB122" s="567"/>
      <c r="CC122" s="567"/>
      <c r="CD122" s="567"/>
      <c r="CE122" s="567"/>
      <c r="CF122" s="567"/>
      <c r="CG122" s="567"/>
      <c r="CH122" s="567"/>
      <c r="CI122" s="567"/>
      <c r="CJ122" s="567"/>
      <c r="CK122" s="567"/>
      <c r="CL122" s="567"/>
      <c r="CM122" s="567"/>
      <c r="CN122" s="567"/>
      <c r="CO122" s="567"/>
      <c r="CP122" s="567"/>
      <c r="CQ122" s="567"/>
      <c r="CR122" s="567"/>
      <c r="CS122" s="567"/>
      <c r="CT122" s="567"/>
      <c r="CU122" s="567"/>
      <c r="CV122" s="567"/>
      <c r="CW122" s="567"/>
      <c r="CX122" s="567"/>
      <c r="CY122" s="567"/>
      <c r="CZ122" s="567"/>
      <c r="DA122" s="567"/>
      <c r="DB122" s="567"/>
      <c r="DC122" s="567"/>
      <c r="DD122" s="567"/>
      <c r="DE122" s="567"/>
      <c r="DF122" s="567"/>
      <c r="DG122" s="567"/>
      <c r="DH122" s="567"/>
      <c r="DI122" s="567"/>
      <c r="DJ122" s="567"/>
      <c r="DK122" s="567"/>
      <c r="DL122" s="567"/>
      <c r="DM122" s="567"/>
      <c r="DN122" s="567"/>
      <c r="DO122" s="567"/>
      <c r="DP122" s="567"/>
      <c r="DQ122" s="567"/>
      <c r="DR122" s="567"/>
      <c r="DS122" s="567"/>
      <c r="DT122" s="567"/>
      <c r="DU122" s="567"/>
      <c r="DV122" s="567"/>
      <c r="DW122" s="567"/>
      <c r="DX122" s="567"/>
      <c r="DY122" s="567"/>
      <c r="DZ122" s="567"/>
      <c r="EA122" s="567"/>
      <c r="EB122" s="567"/>
      <c r="EC122" s="567"/>
      <c r="ED122" s="567"/>
      <c r="EE122" s="567"/>
      <c r="EF122" s="567"/>
      <c r="EG122" s="567"/>
      <c r="EH122" s="567"/>
      <c r="EI122" s="567"/>
      <c r="EJ122" s="567"/>
      <c r="EK122" s="567"/>
      <c r="EL122" s="567"/>
      <c r="EM122" s="567"/>
      <c r="EN122" s="567"/>
      <c r="EO122" s="567"/>
      <c r="EP122" s="567"/>
      <c r="EQ122" s="567"/>
      <c r="ER122" s="567"/>
      <c r="ES122" s="567"/>
      <c r="ET122" s="567"/>
      <c r="EU122" s="567"/>
      <c r="EV122" s="567"/>
      <c r="EW122" s="567"/>
      <c r="EX122" s="567"/>
      <c r="EY122" s="567"/>
      <c r="EZ122" s="567"/>
      <c r="FA122" s="567"/>
      <c r="FB122" s="567"/>
      <c r="FC122" s="567"/>
      <c r="FD122" s="567"/>
      <c r="FE122" s="567"/>
      <c r="FF122" s="567"/>
      <c r="FG122" s="567"/>
      <c r="FH122" s="567"/>
      <c r="FI122" s="567"/>
      <c r="FJ122" s="567"/>
      <c r="FK122" s="567"/>
      <c r="FL122" s="567"/>
      <c r="FM122" s="567"/>
      <c r="FN122" s="567"/>
      <c r="FO122" s="567"/>
      <c r="FP122" s="567"/>
      <c r="FQ122" s="567"/>
      <c r="FR122" s="567"/>
      <c r="FS122" s="567"/>
      <c r="FT122" s="567"/>
      <c r="FU122" s="567"/>
      <c r="FV122" s="567"/>
      <c r="FW122" s="567"/>
      <c r="FX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  <c r="BW123" s="567"/>
      <c r="BX123" s="567"/>
      <c r="BY123" s="567"/>
      <c r="BZ123" s="567"/>
      <c r="CA123" s="567"/>
      <c r="CB123" s="567"/>
      <c r="CC123" s="567"/>
      <c r="CD123" s="567"/>
      <c r="CE123" s="567"/>
      <c r="CF123" s="567"/>
      <c r="CG123" s="567"/>
      <c r="CH123" s="567"/>
      <c r="CI123" s="567"/>
      <c r="CJ123" s="567"/>
      <c r="CK123" s="567"/>
      <c r="CL123" s="567"/>
      <c r="CM123" s="567"/>
      <c r="CN123" s="567"/>
      <c r="CO123" s="567"/>
      <c r="CP123" s="567"/>
      <c r="CQ123" s="567"/>
      <c r="CR123" s="567"/>
      <c r="CS123" s="567"/>
      <c r="CT123" s="567"/>
      <c r="CU123" s="567"/>
      <c r="CV123" s="567"/>
      <c r="CW123" s="567"/>
      <c r="CX123" s="567"/>
      <c r="CY123" s="567"/>
      <c r="CZ123" s="567"/>
      <c r="DA123" s="567"/>
      <c r="DB123" s="567"/>
      <c r="DC123" s="567"/>
      <c r="DD123" s="567"/>
      <c r="DE123" s="567"/>
      <c r="DF123" s="567"/>
      <c r="DG123" s="567"/>
      <c r="DH123" s="567"/>
      <c r="DI123" s="567"/>
      <c r="DJ123" s="567"/>
      <c r="DK123" s="567"/>
      <c r="DL123" s="567"/>
      <c r="DM123" s="567"/>
      <c r="DN123" s="567"/>
      <c r="DO123" s="567"/>
      <c r="DP123" s="567"/>
      <c r="DQ123" s="567"/>
      <c r="DR123" s="567"/>
      <c r="DS123" s="567"/>
      <c r="DT123" s="567"/>
      <c r="DU123" s="567"/>
      <c r="DV123" s="567"/>
      <c r="DW123" s="567"/>
      <c r="DX123" s="567"/>
      <c r="DY123" s="567"/>
      <c r="DZ123" s="567"/>
      <c r="EA123" s="567"/>
      <c r="EB123" s="567"/>
      <c r="EC123" s="567"/>
      <c r="ED123" s="567"/>
      <c r="EE123" s="567"/>
      <c r="EF123" s="567"/>
      <c r="EG123" s="567"/>
      <c r="EH123" s="567"/>
      <c r="EI123" s="567"/>
      <c r="EJ123" s="567"/>
      <c r="EK123" s="567"/>
      <c r="EL123" s="567"/>
      <c r="EM123" s="567"/>
      <c r="EN123" s="567"/>
      <c r="EO123" s="567"/>
      <c r="EP123" s="567"/>
      <c r="EQ123" s="567"/>
      <c r="ER123" s="567"/>
      <c r="ES123" s="567"/>
      <c r="ET123" s="567"/>
      <c r="EU123" s="567"/>
      <c r="EV123" s="567"/>
      <c r="EW123" s="567"/>
      <c r="EX123" s="567"/>
      <c r="EY123" s="567"/>
      <c r="EZ123" s="567"/>
      <c r="FA123" s="567"/>
      <c r="FB123" s="567"/>
      <c r="FC123" s="567"/>
      <c r="FD123" s="567"/>
      <c r="FE123" s="567"/>
      <c r="FF123" s="567"/>
      <c r="FG123" s="567"/>
      <c r="FH123" s="567"/>
      <c r="FI123" s="567"/>
      <c r="FJ123" s="567"/>
      <c r="FK123" s="567"/>
      <c r="FL123" s="567"/>
      <c r="FM123" s="567"/>
      <c r="FN123" s="567"/>
      <c r="FO123" s="567"/>
      <c r="FP123" s="567"/>
      <c r="FQ123" s="567"/>
      <c r="FR123" s="567"/>
      <c r="FS123" s="567"/>
      <c r="FT123" s="567"/>
      <c r="FU123" s="567"/>
      <c r="FV123" s="567"/>
      <c r="FW123" s="567"/>
      <c r="FX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  <c r="BW124" s="567"/>
      <c r="BX124" s="567"/>
      <c r="BY124" s="567"/>
      <c r="BZ124" s="567"/>
      <c r="CA124" s="567"/>
      <c r="CB124" s="567"/>
      <c r="CC124" s="567"/>
      <c r="CD124" s="567"/>
      <c r="CE124" s="567"/>
      <c r="CF124" s="567"/>
      <c r="CG124" s="567"/>
      <c r="CH124" s="567"/>
      <c r="CI124" s="567"/>
      <c r="CJ124" s="567"/>
      <c r="CK124" s="567"/>
      <c r="CL124" s="567"/>
      <c r="CM124" s="567"/>
      <c r="CN124" s="567"/>
      <c r="CO124" s="567"/>
      <c r="CP124" s="567"/>
      <c r="CQ124" s="567"/>
      <c r="CR124" s="567"/>
      <c r="CS124" s="567"/>
      <c r="CT124" s="567"/>
      <c r="CU124" s="567"/>
      <c r="CV124" s="567"/>
      <c r="CW124" s="567"/>
      <c r="CX124" s="567"/>
      <c r="CY124" s="567"/>
      <c r="CZ124" s="567"/>
      <c r="DA124" s="567"/>
      <c r="DB124" s="567"/>
      <c r="DC124" s="567"/>
      <c r="DD124" s="567"/>
      <c r="DE124" s="567"/>
      <c r="DF124" s="567"/>
      <c r="DG124" s="567"/>
      <c r="DH124" s="567"/>
      <c r="DI124" s="567"/>
      <c r="DJ124" s="567"/>
      <c r="DK124" s="567"/>
      <c r="DL124" s="567"/>
      <c r="DM124" s="567"/>
      <c r="DN124" s="567"/>
      <c r="DO124" s="567"/>
      <c r="DP124" s="567"/>
      <c r="DQ124" s="567"/>
      <c r="DR124" s="567"/>
      <c r="DS124" s="567"/>
      <c r="DT124" s="567"/>
      <c r="DU124" s="567"/>
      <c r="DV124" s="567"/>
      <c r="DW124" s="567"/>
      <c r="DX124" s="567"/>
      <c r="DY124" s="567"/>
      <c r="DZ124" s="567"/>
      <c r="EA124" s="567"/>
      <c r="EB124" s="567"/>
      <c r="EC124" s="567"/>
      <c r="ED124" s="567"/>
      <c r="EE124" s="567"/>
      <c r="EF124" s="567"/>
      <c r="EG124" s="567"/>
      <c r="EH124" s="567"/>
      <c r="EI124" s="567"/>
      <c r="EJ124" s="567"/>
      <c r="EK124" s="567"/>
      <c r="EL124" s="567"/>
      <c r="EM124" s="567"/>
      <c r="EN124" s="567"/>
      <c r="EO124" s="567"/>
      <c r="EP124" s="567"/>
      <c r="EQ124" s="567"/>
      <c r="ER124" s="567"/>
      <c r="ES124" s="567"/>
      <c r="ET124" s="567"/>
      <c r="EU124" s="567"/>
      <c r="EV124" s="567"/>
      <c r="EW124" s="567"/>
      <c r="EX124" s="567"/>
      <c r="EY124" s="567"/>
      <c r="EZ124" s="567"/>
      <c r="FA124" s="567"/>
      <c r="FB124" s="567"/>
      <c r="FC124" s="567"/>
      <c r="FD124" s="567"/>
      <c r="FE124" s="567"/>
      <c r="FF124" s="567"/>
      <c r="FG124" s="567"/>
      <c r="FH124" s="567"/>
      <c r="FI124" s="567"/>
      <c r="FJ124" s="567"/>
      <c r="FK124" s="567"/>
      <c r="FL124" s="567"/>
      <c r="FM124" s="567"/>
      <c r="FN124" s="567"/>
      <c r="FO124" s="567"/>
      <c r="FP124" s="567"/>
      <c r="FQ124" s="567"/>
      <c r="FR124" s="567"/>
      <c r="FS124" s="567"/>
      <c r="FT124" s="567"/>
      <c r="FU124" s="567"/>
      <c r="FV124" s="567"/>
      <c r="FW124" s="567"/>
      <c r="FX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  <c r="BW125" s="567"/>
      <c r="BX125" s="567"/>
      <c r="BY125" s="567"/>
      <c r="BZ125" s="567"/>
      <c r="CA125" s="567"/>
      <c r="CB125" s="567"/>
      <c r="CC125" s="567"/>
      <c r="CD125" s="567"/>
      <c r="CE125" s="567"/>
      <c r="CF125" s="567"/>
      <c r="CG125" s="567"/>
      <c r="CH125" s="567"/>
      <c r="CI125" s="567"/>
      <c r="CJ125" s="567"/>
      <c r="CK125" s="567"/>
      <c r="CL125" s="567"/>
      <c r="CM125" s="567"/>
      <c r="CN125" s="567"/>
      <c r="CO125" s="567"/>
      <c r="CP125" s="567"/>
      <c r="CQ125" s="567"/>
      <c r="CR125" s="567"/>
      <c r="CS125" s="567"/>
      <c r="CT125" s="567"/>
      <c r="CU125" s="567"/>
      <c r="CV125" s="567"/>
      <c r="CW125" s="567"/>
      <c r="CX125" s="567"/>
      <c r="CY125" s="567"/>
      <c r="CZ125" s="567"/>
      <c r="DA125" s="567"/>
      <c r="DB125" s="567"/>
      <c r="DC125" s="567"/>
      <c r="DD125" s="567"/>
      <c r="DE125" s="567"/>
      <c r="DF125" s="567"/>
      <c r="DG125" s="567"/>
      <c r="DH125" s="567"/>
      <c r="DI125" s="567"/>
      <c r="DJ125" s="567"/>
      <c r="DK125" s="567"/>
      <c r="DL125" s="567"/>
      <c r="DM125" s="567"/>
      <c r="DN125" s="567"/>
      <c r="DO125" s="567"/>
      <c r="DP125" s="567"/>
      <c r="DQ125" s="567"/>
      <c r="DR125" s="567"/>
      <c r="DS125" s="567"/>
      <c r="DT125" s="567"/>
      <c r="DU125" s="567"/>
      <c r="DV125" s="567"/>
      <c r="DW125" s="567"/>
      <c r="DX125" s="567"/>
      <c r="DY125" s="567"/>
      <c r="DZ125" s="567"/>
      <c r="EA125" s="567"/>
      <c r="EB125" s="567"/>
      <c r="EC125" s="567"/>
      <c r="ED125" s="567"/>
      <c r="EE125" s="567"/>
      <c r="EF125" s="567"/>
      <c r="EG125" s="567"/>
      <c r="EH125" s="567"/>
      <c r="EI125" s="567"/>
      <c r="EJ125" s="567"/>
      <c r="EK125" s="567"/>
      <c r="EL125" s="567"/>
      <c r="EM125" s="567"/>
      <c r="EN125" s="567"/>
      <c r="EO125" s="567"/>
      <c r="EP125" s="567"/>
      <c r="EQ125" s="567"/>
      <c r="ER125" s="567"/>
      <c r="ES125" s="567"/>
      <c r="ET125" s="567"/>
      <c r="EU125" s="567"/>
      <c r="EV125" s="567"/>
      <c r="EW125" s="567"/>
      <c r="EX125" s="567"/>
      <c r="EY125" s="567"/>
      <c r="EZ125" s="567"/>
      <c r="FA125" s="567"/>
      <c r="FB125" s="567"/>
      <c r="FC125" s="567"/>
      <c r="FD125" s="567"/>
      <c r="FE125" s="567"/>
      <c r="FF125" s="567"/>
      <c r="FG125" s="567"/>
      <c r="FH125" s="567"/>
      <c r="FI125" s="567"/>
      <c r="FJ125" s="567"/>
      <c r="FK125" s="567"/>
      <c r="FL125" s="567"/>
      <c r="FM125" s="567"/>
      <c r="FN125" s="567"/>
      <c r="FO125" s="567"/>
      <c r="FP125" s="567"/>
      <c r="FQ125" s="567"/>
      <c r="FR125" s="567"/>
      <c r="FS125" s="567"/>
      <c r="FT125" s="567"/>
      <c r="FU125" s="567"/>
      <c r="FV125" s="567"/>
      <c r="FW125" s="567"/>
      <c r="FX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  <c r="BW126" s="567"/>
      <c r="BX126" s="567"/>
      <c r="BY126" s="567"/>
      <c r="BZ126" s="567"/>
      <c r="CA126" s="567"/>
      <c r="CB126" s="567"/>
      <c r="CC126" s="567"/>
      <c r="CD126" s="567"/>
      <c r="CE126" s="567"/>
      <c r="CF126" s="567"/>
      <c r="CG126" s="567"/>
      <c r="CH126" s="567"/>
      <c r="CI126" s="567"/>
      <c r="CJ126" s="567"/>
      <c r="CK126" s="567"/>
      <c r="CL126" s="567"/>
      <c r="CM126" s="567"/>
      <c r="CN126" s="567"/>
      <c r="CO126" s="567"/>
      <c r="CP126" s="567"/>
      <c r="CQ126" s="567"/>
      <c r="CR126" s="567"/>
      <c r="CS126" s="567"/>
      <c r="CT126" s="567"/>
      <c r="CU126" s="567"/>
      <c r="CV126" s="567"/>
      <c r="CW126" s="567"/>
      <c r="CX126" s="567"/>
      <c r="CY126" s="567"/>
      <c r="CZ126" s="567"/>
      <c r="DA126" s="567"/>
      <c r="DB126" s="567"/>
      <c r="DC126" s="567"/>
      <c r="DD126" s="567"/>
      <c r="DE126" s="567"/>
      <c r="DF126" s="567"/>
      <c r="DG126" s="567"/>
      <c r="DH126" s="567"/>
      <c r="DI126" s="567"/>
      <c r="DJ126" s="567"/>
      <c r="DK126" s="567"/>
      <c r="DL126" s="567"/>
      <c r="DM126" s="567"/>
      <c r="DN126" s="567"/>
      <c r="DO126" s="567"/>
      <c r="DP126" s="567"/>
      <c r="DQ126" s="567"/>
      <c r="DR126" s="567"/>
      <c r="DS126" s="567"/>
      <c r="DT126" s="567"/>
      <c r="DU126" s="567"/>
      <c r="DV126" s="567"/>
      <c r="DW126" s="567"/>
      <c r="DX126" s="567"/>
      <c r="DY126" s="567"/>
      <c r="DZ126" s="567"/>
      <c r="EA126" s="567"/>
      <c r="EB126" s="567"/>
      <c r="EC126" s="567"/>
      <c r="ED126" s="567"/>
      <c r="EE126" s="567"/>
      <c r="EF126" s="567"/>
      <c r="EG126" s="567"/>
      <c r="EH126" s="567"/>
      <c r="EI126" s="567"/>
      <c r="EJ126" s="567"/>
      <c r="EK126" s="567"/>
      <c r="EL126" s="567"/>
      <c r="EM126" s="567"/>
      <c r="EN126" s="567"/>
      <c r="EO126" s="567"/>
      <c r="EP126" s="567"/>
      <c r="EQ126" s="567"/>
      <c r="ER126" s="567"/>
      <c r="ES126" s="567"/>
      <c r="ET126" s="567"/>
      <c r="EU126" s="567"/>
      <c r="EV126" s="567"/>
      <c r="EW126" s="567"/>
      <c r="EX126" s="567"/>
      <c r="EY126" s="567"/>
      <c r="EZ126" s="567"/>
      <c r="FA126" s="567"/>
      <c r="FB126" s="567"/>
      <c r="FC126" s="567"/>
      <c r="FD126" s="567"/>
      <c r="FE126" s="567"/>
      <c r="FF126" s="567"/>
      <c r="FG126" s="567"/>
      <c r="FH126" s="567"/>
      <c r="FI126" s="567"/>
      <c r="FJ126" s="567"/>
      <c r="FK126" s="567"/>
      <c r="FL126" s="567"/>
      <c r="FM126" s="567"/>
      <c r="FN126" s="567"/>
      <c r="FO126" s="567"/>
      <c r="FP126" s="567"/>
      <c r="FQ126" s="567"/>
      <c r="FR126" s="567"/>
      <c r="FS126" s="567"/>
      <c r="FT126" s="567"/>
      <c r="FU126" s="567"/>
      <c r="FV126" s="567"/>
      <c r="FW126" s="567"/>
      <c r="FX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  <c r="BW127" s="567"/>
      <c r="BX127" s="567"/>
      <c r="BY127" s="567"/>
      <c r="BZ127" s="567"/>
      <c r="CA127" s="567"/>
      <c r="CB127" s="567"/>
      <c r="CC127" s="567"/>
      <c r="CD127" s="567"/>
      <c r="CE127" s="567"/>
      <c r="CF127" s="567"/>
      <c r="CG127" s="567"/>
      <c r="CH127" s="567"/>
      <c r="CI127" s="567"/>
      <c r="CJ127" s="567"/>
      <c r="CK127" s="567"/>
      <c r="CL127" s="567"/>
      <c r="CM127" s="567"/>
      <c r="CN127" s="567"/>
      <c r="CO127" s="567"/>
      <c r="CP127" s="567"/>
      <c r="CQ127" s="567"/>
      <c r="CR127" s="567"/>
      <c r="CS127" s="567"/>
      <c r="CT127" s="567"/>
      <c r="CU127" s="567"/>
      <c r="CV127" s="567"/>
      <c r="CW127" s="567"/>
      <c r="CX127" s="567"/>
      <c r="CY127" s="567"/>
      <c r="CZ127" s="567"/>
      <c r="DA127" s="567"/>
      <c r="DB127" s="567"/>
      <c r="DC127" s="567"/>
      <c r="DD127" s="567"/>
      <c r="DE127" s="567"/>
      <c r="DF127" s="567"/>
      <c r="DG127" s="567"/>
      <c r="DH127" s="567"/>
      <c r="DI127" s="567"/>
      <c r="DJ127" s="567"/>
      <c r="DK127" s="567"/>
      <c r="DL127" s="567"/>
      <c r="DM127" s="567"/>
      <c r="DN127" s="567"/>
      <c r="DO127" s="567"/>
      <c r="DP127" s="567"/>
      <c r="DQ127" s="567"/>
      <c r="DR127" s="567"/>
      <c r="DS127" s="567"/>
      <c r="DT127" s="567"/>
      <c r="DU127" s="567"/>
      <c r="DV127" s="567"/>
      <c r="DW127" s="567"/>
      <c r="DX127" s="567"/>
      <c r="DY127" s="567"/>
      <c r="DZ127" s="567"/>
      <c r="EA127" s="567"/>
      <c r="EB127" s="567"/>
      <c r="EC127" s="567"/>
      <c r="ED127" s="567"/>
      <c r="EE127" s="567"/>
      <c r="EF127" s="567"/>
      <c r="EG127" s="567"/>
      <c r="EH127" s="567"/>
      <c r="EI127" s="567"/>
      <c r="EJ127" s="567"/>
      <c r="EK127" s="567"/>
      <c r="EL127" s="567"/>
      <c r="EM127" s="567"/>
      <c r="EN127" s="567"/>
      <c r="EO127" s="567"/>
      <c r="EP127" s="567"/>
      <c r="EQ127" s="567"/>
      <c r="ER127" s="567"/>
      <c r="ES127" s="567"/>
      <c r="ET127" s="567"/>
      <c r="EU127" s="567"/>
      <c r="EV127" s="567"/>
      <c r="EW127" s="567"/>
      <c r="EX127" s="567"/>
      <c r="EY127" s="567"/>
      <c r="EZ127" s="567"/>
      <c r="FA127" s="567"/>
      <c r="FB127" s="567"/>
      <c r="FC127" s="567"/>
      <c r="FD127" s="567"/>
      <c r="FE127" s="567"/>
      <c r="FF127" s="567"/>
      <c r="FG127" s="567"/>
      <c r="FH127" s="567"/>
      <c r="FI127" s="567"/>
      <c r="FJ127" s="567"/>
      <c r="FK127" s="567"/>
      <c r="FL127" s="567"/>
      <c r="FM127" s="567"/>
      <c r="FN127" s="567"/>
      <c r="FO127" s="567"/>
      <c r="FP127" s="567"/>
      <c r="FQ127" s="567"/>
      <c r="FR127" s="567"/>
      <c r="FS127" s="567"/>
      <c r="FT127" s="567"/>
      <c r="FU127" s="567"/>
      <c r="FV127" s="567"/>
      <c r="FW127" s="567"/>
      <c r="FX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567"/>
      <c r="CI128" s="567"/>
      <c r="CJ128" s="567"/>
      <c r="CK128" s="567"/>
      <c r="CL128" s="567"/>
      <c r="CM128" s="567"/>
      <c r="CN128" s="567"/>
      <c r="CO128" s="567"/>
      <c r="CP128" s="567"/>
      <c r="CQ128" s="567"/>
      <c r="CR128" s="567"/>
      <c r="CS128" s="567"/>
      <c r="CT128" s="567"/>
      <c r="CU128" s="567"/>
      <c r="CV128" s="567"/>
      <c r="CW128" s="567"/>
      <c r="CX128" s="567"/>
      <c r="CY128" s="567"/>
      <c r="CZ128" s="567"/>
      <c r="DA128" s="567"/>
      <c r="DB128" s="567"/>
      <c r="DC128" s="567"/>
      <c r="DD128" s="567"/>
      <c r="DE128" s="567"/>
      <c r="DF128" s="567"/>
      <c r="DG128" s="567"/>
      <c r="DH128" s="567"/>
      <c r="DI128" s="567"/>
      <c r="DJ128" s="567"/>
      <c r="DK128" s="567"/>
      <c r="DL128" s="567"/>
      <c r="DM128" s="567"/>
      <c r="DN128" s="567"/>
      <c r="DO128" s="567"/>
      <c r="DP128" s="567"/>
      <c r="DQ128" s="567"/>
      <c r="DR128" s="567"/>
      <c r="DS128" s="567"/>
      <c r="DT128" s="567"/>
      <c r="DU128" s="567"/>
      <c r="DV128" s="567"/>
      <c r="DW128" s="567"/>
      <c r="DX128" s="567"/>
      <c r="DY128" s="567"/>
      <c r="DZ128" s="567"/>
      <c r="EA128" s="567"/>
      <c r="EB128" s="567"/>
      <c r="EC128" s="567"/>
      <c r="ED128" s="567"/>
      <c r="EE128" s="567"/>
      <c r="EF128" s="567"/>
      <c r="EG128" s="567"/>
      <c r="EH128" s="567"/>
      <c r="EI128" s="567"/>
      <c r="EJ128" s="567"/>
      <c r="EK128" s="567"/>
      <c r="EL128" s="567"/>
      <c r="EM128" s="567"/>
      <c r="EN128" s="567"/>
      <c r="EO128" s="567"/>
      <c r="EP128" s="567"/>
      <c r="EQ128" s="567"/>
      <c r="ER128" s="567"/>
      <c r="ES128" s="567"/>
      <c r="ET128" s="567"/>
      <c r="EU128" s="567"/>
      <c r="EV128" s="567"/>
      <c r="EW128" s="567"/>
      <c r="EX128" s="567"/>
      <c r="EY128" s="567"/>
      <c r="EZ128" s="567"/>
      <c r="FA128" s="567"/>
      <c r="FB128" s="567"/>
      <c r="FC128" s="567"/>
      <c r="FD128" s="567"/>
      <c r="FE128" s="567"/>
      <c r="FF128" s="567"/>
      <c r="FG128" s="567"/>
      <c r="FH128" s="567"/>
      <c r="FI128" s="567"/>
      <c r="FJ128" s="567"/>
      <c r="FK128" s="567"/>
      <c r="FL128" s="567"/>
      <c r="FM128" s="567"/>
      <c r="FN128" s="567"/>
      <c r="FO128" s="567"/>
      <c r="FP128" s="567"/>
      <c r="FQ128" s="567"/>
      <c r="FR128" s="567"/>
      <c r="FS128" s="567"/>
      <c r="FT128" s="567"/>
      <c r="FU128" s="567"/>
      <c r="FV128" s="567"/>
      <c r="FW128" s="567"/>
      <c r="FX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  <c r="CL129" s="567"/>
      <c r="CM129" s="567"/>
      <c r="CN129" s="567"/>
      <c r="CO129" s="567"/>
      <c r="CP129" s="567"/>
      <c r="CQ129" s="567"/>
      <c r="CR129" s="567"/>
      <c r="CS129" s="567"/>
      <c r="CT129" s="567"/>
      <c r="CU129" s="567"/>
      <c r="CV129" s="567"/>
      <c r="CW129" s="567"/>
      <c r="CX129" s="567"/>
      <c r="CY129" s="567"/>
      <c r="CZ129" s="567"/>
      <c r="DA129" s="567"/>
      <c r="DB129" s="567"/>
      <c r="DC129" s="567"/>
      <c r="DD129" s="567"/>
      <c r="DE129" s="567"/>
      <c r="DF129" s="567"/>
      <c r="DG129" s="567"/>
      <c r="DH129" s="567"/>
      <c r="DI129" s="567"/>
      <c r="DJ129" s="567"/>
      <c r="DK129" s="567"/>
      <c r="DL129" s="567"/>
      <c r="DM129" s="567"/>
      <c r="DN129" s="567"/>
      <c r="DO129" s="567"/>
      <c r="DP129" s="567"/>
      <c r="DQ129" s="567"/>
      <c r="DR129" s="567"/>
      <c r="DS129" s="567"/>
      <c r="DT129" s="567"/>
      <c r="DU129" s="567"/>
      <c r="DV129" s="567"/>
      <c r="DW129" s="567"/>
      <c r="DX129" s="567"/>
      <c r="DY129" s="567"/>
      <c r="DZ129" s="567"/>
      <c r="EA129" s="567"/>
      <c r="EB129" s="567"/>
      <c r="EC129" s="567"/>
      <c r="ED129" s="567"/>
      <c r="EE129" s="567"/>
      <c r="EF129" s="567"/>
      <c r="EG129" s="567"/>
      <c r="EH129" s="567"/>
      <c r="EI129" s="567"/>
      <c r="EJ129" s="567"/>
      <c r="EK129" s="567"/>
      <c r="EL129" s="567"/>
      <c r="EM129" s="567"/>
      <c r="EN129" s="567"/>
      <c r="EO129" s="567"/>
      <c r="EP129" s="567"/>
      <c r="EQ129" s="567"/>
      <c r="ER129" s="567"/>
      <c r="ES129" s="567"/>
      <c r="ET129" s="567"/>
      <c r="EU129" s="567"/>
      <c r="EV129" s="567"/>
      <c r="EW129" s="567"/>
      <c r="EX129" s="567"/>
      <c r="EY129" s="567"/>
      <c r="EZ129" s="567"/>
      <c r="FA129" s="567"/>
      <c r="FB129" s="567"/>
      <c r="FC129" s="567"/>
      <c r="FD129" s="567"/>
      <c r="FE129" s="567"/>
      <c r="FF129" s="567"/>
      <c r="FG129" s="567"/>
      <c r="FH129" s="567"/>
      <c r="FI129" s="567"/>
      <c r="FJ129" s="567"/>
      <c r="FK129" s="567"/>
      <c r="FL129" s="567"/>
      <c r="FM129" s="567"/>
      <c r="FN129" s="567"/>
      <c r="FO129" s="567"/>
      <c r="FP129" s="567"/>
      <c r="FQ129" s="567"/>
      <c r="FR129" s="567"/>
      <c r="FS129" s="567"/>
      <c r="FT129" s="567"/>
      <c r="FU129" s="567"/>
      <c r="FV129" s="567"/>
      <c r="FW129" s="567"/>
      <c r="FX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  <c r="BW130" s="567"/>
      <c r="BX130" s="567"/>
      <c r="BY130" s="567"/>
      <c r="BZ130" s="567"/>
      <c r="CA130" s="567"/>
      <c r="CB130" s="567"/>
      <c r="CC130" s="567"/>
      <c r="CD130" s="567"/>
      <c r="CE130" s="567"/>
      <c r="CF130" s="567"/>
      <c r="CG130" s="567"/>
      <c r="CH130" s="567"/>
      <c r="CI130" s="567"/>
      <c r="CJ130" s="567"/>
      <c r="CK130" s="567"/>
      <c r="CL130" s="567"/>
      <c r="CM130" s="567"/>
      <c r="CN130" s="567"/>
      <c r="CO130" s="567"/>
      <c r="CP130" s="567"/>
      <c r="CQ130" s="567"/>
      <c r="CR130" s="567"/>
      <c r="CS130" s="567"/>
      <c r="CT130" s="567"/>
      <c r="CU130" s="567"/>
      <c r="CV130" s="567"/>
      <c r="CW130" s="567"/>
      <c r="CX130" s="567"/>
      <c r="CY130" s="567"/>
      <c r="CZ130" s="567"/>
      <c r="DA130" s="567"/>
      <c r="DB130" s="567"/>
      <c r="DC130" s="567"/>
      <c r="DD130" s="567"/>
      <c r="DE130" s="567"/>
      <c r="DF130" s="567"/>
      <c r="DG130" s="567"/>
      <c r="DH130" s="567"/>
      <c r="DI130" s="567"/>
      <c r="DJ130" s="567"/>
      <c r="DK130" s="567"/>
      <c r="DL130" s="567"/>
      <c r="DM130" s="567"/>
      <c r="DN130" s="567"/>
      <c r="DO130" s="567"/>
      <c r="DP130" s="567"/>
      <c r="DQ130" s="567"/>
      <c r="DR130" s="567"/>
      <c r="DS130" s="567"/>
      <c r="DT130" s="567"/>
      <c r="DU130" s="567"/>
      <c r="DV130" s="567"/>
      <c r="DW130" s="567"/>
      <c r="DX130" s="567"/>
      <c r="DY130" s="567"/>
      <c r="DZ130" s="567"/>
      <c r="EA130" s="567"/>
      <c r="EB130" s="567"/>
      <c r="EC130" s="567"/>
      <c r="ED130" s="567"/>
      <c r="EE130" s="567"/>
      <c r="EF130" s="567"/>
      <c r="EG130" s="567"/>
      <c r="EH130" s="567"/>
      <c r="EI130" s="567"/>
      <c r="EJ130" s="567"/>
      <c r="EK130" s="567"/>
      <c r="EL130" s="567"/>
      <c r="EM130" s="567"/>
      <c r="EN130" s="567"/>
      <c r="EO130" s="567"/>
      <c r="EP130" s="567"/>
      <c r="EQ130" s="567"/>
      <c r="ER130" s="567"/>
      <c r="ES130" s="567"/>
      <c r="ET130" s="567"/>
      <c r="EU130" s="567"/>
      <c r="EV130" s="567"/>
      <c r="EW130" s="567"/>
      <c r="EX130" s="567"/>
      <c r="EY130" s="567"/>
      <c r="EZ130" s="567"/>
      <c r="FA130" s="567"/>
      <c r="FB130" s="567"/>
      <c r="FC130" s="567"/>
      <c r="FD130" s="567"/>
      <c r="FE130" s="567"/>
      <c r="FF130" s="567"/>
      <c r="FG130" s="567"/>
      <c r="FH130" s="567"/>
      <c r="FI130" s="567"/>
      <c r="FJ130" s="567"/>
      <c r="FK130" s="567"/>
      <c r="FL130" s="567"/>
      <c r="FM130" s="567"/>
      <c r="FN130" s="567"/>
      <c r="FO130" s="567"/>
      <c r="FP130" s="567"/>
      <c r="FQ130" s="567"/>
      <c r="FR130" s="567"/>
      <c r="FS130" s="567"/>
      <c r="FT130" s="567"/>
      <c r="FU130" s="567"/>
      <c r="FV130" s="567"/>
      <c r="FW130" s="567"/>
      <c r="FX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  <c r="BW131" s="567"/>
      <c r="BX131" s="567"/>
      <c r="BY131" s="567"/>
      <c r="BZ131" s="567"/>
      <c r="CA131" s="567"/>
      <c r="CB131" s="567"/>
      <c r="CC131" s="567"/>
      <c r="CD131" s="567"/>
      <c r="CE131" s="567"/>
      <c r="CF131" s="567"/>
      <c r="CG131" s="567"/>
      <c r="CH131" s="567"/>
      <c r="CI131" s="567"/>
      <c r="CJ131" s="567"/>
      <c r="CK131" s="567"/>
      <c r="CL131" s="567"/>
      <c r="CM131" s="567"/>
      <c r="CN131" s="567"/>
      <c r="CO131" s="567"/>
      <c r="CP131" s="567"/>
      <c r="CQ131" s="567"/>
      <c r="CR131" s="567"/>
      <c r="CS131" s="567"/>
      <c r="CT131" s="567"/>
      <c r="CU131" s="567"/>
      <c r="CV131" s="567"/>
      <c r="CW131" s="567"/>
      <c r="CX131" s="567"/>
      <c r="CY131" s="567"/>
      <c r="CZ131" s="567"/>
      <c r="DA131" s="567"/>
      <c r="DB131" s="567"/>
      <c r="DC131" s="567"/>
      <c r="DD131" s="567"/>
      <c r="DE131" s="567"/>
      <c r="DF131" s="567"/>
      <c r="DG131" s="567"/>
      <c r="DH131" s="567"/>
      <c r="DI131" s="567"/>
      <c r="DJ131" s="567"/>
      <c r="DK131" s="567"/>
      <c r="DL131" s="567"/>
      <c r="DM131" s="567"/>
      <c r="DN131" s="567"/>
      <c r="DO131" s="567"/>
      <c r="DP131" s="567"/>
      <c r="DQ131" s="567"/>
      <c r="DR131" s="567"/>
      <c r="DS131" s="567"/>
      <c r="DT131" s="567"/>
      <c r="DU131" s="567"/>
      <c r="DV131" s="567"/>
      <c r="DW131" s="567"/>
      <c r="DX131" s="567"/>
      <c r="DY131" s="567"/>
      <c r="DZ131" s="567"/>
      <c r="EA131" s="567"/>
      <c r="EB131" s="567"/>
      <c r="EC131" s="567"/>
      <c r="ED131" s="567"/>
      <c r="EE131" s="567"/>
      <c r="EF131" s="567"/>
      <c r="EG131" s="567"/>
      <c r="EH131" s="567"/>
      <c r="EI131" s="567"/>
      <c r="EJ131" s="567"/>
      <c r="EK131" s="567"/>
      <c r="EL131" s="567"/>
      <c r="EM131" s="567"/>
      <c r="EN131" s="567"/>
      <c r="EO131" s="567"/>
      <c r="EP131" s="567"/>
      <c r="EQ131" s="567"/>
      <c r="ER131" s="567"/>
      <c r="ES131" s="567"/>
      <c r="ET131" s="567"/>
      <c r="EU131" s="567"/>
      <c r="EV131" s="567"/>
      <c r="EW131" s="567"/>
      <c r="EX131" s="567"/>
      <c r="EY131" s="567"/>
      <c r="EZ131" s="567"/>
      <c r="FA131" s="567"/>
      <c r="FB131" s="567"/>
      <c r="FC131" s="567"/>
      <c r="FD131" s="567"/>
      <c r="FE131" s="567"/>
      <c r="FF131" s="567"/>
      <c r="FG131" s="567"/>
      <c r="FH131" s="567"/>
      <c r="FI131" s="567"/>
      <c r="FJ131" s="567"/>
      <c r="FK131" s="567"/>
      <c r="FL131" s="567"/>
      <c r="FM131" s="567"/>
      <c r="FN131" s="567"/>
      <c r="FO131" s="567"/>
      <c r="FP131" s="567"/>
      <c r="FQ131" s="567"/>
      <c r="FR131" s="567"/>
      <c r="FS131" s="567"/>
      <c r="FT131" s="567"/>
      <c r="FU131" s="567"/>
      <c r="FV131" s="567"/>
      <c r="FW131" s="567"/>
      <c r="FX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  <c r="BW132" s="567"/>
      <c r="BX132" s="567"/>
      <c r="BY132" s="567"/>
      <c r="BZ132" s="567"/>
      <c r="CA132" s="567"/>
      <c r="CB132" s="567"/>
      <c r="CC132" s="567"/>
      <c r="CD132" s="567"/>
      <c r="CE132" s="567"/>
      <c r="CF132" s="567"/>
      <c r="CG132" s="567"/>
      <c r="CH132" s="567"/>
      <c r="CI132" s="567"/>
      <c r="CJ132" s="567"/>
      <c r="CK132" s="567"/>
      <c r="CL132" s="567"/>
      <c r="CM132" s="567"/>
      <c r="CN132" s="567"/>
      <c r="CO132" s="567"/>
      <c r="CP132" s="567"/>
      <c r="CQ132" s="567"/>
      <c r="CR132" s="567"/>
      <c r="CS132" s="567"/>
      <c r="CT132" s="567"/>
      <c r="CU132" s="567"/>
      <c r="CV132" s="567"/>
      <c r="CW132" s="567"/>
      <c r="CX132" s="567"/>
      <c r="CY132" s="567"/>
      <c r="CZ132" s="567"/>
      <c r="DA132" s="567"/>
      <c r="DB132" s="567"/>
      <c r="DC132" s="567"/>
      <c r="DD132" s="567"/>
      <c r="DE132" s="567"/>
      <c r="DF132" s="567"/>
      <c r="DG132" s="567"/>
      <c r="DH132" s="567"/>
      <c r="DI132" s="567"/>
      <c r="DJ132" s="567"/>
      <c r="DK132" s="567"/>
      <c r="DL132" s="567"/>
      <c r="DM132" s="567"/>
      <c r="DN132" s="567"/>
      <c r="DO132" s="567"/>
      <c r="DP132" s="567"/>
      <c r="DQ132" s="567"/>
      <c r="DR132" s="567"/>
      <c r="DS132" s="567"/>
      <c r="DT132" s="567"/>
      <c r="DU132" s="567"/>
      <c r="DV132" s="567"/>
      <c r="DW132" s="567"/>
      <c r="DX132" s="567"/>
      <c r="DY132" s="567"/>
      <c r="DZ132" s="567"/>
      <c r="EA132" s="567"/>
      <c r="EB132" s="567"/>
      <c r="EC132" s="567"/>
      <c r="ED132" s="567"/>
      <c r="EE132" s="567"/>
      <c r="EF132" s="567"/>
      <c r="EG132" s="567"/>
      <c r="EH132" s="567"/>
      <c r="EI132" s="567"/>
      <c r="EJ132" s="567"/>
      <c r="EK132" s="567"/>
      <c r="EL132" s="567"/>
      <c r="EM132" s="567"/>
      <c r="EN132" s="567"/>
      <c r="EO132" s="567"/>
      <c r="EP132" s="567"/>
      <c r="EQ132" s="567"/>
      <c r="ER132" s="567"/>
      <c r="ES132" s="567"/>
      <c r="ET132" s="567"/>
      <c r="EU132" s="567"/>
      <c r="EV132" s="567"/>
      <c r="EW132" s="567"/>
      <c r="EX132" s="567"/>
      <c r="EY132" s="567"/>
      <c r="EZ132" s="567"/>
      <c r="FA132" s="567"/>
      <c r="FB132" s="567"/>
      <c r="FC132" s="567"/>
      <c r="FD132" s="567"/>
      <c r="FE132" s="567"/>
      <c r="FF132" s="567"/>
      <c r="FG132" s="567"/>
      <c r="FH132" s="567"/>
      <c r="FI132" s="567"/>
      <c r="FJ132" s="567"/>
      <c r="FK132" s="567"/>
      <c r="FL132" s="567"/>
      <c r="FM132" s="567"/>
      <c r="FN132" s="567"/>
      <c r="FO132" s="567"/>
      <c r="FP132" s="567"/>
      <c r="FQ132" s="567"/>
      <c r="FR132" s="567"/>
      <c r="FS132" s="567"/>
      <c r="FT132" s="567"/>
      <c r="FU132" s="567"/>
      <c r="FV132" s="567"/>
      <c r="FW132" s="567"/>
      <c r="FX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  <c r="BW133" s="567"/>
      <c r="BX133" s="567"/>
      <c r="BY133" s="567"/>
      <c r="BZ133" s="567"/>
      <c r="CA133" s="567"/>
      <c r="CB133" s="567"/>
      <c r="CC133" s="567"/>
      <c r="CD133" s="567"/>
      <c r="CE133" s="567"/>
      <c r="CF133" s="567"/>
      <c r="CG133" s="567"/>
      <c r="CH133" s="567"/>
      <c r="CI133" s="567"/>
      <c r="CJ133" s="567"/>
      <c r="CK133" s="567"/>
      <c r="CL133" s="567"/>
      <c r="CM133" s="567"/>
      <c r="CN133" s="567"/>
      <c r="CO133" s="567"/>
      <c r="CP133" s="567"/>
      <c r="CQ133" s="567"/>
      <c r="CR133" s="567"/>
      <c r="CS133" s="567"/>
      <c r="CT133" s="567"/>
      <c r="CU133" s="567"/>
      <c r="CV133" s="567"/>
      <c r="CW133" s="567"/>
      <c r="CX133" s="567"/>
      <c r="CY133" s="567"/>
      <c r="CZ133" s="567"/>
      <c r="DA133" s="567"/>
      <c r="DB133" s="567"/>
      <c r="DC133" s="567"/>
      <c r="DD133" s="567"/>
      <c r="DE133" s="567"/>
      <c r="DF133" s="567"/>
      <c r="DG133" s="567"/>
      <c r="DH133" s="567"/>
      <c r="DI133" s="567"/>
      <c r="DJ133" s="567"/>
      <c r="DK133" s="567"/>
      <c r="DL133" s="567"/>
      <c r="DM133" s="567"/>
      <c r="DN133" s="567"/>
      <c r="DO133" s="567"/>
      <c r="DP133" s="567"/>
      <c r="DQ133" s="567"/>
      <c r="DR133" s="567"/>
      <c r="DS133" s="567"/>
      <c r="DT133" s="567"/>
      <c r="DU133" s="567"/>
      <c r="DV133" s="567"/>
      <c r="DW133" s="567"/>
      <c r="DX133" s="567"/>
      <c r="DY133" s="567"/>
      <c r="DZ133" s="567"/>
      <c r="EA133" s="567"/>
      <c r="EB133" s="567"/>
      <c r="EC133" s="567"/>
      <c r="ED133" s="567"/>
      <c r="EE133" s="567"/>
      <c r="EF133" s="567"/>
      <c r="EG133" s="567"/>
      <c r="EH133" s="567"/>
      <c r="EI133" s="567"/>
      <c r="EJ133" s="567"/>
      <c r="EK133" s="567"/>
      <c r="EL133" s="567"/>
      <c r="EM133" s="567"/>
      <c r="EN133" s="567"/>
      <c r="EO133" s="567"/>
      <c r="EP133" s="567"/>
      <c r="EQ133" s="567"/>
      <c r="ER133" s="567"/>
      <c r="ES133" s="567"/>
      <c r="ET133" s="567"/>
      <c r="EU133" s="567"/>
      <c r="EV133" s="567"/>
      <c r="EW133" s="567"/>
      <c r="EX133" s="567"/>
      <c r="EY133" s="567"/>
      <c r="EZ133" s="567"/>
      <c r="FA133" s="567"/>
      <c r="FB133" s="567"/>
      <c r="FC133" s="567"/>
      <c r="FD133" s="567"/>
      <c r="FE133" s="567"/>
      <c r="FF133" s="567"/>
      <c r="FG133" s="567"/>
      <c r="FH133" s="567"/>
      <c r="FI133" s="567"/>
      <c r="FJ133" s="567"/>
      <c r="FK133" s="567"/>
      <c r="FL133" s="567"/>
      <c r="FM133" s="567"/>
      <c r="FN133" s="567"/>
      <c r="FO133" s="567"/>
      <c r="FP133" s="567"/>
      <c r="FQ133" s="567"/>
      <c r="FR133" s="567"/>
      <c r="FS133" s="567"/>
      <c r="FT133" s="567"/>
      <c r="FU133" s="567"/>
      <c r="FV133" s="567"/>
      <c r="FW133" s="567"/>
      <c r="FX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  <c r="BW134" s="567"/>
      <c r="BX134" s="567"/>
      <c r="BY134" s="567"/>
      <c r="BZ134" s="567"/>
      <c r="CA134" s="567"/>
      <c r="CB134" s="567"/>
      <c r="CC134" s="567"/>
      <c r="CD134" s="567"/>
      <c r="CE134" s="567"/>
      <c r="CF134" s="567"/>
      <c r="CG134" s="567"/>
      <c r="CH134" s="567"/>
      <c r="CI134" s="567"/>
      <c r="CJ134" s="567"/>
      <c r="CK134" s="567"/>
      <c r="CL134" s="567"/>
      <c r="CM134" s="567"/>
      <c r="CN134" s="567"/>
      <c r="CO134" s="567"/>
      <c r="CP134" s="567"/>
      <c r="CQ134" s="567"/>
      <c r="CR134" s="567"/>
      <c r="CS134" s="567"/>
      <c r="CT134" s="567"/>
      <c r="CU134" s="567"/>
      <c r="CV134" s="567"/>
      <c r="CW134" s="567"/>
      <c r="CX134" s="567"/>
      <c r="CY134" s="567"/>
      <c r="CZ134" s="567"/>
      <c r="DA134" s="567"/>
      <c r="DB134" s="567"/>
      <c r="DC134" s="567"/>
      <c r="DD134" s="567"/>
      <c r="DE134" s="567"/>
      <c r="DF134" s="567"/>
      <c r="DG134" s="567"/>
      <c r="DH134" s="567"/>
      <c r="DI134" s="567"/>
      <c r="DJ134" s="567"/>
      <c r="DK134" s="567"/>
      <c r="DL134" s="567"/>
      <c r="DM134" s="567"/>
      <c r="DN134" s="567"/>
      <c r="DO134" s="567"/>
      <c r="DP134" s="567"/>
      <c r="DQ134" s="567"/>
      <c r="DR134" s="567"/>
      <c r="DS134" s="567"/>
      <c r="DT134" s="567"/>
      <c r="DU134" s="567"/>
      <c r="DV134" s="567"/>
      <c r="DW134" s="567"/>
      <c r="DX134" s="567"/>
      <c r="DY134" s="567"/>
      <c r="DZ134" s="567"/>
      <c r="EA134" s="567"/>
      <c r="EB134" s="567"/>
      <c r="EC134" s="567"/>
      <c r="ED134" s="567"/>
      <c r="EE134" s="567"/>
      <c r="EF134" s="567"/>
      <c r="EG134" s="567"/>
      <c r="EH134" s="567"/>
      <c r="EI134" s="567"/>
      <c r="EJ134" s="567"/>
      <c r="EK134" s="567"/>
      <c r="EL134" s="567"/>
      <c r="EM134" s="567"/>
      <c r="EN134" s="567"/>
      <c r="EO134" s="567"/>
      <c r="EP134" s="567"/>
      <c r="EQ134" s="567"/>
      <c r="ER134" s="567"/>
      <c r="ES134" s="567"/>
      <c r="ET134" s="567"/>
      <c r="EU134" s="567"/>
      <c r="EV134" s="567"/>
      <c r="EW134" s="567"/>
      <c r="EX134" s="567"/>
      <c r="EY134" s="567"/>
      <c r="EZ134" s="567"/>
      <c r="FA134" s="567"/>
      <c r="FB134" s="567"/>
      <c r="FC134" s="567"/>
      <c r="FD134" s="567"/>
      <c r="FE134" s="567"/>
      <c r="FF134" s="567"/>
      <c r="FG134" s="567"/>
      <c r="FH134" s="567"/>
      <c r="FI134" s="567"/>
      <c r="FJ134" s="567"/>
      <c r="FK134" s="567"/>
      <c r="FL134" s="567"/>
      <c r="FM134" s="567"/>
      <c r="FN134" s="567"/>
      <c r="FO134" s="567"/>
      <c r="FP134" s="567"/>
      <c r="FQ134" s="567"/>
      <c r="FR134" s="567"/>
      <c r="FS134" s="567"/>
      <c r="FT134" s="567"/>
      <c r="FU134" s="567"/>
      <c r="FV134" s="567"/>
      <c r="FW134" s="567"/>
      <c r="FX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  <c r="BW135" s="567"/>
      <c r="BX135" s="567"/>
      <c r="BY135" s="567"/>
      <c r="BZ135" s="567"/>
      <c r="CA135" s="567"/>
      <c r="CB135" s="567"/>
      <c r="CC135" s="567"/>
      <c r="CD135" s="567"/>
      <c r="CE135" s="567"/>
      <c r="CF135" s="567"/>
      <c r="CG135" s="567"/>
      <c r="CH135" s="567"/>
      <c r="CI135" s="567"/>
      <c r="CJ135" s="567"/>
      <c r="CK135" s="567"/>
      <c r="CL135" s="567"/>
      <c r="CM135" s="567"/>
      <c r="CN135" s="567"/>
      <c r="CO135" s="567"/>
      <c r="CP135" s="567"/>
      <c r="CQ135" s="567"/>
      <c r="CR135" s="567"/>
      <c r="CS135" s="567"/>
      <c r="CT135" s="567"/>
      <c r="CU135" s="567"/>
      <c r="CV135" s="567"/>
      <c r="CW135" s="567"/>
      <c r="CX135" s="567"/>
      <c r="CY135" s="567"/>
      <c r="CZ135" s="567"/>
      <c r="DA135" s="567"/>
      <c r="DB135" s="567"/>
      <c r="DC135" s="567"/>
      <c r="DD135" s="567"/>
      <c r="DE135" s="567"/>
      <c r="DF135" s="567"/>
      <c r="DG135" s="567"/>
      <c r="DH135" s="567"/>
      <c r="DI135" s="567"/>
      <c r="DJ135" s="567"/>
      <c r="DK135" s="567"/>
      <c r="DL135" s="567"/>
      <c r="DM135" s="567"/>
      <c r="DN135" s="567"/>
      <c r="DO135" s="567"/>
      <c r="DP135" s="567"/>
      <c r="DQ135" s="567"/>
      <c r="DR135" s="567"/>
      <c r="DS135" s="567"/>
      <c r="DT135" s="567"/>
      <c r="DU135" s="567"/>
      <c r="DV135" s="567"/>
      <c r="DW135" s="567"/>
      <c r="DX135" s="567"/>
      <c r="DY135" s="567"/>
      <c r="DZ135" s="567"/>
      <c r="EA135" s="567"/>
      <c r="EB135" s="567"/>
      <c r="EC135" s="567"/>
      <c r="ED135" s="567"/>
      <c r="EE135" s="567"/>
      <c r="EF135" s="567"/>
      <c r="EG135" s="567"/>
      <c r="EH135" s="567"/>
      <c r="EI135" s="567"/>
      <c r="EJ135" s="567"/>
      <c r="EK135" s="567"/>
      <c r="EL135" s="567"/>
      <c r="EM135" s="567"/>
      <c r="EN135" s="567"/>
      <c r="EO135" s="567"/>
      <c r="EP135" s="567"/>
      <c r="EQ135" s="567"/>
      <c r="ER135" s="567"/>
      <c r="ES135" s="567"/>
      <c r="ET135" s="567"/>
      <c r="EU135" s="567"/>
      <c r="EV135" s="567"/>
      <c r="EW135" s="567"/>
      <c r="EX135" s="567"/>
      <c r="EY135" s="567"/>
      <c r="EZ135" s="567"/>
      <c r="FA135" s="567"/>
      <c r="FB135" s="567"/>
      <c r="FC135" s="567"/>
      <c r="FD135" s="567"/>
      <c r="FE135" s="567"/>
      <c r="FF135" s="567"/>
      <c r="FG135" s="567"/>
      <c r="FH135" s="567"/>
      <c r="FI135" s="567"/>
      <c r="FJ135" s="567"/>
      <c r="FK135" s="567"/>
      <c r="FL135" s="567"/>
      <c r="FM135" s="567"/>
      <c r="FN135" s="567"/>
      <c r="FO135" s="567"/>
      <c r="FP135" s="567"/>
      <c r="FQ135" s="567"/>
      <c r="FR135" s="567"/>
      <c r="FS135" s="567"/>
      <c r="FT135" s="567"/>
      <c r="FU135" s="567"/>
      <c r="FV135" s="567"/>
      <c r="FW135" s="567"/>
      <c r="FX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  <c r="BW136" s="567"/>
      <c r="BX136" s="567"/>
      <c r="BY136" s="567"/>
      <c r="BZ136" s="567"/>
      <c r="CA136" s="567"/>
      <c r="CB136" s="567"/>
      <c r="CC136" s="567"/>
      <c r="CD136" s="567"/>
      <c r="CE136" s="567"/>
      <c r="CF136" s="567"/>
      <c r="CG136" s="567"/>
      <c r="CH136" s="567"/>
      <c r="CI136" s="567"/>
      <c r="CJ136" s="567"/>
      <c r="CK136" s="567"/>
      <c r="CL136" s="567"/>
      <c r="CM136" s="567"/>
      <c r="CN136" s="567"/>
      <c r="CO136" s="567"/>
      <c r="CP136" s="567"/>
      <c r="CQ136" s="567"/>
      <c r="CR136" s="567"/>
      <c r="CS136" s="567"/>
      <c r="CT136" s="567"/>
      <c r="CU136" s="567"/>
      <c r="CV136" s="567"/>
      <c r="CW136" s="567"/>
      <c r="CX136" s="567"/>
      <c r="CY136" s="567"/>
      <c r="CZ136" s="567"/>
      <c r="DA136" s="567"/>
      <c r="DB136" s="567"/>
      <c r="DC136" s="567"/>
      <c r="DD136" s="567"/>
      <c r="DE136" s="567"/>
      <c r="DF136" s="567"/>
      <c r="DG136" s="567"/>
      <c r="DH136" s="567"/>
      <c r="DI136" s="567"/>
      <c r="DJ136" s="567"/>
      <c r="DK136" s="567"/>
      <c r="DL136" s="567"/>
      <c r="DM136" s="567"/>
      <c r="DN136" s="567"/>
      <c r="DO136" s="567"/>
      <c r="DP136" s="567"/>
      <c r="DQ136" s="567"/>
      <c r="DR136" s="567"/>
      <c r="DS136" s="567"/>
      <c r="DT136" s="567"/>
      <c r="DU136" s="567"/>
      <c r="DV136" s="567"/>
      <c r="DW136" s="567"/>
      <c r="DX136" s="567"/>
      <c r="DY136" s="567"/>
      <c r="DZ136" s="567"/>
      <c r="EA136" s="567"/>
      <c r="EB136" s="567"/>
      <c r="EC136" s="567"/>
      <c r="ED136" s="567"/>
      <c r="EE136" s="567"/>
      <c r="EF136" s="567"/>
      <c r="EG136" s="567"/>
      <c r="EH136" s="567"/>
      <c r="EI136" s="567"/>
      <c r="EJ136" s="567"/>
      <c r="EK136" s="567"/>
      <c r="EL136" s="567"/>
      <c r="EM136" s="567"/>
      <c r="EN136" s="567"/>
      <c r="EO136" s="567"/>
      <c r="EP136" s="567"/>
      <c r="EQ136" s="567"/>
      <c r="ER136" s="567"/>
      <c r="ES136" s="567"/>
      <c r="ET136" s="567"/>
      <c r="EU136" s="567"/>
      <c r="EV136" s="567"/>
      <c r="EW136" s="567"/>
      <c r="EX136" s="567"/>
      <c r="EY136" s="567"/>
      <c r="EZ136" s="567"/>
      <c r="FA136" s="567"/>
      <c r="FB136" s="567"/>
      <c r="FC136" s="567"/>
      <c r="FD136" s="567"/>
      <c r="FE136" s="567"/>
      <c r="FF136" s="567"/>
      <c r="FG136" s="567"/>
      <c r="FH136" s="567"/>
      <c r="FI136" s="567"/>
      <c r="FJ136" s="567"/>
      <c r="FK136" s="567"/>
      <c r="FL136" s="567"/>
      <c r="FM136" s="567"/>
      <c r="FN136" s="567"/>
      <c r="FO136" s="567"/>
      <c r="FP136" s="567"/>
      <c r="FQ136" s="567"/>
      <c r="FR136" s="567"/>
      <c r="FS136" s="567"/>
      <c r="FT136" s="567"/>
      <c r="FU136" s="567"/>
      <c r="FV136" s="567"/>
      <c r="FW136" s="567"/>
      <c r="FX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  <c r="BW137" s="567"/>
      <c r="BX137" s="567"/>
      <c r="BY137" s="567"/>
      <c r="BZ137" s="567"/>
      <c r="CA137" s="567"/>
      <c r="CB137" s="567"/>
      <c r="CC137" s="567"/>
      <c r="CD137" s="567"/>
      <c r="CE137" s="567"/>
      <c r="CF137" s="567"/>
      <c r="CG137" s="567"/>
      <c r="CH137" s="567"/>
      <c r="CI137" s="567"/>
      <c r="CJ137" s="567"/>
      <c r="CK137" s="567"/>
      <c r="CL137" s="567"/>
      <c r="CM137" s="567"/>
      <c r="CN137" s="567"/>
      <c r="CO137" s="567"/>
      <c r="CP137" s="567"/>
      <c r="CQ137" s="567"/>
      <c r="CR137" s="567"/>
      <c r="CS137" s="567"/>
      <c r="CT137" s="567"/>
      <c r="CU137" s="567"/>
      <c r="CV137" s="567"/>
      <c r="CW137" s="567"/>
      <c r="CX137" s="567"/>
      <c r="CY137" s="567"/>
      <c r="CZ137" s="567"/>
      <c r="DA137" s="567"/>
      <c r="DB137" s="567"/>
      <c r="DC137" s="567"/>
      <c r="DD137" s="567"/>
      <c r="DE137" s="567"/>
      <c r="DF137" s="567"/>
      <c r="DG137" s="567"/>
      <c r="DH137" s="567"/>
      <c r="DI137" s="567"/>
      <c r="DJ137" s="567"/>
      <c r="DK137" s="567"/>
      <c r="DL137" s="567"/>
      <c r="DM137" s="567"/>
      <c r="DN137" s="567"/>
      <c r="DO137" s="567"/>
      <c r="DP137" s="567"/>
      <c r="DQ137" s="567"/>
      <c r="DR137" s="567"/>
      <c r="DS137" s="567"/>
      <c r="DT137" s="567"/>
      <c r="DU137" s="567"/>
      <c r="DV137" s="567"/>
      <c r="DW137" s="567"/>
      <c r="DX137" s="567"/>
      <c r="DY137" s="567"/>
      <c r="DZ137" s="567"/>
      <c r="EA137" s="567"/>
      <c r="EB137" s="567"/>
      <c r="EC137" s="567"/>
      <c r="ED137" s="567"/>
      <c r="EE137" s="567"/>
      <c r="EF137" s="567"/>
      <c r="EG137" s="567"/>
      <c r="EH137" s="567"/>
      <c r="EI137" s="567"/>
      <c r="EJ137" s="567"/>
      <c r="EK137" s="567"/>
      <c r="EL137" s="567"/>
      <c r="EM137" s="567"/>
      <c r="EN137" s="567"/>
      <c r="EO137" s="567"/>
      <c r="EP137" s="567"/>
      <c r="EQ137" s="567"/>
      <c r="ER137" s="567"/>
      <c r="ES137" s="567"/>
      <c r="ET137" s="567"/>
      <c r="EU137" s="567"/>
      <c r="EV137" s="567"/>
      <c r="EW137" s="567"/>
      <c r="EX137" s="567"/>
      <c r="EY137" s="567"/>
      <c r="EZ137" s="567"/>
      <c r="FA137" s="567"/>
      <c r="FB137" s="567"/>
      <c r="FC137" s="567"/>
      <c r="FD137" s="567"/>
      <c r="FE137" s="567"/>
      <c r="FF137" s="567"/>
      <c r="FG137" s="567"/>
      <c r="FH137" s="567"/>
      <c r="FI137" s="567"/>
      <c r="FJ137" s="567"/>
      <c r="FK137" s="567"/>
      <c r="FL137" s="567"/>
      <c r="FM137" s="567"/>
      <c r="FN137" s="567"/>
      <c r="FO137" s="567"/>
      <c r="FP137" s="567"/>
      <c r="FQ137" s="567"/>
      <c r="FR137" s="567"/>
      <c r="FS137" s="567"/>
      <c r="FT137" s="567"/>
      <c r="FU137" s="567"/>
      <c r="FV137" s="567"/>
      <c r="FW137" s="567"/>
      <c r="FX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  <c r="BW138" s="567"/>
      <c r="BX138" s="567"/>
      <c r="BY138" s="567"/>
      <c r="BZ138" s="567"/>
      <c r="CA138" s="567"/>
      <c r="CB138" s="567"/>
      <c r="CC138" s="567"/>
      <c r="CD138" s="567"/>
      <c r="CE138" s="567"/>
      <c r="CF138" s="567"/>
      <c r="CG138" s="567"/>
      <c r="CH138" s="567"/>
      <c r="CI138" s="567"/>
      <c r="CJ138" s="567"/>
      <c r="CK138" s="567"/>
      <c r="CL138" s="567"/>
      <c r="CM138" s="567"/>
      <c r="CN138" s="567"/>
      <c r="CO138" s="567"/>
      <c r="CP138" s="567"/>
      <c r="CQ138" s="567"/>
      <c r="CR138" s="567"/>
      <c r="CS138" s="567"/>
      <c r="CT138" s="567"/>
      <c r="CU138" s="567"/>
      <c r="CV138" s="567"/>
      <c r="CW138" s="567"/>
      <c r="CX138" s="567"/>
      <c r="CY138" s="567"/>
      <c r="CZ138" s="567"/>
      <c r="DA138" s="567"/>
      <c r="DB138" s="567"/>
      <c r="DC138" s="567"/>
      <c r="DD138" s="567"/>
      <c r="DE138" s="567"/>
      <c r="DF138" s="567"/>
      <c r="DG138" s="567"/>
      <c r="DH138" s="567"/>
      <c r="DI138" s="567"/>
      <c r="DJ138" s="567"/>
      <c r="DK138" s="567"/>
      <c r="DL138" s="567"/>
      <c r="DM138" s="567"/>
      <c r="DN138" s="567"/>
      <c r="DO138" s="567"/>
      <c r="DP138" s="567"/>
      <c r="DQ138" s="567"/>
      <c r="DR138" s="567"/>
      <c r="DS138" s="567"/>
      <c r="DT138" s="567"/>
      <c r="DU138" s="567"/>
      <c r="DV138" s="567"/>
      <c r="DW138" s="567"/>
      <c r="DX138" s="567"/>
      <c r="DY138" s="567"/>
      <c r="DZ138" s="567"/>
      <c r="EA138" s="567"/>
      <c r="EB138" s="567"/>
      <c r="EC138" s="567"/>
      <c r="ED138" s="567"/>
      <c r="EE138" s="567"/>
      <c r="EF138" s="567"/>
      <c r="EG138" s="567"/>
      <c r="EH138" s="567"/>
      <c r="EI138" s="567"/>
      <c r="EJ138" s="567"/>
      <c r="EK138" s="567"/>
      <c r="EL138" s="567"/>
      <c r="EM138" s="567"/>
      <c r="EN138" s="567"/>
      <c r="EO138" s="567"/>
      <c r="EP138" s="567"/>
      <c r="EQ138" s="567"/>
      <c r="ER138" s="567"/>
      <c r="ES138" s="567"/>
      <c r="ET138" s="567"/>
      <c r="EU138" s="567"/>
      <c r="EV138" s="567"/>
      <c r="EW138" s="567"/>
      <c r="EX138" s="567"/>
      <c r="EY138" s="567"/>
      <c r="EZ138" s="567"/>
      <c r="FA138" s="567"/>
      <c r="FB138" s="567"/>
      <c r="FC138" s="567"/>
      <c r="FD138" s="567"/>
      <c r="FE138" s="567"/>
      <c r="FF138" s="567"/>
      <c r="FG138" s="567"/>
      <c r="FH138" s="567"/>
      <c r="FI138" s="567"/>
      <c r="FJ138" s="567"/>
      <c r="FK138" s="567"/>
      <c r="FL138" s="567"/>
      <c r="FM138" s="567"/>
      <c r="FN138" s="567"/>
      <c r="FO138" s="567"/>
      <c r="FP138" s="567"/>
      <c r="FQ138" s="567"/>
      <c r="FR138" s="567"/>
      <c r="FS138" s="567"/>
      <c r="FT138" s="567"/>
      <c r="FU138" s="567"/>
      <c r="FV138" s="567"/>
      <c r="FW138" s="567"/>
      <c r="FX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  <c r="BW139" s="567"/>
      <c r="BX139" s="567"/>
      <c r="BY139" s="567"/>
      <c r="BZ139" s="567"/>
      <c r="CA139" s="567"/>
      <c r="CB139" s="567"/>
      <c r="CC139" s="567"/>
      <c r="CD139" s="567"/>
      <c r="CE139" s="567"/>
      <c r="CF139" s="567"/>
      <c r="CG139" s="567"/>
      <c r="CH139" s="567"/>
      <c r="CI139" s="567"/>
      <c r="CJ139" s="567"/>
      <c r="CK139" s="567"/>
      <c r="CL139" s="567"/>
      <c r="CM139" s="567"/>
      <c r="CN139" s="567"/>
      <c r="CO139" s="567"/>
      <c r="CP139" s="567"/>
      <c r="CQ139" s="567"/>
      <c r="CR139" s="567"/>
      <c r="CS139" s="567"/>
      <c r="CT139" s="567"/>
      <c r="CU139" s="567"/>
      <c r="CV139" s="567"/>
      <c r="CW139" s="567"/>
      <c r="CX139" s="567"/>
      <c r="CY139" s="567"/>
      <c r="CZ139" s="567"/>
      <c r="DA139" s="567"/>
      <c r="DB139" s="567"/>
      <c r="DC139" s="567"/>
      <c r="DD139" s="567"/>
      <c r="DE139" s="567"/>
      <c r="DF139" s="567"/>
      <c r="DG139" s="567"/>
      <c r="DH139" s="567"/>
      <c r="DI139" s="567"/>
      <c r="DJ139" s="567"/>
      <c r="DK139" s="567"/>
      <c r="DL139" s="567"/>
      <c r="DM139" s="567"/>
      <c r="DN139" s="567"/>
      <c r="DO139" s="567"/>
      <c r="DP139" s="567"/>
      <c r="DQ139" s="567"/>
      <c r="DR139" s="567"/>
      <c r="DS139" s="567"/>
      <c r="DT139" s="567"/>
      <c r="DU139" s="567"/>
      <c r="DV139" s="567"/>
      <c r="DW139" s="567"/>
      <c r="DX139" s="567"/>
      <c r="DY139" s="567"/>
      <c r="DZ139" s="567"/>
      <c r="EA139" s="567"/>
      <c r="EB139" s="567"/>
      <c r="EC139" s="567"/>
      <c r="ED139" s="567"/>
      <c r="EE139" s="567"/>
      <c r="EF139" s="567"/>
      <c r="EG139" s="567"/>
      <c r="EH139" s="567"/>
      <c r="EI139" s="567"/>
      <c r="EJ139" s="567"/>
      <c r="EK139" s="567"/>
      <c r="EL139" s="567"/>
      <c r="EM139" s="567"/>
      <c r="EN139" s="567"/>
      <c r="EO139" s="567"/>
      <c r="EP139" s="567"/>
      <c r="EQ139" s="567"/>
      <c r="ER139" s="567"/>
      <c r="ES139" s="567"/>
      <c r="ET139" s="567"/>
      <c r="EU139" s="567"/>
      <c r="EV139" s="567"/>
      <c r="EW139" s="567"/>
      <c r="EX139" s="567"/>
      <c r="EY139" s="567"/>
      <c r="EZ139" s="567"/>
      <c r="FA139" s="567"/>
      <c r="FB139" s="567"/>
      <c r="FC139" s="567"/>
      <c r="FD139" s="567"/>
      <c r="FE139" s="567"/>
      <c r="FF139" s="567"/>
      <c r="FG139" s="567"/>
      <c r="FH139" s="567"/>
      <c r="FI139" s="567"/>
      <c r="FJ139" s="567"/>
      <c r="FK139" s="567"/>
      <c r="FL139" s="567"/>
      <c r="FM139" s="567"/>
      <c r="FN139" s="567"/>
      <c r="FO139" s="567"/>
      <c r="FP139" s="567"/>
      <c r="FQ139" s="567"/>
      <c r="FR139" s="567"/>
      <c r="FS139" s="567"/>
      <c r="FT139" s="567"/>
      <c r="FU139" s="567"/>
      <c r="FV139" s="567"/>
      <c r="FW139" s="567"/>
      <c r="FX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  <c r="BW140" s="567"/>
      <c r="BX140" s="567"/>
      <c r="BY140" s="567"/>
      <c r="BZ140" s="567"/>
      <c r="CA140" s="567"/>
      <c r="CB140" s="567"/>
      <c r="CC140" s="567"/>
      <c r="CD140" s="567"/>
      <c r="CE140" s="567"/>
      <c r="CF140" s="567"/>
      <c r="CG140" s="567"/>
      <c r="CH140" s="567"/>
      <c r="CI140" s="567"/>
      <c r="CJ140" s="567"/>
      <c r="CK140" s="567"/>
      <c r="CL140" s="567"/>
      <c r="CM140" s="567"/>
      <c r="CN140" s="567"/>
      <c r="CO140" s="567"/>
      <c r="CP140" s="567"/>
      <c r="CQ140" s="567"/>
      <c r="CR140" s="567"/>
      <c r="CS140" s="567"/>
      <c r="CT140" s="567"/>
      <c r="CU140" s="567"/>
      <c r="CV140" s="567"/>
      <c r="CW140" s="567"/>
      <c r="CX140" s="567"/>
      <c r="CY140" s="567"/>
      <c r="CZ140" s="567"/>
      <c r="DA140" s="567"/>
      <c r="DB140" s="567"/>
      <c r="DC140" s="567"/>
      <c r="DD140" s="567"/>
      <c r="DE140" s="567"/>
      <c r="DF140" s="567"/>
      <c r="DG140" s="567"/>
      <c r="DH140" s="567"/>
      <c r="DI140" s="567"/>
      <c r="DJ140" s="567"/>
      <c r="DK140" s="567"/>
      <c r="DL140" s="567"/>
      <c r="DM140" s="567"/>
      <c r="DN140" s="567"/>
      <c r="DO140" s="567"/>
      <c r="DP140" s="567"/>
      <c r="DQ140" s="567"/>
      <c r="DR140" s="567"/>
      <c r="DS140" s="567"/>
      <c r="DT140" s="567"/>
      <c r="DU140" s="567"/>
      <c r="DV140" s="567"/>
      <c r="DW140" s="567"/>
      <c r="DX140" s="567"/>
      <c r="DY140" s="567"/>
      <c r="DZ140" s="567"/>
      <c r="EA140" s="567"/>
      <c r="EB140" s="567"/>
      <c r="EC140" s="567"/>
      <c r="ED140" s="567"/>
      <c r="EE140" s="567"/>
      <c r="EF140" s="567"/>
      <c r="EG140" s="567"/>
      <c r="EH140" s="567"/>
      <c r="EI140" s="567"/>
      <c r="EJ140" s="567"/>
      <c r="EK140" s="567"/>
      <c r="EL140" s="567"/>
      <c r="EM140" s="567"/>
      <c r="EN140" s="567"/>
      <c r="EO140" s="567"/>
      <c r="EP140" s="567"/>
      <c r="EQ140" s="567"/>
      <c r="ER140" s="567"/>
      <c r="ES140" s="567"/>
      <c r="ET140" s="567"/>
      <c r="EU140" s="567"/>
      <c r="EV140" s="567"/>
      <c r="EW140" s="567"/>
      <c r="EX140" s="567"/>
      <c r="EY140" s="567"/>
      <c r="EZ140" s="567"/>
      <c r="FA140" s="567"/>
      <c r="FB140" s="567"/>
      <c r="FC140" s="567"/>
      <c r="FD140" s="567"/>
      <c r="FE140" s="567"/>
      <c r="FF140" s="567"/>
      <c r="FG140" s="567"/>
      <c r="FH140" s="567"/>
      <c r="FI140" s="567"/>
      <c r="FJ140" s="567"/>
      <c r="FK140" s="567"/>
      <c r="FL140" s="567"/>
      <c r="FM140" s="567"/>
      <c r="FN140" s="567"/>
      <c r="FO140" s="567"/>
      <c r="FP140" s="567"/>
      <c r="FQ140" s="567"/>
      <c r="FR140" s="567"/>
      <c r="FS140" s="567"/>
      <c r="FT140" s="567"/>
      <c r="FU140" s="567"/>
      <c r="FV140" s="567"/>
      <c r="FW140" s="567"/>
      <c r="FX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  <c r="BW141" s="567"/>
      <c r="BX141" s="567"/>
      <c r="BY141" s="567"/>
      <c r="BZ141" s="567"/>
      <c r="CA141" s="567"/>
      <c r="CB141" s="567"/>
      <c r="CC141" s="567"/>
      <c r="CD141" s="567"/>
      <c r="CE141" s="567"/>
      <c r="CF141" s="567"/>
      <c r="CG141" s="567"/>
      <c r="CH141" s="567"/>
      <c r="CI141" s="567"/>
      <c r="CJ141" s="567"/>
      <c r="CK141" s="567"/>
      <c r="CL141" s="567"/>
      <c r="CM141" s="567"/>
      <c r="CN141" s="567"/>
      <c r="CO141" s="567"/>
      <c r="CP141" s="567"/>
      <c r="CQ141" s="567"/>
      <c r="CR141" s="567"/>
      <c r="CS141" s="567"/>
      <c r="CT141" s="567"/>
      <c r="CU141" s="567"/>
      <c r="CV141" s="567"/>
      <c r="CW141" s="567"/>
      <c r="CX141" s="567"/>
      <c r="CY141" s="567"/>
      <c r="CZ141" s="567"/>
      <c r="DA141" s="567"/>
      <c r="DB141" s="567"/>
      <c r="DC141" s="567"/>
      <c r="DD141" s="567"/>
      <c r="DE141" s="567"/>
      <c r="DF141" s="567"/>
      <c r="DG141" s="567"/>
      <c r="DH141" s="567"/>
      <c r="DI141" s="567"/>
      <c r="DJ141" s="567"/>
      <c r="DK141" s="567"/>
      <c r="DL141" s="567"/>
      <c r="DM141" s="567"/>
      <c r="DN141" s="567"/>
      <c r="DO141" s="567"/>
      <c r="DP141" s="567"/>
      <c r="DQ141" s="567"/>
      <c r="DR141" s="567"/>
      <c r="DS141" s="567"/>
      <c r="DT141" s="567"/>
      <c r="DU141" s="567"/>
      <c r="DV141" s="567"/>
      <c r="DW141" s="567"/>
      <c r="DX141" s="567"/>
      <c r="DY141" s="567"/>
      <c r="DZ141" s="567"/>
      <c r="EA141" s="567"/>
      <c r="EB141" s="567"/>
      <c r="EC141" s="567"/>
      <c r="ED141" s="567"/>
      <c r="EE141" s="567"/>
      <c r="EF141" s="567"/>
      <c r="EG141" s="567"/>
      <c r="EH141" s="567"/>
      <c r="EI141" s="567"/>
      <c r="EJ141" s="567"/>
      <c r="EK141" s="567"/>
      <c r="EL141" s="567"/>
      <c r="EM141" s="567"/>
      <c r="EN141" s="567"/>
      <c r="EO141" s="567"/>
      <c r="EP141" s="567"/>
      <c r="EQ141" s="567"/>
      <c r="ER141" s="567"/>
      <c r="ES141" s="567"/>
      <c r="ET141" s="567"/>
      <c r="EU141" s="567"/>
      <c r="EV141" s="567"/>
      <c r="EW141" s="567"/>
      <c r="EX141" s="567"/>
      <c r="EY141" s="567"/>
      <c r="EZ141" s="567"/>
      <c r="FA141" s="567"/>
      <c r="FB141" s="567"/>
      <c r="FC141" s="567"/>
      <c r="FD141" s="567"/>
      <c r="FE141" s="567"/>
      <c r="FF141" s="567"/>
      <c r="FG141" s="567"/>
      <c r="FH141" s="567"/>
      <c r="FI141" s="567"/>
      <c r="FJ141" s="567"/>
      <c r="FK141" s="567"/>
      <c r="FL141" s="567"/>
      <c r="FM141" s="567"/>
      <c r="FN141" s="567"/>
      <c r="FO141" s="567"/>
      <c r="FP141" s="567"/>
      <c r="FQ141" s="567"/>
      <c r="FR141" s="567"/>
      <c r="FS141" s="567"/>
      <c r="FT141" s="567"/>
      <c r="FU141" s="567"/>
      <c r="FV141" s="567"/>
      <c r="FW141" s="567"/>
      <c r="FX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  <c r="BW142" s="567"/>
      <c r="BX142" s="567"/>
      <c r="BY142" s="567"/>
      <c r="BZ142" s="567"/>
      <c r="CA142" s="567"/>
      <c r="CB142" s="567"/>
      <c r="CC142" s="567"/>
      <c r="CD142" s="567"/>
      <c r="CE142" s="567"/>
      <c r="CF142" s="567"/>
      <c r="CG142" s="567"/>
      <c r="CH142" s="567"/>
      <c r="CI142" s="567"/>
      <c r="CJ142" s="567"/>
      <c r="CK142" s="567"/>
      <c r="CL142" s="567"/>
      <c r="CM142" s="567"/>
      <c r="CN142" s="567"/>
      <c r="CO142" s="567"/>
      <c r="CP142" s="567"/>
      <c r="CQ142" s="567"/>
      <c r="CR142" s="567"/>
      <c r="CS142" s="567"/>
      <c r="CT142" s="567"/>
      <c r="CU142" s="567"/>
      <c r="CV142" s="567"/>
      <c r="CW142" s="567"/>
      <c r="CX142" s="567"/>
      <c r="CY142" s="567"/>
      <c r="CZ142" s="567"/>
      <c r="DA142" s="567"/>
      <c r="DB142" s="567"/>
      <c r="DC142" s="567"/>
      <c r="DD142" s="567"/>
      <c r="DE142" s="567"/>
      <c r="DF142" s="567"/>
      <c r="DG142" s="567"/>
      <c r="DH142" s="567"/>
      <c r="DI142" s="567"/>
      <c r="DJ142" s="567"/>
      <c r="DK142" s="567"/>
      <c r="DL142" s="567"/>
      <c r="DM142" s="567"/>
      <c r="DN142" s="567"/>
      <c r="DO142" s="567"/>
      <c r="DP142" s="567"/>
      <c r="DQ142" s="567"/>
      <c r="DR142" s="567"/>
      <c r="DS142" s="567"/>
      <c r="DT142" s="567"/>
      <c r="DU142" s="567"/>
      <c r="DV142" s="567"/>
      <c r="DW142" s="567"/>
      <c r="DX142" s="567"/>
      <c r="DY142" s="567"/>
      <c r="DZ142" s="567"/>
      <c r="EA142" s="567"/>
      <c r="EB142" s="567"/>
      <c r="EC142" s="567"/>
      <c r="ED142" s="567"/>
      <c r="EE142" s="567"/>
      <c r="EF142" s="567"/>
      <c r="EG142" s="567"/>
      <c r="EH142" s="567"/>
      <c r="EI142" s="567"/>
      <c r="EJ142" s="567"/>
      <c r="EK142" s="567"/>
      <c r="EL142" s="567"/>
      <c r="EM142" s="567"/>
      <c r="EN142" s="567"/>
      <c r="EO142" s="567"/>
      <c r="EP142" s="567"/>
      <c r="EQ142" s="567"/>
      <c r="ER142" s="567"/>
      <c r="ES142" s="567"/>
      <c r="ET142" s="567"/>
      <c r="EU142" s="567"/>
      <c r="EV142" s="567"/>
      <c r="EW142" s="567"/>
      <c r="EX142" s="567"/>
      <c r="EY142" s="567"/>
      <c r="EZ142" s="567"/>
      <c r="FA142" s="567"/>
      <c r="FB142" s="567"/>
      <c r="FC142" s="567"/>
      <c r="FD142" s="567"/>
      <c r="FE142" s="567"/>
      <c r="FF142" s="567"/>
      <c r="FG142" s="567"/>
      <c r="FH142" s="567"/>
      <c r="FI142" s="567"/>
      <c r="FJ142" s="567"/>
      <c r="FK142" s="567"/>
      <c r="FL142" s="567"/>
      <c r="FM142" s="567"/>
      <c r="FN142" s="567"/>
      <c r="FO142" s="567"/>
      <c r="FP142" s="567"/>
      <c r="FQ142" s="567"/>
      <c r="FR142" s="567"/>
      <c r="FS142" s="567"/>
      <c r="FT142" s="567"/>
      <c r="FU142" s="567"/>
      <c r="FV142" s="567"/>
      <c r="FW142" s="567"/>
      <c r="FX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  <c r="BW143" s="567"/>
      <c r="BX143" s="567"/>
      <c r="BY143" s="567"/>
      <c r="BZ143" s="567"/>
      <c r="CA143" s="567"/>
      <c r="CB143" s="567"/>
      <c r="CC143" s="567"/>
      <c r="CD143" s="567"/>
      <c r="CE143" s="567"/>
      <c r="CF143" s="567"/>
      <c r="CG143" s="567"/>
      <c r="CH143" s="567"/>
      <c r="CI143" s="567"/>
      <c r="CJ143" s="567"/>
      <c r="CK143" s="567"/>
      <c r="CL143" s="567"/>
      <c r="CM143" s="567"/>
      <c r="CN143" s="567"/>
      <c r="CO143" s="567"/>
      <c r="CP143" s="567"/>
      <c r="CQ143" s="567"/>
      <c r="CR143" s="567"/>
      <c r="CS143" s="567"/>
      <c r="CT143" s="567"/>
      <c r="CU143" s="567"/>
      <c r="CV143" s="567"/>
      <c r="CW143" s="567"/>
      <c r="CX143" s="567"/>
      <c r="CY143" s="567"/>
      <c r="CZ143" s="567"/>
      <c r="DA143" s="567"/>
      <c r="DB143" s="567"/>
      <c r="DC143" s="567"/>
      <c r="DD143" s="567"/>
      <c r="DE143" s="567"/>
      <c r="DF143" s="567"/>
      <c r="DG143" s="567"/>
      <c r="DH143" s="567"/>
      <c r="DI143" s="567"/>
      <c r="DJ143" s="567"/>
      <c r="DK143" s="567"/>
      <c r="DL143" s="567"/>
      <c r="DM143" s="567"/>
      <c r="DN143" s="567"/>
      <c r="DO143" s="567"/>
      <c r="DP143" s="567"/>
      <c r="DQ143" s="567"/>
      <c r="DR143" s="567"/>
      <c r="DS143" s="567"/>
      <c r="DT143" s="567"/>
      <c r="DU143" s="567"/>
      <c r="DV143" s="567"/>
      <c r="DW143" s="567"/>
      <c r="DX143" s="567"/>
      <c r="DY143" s="567"/>
      <c r="DZ143" s="567"/>
      <c r="EA143" s="567"/>
      <c r="EB143" s="567"/>
      <c r="EC143" s="567"/>
      <c r="ED143" s="567"/>
      <c r="EE143" s="567"/>
      <c r="EF143" s="567"/>
      <c r="EG143" s="567"/>
      <c r="EH143" s="567"/>
      <c r="EI143" s="567"/>
      <c r="EJ143" s="567"/>
      <c r="EK143" s="567"/>
      <c r="EL143" s="567"/>
      <c r="EM143" s="567"/>
      <c r="EN143" s="567"/>
      <c r="EO143" s="567"/>
      <c r="EP143" s="567"/>
      <c r="EQ143" s="567"/>
      <c r="ER143" s="567"/>
      <c r="ES143" s="567"/>
      <c r="ET143" s="567"/>
      <c r="EU143" s="567"/>
      <c r="EV143" s="567"/>
      <c r="EW143" s="567"/>
      <c r="EX143" s="567"/>
      <c r="EY143" s="567"/>
      <c r="EZ143" s="567"/>
      <c r="FA143" s="567"/>
      <c r="FB143" s="567"/>
      <c r="FC143" s="567"/>
      <c r="FD143" s="567"/>
      <c r="FE143" s="567"/>
      <c r="FF143" s="567"/>
      <c r="FG143" s="567"/>
      <c r="FH143" s="567"/>
      <c r="FI143" s="567"/>
      <c r="FJ143" s="567"/>
      <c r="FK143" s="567"/>
      <c r="FL143" s="567"/>
      <c r="FM143" s="567"/>
      <c r="FN143" s="567"/>
      <c r="FO143" s="567"/>
      <c r="FP143" s="567"/>
      <c r="FQ143" s="567"/>
      <c r="FR143" s="567"/>
      <c r="FS143" s="567"/>
      <c r="FT143" s="567"/>
      <c r="FU143" s="567"/>
      <c r="FV143" s="567"/>
      <c r="FW143" s="567"/>
      <c r="FX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  <c r="BW144" s="567"/>
      <c r="BX144" s="567"/>
      <c r="BY144" s="567"/>
      <c r="BZ144" s="567"/>
      <c r="CA144" s="567"/>
      <c r="CB144" s="567"/>
      <c r="CC144" s="567"/>
      <c r="CD144" s="567"/>
      <c r="CE144" s="567"/>
      <c r="CF144" s="567"/>
      <c r="CG144" s="567"/>
      <c r="CH144" s="567"/>
      <c r="CI144" s="567"/>
      <c r="CJ144" s="567"/>
      <c r="CK144" s="567"/>
      <c r="CL144" s="567"/>
      <c r="CM144" s="567"/>
      <c r="CN144" s="567"/>
      <c r="CO144" s="567"/>
      <c r="CP144" s="567"/>
      <c r="CQ144" s="567"/>
      <c r="CR144" s="567"/>
      <c r="CS144" s="567"/>
      <c r="CT144" s="567"/>
      <c r="CU144" s="567"/>
      <c r="CV144" s="567"/>
      <c r="CW144" s="567"/>
      <c r="CX144" s="567"/>
      <c r="CY144" s="567"/>
      <c r="CZ144" s="567"/>
      <c r="DA144" s="567"/>
      <c r="DB144" s="567"/>
      <c r="DC144" s="567"/>
      <c r="DD144" s="567"/>
      <c r="DE144" s="567"/>
      <c r="DF144" s="567"/>
      <c r="DG144" s="567"/>
      <c r="DH144" s="567"/>
      <c r="DI144" s="567"/>
      <c r="DJ144" s="567"/>
      <c r="DK144" s="567"/>
      <c r="DL144" s="567"/>
      <c r="DM144" s="567"/>
      <c r="DN144" s="567"/>
      <c r="DO144" s="567"/>
      <c r="DP144" s="567"/>
      <c r="DQ144" s="567"/>
      <c r="DR144" s="567"/>
      <c r="DS144" s="567"/>
      <c r="DT144" s="567"/>
      <c r="DU144" s="567"/>
      <c r="DV144" s="567"/>
      <c r="DW144" s="567"/>
      <c r="DX144" s="567"/>
      <c r="DY144" s="567"/>
      <c r="DZ144" s="567"/>
      <c r="EA144" s="567"/>
      <c r="EB144" s="567"/>
      <c r="EC144" s="567"/>
      <c r="ED144" s="567"/>
      <c r="EE144" s="567"/>
      <c r="EF144" s="567"/>
      <c r="EG144" s="567"/>
      <c r="EH144" s="567"/>
      <c r="EI144" s="567"/>
      <c r="EJ144" s="567"/>
      <c r="EK144" s="567"/>
      <c r="EL144" s="567"/>
      <c r="EM144" s="567"/>
      <c r="EN144" s="567"/>
      <c r="EO144" s="567"/>
      <c r="EP144" s="567"/>
      <c r="EQ144" s="567"/>
      <c r="ER144" s="567"/>
      <c r="ES144" s="567"/>
      <c r="ET144" s="567"/>
      <c r="EU144" s="567"/>
      <c r="EV144" s="567"/>
      <c r="EW144" s="567"/>
      <c r="EX144" s="567"/>
      <c r="EY144" s="567"/>
      <c r="EZ144" s="567"/>
      <c r="FA144" s="567"/>
      <c r="FB144" s="567"/>
      <c r="FC144" s="567"/>
      <c r="FD144" s="567"/>
      <c r="FE144" s="567"/>
      <c r="FF144" s="567"/>
      <c r="FG144" s="567"/>
      <c r="FH144" s="567"/>
      <c r="FI144" s="567"/>
      <c r="FJ144" s="567"/>
      <c r="FK144" s="567"/>
      <c r="FL144" s="567"/>
      <c r="FM144" s="567"/>
      <c r="FN144" s="567"/>
      <c r="FO144" s="567"/>
      <c r="FP144" s="567"/>
      <c r="FQ144" s="567"/>
      <c r="FR144" s="567"/>
      <c r="FS144" s="567"/>
      <c r="FT144" s="567"/>
      <c r="FU144" s="567"/>
      <c r="FV144" s="567"/>
      <c r="FW144" s="567"/>
      <c r="FX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  <c r="BW145" s="567"/>
      <c r="BX145" s="567"/>
      <c r="BY145" s="567"/>
      <c r="BZ145" s="567"/>
      <c r="CA145" s="567"/>
      <c r="CB145" s="567"/>
      <c r="CC145" s="567"/>
      <c r="CD145" s="567"/>
      <c r="CE145" s="567"/>
      <c r="CF145" s="567"/>
      <c r="CG145" s="567"/>
      <c r="CH145" s="567"/>
      <c r="CI145" s="567"/>
      <c r="CJ145" s="567"/>
      <c r="CK145" s="567"/>
      <c r="CL145" s="567"/>
      <c r="CM145" s="567"/>
      <c r="CN145" s="567"/>
      <c r="CO145" s="567"/>
      <c r="CP145" s="567"/>
      <c r="CQ145" s="567"/>
      <c r="CR145" s="567"/>
      <c r="CS145" s="567"/>
      <c r="CT145" s="567"/>
      <c r="CU145" s="567"/>
      <c r="CV145" s="567"/>
      <c r="CW145" s="567"/>
      <c r="CX145" s="567"/>
      <c r="CY145" s="567"/>
      <c r="CZ145" s="567"/>
      <c r="DA145" s="567"/>
      <c r="DB145" s="567"/>
      <c r="DC145" s="567"/>
      <c r="DD145" s="567"/>
      <c r="DE145" s="567"/>
      <c r="DF145" s="567"/>
      <c r="DG145" s="567"/>
      <c r="DH145" s="567"/>
      <c r="DI145" s="567"/>
      <c r="DJ145" s="567"/>
      <c r="DK145" s="567"/>
      <c r="DL145" s="567"/>
      <c r="DM145" s="567"/>
      <c r="DN145" s="567"/>
      <c r="DO145" s="567"/>
      <c r="DP145" s="567"/>
      <c r="DQ145" s="567"/>
      <c r="DR145" s="567"/>
      <c r="DS145" s="567"/>
      <c r="DT145" s="567"/>
      <c r="DU145" s="567"/>
      <c r="DV145" s="567"/>
      <c r="DW145" s="567"/>
      <c r="DX145" s="567"/>
      <c r="DY145" s="567"/>
      <c r="DZ145" s="567"/>
      <c r="EA145" s="567"/>
      <c r="EB145" s="567"/>
      <c r="EC145" s="567"/>
      <c r="ED145" s="567"/>
      <c r="EE145" s="567"/>
      <c r="EF145" s="567"/>
      <c r="EG145" s="567"/>
      <c r="EH145" s="567"/>
      <c r="EI145" s="567"/>
      <c r="EJ145" s="567"/>
      <c r="EK145" s="567"/>
      <c r="EL145" s="567"/>
      <c r="EM145" s="567"/>
      <c r="EN145" s="567"/>
      <c r="EO145" s="567"/>
      <c r="EP145" s="567"/>
      <c r="EQ145" s="567"/>
      <c r="ER145" s="567"/>
      <c r="ES145" s="567"/>
      <c r="ET145" s="567"/>
      <c r="EU145" s="567"/>
      <c r="EV145" s="567"/>
      <c r="EW145" s="567"/>
      <c r="EX145" s="567"/>
      <c r="EY145" s="567"/>
      <c r="EZ145" s="567"/>
      <c r="FA145" s="567"/>
      <c r="FB145" s="567"/>
      <c r="FC145" s="567"/>
      <c r="FD145" s="567"/>
      <c r="FE145" s="567"/>
      <c r="FF145" s="567"/>
      <c r="FG145" s="567"/>
      <c r="FH145" s="567"/>
      <c r="FI145" s="567"/>
      <c r="FJ145" s="567"/>
      <c r="FK145" s="567"/>
      <c r="FL145" s="567"/>
      <c r="FM145" s="567"/>
      <c r="FN145" s="567"/>
      <c r="FO145" s="567"/>
      <c r="FP145" s="567"/>
      <c r="FQ145" s="567"/>
      <c r="FR145" s="567"/>
      <c r="FS145" s="567"/>
      <c r="FT145" s="567"/>
      <c r="FU145" s="567"/>
      <c r="FV145" s="567"/>
      <c r="FW145" s="567"/>
      <c r="FX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  <c r="BW146" s="567"/>
      <c r="BX146" s="567"/>
      <c r="BY146" s="567"/>
      <c r="BZ146" s="567"/>
      <c r="CA146" s="567"/>
      <c r="CB146" s="567"/>
      <c r="CC146" s="567"/>
      <c r="CD146" s="567"/>
      <c r="CE146" s="567"/>
      <c r="CF146" s="567"/>
      <c r="CG146" s="567"/>
      <c r="CH146" s="567"/>
      <c r="CI146" s="567"/>
      <c r="CJ146" s="567"/>
      <c r="CK146" s="567"/>
      <c r="CL146" s="567"/>
      <c r="CM146" s="567"/>
      <c r="CN146" s="567"/>
      <c r="CO146" s="567"/>
      <c r="CP146" s="567"/>
      <c r="CQ146" s="567"/>
      <c r="CR146" s="567"/>
      <c r="CS146" s="567"/>
      <c r="CT146" s="567"/>
      <c r="CU146" s="567"/>
      <c r="CV146" s="567"/>
      <c r="CW146" s="567"/>
      <c r="CX146" s="567"/>
      <c r="CY146" s="567"/>
      <c r="CZ146" s="567"/>
      <c r="DA146" s="567"/>
      <c r="DB146" s="567"/>
      <c r="DC146" s="567"/>
      <c r="DD146" s="567"/>
      <c r="DE146" s="567"/>
      <c r="DF146" s="567"/>
      <c r="DG146" s="567"/>
      <c r="DH146" s="567"/>
      <c r="DI146" s="567"/>
      <c r="DJ146" s="567"/>
      <c r="DK146" s="567"/>
      <c r="DL146" s="567"/>
      <c r="DM146" s="567"/>
      <c r="DN146" s="567"/>
      <c r="DO146" s="567"/>
      <c r="DP146" s="567"/>
      <c r="DQ146" s="567"/>
      <c r="DR146" s="567"/>
      <c r="DS146" s="567"/>
      <c r="DT146" s="567"/>
      <c r="DU146" s="567"/>
      <c r="DV146" s="567"/>
      <c r="DW146" s="567"/>
      <c r="DX146" s="567"/>
      <c r="DY146" s="567"/>
      <c r="DZ146" s="567"/>
      <c r="EA146" s="567"/>
      <c r="EB146" s="567"/>
      <c r="EC146" s="567"/>
      <c r="ED146" s="567"/>
      <c r="EE146" s="567"/>
      <c r="EF146" s="567"/>
      <c r="EG146" s="567"/>
      <c r="EH146" s="567"/>
      <c r="EI146" s="567"/>
      <c r="EJ146" s="567"/>
      <c r="EK146" s="567"/>
      <c r="EL146" s="567"/>
      <c r="EM146" s="567"/>
      <c r="EN146" s="567"/>
      <c r="EO146" s="567"/>
      <c r="EP146" s="567"/>
      <c r="EQ146" s="567"/>
      <c r="ER146" s="567"/>
      <c r="ES146" s="567"/>
      <c r="ET146" s="567"/>
      <c r="EU146" s="567"/>
      <c r="EV146" s="567"/>
      <c r="EW146" s="567"/>
      <c r="EX146" s="567"/>
      <c r="EY146" s="567"/>
      <c r="EZ146" s="567"/>
      <c r="FA146" s="567"/>
      <c r="FB146" s="567"/>
      <c r="FC146" s="567"/>
      <c r="FD146" s="567"/>
      <c r="FE146" s="567"/>
      <c r="FF146" s="567"/>
      <c r="FG146" s="567"/>
      <c r="FH146" s="567"/>
      <c r="FI146" s="567"/>
      <c r="FJ146" s="567"/>
      <c r="FK146" s="567"/>
      <c r="FL146" s="567"/>
      <c r="FM146" s="567"/>
      <c r="FN146" s="567"/>
      <c r="FO146" s="567"/>
      <c r="FP146" s="567"/>
      <c r="FQ146" s="567"/>
      <c r="FR146" s="567"/>
      <c r="FS146" s="567"/>
      <c r="FT146" s="567"/>
      <c r="FU146" s="567"/>
      <c r="FV146" s="567"/>
      <c r="FW146" s="567"/>
      <c r="FX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  <c r="BW147" s="567"/>
      <c r="BX147" s="567"/>
      <c r="BY147" s="567"/>
      <c r="BZ147" s="567"/>
      <c r="CA147" s="567"/>
      <c r="CB147" s="567"/>
      <c r="CC147" s="567"/>
      <c r="CD147" s="567"/>
      <c r="CE147" s="567"/>
      <c r="CF147" s="567"/>
      <c r="CG147" s="567"/>
      <c r="CH147" s="567"/>
      <c r="CI147" s="567"/>
      <c r="CJ147" s="567"/>
      <c r="CK147" s="567"/>
      <c r="CL147" s="567"/>
      <c r="CM147" s="567"/>
      <c r="CN147" s="567"/>
      <c r="CO147" s="567"/>
      <c r="CP147" s="567"/>
      <c r="CQ147" s="567"/>
      <c r="CR147" s="567"/>
      <c r="CS147" s="567"/>
      <c r="CT147" s="567"/>
      <c r="CU147" s="567"/>
      <c r="CV147" s="567"/>
      <c r="CW147" s="567"/>
      <c r="CX147" s="567"/>
      <c r="CY147" s="567"/>
      <c r="CZ147" s="567"/>
      <c r="DA147" s="567"/>
      <c r="DB147" s="567"/>
      <c r="DC147" s="567"/>
      <c r="DD147" s="567"/>
      <c r="DE147" s="567"/>
      <c r="DF147" s="567"/>
      <c r="DG147" s="567"/>
      <c r="DH147" s="567"/>
      <c r="DI147" s="567"/>
      <c r="DJ147" s="567"/>
      <c r="DK147" s="567"/>
      <c r="DL147" s="567"/>
      <c r="DM147" s="567"/>
      <c r="DN147" s="567"/>
      <c r="DO147" s="567"/>
      <c r="DP147" s="567"/>
      <c r="DQ147" s="567"/>
      <c r="DR147" s="567"/>
      <c r="DS147" s="567"/>
      <c r="DT147" s="567"/>
      <c r="DU147" s="567"/>
      <c r="DV147" s="567"/>
      <c r="DW147" s="567"/>
      <c r="DX147" s="567"/>
      <c r="DY147" s="567"/>
      <c r="DZ147" s="567"/>
      <c r="EA147" s="567"/>
      <c r="EB147" s="567"/>
      <c r="EC147" s="567"/>
      <c r="ED147" s="567"/>
      <c r="EE147" s="567"/>
      <c r="EF147" s="567"/>
      <c r="EG147" s="567"/>
      <c r="EH147" s="567"/>
      <c r="EI147" s="567"/>
      <c r="EJ147" s="567"/>
      <c r="EK147" s="567"/>
      <c r="EL147" s="567"/>
      <c r="EM147" s="567"/>
      <c r="EN147" s="567"/>
      <c r="EO147" s="567"/>
      <c r="EP147" s="567"/>
      <c r="EQ147" s="567"/>
      <c r="ER147" s="567"/>
      <c r="ES147" s="567"/>
      <c r="ET147" s="567"/>
      <c r="EU147" s="567"/>
      <c r="EV147" s="567"/>
      <c r="EW147" s="567"/>
      <c r="EX147" s="567"/>
      <c r="EY147" s="567"/>
      <c r="EZ147" s="567"/>
      <c r="FA147" s="567"/>
      <c r="FB147" s="567"/>
      <c r="FC147" s="567"/>
      <c r="FD147" s="567"/>
      <c r="FE147" s="567"/>
      <c r="FF147" s="567"/>
      <c r="FG147" s="567"/>
      <c r="FH147" s="567"/>
      <c r="FI147" s="567"/>
      <c r="FJ147" s="567"/>
      <c r="FK147" s="567"/>
      <c r="FL147" s="567"/>
      <c r="FM147" s="567"/>
      <c r="FN147" s="567"/>
      <c r="FO147" s="567"/>
      <c r="FP147" s="567"/>
      <c r="FQ147" s="567"/>
      <c r="FR147" s="567"/>
      <c r="FS147" s="567"/>
      <c r="FT147" s="567"/>
      <c r="FU147" s="567"/>
      <c r="FV147" s="567"/>
      <c r="FW147" s="567"/>
      <c r="FX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  <c r="BW148" s="567"/>
      <c r="BX148" s="567"/>
      <c r="BY148" s="567"/>
      <c r="BZ148" s="567"/>
      <c r="CA148" s="567"/>
      <c r="CB148" s="567"/>
      <c r="CC148" s="567"/>
      <c r="CD148" s="567"/>
      <c r="CE148" s="567"/>
      <c r="CF148" s="567"/>
      <c r="CG148" s="567"/>
      <c r="CH148" s="567"/>
      <c r="CI148" s="567"/>
      <c r="CJ148" s="567"/>
      <c r="CK148" s="567"/>
      <c r="CL148" s="567"/>
      <c r="CM148" s="567"/>
      <c r="CN148" s="567"/>
      <c r="CO148" s="567"/>
      <c r="CP148" s="567"/>
      <c r="CQ148" s="567"/>
      <c r="CR148" s="567"/>
      <c r="CS148" s="567"/>
      <c r="CT148" s="567"/>
      <c r="CU148" s="567"/>
      <c r="CV148" s="567"/>
      <c r="CW148" s="567"/>
      <c r="CX148" s="567"/>
      <c r="CY148" s="567"/>
      <c r="CZ148" s="567"/>
      <c r="DA148" s="567"/>
      <c r="DB148" s="567"/>
      <c r="DC148" s="567"/>
      <c r="DD148" s="567"/>
      <c r="DE148" s="567"/>
      <c r="DF148" s="567"/>
      <c r="DG148" s="567"/>
      <c r="DH148" s="567"/>
      <c r="DI148" s="567"/>
      <c r="DJ148" s="567"/>
      <c r="DK148" s="567"/>
      <c r="DL148" s="567"/>
      <c r="DM148" s="567"/>
      <c r="DN148" s="567"/>
      <c r="DO148" s="567"/>
      <c r="DP148" s="567"/>
      <c r="DQ148" s="567"/>
      <c r="DR148" s="567"/>
      <c r="DS148" s="567"/>
      <c r="DT148" s="567"/>
      <c r="DU148" s="567"/>
      <c r="DV148" s="567"/>
      <c r="DW148" s="567"/>
      <c r="DX148" s="567"/>
      <c r="DY148" s="567"/>
      <c r="DZ148" s="567"/>
      <c r="EA148" s="567"/>
      <c r="EB148" s="567"/>
      <c r="EC148" s="567"/>
      <c r="ED148" s="567"/>
      <c r="EE148" s="567"/>
      <c r="EF148" s="567"/>
      <c r="EG148" s="567"/>
      <c r="EH148" s="567"/>
      <c r="EI148" s="567"/>
      <c r="EJ148" s="567"/>
      <c r="EK148" s="567"/>
      <c r="EL148" s="567"/>
      <c r="EM148" s="567"/>
      <c r="EN148" s="567"/>
      <c r="EO148" s="567"/>
      <c r="EP148" s="567"/>
      <c r="EQ148" s="567"/>
      <c r="ER148" s="567"/>
      <c r="ES148" s="567"/>
      <c r="ET148" s="567"/>
      <c r="EU148" s="567"/>
      <c r="EV148" s="567"/>
      <c r="EW148" s="567"/>
      <c r="EX148" s="567"/>
      <c r="EY148" s="567"/>
      <c r="EZ148" s="567"/>
      <c r="FA148" s="567"/>
      <c r="FB148" s="567"/>
      <c r="FC148" s="567"/>
      <c r="FD148" s="567"/>
      <c r="FE148" s="567"/>
      <c r="FF148" s="567"/>
      <c r="FG148" s="567"/>
      <c r="FH148" s="567"/>
      <c r="FI148" s="567"/>
      <c r="FJ148" s="567"/>
      <c r="FK148" s="567"/>
      <c r="FL148" s="567"/>
      <c r="FM148" s="567"/>
      <c r="FN148" s="567"/>
      <c r="FO148" s="567"/>
      <c r="FP148" s="567"/>
      <c r="FQ148" s="567"/>
      <c r="FR148" s="567"/>
      <c r="FS148" s="567"/>
      <c r="FT148" s="567"/>
      <c r="FU148" s="567"/>
      <c r="FV148" s="567"/>
      <c r="FW148" s="567"/>
      <c r="FX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  <c r="BW149" s="567"/>
      <c r="BX149" s="567"/>
      <c r="BY149" s="567"/>
      <c r="BZ149" s="567"/>
      <c r="CA149" s="567"/>
      <c r="CB149" s="567"/>
      <c r="CC149" s="567"/>
      <c r="CD149" s="567"/>
      <c r="CE149" s="567"/>
      <c r="CF149" s="567"/>
      <c r="CG149" s="567"/>
      <c r="CH149" s="567"/>
      <c r="CI149" s="567"/>
      <c r="CJ149" s="567"/>
      <c r="CK149" s="567"/>
      <c r="CL149" s="567"/>
      <c r="CM149" s="567"/>
      <c r="CN149" s="567"/>
      <c r="CO149" s="567"/>
      <c r="CP149" s="567"/>
      <c r="CQ149" s="567"/>
      <c r="CR149" s="567"/>
      <c r="CS149" s="567"/>
      <c r="CT149" s="567"/>
      <c r="CU149" s="567"/>
      <c r="CV149" s="567"/>
      <c r="CW149" s="567"/>
      <c r="CX149" s="567"/>
      <c r="CY149" s="567"/>
      <c r="CZ149" s="567"/>
      <c r="DA149" s="567"/>
      <c r="DB149" s="567"/>
      <c r="DC149" s="567"/>
      <c r="DD149" s="567"/>
      <c r="DE149" s="567"/>
      <c r="DF149" s="567"/>
      <c r="DG149" s="567"/>
      <c r="DH149" s="567"/>
      <c r="DI149" s="567"/>
      <c r="DJ149" s="567"/>
      <c r="DK149" s="567"/>
      <c r="DL149" s="567"/>
      <c r="DM149" s="567"/>
      <c r="DN149" s="567"/>
      <c r="DO149" s="567"/>
      <c r="DP149" s="567"/>
      <c r="DQ149" s="567"/>
      <c r="DR149" s="567"/>
      <c r="DS149" s="567"/>
      <c r="DT149" s="567"/>
      <c r="DU149" s="567"/>
      <c r="DV149" s="567"/>
      <c r="DW149" s="567"/>
      <c r="DX149" s="567"/>
      <c r="DY149" s="567"/>
      <c r="DZ149" s="567"/>
      <c r="EA149" s="567"/>
      <c r="EB149" s="567"/>
      <c r="EC149" s="567"/>
      <c r="ED149" s="567"/>
      <c r="EE149" s="567"/>
      <c r="EF149" s="567"/>
      <c r="EG149" s="567"/>
      <c r="EH149" s="567"/>
      <c r="EI149" s="567"/>
      <c r="EJ149" s="567"/>
      <c r="EK149" s="567"/>
      <c r="EL149" s="567"/>
      <c r="EM149" s="567"/>
      <c r="EN149" s="567"/>
      <c r="EO149" s="567"/>
      <c r="EP149" s="567"/>
      <c r="EQ149" s="567"/>
      <c r="ER149" s="567"/>
      <c r="ES149" s="567"/>
      <c r="ET149" s="567"/>
      <c r="EU149" s="567"/>
      <c r="EV149" s="567"/>
      <c r="EW149" s="567"/>
      <c r="EX149" s="567"/>
      <c r="EY149" s="567"/>
      <c r="EZ149" s="567"/>
      <c r="FA149" s="567"/>
      <c r="FB149" s="567"/>
      <c r="FC149" s="567"/>
      <c r="FD149" s="567"/>
      <c r="FE149" s="567"/>
      <c r="FF149" s="567"/>
      <c r="FG149" s="567"/>
      <c r="FH149" s="567"/>
      <c r="FI149" s="567"/>
      <c r="FJ149" s="567"/>
      <c r="FK149" s="567"/>
      <c r="FL149" s="567"/>
      <c r="FM149" s="567"/>
      <c r="FN149" s="567"/>
      <c r="FO149" s="567"/>
      <c r="FP149" s="567"/>
      <c r="FQ149" s="567"/>
      <c r="FR149" s="567"/>
      <c r="FS149" s="567"/>
      <c r="FT149" s="567"/>
      <c r="FU149" s="567"/>
      <c r="FV149" s="567"/>
      <c r="FW149" s="567"/>
      <c r="FX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  <c r="BW150" s="567"/>
      <c r="BX150" s="567"/>
      <c r="BY150" s="567"/>
      <c r="BZ150" s="567"/>
      <c r="CA150" s="567"/>
      <c r="CB150" s="567"/>
      <c r="CC150" s="567"/>
      <c r="CD150" s="567"/>
      <c r="CE150" s="567"/>
      <c r="CF150" s="567"/>
      <c r="CG150" s="567"/>
      <c r="CH150" s="567"/>
      <c r="CI150" s="567"/>
      <c r="CJ150" s="567"/>
      <c r="CK150" s="567"/>
      <c r="CL150" s="567"/>
      <c r="CM150" s="567"/>
      <c r="CN150" s="567"/>
      <c r="CO150" s="567"/>
      <c r="CP150" s="567"/>
      <c r="CQ150" s="567"/>
      <c r="CR150" s="567"/>
      <c r="CS150" s="567"/>
      <c r="CT150" s="567"/>
      <c r="CU150" s="567"/>
      <c r="CV150" s="567"/>
      <c r="CW150" s="567"/>
      <c r="CX150" s="567"/>
      <c r="CY150" s="567"/>
      <c r="CZ150" s="567"/>
      <c r="DA150" s="567"/>
      <c r="DB150" s="567"/>
      <c r="DC150" s="567"/>
      <c r="DD150" s="567"/>
      <c r="DE150" s="567"/>
      <c r="DF150" s="567"/>
      <c r="DG150" s="567"/>
      <c r="DH150" s="567"/>
      <c r="DI150" s="567"/>
      <c r="DJ150" s="567"/>
      <c r="DK150" s="567"/>
      <c r="DL150" s="567"/>
      <c r="DM150" s="567"/>
      <c r="DN150" s="567"/>
      <c r="DO150" s="567"/>
      <c r="DP150" s="567"/>
      <c r="DQ150" s="567"/>
      <c r="DR150" s="567"/>
      <c r="DS150" s="567"/>
      <c r="DT150" s="567"/>
      <c r="DU150" s="567"/>
      <c r="DV150" s="567"/>
      <c r="DW150" s="567"/>
      <c r="DX150" s="567"/>
      <c r="DY150" s="567"/>
      <c r="DZ150" s="567"/>
      <c r="EA150" s="567"/>
      <c r="EB150" s="567"/>
      <c r="EC150" s="567"/>
      <c r="ED150" s="567"/>
      <c r="EE150" s="567"/>
      <c r="EF150" s="567"/>
      <c r="EG150" s="567"/>
      <c r="EH150" s="567"/>
      <c r="EI150" s="567"/>
      <c r="EJ150" s="567"/>
      <c r="EK150" s="567"/>
      <c r="EL150" s="567"/>
      <c r="EM150" s="567"/>
      <c r="EN150" s="567"/>
      <c r="EO150" s="567"/>
      <c r="EP150" s="567"/>
      <c r="EQ150" s="567"/>
      <c r="ER150" s="567"/>
      <c r="ES150" s="567"/>
      <c r="ET150" s="567"/>
      <c r="EU150" s="567"/>
      <c r="EV150" s="567"/>
      <c r="EW150" s="567"/>
      <c r="EX150" s="567"/>
      <c r="EY150" s="567"/>
      <c r="EZ150" s="567"/>
      <c r="FA150" s="567"/>
      <c r="FB150" s="567"/>
      <c r="FC150" s="567"/>
      <c r="FD150" s="567"/>
      <c r="FE150" s="567"/>
      <c r="FF150" s="567"/>
      <c r="FG150" s="567"/>
      <c r="FH150" s="567"/>
      <c r="FI150" s="567"/>
      <c r="FJ150" s="567"/>
      <c r="FK150" s="567"/>
      <c r="FL150" s="567"/>
      <c r="FM150" s="567"/>
      <c r="FN150" s="567"/>
      <c r="FO150" s="567"/>
      <c r="FP150" s="567"/>
      <c r="FQ150" s="567"/>
      <c r="FR150" s="567"/>
      <c r="FS150" s="567"/>
      <c r="FT150" s="567"/>
      <c r="FU150" s="567"/>
      <c r="FV150" s="567"/>
      <c r="FW150" s="567"/>
      <c r="FX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  <c r="BW151" s="567"/>
      <c r="BX151" s="567"/>
      <c r="BY151" s="567"/>
      <c r="BZ151" s="567"/>
      <c r="CA151" s="567"/>
      <c r="CB151" s="567"/>
      <c r="CC151" s="567"/>
      <c r="CD151" s="567"/>
      <c r="CE151" s="567"/>
      <c r="CF151" s="567"/>
      <c r="CG151" s="567"/>
      <c r="CH151" s="567"/>
      <c r="CI151" s="567"/>
      <c r="CJ151" s="567"/>
      <c r="CK151" s="567"/>
      <c r="CL151" s="567"/>
      <c r="CM151" s="567"/>
      <c r="CN151" s="567"/>
      <c r="CO151" s="567"/>
      <c r="CP151" s="567"/>
      <c r="CQ151" s="567"/>
      <c r="CR151" s="567"/>
      <c r="CS151" s="567"/>
      <c r="CT151" s="567"/>
      <c r="CU151" s="567"/>
      <c r="CV151" s="567"/>
      <c r="CW151" s="567"/>
      <c r="CX151" s="567"/>
      <c r="CY151" s="567"/>
      <c r="CZ151" s="567"/>
      <c r="DA151" s="567"/>
      <c r="DB151" s="567"/>
      <c r="DC151" s="567"/>
      <c r="DD151" s="567"/>
      <c r="DE151" s="567"/>
      <c r="DF151" s="567"/>
      <c r="DG151" s="567"/>
      <c r="DH151" s="567"/>
      <c r="DI151" s="567"/>
      <c r="DJ151" s="567"/>
      <c r="DK151" s="567"/>
      <c r="DL151" s="567"/>
      <c r="DM151" s="567"/>
      <c r="DN151" s="567"/>
      <c r="DO151" s="567"/>
      <c r="DP151" s="567"/>
      <c r="DQ151" s="567"/>
      <c r="DR151" s="567"/>
      <c r="DS151" s="567"/>
      <c r="DT151" s="567"/>
      <c r="DU151" s="567"/>
      <c r="DV151" s="567"/>
      <c r="DW151" s="567"/>
      <c r="DX151" s="567"/>
      <c r="DY151" s="567"/>
      <c r="DZ151" s="567"/>
      <c r="EA151" s="567"/>
      <c r="EB151" s="567"/>
      <c r="EC151" s="567"/>
      <c r="ED151" s="567"/>
      <c r="EE151" s="567"/>
      <c r="EF151" s="567"/>
      <c r="EG151" s="567"/>
      <c r="EH151" s="567"/>
      <c r="EI151" s="567"/>
      <c r="EJ151" s="567"/>
      <c r="EK151" s="567"/>
      <c r="EL151" s="567"/>
      <c r="EM151" s="567"/>
      <c r="EN151" s="567"/>
      <c r="EO151" s="567"/>
      <c r="EP151" s="567"/>
      <c r="EQ151" s="567"/>
      <c r="ER151" s="567"/>
      <c r="ES151" s="567"/>
      <c r="ET151" s="567"/>
      <c r="EU151" s="567"/>
      <c r="EV151" s="567"/>
      <c r="EW151" s="567"/>
      <c r="EX151" s="567"/>
      <c r="EY151" s="567"/>
      <c r="EZ151" s="567"/>
      <c r="FA151" s="567"/>
      <c r="FB151" s="567"/>
      <c r="FC151" s="567"/>
      <c r="FD151" s="567"/>
      <c r="FE151" s="567"/>
      <c r="FF151" s="567"/>
      <c r="FG151" s="567"/>
      <c r="FH151" s="567"/>
      <c r="FI151" s="567"/>
      <c r="FJ151" s="567"/>
      <c r="FK151" s="567"/>
      <c r="FL151" s="567"/>
      <c r="FM151" s="567"/>
      <c r="FN151" s="567"/>
      <c r="FO151" s="567"/>
      <c r="FP151" s="567"/>
      <c r="FQ151" s="567"/>
      <c r="FR151" s="567"/>
      <c r="FS151" s="567"/>
      <c r="FT151" s="567"/>
      <c r="FU151" s="567"/>
      <c r="FV151" s="567"/>
      <c r="FW151" s="567"/>
      <c r="FX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  <c r="BW152" s="567"/>
      <c r="BX152" s="567"/>
      <c r="BY152" s="567"/>
      <c r="BZ152" s="567"/>
      <c r="CA152" s="567"/>
      <c r="CB152" s="567"/>
      <c r="CC152" s="567"/>
      <c r="CD152" s="567"/>
      <c r="CE152" s="567"/>
      <c r="CF152" s="567"/>
      <c r="CG152" s="567"/>
      <c r="CH152" s="567"/>
      <c r="CI152" s="567"/>
      <c r="CJ152" s="567"/>
      <c r="CK152" s="567"/>
      <c r="CL152" s="567"/>
      <c r="CM152" s="567"/>
      <c r="CN152" s="567"/>
      <c r="CO152" s="567"/>
      <c r="CP152" s="567"/>
      <c r="CQ152" s="567"/>
      <c r="CR152" s="567"/>
      <c r="CS152" s="567"/>
      <c r="CT152" s="567"/>
      <c r="CU152" s="567"/>
      <c r="CV152" s="567"/>
      <c r="CW152" s="567"/>
      <c r="CX152" s="567"/>
      <c r="CY152" s="567"/>
      <c r="CZ152" s="567"/>
      <c r="DA152" s="567"/>
      <c r="DB152" s="567"/>
      <c r="DC152" s="567"/>
      <c r="DD152" s="567"/>
      <c r="DE152" s="567"/>
      <c r="DF152" s="567"/>
      <c r="DG152" s="567"/>
      <c r="DH152" s="567"/>
      <c r="DI152" s="567"/>
      <c r="DJ152" s="567"/>
      <c r="DK152" s="567"/>
      <c r="DL152" s="567"/>
      <c r="DM152" s="567"/>
      <c r="DN152" s="567"/>
      <c r="DO152" s="567"/>
      <c r="DP152" s="567"/>
      <c r="DQ152" s="567"/>
      <c r="DR152" s="567"/>
      <c r="DS152" s="567"/>
      <c r="DT152" s="567"/>
      <c r="DU152" s="567"/>
      <c r="DV152" s="567"/>
      <c r="DW152" s="567"/>
      <c r="DX152" s="567"/>
      <c r="DY152" s="567"/>
      <c r="DZ152" s="567"/>
      <c r="EA152" s="567"/>
      <c r="EB152" s="567"/>
      <c r="EC152" s="567"/>
      <c r="ED152" s="567"/>
      <c r="EE152" s="567"/>
      <c r="EF152" s="567"/>
      <c r="EG152" s="567"/>
      <c r="EH152" s="567"/>
      <c r="EI152" s="567"/>
      <c r="EJ152" s="567"/>
      <c r="EK152" s="567"/>
      <c r="EL152" s="567"/>
      <c r="EM152" s="567"/>
      <c r="EN152" s="567"/>
      <c r="EO152" s="567"/>
      <c r="EP152" s="567"/>
      <c r="EQ152" s="567"/>
      <c r="ER152" s="567"/>
      <c r="ES152" s="567"/>
      <c r="ET152" s="567"/>
      <c r="EU152" s="567"/>
      <c r="EV152" s="567"/>
      <c r="EW152" s="567"/>
      <c r="EX152" s="567"/>
      <c r="EY152" s="567"/>
      <c r="EZ152" s="567"/>
      <c r="FA152" s="567"/>
      <c r="FB152" s="567"/>
      <c r="FC152" s="567"/>
      <c r="FD152" s="567"/>
      <c r="FE152" s="567"/>
      <c r="FF152" s="567"/>
      <c r="FG152" s="567"/>
      <c r="FH152" s="567"/>
      <c r="FI152" s="567"/>
      <c r="FJ152" s="567"/>
      <c r="FK152" s="567"/>
      <c r="FL152" s="567"/>
      <c r="FM152" s="567"/>
      <c r="FN152" s="567"/>
      <c r="FO152" s="567"/>
      <c r="FP152" s="567"/>
      <c r="FQ152" s="567"/>
      <c r="FR152" s="567"/>
      <c r="FS152" s="567"/>
      <c r="FT152" s="567"/>
      <c r="FU152" s="567"/>
      <c r="FV152" s="567"/>
      <c r="FW152" s="567"/>
      <c r="FX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  <c r="BW153" s="567"/>
      <c r="BX153" s="567"/>
      <c r="BY153" s="567"/>
      <c r="BZ153" s="567"/>
      <c r="CA153" s="567"/>
      <c r="CB153" s="567"/>
      <c r="CC153" s="567"/>
      <c r="CD153" s="567"/>
      <c r="CE153" s="567"/>
      <c r="CF153" s="567"/>
      <c r="CG153" s="567"/>
      <c r="CH153" s="567"/>
      <c r="CI153" s="567"/>
      <c r="CJ153" s="567"/>
      <c r="CK153" s="567"/>
      <c r="CL153" s="567"/>
      <c r="CM153" s="567"/>
      <c r="CN153" s="567"/>
      <c r="CO153" s="567"/>
      <c r="CP153" s="567"/>
      <c r="CQ153" s="567"/>
      <c r="CR153" s="567"/>
      <c r="CS153" s="567"/>
      <c r="CT153" s="567"/>
      <c r="CU153" s="567"/>
      <c r="CV153" s="567"/>
      <c r="CW153" s="567"/>
      <c r="CX153" s="567"/>
      <c r="CY153" s="567"/>
      <c r="CZ153" s="567"/>
      <c r="DA153" s="567"/>
      <c r="DB153" s="567"/>
      <c r="DC153" s="567"/>
      <c r="DD153" s="567"/>
      <c r="DE153" s="567"/>
      <c r="DF153" s="567"/>
      <c r="DG153" s="567"/>
      <c r="DH153" s="567"/>
      <c r="DI153" s="567"/>
      <c r="DJ153" s="567"/>
      <c r="DK153" s="567"/>
      <c r="DL153" s="567"/>
      <c r="DM153" s="567"/>
      <c r="DN153" s="567"/>
      <c r="DO153" s="567"/>
      <c r="DP153" s="567"/>
      <c r="DQ153" s="567"/>
      <c r="DR153" s="567"/>
      <c r="DS153" s="567"/>
      <c r="DT153" s="567"/>
      <c r="DU153" s="567"/>
      <c r="DV153" s="567"/>
      <c r="DW153" s="567"/>
      <c r="DX153" s="567"/>
      <c r="DY153" s="567"/>
      <c r="DZ153" s="567"/>
      <c r="EA153" s="567"/>
      <c r="EB153" s="567"/>
      <c r="EC153" s="567"/>
      <c r="ED153" s="567"/>
      <c r="EE153" s="567"/>
      <c r="EF153" s="567"/>
      <c r="EG153" s="567"/>
      <c r="EH153" s="567"/>
      <c r="EI153" s="567"/>
      <c r="EJ153" s="567"/>
      <c r="EK153" s="567"/>
      <c r="EL153" s="567"/>
      <c r="EM153" s="567"/>
      <c r="EN153" s="567"/>
      <c r="EO153" s="567"/>
      <c r="EP153" s="567"/>
      <c r="EQ153" s="567"/>
      <c r="ER153" s="567"/>
      <c r="ES153" s="567"/>
      <c r="ET153" s="567"/>
      <c r="EU153" s="567"/>
      <c r="EV153" s="567"/>
      <c r="EW153" s="567"/>
      <c r="EX153" s="567"/>
      <c r="EY153" s="567"/>
      <c r="EZ153" s="567"/>
      <c r="FA153" s="567"/>
      <c r="FB153" s="567"/>
      <c r="FC153" s="567"/>
      <c r="FD153" s="567"/>
      <c r="FE153" s="567"/>
      <c r="FF153" s="567"/>
      <c r="FG153" s="567"/>
      <c r="FH153" s="567"/>
      <c r="FI153" s="567"/>
      <c r="FJ153" s="567"/>
      <c r="FK153" s="567"/>
      <c r="FL153" s="567"/>
      <c r="FM153" s="567"/>
      <c r="FN153" s="567"/>
      <c r="FO153" s="567"/>
      <c r="FP153" s="567"/>
      <c r="FQ153" s="567"/>
      <c r="FR153" s="567"/>
      <c r="FS153" s="567"/>
      <c r="FT153" s="567"/>
      <c r="FU153" s="567"/>
      <c r="FV153" s="567"/>
      <c r="FW153" s="567"/>
      <c r="FX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  <c r="BW154" s="567"/>
      <c r="BX154" s="567"/>
      <c r="BY154" s="567"/>
      <c r="BZ154" s="567"/>
      <c r="CA154" s="567"/>
      <c r="CB154" s="567"/>
      <c r="CC154" s="567"/>
      <c r="CD154" s="567"/>
      <c r="CE154" s="567"/>
      <c r="CF154" s="567"/>
      <c r="CG154" s="567"/>
      <c r="CH154" s="567"/>
      <c r="CI154" s="567"/>
      <c r="CJ154" s="567"/>
      <c r="CK154" s="567"/>
      <c r="CL154" s="567"/>
      <c r="CM154" s="567"/>
      <c r="CN154" s="567"/>
      <c r="CO154" s="567"/>
      <c r="CP154" s="567"/>
      <c r="CQ154" s="567"/>
      <c r="CR154" s="567"/>
      <c r="CS154" s="567"/>
      <c r="CT154" s="567"/>
      <c r="CU154" s="567"/>
      <c r="CV154" s="567"/>
      <c r="CW154" s="567"/>
      <c r="CX154" s="567"/>
      <c r="CY154" s="567"/>
      <c r="CZ154" s="567"/>
      <c r="DA154" s="567"/>
      <c r="DB154" s="567"/>
      <c r="DC154" s="567"/>
      <c r="DD154" s="567"/>
      <c r="DE154" s="567"/>
      <c r="DF154" s="567"/>
      <c r="DG154" s="567"/>
      <c r="DH154" s="567"/>
      <c r="DI154" s="567"/>
      <c r="DJ154" s="567"/>
      <c r="DK154" s="567"/>
      <c r="DL154" s="567"/>
      <c r="DM154" s="567"/>
      <c r="DN154" s="567"/>
      <c r="DO154" s="567"/>
      <c r="DP154" s="567"/>
      <c r="DQ154" s="567"/>
      <c r="DR154" s="567"/>
      <c r="DS154" s="567"/>
      <c r="DT154" s="567"/>
      <c r="DU154" s="567"/>
      <c r="DV154" s="567"/>
      <c r="DW154" s="567"/>
      <c r="DX154" s="567"/>
      <c r="DY154" s="567"/>
      <c r="DZ154" s="567"/>
      <c r="EA154" s="567"/>
      <c r="EB154" s="567"/>
      <c r="EC154" s="567"/>
      <c r="ED154" s="567"/>
      <c r="EE154" s="567"/>
      <c r="EF154" s="567"/>
      <c r="EG154" s="567"/>
      <c r="EH154" s="567"/>
      <c r="EI154" s="567"/>
      <c r="EJ154" s="567"/>
      <c r="EK154" s="567"/>
      <c r="EL154" s="567"/>
      <c r="EM154" s="567"/>
      <c r="EN154" s="567"/>
      <c r="EO154" s="567"/>
      <c r="EP154" s="567"/>
      <c r="EQ154" s="567"/>
      <c r="ER154" s="567"/>
      <c r="ES154" s="567"/>
      <c r="ET154" s="567"/>
      <c r="EU154" s="567"/>
      <c r="EV154" s="567"/>
      <c r="EW154" s="567"/>
      <c r="EX154" s="567"/>
      <c r="EY154" s="567"/>
      <c r="EZ154" s="567"/>
      <c r="FA154" s="567"/>
      <c r="FB154" s="567"/>
      <c r="FC154" s="567"/>
      <c r="FD154" s="567"/>
      <c r="FE154" s="567"/>
      <c r="FF154" s="567"/>
      <c r="FG154" s="567"/>
      <c r="FH154" s="567"/>
      <c r="FI154" s="567"/>
      <c r="FJ154" s="567"/>
      <c r="FK154" s="567"/>
      <c r="FL154" s="567"/>
      <c r="FM154" s="567"/>
      <c r="FN154" s="567"/>
      <c r="FO154" s="567"/>
      <c r="FP154" s="567"/>
      <c r="FQ154" s="567"/>
      <c r="FR154" s="567"/>
      <c r="FS154" s="567"/>
      <c r="FT154" s="567"/>
      <c r="FU154" s="567"/>
      <c r="FV154" s="567"/>
      <c r="FW154" s="567"/>
      <c r="FX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  <c r="BW155" s="567"/>
      <c r="BX155" s="567"/>
      <c r="BY155" s="567"/>
      <c r="BZ155" s="567"/>
      <c r="CA155" s="567"/>
      <c r="CB155" s="567"/>
      <c r="CC155" s="567"/>
      <c r="CD155" s="567"/>
      <c r="CE155" s="567"/>
      <c r="CF155" s="567"/>
      <c r="CG155" s="567"/>
      <c r="CH155" s="567"/>
      <c r="CI155" s="567"/>
      <c r="CJ155" s="567"/>
      <c r="CK155" s="567"/>
      <c r="CL155" s="567"/>
      <c r="CM155" s="567"/>
      <c r="CN155" s="567"/>
      <c r="CO155" s="567"/>
      <c r="CP155" s="567"/>
      <c r="CQ155" s="567"/>
      <c r="CR155" s="567"/>
      <c r="CS155" s="567"/>
      <c r="CT155" s="567"/>
      <c r="CU155" s="567"/>
      <c r="CV155" s="567"/>
      <c r="CW155" s="567"/>
      <c r="CX155" s="567"/>
      <c r="CY155" s="567"/>
      <c r="CZ155" s="567"/>
      <c r="DA155" s="567"/>
      <c r="DB155" s="567"/>
      <c r="DC155" s="567"/>
      <c r="DD155" s="567"/>
      <c r="DE155" s="567"/>
      <c r="DF155" s="567"/>
      <c r="DG155" s="567"/>
      <c r="DH155" s="567"/>
      <c r="DI155" s="567"/>
      <c r="DJ155" s="567"/>
      <c r="DK155" s="567"/>
      <c r="DL155" s="567"/>
      <c r="DM155" s="567"/>
      <c r="DN155" s="567"/>
      <c r="DO155" s="567"/>
      <c r="DP155" s="567"/>
      <c r="DQ155" s="567"/>
      <c r="DR155" s="567"/>
      <c r="DS155" s="567"/>
      <c r="DT155" s="567"/>
      <c r="DU155" s="567"/>
      <c r="DV155" s="567"/>
      <c r="DW155" s="567"/>
      <c r="DX155" s="567"/>
      <c r="DY155" s="567"/>
      <c r="DZ155" s="567"/>
      <c r="EA155" s="567"/>
      <c r="EB155" s="567"/>
      <c r="EC155" s="567"/>
      <c r="ED155" s="567"/>
      <c r="EE155" s="567"/>
      <c r="EF155" s="567"/>
      <c r="EG155" s="567"/>
      <c r="EH155" s="567"/>
      <c r="EI155" s="567"/>
      <c r="EJ155" s="567"/>
      <c r="EK155" s="567"/>
      <c r="EL155" s="567"/>
      <c r="EM155" s="567"/>
      <c r="EN155" s="567"/>
      <c r="EO155" s="567"/>
      <c r="EP155" s="567"/>
      <c r="EQ155" s="567"/>
      <c r="ER155" s="567"/>
      <c r="ES155" s="567"/>
      <c r="ET155" s="567"/>
      <c r="EU155" s="567"/>
      <c r="EV155" s="567"/>
      <c r="EW155" s="567"/>
      <c r="EX155" s="567"/>
      <c r="EY155" s="567"/>
      <c r="EZ155" s="567"/>
      <c r="FA155" s="567"/>
      <c r="FB155" s="567"/>
      <c r="FC155" s="567"/>
      <c r="FD155" s="567"/>
      <c r="FE155" s="567"/>
      <c r="FF155" s="567"/>
      <c r="FG155" s="567"/>
      <c r="FH155" s="567"/>
      <c r="FI155" s="567"/>
      <c r="FJ155" s="567"/>
      <c r="FK155" s="567"/>
      <c r="FL155" s="567"/>
      <c r="FM155" s="567"/>
      <c r="FN155" s="567"/>
      <c r="FO155" s="567"/>
      <c r="FP155" s="567"/>
      <c r="FQ155" s="567"/>
      <c r="FR155" s="567"/>
      <c r="FS155" s="567"/>
      <c r="FT155" s="567"/>
      <c r="FU155" s="567"/>
      <c r="FV155" s="567"/>
      <c r="FW155" s="567"/>
      <c r="FX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  <c r="BW156" s="567"/>
      <c r="BX156" s="567"/>
      <c r="BY156" s="567"/>
      <c r="BZ156" s="567"/>
      <c r="CA156" s="567"/>
      <c r="CB156" s="567"/>
      <c r="CC156" s="567"/>
      <c r="CD156" s="567"/>
      <c r="CE156" s="567"/>
      <c r="CF156" s="567"/>
      <c r="CG156" s="567"/>
      <c r="CH156" s="567"/>
      <c r="CI156" s="567"/>
      <c r="CJ156" s="567"/>
      <c r="CK156" s="567"/>
      <c r="CL156" s="567"/>
      <c r="CM156" s="567"/>
      <c r="CN156" s="567"/>
      <c r="CO156" s="567"/>
      <c r="CP156" s="567"/>
      <c r="CQ156" s="567"/>
      <c r="CR156" s="567"/>
      <c r="CS156" s="567"/>
      <c r="CT156" s="567"/>
      <c r="CU156" s="567"/>
      <c r="CV156" s="567"/>
      <c r="CW156" s="567"/>
      <c r="CX156" s="567"/>
      <c r="CY156" s="567"/>
      <c r="CZ156" s="567"/>
      <c r="DA156" s="567"/>
      <c r="DB156" s="567"/>
      <c r="DC156" s="567"/>
      <c r="DD156" s="567"/>
      <c r="DE156" s="567"/>
      <c r="DF156" s="567"/>
      <c r="DG156" s="567"/>
      <c r="DH156" s="567"/>
      <c r="DI156" s="567"/>
      <c r="DJ156" s="567"/>
      <c r="DK156" s="567"/>
      <c r="DL156" s="567"/>
      <c r="DM156" s="567"/>
      <c r="DN156" s="567"/>
      <c r="DO156" s="567"/>
      <c r="DP156" s="567"/>
      <c r="DQ156" s="567"/>
      <c r="DR156" s="567"/>
      <c r="DS156" s="567"/>
      <c r="DT156" s="567"/>
      <c r="DU156" s="567"/>
      <c r="DV156" s="567"/>
      <c r="DW156" s="567"/>
      <c r="DX156" s="567"/>
      <c r="DY156" s="567"/>
      <c r="DZ156" s="567"/>
      <c r="EA156" s="567"/>
      <c r="EB156" s="567"/>
      <c r="EC156" s="567"/>
      <c r="ED156" s="567"/>
      <c r="EE156" s="567"/>
      <c r="EF156" s="567"/>
      <c r="EG156" s="567"/>
      <c r="EH156" s="567"/>
      <c r="EI156" s="567"/>
      <c r="EJ156" s="567"/>
      <c r="EK156" s="567"/>
      <c r="EL156" s="567"/>
      <c r="EM156" s="567"/>
      <c r="EN156" s="567"/>
      <c r="EO156" s="567"/>
      <c r="EP156" s="567"/>
      <c r="EQ156" s="567"/>
      <c r="ER156" s="567"/>
      <c r="ES156" s="567"/>
      <c r="ET156" s="567"/>
      <c r="EU156" s="567"/>
      <c r="EV156" s="567"/>
      <c r="EW156" s="567"/>
      <c r="EX156" s="567"/>
      <c r="EY156" s="567"/>
      <c r="EZ156" s="567"/>
      <c r="FA156" s="567"/>
      <c r="FB156" s="567"/>
      <c r="FC156" s="567"/>
      <c r="FD156" s="567"/>
      <c r="FE156" s="567"/>
      <c r="FF156" s="567"/>
      <c r="FG156" s="567"/>
      <c r="FH156" s="567"/>
      <c r="FI156" s="567"/>
      <c r="FJ156" s="567"/>
      <c r="FK156" s="567"/>
      <c r="FL156" s="567"/>
      <c r="FM156" s="567"/>
      <c r="FN156" s="567"/>
      <c r="FO156" s="567"/>
      <c r="FP156" s="567"/>
      <c r="FQ156" s="567"/>
      <c r="FR156" s="567"/>
      <c r="FS156" s="567"/>
      <c r="FT156" s="567"/>
      <c r="FU156" s="567"/>
      <c r="FV156" s="567"/>
      <c r="FW156" s="567"/>
      <c r="FX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  <c r="BW157" s="567"/>
      <c r="BX157" s="567"/>
      <c r="BY157" s="567"/>
      <c r="BZ157" s="567"/>
      <c r="CA157" s="567"/>
      <c r="CB157" s="567"/>
      <c r="CC157" s="567"/>
      <c r="CD157" s="567"/>
      <c r="CE157" s="567"/>
      <c r="CF157" s="567"/>
      <c r="CG157" s="567"/>
      <c r="CH157" s="567"/>
      <c r="CI157" s="567"/>
      <c r="CJ157" s="567"/>
      <c r="CK157" s="567"/>
      <c r="CL157" s="567"/>
      <c r="CM157" s="567"/>
      <c r="CN157" s="567"/>
      <c r="CO157" s="567"/>
      <c r="CP157" s="567"/>
      <c r="CQ157" s="567"/>
      <c r="CR157" s="567"/>
      <c r="CS157" s="567"/>
      <c r="CT157" s="567"/>
      <c r="CU157" s="567"/>
      <c r="CV157" s="567"/>
      <c r="CW157" s="567"/>
      <c r="CX157" s="567"/>
      <c r="CY157" s="567"/>
      <c r="CZ157" s="567"/>
      <c r="DA157" s="567"/>
      <c r="DB157" s="567"/>
      <c r="DC157" s="567"/>
      <c r="DD157" s="567"/>
      <c r="DE157" s="567"/>
      <c r="DF157" s="567"/>
      <c r="DG157" s="567"/>
      <c r="DH157" s="567"/>
      <c r="DI157" s="567"/>
      <c r="DJ157" s="567"/>
      <c r="DK157" s="567"/>
      <c r="DL157" s="567"/>
      <c r="DM157" s="567"/>
      <c r="DN157" s="567"/>
      <c r="DO157" s="567"/>
      <c r="DP157" s="567"/>
      <c r="DQ157" s="567"/>
      <c r="DR157" s="567"/>
      <c r="DS157" s="567"/>
      <c r="DT157" s="567"/>
      <c r="DU157" s="567"/>
      <c r="DV157" s="567"/>
      <c r="DW157" s="567"/>
      <c r="DX157" s="567"/>
      <c r="DY157" s="567"/>
      <c r="DZ157" s="567"/>
      <c r="EA157" s="567"/>
      <c r="EB157" s="567"/>
      <c r="EC157" s="567"/>
      <c r="ED157" s="567"/>
      <c r="EE157" s="567"/>
      <c r="EF157" s="567"/>
      <c r="EG157" s="567"/>
      <c r="EH157" s="567"/>
      <c r="EI157" s="567"/>
      <c r="EJ157" s="567"/>
      <c r="EK157" s="567"/>
      <c r="EL157" s="567"/>
      <c r="EM157" s="567"/>
      <c r="EN157" s="567"/>
      <c r="EO157" s="567"/>
      <c r="EP157" s="567"/>
      <c r="EQ157" s="567"/>
      <c r="ER157" s="567"/>
      <c r="ES157" s="567"/>
      <c r="ET157" s="567"/>
      <c r="EU157" s="567"/>
      <c r="EV157" s="567"/>
      <c r="EW157" s="567"/>
      <c r="EX157" s="567"/>
      <c r="EY157" s="567"/>
      <c r="EZ157" s="567"/>
      <c r="FA157" s="567"/>
      <c r="FB157" s="567"/>
      <c r="FC157" s="567"/>
      <c r="FD157" s="567"/>
      <c r="FE157" s="567"/>
      <c r="FF157" s="567"/>
      <c r="FG157" s="567"/>
      <c r="FH157" s="567"/>
      <c r="FI157" s="567"/>
      <c r="FJ157" s="567"/>
      <c r="FK157" s="567"/>
      <c r="FL157" s="567"/>
      <c r="FM157" s="567"/>
      <c r="FN157" s="567"/>
      <c r="FO157" s="567"/>
      <c r="FP157" s="567"/>
      <c r="FQ157" s="567"/>
      <c r="FR157" s="567"/>
      <c r="FS157" s="567"/>
      <c r="FT157" s="567"/>
      <c r="FU157" s="567"/>
      <c r="FV157" s="567"/>
      <c r="FW157" s="567"/>
      <c r="FX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  <c r="BW158" s="567"/>
      <c r="BX158" s="567"/>
      <c r="BY158" s="567"/>
      <c r="BZ158" s="567"/>
      <c r="CA158" s="567"/>
      <c r="CB158" s="567"/>
      <c r="CC158" s="567"/>
      <c r="CD158" s="567"/>
      <c r="CE158" s="567"/>
      <c r="CF158" s="567"/>
      <c r="CG158" s="567"/>
      <c r="CH158" s="567"/>
      <c r="CI158" s="567"/>
      <c r="CJ158" s="567"/>
      <c r="CK158" s="567"/>
      <c r="CL158" s="567"/>
      <c r="CM158" s="567"/>
      <c r="CN158" s="567"/>
      <c r="CO158" s="567"/>
      <c r="CP158" s="567"/>
      <c r="CQ158" s="567"/>
      <c r="CR158" s="567"/>
      <c r="CS158" s="567"/>
      <c r="CT158" s="567"/>
      <c r="CU158" s="567"/>
      <c r="CV158" s="567"/>
      <c r="CW158" s="567"/>
      <c r="CX158" s="567"/>
      <c r="CY158" s="567"/>
      <c r="CZ158" s="567"/>
      <c r="DA158" s="567"/>
      <c r="DB158" s="567"/>
      <c r="DC158" s="567"/>
      <c r="DD158" s="567"/>
      <c r="DE158" s="567"/>
      <c r="DF158" s="567"/>
      <c r="DG158" s="567"/>
      <c r="DH158" s="567"/>
      <c r="DI158" s="567"/>
      <c r="DJ158" s="567"/>
      <c r="DK158" s="567"/>
      <c r="DL158" s="567"/>
      <c r="DM158" s="567"/>
      <c r="DN158" s="567"/>
      <c r="DO158" s="567"/>
      <c r="DP158" s="567"/>
      <c r="DQ158" s="567"/>
      <c r="DR158" s="567"/>
      <c r="DS158" s="567"/>
      <c r="DT158" s="567"/>
      <c r="DU158" s="567"/>
      <c r="DV158" s="567"/>
      <c r="DW158" s="567"/>
      <c r="DX158" s="567"/>
      <c r="DY158" s="567"/>
      <c r="DZ158" s="567"/>
      <c r="EA158" s="567"/>
      <c r="EB158" s="567"/>
      <c r="EC158" s="567"/>
      <c r="ED158" s="567"/>
      <c r="EE158" s="567"/>
      <c r="EF158" s="567"/>
      <c r="EG158" s="567"/>
      <c r="EH158" s="567"/>
      <c r="EI158" s="567"/>
      <c r="EJ158" s="567"/>
      <c r="EK158" s="567"/>
      <c r="EL158" s="567"/>
      <c r="EM158" s="567"/>
      <c r="EN158" s="567"/>
      <c r="EO158" s="567"/>
      <c r="EP158" s="567"/>
      <c r="EQ158" s="567"/>
      <c r="ER158" s="567"/>
      <c r="ES158" s="567"/>
      <c r="ET158" s="567"/>
      <c r="EU158" s="567"/>
      <c r="EV158" s="567"/>
      <c r="EW158" s="567"/>
      <c r="EX158" s="567"/>
      <c r="EY158" s="567"/>
      <c r="EZ158" s="567"/>
      <c r="FA158" s="567"/>
      <c r="FB158" s="567"/>
      <c r="FC158" s="567"/>
      <c r="FD158" s="567"/>
      <c r="FE158" s="567"/>
      <c r="FF158" s="567"/>
      <c r="FG158" s="567"/>
      <c r="FH158" s="567"/>
      <c r="FI158" s="567"/>
      <c r="FJ158" s="567"/>
      <c r="FK158" s="567"/>
      <c r="FL158" s="567"/>
      <c r="FM158" s="567"/>
      <c r="FN158" s="567"/>
      <c r="FO158" s="567"/>
      <c r="FP158" s="567"/>
      <c r="FQ158" s="567"/>
      <c r="FR158" s="567"/>
      <c r="FS158" s="567"/>
      <c r="FT158" s="567"/>
      <c r="FU158" s="567"/>
      <c r="FV158" s="567"/>
      <c r="FW158" s="567"/>
      <c r="FX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  <c r="BW159" s="567"/>
      <c r="BX159" s="567"/>
      <c r="BY159" s="567"/>
      <c r="BZ159" s="567"/>
      <c r="CA159" s="567"/>
      <c r="CB159" s="567"/>
      <c r="CC159" s="567"/>
      <c r="CD159" s="567"/>
      <c r="CE159" s="567"/>
      <c r="CF159" s="567"/>
      <c r="CG159" s="567"/>
      <c r="CH159" s="567"/>
      <c r="CI159" s="567"/>
      <c r="CJ159" s="567"/>
      <c r="CK159" s="567"/>
      <c r="CL159" s="567"/>
      <c r="CM159" s="567"/>
      <c r="CN159" s="567"/>
      <c r="CO159" s="567"/>
      <c r="CP159" s="567"/>
      <c r="CQ159" s="567"/>
      <c r="CR159" s="567"/>
      <c r="CS159" s="567"/>
      <c r="CT159" s="567"/>
      <c r="CU159" s="567"/>
      <c r="CV159" s="567"/>
      <c r="CW159" s="567"/>
      <c r="CX159" s="567"/>
      <c r="CY159" s="567"/>
      <c r="CZ159" s="567"/>
      <c r="DA159" s="567"/>
      <c r="DB159" s="567"/>
      <c r="DC159" s="567"/>
      <c r="DD159" s="567"/>
      <c r="DE159" s="567"/>
      <c r="DF159" s="567"/>
      <c r="DG159" s="567"/>
      <c r="DH159" s="567"/>
      <c r="DI159" s="567"/>
      <c r="DJ159" s="567"/>
      <c r="DK159" s="567"/>
      <c r="DL159" s="567"/>
      <c r="DM159" s="567"/>
      <c r="DN159" s="567"/>
      <c r="DO159" s="567"/>
      <c r="DP159" s="567"/>
      <c r="DQ159" s="567"/>
      <c r="DR159" s="567"/>
      <c r="DS159" s="567"/>
      <c r="DT159" s="567"/>
      <c r="DU159" s="567"/>
      <c r="DV159" s="567"/>
      <c r="DW159" s="567"/>
      <c r="DX159" s="567"/>
      <c r="DY159" s="567"/>
      <c r="DZ159" s="567"/>
      <c r="EA159" s="567"/>
      <c r="EB159" s="567"/>
      <c r="EC159" s="567"/>
      <c r="ED159" s="567"/>
      <c r="EE159" s="567"/>
      <c r="EF159" s="567"/>
      <c r="EG159" s="567"/>
      <c r="EH159" s="567"/>
      <c r="EI159" s="567"/>
      <c r="EJ159" s="567"/>
      <c r="EK159" s="567"/>
      <c r="EL159" s="567"/>
      <c r="EM159" s="567"/>
      <c r="EN159" s="567"/>
      <c r="EO159" s="567"/>
      <c r="EP159" s="567"/>
      <c r="EQ159" s="567"/>
      <c r="ER159" s="567"/>
      <c r="ES159" s="567"/>
      <c r="ET159" s="567"/>
      <c r="EU159" s="567"/>
      <c r="EV159" s="567"/>
      <c r="EW159" s="567"/>
      <c r="EX159" s="567"/>
      <c r="EY159" s="567"/>
      <c r="EZ159" s="567"/>
      <c r="FA159" s="567"/>
      <c r="FB159" s="567"/>
      <c r="FC159" s="567"/>
      <c r="FD159" s="567"/>
      <c r="FE159" s="567"/>
      <c r="FF159" s="567"/>
      <c r="FG159" s="567"/>
      <c r="FH159" s="567"/>
      <c r="FI159" s="567"/>
      <c r="FJ159" s="567"/>
      <c r="FK159" s="567"/>
      <c r="FL159" s="567"/>
      <c r="FM159" s="567"/>
      <c r="FN159" s="567"/>
      <c r="FO159" s="567"/>
      <c r="FP159" s="567"/>
      <c r="FQ159" s="567"/>
      <c r="FR159" s="567"/>
      <c r="FS159" s="567"/>
      <c r="FT159" s="567"/>
      <c r="FU159" s="567"/>
      <c r="FV159" s="567"/>
      <c r="FW159" s="567"/>
      <c r="FX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  <c r="BW160" s="567"/>
      <c r="BX160" s="567"/>
      <c r="BY160" s="567"/>
      <c r="BZ160" s="567"/>
      <c r="CA160" s="567"/>
      <c r="CB160" s="567"/>
      <c r="CC160" s="567"/>
      <c r="CD160" s="567"/>
      <c r="CE160" s="567"/>
      <c r="CF160" s="567"/>
      <c r="CG160" s="567"/>
      <c r="CH160" s="567"/>
      <c r="CI160" s="567"/>
      <c r="CJ160" s="567"/>
      <c r="CK160" s="567"/>
      <c r="CL160" s="567"/>
      <c r="CM160" s="567"/>
      <c r="CN160" s="567"/>
      <c r="CO160" s="567"/>
      <c r="CP160" s="567"/>
      <c r="CQ160" s="567"/>
      <c r="CR160" s="567"/>
      <c r="CS160" s="567"/>
      <c r="CT160" s="567"/>
      <c r="CU160" s="567"/>
      <c r="CV160" s="567"/>
      <c r="CW160" s="567"/>
      <c r="CX160" s="567"/>
      <c r="CY160" s="567"/>
      <c r="CZ160" s="567"/>
      <c r="DA160" s="567"/>
      <c r="DB160" s="567"/>
      <c r="DC160" s="567"/>
      <c r="DD160" s="567"/>
      <c r="DE160" s="567"/>
      <c r="DF160" s="567"/>
      <c r="DG160" s="567"/>
      <c r="DH160" s="567"/>
      <c r="DI160" s="567"/>
      <c r="DJ160" s="567"/>
      <c r="DK160" s="567"/>
      <c r="DL160" s="567"/>
      <c r="DM160" s="567"/>
      <c r="DN160" s="567"/>
      <c r="DO160" s="567"/>
      <c r="DP160" s="567"/>
      <c r="DQ160" s="567"/>
      <c r="DR160" s="567"/>
      <c r="DS160" s="567"/>
      <c r="DT160" s="567"/>
      <c r="DU160" s="567"/>
      <c r="DV160" s="567"/>
      <c r="DW160" s="567"/>
      <c r="DX160" s="567"/>
      <c r="DY160" s="567"/>
      <c r="DZ160" s="567"/>
      <c r="EA160" s="567"/>
      <c r="EB160" s="567"/>
      <c r="EC160" s="567"/>
      <c r="ED160" s="567"/>
      <c r="EE160" s="567"/>
      <c r="EF160" s="567"/>
      <c r="EG160" s="567"/>
      <c r="EH160" s="567"/>
      <c r="EI160" s="567"/>
      <c r="EJ160" s="567"/>
      <c r="EK160" s="567"/>
      <c r="EL160" s="567"/>
      <c r="EM160" s="567"/>
      <c r="EN160" s="567"/>
      <c r="EO160" s="567"/>
      <c r="EP160" s="567"/>
      <c r="EQ160" s="567"/>
      <c r="ER160" s="567"/>
      <c r="ES160" s="567"/>
      <c r="ET160" s="567"/>
      <c r="EU160" s="567"/>
      <c r="EV160" s="567"/>
      <c r="EW160" s="567"/>
      <c r="EX160" s="567"/>
      <c r="EY160" s="567"/>
      <c r="EZ160" s="567"/>
      <c r="FA160" s="567"/>
      <c r="FB160" s="567"/>
      <c r="FC160" s="567"/>
      <c r="FD160" s="567"/>
      <c r="FE160" s="567"/>
      <c r="FF160" s="567"/>
      <c r="FG160" s="567"/>
      <c r="FH160" s="567"/>
      <c r="FI160" s="567"/>
      <c r="FJ160" s="567"/>
      <c r="FK160" s="567"/>
      <c r="FL160" s="567"/>
      <c r="FM160" s="567"/>
      <c r="FN160" s="567"/>
      <c r="FO160" s="567"/>
      <c r="FP160" s="567"/>
      <c r="FQ160" s="567"/>
      <c r="FR160" s="567"/>
      <c r="FS160" s="567"/>
      <c r="FT160" s="567"/>
      <c r="FU160" s="567"/>
      <c r="FV160" s="567"/>
      <c r="FW160" s="567"/>
      <c r="FX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  <c r="BW161" s="567"/>
      <c r="BX161" s="567"/>
      <c r="BY161" s="567"/>
      <c r="BZ161" s="567"/>
      <c r="CA161" s="567"/>
      <c r="CB161" s="567"/>
      <c r="CC161" s="567"/>
      <c r="CD161" s="567"/>
      <c r="CE161" s="567"/>
      <c r="CF161" s="567"/>
      <c r="CG161" s="567"/>
      <c r="CH161" s="567"/>
      <c r="CI161" s="567"/>
      <c r="CJ161" s="567"/>
      <c r="CK161" s="567"/>
      <c r="CL161" s="567"/>
      <c r="CM161" s="567"/>
      <c r="CN161" s="567"/>
      <c r="CO161" s="567"/>
      <c r="CP161" s="567"/>
      <c r="CQ161" s="567"/>
      <c r="CR161" s="567"/>
      <c r="CS161" s="567"/>
      <c r="CT161" s="567"/>
      <c r="CU161" s="567"/>
      <c r="CV161" s="567"/>
      <c r="CW161" s="567"/>
      <c r="CX161" s="567"/>
      <c r="CY161" s="567"/>
      <c r="CZ161" s="567"/>
      <c r="DA161" s="567"/>
      <c r="DB161" s="567"/>
      <c r="DC161" s="567"/>
      <c r="DD161" s="567"/>
      <c r="DE161" s="567"/>
      <c r="DF161" s="567"/>
      <c r="DG161" s="567"/>
      <c r="DH161" s="567"/>
      <c r="DI161" s="567"/>
      <c r="DJ161" s="567"/>
      <c r="DK161" s="567"/>
      <c r="DL161" s="567"/>
      <c r="DM161" s="567"/>
      <c r="DN161" s="567"/>
      <c r="DO161" s="567"/>
      <c r="DP161" s="567"/>
      <c r="DQ161" s="567"/>
      <c r="DR161" s="567"/>
      <c r="DS161" s="567"/>
      <c r="DT161" s="567"/>
      <c r="DU161" s="567"/>
      <c r="DV161" s="567"/>
      <c r="DW161" s="567"/>
      <c r="DX161" s="567"/>
      <c r="DY161" s="567"/>
      <c r="DZ161" s="567"/>
      <c r="EA161" s="567"/>
      <c r="EB161" s="567"/>
      <c r="EC161" s="567"/>
      <c r="ED161" s="567"/>
      <c r="EE161" s="567"/>
      <c r="EF161" s="567"/>
      <c r="EG161" s="567"/>
      <c r="EH161" s="567"/>
      <c r="EI161" s="567"/>
      <c r="EJ161" s="567"/>
      <c r="EK161" s="567"/>
      <c r="EL161" s="567"/>
      <c r="EM161" s="567"/>
      <c r="EN161" s="567"/>
      <c r="EO161" s="567"/>
      <c r="EP161" s="567"/>
      <c r="EQ161" s="567"/>
      <c r="ER161" s="567"/>
      <c r="ES161" s="567"/>
      <c r="ET161" s="567"/>
      <c r="EU161" s="567"/>
      <c r="EV161" s="567"/>
      <c r="EW161" s="567"/>
      <c r="EX161" s="567"/>
      <c r="EY161" s="567"/>
      <c r="EZ161" s="567"/>
      <c r="FA161" s="567"/>
      <c r="FB161" s="567"/>
      <c r="FC161" s="567"/>
      <c r="FD161" s="567"/>
      <c r="FE161" s="567"/>
      <c r="FF161" s="567"/>
      <c r="FG161" s="567"/>
      <c r="FH161" s="567"/>
      <c r="FI161" s="567"/>
      <c r="FJ161" s="567"/>
      <c r="FK161" s="567"/>
      <c r="FL161" s="567"/>
      <c r="FM161" s="567"/>
      <c r="FN161" s="567"/>
      <c r="FO161" s="567"/>
      <c r="FP161" s="567"/>
      <c r="FQ161" s="567"/>
      <c r="FR161" s="567"/>
      <c r="FS161" s="567"/>
      <c r="FT161" s="567"/>
      <c r="FU161" s="567"/>
      <c r="FV161" s="567"/>
      <c r="FW161" s="567"/>
      <c r="FX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567"/>
      <c r="BX162" s="567"/>
      <c r="BY162" s="567"/>
      <c r="BZ162" s="567"/>
      <c r="CA162" s="567"/>
      <c r="CB162" s="567"/>
      <c r="CC162" s="567"/>
      <c r="CD162" s="567"/>
      <c r="CE162" s="567"/>
      <c r="CF162" s="567"/>
      <c r="CG162" s="567"/>
      <c r="CH162" s="567"/>
      <c r="CI162" s="567"/>
      <c r="CJ162" s="567"/>
      <c r="CK162" s="567"/>
      <c r="CL162" s="567"/>
      <c r="CM162" s="567"/>
      <c r="CN162" s="567"/>
      <c r="CO162" s="567"/>
      <c r="CP162" s="567"/>
      <c r="CQ162" s="567"/>
      <c r="CR162" s="567"/>
      <c r="CS162" s="567"/>
      <c r="CT162" s="567"/>
      <c r="CU162" s="567"/>
      <c r="CV162" s="567"/>
      <c r="CW162" s="567"/>
      <c r="CX162" s="567"/>
      <c r="CY162" s="567"/>
      <c r="CZ162" s="567"/>
      <c r="DA162" s="567"/>
      <c r="DB162" s="567"/>
      <c r="DC162" s="567"/>
      <c r="DD162" s="567"/>
      <c r="DE162" s="567"/>
      <c r="DF162" s="567"/>
      <c r="DG162" s="567"/>
      <c r="DH162" s="567"/>
      <c r="DI162" s="567"/>
      <c r="DJ162" s="567"/>
      <c r="DK162" s="567"/>
      <c r="DL162" s="567"/>
      <c r="DM162" s="567"/>
      <c r="DN162" s="567"/>
      <c r="DO162" s="567"/>
      <c r="DP162" s="567"/>
      <c r="DQ162" s="567"/>
      <c r="DR162" s="567"/>
      <c r="DS162" s="567"/>
      <c r="DT162" s="567"/>
      <c r="DU162" s="567"/>
      <c r="DV162" s="567"/>
      <c r="DW162" s="567"/>
      <c r="DX162" s="567"/>
      <c r="DY162" s="567"/>
      <c r="DZ162" s="567"/>
      <c r="EA162" s="567"/>
      <c r="EB162" s="567"/>
      <c r="EC162" s="567"/>
      <c r="ED162" s="567"/>
      <c r="EE162" s="567"/>
      <c r="EF162" s="567"/>
      <c r="EG162" s="567"/>
      <c r="EH162" s="567"/>
      <c r="EI162" s="567"/>
      <c r="EJ162" s="567"/>
      <c r="EK162" s="567"/>
      <c r="EL162" s="567"/>
      <c r="EM162" s="567"/>
      <c r="EN162" s="567"/>
      <c r="EO162" s="567"/>
      <c r="EP162" s="567"/>
      <c r="EQ162" s="567"/>
      <c r="ER162" s="567"/>
      <c r="ES162" s="567"/>
      <c r="ET162" s="567"/>
      <c r="EU162" s="567"/>
      <c r="EV162" s="567"/>
      <c r="EW162" s="567"/>
      <c r="EX162" s="567"/>
      <c r="EY162" s="567"/>
      <c r="EZ162" s="567"/>
      <c r="FA162" s="567"/>
      <c r="FB162" s="567"/>
      <c r="FC162" s="567"/>
      <c r="FD162" s="567"/>
      <c r="FE162" s="567"/>
      <c r="FF162" s="567"/>
      <c r="FG162" s="567"/>
      <c r="FH162" s="567"/>
      <c r="FI162" s="567"/>
      <c r="FJ162" s="567"/>
      <c r="FK162" s="567"/>
      <c r="FL162" s="567"/>
      <c r="FM162" s="567"/>
      <c r="FN162" s="567"/>
      <c r="FO162" s="567"/>
      <c r="FP162" s="567"/>
      <c r="FQ162" s="567"/>
      <c r="FR162" s="567"/>
      <c r="FS162" s="567"/>
      <c r="FT162" s="567"/>
      <c r="FU162" s="567"/>
      <c r="FV162" s="567"/>
      <c r="FW162" s="567"/>
      <c r="FX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  <c r="BW163" s="567"/>
      <c r="BX163" s="567"/>
      <c r="BY163" s="567"/>
      <c r="BZ163" s="567"/>
      <c r="CA163" s="567"/>
      <c r="CB163" s="567"/>
      <c r="CC163" s="567"/>
      <c r="CD163" s="567"/>
      <c r="CE163" s="567"/>
      <c r="CF163" s="567"/>
      <c r="CG163" s="567"/>
      <c r="CH163" s="567"/>
      <c r="CI163" s="567"/>
      <c r="CJ163" s="567"/>
      <c r="CK163" s="567"/>
      <c r="CL163" s="567"/>
      <c r="CM163" s="567"/>
      <c r="CN163" s="567"/>
      <c r="CO163" s="567"/>
      <c r="CP163" s="567"/>
      <c r="CQ163" s="567"/>
      <c r="CR163" s="567"/>
      <c r="CS163" s="567"/>
      <c r="CT163" s="567"/>
      <c r="CU163" s="567"/>
      <c r="CV163" s="567"/>
      <c r="CW163" s="567"/>
      <c r="CX163" s="567"/>
      <c r="CY163" s="567"/>
      <c r="CZ163" s="567"/>
      <c r="DA163" s="567"/>
      <c r="DB163" s="567"/>
      <c r="DC163" s="567"/>
      <c r="DD163" s="567"/>
      <c r="DE163" s="567"/>
      <c r="DF163" s="567"/>
      <c r="DG163" s="567"/>
      <c r="DH163" s="567"/>
      <c r="DI163" s="567"/>
      <c r="DJ163" s="567"/>
      <c r="DK163" s="567"/>
      <c r="DL163" s="567"/>
      <c r="DM163" s="567"/>
      <c r="DN163" s="567"/>
      <c r="DO163" s="567"/>
      <c r="DP163" s="567"/>
      <c r="DQ163" s="567"/>
      <c r="DR163" s="567"/>
      <c r="DS163" s="567"/>
      <c r="DT163" s="567"/>
      <c r="DU163" s="567"/>
      <c r="DV163" s="567"/>
      <c r="DW163" s="567"/>
      <c r="DX163" s="567"/>
      <c r="DY163" s="567"/>
      <c r="DZ163" s="567"/>
      <c r="EA163" s="567"/>
      <c r="EB163" s="567"/>
      <c r="EC163" s="567"/>
      <c r="ED163" s="567"/>
      <c r="EE163" s="567"/>
      <c r="EF163" s="567"/>
      <c r="EG163" s="567"/>
      <c r="EH163" s="567"/>
      <c r="EI163" s="567"/>
      <c r="EJ163" s="567"/>
      <c r="EK163" s="567"/>
      <c r="EL163" s="567"/>
      <c r="EM163" s="567"/>
      <c r="EN163" s="567"/>
      <c r="EO163" s="567"/>
      <c r="EP163" s="567"/>
      <c r="EQ163" s="567"/>
      <c r="ER163" s="567"/>
      <c r="ES163" s="567"/>
      <c r="ET163" s="567"/>
      <c r="EU163" s="567"/>
      <c r="EV163" s="567"/>
      <c r="EW163" s="567"/>
      <c r="EX163" s="567"/>
      <c r="EY163" s="567"/>
      <c r="EZ163" s="567"/>
      <c r="FA163" s="567"/>
      <c r="FB163" s="567"/>
      <c r="FC163" s="567"/>
      <c r="FD163" s="567"/>
      <c r="FE163" s="567"/>
      <c r="FF163" s="567"/>
      <c r="FG163" s="567"/>
      <c r="FH163" s="567"/>
      <c r="FI163" s="567"/>
      <c r="FJ163" s="567"/>
      <c r="FK163" s="567"/>
      <c r="FL163" s="567"/>
      <c r="FM163" s="567"/>
      <c r="FN163" s="567"/>
      <c r="FO163" s="567"/>
      <c r="FP163" s="567"/>
      <c r="FQ163" s="567"/>
      <c r="FR163" s="567"/>
      <c r="FS163" s="567"/>
      <c r="FT163" s="567"/>
      <c r="FU163" s="567"/>
      <c r="FV163" s="567"/>
      <c r="FW163" s="567"/>
      <c r="FX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  <c r="BW164" s="567"/>
      <c r="BX164" s="567"/>
      <c r="BY164" s="567"/>
      <c r="BZ164" s="567"/>
      <c r="CA164" s="567"/>
      <c r="CB164" s="567"/>
      <c r="CC164" s="567"/>
      <c r="CD164" s="567"/>
      <c r="CE164" s="567"/>
      <c r="CF164" s="567"/>
      <c r="CG164" s="567"/>
      <c r="CH164" s="567"/>
      <c r="CI164" s="567"/>
      <c r="CJ164" s="567"/>
      <c r="CK164" s="567"/>
      <c r="CL164" s="567"/>
      <c r="CM164" s="567"/>
      <c r="CN164" s="567"/>
      <c r="CO164" s="567"/>
      <c r="CP164" s="567"/>
      <c r="CQ164" s="567"/>
      <c r="CR164" s="567"/>
      <c r="CS164" s="567"/>
      <c r="CT164" s="567"/>
      <c r="CU164" s="567"/>
      <c r="CV164" s="567"/>
      <c r="CW164" s="567"/>
      <c r="CX164" s="567"/>
      <c r="CY164" s="567"/>
      <c r="CZ164" s="567"/>
      <c r="DA164" s="567"/>
      <c r="DB164" s="567"/>
      <c r="DC164" s="567"/>
      <c r="DD164" s="567"/>
      <c r="DE164" s="567"/>
      <c r="DF164" s="567"/>
      <c r="DG164" s="567"/>
      <c r="DH164" s="567"/>
      <c r="DI164" s="567"/>
      <c r="DJ164" s="567"/>
      <c r="DK164" s="567"/>
      <c r="DL164" s="567"/>
      <c r="DM164" s="567"/>
      <c r="DN164" s="567"/>
      <c r="DO164" s="567"/>
      <c r="DP164" s="567"/>
      <c r="DQ164" s="567"/>
      <c r="DR164" s="567"/>
      <c r="DS164" s="567"/>
      <c r="DT164" s="567"/>
      <c r="DU164" s="567"/>
      <c r="DV164" s="567"/>
      <c r="DW164" s="567"/>
      <c r="DX164" s="567"/>
      <c r="DY164" s="567"/>
      <c r="DZ164" s="567"/>
      <c r="EA164" s="567"/>
      <c r="EB164" s="567"/>
      <c r="EC164" s="567"/>
      <c r="ED164" s="567"/>
      <c r="EE164" s="567"/>
      <c r="EF164" s="567"/>
      <c r="EG164" s="567"/>
      <c r="EH164" s="567"/>
      <c r="EI164" s="567"/>
      <c r="EJ164" s="567"/>
      <c r="EK164" s="567"/>
      <c r="EL164" s="567"/>
      <c r="EM164" s="567"/>
      <c r="EN164" s="567"/>
      <c r="EO164" s="567"/>
      <c r="EP164" s="567"/>
      <c r="EQ164" s="567"/>
      <c r="ER164" s="567"/>
      <c r="ES164" s="567"/>
      <c r="ET164" s="567"/>
      <c r="EU164" s="567"/>
      <c r="EV164" s="567"/>
      <c r="EW164" s="567"/>
      <c r="EX164" s="567"/>
      <c r="EY164" s="567"/>
      <c r="EZ164" s="567"/>
      <c r="FA164" s="567"/>
      <c r="FB164" s="567"/>
      <c r="FC164" s="567"/>
      <c r="FD164" s="567"/>
      <c r="FE164" s="567"/>
      <c r="FF164" s="567"/>
      <c r="FG164" s="567"/>
      <c r="FH164" s="567"/>
      <c r="FI164" s="567"/>
      <c r="FJ164" s="567"/>
      <c r="FK164" s="567"/>
      <c r="FL164" s="567"/>
      <c r="FM164" s="567"/>
      <c r="FN164" s="567"/>
      <c r="FO164" s="567"/>
      <c r="FP164" s="567"/>
      <c r="FQ164" s="567"/>
      <c r="FR164" s="567"/>
      <c r="FS164" s="567"/>
      <c r="FT164" s="567"/>
      <c r="FU164" s="567"/>
      <c r="FV164" s="567"/>
      <c r="FW164" s="567"/>
      <c r="FX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  <c r="BW165" s="567"/>
      <c r="BX165" s="567"/>
      <c r="BY165" s="567"/>
      <c r="BZ165" s="567"/>
      <c r="CA165" s="567"/>
      <c r="CB165" s="567"/>
      <c r="CC165" s="567"/>
      <c r="CD165" s="567"/>
      <c r="CE165" s="567"/>
      <c r="CF165" s="567"/>
      <c r="CG165" s="567"/>
      <c r="CH165" s="567"/>
      <c r="CI165" s="567"/>
      <c r="CJ165" s="567"/>
      <c r="CK165" s="567"/>
      <c r="CL165" s="567"/>
      <c r="CM165" s="567"/>
      <c r="CN165" s="567"/>
      <c r="CO165" s="567"/>
      <c r="CP165" s="567"/>
      <c r="CQ165" s="567"/>
      <c r="CR165" s="567"/>
      <c r="CS165" s="567"/>
      <c r="CT165" s="567"/>
      <c r="CU165" s="567"/>
      <c r="CV165" s="567"/>
      <c r="CW165" s="567"/>
      <c r="CX165" s="567"/>
      <c r="CY165" s="567"/>
      <c r="CZ165" s="567"/>
      <c r="DA165" s="567"/>
      <c r="DB165" s="567"/>
      <c r="DC165" s="567"/>
      <c r="DD165" s="567"/>
      <c r="DE165" s="567"/>
      <c r="DF165" s="567"/>
      <c r="DG165" s="567"/>
      <c r="DH165" s="567"/>
      <c r="DI165" s="567"/>
      <c r="DJ165" s="567"/>
      <c r="DK165" s="567"/>
      <c r="DL165" s="567"/>
      <c r="DM165" s="567"/>
      <c r="DN165" s="567"/>
      <c r="DO165" s="567"/>
      <c r="DP165" s="567"/>
      <c r="DQ165" s="567"/>
      <c r="DR165" s="567"/>
      <c r="DS165" s="567"/>
      <c r="DT165" s="567"/>
      <c r="DU165" s="567"/>
      <c r="DV165" s="567"/>
      <c r="DW165" s="567"/>
      <c r="DX165" s="567"/>
      <c r="DY165" s="567"/>
      <c r="DZ165" s="567"/>
      <c r="EA165" s="567"/>
      <c r="EB165" s="567"/>
      <c r="EC165" s="567"/>
      <c r="ED165" s="567"/>
      <c r="EE165" s="567"/>
      <c r="EF165" s="567"/>
      <c r="EG165" s="567"/>
      <c r="EH165" s="567"/>
      <c r="EI165" s="567"/>
      <c r="EJ165" s="567"/>
      <c r="EK165" s="567"/>
      <c r="EL165" s="567"/>
      <c r="EM165" s="567"/>
      <c r="EN165" s="567"/>
      <c r="EO165" s="567"/>
      <c r="EP165" s="567"/>
      <c r="EQ165" s="567"/>
      <c r="ER165" s="567"/>
      <c r="ES165" s="567"/>
      <c r="ET165" s="567"/>
      <c r="EU165" s="567"/>
      <c r="EV165" s="567"/>
      <c r="EW165" s="567"/>
      <c r="EX165" s="567"/>
      <c r="EY165" s="567"/>
      <c r="EZ165" s="567"/>
      <c r="FA165" s="567"/>
      <c r="FB165" s="567"/>
      <c r="FC165" s="567"/>
      <c r="FD165" s="567"/>
      <c r="FE165" s="567"/>
      <c r="FF165" s="567"/>
      <c r="FG165" s="567"/>
      <c r="FH165" s="567"/>
      <c r="FI165" s="567"/>
      <c r="FJ165" s="567"/>
      <c r="FK165" s="567"/>
      <c r="FL165" s="567"/>
      <c r="FM165" s="567"/>
      <c r="FN165" s="567"/>
      <c r="FO165" s="567"/>
      <c r="FP165" s="567"/>
      <c r="FQ165" s="567"/>
      <c r="FR165" s="567"/>
      <c r="FS165" s="567"/>
      <c r="FT165" s="567"/>
      <c r="FU165" s="567"/>
      <c r="FV165" s="567"/>
      <c r="FW165" s="567"/>
      <c r="FX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  <c r="BW166" s="567"/>
      <c r="BX166" s="567"/>
      <c r="BY166" s="567"/>
      <c r="BZ166" s="567"/>
      <c r="CA166" s="567"/>
      <c r="CB166" s="567"/>
      <c r="CC166" s="567"/>
      <c r="CD166" s="567"/>
      <c r="CE166" s="567"/>
      <c r="CF166" s="567"/>
      <c r="CG166" s="567"/>
      <c r="CH166" s="567"/>
      <c r="CI166" s="567"/>
      <c r="CJ166" s="567"/>
      <c r="CK166" s="567"/>
      <c r="CL166" s="567"/>
      <c r="CM166" s="567"/>
      <c r="CN166" s="567"/>
      <c r="CO166" s="567"/>
      <c r="CP166" s="567"/>
      <c r="CQ166" s="567"/>
      <c r="CR166" s="567"/>
      <c r="CS166" s="567"/>
      <c r="CT166" s="567"/>
      <c r="CU166" s="567"/>
      <c r="CV166" s="567"/>
      <c r="CW166" s="567"/>
      <c r="CX166" s="567"/>
      <c r="CY166" s="567"/>
      <c r="CZ166" s="567"/>
      <c r="DA166" s="567"/>
      <c r="DB166" s="567"/>
      <c r="DC166" s="567"/>
      <c r="DD166" s="567"/>
      <c r="DE166" s="567"/>
      <c r="DF166" s="567"/>
      <c r="DG166" s="567"/>
      <c r="DH166" s="567"/>
      <c r="DI166" s="567"/>
      <c r="DJ166" s="567"/>
      <c r="DK166" s="567"/>
      <c r="DL166" s="567"/>
      <c r="DM166" s="567"/>
      <c r="DN166" s="567"/>
      <c r="DO166" s="567"/>
      <c r="DP166" s="567"/>
      <c r="DQ166" s="567"/>
      <c r="DR166" s="567"/>
      <c r="DS166" s="567"/>
      <c r="DT166" s="567"/>
      <c r="DU166" s="567"/>
      <c r="DV166" s="567"/>
      <c r="DW166" s="567"/>
      <c r="DX166" s="567"/>
      <c r="DY166" s="567"/>
      <c r="DZ166" s="567"/>
      <c r="EA166" s="567"/>
      <c r="EB166" s="567"/>
      <c r="EC166" s="567"/>
      <c r="ED166" s="567"/>
      <c r="EE166" s="567"/>
      <c r="EF166" s="567"/>
      <c r="EG166" s="567"/>
      <c r="EH166" s="567"/>
      <c r="EI166" s="567"/>
      <c r="EJ166" s="567"/>
      <c r="EK166" s="567"/>
      <c r="EL166" s="567"/>
      <c r="EM166" s="567"/>
      <c r="EN166" s="567"/>
      <c r="EO166" s="567"/>
      <c r="EP166" s="567"/>
      <c r="EQ166" s="567"/>
      <c r="ER166" s="567"/>
      <c r="ES166" s="567"/>
      <c r="ET166" s="567"/>
      <c r="EU166" s="567"/>
      <c r="EV166" s="567"/>
      <c r="EW166" s="567"/>
      <c r="EX166" s="567"/>
      <c r="EY166" s="567"/>
      <c r="EZ166" s="567"/>
      <c r="FA166" s="567"/>
      <c r="FB166" s="567"/>
      <c r="FC166" s="567"/>
      <c r="FD166" s="567"/>
      <c r="FE166" s="567"/>
      <c r="FF166" s="567"/>
      <c r="FG166" s="567"/>
      <c r="FH166" s="567"/>
      <c r="FI166" s="567"/>
      <c r="FJ166" s="567"/>
      <c r="FK166" s="567"/>
      <c r="FL166" s="567"/>
      <c r="FM166" s="567"/>
      <c r="FN166" s="567"/>
      <c r="FO166" s="567"/>
      <c r="FP166" s="567"/>
      <c r="FQ166" s="567"/>
      <c r="FR166" s="567"/>
      <c r="FS166" s="567"/>
      <c r="FT166" s="567"/>
      <c r="FU166" s="567"/>
      <c r="FV166" s="567"/>
      <c r="FW166" s="567"/>
      <c r="FX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  <c r="BW167" s="567"/>
      <c r="BX167" s="567"/>
      <c r="BY167" s="567"/>
      <c r="BZ167" s="567"/>
      <c r="CA167" s="567"/>
      <c r="CB167" s="567"/>
      <c r="CC167" s="567"/>
      <c r="CD167" s="567"/>
      <c r="CE167" s="567"/>
      <c r="CF167" s="567"/>
      <c r="CG167" s="567"/>
      <c r="CH167" s="567"/>
      <c r="CI167" s="567"/>
      <c r="CJ167" s="567"/>
      <c r="CK167" s="567"/>
      <c r="CL167" s="567"/>
      <c r="CM167" s="567"/>
      <c r="CN167" s="567"/>
      <c r="CO167" s="567"/>
      <c r="CP167" s="567"/>
      <c r="CQ167" s="567"/>
      <c r="CR167" s="567"/>
      <c r="CS167" s="567"/>
      <c r="CT167" s="567"/>
      <c r="CU167" s="567"/>
      <c r="CV167" s="567"/>
      <c r="CW167" s="567"/>
      <c r="CX167" s="567"/>
      <c r="CY167" s="567"/>
      <c r="CZ167" s="567"/>
      <c r="DA167" s="567"/>
      <c r="DB167" s="567"/>
      <c r="DC167" s="567"/>
      <c r="DD167" s="567"/>
      <c r="DE167" s="567"/>
      <c r="DF167" s="567"/>
      <c r="DG167" s="567"/>
      <c r="DH167" s="567"/>
      <c r="DI167" s="567"/>
      <c r="DJ167" s="567"/>
      <c r="DK167" s="567"/>
      <c r="DL167" s="567"/>
      <c r="DM167" s="567"/>
      <c r="DN167" s="567"/>
      <c r="DO167" s="567"/>
      <c r="DP167" s="567"/>
      <c r="DQ167" s="567"/>
      <c r="DR167" s="567"/>
      <c r="DS167" s="567"/>
      <c r="DT167" s="567"/>
      <c r="DU167" s="567"/>
      <c r="DV167" s="567"/>
      <c r="DW167" s="567"/>
      <c r="DX167" s="567"/>
      <c r="DY167" s="567"/>
      <c r="DZ167" s="567"/>
      <c r="EA167" s="567"/>
      <c r="EB167" s="567"/>
      <c r="EC167" s="567"/>
      <c r="ED167" s="567"/>
      <c r="EE167" s="567"/>
      <c r="EF167" s="567"/>
      <c r="EG167" s="567"/>
      <c r="EH167" s="567"/>
      <c r="EI167" s="567"/>
      <c r="EJ167" s="567"/>
      <c r="EK167" s="567"/>
      <c r="EL167" s="567"/>
      <c r="EM167" s="567"/>
      <c r="EN167" s="567"/>
      <c r="EO167" s="567"/>
      <c r="EP167" s="567"/>
      <c r="EQ167" s="567"/>
      <c r="ER167" s="567"/>
      <c r="ES167" s="567"/>
      <c r="ET167" s="567"/>
      <c r="EU167" s="567"/>
      <c r="EV167" s="567"/>
      <c r="EW167" s="567"/>
      <c r="EX167" s="567"/>
      <c r="EY167" s="567"/>
      <c r="EZ167" s="567"/>
      <c r="FA167" s="567"/>
      <c r="FB167" s="567"/>
      <c r="FC167" s="567"/>
      <c r="FD167" s="567"/>
      <c r="FE167" s="567"/>
      <c r="FF167" s="567"/>
      <c r="FG167" s="567"/>
      <c r="FH167" s="567"/>
      <c r="FI167" s="567"/>
      <c r="FJ167" s="567"/>
      <c r="FK167" s="567"/>
      <c r="FL167" s="567"/>
      <c r="FM167" s="567"/>
      <c r="FN167" s="567"/>
      <c r="FO167" s="567"/>
      <c r="FP167" s="567"/>
      <c r="FQ167" s="567"/>
      <c r="FR167" s="567"/>
      <c r="FS167" s="567"/>
      <c r="FT167" s="567"/>
      <c r="FU167" s="567"/>
      <c r="FV167" s="567"/>
      <c r="FW167" s="567"/>
      <c r="FX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  <c r="BW168" s="567"/>
      <c r="BX168" s="567"/>
      <c r="BY168" s="567"/>
      <c r="BZ168" s="567"/>
      <c r="CA168" s="567"/>
      <c r="CB168" s="567"/>
      <c r="CC168" s="567"/>
      <c r="CD168" s="567"/>
      <c r="CE168" s="567"/>
      <c r="CF168" s="567"/>
      <c r="CG168" s="567"/>
      <c r="CH168" s="567"/>
      <c r="CI168" s="567"/>
      <c r="CJ168" s="567"/>
      <c r="CK168" s="567"/>
      <c r="CL168" s="567"/>
      <c r="CM168" s="567"/>
      <c r="CN168" s="567"/>
      <c r="CO168" s="567"/>
      <c r="CP168" s="567"/>
      <c r="CQ168" s="567"/>
      <c r="CR168" s="567"/>
      <c r="CS168" s="567"/>
      <c r="CT168" s="567"/>
      <c r="CU168" s="567"/>
      <c r="CV168" s="567"/>
      <c r="CW168" s="567"/>
      <c r="CX168" s="567"/>
      <c r="CY168" s="567"/>
      <c r="CZ168" s="567"/>
      <c r="DA168" s="567"/>
      <c r="DB168" s="567"/>
      <c r="DC168" s="567"/>
      <c r="DD168" s="567"/>
      <c r="DE168" s="567"/>
      <c r="DF168" s="567"/>
      <c r="DG168" s="567"/>
      <c r="DH168" s="567"/>
      <c r="DI168" s="567"/>
      <c r="DJ168" s="567"/>
      <c r="DK168" s="567"/>
      <c r="DL168" s="567"/>
      <c r="DM168" s="567"/>
      <c r="DN168" s="567"/>
      <c r="DO168" s="567"/>
      <c r="DP168" s="567"/>
      <c r="DQ168" s="567"/>
      <c r="DR168" s="567"/>
      <c r="DS168" s="567"/>
      <c r="DT168" s="567"/>
      <c r="DU168" s="567"/>
      <c r="DV168" s="567"/>
      <c r="DW168" s="567"/>
      <c r="DX168" s="567"/>
      <c r="DY168" s="567"/>
      <c r="DZ168" s="567"/>
      <c r="EA168" s="567"/>
      <c r="EB168" s="567"/>
      <c r="EC168" s="567"/>
      <c r="ED168" s="567"/>
      <c r="EE168" s="567"/>
      <c r="EF168" s="567"/>
      <c r="EG168" s="567"/>
      <c r="EH168" s="567"/>
      <c r="EI168" s="567"/>
      <c r="EJ168" s="567"/>
      <c r="EK168" s="567"/>
      <c r="EL168" s="567"/>
      <c r="EM168" s="567"/>
      <c r="EN168" s="567"/>
      <c r="EO168" s="567"/>
      <c r="EP168" s="567"/>
      <c r="EQ168" s="567"/>
      <c r="ER168" s="567"/>
      <c r="ES168" s="567"/>
      <c r="ET168" s="567"/>
      <c r="EU168" s="567"/>
      <c r="EV168" s="567"/>
      <c r="EW168" s="567"/>
      <c r="EX168" s="567"/>
      <c r="EY168" s="567"/>
      <c r="EZ168" s="567"/>
      <c r="FA168" s="567"/>
      <c r="FB168" s="567"/>
      <c r="FC168" s="567"/>
      <c r="FD168" s="567"/>
      <c r="FE168" s="567"/>
      <c r="FF168" s="567"/>
      <c r="FG168" s="567"/>
      <c r="FH168" s="567"/>
      <c r="FI168" s="567"/>
      <c r="FJ168" s="567"/>
      <c r="FK168" s="567"/>
      <c r="FL168" s="567"/>
      <c r="FM168" s="567"/>
      <c r="FN168" s="567"/>
      <c r="FO168" s="567"/>
      <c r="FP168" s="567"/>
      <c r="FQ168" s="567"/>
      <c r="FR168" s="567"/>
      <c r="FS168" s="567"/>
      <c r="FT168" s="567"/>
      <c r="FU168" s="567"/>
      <c r="FV168" s="567"/>
      <c r="FW168" s="567"/>
      <c r="FX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  <c r="BW169" s="567"/>
      <c r="BX169" s="567"/>
      <c r="BY169" s="567"/>
      <c r="BZ169" s="567"/>
      <c r="CA169" s="567"/>
      <c r="CB169" s="567"/>
      <c r="CC169" s="567"/>
      <c r="CD169" s="567"/>
      <c r="CE169" s="567"/>
      <c r="CF169" s="567"/>
      <c r="CG169" s="567"/>
      <c r="CH169" s="567"/>
      <c r="CI169" s="567"/>
      <c r="CJ169" s="567"/>
      <c r="CK169" s="567"/>
      <c r="CL169" s="567"/>
      <c r="CM169" s="567"/>
      <c r="CN169" s="567"/>
      <c r="CO169" s="567"/>
      <c r="CP169" s="567"/>
      <c r="CQ169" s="567"/>
      <c r="CR169" s="567"/>
      <c r="CS169" s="567"/>
      <c r="CT169" s="567"/>
      <c r="CU169" s="567"/>
      <c r="CV169" s="567"/>
      <c r="CW169" s="567"/>
      <c r="CX169" s="567"/>
      <c r="CY169" s="567"/>
      <c r="CZ169" s="567"/>
      <c r="DA169" s="567"/>
      <c r="DB169" s="567"/>
      <c r="DC169" s="567"/>
      <c r="DD169" s="567"/>
      <c r="DE169" s="567"/>
      <c r="DF169" s="567"/>
      <c r="DG169" s="567"/>
      <c r="DH169" s="567"/>
      <c r="DI169" s="567"/>
      <c r="DJ169" s="567"/>
      <c r="DK169" s="567"/>
      <c r="DL169" s="567"/>
      <c r="DM169" s="567"/>
      <c r="DN169" s="567"/>
      <c r="DO169" s="567"/>
      <c r="DP169" s="567"/>
      <c r="DQ169" s="567"/>
      <c r="DR169" s="567"/>
      <c r="DS169" s="567"/>
      <c r="DT169" s="567"/>
      <c r="DU169" s="567"/>
      <c r="DV169" s="567"/>
      <c r="DW169" s="567"/>
      <c r="DX169" s="567"/>
      <c r="DY169" s="567"/>
      <c r="DZ169" s="567"/>
      <c r="EA169" s="567"/>
      <c r="EB169" s="567"/>
      <c r="EC169" s="567"/>
      <c r="ED169" s="567"/>
      <c r="EE169" s="567"/>
      <c r="EF169" s="567"/>
      <c r="EG169" s="567"/>
      <c r="EH169" s="567"/>
      <c r="EI169" s="567"/>
      <c r="EJ169" s="567"/>
      <c r="EK169" s="567"/>
      <c r="EL169" s="567"/>
      <c r="EM169" s="567"/>
      <c r="EN169" s="567"/>
      <c r="EO169" s="567"/>
      <c r="EP169" s="567"/>
      <c r="EQ169" s="567"/>
      <c r="ER169" s="567"/>
      <c r="ES169" s="567"/>
      <c r="ET169" s="567"/>
      <c r="EU169" s="567"/>
      <c r="EV169" s="567"/>
      <c r="EW169" s="567"/>
      <c r="EX169" s="567"/>
      <c r="EY169" s="567"/>
      <c r="EZ169" s="567"/>
      <c r="FA169" s="567"/>
      <c r="FB169" s="567"/>
      <c r="FC169" s="567"/>
      <c r="FD169" s="567"/>
      <c r="FE169" s="567"/>
      <c r="FF169" s="567"/>
      <c r="FG169" s="567"/>
      <c r="FH169" s="567"/>
      <c r="FI169" s="567"/>
      <c r="FJ169" s="567"/>
      <c r="FK169" s="567"/>
      <c r="FL169" s="567"/>
      <c r="FM169" s="567"/>
      <c r="FN169" s="567"/>
      <c r="FO169" s="567"/>
      <c r="FP169" s="567"/>
      <c r="FQ169" s="567"/>
      <c r="FR169" s="567"/>
      <c r="FS169" s="567"/>
      <c r="FT169" s="567"/>
      <c r="FU169" s="567"/>
      <c r="FV169" s="567"/>
      <c r="FW169" s="567"/>
      <c r="FX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  <c r="BW170" s="567"/>
      <c r="BX170" s="567"/>
      <c r="BY170" s="567"/>
      <c r="BZ170" s="567"/>
      <c r="CA170" s="567"/>
      <c r="CB170" s="567"/>
      <c r="CC170" s="567"/>
      <c r="CD170" s="567"/>
      <c r="CE170" s="567"/>
      <c r="CF170" s="567"/>
      <c r="CG170" s="567"/>
      <c r="CH170" s="567"/>
      <c r="CI170" s="567"/>
      <c r="CJ170" s="567"/>
      <c r="CK170" s="567"/>
      <c r="CL170" s="567"/>
      <c r="CM170" s="567"/>
      <c r="CN170" s="567"/>
      <c r="CO170" s="567"/>
      <c r="CP170" s="567"/>
      <c r="CQ170" s="567"/>
      <c r="CR170" s="567"/>
      <c r="CS170" s="567"/>
      <c r="CT170" s="567"/>
      <c r="CU170" s="567"/>
      <c r="CV170" s="567"/>
      <c r="CW170" s="567"/>
      <c r="CX170" s="567"/>
      <c r="CY170" s="567"/>
      <c r="CZ170" s="567"/>
      <c r="DA170" s="567"/>
      <c r="DB170" s="567"/>
      <c r="DC170" s="567"/>
      <c r="DD170" s="567"/>
      <c r="DE170" s="567"/>
      <c r="DF170" s="567"/>
      <c r="DG170" s="567"/>
      <c r="DH170" s="567"/>
      <c r="DI170" s="567"/>
      <c r="DJ170" s="567"/>
      <c r="DK170" s="567"/>
      <c r="DL170" s="567"/>
      <c r="DM170" s="567"/>
      <c r="DN170" s="567"/>
      <c r="DO170" s="567"/>
      <c r="DP170" s="567"/>
      <c r="DQ170" s="567"/>
      <c r="DR170" s="567"/>
      <c r="DS170" s="567"/>
      <c r="DT170" s="567"/>
      <c r="DU170" s="567"/>
      <c r="DV170" s="567"/>
      <c r="DW170" s="567"/>
      <c r="DX170" s="567"/>
      <c r="DY170" s="567"/>
      <c r="DZ170" s="567"/>
      <c r="EA170" s="567"/>
      <c r="EB170" s="567"/>
      <c r="EC170" s="567"/>
      <c r="ED170" s="567"/>
      <c r="EE170" s="567"/>
      <c r="EF170" s="567"/>
      <c r="EG170" s="567"/>
      <c r="EH170" s="567"/>
      <c r="EI170" s="567"/>
      <c r="EJ170" s="567"/>
      <c r="EK170" s="567"/>
      <c r="EL170" s="567"/>
      <c r="EM170" s="567"/>
      <c r="EN170" s="567"/>
      <c r="EO170" s="567"/>
      <c r="EP170" s="567"/>
      <c r="EQ170" s="567"/>
      <c r="ER170" s="567"/>
      <c r="ES170" s="567"/>
      <c r="ET170" s="567"/>
      <c r="EU170" s="567"/>
      <c r="EV170" s="567"/>
      <c r="EW170" s="567"/>
      <c r="EX170" s="567"/>
      <c r="EY170" s="567"/>
      <c r="EZ170" s="567"/>
      <c r="FA170" s="567"/>
      <c r="FB170" s="567"/>
      <c r="FC170" s="567"/>
      <c r="FD170" s="567"/>
      <c r="FE170" s="567"/>
      <c r="FF170" s="567"/>
      <c r="FG170" s="567"/>
      <c r="FH170" s="567"/>
      <c r="FI170" s="567"/>
      <c r="FJ170" s="567"/>
      <c r="FK170" s="567"/>
      <c r="FL170" s="567"/>
      <c r="FM170" s="567"/>
      <c r="FN170" s="567"/>
      <c r="FO170" s="567"/>
      <c r="FP170" s="567"/>
      <c r="FQ170" s="567"/>
      <c r="FR170" s="567"/>
      <c r="FS170" s="567"/>
      <c r="FT170" s="567"/>
      <c r="FU170" s="567"/>
      <c r="FV170" s="567"/>
      <c r="FW170" s="567"/>
      <c r="FX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  <c r="BW171" s="567"/>
      <c r="BX171" s="567"/>
      <c r="BY171" s="567"/>
      <c r="BZ171" s="567"/>
      <c r="CA171" s="567"/>
      <c r="CB171" s="567"/>
      <c r="CC171" s="567"/>
      <c r="CD171" s="567"/>
      <c r="CE171" s="567"/>
      <c r="CF171" s="567"/>
      <c r="CG171" s="567"/>
      <c r="CH171" s="567"/>
      <c r="CI171" s="567"/>
      <c r="CJ171" s="567"/>
      <c r="CK171" s="567"/>
      <c r="CL171" s="567"/>
      <c r="CM171" s="567"/>
      <c r="CN171" s="567"/>
      <c r="CO171" s="567"/>
      <c r="CP171" s="567"/>
      <c r="CQ171" s="567"/>
      <c r="CR171" s="567"/>
      <c r="CS171" s="567"/>
      <c r="CT171" s="567"/>
      <c r="CU171" s="567"/>
      <c r="CV171" s="567"/>
      <c r="CW171" s="567"/>
      <c r="CX171" s="567"/>
      <c r="CY171" s="567"/>
      <c r="CZ171" s="567"/>
      <c r="DA171" s="567"/>
      <c r="DB171" s="567"/>
      <c r="DC171" s="567"/>
      <c r="DD171" s="567"/>
      <c r="DE171" s="567"/>
      <c r="DF171" s="567"/>
      <c r="DG171" s="567"/>
      <c r="DH171" s="567"/>
      <c r="DI171" s="567"/>
      <c r="DJ171" s="567"/>
      <c r="DK171" s="567"/>
      <c r="DL171" s="567"/>
      <c r="DM171" s="567"/>
      <c r="DN171" s="567"/>
      <c r="DO171" s="567"/>
      <c r="DP171" s="567"/>
      <c r="DQ171" s="567"/>
      <c r="DR171" s="567"/>
      <c r="DS171" s="567"/>
      <c r="DT171" s="567"/>
      <c r="DU171" s="567"/>
      <c r="DV171" s="567"/>
      <c r="DW171" s="567"/>
      <c r="DX171" s="567"/>
      <c r="DY171" s="567"/>
      <c r="DZ171" s="567"/>
      <c r="EA171" s="567"/>
      <c r="EB171" s="567"/>
      <c r="EC171" s="567"/>
      <c r="ED171" s="567"/>
      <c r="EE171" s="567"/>
      <c r="EF171" s="567"/>
      <c r="EG171" s="567"/>
      <c r="EH171" s="567"/>
      <c r="EI171" s="567"/>
      <c r="EJ171" s="567"/>
      <c r="EK171" s="567"/>
      <c r="EL171" s="567"/>
      <c r="EM171" s="567"/>
      <c r="EN171" s="567"/>
      <c r="EO171" s="567"/>
      <c r="EP171" s="567"/>
      <c r="EQ171" s="567"/>
      <c r="ER171" s="567"/>
      <c r="ES171" s="567"/>
      <c r="ET171" s="567"/>
      <c r="EU171" s="567"/>
      <c r="EV171" s="567"/>
      <c r="EW171" s="567"/>
      <c r="EX171" s="567"/>
      <c r="EY171" s="567"/>
      <c r="EZ171" s="567"/>
      <c r="FA171" s="567"/>
      <c r="FB171" s="567"/>
      <c r="FC171" s="567"/>
      <c r="FD171" s="567"/>
      <c r="FE171" s="567"/>
      <c r="FF171" s="567"/>
      <c r="FG171" s="567"/>
      <c r="FH171" s="567"/>
      <c r="FI171" s="567"/>
      <c r="FJ171" s="567"/>
      <c r="FK171" s="567"/>
      <c r="FL171" s="567"/>
      <c r="FM171" s="567"/>
      <c r="FN171" s="567"/>
      <c r="FO171" s="567"/>
      <c r="FP171" s="567"/>
      <c r="FQ171" s="567"/>
      <c r="FR171" s="567"/>
      <c r="FS171" s="567"/>
      <c r="FT171" s="567"/>
      <c r="FU171" s="567"/>
      <c r="FV171" s="567"/>
      <c r="FW171" s="567"/>
      <c r="FX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  <c r="BW172" s="567"/>
      <c r="BX172" s="567"/>
      <c r="BY172" s="567"/>
      <c r="BZ172" s="567"/>
      <c r="CA172" s="567"/>
      <c r="CB172" s="567"/>
      <c r="CC172" s="567"/>
      <c r="CD172" s="567"/>
      <c r="CE172" s="567"/>
      <c r="CF172" s="567"/>
      <c r="CG172" s="567"/>
      <c r="CH172" s="567"/>
      <c r="CI172" s="567"/>
      <c r="CJ172" s="567"/>
      <c r="CK172" s="567"/>
      <c r="CL172" s="567"/>
      <c r="CM172" s="567"/>
      <c r="CN172" s="567"/>
      <c r="CO172" s="567"/>
      <c r="CP172" s="567"/>
      <c r="CQ172" s="567"/>
      <c r="CR172" s="567"/>
      <c r="CS172" s="567"/>
      <c r="CT172" s="567"/>
      <c r="CU172" s="567"/>
      <c r="CV172" s="567"/>
      <c r="CW172" s="567"/>
      <c r="CX172" s="567"/>
      <c r="CY172" s="567"/>
      <c r="CZ172" s="567"/>
      <c r="DA172" s="567"/>
      <c r="DB172" s="567"/>
      <c r="DC172" s="567"/>
      <c r="DD172" s="567"/>
      <c r="DE172" s="567"/>
      <c r="DF172" s="567"/>
      <c r="DG172" s="567"/>
      <c r="DH172" s="567"/>
      <c r="DI172" s="567"/>
      <c r="DJ172" s="567"/>
      <c r="DK172" s="567"/>
      <c r="DL172" s="567"/>
      <c r="DM172" s="567"/>
      <c r="DN172" s="567"/>
      <c r="DO172" s="567"/>
      <c r="DP172" s="567"/>
      <c r="DQ172" s="567"/>
      <c r="DR172" s="567"/>
      <c r="DS172" s="567"/>
      <c r="DT172" s="567"/>
      <c r="DU172" s="567"/>
      <c r="DV172" s="567"/>
      <c r="DW172" s="567"/>
      <c r="DX172" s="567"/>
      <c r="DY172" s="567"/>
      <c r="DZ172" s="567"/>
      <c r="EA172" s="567"/>
      <c r="EB172" s="567"/>
      <c r="EC172" s="567"/>
      <c r="ED172" s="567"/>
      <c r="EE172" s="567"/>
      <c r="EF172" s="567"/>
      <c r="EG172" s="567"/>
      <c r="EH172" s="567"/>
      <c r="EI172" s="567"/>
      <c r="EJ172" s="567"/>
      <c r="EK172" s="567"/>
      <c r="EL172" s="567"/>
      <c r="EM172" s="567"/>
      <c r="EN172" s="567"/>
      <c r="EO172" s="567"/>
      <c r="EP172" s="567"/>
      <c r="EQ172" s="567"/>
      <c r="ER172" s="567"/>
      <c r="ES172" s="567"/>
      <c r="ET172" s="567"/>
      <c r="EU172" s="567"/>
      <c r="EV172" s="567"/>
      <c r="EW172" s="567"/>
      <c r="EX172" s="567"/>
      <c r="EY172" s="567"/>
      <c r="EZ172" s="567"/>
      <c r="FA172" s="567"/>
      <c r="FB172" s="567"/>
      <c r="FC172" s="567"/>
      <c r="FD172" s="567"/>
      <c r="FE172" s="567"/>
      <c r="FF172" s="567"/>
      <c r="FG172" s="567"/>
      <c r="FH172" s="567"/>
      <c r="FI172" s="567"/>
      <c r="FJ172" s="567"/>
      <c r="FK172" s="567"/>
      <c r="FL172" s="567"/>
      <c r="FM172" s="567"/>
      <c r="FN172" s="567"/>
      <c r="FO172" s="567"/>
      <c r="FP172" s="567"/>
      <c r="FQ172" s="567"/>
      <c r="FR172" s="567"/>
      <c r="FS172" s="567"/>
      <c r="FT172" s="567"/>
      <c r="FU172" s="567"/>
      <c r="FV172" s="567"/>
      <c r="FW172" s="567"/>
      <c r="FX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  <c r="BW173" s="567"/>
      <c r="BX173" s="567"/>
      <c r="BY173" s="567"/>
      <c r="BZ173" s="567"/>
      <c r="CA173" s="567"/>
      <c r="CB173" s="567"/>
      <c r="CC173" s="567"/>
      <c r="CD173" s="567"/>
      <c r="CE173" s="567"/>
      <c r="CF173" s="567"/>
      <c r="CG173" s="567"/>
      <c r="CH173" s="567"/>
      <c r="CI173" s="567"/>
      <c r="CJ173" s="567"/>
      <c r="CK173" s="567"/>
      <c r="CL173" s="567"/>
      <c r="CM173" s="567"/>
      <c r="CN173" s="567"/>
      <c r="CO173" s="567"/>
      <c r="CP173" s="567"/>
      <c r="CQ173" s="567"/>
      <c r="CR173" s="567"/>
      <c r="CS173" s="567"/>
      <c r="CT173" s="567"/>
      <c r="CU173" s="567"/>
      <c r="CV173" s="567"/>
      <c r="CW173" s="567"/>
      <c r="CX173" s="567"/>
      <c r="CY173" s="567"/>
      <c r="CZ173" s="567"/>
      <c r="DA173" s="567"/>
      <c r="DB173" s="567"/>
      <c r="DC173" s="567"/>
      <c r="DD173" s="567"/>
      <c r="DE173" s="567"/>
      <c r="DF173" s="567"/>
      <c r="DG173" s="567"/>
      <c r="DH173" s="567"/>
      <c r="DI173" s="567"/>
      <c r="DJ173" s="567"/>
      <c r="DK173" s="567"/>
      <c r="DL173" s="567"/>
      <c r="DM173" s="567"/>
      <c r="DN173" s="567"/>
      <c r="DO173" s="567"/>
      <c r="DP173" s="567"/>
      <c r="DQ173" s="567"/>
      <c r="DR173" s="567"/>
      <c r="DS173" s="567"/>
      <c r="DT173" s="567"/>
      <c r="DU173" s="567"/>
      <c r="DV173" s="567"/>
      <c r="DW173" s="567"/>
      <c r="DX173" s="567"/>
      <c r="DY173" s="567"/>
      <c r="DZ173" s="567"/>
      <c r="EA173" s="567"/>
      <c r="EB173" s="567"/>
      <c r="EC173" s="567"/>
      <c r="ED173" s="567"/>
      <c r="EE173" s="567"/>
      <c r="EF173" s="567"/>
      <c r="EG173" s="567"/>
      <c r="EH173" s="567"/>
      <c r="EI173" s="567"/>
      <c r="EJ173" s="567"/>
      <c r="EK173" s="567"/>
      <c r="EL173" s="567"/>
      <c r="EM173" s="567"/>
      <c r="EN173" s="567"/>
      <c r="EO173" s="567"/>
      <c r="EP173" s="567"/>
      <c r="EQ173" s="567"/>
      <c r="ER173" s="567"/>
      <c r="ES173" s="567"/>
      <c r="ET173" s="567"/>
      <c r="EU173" s="567"/>
      <c r="EV173" s="567"/>
      <c r="EW173" s="567"/>
      <c r="EX173" s="567"/>
      <c r="EY173" s="567"/>
      <c r="EZ173" s="567"/>
      <c r="FA173" s="567"/>
      <c r="FB173" s="567"/>
      <c r="FC173" s="567"/>
      <c r="FD173" s="567"/>
      <c r="FE173" s="567"/>
      <c r="FF173" s="567"/>
      <c r="FG173" s="567"/>
      <c r="FH173" s="567"/>
      <c r="FI173" s="567"/>
      <c r="FJ173" s="567"/>
      <c r="FK173" s="567"/>
      <c r="FL173" s="567"/>
      <c r="FM173" s="567"/>
      <c r="FN173" s="567"/>
      <c r="FO173" s="567"/>
      <c r="FP173" s="567"/>
      <c r="FQ173" s="567"/>
      <c r="FR173" s="567"/>
      <c r="FS173" s="567"/>
      <c r="FT173" s="567"/>
      <c r="FU173" s="567"/>
      <c r="FV173" s="567"/>
      <c r="FW173" s="567"/>
      <c r="FX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  <c r="BW174" s="567"/>
      <c r="BX174" s="567"/>
      <c r="BY174" s="567"/>
      <c r="BZ174" s="567"/>
      <c r="CA174" s="567"/>
      <c r="CB174" s="567"/>
      <c r="CC174" s="567"/>
      <c r="CD174" s="567"/>
      <c r="CE174" s="567"/>
      <c r="CF174" s="567"/>
      <c r="CG174" s="567"/>
      <c r="CH174" s="567"/>
      <c r="CI174" s="567"/>
      <c r="CJ174" s="567"/>
      <c r="CK174" s="567"/>
      <c r="CL174" s="567"/>
      <c r="CM174" s="567"/>
      <c r="CN174" s="567"/>
      <c r="CO174" s="567"/>
      <c r="CP174" s="567"/>
      <c r="CQ174" s="567"/>
      <c r="CR174" s="567"/>
      <c r="CS174" s="567"/>
      <c r="CT174" s="567"/>
      <c r="CU174" s="567"/>
      <c r="CV174" s="567"/>
      <c r="CW174" s="567"/>
      <c r="CX174" s="567"/>
      <c r="CY174" s="567"/>
      <c r="CZ174" s="567"/>
      <c r="DA174" s="567"/>
      <c r="DB174" s="567"/>
      <c r="DC174" s="567"/>
      <c r="DD174" s="567"/>
      <c r="DE174" s="567"/>
      <c r="DF174" s="567"/>
      <c r="DG174" s="567"/>
      <c r="DH174" s="567"/>
      <c r="DI174" s="567"/>
      <c r="DJ174" s="567"/>
      <c r="DK174" s="567"/>
      <c r="DL174" s="567"/>
      <c r="DM174" s="567"/>
      <c r="DN174" s="567"/>
      <c r="DO174" s="567"/>
      <c r="DP174" s="567"/>
      <c r="DQ174" s="567"/>
      <c r="DR174" s="567"/>
      <c r="DS174" s="567"/>
      <c r="DT174" s="567"/>
      <c r="DU174" s="567"/>
      <c r="DV174" s="567"/>
      <c r="DW174" s="567"/>
      <c r="DX174" s="567"/>
      <c r="DY174" s="567"/>
      <c r="DZ174" s="567"/>
      <c r="EA174" s="567"/>
      <c r="EB174" s="567"/>
      <c r="EC174" s="567"/>
      <c r="ED174" s="567"/>
      <c r="EE174" s="567"/>
      <c r="EF174" s="567"/>
      <c r="EG174" s="567"/>
      <c r="EH174" s="567"/>
      <c r="EI174" s="567"/>
      <c r="EJ174" s="567"/>
      <c r="EK174" s="567"/>
      <c r="EL174" s="567"/>
      <c r="EM174" s="567"/>
      <c r="EN174" s="567"/>
      <c r="EO174" s="567"/>
      <c r="EP174" s="567"/>
      <c r="EQ174" s="567"/>
      <c r="ER174" s="567"/>
      <c r="ES174" s="567"/>
      <c r="ET174" s="567"/>
      <c r="EU174" s="567"/>
      <c r="EV174" s="567"/>
      <c r="EW174" s="567"/>
      <c r="EX174" s="567"/>
      <c r="EY174" s="567"/>
      <c r="EZ174" s="567"/>
      <c r="FA174" s="567"/>
      <c r="FB174" s="567"/>
      <c r="FC174" s="567"/>
      <c r="FD174" s="567"/>
      <c r="FE174" s="567"/>
      <c r="FF174" s="567"/>
      <c r="FG174" s="567"/>
      <c r="FH174" s="567"/>
      <c r="FI174" s="567"/>
      <c r="FJ174" s="567"/>
      <c r="FK174" s="567"/>
      <c r="FL174" s="567"/>
      <c r="FM174" s="567"/>
      <c r="FN174" s="567"/>
      <c r="FO174" s="567"/>
      <c r="FP174" s="567"/>
      <c r="FQ174" s="567"/>
      <c r="FR174" s="567"/>
      <c r="FS174" s="567"/>
      <c r="FT174" s="567"/>
      <c r="FU174" s="567"/>
      <c r="FV174" s="567"/>
      <c r="FW174" s="567"/>
      <c r="FX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  <c r="BW175" s="567"/>
      <c r="BX175" s="567"/>
      <c r="BY175" s="567"/>
      <c r="BZ175" s="567"/>
      <c r="CA175" s="567"/>
      <c r="CB175" s="567"/>
      <c r="CC175" s="567"/>
      <c r="CD175" s="567"/>
      <c r="CE175" s="567"/>
      <c r="CF175" s="567"/>
      <c r="CG175" s="567"/>
      <c r="CH175" s="567"/>
      <c r="CI175" s="567"/>
      <c r="CJ175" s="567"/>
      <c r="CK175" s="567"/>
      <c r="CL175" s="567"/>
      <c r="CM175" s="567"/>
      <c r="CN175" s="567"/>
      <c r="CO175" s="567"/>
      <c r="CP175" s="567"/>
      <c r="CQ175" s="567"/>
      <c r="CR175" s="567"/>
      <c r="CS175" s="567"/>
      <c r="CT175" s="567"/>
      <c r="CU175" s="567"/>
      <c r="CV175" s="567"/>
      <c r="CW175" s="567"/>
      <c r="CX175" s="567"/>
      <c r="CY175" s="567"/>
      <c r="CZ175" s="567"/>
      <c r="DA175" s="567"/>
      <c r="DB175" s="567"/>
      <c r="DC175" s="567"/>
      <c r="DD175" s="567"/>
      <c r="DE175" s="567"/>
      <c r="DF175" s="567"/>
      <c r="DG175" s="567"/>
      <c r="DH175" s="567"/>
      <c r="DI175" s="567"/>
      <c r="DJ175" s="567"/>
      <c r="DK175" s="567"/>
      <c r="DL175" s="567"/>
      <c r="DM175" s="567"/>
      <c r="DN175" s="567"/>
      <c r="DO175" s="567"/>
      <c r="DP175" s="567"/>
      <c r="DQ175" s="567"/>
      <c r="DR175" s="567"/>
      <c r="DS175" s="567"/>
      <c r="DT175" s="567"/>
      <c r="DU175" s="567"/>
      <c r="DV175" s="567"/>
      <c r="DW175" s="567"/>
      <c r="DX175" s="567"/>
      <c r="DY175" s="567"/>
      <c r="DZ175" s="567"/>
      <c r="EA175" s="567"/>
      <c r="EB175" s="567"/>
      <c r="EC175" s="567"/>
      <c r="ED175" s="567"/>
      <c r="EE175" s="567"/>
      <c r="EF175" s="567"/>
      <c r="EG175" s="567"/>
      <c r="EH175" s="567"/>
      <c r="EI175" s="567"/>
      <c r="EJ175" s="567"/>
      <c r="EK175" s="567"/>
      <c r="EL175" s="567"/>
      <c r="EM175" s="567"/>
      <c r="EN175" s="567"/>
      <c r="EO175" s="567"/>
      <c r="EP175" s="567"/>
      <c r="EQ175" s="567"/>
      <c r="ER175" s="567"/>
      <c r="ES175" s="567"/>
      <c r="ET175" s="567"/>
      <c r="EU175" s="567"/>
      <c r="EV175" s="567"/>
      <c r="EW175" s="567"/>
      <c r="EX175" s="567"/>
      <c r="EY175" s="567"/>
      <c r="EZ175" s="567"/>
      <c r="FA175" s="567"/>
      <c r="FB175" s="567"/>
      <c r="FC175" s="567"/>
      <c r="FD175" s="567"/>
      <c r="FE175" s="567"/>
      <c r="FF175" s="567"/>
      <c r="FG175" s="567"/>
      <c r="FH175" s="567"/>
      <c r="FI175" s="567"/>
      <c r="FJ175" s="567"/>
      <c r="FK175" s="567"/>
      <c r="FL175" s="567"/>
      <c r="FM175" s="567"/>
      <c r="FN175" s="567"/>
      <c r="FO175" s="567"/>
      <c r="FP175" s="567"/>
      <c r="FQ175" s="567"/>
      <c r="FR175" s="567"/>
      <c r="FS175" s="567"/>
      <c r="FT175" s="567"/>
      <c r="FU175" s="567"/>
      <c r="FV175" s="567"/>
      <c r="FW175" s="567"/>
      <c r="FX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  <c r="BW176" s="567"/>
      <c r="BX176" s="567"/>
      <c r="BY176" s="567"/>
      <c r="BZ176" s="567"/>
      <c r="CA176" s="567"/>
      <c r="CB176" s="567"/>
      <c r="CC176" s="567"/>
      <c r="CD176" s="567"/>
      <c r="CE176" s="567"/>
      <c r="CF176" s="567"/>
      <c r="CG176" s="567"/>
      <c r="CH176" s="567"/>
      <c r="CI176" s="567"/>
      <c r="CJ176" s="567"/>
      <c r="CK176" s="567"/>
      <c r="CL176" s="567"/>
      <c r="CM176" s="567"/>
      <c r="CN176" s="567"/>
      <c r="CO176" s="567"/>
      <c r="CP176" s="567"/>
      <c r="CQ176" s="567"/>
      <c r="CR176" s="567"/>
      <c r="CS176" s="567"/>
      <c r="CT176" s="567"/>
      <c r="CU176" s="567"/>
      <c r="CV176" s="567"/>
      <c r="CW176" s="567"/>
      <c r="CX176" s="567"/>
      <c r="CY176" s="567"/>
      <c r="CZ176" s="567"/>
      <c r="DA176" s="567"/>
      <c r="DB176" s="567"/>
      <c r="DC176" s="567"/>
      <c r="DD176" s="567"/>
      <c r="DE176" s="567"/>
      <c r="DF176" s="567"/>
      <c r="DG176" s="567"/>
      <c r="DH176" s="567"/>
      <c r="DI176" s="567"/>
      <c r="DJ176" s="567"/>
      <c r="DK176" s="567"/>
      <c r="DL176" s="567"/>
      <c r="DM176" s="567"/>
      <c r="DN176" s="567"/>
      <c r="DO176" s="567"/>
      <c r="DP176" s="567"/>
      <c r="DQ176" s="567"/>
      <c r="DR176" s="567"/>
      <c r="DS176" s="567"/>
      <c r="DT176" s="567"/>
      <c r="DU176" s="567"/>
      <c r="DV176" s="567"/>
      <c r="DW176" s="567"/>
      <c r="DX176" s="567"/>
      <c r="DY176" s="567"/>
      <c r="DZ176" s="567"/>
      <c r="EA176" s="567"/>
      <c r="EB176" s="567"/>
      <c r="EC176" s="567"/>
      <c r="ED176" s="567"/>
      <c r="EE176" s="567"/>
      <c r="EF176" s="567"/>
      <c r="EG176" s="567"/>
      <c r="EH176" s="567"/>
      <c r="EI176" s="567"/>
      <c r="EJ176" s="567"/>
      <c r="EK176" s="567"/>
      <c r="EL176" s="567"/>
      <c r="EM176" s="567"/>
      <c r="EN176" s="567"/>
      <c r="EO176" s="567"/>
      <c r="EP176" s="567"/>
      <c r="EQ176" s="567"/>
      <c r="ER176" s="567"/>
      <c r="ES176" s="567"/>
      <c r="ET176" s="567"/>
      <c r="EU176" s="567"/>
      <c r="EV176" s="567"/>
      <c r="EW176" s="567"/>
      <c r="EX176" s="567"/>
      <c r="EY176" s="567"/>
      <c r="EZ176" s="567"/>
      <c r="FA176" s="567"/>
      <c r="FB176" s="567"/>
      <c r="FC176" s="567"/>
      <c r="FD176" s="567"/>
      <c r="FE176" s="567"/>
      <c r="FF176" s="567"/>
      <c r="FG176" s="567"/>
      <c r="FH176" s="567"/>
      <c r="FI176" s="567"/>
      <c r="FJ176" s="567"/>
      <c r="FK176" s="567"/>
      <c r="FL176" s="567"/>
      <c r="FM176" s="567"/>
      <c r="FN176" s="567"/>
      <c r="FO176" s="567"/>
      <c r="FP176" s="567"/>
      <c r="FQ176" s="567"/>
      <c r="FR176" s="567"/>
      <c r="FS176" s="567"/>
      <c r="FT176" s="567"/>
      <c r="FU176" s="567"/>
      <c r="FV176" s="567"/>
      <c r="FW176" s="567"/>
      <c r="FX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  <c r="BW177" s="567"/>
      <c r="BX177" s="567"/>
      <c r="BY177" s="567"/>
      <c r="BZ177" s="567"/>
      <c r="CA177" s="567"/>
      <c r="CB177" s="567"/>
      <c r="CC177" s="567"/>
      <c r="CD177" s="567"/>
      <c r="CE177" s="567"/>
      <c r="CF177" s="567"/>
      <c r="CG177" s="567"/>
      <c r="CH177" s="567"/>
      <c r="CI177" s="567"/>
      <c r="CJ177" s="567"/>
      <c r="CK177" s="567"/>
      <c r="CL177" s="567"/>
      <c r="CM177" s="567"/>
      <c r="CN177" s="567"/>
      <c r="CO177" s="567"/>
      <c r="CP177" s="567"/>
      <c r="CQ177" s="567"/>
      <c r="CR177" s="567"/>
      <c r="CS177" s="567"/>
      <c r="CT177" s="567"/>
      <c r="CU177" s="567"/>
      <c r="CV177" s="567"/>
      <c r="CW177" s="567"/>
      <c r="CX177" s="567"/>
      <c r="CY177" s="567"/>
      <c r="CZ177" s="567"/>
      <c r="DA177" s="567"/>
      <c r="DB177" s="567"/>
      <c r="DC177" s="567"/>
      <c r="DD177" s="567"/>
      <c r="DE177" s="567"/>
      <c r="DF177" s="567"/>
      <c r="DG177" s="567"/>
      <c r="DH177" s="567"/>
      <c r="DI177" s="567"/>
      <c r="DJ177" s="567"/>
      <c r="DK177" s="567"/>
      <c r="DL177" s="567"/>
      <c r="DM177" s="567"/>
      <c r="DN177" s="567"/>
      <c r="DO177" s="567"/>
      <c r="DP177" s="567"/>
      <c r="DQ177" s="567"/>
      <c r="DR177" s="567"/>
      <c r="DS177" s="567"/>
      <c r="DT177" s="567"/>
      <c r="DU177" s="567"/>
      <c r="DV177" s="567"/>
      <c r="DW177" s="567"/>
      <c r="DX177" s="567"/>
      <c r="DY177" s="567"/>
      <c r="DZ177" s="567"/>
      <c r="EA177" s="567"/>
      <c r="EB177" s="567"/>
      <c r="EC177" s="567"/>
      <c r="ED177" s="567"/>
      <c r="EE177" s="567"/>
      <c r="EF177" s="567"/>
      <c r="EG177" s="567"/>
      <c r="EH177" s="567"/>
      <c r="EI177" s="567"/>
      <c r="EJ177" s="567"/>
      <c r="EK177" s="567"/>
      <c r="EL177" s="567"/>
      <c r="EM177" s="567"/>
      <c r="EN177" s="567"/>
      <c r="EO177" s="567"/>
      <c r="EP177" s="567"/>
      <c r="EQ177" s="567"/>
      <c r="ER177" s="567"/>
      <c r="ES177" s="567"/>
      <c r="ET177" s="567"/>
      <c r="EU177" s="567"/>
      <c r="EV177" s="567"/>
      <c r="EW177" s="567"/>
      <c r="EX177" s="567"/>
      <c r="EY177" s="567"/>
      <c r="EZ177" s="567"/>
      <c r="FA177" s="567"/>
      <c r="FB177" s="567"/>
      <c r="FC177" s="567"/>
      <c r="FD177" s="567"/>
      <c r="FE177" s="567"/>
      <c r="FF177" s="567"/>
      <c r="FG177" s="567"/>
      <c r="FH177" s="567"/>
      <c r="FI177" s="567"/>
      <c r="FJ177" s="567"/>
      <c r="FK177" s="567"/>
      <c r="FL177" s="567"/>
      <c r="FM177" s="567"/>
      <c r="FN177" s="567"/>
      <c r="FO177" s="567"/>
      <c r="FP177" s="567"/>
      <c r="FQ177" s="567"/>
      <c r="FR177" s="567"/>
      <c r="FS177" s="567"/>
      <c r="FT177" s="567"/>
      <c r="FU177" s="567"/>
      <c r="FV177" s="567"/>
      <c r="FW177" s="567"/>
      <c r="FX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  <c r="BW178" s="567"/>
      <c r="BX178" s="567"/>
      <c r="BY178" s="567"/>
      <c r="BZ178" s="567"/>
      <c r="CA178" s="567"/>
      <c r="CB178" s="567"/>
      <c r="CC178" s="567"/>
      <c r="CD178" s="567"/>
      <c r="CE178" s="567"/>
      <c r="CF178" s="567"/>
      <c r="CG178" s="567"/>
      <c r="CH178" s="567"/>
      <c r="CI178" s="567"/>
      <c r="CJ178" s="567"/>
      <c r="CK178" s="567"/>
      <c r="CL178" s="567"/>
      <c r="CM178" s="567"/>
      <c r="CN178" s="567"/>
      <c r="CO178" s="567"/>
      <c r="CP178" s="567"/>
      <c r="CQ178" s="567"/>
      <c r="CR178" s="567"/>
      <c r="CS178" s="567"/>
      <c r="CT178" s="567"/>
      <c r="CU178" s="567"/>
      <c r="CV178" s="567"/>
      <c r="CW178" s="567"/>
      <c r="CX178" s="567"/>
      <c r="CY178" s="567"/>
      <c r="CZ178" s="567"/>
      <c r="DA178" s="567"/>
      <c r="DB178" s="567"/>
      <c r="DC178" s="567"/>
      <c r="DD178" s="567"/>
      <c r="DE178" s="567"/>
      <c r="DF178" s="567"/>
      <c r="DG178" s="567"/>
      <c r="DH178" s="567"/>
      <c r="DI178" s="567"/>
      <c r="DJ178" s="567"/>
      <c r="DK178" s="567"/>
      <c r="DL178" s="567"/>
      <c r="DM178" s="567"/>
      <c r="DN178" s="567"/>
      <c r="DO178" s="567"/>
      <c r="DP178" s="567"/>
      <c r="DQ178" s="567"/>
      <c r="DR178" s="567"/>
      <c r="DS178" s="567"/>
      <c r="DT178" s="567"/>
      <c r="DU178" s="567"/>
      <c r="DV178" s="567"/>
      <c r="DW178" s="567"/>
      <c r="DX178" s="567"/>
      <c r="DY178" s="567"/>
      <c r="DZ178" s="567"/>
      <c r="EA178" s="567"/>
      <c r="EB178" s="567"/>
      <c r="EC178" s="567"/>
      <c r="ED178" s="567"/>
      <c r="EE178" s="567"/>
      <c r="EF178" s="567"/>
      <c r="EG178" s="567"/>
      <c r="EH178" s="567"/>
      <c r="EI178" s="567"/>
      <c r="EJ178" s="567"/>
      <c r="EK178" s="567"/>
      <c r="EL178" s="567"/>
      <c r="EM178" s="567"/>
      <c r="EN178" s="567"/>
      <c r="EO178" s="567"/>
      <c r="EP178" s="567"/>
      <c r="EQ178" s="567"/>
      <c r="ER178" s="567"/>
      <c r="ES178" s="567"/>
      <c r="ET178" s="567"/>
      <c r="EU178" s="567"/>
      <c r="EV178" s="567"/>
      <c r="EW178" s="567"/>
      <c r="EX178" s="567"/>
      <c r="EY178" s="567"/>
      <c r="EZ178" s="567"/>
      <c r="FA178" s="567"/>
      <c r="FB178" s="567"/>
      <c r="FC178" s="567"/>
      <c r="FD178" s="567"/>
      <c r="FE178" s="567"/>
      <c r="FF178" s="567"/>
      <c r="FG178" s="567"/>
      <c r="FH178" s="567"/>
      <c r="FI178" s="567"/>
      <c r="FJ178" s="567"/>
      <c r="FK178" s="567"/>
      <c r="FL178" s="567"/>
      <c r="FM178" s="567"/>
      <c r="FN178" s="567"/>
      <c r="FO178" s="567"/>
      <c r="FP178" s="567"/>
      <c r="FQ178" s="567"/>
      <c r="FR178" s="567"/>
      <c r="FS178" s="567"/>
      <c r="FT178" s="567"/>
      <c r="FU178" s="567"/>
      <c r="FV178" s="567"/>
      <c r="FW178" s="567"/>
      <c r="FX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  <c r="BW179" s="567"/>
      <c r="BX179" s="567"/>
      <c r="BY179" s="567"/>
      <c r="BZ179" s="567"/>
      <c r="CA179" s="567"/>
      <c r="CB179" s="567"/>
      <c r="CC179" s="567"/>
      <c r="CD179" s="567"/>
      <c r="CE179" s="567"/>
      <c r="CF179" s="567"/>
      <c r="CG179" s="567"/>
      <c r="CH179" s="567"/>
      <c r="CI179" s="567"/>
      <c r="CJ179" s="567"/>
      <c r="CK179" s="567"/>
      <c r="CL179" s="567"/>
      <c r="CM179" s="567"/>
      <c r="CN179" s="567"/>
      <c r="CO179" s="567"/>
      <c r="CP179" s="567"/>
      <c r="CQ179" s="567"/>
      <c r="CR179" s="567"/>
      <c r="CS179" s="567"/>
      <c r="CT179" s="567"/>
      <c r="CU179" s="567"/>
      <c r="CV179" s="567"/>
      <c r="CW179" s="567"/>
      <c r="CX179" s="567"/>
      <c r="CY179" s="567"/>
      <c r="CZ179" s="567"/>
      <c r="DA179" s="567"/>
      <c r="DB179" s="567"/>
      <c r="DC179" s="567"/>
      <c r="DD179" s="567"/>
      <c r="DE179" s="567"/>
      <c r="DF179" s="567"/>
      <c r="DG179" s="567"/>
      <c r="DH179" s="567"/>
      <c r="DI179" s="567"/>
      <c r="DJ179" s="567"/>
      <c r="DK179" s="567"/>
      <c r="DL179" s="567"/>
      <c r="DM179" s="567"/>
      <c r="DN179" s="567"/>
      <c r="DO179" s="567"/>
      <c r="DP179" s="567"/>
      <c r="DQ179" s="567"/>
      <c r="DR179" s="567"/>
      <c r="DS179" s="567"/>
      <c r="DT179" s="567"/>
      <c r="DU179" s="567"/>
      <c r="DV179" s="567"/>
      <c r="DW179" s="567"/>
      <c r="DX179" s="567"/>
      <c r="DY179" s="567"/>
      <c r="DZ179" s="567"/>
      <c r="EA179" s="567"/>
      <c r="EB179" s="567"/>
      <c r="EC179" s="567"/>
      <c r="ED179" s="567"/>
      <c r="EE179" s="567"/>
      <c r="EF179" s="567"/>
      <c r="EG179" s="567"/>
      <c r="EH179" s="567"/>
      <c r="EI179" s="567"/>
      <c r="EJ179" s="567"/>
      <c r="EK179" s="567"/>
      <c r="EL179" s="567"/>
      <c r="EM179" s="567"/>
      <c r="EN179" s="567"/>
      <c r="EO179" s="567"/>
      <c r="EP179" s="567"/>
      <c r="EQ179" s="567"/>
      <c r="ER179" s="567"/>
      <c r="ES179" s="567"/>
      <c r="ET179" s="567"/>
      <c r="EU179" s="567"/>
      <c r="EV179" s="567"/>
      <c r="EW179" s="567"/>
      <c r="EX179" s="567"/>
      <c r="EY179" s="567"/>
      <c r="EZ179" s="567"/>
      <c r="FA179" s="567"/>
      <c r="FB179" s="567"/>
      <c r="FC179" s="567"/>
      <c r="FD179" s="567"/>
      <c r="FE179" s="567"/>
      <c r="FF179" s="567"/>
      <c r="FG179" s="567"/>
      <c r="FH179" s="567"/>
      <c r="FI179" s="567"/>
      <c r="FJ179" s="567"/>
      <c r="FK179" s="567"/>
      <c r="FL179" s="567"/>
      <c r="FM179" s="567"/>
      <c r="FN179" s="567"/>
      <c r="FO179" s="567"/>
      <c r="FP179" s="567"/>
      <c r="FQ179" s="567"/>
      <c r="FR179" s="567"/>
      <c r="FS179" s="567"/>
      <c r="FT179" s="567"/>
      <c r="FU179" s="567"/>
      <c r="FV179" s="567"/>
      <c r="FW179" s="567"/>
      <c r="FX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  <c r="BW180" s="567"/>
      <c r="BX180" s="567"/>
      <c r="BY180" s="567"/>
      <c r="BZ180" s="567"/>
      <c r="CA180" s="567"/>
      <c r="CB180" s="567"/>
      <c r="CC180" s="567"/>
      <c r="CD180" s="567"/>
      <c r="CE180" s="567"/>
      <c r="CF180" s="567"/>
      <c r="CG180" s="567"/>
      <c r="CH180" s="567"/>
      <c r="CI180" s="567"/>
      <c r="CJ180" s="567"/>
      <c r="CK180" s="567"/>
      <c r="CL180" s="567"/>
      <c r="CM180" s="567"/>
      <c r="CN180" s="567"/>
      <c r="CO180" s="567"/>
      <c r="CP180" s="567"/>
      <c r="CQ180" s="567"/>
      <c r="CR180" s="567"/>
      <c r="CS180" s="567"/>
      <c r="CT180" s="567"/>
      <c r="CU180" s="567"/>
      <c r="CV180" s="567"/>
      <c r="CW180" s="567"/>
      <c r="CX180" s="567"/>
      <c r="CY180" s="567"/>
      <c r="CZ180" s="567"/>
      <c r="DA180" s="567"/>
      <c r="DB180" s="567"/>
      <c r="DC180" s="567"/>
      <c r="DD180" s="567"/>
      <c r="DE180" s="567"/>
      <c r="DF180" s="567"/>
      <c r="DG180" s="567"/>
      <c r="DH180" s="567"/>
      <c r="DI180" s="567"/>
      <c r="DJ180" s="567"/>
      <c r="DK180" s="567"/>
      <c r="DL180" s="567"/>
      <c r="DM180" s="567"/>
      <c r="DN180" s="567"/>
      <c r="DO180" s="567"/>
      <c r="DP180" s="567"/>
      <c r="DQ180" s="567"/>
      <c r="DR180" s="567"/>
      <c r="DS180" s="567"/>
      <c r="DT180" s="567"/>
      <c r="DU180" s="567"/>
      <c r="DV180" s="567"/>
      <c r="DW180" s="567"/>
      <c r="DX180" s="567"/>
      <c r="DY180" s="567"/>
      <c r="DZ180" s="567"/>
      <c r="EA180" s="567"/>
      <c r="EB180" s="567"/>
      <c r="EC180" s="567"/>
      <c r="ED180" s="567"/>
      <c r="EE180" s="567"/>
      <c r="EF180" s="567"/>
      <c r="EG180" s="567"/>
      <c r="EH180" s="567"/>
      <c r="EI180" s="567"/>
      <c r="EJ180" s="567"/>
      <c r="EK180" s="567"/>
      <c r="EL180" s="567"/>
      <c r="EM180" s="567"/>
      <c r="EN180" s="567"/>
      <c r="EO180" s="567"/>
      <c r="EP180" s="567"/>
      <c r="EQ180" s="567"/>
      <c r="ER180" s="567"/>
      <c r="ES180" s="567"/>
      <c r="ET180" s="567"/>
      <c r="EU180" s="567"/>
      <c r="EV180" s="567"/>
      <c r="EW180" s="567"/>
      <c r="EX180" s="567"/>
      <c r="EY180" s="567"/>
      <c r="EZ180" s="567"/>
      <c r="FA180" s="567"/>
      <c r="FB180" s="567"/>
      <c r="FC180" s="567"/>
      <c r="FD180" s="567"/>
      <c r="FE180" s="567"/>
      <c r="FF180" s="567"/>
      <c r="FG180" s="567"/>
      <c r="FH180" s="567"/>
      <c r="FI180" s="567"/>
      <c r="FJ180" s="567"/>
      <c r="FK180" s="567"/>
      <c r="FL180" s="567"/>
      <c r="FM180" s="567"/>
      <c r="FN180" s="567"/>
      <c r="FO180" s="567"/>
      <c r="FP180" s="567"/>
      <c r="FQ180" s="567"/>
      <c r="FR180" s="567"/>
      <c r="FS180" s="567"/>
      <c r="FT180" s="567"/>
      <c r="FU180" s="567"/>
      <c r="FV180" s="567"/>
      <c r="FW180" s="567"/>
      <c r="FX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  <c r="BW181" s="567"/>
      <c r="BX181" s="567"/>
      <c r="BY181" s="567"/>
      <c r="BZ181" s="567"/>
      <c r="CA181" s="567"/>
      <c r="CB181" s="567"/>
      <c r="CC181" s="567"/>
      <c r="CD181" s="567"/>
      <c r="CE181" s="567"/>
      <c r="CF181" s="567"/>
      <c r="CG181" s="567"/>
      <c r="CH181" s="567"/>
      <c r="CI181" s="567"/>
      <c r="CJ181" s="567"/>
      <c r="CK181" s="567"/>
      <c r="CL181" s="567"/>
      <c r="CM181" s="567"/>
      <c r="CN181" s="567"/>
      <c r="CO181" s="567"/>
      <c r="CP181" s="567"/>
      <c r="CQ181" s="567"/>
      <c r="CR181" s="567"/>
      <c r="CS181" s="567"/>
      <c r="CT181" s="567"/>
      <c r="CU181" s="567"/>
      <c r="CV181" s="567"/>
      <c r="CW181" s="567"/>
      <c r="CX181" s="567"/>
      <c r="CY181" s="567"/>
      <c r="CZ181" s="567"/>
      <c r="DA181" s="567"/>
      <c r="DB181" s="567"/>
      <c r="DC181" s="567"/>
      <c r="DD181" s="567"/>
      <c r="DE181" s="567"/>
      <c r="DF181" s="567"/>
      <c r="DG181" s="567"/>
      <c r="DH181" s="567"/>
      <c r="DI181" s="567"/>
      <c r="DJ181" s="567"/>
      <c r="DK181" s="567"/>
      <c r="DL181" s="567"/>
      <c r="DM181" s="567"/>
      <c r="DN181" s="567"/>
      <c r="DO181" s="567"/>
      <c r="DP181" s="567"/>
      <c r="DQ181" s="567"/>
      <c r="DR181" s="567"/>
      <c r="DS181" s="567"/>
      <c r="DT181" s="567"/>
      <c r="DU181" s="567"/>
      <c r="DV181" s="567"/>
      <c r="DW181" s="567"/>
      <c r="DX181" s="567"/>
      <c r="DY181" s="567"/>
      <c r="DZ181" s="567"/>
      <c r="EA181" s="567"/>
      <c r="EB181" s="567"/>
      <c r="EC181" s="567"/>
      <c r="ED181" s="567"/>
      <c r="EE181" s="567"/>
      <c r="EF181" s="567"/>
      <c r="EG181" s="567"/>
      <c r="EH181" s="567"/>
      <c r="EI181" s="567"/>
      <c r="EJ181" s="567"/>
      <c r="EK181" s="567"/>
      <c r="EL181" s="567"/>
      <c r="EM181" s="567"/>
      <c r="EN181" s="567"/>
      <c r="EO181" s="567"/>
      <c r="EP181" s="567"/>
      <c r="EQ181" s="567"/>
      <c r="ER181" s="567"/>
      <c r="ES181" s="567"/>
      <c r="ET181" s="567"/>
      <c r="EU181" s="567"/>
      <c r="EV181" s="567"/>
      <c r="EW181" s="567"/>
      <c r="EX181" s="567"/>
      <c r="EY181" s="567"/>
      <c r="EZ181" s="567"/>
      <c r="FA181" s="567"/>
      <c r="FB181" s="567"/>
      <c r="FC181" s="567"/>
      <c r="FD181" s="567"/>
      <c r="FE181" s="567"/>
      <c r="FF181" s="567"/>
      <c r="FG181" s="567"/>
      <c r="FH181" s="567"/>
      <c r="FI181" s="567"/>
      <c r="FJ181" s="567"/>
      <c r="FK181" s="567"/>
      <c r="FL181" s="567"/>
      <c r="FM181" s="567"/>
      <c r="FN181" s="567"/>
      <c r="FO181" s="567"/>
      <c r="FP181" s="567"/>
      <c r="FQ181" s="567"/>
      <c r="FR181" s="567"/>
      <c r="FS181" s="567"/>
      <c r="FT181" s="567"/>
      <c r="FU181" s="567"/>
      <c r="FV181" s="567"/>
      <c r="FW181" s="567"/>
      <c r="FX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  <c r="BW182" s="567"/>
      <c r="BX182" s="567"/>
      <c r="BY182" s="567"/>
      <c r="BZ182" s="567"/>
      <c r="CA182" s="567"/>
      <c r="CB182" s="567"/>
      <c r="CC182" s="567"/>
      <c r="CD182" s="567"/>
      <c r="CE182" s="567"/>
      <c r="CF182" s="567"/>
      <c r="CG182" s="567"/>
      <c r="CH182" s="567"/>
      <c r="CI182" s="567"/>
      <c r="CJ182" s="567"/>
      <c r="CK182" s="567"/>
      <c r="CL182" s="567"/>
      <c r="CM182" s="567"/>
      <c r="CN182" s="567"/>
      <c r="CO182" s="567"/>
      <c r="CP182" s="567"/>
      <c r="CQ182" s="567"/>
      <c r="CR182" s="567"/>
      <c r="CS182" s="567"/>
      <c r="CT182" s="567"/>
      <c r="CU182" s="567"/>
      <c r="CV182" s="567"/>
      <c r="CW182" s="567"/>
      <c r="CX182" s="567"/>
      <c r="CY182" s="567"/>
      <c r="CZ182" s="567"/>
      <c r="DA182" s="567"/>
      <c r="DB182" s="567"/>
      <c r="DC182" s="567"/>
      <c r="DD182" s="567"/>
      <c r="DE182" s="567"/>
      <c r="DF182" s="567"/>
      <c r="DG182" s="567"/>
      <c r="DH182" s="567"/>
      <c r="DI182" s="567"/>
      <c r="DJ182" s="567"/>
      <c r="DK182" s="567"/>
      <c r="DL182" s="567"/>
      <c r="DM182" s="567"/>
      <c r="DN182" s="567"/>
      <c r="DO182" s="567"/>
      <c r="DP182" s="567"/>
      <c r="DQ182" s="567"/>
      <c r="DR182" s="567"/>
      <c r="DS182" s="567"/>
      <c r="DT182" s="567"/>
      <c r="DU182" s="567"/>
      <c r="DV182" s="567"/>
      <c r="DW182" s="567"/>
      <c r="DX182" s="567"/>
      <c r="DY182" s="567"/>
      <c r="DZ182" s="567"/>
      <c r="EA182" s="567"/>
      <c r="EB182" s="567"/>
      <c r="EC182" s="567"/>
      <c r="ED182" s="567"/>
      <c r="EE182" s="567"/>
      <c r="EF182" s="567"/>
      <c r="EG182" s="567"/>
      <c r="EH182" s="567"/>
      <c r="EI182" s="567"/>
      <c r="EJ182" s="567"/>
      <c r="EK182" s="567"/>
      <c r="EL182" s="567"/>
      <c r="EM182" s="567"/>
      <c r="EN182" s="567"/>
      <c r="EO182" s="567"/>
      <c r="EP182" s="567"/>
      <c r="EQ182" s="567"/>
      <c r="ER182" s="567"/>
      <c r="ES182" s="567"/>
      <c r="ET182" s="567"/>
      <c r="EU182" s="567"/>
      <c r="EV182" s="567"/>
      <c r="EW182" s="567"/>
      <c r="EX182" s="567"/>
      <c r="EY182" s="567"/>
      <c r="EZ182" s="567"/>
      <c r="FA182" s="567"/>
      <c r="FB182" s="567"/>
      <c r="FC182" s="567"/>
      <c r="FD182" s="567"/>
      <c r="FE182" s="567"/>
      <c r="FF182" s="567"/>
      <c r="FG182" s="567"/>
      <c r="FH182" s="567"/>
      <c r="FI182" s="567"/>
      <c r="FJ182" s="567"/>
      <c r="FK182" s="567"/>
      <c r="FL182" s="567"/>
      <c r="FM182" s="567"/>
      <c r="FN182" s="567"/>
      <c r="FO182" s="567"/>
      <c r="FP182" s="567"/>
      <c r="FQ182" s="567"/>
      <c r="FR182" s="567"/>
      <c r="FS182" s="567"/>
      <c r="FT182" s="567"/>
      <c r="FU182" s="567"/>
      <c r="FV182" s="567"/>
      <c r="FW182" s="567"/>
      <c r="FX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  <c r="BW183" s="567"/>
      <c r="BX183" s="567"/>
      <c r="BY183" s="567"/>
      <c r="BZ183" s="567"/>
      <c r="CA183" s="567"/>
      <c r="CB183" s="567"/>
      <c r="CC183" s="567"/>
      <c r="CD183" s="567"/>
      <c r="CE183" s="567"/>
      <c r="CF183" s="567"/>
      <c r="CG183" s="567"/>
      <c r="CH183" s="567"/>
      <c r="CI183" s="567"/>
      <c r="CJ183" s="567"/>
      <c r="CK183" s="567"/>
      <c r="CL183" s="567"/>
      <c r="CM183" s="567"/>
      <c r="CN183" s="567"/>
      <c r="CO183" s="567"/>
      <c r="CP183" s="567"/>
      <c r="CQ183" s="567"/>
      <c r="CR183" s="567"/>
      <c r="CS183" s="567"/>
      <c r="CT183" s="567"/>
      <c r="CU183" s="567"/>
      <c r="CV183" s="567"/>
      <c r="CW183" s="567"/>
      <c r="CX183" s="567"/>
      <c r="CY183" s="567"/>
      <c r="CZ183" s="567"/>
      <c r="DA183" s="567"/>
      <c r="DB183" s="567"/>
      <c r="DC183" s="567"/>
      <c r="DD183" s="567"/>
      <c r="DE183" s="567"/>
      <c r="DF183" s="567"/>
      <c r="DG183" s="567"/>
      <c r="DH183" s="567"/>
      <c r="DI183" s="567"/>
      <c r="DJ183" s="567"/>
      <c r="DK183" s="567"/>
      <c r="DL183" s="567"/>
      <c r="DM183" s="567"/>
      <c r="DN183" s="567"/>
      <c r="DO183" s="567"/>
      <c r="DP183" s="567"/>
      <c r="DQ183" s="567"/>
      <c r="DR183" s="567"/>
      <c r="DS183" s="567"/>
      <c r="DT183" s="567"/>
      <c r="DU183" s="567"/>
      <c r="DV183" s="567"/>
      <c r="DW183" s="567"/>
      <c r="DX183" s="567"/>
      <c r="DY183" s="567"/>
      <c r="DZ183" s="567"/>
      <c r="EA183" s="567"/>
      <c r="EB183" s="567"/>
      <c r="EC183" s="567"/>
      <c r="ED183" s="567"/>
      <c r="EE183" s="567"/>
      <c r="EF183" s="567"/>
      <c r="EG183" s="567"/>
      <c r="EH183" s="567"/>
      <c r="EI183" s="567"/>
      <c r="EJ183" s="567"/>
      <c r="EK183" s="567"/>
      <c r="EL183" s="567"/>
      <c r="EM183" s="567"/>
      <c r="EN183" s="567"/>
      <c r="EO183" s="567"/>
      <c r="EP183" s="567"/>
      <c r="EQ183" s="567"/>
      <c r="ER183" s="567"/>
      <c r="ES183" s="567"/>
      <c r="ET183" s="567"/>
      <c r="EU183" s="567"/>
      <c r="EV183" s="567"/>
      <c r="EW183" s="567"/>
      <c r="EX183" s="567"/>
      <c r="EY183" s="567"/>
      <c r="EZ183" s="567"/>
      <c r="FA183" s="567"/>
      <c r="FB183" s="567"/>
      <c r="FC183" s="567"/>
      <c r="FD183" s="567"/>
      <c r="FE183" s="567"/>
      <c r="FF183" s="567"/>
      <c r="FG183" s="567"/>
      <c r="FH183" s="567"/>
      <c r="FI183" s="567"/>
      <c r="FJ183" s="567"/>
      <c r="FK183" s="567"/>
      <c r="FL183" s="567"/>
      <c r="FM183" s="567"/>
      <c r="FN183" s="567"/>
      <c r="FO183" s="567"/>
      <c r="FP183" s="567"/>
      <c r="FQ183" s="567"/>
      <c r="FR183" s="567"/>
      <c r="FS183" s="567"/>
      <c r="FT183" s="567"/>
      <c r="FU183" s="567"/>
      <c r="FV183" s="567"/>
      <c r="FW183" s="567"/>
      <c r="FX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  <c r="BW184" s="567"/>
      <c r="BX184" s="567"/>
      <c r="BY184" s="567"/>
      <c r="BZ184" s="567"/>
      <c r="CA184" s="567"/>
      <c r="CB184" s="567"/>
      <c r="CC184" s="567"/>
      <c r="CD184" s="567"/>
      <c r="CE184" s="567"/>
      <c r="CF184" s="567"/>
      <c r="CG184" s="567"/>
      <c r="CH184" s="567"/>
      <c r="CI184" s="567"/>
      <c r="CJ184" s="567"/>
      <c r="CK184" s="567"/>
      <c r="CL184" s="567"/>
      <c r="CM184" s="567"/>
      <c r="CN184" s="567"/>
      <c r="CO184" s="567"/>
      <c r="CP184" s="567"/>
      <c r="CQ184" s="567"/>
      <c r="CR184" s="567"/>
      <c r="CS184" s="567"/>
      <c r="CT184" s="567"/>
      <c r="CU184" s="567"/>
      <c r="CV184" s="567"/>
      <c r="CW184" s="567"/>
      <c r="CX184" s="567"/>
      <c r="CY184" s="567"/>
      <c r="CZ184" s="567"/>
      <c r="DA184" s="567"/>
      <c r="DB184" s="567"/>
      <c r="DC184" s="567"/>
      <c r="DD184" s="567"/>
      <c r="DE184" s="567"/>
      <c r="DF184" s="567"/>
      <c r="DG184" s="567"/>
      <c r="DH184" s="567"/>
      <c r="DI184" s="567"/>
      <c r="DJ184" s="567"/>
      <c r="DK184" s="567"/>
      <c r="DL184" s="567"/>
      <c r="DM184" s="567"/>
      <c r="DN184" s="567"/>
      <c r="DO184" s="567"/>
      <c r="DP184" s="567"/>
      <c r="DQ184" s="567"/>
      <c r="DR184" s="567"/>
      <c r="DS184" s="567"/>
      <c r="DT184" s="567"/>
      <c r="DU184" s="567"/>
      <c r="DV184" s="567"/>
      <c r="DW184" s="567"/>
      <c r="DX184" s="567"/>
      <c r="DY184" s="567"/>
      <c r="DZ184" s="567"/>
      <c r="EA184" s="567"/>
      <c r="EB184" s="567"/>
      <c r="EC184" s="567"/>
      <c r="ED184" s="567"/>
      <c r="EE184" s="567"/>
      <c r="EF184" s="567"/>
      <c r="EG184" s="567"/>
      <c r="EH184" s="567"/>
      <c r="EI184" s="567"/>
      <c r="EJ184" s="567"/>
      <c r="EK184" s="567"/>
      <c r="EL184" s="567"/>
      <c r="EM184" s="567"/>
      <c r="EN184" s="567"/>
      <c r="EO184" s="567"/>
      <c r="EP184" s="567"/>
      <c r="EQ184" s="567"/>
      <c r="ER184" s="567"/>
      <c r="ES184" s="567"/>
      <c r="ET184" s="567"/>
      <c r="EU184" s="567"/>
      <c r="EV184" s="567"/>
      <c r="EW184" s="567"/>
      <c r="EX184" s="567"/>
      <c r="EY184" s="567"/>
      <c r="EZ184" s="567"/>
      <c r="FA184" s="567"/>
      <c r="FB184" s="567"/>
      <c r="FC184" s="567"/>
      <c r="FD184" s="567"/>
      <c r="FE184" s="567"/>
      <c r="FF184" s="567"/>
      <c r="FG184" s="567"/>
      <c r="FH184" s="567"/>
      <c r="FI184" s="567"/>
      <c r="FJ184" s="567"/>
      <c r="FK184" s="567"/>
      <c r="FL184" s="567"/>
      <c r="FM184" s="567"/>
      <c r="FN184" s="567"/>
      <c r="FO184" s="567"/>
      <c r="FP184" s="567"/>
      <c r="FQ184" s="567"/>
      <c r="FR184" s="567"/>
      <c r="FS184" s="567"/>
      <c r="FT184" s="567"/>
      <c r="FU184" s="567"/>
      <c r="FV184" s="567"/>
      <c r="FW184" s="567"/>
      <c r="FX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  <c r="BW185" s="567"/>
      <c r="BX185" s="567"/>
      <c r="BY185" s="567"/>
      <c r="BZ185" s="567"/>
      <c r="CA185" s="567"/>
      <c r="CB185" s="567"/>
      <c r="CC185" s="567"/>
      <c r="CD185" s="567"/>
      <c r="CE185" s="567"/>
      <c r="CF185" s="567"/>
      <c r="CG185" s="567"/>
      <c r="CH185" s="567"/>
      <c r="CI185" s="567"/>
      <c r="CJ185" s="567"/>
      <c r="CK185" s="567"/>
      <c r="CL185" s="567"/>
      <c r="CM185" s="567"/>
      <c r="CN185" s="567"/>
      <c r="CO185" s="567"/>
      <c r="CP185" s="567"/>
      <c r="CQ185" s="567"/>
      <c r="CR185" s="567"/>
      <c r="CS185" s="567"/>
      <c r="CT185" s="567"/>
      <c r="CU185" s="567"/>
      <c r="CV185" s="567"/>
      <c r="CW185" s="567"/>
      <c r="CX185" s="567"/>
      <c r="CY185" s="567"/>
      <c r="CZ185" s="567"/>
      <c r="DA185" s="567"/>
      <c r="DB185" s="567"/>
      <c r="DC185" s="567"/>
      <c r="DD185" s="567"/>
      <c r="DE185" s="567"/>
      <c r="DF185" s="567"/>
      <c r="DG185" s="567"/>
      <c r="DH185" s="567"/>
      <c r="DI185" s="567"/>
      <c r="DJ185" s="567"/>
      <c r="DK185" s="567"/>
      <c r="DL185" s="567"/>
      <c r="DM185" s="567"/>
      <c r="DN185" s="567"/>
      <c r="DO185" s="567"/>
      <c r="DP185" s="567"/>
      <c r="DQ185" s="567"/>
      <c r="DR185" s="567"/>
      <c r="DS185" s="567"/>
      <c r="DT185" s="567"/>
      <c r="DU185" s="567"/>
      <c r="DV185" s="567"/>
      <c r="DW185" s="567"/>
      <c r="DX185" s="567"/>
      <c r="DY185" s="567"/>
      <c r="DZ185" s="567"/>
      <c r="EA185" s="567"/>
      <c r="EB185" s="567"/>
      <c r="EC185" s="567"/>
      <c r="ED185" s="567"/>
      <c r="EE185" s="567"/>
      <c r="EF185" s="567"/>
      <c r="EG185" s="567"/>
      <c r="EH185" s="567"/>
      <c r="EI185" s="567"/>
      <c r="EJ185" s="567"/>
      <c r="EK185" s="567"/>
      <c r="EL185" s="567"/>
      <c r="EM185" s="567"/>
      <c r="EN185" s="567"/>
      <c r="EO185" s="567"/>
      <c r="EP185" s="567"/>
      <c r="EQ185" s="567"/>
      <c r="ER185" s="567"/>
      <c r="ES185" s="567"/>
      <c r="ET185" s="567"/>
      <c r="EU185" s="567"/>
      <c r="EV185" s="567"/>
      <c r="EW185" s="567"/>
      <c r="EX185" s="567"/>
      <c r="EY185" s="567"/>
      <c r="EZ185" s="567"/>
      <c r="FA185" s="567"/>
      <c r="FB185" s="567"/>
      <c r="FC185" s="567"/>
      <c r="FD185" s="567"/>
      <c r="FE185" s="567"/>
      <c r="FF185" s="567"/>
      <c r="FG185" s="567"/>
      <c r="FH185" s="567"/>
      <c r="FI185" s="567"/>
      <c r="FJ185" s="567"/>
      <c r="FK185" s="567"/>
      <c r="FL185" s="567"/>
      <c r="FM185" s="567"/>
      <c r="FN185" s="567"/>
      <c r="FO185" s="567"/>
      <c r="FP185" s="567"/>
      <c r="FQ185" s="567"/>
      <c r="FR185" s="567"/>
      <c r="FS185" s="567"/>
      <c r="FT185" s="567"/>
      <c r="FU185" s="567"/>
      <c r="FV185" s="567"/>
      <c r="FW185" s="567"/>
      <c r="FX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  <c r="BW186" s="567"/>
      <c r="BX186" s="567"/>
      <c r="BY186" s="567"/>
      <c r="BZ186" s="567"/>
      <c r="CA186" s="567"/>
      <c r="CB186" s="567"/>
      <c r="CC186" s="567"/>
      <c r="CD186" s="567"/>
      <c r="CE186" s="567"/>
      <c r="CF186" s="567"/>
      <c r="CG186" s="567"/>
      <c r="CH186" s="567"/>
      <c r="CI186" s="567"/>
      <c r="CJ186" s="567"/>
      <c r="CK186" s="567"/>
      <c r="CL186" s="567"/>
      <c r="CM186" s="567"/>
      <c r="CN186" s="567"/>
      <c r="CO186" s="567"/>
      <c r="CP186" s="567"/>
      <c r="CQ186" s="567"/>
      <c r="CR186" s="567"/>
      <c r="CS186" s="567"/>
      <c r="CT186" s="567"/>
      <c r="CU186" s="567"/>
      <c r="CV186" s="567"/>
      <c r="CW186" s="567"/>
      <c r="CX186" s="567"/>
      <c r="CY186" s="567"/>
      <c r="CZ186" s="567"/>
      <c r="DA186" s="567"/>
      <c r="DB186" s="567"/>
      <c r="DC186" s="567"/>
      <c r="DD186" s="567"/>
      <c r="DE186" s="567"/>
      <c r="DF186" s="567"/>
      <c r="DG186" s="567"/>
      <c r="DH186" s="567"/>
      <c r="DI186" s="567"/>
      <c r="DJ186" s="567"/>
      <c r="DK186" s="567"/>
      <c r="DL186" s="567"/>
      <c r="DM186" s="567"/>
      <c r="DN186" s="567"/>
      <c r="DO186" s="567"/>
      <c r="DP186" s="567"/>
      <c r="DQ186" s="567"/>
      <c r="DR186" s="567"/>
      <c r="DS186" s="567"/>
      <c r="DT186" s="567"/>
      <c r="DU186" s="567"/>
      <c r="DV186" s="567"/>
      <c r="DW186" s="567"/>
      <c r="DX186" s="567"/>
      <c r="DY186" s="567"/>
      <c r="DZ186" s="567"/>
      <c r="EA186" s="567"/>
      <c r="EB186" s="567"/>
      <c r="EC186" s="567"/>
      <c r="ED186" s="567"/>
      <c r="EE186" s="567"/>
      <c r="EF186" s="567"/>
      <c r="EG186" s="567"/>
      <c r="EH186" s="567"/>
      <c r="EI186" s="567"/>
      <c r="EJ186" s="567"/>
      <c r="EK186" s="567"/>
      <c r="EL186" s="567"/>
      <c r="EM186" s="567"/>
      <c r="EN186" s="567"/>
      <c r="EO186" s="567"/>
      <c r="EP186" s="567"/>
      <c r="EQ186" s="567"/>
      <c r="ER186" s="567"/>
      <c r="ES186" s="567"/>
      <c r="ET186" s="567"/>
      <c r="EU186" s="567"/>
      <c r="EV186" s="567"/>
      <c r="EW186" s="567"/>
      <c r="EX186" s="567"/>
      <c r="EY186" s="567"/>
      <c r="EZ186" s="567"/>
      <c r="FA186" s="567"/>
      <c r="FB186" s="567"/>
      <c r="FC186" s="567"/>
      <c r="FD186" s="567"/>
      <c r="FE186" s="567"/>
      <c r="FF186" s="567"/>
      <c r="FG186" s="567"/>
      <c r="FH186" s="567"/>
      <c r="FI186" s="567"/>
      <c r="FJ186" s="567"/>
      <c r="FK186" s="567"/>
      <c r="FL186" s="567"/>
      <c r="FM186" s="567"/>
      <c r="FN186" s="567"/>
      <c r="FO186" s="567"/>
      <c r="FP186" s="567"/>
      <c r="FQ186" s="567"/>
      <c r="FR186" s="567"/>
      <c r="FS186" s="567"/>
      <c r="FT186" s="567"/>
      <c r="FU186" s="567"/>
      <c r="FV186" s="567"/>
      <c r="FW186" s="567"/>
      <c r="FX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  <c r="BW187" s="567"/>
      <c r="BX187" s="567"/>
      <c r="BY187" s="567"/>
      <c r="BZ187" s="567"/>
      <c r="CA187" s="567"/>
      <c r="CB187" s="567"/>
      <c r="CC187" s="567"/>
      <c r="CD187" s="567"/>
      <c r="CE187" s="567"/>
      <c r="CF187" s="567"/>
      <c r="CG187" s="567"/>
      <c r="CH187" s="567"/>
      <c r="CI187" s="567"/>
      <c r="CJ187" s="567"/>
      <c r="CK187" s="567"/>
      <c r="CL187" s="567"/>
      <c r="CM187" s="567"/>
      <c r="CN187" s="567"/>
      <c r="CO187" s="567"/>
      <c r="CP187" s="567"/>
      <c r="CQ187" s="567"/>
      <c r="CR187" s="567"/>
      <c r="CS187" s="567"/>
      <c r="CT187" s="567"/>
      <c r="CU187" s="567"/>
      <c r="CV187" s="567"/>
      <c r="CW187" s="567"/>
      <c r="CX187" s="567"/>
      <c r="CY187" s="567"/>
      <c r="CZ187" s="567"/>
      <c r="DA187" s="567"/>
      <c r="DB187" s="567"/>
      <c r="DC187" s="567"/>
      <c r="DD187" s="567"/>
      <c r="DE187" s="567"/>
      <c r="DF187" s="567"/>
      <c r="DG187" s="567"/>
      <c r="DH187" s="567"/>
      <c r="DI187" s="567"/>
      <c r="DJ187" s="567"/>
      <c r="DK187" s="567"/>
      <c r="DL187" s="567"/>
      <c r="DM187" s="567"/>
      <c r="DN187" s="567"/>
      <c r="DO187" s="567"/>
      <c r="DP187" s="567"/>
      <c r="DQ187" s="567"/>
      <c r="DR187" s="567"/>
      <c r="DS187" s="567"/>
      <c r="DT187" s="567"/>
      <c r="DU187" s="567"/>
      <c r="DV187" s="567"/>
      <c r="DW187" s="567"/>
      <c r="DX187" s="567"/>
      <c r="DY187" s="567"/>
      <c r="DZ187" s="567"/>
      <c r="EA187" s="567"/>
      <c r="EB187" s="567"/>
      <c r="EC187" s="567"/>
      <c r="ED187" s="567"/>
      <c r="EE187" s="567"/>
      <c r="EF187" s="567"/>
      <c r="EG187" s="567"/>
      <c r="EH187" s="567"/>
      <c r="EI187" s="567"/>
      <c r="EJ187" s="567"/>
      <c r="EK187" s="567"/>
      <c r="EL187" s="567"/>
      <c r="EM187" s="567"/>
      <c r="EN187" s="567"/>
      <c r="EO187" s="567"/>
      <c r="EP187" s="567"/>
      <c r="EQ187" s="567"/>
      <c r="ER187" s="567"/>
      <c r="ES187" s="567"/>
      <c r="ET187" s="567"/>
      <c r="EU187" s="567"/>
      <c r="EV187" s="567"/>
      <c r="EW187" s="567"/>
      <c r="EX187" s="567"/>
      <c r="EY187" s="567"/>
      <c r="EZ187" s="567"/>
      <c r="FA187" s="567"/>
      <c r="FB187" s="567"/>
      <c r="FC187" s="567"/>
      <c r="FD187" s="567"/>
      <c r="FE187" s="567"/>
      <c r="FF187" s="567"/>
      <c r="FG187" s="567"/>
      <c r="FH187" s="567"/>
      <c r="FI187" s="567"/>
      <c r="FJ187" s="567"/>
      <c r="FK187" s="567"/>
      <c r="FL187" s="567"/>
      <c r="FM187" s="567"/>
      <c r="FN187" s="567"/>
      <c r="FO187" s="567"/>
      <c r="FP187" s="567"/>
      <c r="FQ187" s="567"/>
      <c r="FR187" s="567"/>
      <c r="FS187" s="567"/>
      <c r="FT187" s="567"/>
      <c r="FU187" s="567"/>
      <c r="FV187" s="567"/>
      <c r="FW187" s="567"/>
      <c r="FX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  <c r="BW188" s="567"/>
      <c r="BX188" s="567"/>
      <c r="BY188" s="567"/>
      <c r="BZ188" s="567"/>
      <c r="CA188" s="567"/>
      <c r="CB188" s="567"/>
      <c r="CC188" s="567"/>
      <c r="CD188" s="567"/>
      <c r="CE188" s="567"/>
      <c r="CF188" s="567"/>
      <c r="CG188" s="567"/>
      <c r="CH188" s="567"/>
      <c r="CI188" s="567"/>
      <c r="CJ188" s="567"/>
      <c r="CK188" s="567"/>
      <c r="CL188" s="567"/>
      <c r="CM188" s="567"/>
      <c r="CN188" s="567"/>
      <c r="CO188" s="567"/>
      <c r="CP188" s="567"/>
      <c r="CQ188" s="567"/>
      <c r="CR188" s="567"/>
      <c r="CS188" s="567"/>
      <c r="CT188" s="567"/>
      <c r="CU188" s="567"/>
      <c r="CV188" s="567"/>
      <c r="CW188" s="567"/>
      <c r="CX188" s="567"/>
      <c r="CY188" s="567"/>
      <c r="CZ188" s="567"/>
      <c r="DA188" s="567"/>
      <c r="DB188" s="567"/>
      <c r="DC188" s="567"/>
      <c r="DD188" s="567"/>
      <c r="DE188" s="567"/>
      <c r="DF188" s="567"/>
      <c r="DG188" s="567"/>
      <c r="DH188" s="567"/>
      <c r="DI188" s="567"/>
      <c r="DJ188" s="567"/>
      <c r="DK188" s="567"/>
      <c r="DL188" s="567"/>
      <c r="DM188" s="567"/>
      <c r="DN188" s="567"/>
      <c r="DO188" s="567"/>
      <c r="DP188" s="567"/>
      <c r="DQ188" s="567"/>
      <c r="DR188" s="567"/>
      <c r="DS188" s="567"/>
      <c r="DT188" s="567"/>
      <c r="DU188" s="567"/>
      <c r="DV188" s="567"/>
      <c r="DW188" s="567"/>
      <c r="DX188" s="567"/>
      <c r="DY188" s="567"/>
      <c r="DZ188" s="567"/>
      <c r="EA188" s="567"/>
      <c r="EB188" s="567"/>
      <c r="EC188" s="567"/>
      <c r="ED188" s="567"/>
      <c r="EE188" s="567"/>
      <c r="EF188" s="567"/>
      <c r="EG188" s="567"/>
      <c r="EH188" s="567"/>
      <c r="EI188" s="567"/>
      <c r="EJ188" s="567"/>
      <c r="EK188" s="567"/>
      <c r="EL188" s="567"/>
      <c r="EM188" s="567"/>
      <c r="EN188" s="567"/>
      <c r="EO188" s="567"/>
      <c r="EP188" s="567"/>
      <c r="EQ188" s="567"/>
      <c r="ER188" s="567"/>
      <c r="ES188" s="567"/>
      <c r="ET188" s="567"/>
      <c r="EU188" s="567"/>
      <c r="EV188" s="567"/>
      <c r="EW188" s="567"/>
      <c r="EX188" s="567"/>
      <c r="EY188" s="567"/>
      <c r="EZ188" s="567"/>
      <c r="FA188" s="567"/>
      <c r="FB188" s="567"/>
      <c r="FC188" s="567"/>
      <c r="FD188" s="567"/>
      <c r="FE188" s="567"/>
      <c r="FF188" s="567"/>
      <c r="FG188" s="567"/>
      <c r="FH188" s="567"/>
      <c r="FI188" s="567"/>
      <c r="FJ188" s="567"/>
      <c r="FK188" s="567"/>
      <c r="FL188" s="567"/>
      <c r="FM188" s="567"/>
      <c r="FN188" s="567"/>
      <c r="FO188" s="567"/>
      <c r="FP188" s="567"/>
      <c r="FQ188" s="567"/>
      <c r="FR188" s="567"/>
      <c r="FS188" s="567"/>
      <c r="FT188" s="567"/>
      <c r="FU188" s="567"/>
      <c r="FV188" s="567"/>
      <c r="FW188" s="567"/>
      <c r="FX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  <c r="BW189" s="567"/>
      <c r="BX189" s="567"/>
      <c r="BY189" s="567"/>
      <c r="BZ189" s="567"/>
      <c r="CA189" s="567"/>
      <c r="CB189" s="567"/>
      <c r="CC189" s="567"/>
      <c r="CD189" s="567"/>
      <c r="CE189" s="567"/>
      <c r="CF189" s="567"/>
      <c r="CG189" s="567"/>
      <c r="CH189" s="567"/>
      <c r="CI189" s="567"/>
      <c r="CJ189" s="567"/>
      <c r="CK189" s="567"/>
      <c r="CL189" s="567"/>
      <c r="CM189" s="567"/>
      <c r="CN189" s="567"/>
      <c r="CO189" s="567"/>
      <c r="CP189" s="567"/>
      <c r="CQ189" s="567"/>
      <c r="CR189" s="567"/>
      <c r="CS189" s="567"/>
      <c r="CT189" s="567"/>
      <c r="CU189" s="567"/>
      <c r="CV189" s="567"/>
      <c r="CW189" s="567"/>
      <c r="CX189" s="567"/>
      <c r="CY189" s="567"/>
      <c r="CZ189" s="567"/>
      <c r="DA189" s="567"/>
      <c r="DB189" s="567"/>
      <c r="DC189" s="567"/>
      <c r="DD189" s="567"/>
      <c r="DE189" s="567"/>
      <c r="DF189" s="567"/>
      <c r="DG189" s="567"/>
      <c r="DH189" s="567"/>
      <c r="DI189" s="567"/>
      <c r="DJ189" s="567"/>
      <c r="DK189" s="567"/>
      <c r="DL189" s="567"/>
      <c r="DM189" s="567"/>
      <c r="DN189" s="567"/>
      <c r="DO189" s="567"/>
      <c r="DP189" s="567"/>
      <c r="DQ189" s="567"/>
      <c r="DR189" s="567"/>
      <c r="DS189" s="567"/>
      <c r="DT189" s="567"/>
      <c r="DU189" s="567"/>
      <c r="DV189" s="567"/>
      <c r="DW189" s="567"/>
      <c r="DX189" s="567"/>
      <c r="DY189" s="567"/>
      <c r="DZ189" s="567"/>
      <c r="EA189" s="567"/>
      <c r="EB189" s="567"/>
      <c r="EC189" s="567"/>
      <c r="ED189" s="567"/>
      <c r="EE189" s="567"/>
      <c r="EF189" s="567"/>
      <c r="EG189" s="567"/>
      <c r="EH189" s="567"/>
      <c r="EI189" s="567"/>
      <c r="EJ189" s="567"/>
      <c r="EK189" s="567"/>
      <c r="EL189" s="567"/>
      <c r="EM189" s="567"/>
      <c r="EN189" s="567"/>
      <c r="EO189" s="567"/>
      <c r="EP189" s="567"/>
      <c r="EQ189" s="567"/>
      <c r="ER189" s="567"/>
      <c r="ES189" s="567"/>
      <c r="ET189" s="567"/>
      <c r="EU189" s="567"/>
      <c r="EV189" s="567"/>
      <c r="EW189" s="567"/>
      <c r="EX189" s="567"/>
      <c r="EY189" s="567"/>
      <c r="EZ189" s="567"/>
      <c r="FA189" s="567"/>
      <c r="FB189" s="567"/>
      <c r="FC189" s="567"/>
      <c r="FD189" s="567"/>
      <c r="FE189" s="567"/>
      <c r="FF189" s="567"/>
      <c r="FG189" s="567"/>
      <c r="FH189" s="567"/>
      <c r="FI189" s="567"/>
      <c r="FJ189" s="567"/>
      <c r="FK189" s="567"/>
      <c r="FL189" s="567"/>
      <c r="FM189" s="567"/>
      <c r="FN189" s="567"/>
      <c r="FO189" s="567"/>
      <c r="FP189" s="567"/>
      <c r="FQ189" s="567"/>
      <c r="FR189" s="567"/>
      <c r="FS189" s="567"/>
      <c r="FT189" s="567"/>
      <c r="FU189" s="567"/>
      <c r="FV189" s="567"/>
      <c r="FW189" s="567"/>
      <c r="FX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  <c r="BW190" s="567"/>
      <c r="BX190" s="567"/>
      <c r="BY190" s="567"/>
      <c r="BZ190" s="567"/>
      <c r="CA190" s="567"/>
      <c r="CB190" s="567"/>
      <c r="CC190" s="567"/>
      <c r="CD190" s="567"/>
      <c r="CE190" s="567"/>
      <c r="CF190" s="567"/>
      <c r="CG190" s="567"/>
      <c r="CH190" s="567"/>
      <c r="CI190" s="567"/>
      <c r="CJ190" s="567"/>
      <c r="CK190" s="567"/>
      <c r="CL190" s="567"/>
      <c r="CM190" s="567"/>
      <c r="CN190" s="567"/>
      <c r="CO190" s="567"/>
      <c r="CP190" s="567"/>
      <c r="CQ190" s="567"/>
      <c r="CR190" s="567"/>
      <c r="CS190" s="567"/>
      <c r="CT190" s="567"/>
      <c r="CU190" s="567"/>
      <c r="CV190" s="567"/>
      <c r="CW190" s="567"/>
      <c r="CX190" s="567"/>
      <c r="CY190" s="567"/>
      <c r="CZ190" s="567"/>
      <c r="DA190" s="567"/>
      <c r="DB190" s="567"/>
      <c r="DC190" s="567"/>
      <c r="DD190" s="567"/>
      <c r="DE190" s="567"/>
      <c r="DF190" s="567"/>
      <c r="DG190" s="567"/>
      <c r="DH190" s="567"/>
      <c r="DI190" s="567"/>
      <c r="DJ190" s="567"/>
      <c r="DK190" s="567"/>
      <c r="DL190" s="567"/>
      <c r="DM190" s="567"/>
      <c r="DN190" s="567"/>
      <c r="DO190" s="567"/>
      <c r="DP190" s="567"/>
      <c r="DQ190" s="567"/>
      <c r="DR190" s="567"/>
      <c r="DS190" s="567"/>
      <c r="DT190" s="567"/>
      <c r="DU190" s="567"/>
      <c r="DV190" s="567"/>
      <c r="DW190" s="567"/>
      <c r="DX190" s="567"/>
      <c r="DY190" s="567"/>
      <c r="DZ190" s="567"/>
      <c r="EA190" s="567"/>
      <c r="EB190" s="567"/>
      <c r="EC190" s="567"/>
      <c r="ED190" s="567"/>
      <c r="EE190" s="567"/>
      <c r="EF190" s="567"/>
      <c r="EG190" s="567"/>
      <c r="EH190" s="567"/>
      <c r="EI190" s="567"/>
      <c r="EJ190" s="567"/>
      <c r="EK190" s="567"/>
      <c r="EL190" s="567"/>
      <c r="EM190" s="567"/>
      <c r="EN190" s="567"/>
      <c r="EO190" s="567"/>
      <c r="EP190" s="567"/>
      <c r="EQ190" s="567"/>
      <c r="ER190" s="567"/>
      <c r="ES190" s="567"/>
      <c r="ET190" s="567"/>
      <c r="EU190" s="567"/>
      <c r="EV190" s="567"/>
      <c r="EW190" s="567"/>
      <c r="EX190" s="567"/>
      <c r="EY190" s="567"/>
      <c r="EZ190" s="567"/>
      <c r="FA190" s="567"/>
      <c r="FB190" s="567"/>
      <c r="FC190" s="567"/>
      <c r="FD190" s="567"/>
      <c r="FE190" s="567"/>
      <c r="FF190" s="567"/>
      <c r="FG190" s="567"/>
      <c r="FH190" s="567"/>
      <c r="FI190" s="567"/>
      <c r="FJ190" s="567"/>
      <c r="FK190" s="567"/>
      <c r="FL190" s="567"/>
      <c r="FM190" s="567"/>
      <c r="FN190" s="567"/>
      <c r="FO190" s="567"/>
      <c r="FP190" s="567"/>
      <c r="FQ190" s="567"/>
      <c r="FR190" s="567"/>
      <c r="FS190" s="567"/>
      <c r="FT190" s="567"/>
      <c r="FU190" s="567"/>
      <c r="FV190" s="567"/>
      <c r="FW190" s="567"/>
      <c r="FX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  <c r="BW191" s="567"/>
      <c r="BX191" s="567"/>
      <c r="BY191" s="567"/>
      <c r="BZ191" s="567"/>
      <c r="CA191" s="567"/>
      <c r="CB191" s="567"/>
      <c r="CC191" s="567"/>
      <c r="CD191" s="567"/>
      <c r="CE191" s="567"/>
      <c r="CF191" s="567"/>
      <c r="CG191" s="567"/>
      <c r="CH191" s="567"/>
      <c r="CI191" s="567"/>
      <c r="CJ191" s="567"/>
      <c r="CK191" s="567"/>
      <c r="CL191" s="567"/>
      <c r="CM191" s="567"/>
      <c r="CN191" s="567"/>
      <c r="CO191" s="567"/>
      <c r="CP191" s="567"/>
      <c r="CQ191" s="567"/>
      <c r="CR191" s="567"/>
      <c r="CS191" s="567"/>
      <c r="CT191" s="567"/>
      <c r="CU191" s="567"/>
      <c r="CV191" s="567"/>
      <c r="CW191" s="567"/>
      <c r="CX191" s="567"/>
      <c r="CY191" s="567"/>
      <c r="CZ191" s="567"/>
      <c r="DA191" s="567"/>
      <c r="DB191" s="567"/>
      <c r="DC191" s="567"/>
      <c r="DD191" s="567"/>
      <c r="DE191" s="567"/>
      <c r="DF191" s="567"/>
      <c r="DG191" s="567"/>
      <c r="DH191" s="567"/>
      <c r="DI191" s="567"/>
      <c r="DJ191" s="567"/>
      <c r="DK191" s="567"/>
      <c r="DL191" s="567"/>
      <c r="DM191" s="567"/>
      <c r="DN191" s="567"/>
      <c r="DO191" s="567"/>
      <c r="DP191" s="567"/>
      <c r="DQ191" s="567"/>
      <c r="DR191" s="567"/>
      <c r="DS191" s="567"/>
      <c r="DT191" s="567"/>
      <c r="DU191" s="567"/>
      <c r="DV191" s="567"/>
      <c r="DW191" s="567"/>
      <c r="DX191" s="567"/>
      <c r="DY191" s="567"/>
      <c r="DZ191" s="567"/>
      <c r="EA191" s="567"/>
      <c r="EB191" s="567"/>
      <c r="EC191" s="567"/>
      <c r="ED191" s="567"/>
      <c r="EE191" s="567"/>
      <c r="EF191" s="567"/>
      <c r="EG191" s="567"/>
      <c r="EH191" s="567"/>
      <c r="EI191" s="567"/>
      <c r="EJ191" s="567"/>
      <c r="EK191" s="567"/>
      <c r="EL191" s="567"/>
      <c r="EM191" s="567"/>
      <c r="EN191" s="567"/>
      <c r="EO191" s="567"/>
      <c r="EP191" s="567"/>
      <c r="EQ191" s="567"/>
      <c r="ER191" s="567"/>
      <c r="ES191" s="567"/>
      <c r="ET191" s="567"/>
      <c r="EU191" s="567"/>
      <c r="EV191" s="567"/>
      <c r="EW191" s="567"/>
      <c r="EX191" s="567"/>
      <c r="EY191" s="567"/>
      <c r="EZ191" s="567"/>
      <c r="FA191" s="567"/>
      <c r="FB191" s="567"/>
      <c r="FC191" s="567"/>
      <c r="FD191" s="567"/>
      <c r="FE191" s="567"/>
      <c r="FF191" s="567"/>
      <c r="FG191" s="567"/>
      <c r="FH191" s="567"/>
      <c r="FI191" s="567"/>
      <c r="FJ191" s="567"/>
      <c r="FK191" s="567"/>
      <c r="FL191" s="567"/>
      <c r="FM191" s="567"/>
      <c r="FN191" s="567"/>
      <c r="FO191" s="567"/>
      <c r="FP191" s="567"/>
      <c r="FQ191" s="567"/>
      <c r="FR191" s="567"/>
      <c r="FS191" s="567"/>
      <c r="FT191" s="567"/>
      <c r="FU191" s="567"/>
      <c r="FV191" s="567"/>
      <c r="FW191" s="567"/>
      <c r="FX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567"/>
      <c r="BZ192" s="567"/>
      <c r="CA192" s="567"/>
      <c r="CB192" s="567"/>
      <c r="CC192" s="567"/>
      <c r="CD192" s="567"/>
      <c r="CE192" s="567"/>
      <c r="CF192" s="567"/>
      <c r="CG192" s="567"/>
      <c r="CH192" s="567"/>
      <c r="CI192" s="567"/>
      <c r="CJ192" s="567"/>
      <c r="CK192" s="567"/>
      <c r="CL192" s="567"/>
      <c r="CM192" s="567"/>
      <c r="CN192" s="567"/>
      <c r="CO192" s="567"/>
      <c r="CP192" s="567"/>
      <c r="CQ192" s="567"/>
      <c r="CR192" s="567"/>
      <c r="CS192" s="567"/>
      <c r="CT192" s="567"/>
      <c r="CU192" s="567"/>
      <c r="CV192" s="567"/>
      <c r="CW192" s="567"/>
      <c r="CX192" s="567"/>
      <c r="CY192" s="567"/>
      <c r="CZ192" s="567"/>
      <c r="DA192" s="567"/>
      <c r="DB192" s="567"/>
      <c r="DC192" s="567"/>
      <c r="DD192" s="567"/>
      <c r="DE192" s="567"/>
      <c r="DF192" s="567"/>
      <c r="DG192" s="567"/>
      <c r="DH192" s="567"/>
      <c r="DI192" s="567"/>
      <c r="DJ192" s="567"/>
      <c r="DK192" s="567"/>
      <c r="DL192" s="567"/>
      <c r="DM192" s="567"/>
      <c r="DN192" s="567"/>
      <c r="DO192" s="567"/>
      <c r="DP192" s="567"/>
      <c r="DQ192" s="567"/>
      <c r="DR192" s="567"/>
      <c r="DS192" s="567"/>
      <c r="DT192" s="567"/>
      <c r="DU192" s="567"/>
      <c r="DV192" s="567"/>
      <c r="DW192" s="567"/>
      <c r="DX192" s="567"/>
      <c r="DY192" s="567"/>
      <c r="DZ192" s="567"/>
      <c r="EA192" s="567"/>
      <c r="EB192" s="567"/>
      <c r="EC192" s="567"/>
      <c r="ED192" s="567"/>
      <c r="EE192" s="567"/>
      <c r="EF192" s="567"/>
      <c r="EG192" s="567"/>
      <c r="EH192" s="567"/>
      <c r="EI192" s="567"/>
      <c r="EJ192" s="567"/>
      <c r="EK192" s="567"/>
      <c r="EL192" s="567"/>
      <c r="EM192" s="567"/>
      <c r="EN192" s="567"/>
      <c r="EO192" s="567"/>
      <c r="EP192" s="567"/>
      <c r="EQ192" s="567"/>
      <c r="ER192" s="567"/>
      <c r="ES192" s="567"/>
      <c r="ET192" s="567"/>
      <c r="EU192" s="567"/>
      <c r="EV192" s="567"/>
      <c r="EW192" s="567"/>
      <c r="EX192" s="567"/>
      <c r="EY192" s="567"/>
      <c r="EZ192" s="567"/>
      <c r="FA192" s="567"/>
      <c r="FB192" s="567"/>
      <c r="FC192" s="567"/>
      <c r="FD192" s="567"/>
      <c r="FE192" s="567"/>
      <c r="FF192" s="567"/>
      <c r="FG192" s="567"/>
      <c r="FH192" s="567"/>
      <c r="FI192" s="567"/>
      <c r="FJ192" s="567"/>
      <c r="FK192" s="567"/>
      <c r="FL192" s="567"/>
      <c r="FM192" s="567"/>
      <c r="FN192" s="567"/>
      <c r="FO192" s="567"/>
      <c r="FP192" s="567"/>
      <c r="FQ192" s="567"/>
      <c r="FR192" s="567"/>
      <c r="FS192" s="567"/>
      <c r="FT192" s="567"/>
      <c r="FU192" s="567"/>
      <c r="FV192" s="567"/>
      <c r="FW192" s="567"/>
      <c r="FX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  <c r="BW193" s="567"/>
      <c r="BX193" s="567"/>
      <c r="BY193" s="567"/>
      <c r="BZ193" s="567"/>
      <c r="CA193" s="567"/>
      <c r="CB193" s="567"/>
      <c r="CC193" s="567"/>
      <c r="CD193" s="567"/>
      <c r="CE193" s="567"/>
      <c r="CF193" s="567"/>
      <c r="CG193" s="567"/>
      <c r="CH193" s="567"/>
      <c r="CI193" s="567"/>
      <c r="CJ193" s="567"/>
      <c r="CK193" s="567"/>
      <c r="CL193" s="567"/>
      <c r="CM193" s="567"/>
      <c r="CN193" s="567"/>
      <c r="CO193" s="567"/>
      <c r="CP193" s="567"/>
      <c r="CQ193" s="567"/>
      <c r="CR193" s="567"/>
      <c r="CS193" s="567"/>
      <c r="CT193" s="567"/>
      <c r="CU193" s="567"/>
      <c r="CV193" s="567"/>
      <c r="CW193" s="567"/>
      <c r="CX193" s="567"/>
      <c r="CY193" s="567"/>
      <c r="CZ193" s="567"/>
      <c r="DA193" s="567"/>
      <c r="DB193" s="567"/>
      <c r="DC193" s="567"/>
      <c r="DD193" s="567"/>
      <c r="DE193" s="567"/>
      <c r="DF193" s="567"/>
      <c r="DG193" s="567"/>
      <c r="DH193" s="567"/>
      <c r="DI193" s="567"/>
      <c r="DJ193" s="567"/>
      <c r="DK193" s="567"/>
      <c r="DL193" s="567"/>
      <c r="DM193" s="567"/>
      <c r="DN193" s="567"/>
      <c r="DO193" s="567"/>
      <c r="DP193" s="567"/>
      <c r="DQ193" s="567"/>
      <c r="DR193" s="567"/>
      <c r="DS193" s="567"/>
      <c r="DT193" s="567"/>
      <c r="DU193" s="567"/>
      <c r="DV193" s="567"/>
      <c r="DW193" s="567"/>
      <c r="DX193" s="567"/>
      <c r="DY193" s="567"/>
      <c r="DZ193" s="567"/>
      <c r="EA193" s="567"/>
      <c r="EB193" s="567"/>
      <c r="EC193" s="567"/>
      <c r="ED193" s="567"/>
      <c r="EE193" s="567"/>
      <c r="EF193" s="567"/>
      <c r="EG193" s="567"/>
      <c r="EH193" s="567"/>
      <c r="EI193" s="567"/>
      <c r="EJ193" s="567"/>
      <c r="EK193" s="567"/>
      <c r="EL193" s="567"/>
      <c r="EM193" s="567"/>
      <c r="EN193" s="567"/>
      <c r="EO193" s="567"/>
      <c r="EP193" s="567"/>
      <c r="EQ193" s="567"/>
      <c r="ER193" s="567"/>
      <c r="ES193" s="567"/>
      <c r="ET193" s="567"/>
      <c r="EU193" s="567"/>
      <c r="EV193" s="567"/>
      <c r="EW193" s="567"/>
      <c r="EX193" s="567"/>
      <c r="EY193" s="567"/>
      <c r="EZ193" s="567"/>
      <c r="FA193" s="567"/>
      <c r="FB193" s="567"/>
      <c r="FC193" s="567"/>
      <c r="FD193" s="567"/>
      <c r="FE193" s="567"/>
      <c r="FF193" s="567"/>
      <c r="FG193" s="567"/>
      <c r="FH193" s="567"/>
      <c r="FI193" s="567"/>
      <c r="FJ193" s="567"/>
      <c r="FK193" s="567"/>
      <c r="FL193" s="567"/>
      <c r="FM193" s="567"/>
      <c r="FN193" s="567"/>
      <c r="FO193" s="567"/>
      <c r="FP193" s="567"/>
      <c r="FQ193" s="567"/>
      <c r="FR193" s="567"/>
      <c r="FS193" s="567"/>
      <c r="FT193" s="567"/>
      <c r="FU193" s="567"/>
      <c r="FV193" s="567"/>
      <c r="FW193" s="567"/>
      <c r="FX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  <c r="BW194" s="567"/>
      <c r="BX194" s="567"/>
      <c r="BY194" s="567"/>
      <c r="BZ194" s="567"/>
      <c r="CA194" s="567"/>
      <c r="CB194" s="567"/>
      <c r="CC194" s="567"/>
      <c r="CD194" s="567"/>
      <c r="CE194" s="567"/>
      <c r="CF194" s="567"/>
      <c r="CG194" s="567"/>
      <c r="CH194" s="567"/>
      <c r="CI194" s="567"/>
      <c r="CJ194" s="567"/>
      <c r="CK194" s="567"/>
      <c r="CL194" s="567"/>
      <c r="CM194" s="567"/>
      <c r="CN194" s="567"/>
      <c r="CO194" s="567"/>
      <c r="CP194" s="567"/>
      <c r="CQ194" s="567"/>
      <c r="CR194" s="567"/>
      <c r="CS194" s="567"/>
      <c r="CT194" s="567"/>
      <c r="CU194" s="567"/>
      <c r="CV194" s="567"/>
      <c r="CW194" s="567"/>
      <c r="CX194" s="567"/>
      <c r="CY194" s="567"/>
      <c r="CZ194" s="567"/>
      <c r="DA194" s="567"/>
      <c r="DB194" s="567"/>
      <c r="DC194" s="567"/>
      <c r="DD194" s="567"/>
      <c r="DE194" s="567"/>
      <c r="DF194" s="567"/>
      <c r="DG194" s="567"/>
      <c r="DH194" s="567"/>
      <c r="DI194" s="567"/>
      <c r="DJ194" s="567"/>
      <c r="DK194" s="567"/>
      <c r="DL194" s="567"/>
      <c r="DM194" s="567"/>
      <c r="DN194" s="567"/>
      <c r="DO194" s="567"/>
      <c r="DP194" s="567"/>
      <c r="DQ194" s="567"/>
      <c r="DR194" s="567"/>
      <c r="DS194" s="567"/>
      <c r="DT194" s="567"/>
      <c r="DU194" s="567"/>
      <c r="DV194" s="567"/>
      <c r="DW194" s="567"/>
      <c r="DX194" s="567"/>
      <c r="DY194" s="567"/>
      <c r="DZ194" s="567"/>
      <c r="EA194" s="567"/>
      <c r="EB194" s="567"/>
      <c r="EC194" s="567"/>
      <c r="ED194" s="567"/>
      <c r="EE194" s="567"/>
      <c r="EF194" s="567"/>
      <c r="EG194" s="567"/>
      <c r="EH194" s="567"/>
      <c r="EI194" s="567"/>
      <c r="EJ194" s="567"/>
      <c r="EK194" s="567"/>
      <c r="EL194" s="567"/>
      <c r="EM194" s="567"/>
      <c r="EN194" s="567"/>
      <c r="EO194" s="567"/>
      <c r="EP194" s="567"/>
      <c r="EQ194" s="567"/>
      <c r="ER194" s="567"/>
      <c r="ES194" s="567"/>
      <c r="ET194" s="567"/>
      <c r="EU194" s="567"/>
      <c r="EV194" s="567"/>
      <c r="EW194" s="567"/>
      <c r="EX194" s="567"/>
      <c r="EY194" s="567"/>
      <c r="EZ194" s="567"/>
      <c r="FA194" s="567"/>
      <c r="FB194" s="567"/>
      <c r="FC194" s="567"/>
      <c r="FD194" s="567"/>
      <c r="FE194" s="567"/>
      <c r="FF194" s="567"/>
      <c r="FG194" s="567"/>
      <c r="FH194" s="567"/>
      <c r="FI194" s="567"/>
      <c r="FJ194" s="567"/>
      <c r="FK194" s="567"/>
      <c r="FL194" s="567"/>
      <c r="FM194" s="567"/>
      <c r="FN194" s="567"/>
      <c r="FO194" s="567"/>
      <c r="FP194" s="567"/>
      <c r="FQ194" s="567"/>
      <c r="FR194" s="567"/>
      <c r="FS194" s="567"/>
      <c r="FT194" s="567"/>
      <c r="FU194" s="567"/>
      <c r="FV194" s="567"/>
      <c r="FW194" s="567"/>
      <c r="FX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  <c r="BW195" s="567"/>
      <c r="BX195" s="567"/>
      <c r="BY195" s="567"/>
      <c r="BZ195" s="567"/>
      <c r="CA195" s="567"/>
      <c r="CB195" s="567"/>
      <c r="CC195" s="567"/>
      <c r="CD195" s="567"/>
      <c r="CE195" s="567"/>
      <c r="CF195" s="567"/>
      <c r="CG195" s="567"/>
      <c r="CH195" s="567"/>
      <c r="CI195" s="567"/>
      <c r="CJ195" s="567"/>
      <c r="CK195" s="567"/>
      <c r="CL195" s="567"/>
      <c r="CM195" s="567"/>
      <c r="CN195" s="567"/>
      <c r="CO195" s="567"/>
      <c r="CP195" s="567"/>
      <c r="CQ195" s="567"/>
      <c r="CR195" s="567"/>
      <c r="CS195" s="567"/>
      <c r="CT195" s="567"/>
      <c r="CU195" s="567"/>
      <c r="CV195" s="567"/>
      <c r="CW195" s="567"/>
      <c r="CX195" s="567"/>
      <c r="CY195" s="567"/>
      <c r="CZ195" s="567"/>
      <c r="DA195" s="567"/>
      <c r="DB195" s="567"/>
      <c r="DC195" s="567"/>
      <c r="DD195" s="567"/>
      <c r="DE195" s="567"/>
      <c r="DF195" s="567"/>
      <c r="DG195" s="567"/>
      <c r="DH195" s="567"/>
      <c r="DI195" s="567"/>
      <c r="DJ195" s="567"/>
      <c r="DK195" s="567"/>
      <c r="DL195" s="567"/>
      <c r="DM195" s="567"/>
      <c r="DN195" s="567"/>
      <c r="DO195" s="567"/>
      <c r="DP195" s="567"/>
      <c r="DQ195" s="567"/>
      <c r="DR195" s="567"/>
      <c r="DS195" s="567"/>
      <c r="DT195" s="567"/>
      <c r="DU195" s="567"/>
      <c r="DV195" s="567"/>
      <c r="DW195" s="567"/>
      <c r="DX195" s="567"/>
      <c r="DY195" s="567"/>
      <c r="DZ195" s="567"/>
      <c r="EA195" s="567"/>
      <c r="EB195" s="567"/>
      <c r="EC195" s="567"/>
      <c r="ED195" s="567"/>
      <c r="EE195" s="567"/>
      <c r="EF195" s="567"/>
      <c r="EG195" s="567"/>
      <c r="EH195" s="567"/>
      <c r="EI195" s="567"/>
      <c r="EJ195" s="567"/>
      <c r="EK195" s="567"/>
      <c r="EL195" s="567"/>
      <c r="EM195" s="567"/>
      <c r="EN195" s="567"/>
      <c r="EO195" s="567"/>
      <c r="EP195" s="567"/>
      <c r="EQ195" s="567"/>
      <c r="ER195" s="567"/>
      <c r="ES195" s="567"/>
      <c r="ET195" s="567"/>
      <c r="EU195" s="567"/>
      <c r="EV195" s="567"/>
      <c r="EW195" s="567"/>
      <c r="EX195" s="567"/>
      <c r="EY195" s="567"/>
      <c r="EZ195" s="567"/>
      <c r="FA195" s="567"/>
      <c r="FB195" s="567"/>
      <c r="FC195" s="567"/>
      <c r="FD195" s="567"/>
      <c r="FE195" s="567"/>
      <c r="FF195" s="567"/>
      <c r="FG195" s="567"/>
      <c r="FH195" s="567"/>
      <c r="FI195" s="567"/>
      <c r="FJ195" s="567"/>
      <c r="FK195" s="567"/>
      <c r="FL195" s="567"/>
      <c r="FM195" s="567"/>
      <c r="FN195" s="567"/>
      <c r="FO195" s="567"/>
      <c r="FP195" s="567"/>
      <c r="FQ195" s="567"/>
      <c r="FR195" s="567"/>
      <c r="FS195" s="567"/>
      <c r="FT195" s="567"/>
      <c r="FU195" s="567"/>
      <c r="FV195" s="567"/>
      <c r="FW195" s="567"/>
      <c r="FX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  <c r="BW196" s="567"/>
      <c r="BX196" s="567"/>
      <c r="BY196" s="567"/>
      <c r="BZ196" s="567"/>
      <c r="CA196" s="567"/>
      <c r="CB196" s="567"/>
      <c r="CC196" s="567"/>
      <c r="CD196" s="567"/>
      <c r="CE196" s="567"/>
      <c r="CF196" s="567"/>
      <c r="CG196" s="567"/>
      <c r="CH196" s="567"/>
      <c r="CI196" s="567"/>
      <c r="CJ196" s="567"/>
      <c r="CK196" s="567"/>
      <c r="CL196" s="567"/>
      <c r="CM196" s="567"/>
      <c r="CN196" s="567"/>
      <c r="CO196" s="567"/>
      <c r="CP196" s="567"/>
      <c r="CQ196" s="567"/>
      <c r="CR196" s="567"/>
      <c r="CS196" s="567"/>
      <c r="CT196" s="567"/>
      <c r="CU196" s="567"/>
      <c r="CV196" s="567"/>
      <c r="CW196" s="567"/>
      <c r="CX196" s="567"/>
      <c r="CY196" s="567"/>
      <c r="CZ196" s="567"/>
      <c r="DA196" s="567"/>
      <c r="DB196" s="567"/>
      <c r="DC196" s="567"/>
      <c r="DD196" s="567"/>
      <c r="DE196" s="567"/>
      <c r="DF196" s="567"/>
      <c r="DG196" s="567"/>
      <c r="DH196" s="567"/>
      <c r="DI196" s="567"/>
      <c r="DJ196" s="567"/>
      <c r="DK196" s="567"/>
      <c r="DL196" s="567"/>
      <c r="DM196" s="567"/>
      <c r="DN196" s="567"/>
      <c r="DO196" s="567"/>
      <c r="DP196" s="567"/>
      <c r="DQ196" s="567"/>
      <c r="DR196" s="567"/>
      <c r="DS196" s="567"/>
      <c r="DT196" s="567"/>
      <c r="DU196" s="567"/>
      <c r="DV196" s="567"/>
      <c r="DW196" s="567"/>
      <c r="DX196" s="567"/>
      <c r="DY196" s="567"/>
      <c r="DZ196" s="567"/>
      <c r="EA196" s="567"/>
      <c r="EB196" s="567"/>
      <c r="EC196" s="567"/>
      <c r="ED196" s="567"/>
      <c r="EE196" s="567"/>
      <c r="EF196" s="567"/>
      <c r="EG196" s="567"/>
      <c r="EH196" s="567"/>
      <c r="EI196" s="567"/>
      <c r="EJ196" s="567"/>
      <c r="EK196" s="567"/>
      <c r="EL196" s="567"/>
      <c r="EM196" s="567"/>
      <c r="EN196" s="567"/>
      <c r="EO196" s="567"/>
      <c r="EP196" s="567"/>
      <c r="EQ196" s="567"/>
      <c r="ER196" s="567"/>
      <c r="ES196" s="567"/>
      <c r="ET196" s="567"/>
      <c r="EU196" s="567"/>
      <c r="EV196" s="567"/>
      <c r="EW196" s="567"/>
      <c r="EX196" s="567"/>
      <c r="EY196" s="567"/>
      <c r="EZ196" s="567"/>
      <c r="FA196" s="567"/>
      <c r="FB196" s="567"/>
      <c r="FC196" s="567"/>
      <c r="FD196" s="567"/>
      <c r="FE196" s="567"/>
      <c r="FF196" s="567"/>
      <c r="FG196" s="567"/>
      <c r="FH196" s="567"/>
      <c r="FI196" s="567"/>
      <c r="FJ196" s="567"/>
      <c r="FK196" s="567"/>
      <c r="FL196" s="567"/>
      <c r="FM196" s="567"/>
      <c r="FN196" s="567"/>
      <c r="FO196" s="567"/>
      <c r="FP196" s="567"/>
      <c r="FQ196" s="567"/>
      <c r="FR196" s="567"/>
      <c r="FS196" s="567"/>
      <c r="FT196" s="567"/>
      <c r="FU196" s="567"/>
      <c r="FV196" s="567"/>
      <c r="FW196" s="567"/>
      <c r="FX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  <c r="BW197" s="567"/>
      <c r="BX197" s="567"/>
      <c r="BY197" s="567"/>
      <c r="BZ197" s="567"/>
      <c r="CA197" s="567"/>
      <c r="CB197" s="567"/>
      <c r="CC197" s="567"/>
      <c r="CD197" s="567"/>
      <c r="CE197" s="567"/>
      <c r="CF197" s="567"/>
      <c r="CG197" s="567"/>
      <c r="CH197" s="567"/>
      <c r="CI197" s="567"/>
      <c r="CJ197" s="567"/>
      <c r="CK197" s="567"/>
      <c r="CL197" s="567"/>
      <c r="CM197" s="567"/>
      <c r="CN197" s="567"/>
      <c r="CO197" s="567"/>
      <c r="CP197" s="567"/>
      <c r="CQ197" s="567"/>
      <c r="CR197" s="567"/>
      <c r="CS197" s="567"/>
      <c r="CT197" s="567"/>
      <c r="CU197" s="567"/>
      <c r="CV197" s="567"/>
      <c r="CW197" s="567"/>
      <c r="CX197" s="567"/>
      <c r="CY197" s="567"/>
      <c r="CZ197" s="567"/>
      <c r="DA197" s="567"/>
      <c r="DB197" s="567"/>
      <c r="DC197" s="567"/>
      <c r="DD197" s="567"/>
      <c r="DE197" s="567"/>
      <c r="DF197" s="567"/>
      <c r="DG197" s="567"/>
      <c r="DH197" s="567"/>
      <c r="DI197" s="567"/>
      <c r="DJ197" s="567"/>
      <c r="DK197" s="567"/>
      <c r="DL197" s="567"/>
      <c r="DM197" s="567"/>
      <c r="DN197" s="567"/>
      <c r="DO197" s="567"/>
      <c r="DP197" s="567"/>
      <c r="DQ197" s="567"/>
      <c r="DR197" s="567"/>
      <c r="DS197" s="567"/>
      <c r="DT197" s="567"/>
      <c r="DU197" s="567"/>
      <c r="DV197" s="567"/>
      <c r="DW197" s="567"/>
      <c r="DX197" s="567"/>
      <c r="DY197" s="567"/>
      <c r="DZ197" s="567"/>
      <c r="EA197" s="567"/>
      <c r="EB197" s="567"/>
      <c r="EC197" s="567"/>
      <c r="ED197" s="567"/>
      <c r="EE197" s="567"/>
      <c r="EF197" s="567"/>
      <c r="EG197" s="567"/>
      <c r="EH197" s="567"/>
      <c r="EI197" s="567"/>
      <c r="EJ197" s="567"/>
      <c r="EK197" s="567"/>
      <c r="EL197" s="567"/>
      <c r="EM197" s="567"/>
      <c r="EN197" s="567"/>
      <c r="EO197" s="567"/>
      <c r="EP197" s="567"/>
      <c r="EQ197" s="567"/>
      <c r="ER197" s="567"/>
      <c r="ES197" s="567"/>
      <c r="ET197" s="567"/>
      <c r="EU197" s="567"/>
      <c r="EV197" s="567"/>
      <c r="EW197" s="567"/>
      <c r="EX197" s="567"/>
      <c r="EY197" s="567"/>
      <c r="EZ197" s="567"/>
      <c r="FA197" s="567"/>
      <c r="FB197" s="567"/>
      <c r="FC197" s="567"/>
      <c r="FD197" s="567"/>
      <c r="FE197" s="567"/>
      <c r="FF197" s="567"/>
      <c r="FG197" s="567"/>
      <c r="FH197" s="567"/>
      <c r="FI197" s="567"/>
      <c r="FJ197" s="567"/>
      <c r="FK197" s="567"/>
      <c r="FL197" s="567"/>
      <c r="FM197" s="567"/>
      <c r="FN197" s="567"/>
      <c r="FO197" s="567"/>
      <c r="FP197" s="567"/>
      <c r="FQ197" s="567"/>
      <c r="FR197" s="567"/>
      <c r="FS197" s="567"/>
      <c r="FT197" s="567"/>
      <c r="FU197" s="567"/>
      <c r="FV197" s="567"/>
      <c r="FW197" s="567"/>
      <c r="FX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  <c r="BW198" s="567"/>
      <c r="BX198" s="567"/>
      <c r="BY198" s="567"/>
      <c r="BZ198" s="567"/>
      <c r="CA198" s="567"/>
      <c r="CB198" s="567"/>
      <c r="CC198" s="567"/>
      <c r="CD198" s="567"/>
      <c r="CE198" s="567"/>
      <c r="CF198" s="567"/>
      <c r="CG198" s="567"/>
      <c r="CH198" s="567"/>
      <c r="CI198" s="567"/>
      <c r="CJ198" s="567"/>
      <c r="CK198" s="567"/>
      <c r="CL198" s="567"/>
      <c r="CM198" s="567"/>
      <c r="CN198" s="567"/>
      <c r="CO198" s="567"/>
      <c r="CP198" s="567"/>
      <c r="CQ198" s="567"/>
      <c r="CR198" s="567"/>
      <c r="CS198" s="567"/>
      <c r="CT198" s="567"/>
      <c r="CU198" s="567"/>
      <c r="CV198" s="567"/>
      <c r="CW198" s="567"/>
      <c r="CX198" s="567"/>
      <c r="CY198" s="567"/>
      <c r="CZ198" s="567"/>
      <c r="DA198" s="567"/>
      <c r="DB198" s="567"/>
      <c r="DC198" s="567"/>
      <c r="DD198" s="567"/>
      <c r="DE198" s="567"/>
      <c r="DF198" s="567"/>
      <c r="DG198" s="567"/>
      <c r="DH198" s="567"/>
      <c r="DI198" s="567"/>
      <c r="DJ198" s="567"/>
      <c r="DK198" s="567"/>
      <c r="DL198" s="567"/>
      <c r="DM198" s="567"/>
      <c r="DN198" s="567"/>
      <c r="DO198" s="567"/>
      <c r="DP198" s="567"/>
      <c r="DQ198" s="567"/>
      <c r="DR198" s="567"/>
      <c r="DS198" s="567"/>
      <c r="DT198" s="567"/>
      <c r="DU198" s="567"/>
      <c r="DV198" s="567"/>
      <c r="DW198" s="567"/>
      <c r="DX198" s="567"/>
      <c r="DY198" s="567"/>
      <c r="DZ198" s="567"/>
      <c r="EA198" s="567"/>
      <c r="EB198" s="567"/>
      <c r="EC198" s="567"/>
      <c r="ED198" s="567"/>
      <c r="EE198" s="567"/>
      <c r="EF198" s="567"/>
      <c r="EG198" s="567"/>
      <c r="EH198" s="567"/>
      <c r="EI198" s="567"/>
      <c r="EJ198" s="567"/>
      <c r="EK198" s="567"/>
      <c r="EL198" s="567"/>
      <c r="EM198" s="567"/>
      <c r="EN198" s="567"/>
      <c r="EO198" s="567"/>
      <c r="EP198" s="567"/>
      <c r="EQ198" s="567"/>
      <c r="ER198" s="567"/>
      <c r="ES198" s="567"/>
      <c r="ET198" s="567"/>
      <c r="EU198" s="567"/>
      <c r="EV198" s="567"/>
      <c r="EW198" s="567"/>
      <c r="EX198" s="567"/>
      <c r="EY198" s="567"/>
      <c r="EZ198" s="567"/>
      <c r="FA198" s="567"/>
      <c r="FB198" s="567"/>
      <c r="FC198" s="567"/>
      <c r="FD198" s="567"/>
      <c r="FE198" s="567"/>
      <c r="FF198" s="567"/>
      <c r="FG198" s="567"/>
      <c r="FH198" s="567"/>
      <c r="FI198" s="567"/>
      <c r="FJ198" s="567"/>
      <c r="FK198" s="567"/>
      <c r="FL198" s="567"/>
      <c r="FM198" s="567"/>
      <c r="FN198" s="567"/>
      <c r="FO198" s="567"/>
      <c r="FP198" s="567"/>
      <c r="FQ198" s="567"/>
      <c r="FR198" s="567"/>
      <c r="FS198" s="567"/>
      <c r="FT198" s="567"/>
      <c r="FU198" s="567"/>
      <c r="FV198" s="567"/>
      <c r="FW198" s="567"/>
      <c r="FX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  <c r="BW199" s="567"/>
      <c r="BX199" s="567"/>
      <c r="BY199" s="567"/>
      <c r="BZ199" s="567"/>
      <c r="CA199" s="567"/>
      <c r="CB199" s="567"/>
      <c r="CC199" s="567"/>
      <c r="CD199" s="567"/>
      <c r="CE199" s="567"/>
      <c r="CF199" s="567"/>
      <c r="CG199" s="567"/>
      <c r="CH199" s="567"/>
      <c r="CI199" s="567"/>
      <c r="CJ199" s="567"/>
      <c r="CK199" s="567"/>
      <c r="CL199" s="567"/>
      <c r="CM199" s="567"/>
      <c r="CN199" s="567"/>
      <c r="CO199" s="567"/>
      <c r="CP199" s="567"/>
      <c r="CQ199" s="567"/>
      <c r="CR199" s="567"/>
      <c r="CS199" s="567"/>
      <c r="CT199" s="567"/>
      <c r="CU199" s="567"/>
      <c r="CV199" s="567"/>
      <c r="CW199" s="567"/>
      <c r="CX199" s="567"/>
      <c r="CY199" s="567"/>
      <c r="CZ199" s="567"/>
      <c r="DA199" s="567"/>
      <c r="DB199" s="567"/>
      <c r="DC199" s="567"/>
      <c r="DD199" s="567"/>
      <c r="DE199" s="567"/>
      <c r="DF199" s="567"/>
      <c r="DG199" s="567"/>
      <c r="DH199" s="567"/>
      <c r="DI199" s="567"/>
      <c r="DJ199" s="567"/>
      <c r="DK199" s="567"/>
      <c r="DL199" s="567"/>
      <c r="DM199" s="567"/>
      <c r="DN199" s="567"/>
      <c r="DO199" s="567"/>
      <c r="DP199" s="567"/>
      <c r="DQ199" s="567"/>
      <c r="DR199" s="567"/>
      <c r="DS199" s="567"/>
      <c r="DT199" s="567"/>
      <c r="DU199" s="567"/>
      <c r="DV199" s="567"/>
      <c r="DW199" s="567"/>
      <c r="DX199" s="567"/>
      <c r="DY199" s="567"/>
      <c r="DZ199" s="567"/>
      <c r="EA199" s="567"/>
      <c r="EB199" s="567"/>
      <c r="EC199" s="567"/>
      <c r="ED199" s="567"/>
      <c r="EE199" s="567"/>
      <c r="EF199" s="567"/>
      <c r="EG199" s="567"/>
      <c r="EH199" s="567"/>
      <c r="EI199" s="567"/>
      <c r="EJ199" s="567"/>
      <c r="EK199" s="567"/>
      <c r="EL199" s="567"/>
      <c r="EM199" s="567"/>
      <c r="EN199" s="567"/>
      <c r="EO199" s="567"/>
      <c r="EP199" s="567"/>
      <c r="EQ199" s="567"/>
      <c r="ER199" s="567"/>
      <c r="ES199" s="567"/>
      <c r="ET199" s="567"/>
      <c r="EU199" s="567"/>
      <c r="EV199" s="567"/>
      <c r="EW199" s="567"/>
      <c r="EX199" s="567"/>
      <c r="EY199" s="567"/>
      <c r="EZ199" s="567"/>
      <c r="FA199" s="567"/>
      <c r="FB199" s="567"/>
      <c r="FC199" s="567"/>
      <c r="FD199" s="567"/>
      <c r="FE199" s="567"/>
      <c r="FF199" s="567"/>
      <c r="FG199" s="567"/>
      <c r="FH199" s="567"/>
      <c r="FI199" s="567"/>
      <c r="FJ199" s="567"/>
      <c r="FK199" s="567"/>
      <c r="FL199" s="567"/>
      <c r="FM199" s="567"/>
      <c r="FN199" s="567"/>
      <c r="FO199" s="567"/>
      <c r="FP199" s="567"/>
      <c r="FQ199" s="567"/>
      <c r="FR199" s="567"/>
      <c r="FS199" s="567"/>
      <c r="FT199" s="567"/>
      <c r="FU199" s="567"/>
      <c r="FV199" s="567"/>
      <c r="FW199" s="567"/>
      <c r="FX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  <c r="BW200" s="567"/>
      <c r="BX200" s="567"/>
      <c r="BY200" s="567"/>
      <c r="BZ200" s="567"/>
      <c r="CA200" s="567"/>
      <c r="CB200" s="567"/>
      <c r="CC200" s="567"/>
      <c r="CD200" s="567"/>
      <c r="CE200" s="567"/>
      <c r="CF200" s="567"/>
      <c r="CG200" s="567"/>
      <c r="CH200" s="567"/>
      <c r="CI200" s="567"/>
      <c r="CJ200" s="567"/>
      <c r="CK200" s="567"/>
      <c r="CL200" s="567"/>
      <c r="CM200" s="567"/>
      <c r="CN200" s="567"/>
      <c r="CO200" s="567"/>
      <c r="CP200" s="567"/>
      <c r="CQ200" s="567"/>
      <c r="CR200" s="567"/>
      <c r="CS200" s="567"/>
      <c r="CT200" s="567"/>
      <c r="CU200" s="567"/>
      <c r="CV200" s="567"/>
      <c r="CW200" s="567"/>
      <c r="CX200" s="567"/>
      <c r="CY200" s="567"/>
      <c r="CZ200" s="567"/>
      <c r="DA200" s="567"/>
      <c r="DB200" s="567"/>
      <c r="DC200" s="567"/>
      <c r="DD200" s="567"/>
      <c r="DE200" s="567"/>
      <c r="DF200" s="567"/>
      <c r="DG200" s="567"/>
      <c r="DH200" s="567"/>
      <c r="DI200" s="567"/>
      <c r="DJ200" s="567"/>
      <c r="DK200" s="567"/>
      <c r="DL200" s="567"/>
      <c r="DM200" s="567"/>
      <c r="DN200" s="567"/>
      <c r="DO200" s="567"/>
      <c r="DP200" s="567"/>
      <c r="DQ200" s="567"/>
      <c r="DR200" s="567"/>
      <c r="DS200" s="567"/>
      <c r="DT200" s="567"/>
      <c r="DU200" s="567"/>
      <c r="DV200" s="567"/>
      <c r="DW200" s="567"/>
      <c r="DX200" s="567"/>
      <c r="DY200" s="567"/>
      <c r="DZ200" s="567"/>
      <c r="EA200" s="567"/>
      <c r="EB200" s="567"/>
      <c r="EC200" s="567"/>
      <c r="ED200" s="567"/>
      <c r="EE200" s="567"/>
      <c r="EF200" s="567"/>
      <c r="EG200" s="567"/>
      <c r="EH200" s="567"/>
      <c r="EI200" s="567"/>
      <c r="EJ200" s="567"/>
      <c r="EK200" s="567"/>
      <c r="EL200" s="567"/>
      <c r="EM200" s="567"/>
      <c r="EN200" s="567"/>
      <c r="EO200" s="567"/>
      <c r="EP200" s="567"/>
      <c r="EQ200" s="567"/>
      <c r="ER200" s="567"/>
      <c r="ES200" s="567"/>
      <c r="ET200" s="567"/>
      <c r="EU200" s="567"/>
      <c r="EV200" s="567"/>
      <c r="EW200" s="567"/>
      <c r="EX200" s="567"/>
      <c r="EY200" s="567"/>
      <c r="EZ200" s="567"/>
      <c r="FA200" s="567"/>
      <c r="FB200" s="567"/>
      <c r="FC200" s="567"/>
      <c r="FD200" s="567"/>
      <c r="FE200" s="567"/>
      <c r="FF200" s="567"/>
      <c r="FG200" s="567"/>
      <c r="FH200" s="567"/>
      <c r="FI200" s="567"/>
      <c r="FJ200" s="567"/>
      <c r="FK200" s="567"/>
      <c r="FL200" s="567"/>
      <c r="FM200" s="567"/>
      <c r="FN200" s="567"/>
      <c r="FO200" s="567"/>
      <c r="FP200" s="567"/>
      <c r="FQ200" s="567"/>
      <c r="FR200" s="567"/>
      <c r="FS200" s="567"/>
      <c r="FT200" s="567"/>
      <c r="FU200" s="567"/>
      <c r="FV200" s="567"/>
      <c r="FW200" s="567"/>
      <c r="FX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  <c r="BW201" s="567"/>
      <c r="BX201" s="567"/>
      <c r="BY201" s="567"/>
      <c r="BZ201" s="567"/>
      <c r="CA201" s="567"/>
      <c r="CB201" s="567"/>
      <c r="CC201" s="567"/>
      <c r="CD201" s="567"/>
      <c r="CE201" s="567"/>
      <c r="CF201" s="567"/>
      <c r="CG201" s="567"/>
      <c r="CH201" s="567"/>
      <c r="CI201" s="567"/>
      <c r="CJ201" s="567"/>
      <c r="CK201" s="567"/>
      <c r="CL201" s="567"/>
      <c r="CM201" s="567"/>
      <c r="CN201" s="567"/>
      <c r="CO201" s="567"/>
      <c r="CP201" s="567"/>
      <c r="CQ201" s="567"/>
      <c r="CR201" s="567"/>
      <c r="CS201" s="567"/>
      <c r="CT201" s="567"/>
      <c r="CU201" s="567"/>
      <c r="CV201" s="567"/>
      <c r="CW201" s="567"/>
      <c r="CX201" s="567"/>
      <c r="CY201" s="567"/>
      <c r="CZ201" s="567"/>
      <c r="DA201" s="567"/>
      <c r="DB201" s="567"/>
      <c r="DC201" s="567"/>
      <c r="DD201" s="567"/>
      <c r="DE201" s="567"/>
      <c r="DF201" s="567"/>
      <c r="DG201" s="567"/>
      <c r="DH201" s="567"/>
      <c r="DI201" s="567"/>
      <c r="DJ201" s="567"/>
      <c r="DK201" s="567"/>
      <c r="DL201" s="567"/>
      <c r="DM201" s="567"/>
      <c r="DN201" s="567"/>
      <c r="DO201" s="567"/>
      <c r="DP201" s="567"/>
      <c r="DQ201" s="567"/>
      <c r="DR201" s="567"/>
      <c r="DS201" s="567"/>
      <c r="DT201" s="567"/>
      <c r="DU201" s="567"/>
      <c r="DV201" s="567"/>
      <c r="DW201" s="567"/>
      <c r="DX201" s="567"/>
      <c r="DY201" s="567"/>
      <c r="DZ201" s="567"/>
      <c r="EA201" s="567"/>
      <c r="EB201" s="567"/>
      <c r="EC201" s="567"/>
      <c r="ED201" s="567"/>
      <c r="EE201" s="567"/>
      <c r="EF201" s="567"/>
      <c r="EG201" s="567"/>
      <c r="EH201" s="567"/>
      <c r="EI201" s="567"/>
      <c r="EJ201" s="567"/>
      <c r="EK201" s="567"/>
      <c r="EL201" s="567"/>
      <c r="EM201" s="567"/>
      <c r="EN201" s="567"/>
      <c r="EO201" s="567"/>
      <c r="EP201" s="567"/>
      <c r="EQ201" s="567"/>
      <c r="ER201" s="567"/>
      <c r="ES201" s="567"/>
      <c r="ET201" s="567"/>
      <c r="EU201" s="567"/>
      <c r="EV201" s="567"/>
      <c r="EW201" s="567"/>
      <c r="EX201" s="567"/>
      <c r="EY201" s="567"/>
      <c r="EZ201" s="567"/>
      <c r="FA201" s="567"/>
      <c r="FB201" s="567"/>
      <c r="FC201" s="567"/>
      <c r="FD201" s="567"/>
      <c r="FE201" s="567"/>
      <c r="FF201" s="567"/>
      <c r="FG201" s="567"/>
      <c r="FH201" s="567"/>
      <c r="FI201" s="567"/>
      <c r="FJ201" s="567"/>
      <c r="FK201" s="567"/>
      <c r="FL201" s="567"/>
      <c r="FM201" s="567"/>
      <c r="FN201" s="567"/>
      <c r="FO201" s="567"/>
      <c r="FP201" s="567"/>
      <c r="FQ201" s="567"/>
      <c r="FR201" s="567"/>
      <c r="FS201" s="567"/>
      <c r="FT201" s="567"/>
      <c r="FU201" s="567"/>
      <c r="FV201" s="567"/>
      <c r="FW201" s="567"/>
      <c r="FX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  <c r="BW202" s="567"/>
      <c r="BX202" s="567"/>
      <c r="BY202" s="567"/>
      <c r="BZ202" s="567"/>
      <c r="CA202" s="567"/>
      <c r="CB202" s="567"/>
      <c r="CC202" s="567"/>
      <c r="CD202" s="567"/>
      <c r="CE202" s="567"/>
      <c r="CF202" s="567"/>
      <c r="CG202" s="567"/>
      <c r="CH202" s="567"/>
      <c r="CI202" s="567"/>
      <c r="CJ202" s="567"/>
      <c r="CK202" s="567"/>
      <c r="CL202" s="567"/>
      <c r="CM202" s="567"/>
      <c r="CN202" s="567"/>
      <c r="CO202" s="567"/>
      <c r="CP202" s="567"/>
      <c r="CQ202" s="567"/>
      <c r="CR202" s="567"/>
      <c r="CS202" s="567"/>
      <c r="CT202" s="567"/>
      <c r="CU202" s="567"/>
      <c r="CV202" s="567"/>
      <c r="CW202" s="567"/>
      <c r="CX202" s="567"/>
      <c r="CY202" s="567"/>
      <c r="CZ202" s="567"/>
      <c r="DA202" s="567"/>
      <c r="DB202" s="567"/>
      <c r="DC202" s="567"/>
      <c r="DD202" s="567"/>
      <c r="DE202" s="567"/>
      <c r="DF202" s="567"/>
      <c r="DG202" s="567"/>
      <c r="DH202" s="567"/>
      <c r="DI202" s="567"/>
      <c r="DJ202" s="567"/>
      <c r="DK202" s="567"/>
      <c r="DL202" s="567"/>
      <c r="DM202" s="567"/>
      <c r="DN202" s="567"/>
      <c r="DO202" s="567"/>
      <c r="DP202" s="567"/>
      <c r="DQ202" s="567"/>
      <c r="DR202" s="567"/>
      <c r="DS202" s="567"/>
      <c r="DT202" s="567"/>
      <c r="DU202" s="567"/>
      <c r="DV202" s="567"/>
      <c r="DW202" s="567"/>
      <c r="DX202" s="567"/>
      <c r="DY202" s="567"/>
      <c r="DZ202" s="567"/>
      <c r="EA202" s="567"/>
      <c r="EB202" s="567"/>
      <c r="EC202" s="567"/>
      <c r="ED202" s="567"/>
      <c r="EE202" s="567"/>
      <c r="EF202" s="567"/>
      <c r="EG202" s="567"/>
      <c r="EH202" s="567"/>
      <c r="EI202" s="567"/>
      <c r="EJ202" s="567"/>
      <c r="EK202" s="567"/>
      <c r="EL202" s="567"/>
      <c r="EM202" s="567"/>
      <c r="EN202" s="567"/>
      <c r="EO202" s="567"/>
      <c r="EP202" s="567"/>
      <c r="EQ202" s="567"/>
      <c r="ER202" s="567"/>
      <c r="ES202" s="567"/>
      <c r="ET202" s="567"/>
      <c r="EU202" s="567"/>
      <c r="EV202" s="567"/>
      <c r="EW202" s="567"/>
      <c r="EX202" s="567"/>
      <c r="EY202" s="567"/>
      <c r="EZ202" s="567"/>
      <c r="FA202" s="567"/>
      <c r="FB202" s="567"/>
      <c r="FC202" s="567"/>
      <c r="FD202" s="567"/>
      <c r="FE202" s="567"/>
      <c r="FF202" s="567"/>
      <c r="FG202" s="567"/>
      <c r="FH202" s="567"/>
      <c r="FI202" s="567"/>
      <c r="FJ202" s="567"/>
      <c r="FK202" s="567"/>
      <c r="FL202" s="567"/>
      <c r="FM202" s="567"/>
      <c r="FN202" s="567"/>
      <c r="FO202" s="567"/>
      <c r="FP202" s="567"/>
      <c r="FQ202" s="567"/>
      <c r="FR202" s="567"/>
      <c r="FS202" s="567"/>
      <c r="FT202" s="567"/>
      <c r="FU202" s="567"/>
      <c r="FV202" s="567"/>
      <c r="FW202" s="567"/>
      <c r="FX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  <c r="BW203" s="567"/>
      <c r="BX203" s="567"/>
      <c r="BY203" s="567"/>
      <c r="BZ203" s="567"/>
      <c r="CA203" s="567"/>
      <c r="CB203" s="567"/>
      <c r="CC203" s="567"/>
      <c r="CD203" s="567"/>
      <c r="CE203" s="567"/>
      <c r="CF203" s="567"/>
      <c r="CG203" s="567"/>
      <c r="CH203" s="567"/>
      <c r="CI203" s="567"/>
      <c r="CJ203" s="567"/>
      <c r="CK203" s="567"/>
      <c r="CL203" s="567"/>
      <c r="CM203" s="567"/>
      <c r="CN203" s="567"/>
      <c r="CO203" s="567"/>
      <c r="CP203" s="567"/>
      <c r="CQ203" s="567"/>
      <c r="CR203" s="567"/>
      <c r="CS203" s="567"/>
      <c r="CT203" s="567"/>
      <c r="CU203" s="567"/>
      <c r="CV203" s="567"/>
      <c r="CW203" s="567"/>
      <c r="CX203" s="567"/>
      <c r="CY203" s="567"/>
      <c r="CZ203" s="567"/>
      <c r="DA203" s="567"/>
      <c r="DB203" s="567"/>
      <c r="DC203" s="567"/>
      <c r="DD203" s="567"/>
      <c r="DE203" s="567"/>
      <c r="DF203" s="567"/>
      <c r="DG203" s="567"/>
      <c r="DH203" s="567"/>
      <c r="DI203" s="567"/>
      <c r="DJ203" s="567"/>
      <c r="DK203" s="567"/>
      <c r="DL203" s="567"/>
      <c r="DM203" s="567"/>
      <c r="DN203" s="567"/>
      <c r="DO203" s="567"/>
      <c r="DP203" s="567"/>
      <c r="DQ203" s="567"/>
      <c r="DR203" s="567"/>
      <c r="DS203" s="567"/>
      <c r="DT203" s="567"/>
      <c r="DU203" s="567"/>
      <c r="DV203" s="567"/>
      <c r="DW203" s="567"/>
      <c r="DX203" s="567"/>
      <c r="DY203" s="567"/>
      <c r="DZ203" s="567"/>
      <c r="EA203" s="567"/>
      <c r="EB203" s="567"/>
      <c r="EC203" s="567"/>
      <c r="ED203" s="567"/>
      <c r="EE203" s="567"/>
      <c r="EF203" s="567"/>
      <c r="EG203" s="567"/>
      <c r="EH203" s="567"/>
      <c r="EI203" s="567"/>
      <c r="EJ203" s="567"/>
      <c r="EK203" s="567"/>
      <c r="EL203" s="567"/>
      <c r="EM203" s="567"/>
      <c r="EN203" s="567"/>
      <c r="EO203" s="567"/>
      <c r="EP203" s="567"/>
      <c r="EQ203" s="567"/>
      <c r="ER203" s="567"/>
      <c r="ES203" s="567"/>
      <c r="ET203" s="567"/>
      <c r="EU203" s="567"/>
      <c r="EV203" s="567"/>
      <c r="EW203" s="567"/>
      <c r="EX203" s="567"/>
      <c r="EY203" s="567"/>
      <c r="EZ203" s="567"/>
      <c r="FA203" s="567"/>
      <c r="FB203" s="567"/>
      <c r="FC203" s="567"/>
      <c r="FD203" s="567"/>
      <c r="FE203" s="567"/>
      <c r="FF203" s="567"/>
      <c r="FG203" s="567"/>
      <c r="FH203" s="567"/>
      <c r="FI203" s="567"/>
      <c r="FJ203" s="567"/>
      <c r="FK203" s="567"/>
      <c r="FL203" s="567"/>
      <c r="FM203" s="567"/>
      <c r="FN203" s="567"/>
      <c r="FO203" s="567"/>
      <c r="FP203" s="567"/>
      <c r="FQ203" s="567"/>
      <c r="FR203" s="567"/>
      <c r="FS203" s="567"/>
      <c r="FT203" s="567"/>
      <c r="FU203" s="567"/>
      <c r="FV203" s="567"/>
      <c r="FW203" s="567"/>
      <c r="FX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  <c r="BW204" s="567"/>
      <c r="BX204" s="567"/>
      <c r="BY204" s="567"/>
      <c r="BZ204" s="567"/>
      <c r="CA204" s="567"/>
      <c r="CB204" s="567"/>
      <c r="CC204" s="567"/>
      <c r="CD204" s="567"/>
      <c r="CE204" s="567"/>
      <c r="CF204" s="567"/>
      <c r="CG204" s="567"/>
      <c r="CH204" s="567"/>
      <c r="CI204" s="567"/>
      <c r="CJ204" s="567"/>
      <c r="CK204" s="567"/>
      <c r="CL204" s="567"/>
      <c r="CM204" s="567"/>
      <c r="CN204" s="567"/>
      <c r="CO204" s="567"/>
      <c r="CP204" s="567"/>
      <c r="CQ204" s="567"/>
      <c r="CR204" s="567"/>
      <c r="CS204" s="567"/>
      <c r="CT204" s="567"/>
      <c r="CU204" s="567"/>
      <c r="CV204" s="567"/>
      <c r="CW204" s="567"/>
      <c r="CX204" s="567"/>
      <c r="CY204" s="567"/>
      <c r="CZ204" s="567"/>
      <c r="DA204" s="567"/>
      <c r="DB204" s="567"/>
      <c r="DC204" s="567"/>
      <c r="DD204" s="567"/>
      <c r="DE204" s="567"/>
      <c r="DF204" s="567"/>
      <c r="DG204" s="567"/>
      <c r="DH204" s="567"/>
      <c r="DI204" s="567"/>
      <c r="DJ204" s="567"/>
      <c r="DK204" s="567"/>
      <c r="DL204" s="567"/>
      <c r="DM204" s="567"/>
      <c r="DN204" s="567"/>
      <c r="DO204" s="567"/>
      <c r="DP204" s="567"/>
      <c r="DQ204" s="567"/>
      <c r="DR204" s="567"/>
      <c r="DS204" s="567"/>
      <c r="DT204" s="567"/>
      <c r="DU204" s="567"/>
      <c r="DV204" s="567"/>
      <c r="DW204" s="567"/>
      <c r="DX204" s="567"/>
      <c r="DY204" s="567"/>
      <c r="DZ204" s="567"/>
      <c r="EA204" s="567"/>
      <c r="EB204" s="567"/>
      <c r="EC204" s="567"/>
      <c r="ED204" s="567"/>
      <c r="EE204" s="567"/>
      <c r="EF204" s="567"/>
      <c r="EG204" s="567"/>
      <c r="EH204" s="567"/>
      <c r="EI204" s="567"/>
      <c r="EJ204" s="567"/>
      <c r="EK204" s="567"/>
      <c r="EL204" s="567"/>
      <c r="EM204" s="567"/>
      <c r="EN204" s="567"/>
      <c r="EO204" s="567"/>
      <c r="EP204" s="567"/>
      <c r="EQ204" s="567"/>
      <c r="ER204" s="567"/>
      <c r="ES204" s="567"/>
      <c r="ET204" s="567"/>
      <c r="EU204" s="567"/>
      <c r="EV204" s="567"/>
      <c r="EW204" s="567"/>
      <c r="EX204" s="567"/>
      <c r="EY204" s="567"/>
      <c r="EZ204" s="567"/>
      <c r="FA204" s="567"/>
      <c r="FB204" s="567"/>
      <c r="FC204" s="567"/>
      <c r="FD204" s="567"/>
      <c r="FE204" s="567"/>
      <c r="FF204" s="567"/>
      <c r="FG204" s="567"/>
      <c r="FH204" s="567"/>
      <c r="FI204" s="567"/>
      <c r="FJ204" s="567"/>
      <c r="FK204" s="567"/>
      <c r="FL204" s="567"/>
      <c r="FM204" s="567"/>
      <c r="FN204" s="567"/>
      <c r="FO204" s="567"/>
      <c r="FP204" s="567"/>
      <c r="FQ204" s="567"/>
      <c r="FR204" s="567"/>
      <c r="FS204" s="567"/>
      <c r="FT204" s="567"/>
      <c r="FU204" s="567"/>
      <c r="FV204" s="567"/>
      <c r="FW204" s="567"/>
      <c r="FX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  <c r="BW205" s="567"/>
      <c r="BX205" s="567"/>
      <c r="BY205" s="567"/>
      <c r="BZ205" s="567"/>
      <c r="CA205" s="567"/>
      <c r="CB205" s="567"/>
      <c r="CC205" s="567"/>
      <c r="CD205" s="567"/>
      <c r="CE205" s="567"/>
      <c r="CF205" s="567"/>
      <c r="CG205" s="567"/>
      <c r="CH205" s="567"/>
      <c r="CI205" s="567"/>
      <c r="CJ205" s="567"/>
      <c r="CK205" s="567"/>
      <c r="CL205" s="567"/>
      <c r="CM205" s="567"/>
      <c r="CN205" s="567"/>
      <c r="CO205" s="567"/>
      <c r="CP205" s="567"/>
      <c r="CQ205" s="567"/>
      <c r="CR205" s="567"/>
      <c r="CS205" s="567"/>
      <c r="CT205" s="567"/>
      <c r="CU205" s="567"/>
      <c r="CV205" s="567"/>
      <c r="CW205" s="567"/>
      <c r="CX205" s="567"/>
      <c r="CY205" s="567"/>
      <c r="CZ205" s="567"/>
      <c r="DA205" s="567"/>
      <c r="DB205" s="567"/>
      <c r="DC205" s="567"/>
      <c r="DD205" s="567"/>
      <c r="DE205" s="567"/>
      <c r="DF205" s="567"/>
      <c r="DG205" s="567"/>
      <c r="DH205" s="567"/>
      <c r="DI205" s="567"/>
      <c r="DJ205" s="567"/>
      <c r="DK205" s="567"/>
      <c r="DL205" s="567"/>
      <c r="DM205" s="567"/>
      <c r="DN205" s="567"/>
      <c r="DO205" s="567"/>
      <c r="DP205" s="567"/>
      <c r="DQ205" s="567"/>
      <c r="DR205" s="567"/>
      <c r="DS205" s="567"/>
      <c r="DT205" s="567"/>
      <c r="DU205" s="567"/>
      <c r="DV205" s="567"/>
      <c r="DW205" s="567"/>
      <c r="DX205" s="567"/>
      <c r="DY205" s="567"/>
      <c r="DZ205" s="567"/>
      <c r="EA205" s="567"/>
      <c r="EB205" s="567"/>
      <c r="EC205" s="567"/>
      <c r="ED205" s="567"/>
      <c r="EE205" s="567"/>
      <c r="EF205" s="567"/>
      <c r="EG205" s="567"/>
      <c r="EH205" s="567"/>
      <c r="EI205" s="567"/>
      <c r="EJ205" s="567"/>
      <c r="EK205" s="567"/>
      <c r="EL205" s="567"/>
      <c r="EM205" s="567"/>
      <c r="EN205" s="567"/>
      <c r="EO205" s="567"/>
      <c r="EP205" s="567"/>
      <c r="EQ205" s="567"/>
      <c r="ER205" s="567"/>
      <c r="ES205" s="567"/>
      <c r="ET205" s="567"/>
      <c r="EU205" s="567"/>
      <c r="EV205" s="567"/>
      <c r="EW205" s="567"/>
      <c r="EX205" s="567"/>
      <c r="EY205" s="567"/>
      <c r="EZ205" s="567"/>
      <c r="FA205" s="567"/>
      <c r="FB205" s="567"/>
      <c r="FC205" s="567"/>
      <c r="FD205" s="567"/>
      <c r="FE205" s="567"/>
      <c r="FF205" s="567"/>
      <c r="FG205" s="567"/>
      <c r="FH205" s="567"/>
      <c r="FI205" s="567"/>
      <c r="FJ205" s="567"/>
      <c r="FK205" s="567"/>
      <c r="FL205" s="567"/>
      <c r="FM205" s="567"/>
      <c r="FN205" s="567"/>
      <c r="FO205" s="567"/>
      <c r="FP205" s="567"/>
      <c r="FQ205" s="567"/>
      <c r="FR205" s="567"/>
      <c r="FS205" s="567"/>
      <c r="FT205" s="567"/>
      <c r="FU205" s="567"/>
      <c r="FV205" s="567"/>
      <c r="FW205" s="567"/>
      <c r="FX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  <c r="BW206" s="567"/>
      <c r="BX206" s="567"/>
      <c r="BY206" s="567"/>
      <c r="BZ206" s="567"/>
      <c r="CA206" s="567"/>
      <c r="CB206" s="567"/>
      <c r="CC206" s="567"/>
      <c r="CD206" s="567"/>
      <c r="CE206" s="567"/>
      <c r="CF206" s="567"/>
      <c r="CG206" s="567"/>
      <c r="CH206" s="567"/>
      <c r="CI206" s="567"/>
      <c r="CJ206" s="567"/>
      <c r="CK206" s="567"/>
      <c r="CL206" s="567"/>
      <c r="CM206" s="567"/>
      <c r="CN206" s="567"/>
      <c r="CO206" s="567"/>
      <c r="CP206" s="567"/>
      <c r="CQ206" s="567"/>
      <c r="CR206" s="567"/>
      <c r="CS206" s="567"/>
      <c r="CT206" s="567"/>
      <c r="CU206" s="567"/>
      <c r="CV206" s="567"/>
      <c r="CW206" s="567"/>
      <c r="CX206" s="567"/>
      <c r="CY206" s="567"/>
      <c r="CZ206" s="567"/>
      <c r="DA206" s="567"/>
      <c r="DB206" s="567"/>
      <c r="DC206" s="567"/>
      <c r="DD206" s="567"/>
      <c r="DE206" s="567"/>
      <c r="DF206" s="567"/>
      <c r="DG206" s="567"/>
      <c r="DH206" s="567"/>
      <c r="DI206" s="567"/>
      <c r="DJ206" s="567"/>
      <c r="DK206" s="567"/>
      <c r="DL206" s="567"/>
      <c r="DM206" s="567"/>
      <c r="DN206" s="567"/>
      <c r="DO206" s="567"/>
      <c r="DP206" s="567"/>
      <c r="DQ206" s="567"/>
      <c r="DR206" s="567"/>
      <c r="DS206" s="567"/>
      <c r="DT206" s="567"/>
      <c r="DU206" s="567"/>
      <c r="DV206" s="567"/>
      <c r="DW206" s="567"/>
      <c r="DX206" s="567"/>
      <c r="DY206" s="567"/>
      <c r="DZ206" s="567"/>
      <c r="EA206" s="567"/>
      <c r="EB206" s="567"/>
      <c r="EC206" s="567"/>
      <c r="ED206" s="567"/>
      <c r="EE206" s="567"/>
      <c r="EF206" s="567"/>
      <c r="EG206" s="567"/>
      <c r="EH206" s="567"/>
      <c r="EI206" s="567"/>
      <c r="EJ206" s="567"/>
      <c r="EK206" s="567"/>
      <c r="EL206" s="567"/>
      <c r="EM206" s="567"/>
      <c r="EN206" s="567"/>
      <c r="EO206" s="567"/>
      <c r="EP206" s="567"/>
      <c r="EQ206" s="567"/>
      <c r="ER206" s="567"/>
      <c r="ES206" s="567"/>
      <c r="ET206" s="567"/>
      <c r="EU206" s="567"/>
      <c r="EV206" s="567"/>
      <c r="EW206" s="567"/>
      <c r="EX206" s="567"/>
      <c r="EY206" s="567"/>
      <c r="EZ206" s="567"/>
      <c r="FA206" s="567"/>
      <c r="FB206" s="567"/>
      <c r="FC206" s="567"/>
      <c r="FD206" s="567"/>
      <c r="FE206" s="567"/>
      <c r="FF206" s="567"/>
      <c r="FG206" s="567"/>
      <c r="FH206" s="567"/>
      <c r="FI206" s="567"/>
      <c r="FJ206" s="567"/>
      <c r="FK206" s="567"/>
      <c r="FL206" s="567"/>
      <c r="FM206" s="567"/>
      <c r="FN206" s="567"/>
      <c r="FO206" s="567"/>
      <c r="FP206" s="567"/>
      <c r="FQ206" s="567"/>
      <c r="FR206" s="567"/>
      <c r="FS206" s="567"/>
      <c r="FT206" s="567"/>
      <c r="FU206" s="567"/>
      <c r="FV206" s="567"/>
      <c r="FW206" s="567"/>
      <c r="FX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  <c r="BW207" s="567"/>
      <c r="BX207" s="567"/>
      <c r="BY207" s="567"/>
      <c r="BZ207" s="567"/>
      <c r="CA207" s="567"/>
      <c r="CB207" s="567"/>
      <c r="CC207" s="567"/>
      <c r="CD207" s="567"/>
      <c r="CE207" s="567"/>
      <c r="CF207" s="567"/>
      <c r="CG207" s="567"/>
      <c r="CH207" s="567"/>
      <c r="CI207" s="567"/>
      <c r="CJ207" s="567"/>
      <c r="CK207" s="567"/>
      <c r="CL207" s="567"/>
      <c r="CM207" s="567"/>
      <c r="CN207" s="567"/>
      <c r="CO207" s="567"/>
      <c r="CP207" s="567"/>
      <c r="CQ207" s="567"/>
      <c r="CR207" s="567"/>
      <c r="CS207" s="567"/>
      <c r="CT207" s="567"/>
      <c r="CU207" s="567"/>
      <c r="CV207" s="567"/>
      <c r="CW207" s="567"/>
      <c r="CX207" s="567"/>
      <c r="CY207" s="567"/>
      <c r="CZ207" s="567"/>
      <c r="DA207" s="567"/>
      <c r="DB207" s="567"/>
      <c r="DC207" s="567"/>
      <c r="DD207" s="567"/>
      <c r="DE207" s="567"/>
      <c r="DF207" s="567"/>
      <c r="DG207" s="567"/>
      <c r="DH207" s="567"/>
      <c r="DI207" s="567"/>
      <c r="DJ207" s="567"/>
      <c r="DK207" s="567"/>
      <c r="DL207" s="567"/>
      <c r="DM207" s="567"/>
      <c r="DN207" s="567"/>
      <c r="DO207" s="567"/>
      <c r="DP207" s="567"/>
      <c r="DQ207" s="567"/>
      <c r="DR207" s="567"/>
      <c r="DS207" s="567"/>
      <c r="DT207" s="567"/>
      <c r="DU207" s="567"/>
      <c r="DV207" s="567"/>
      <c r="DW207" s="567"/>
      <c r="DX207" s="567"/>
      <c r="DY207" s="567"/>
      <c r="DZ207" s="567"/>
      <c r="EA207" s="567"/>
      <c r="EB207" s="567"/>
      <c r="EC207" s="567"/>
      <c r="ED207" s="567"/>
      <c r="EE207" s="567"/>
      <c r="EF207" s="567"/>
      <c r="EG207" s="567"/>
      <c r="EH207" s="567"/>
      <c r="EI207" s="567"/>
      <c r="EJ207" s="567"/>
      <c r="EK207" s="567"/>
      <c r="EL207" s="567"/>
      <c r="EM207" s="567"/>
      <c r="EN207" s="567"/>
      <c r="EO207" s="567"/>
      <c r="EP207" s="567"/>
      <c r="EQ207" s="567"/>
      <c r="ER207" s="567"/>
      <c r="ES207" s="567"/>
      <c r="ET207" s="567"/>
      <c r="EU207" s="567"/>
      <c r="EV207" s="567"/>
      <c r="EW207" s="567"/>
      <c r="EX207" s="567"/>
      <c r="EY207" s="567"/>
      <c r="EZ207" s="567"/>
      <c r="FA207" s="567"/>
      <c r="FB207" s="567"/>
      <c r="FC207" s="567"/>
      <c r="FD207" s="567"/>
      <c r="FE207" s="567"/>
      <c r="FF207" s="567"/>
      <c r="FG207" s="567"/>
      <c r="FH207" s="567"/>
      <c r="FI207" s="567"/>
      <c r="FJ207" s="567"/>
      <c r="FK207" s="567"/>
      <c r="FL207" s="567"/>
      <c r="FM207" s="567"/>
      <c r="FN207" s="567"/>
      <c r="FO207" s="567"/>
      <c r="FP207" s="567"/>
      <c r="FQ207" s="567"/>
      <c r="FR207" s="567"/>
      <c r="FS207" s="567"/>
      <c r="FT207" s="567"/>
      <c r="FU207" s="567"/>
      <c r="FV207" s="567"/>
      <c r="FW207" s="567"/>
      <c r="FX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  <c r="BW208" s="567"/>
      <c r="BX208" s="567"/>
      <c r="BY208" s="567"/>
      <c r="BZ208" s="567"/>
      <c r="CA208" s="567"/>
      <c r="CB208" s="567"/>
      <c r="CC208" s="567"/>
      <c r="CD208" s="567"/>
      <c r="CE208" s="567"/>
      <c r="CF208" s="567"/>
      <c r="CG208" s="567"/>
      <c r="CH208" s="567"/>
      <c r="CI208" s="567"/>
      <c r="CJ208" s="567"/>
      <c r="CK208" s="567"/>
      <c r="CL208" s="567"/>
      <c r="CM208" s="567"/>
      <c r="CN208" s="567"/>
      <c r="CO208" s="567"/>
      <c r="CP208" s="567"/>
      <c r="CQ208" s="567"/>
      <c r="CR208" s="567"/>
      <c r="CS208" s="567"/>
      <c r="CT208" s="567"/>
      <c r="CU208" s="567"/>
      <c r="CV208" s="567"/>
      <c r="CW208" s="567"/>
      <c r="CX208" s="567"/>
      <c r="CY208" s="567"/>
      <c r="CZ208" s="567"/>
      <c r="DA208" s="567"/>
      <c r="DB208" s="567"/>
      <c r="DC208" s="567"/>
      <c r="DD208" s="567"/>
      <c r="DE208" s="567"/>
      <c r="DF208" s="567"/>
      <c r="DG208" s="567"/>
      <c r="DH208" s="567"/>
      <c r="DI208" s="567"/>
      <c r="DJ208" s="567"/>
      <c r="DK208" s="567"/>
      <c r="DL208" s="567"/>
      <c r="DM208" s="567"/>
      <c r="DN208" s="567"/>
      <c r="DO208" s="567"/>
      <c r="DP208" s="567"/>
      <c r="DQ208" s="567"/>
      <c r="DR208" s="567"/>
      <c r="DS208" s="567"/>
      <c r="DT208" s="567"/>
      <c r="DU208" s="567"/>
      <c r="DV208" s="567"/>
      <c r="DW208" s="567"/>
      <c r="DX208" s="567"/>
      <c r="DY208" s="567"/>
      <c r="DZ208" s="567"/>
      <c r="EA208" s="567"/>
      <c r="EB208" s="567"/>
      <c r="EC208" s="567"/>
      <c r="ED208" s="567"/>
      <c r="EE208" s="567"/>
      <c r="EF208" s="567"/>
      <c r="EG208" s="567"/>
      <c r="EH208" s="567"/>
      <c r="EI208" s="567"/>
      <c r="EJ208" s="567"/>
      <c r="EK208" s="567"/>
      <c r="EL208" s="567"/>
      <c r="EM208" s="567"/>
      <c r="EN208" s="567"/>
      <c r="EO208" s="567"/>
      <c r="EP208" s="567"/>
      <c r="EQ208" s="567"/>
      <c r="ER208" s="567"/>
      <c r="ES208" s="567"/>
      <c r="ET208" s="567"/>
      <c r="EU208" s="567"/>
      <c r="EV208" s="567"/>
      <c r="EW208" s="567"/>
      <c r="EX208" s="567"/>
      <c r="EY208" s="567"/>
      <c r="EZ208" s="567"/>
      <c r="FA208" s="567"/>
      <c r="FB208" s="567"/>
      <c r="FC208" s="567"/>
      <c r="FD208" s="567"/>
      <c r="FE208" s="567"/>
      <c r="FF208" s="567"/>
      <c r="FG208" s="567"/>
      <c r="FH208" s="567"/>
      <c r="FI208" s="567"/>
      <c r="FJ208" s="567"/>
      <c r="FK208" s="567"/>
      <c r="FL208" s="567"/>
      <c r="FM208" s="567"/>
      <c r="FN208" s="567"/>
      <c r="FO208" s="567"/>
      <c r="FP208" s="567"/>
      <c r="FQ208" s="567"/>
      <c r="FR208" s="567"/>
      <c r="FS208" s="567"/>
      <c r="FT208" s="567"/>
      <c r="FU208" s="567"/>
      <c r="FV208" s="567"/>
      <c r="FW208" s="567"/>
      <c r="FX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  <c r="BW209" s="567"/>
      <c r="BX209" s="567"/>
      <c r="BY209" s="567"/>
      <c r="BZ209" s="567"/>
      <c r="CA209" s="567"/>
      <c r="CB209" s="567"/>
      <c r="CC209" s="567"/>
      <c r="CD209" s="567"/>
      <c r="CE209" s="567"/>
      <c r="CF209" s="567"/>
      <c r="CG209" s="567"/>
      <c r="CH209" s="567"/>
      <c r="CI209" s="567"/>
      <c r="CJ209" s="567"/>
      <c r="CK209" s="567"/>
      <c r="CL209" s="567"/>
      <c r="CM209" s="567"/>
      <c r="CN209" s="567"/>
      <c r="CO209" s="567"/>
      <c r="CP209" s="567"/>
      <c r="CQ209" s="567"/>
      <c r="CR209" s="567"/>
      <c r="CS209" s="567"/>
      <c r="CT209" s="567"/>
      <c r="CU209" s="567"/>
      <c r="CV209" s="567"/>
      <c r="CW209" s="567"/>
      <c r="CX209" s="567"/>
      <c r="CY209" s="567"/>
      <c r="CZ209" s="567"/>
      <c r="DA209" s="567"/>
      <c r="DB209" s="567"/>
      <c r="DC209" s="567"/>
      <c r="DD209" s="567"/>
      <c r="DE209" s="567"/>
      <c r="DF209" s="567"/>
      <c r="DG209" s="567"/>
      <c r="DH209" s="567"/>
      <c r="DI209" s="567"/>
      <c r="DJ209" s="567"/>
      <c r="DK209" s="567"/>
      <c r="DL209" s="567"/>
      <c r="DM209" s="567"/>
      <c r="DN209" s="567"/>
      <c r="DO209" s="567"/>
      <c r="DP209" s="567"/>
      <c r="DQ209" s="567"/>
      <c r="DR209" s="567"/>
      <c r="DS209" s="567"/>
      <c r="DT209" s="567"/>
      <c r="DU209" s="567"/>
      <c r="DV209" s="567"/>
      <c r="DW209" s="567"/>
      <c r="DX209" s="567"/>
      <c r="DY209" s="567"/>
      <c r="DZ209" s="567"/>
      <c r="EA209" s="567"/>
      <c r="EB209" s="567"/>
      <c r="EC209" s="567"/>
      <c r="ED209" s="567"/>
      <c r="EE209" s="567"/>
      <c r="EF209" s="567"/>
      <c r="EG209" s="567"/>
      <c r="EH209" s="567"/>
      <c r="EI209" s="567"/>
      <c r="EJ209" s="567"/>
      <c r="EK209" s="567"/>
      <c r="EL209" s="567"/>
      <c r="EM209" s="567"/>
      <c r="EN209" s="567"/>
      <c r="EO209" s="567"/>
      <c r="EP209" s="567"/>
      <c r="EQ209" s="567"/>
      <c r="ER209" s="567"/>
      <c r="ES209" s="567"/>
      <c r="ET209" s="567"/>
      <c r="EU209" s="567"/>
      <c r="EV209" s="567"/>
      <c r="EW209" s="567"/>
      <c r="EX209" s="567"/>
      <c r="EY209" s="567"/>
      <c r="EZ209" s="567"/>
      <c r="FA209" s="567"/>
      <c r="FB209" s="567"/>
      <c r="FC209" s="567"/>
      <c r="FD209" s="567"/>
      <c r="FE209" s="567"/>
      <c r="FF209" s="567"/>
      <c r="FG209" s="567"/>
      <c r="FH209" s="567"/>
      <c r="FI209" s="567"/>
      <c r="FJ209" s="567"/>
      <c r="FK209" s="567"/>
      <c r="FL209" s="567"/>
      <c r="FM209" s="567"/>
      <c r="FN209" s="567"/>
      <c r="FO209" s="567"/>
      <c r="FP209" s="567"/>
      <c r="FQ209" s="567"/>
      <c r="FR209" s="567"/>
      <c r="FS209" s="567"/>
      <c r="FT209" s="567"/>
      <c r="FU209" s="567"/>
      <c r="FV209" s="567"/>
      <c r="FW209" s="567"/>
      <c r="FX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  <c r="BW210" s="567"/>
      <c r="BX210" s="567"/>
      <c r="BY210" s="567"/>
      <c r="BZ210" s="567"/>
      <c r="CA210" s="567"/>
      <c r="CB210" s="567"/>
      <c r="CC210" s="567"/>
      <c r="CD210" s="567"/>
      <c r="CE210" s="567"/>
      <c r="CF210" s="567"/>
      <c r="CG210" s="567"/>
      <c r="CH210" s="567"/>
      <c r="CI210" s="567"/>
      <c r="CJ210" s="567"/>
      <c r="CK210" s="567"/>
      <c r="CL210" s="567"/>
      <c r="CM210" s="567"/>
      <c r="CN210" s="567"/>
      <c r="CO210" s="567"/>
      <c r="CP210" s="567"/>
      <c r="CQ210" s="567"/>
      <c r="CR210" s="567"/>
      <c r="CS210" s="567"/>
      <c r="CT210" s="567"/>
      <c r="CU210" s="567"/>
      <c r="CV210" s="567"/>
      <c r="CW210" s="567"/>
      <c r="CX210" s="567"/>
      <c r="CY210" s="567"/>
      <c r="CZ210" s="567"/>
      <c r="DA210" s="567"/>
      <c r="DB210" s="567"/>
      <c r="DC210" s="567"/>
      <c r="DD210" s="567"/>
      <c r="DE210" s="567"/>
      <c r="DF210" s="567"/>
      <c r="DG210" s="567"/>
      <c r="DH210" s="567"/>
      <c r="DI210" s="567"/>
      <c r="DJ210" s="567"/>
      <c r="DK210" s="567"/>
      <c r="DL210" s="567"/>
      <c r="DM210" s="567"/>
      <c r="DN210" s="567"/>
      <c r="DO210" s="567"/>
      <c r="DP210" s="567"/>
      <c r="DQ210" s="567"/>
      <c r="DR210" s="567"/>
      <c r="DS210" s="567"/>
      <c r="DT210" s="567"/>
      <c r="DU210" s="567"/>
      <c r="DV210" s="567"/>
      <c r="DW210" s="567"/>
      <c r="DX210" s="567"/>
      <c r="DY210" s="567"/>
      <c r="DZ210" s="567"/>
      <c r="EA210" s="567"/>
      <c r="EB210" s="567"/>
      <c r="EC210" s="567"/>
      <c r="ED210" s="567"/>
      <c r="EE210" s="567"/>
      <c r="EF210" s="567"/>
      <c r="EG210" s="567"/>
      <c r="EH210" s="567"/>
      <c r="EI210" s="567"/>
      <c r="EJ210" s="567"/>
      <c r="EK210" s="567"/>
      <c r="EL210" s="567"/>
      <c r="EM210" s="567"/>
      <c r="EN210" s="567"/>
      <c r="EO210" s="567"/>
      <c r="EP210" s="567"/>
      <c r="EQ210" s="567"/>
      <c r="ER210" s="567"/>
      <c r="ES210" s="567"/>
      <c r="ET210" s="567"/>
      <c r="EU210" s="567"/>
      <c r="EV210" s="567"/>
      <c r="EW210" s="567"/>
      <c r="EX210" s="567"/>
      <c r="EY210" s="567"/>
      <c r="EZ210" s="567"/>
      <c r="FA210" s="567"/>
      <c r="FB210" s="567"/>
      <c r="FC210" s="567"/>
      <c r="FD210" s="567"/>
      <c r="FE210" s="567"/>
      <c r="FF210" s="567"/>
      <c r="FG210" s="567"/>
      <c r="FH210" s="567"/>
      <c r="FI210" s="567"/>
      <c r="FJ210" s="567"/>
      <c r="FK210" s="567"/>
      <c r="FL210" s="567"/>
      <c r="FM210" s="567"/>
      <c r="FN210" s="567"/>
      <c r="FO210" s="567"/>
      <c r="FP210" s="567"/>
      <c r="FQ210" s="567"/>
      <c r="FR210" s="567"/>
      <c r="FS210" s="567"/>
      <c r="FT210" s="567"/>
      <c r="FU210" s="567"/>
      <c r="FV210" s="567"/>
      <c r="FW210" s="567"/>
      <c r="FX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  <c r="BW211" s="567"/>
      <c r="BX211" s="567"/>
      <c r="BY211" s="567"/>
      <c r="BZ211" s="567"/>
      <c r="CA211" s="567"/>
      <c r="CB211" s="567"/>
      <c r="CC211" s="567"/>
      <c r="CD211" s="567"/>
      <c r="CE211" s="567"/>
      <c r="CF211" s="567"/>
      <c r="CG211" s="567"/>
      <c r="CH211" s="567"/>
      <c r="CI211" s="567"/>
      <c r="CJ211" s="567"/>
      <c r="CK211" s="567"/>
      <c r="CL211" s="567"/>
      <c r="CM211" s="567"/>
      <c r="CN211" s="567"/>
      <c r="CO211" s="567"/>
      <c r="CP211" s="567"/>
      <c r="CQ211" s="567"/>
      <c r="CR211" s="567"/>
      <c r="CS211" s="567"/>
      <c r="CT211" s="567"/>
      <c r="CU211" s="567"/>
      <c r="CV211" s="567"/>
      <c r="CW211" s="567"/>
      <c r="CX211" s="567"/>
      <c r="CY211" s="567"/>
      <c r="CZ211" s="567"/>
      <c r="DA211" s="567"/>
      <c r="DB211" s="567"/>
      <c r="DC211" s="567"/>
      <c r="DD211" s="567"/>
      <c r="DE211" s="567"/>
      <c r="DF211" s="567"/>
      <c r="DG211" s="567"/>
      <c r="DH211" s="567"/>
      <c r="DI211" s="567"/>
      <c r="DJ211" s="567"/>
      <c r="DK211" s="567"/>
      <c r="DL211" s="567"/>
      <c r="DM211" s="567"/>
      <c r="DN211" s="567"/>
      <c r="DO211" s="567"/>
      <c r="DP211" s="567"/>
      <c r="DQ211" s="567"/>
      <c r="DR211" s="567"/>
      <c r="DS211" s="567"/>
      <c r="DT211" s="567"/>
      <c r="DU211" s="567"/>
      <c r="DV211" s="567"/>
      <c r="DW211" s="567"/>
      <c r="DX211" s="567"/>
      <c r="DY211" s="567"/>
      <c r="DZ211" s="567"/>
      <c r="EA211" s="567"/>
      <c r="EB211" s="567"/>
      <c r="EC211" s="567"/>
      <c r="ED211" s="567"/>
      <c r="EE211" s="567"/>
      <c r="EF211" s="567"/>
      <c r="EG211" s="567"/>
      <c r="EH211" s="567"/>
      <c r="EI211" s="567"/>
      <c r="EJ211" s="567"/>
      <c r="EK211" s="567"/>
      <c r="EL211" s="567"/>
      <c r="EM211" s="567"/>
      <c r="EN211" s="567"/>
      <c r="EO211" s="567"/>
      <c r="EP211" s="567"/>
      <c r="EQ211" s="567"/>
      <c r="ER211" s="567"/>
      <c r="ES211" s="567"/>
      <c r="ET211" s="567"/>
      <c r="EU211" s="567"/>
      <c r="EV211" s="567"/>
      <c r="EW211" s="567"/>
      <c r="EX211" s="567"/>
      <c r="EY211" s="567"/>
      <c r="EZ211" s="567"/>
      <c r="FA211" s="567"/>
      <c r="FB211" s="567"/>
      <c r="FC211" s="567"/>
      <c r="FD211" s="567"/>
      <c r="FE211" s="567"/>
      <c r="FF211" s="567"/>
      <c r="FG211" s="567"/>
      <c r="FH211" s="567"/>
      <c r="FI211" s="567"/>
      <c r="FJ211" s="567"/>
      <c r="FK211" s="567"/>
      <c r="FL211" s="567"/>
      <c r="FM211" s="567"/>
      <c r="FN211" s="567"/>
      <c r="FO211" s="567"/>
      <c r="FP211" s="567"/>
      <c r="FQ211" s="567"/>
      <c r="FR211" s="567"/>
      <c r="FS211" s="567"/>
      <c r="FT211" s="567"/>
      <c r="FU211" s="567"/>
      <c r="FV211" s="567"/>
      <c r="FW211" s="567"/>
      <c r="FX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  <c r="BW212" s="567"/>
      <c r="BX212" s="567"/>
      <c r="BY212" s="567"/>
      <c r="BZ212" s="567"/>
      <c r="CA212" s="567"/>
      <c r="CB212" s="567"/>
      <c r="CC212" s="567"/>
      <c r="CD212" s="567"/>
      <c r="CE212" s="567"/>
      <c r="CF212" s="567"/>
      <c r="CG212" s="567"/>
      <c r="CH212" s="567"/>
      <c r="CI212" s="567"/>
      <c r="CJ212" s="567"/>
      <c r="CK212" s="567"/>
      <c r="CL212" s="567"/>
      <c r="CM212" s="567"/>
      <c r="CN212" s="567"/>
      <c r="CO212" s="567"/>
      <c r="CP212" s="567"/>
      <c r="CQ212" s="567"/>
      <c r="CR212" s="567"/>
      <c r="CS212" s="567"/>
      <c r="CT212" s="567"/>
      <c r="CU212" s="567"/>
      <c r="CV212" s="567"/>
      <c r="CW212" s="567"/>
      <c r="CX212" s="567"/>
      <c r="CY212" s="567"/>
      <c r="CZ212" s="567"/>
      <c r="DA212" s="567"/>
      <c r="DB212" s="567"/>
      <c r="DC212" s="567"/>
      <c r="DD212" s="567"/>
      <c r="DE212" s="567"/>
      <c r="DF212" s="567"/>
      <c r="DG212" s="567"/>
      <c r="DH212" s="567"/>
      <c r="DI212" s="567"/>
      <c r="DJ212" s="567"/>
      <c r="DK212" s="567"/>
      <c r="DL212" s="567"/>
      <c r="DM212" s="567"/>
      <c r="DN212" s="567"/>
      <c r="DO212" s="567"/>
      <c r="DP212" s="567"/>
      <c r="DQ212" s="567"/>
      <c r="DR212" s="567"/>
      <c r="DS212" s="567"/>
      <c r="DT212" s="567"/>
      <c r="DU212" s="567"/>
      <c r="DV212" s="567"/>
      <c r="DW212" s="567"/>
      <c r="DX212" s="567"/>
      <c r="DY212" s="567"/>
      <c r="DZ212" s="567"/>
      <c r="EA212" s="567"/>
      <c r="EB212" s="567"/>
      <c r="EC212" s="567"/>
      <c r="ED212" s="567"/>
      <c r="EE212" s="567"/>
      <c r="EF212" s="567"/>
      <c r="EG212" s="567"/>
      <c r="EH212" s="567"/>
      <c r="EI212" s="567"/>
      <c r="EJ212" s="567"/>
      <c r="EK212" s="567"/>
      <c r="EL212" s="567"/>
      <c r="EM212" s="567"/>
      <c r="EN212" s="567"/>
      <c r="EO212" s="567"/>
      <c r="EP212" s="567"/>
      <c r="EQ212" s="567"/>
      <c r="ER212" s="567"/>
      <c r="ES212" s="567"/>
      <c r="ET212" s="567"/>
      <c r="EU212" s="567"/>
      <c r="EV212" s="567"/>
      <c r="EW212" s="567"/>
      <c r="EX212" s="567"/>
      <c r="EY212" s="567"/>
      <c r="EZ212" s="567"/>
      <c r="FA212" s="567"/>
      <c r="FB212" s="567"/>
      <c r="FC212" s="567"/>
      <c r="FD212" s="567"/>
      <c r="FE212" s="567"/>
      <c r="FF212" s="567"/>
      <c r="FG212" s="567"/>
      <c r="FH212" s="567"/>
      <c r="FI212" s="567"/>
      <c r="FJ212" s="567"/>
      <c r="FK212" s="567"/>
      <c r="FL212" s="567"/>
      <c r="FM212" s="567"/>
      <c r="FN212" s="567"/>
      <c r="FO212" s="567"/>
      <c r="FP212" s="567"/>
      <c r="FQ212" s="567"/>
      <c r="FR212" s="567"/>
      <c r="FS212" s="567"/>
      <c r="FT212" s="567"/>
      <c r="FU212" s="567"/>
      <c r="FV212" s="567"/>
      <c r="FW212" s="567"/>
      <c r="FX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  <c r="BW213" s="567"/>
      <c r="BX213" s="567"/>
      <c r="BY213" s="567"/>
      <c r="BZ213" s="567"/>
      <c r="CA213" s="567"/>
      <c r="CB213" s="567"/>
      <c r="CC213" s="567"/>
      <c r="CD213" s="567"/>
      <c r="CE213" s="567"/>
      <c r="CF213" s="567"/>
      <c r="CG213" s="567"/>
      <c r="CH213" s="567"/>
      <c r="CI213" s="567"/>
      <c r="CJ213" s="567"/>
      <c r="CK213" s="567"/>
      <c r="CL213" s="567"/>
      <c r="CM213" s="567"/>
      <c r="CN213" s="567"/>
      <c r="CO213" s="567"/>
      <c r="CP213" s="567"/>
      <c r="CQ213" s="567"/>
      <c r="CR213" s="567"/>
      <c r="CS213" s="567"/>
      <c r="CT213" s="567"/>
      <c r="CU213" s="567"/>
      <c r="CV213" s="567"/>
      <c r="CW213" s="567"/>
      <c r="CX213" s="567"/>
      <c r="CY213" s="567"/>
      <c r="CZ213" s="567"/>
      <c r="DA213" s="567"/>
      <c r="DB213" s="567"/>
      <c r="DC213" s="567"/>
      <c r="DD213" s="567"/>
      <c r="DE213" s="567"/>
      <c r="DF213" s="567"/>
      <c r="DG213" s="567"/>
      <c r="DH213" s="567"/>
      <c r="DI213" s="567"/>
      <c r="DJ213" s="567"/>
      <c r="DK213" s="567"/>
      <c r="DL213" s="567"/>
      <c r="DM213" s="567"/>
      <c r="DN213" s="567"/>
      <c r="DO213" s="567"/>
      <c r="DP213" s="567"/>
      <c r="DQ213" s="567"/>
      <c r="DR213" s="567"/>
      <c r="DS213" s="567"/>
      <c r="DT213" s="567"/>
      <c r="DU213" s="567"/>
      <c r="DV213" s="567"/>
      <c r="DW213" s="567"/>
      <c r="DX213" s="567"/>
      <c r="DY213" s="567"/>
      <c r="DZ213" s="567"/>
      <c r="EA213" s="567"/>
      <c r="EB213" s="567"/>
      <c r="EC213" s="567"/>
      <c r="ED213" s="567"/>
      <c r="EE213" s="567"/>
      <c r="EF213" s="567"/>
      <c r="EG213" s="567"/>
      <c r="EH213" s="567"/>
      <c r="EI213" s="567"/>
      <c r="EJ213" s="567"/>
      <c r="EK213" s="567"/>
      <c r="EL213" s="567"/>
      <c r="EM213" s="567"/>
      <c r="EN213" s="567"/>
      <c r="EO213" s="567"/>
      <c r="EP213" s="567"/>
      <c r="EQ213" s="567"/>
      <c r="ER213" s="567"/>
      <c r="ES213" s="567"/>
      <c r="ET213" s="567"/>
      <c r="EU213" s="567"/>
      <c r="EV213" s="567"/>
      <c r="EW213" s="567"/>
      <c r="EX213" s="567"/>
      <c r="EY213" s="567"/>
      <c r="EZ213" s="567"/>
      <c r="FA213" s="567"/>
      <c r="FB213" s="567"/>
      <c r="FC213" s="567"/>
      <c r="FD213" s="567"/>
      <c r="FE213" s="567"/>
      <c r="FF213" s="567"/>
      <c r="FG213" s="567"/>
      <c r="FH213" s="567"/>
      <c r="FI213" s="567"/>
      <c r="FJ213" s="567"/>
      <c r="FK213" s="567"/>
      <c r="FL213" s="567"/>
      <c r="FM213" s="567"/>
      <c r="FN213" s="567"/>
      <c r="FO213" s="567"/>
      <c r="FP213" s="567"/>
      <c r="FQ213" s="567"/>
      <c r="FR213" s="567"/>
      <c r="FS213" s="567"/>
      <c r="FT213" s="567"/>
      <c r="FU213" s="567"/>
      <c r="FV213" s="567"/>
      <c r="FW213" s="567"/>
      <c r="FX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  <c r="BW214" s="567"/>
      <c r="BX214" s="567"/>
      <c r="BY214" s="567"/>
      <c r="BZ214" s="567"/>
      <c r="CA214" s="567"/>
      <c r="CB214" s="567"/>
      <c r="CC214" s="567"/>
      <c r="CD214" s="567"/>
      <c r="CE214" s="567"/>
      <c r="CF214" s="567"/>
      <c r="CG214" s="567"/>
      <c r="CH214" s="567"/>
      <c r="CI214" s="567"/>
      <c r="CJ214" s="567"/>
      <c r="CK214" s="567"/>
      <c r="CL214" s="567"/>
      <c r="CM214" s="567"/>
      <c r="CN214" s="567"/>
      <c r="CO214" s="567"/>
      <c r="CP214" s="567"/>
      <c r="CQ214" s="567"/>
      <c r="CR214" s="567"/>
      <c r="CS214" s="567"/>
      <c r="CT214" s="567"/>
      <c r="CU214" s="567"/>
      <c r="CV214" s="567"/>
      <c r="CW214" s="567"/>
      <c r="CX214" s="567"/>
      <c r="CY214" s="567"/>
      <c r="CZ214" s="567"/>
      <c r="DA214" s="567"/>
      <c r="DB214" s="567"/>
      <c r="DC214" s="567"/>
      <c r="DD214" s="567"/>
      <c r="DE214" s="567"/>
      <c r="DF214" s="567"/>
      <c r="DG214" s="567"/>
      <c r="DH214" s="567"/>
      <c r="DI214" s="567"/>
      <c r="DJ214" s="567"/>
      <c r="DK214" s="567"/>
      <c r="DL214" s="567"/>
      <c r="DM214" s="567"/>
      <c r="DN214" s="567"/>
      <c r="DO214" s="567"/>
      <c r="DP214" s="567"/>
      <c r="DQ214" s="567"/>
      <c r="DR214" s="567"/>
      <c r="DS214" s="567"/>
      <c r="DT214" s="567"/>
      <c r="DU214" s="567"/>
      <c r="DV214" s="567"/>
      <c r="DW214" s="567"/>
      <c r="DX214" s="567"/>
      <c r="DY214" s="567"/>
      <c r="DZ214" s="567"/>
      <c r="EA214" s="567"/>
      <c r="EB214" s="567"/>
      <c r="EC214" s="567"/>
      <c r="ED214" s="567"/>
      <c r="EE214" s="567"/>
      <c r="EF214" s="567"/>
      <c r="EG214" s="567"/>
      <c r="EH214" s="567"/>
      <c r="EI214" s="567"/>
      <c r="EJ214" s="567"/>
      <c r="EK214" s="567"/>
      <c r="EL214" s="567"/>
      <c r="EM214" s="567"/>
      <c r="EN214" s="567"/>
      <c r="EO214" s="567"/>
      <c r="EP214" s="567"/>
      <c r="EQ214" s="567"/>
      <c r="ER214" s="567"/>
      <c r="ES214" s="567"/>
      <c r="ET214" s="567"/>
      <c r="EU214" s="567"/>
      <c r="EV214" s="567"/>
      <c r="EW214" s="567"/>
      <c r="EX214" s="567"/>
      <c r="EY214" s="567"/>
      <c r="EZ214" s="567"/>
      <c r="FA214" s="567"/>
      <c r="FB214" s="567"/>
      <c r="FC214" s="567"/>
      <c r="FD214" s="567"/>
      <c r="FE214" s="567"/>
      <c r="FF214" s="567"/>
      <c r="FG214" s="567"/>
      <c r="FH214" s="567"/>
      <c r="FI214" s="567"/>
      <c r="FJ214" s="567"/>
      <c r="FK214" s="567"/>
      <c r="FL214" s="567"/>
      <c r="FM214" s="567"/>
      <c r="FN214" s="567"/>
      <c r="FO214" s="567"/>
      <c r="FP214" s="567"/>
      <c r="FQ214" s="567"/>
      <c r="FR214" s="567"/>
      <c r="FS214" s="567"/>
      <c r="FT214" s="567"/>
      <c r="FU214" s="567"/>
      <c r="FV214" s="567"/>
      <c r="FW214" s="567"/>
      <c r="FX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  <c r="BW215" s="567"/>
      <c r="BX215" s="567"/>
      <c r="BY215" s="567"/>
      <c r="BZ215" s="567"/>
      <c r="CA215" s="567"/>
      <c r="CB215" s="567"/>
      <c r="CC215" s="567"/>
      <c r="CD215" s="567"/>
      <c r="CE215" s="567"/>
      <c r="CF215" s="567"/>
      <c r="CG215" s="567"/>
      <c r="CH215" s="567"/>
      <c r="CI215" s="567"/>
      <c r="CJ215" s="567"/>
      <c r="CK215" s="567"/>
      <c r="CL215" s="567"/>
      <c r="CM215" s="567"/>
      <c r="CN215" s="567"/>
      <c r="CO215" s="567"/>
      <c r="CP215" s="567"/>
      <c r="CQ215" s="567"/>
      <c r="CR215" s="567"/>
      <c r="CS215" s="567"/>
      <c r="CT215" s="567"/>
      <c r="CU215" s="567"/>
      <c r="CV215" s="567"/>
      <c r="CW215" s="567"/>
      <c r="CX215" s="567"/>
      <c r="CY215" s="567"/>
      <c r="CZ215" s="567"/>
      <c r="DA215" s="567"/>
      <c r="DB215" s="567"/>
      <c r="DC215" s="567"/>
      <c r="DD215" s="567"/>
      <c r="DE215" s="567"/>
      <c r="DF215" s="567"/>
      <c r="DG215" s="567"/>
      <c r="DH215" s="567"/>
      <c r="DI215" s="567"/>
      <c r="DJ215" s="567"/>
      <c r="DK215" s="567"/>
      <c r="DL215" s="567"/>
      <c r="DM215" s="567"/>
      <c r="DN215" s="567"/>
      <c r="DO215" s="567"/>
      <c r="DP215" s="567"/>
      <c r="DQ215" s="567"/>
      <c r="DR215" s="567"/>
      <c r="DS215" s="567"/>
      <c r="DT215" s="567"/>
      <c r="DU215" s="567"/>
      <c r="DV215" s="567"/>
      <c r="DW215" s="567"/>
      <c r="DX215" s="567"/>
      <c r="DY215" s="567"/>
      <c r="DZ215" s="567"/>
      <c r="EA215" s="567"/>
      <c r="EB215" s="567"/>
      <c r="EC215" s="567"/>
      <c r="ED215" s="567"/>
      <c r="EE215" s="567"/>
      <c r="EF215" s="567"/>
      <c r="EG215" s="567"/>
      <c r="EH215" s="567"/>
      <c r="EI215" s="567"/>
      <c r="EJ215" s="567"/>
      <c r="EK215" s="567"/>
      <c r="EL215" s="567"/>
      <c r="EM215" s="567"/>
      <c r="EN215" s="567"/>
      <c r="EO215" s="567"/>
      <c r="EP215" s="567"/>
      <c r="EQ215" s="567"/>
      <c r="ER215" s="567"/>
      <c r="ES215" s="567"/>
      <c r="ET215" s="567"/>
      <c r="EU215" s="567"/>
      <c r="EV215" s="567"/>
      <c r="EW215" s="567"/>
      <c r="EX215" s="567"/>
      <c r="EY215" s="567"/>
      <c r="EZ215" s="567"/>
      <c r="FA215" s="567"/>
      <c r="FB215" s="567"/>
      <c r="FC215" s="567"/>
      <c r="FD215" s="567"/>
      <c r="FE215" s="567"/>
      <c r="FF215" s="567"/>
      <c r="FG215" s="567"/>
      <c r="FH215" s="567"/>
      <c r="FI215" s="567"/>
      <c r="FJ215" s="567"/>
      <c r="FK215" s="567"/>
      <c r="FL215" s="567"/>
      <c r="FM215" s="567"/>
      <c r="FN215" s="567"/>
      <c r="FO215" s="567"/>
      <c r="FP215" s="567"/>
      <c r="FQ215" s="567"/>
      <c r="FR215" s="567"/>
      <c r="FS215" s="567"/>
      <c r="FT215" s="567"/>
      <c r="FU215" s="567"/>
      <c r="FV215" s="567"/>
      <c r="FW215" s="567"/>
      <c r="FX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  <c r="BW216" s="567"/>
      <c r="BX216" s="567"/>
      <c r="BY216" s="567"/>
      <c r="BZ216" s="567"/>
      <c r="CA216" s="567"/>
      <c r="CB216" s="567"/>
      <c r="CC216" s="567"/>
      <c r="CD216" s="567"/>
      <c r="CE216" s="567"/>
      <c r="CF216" s="567"/>
      <c r="CG216" s="567"/>
      <c r="CH216" s="567"/>
      <c r="CI216" s="567"/>
      <c r="CJ216" s="567"/>
      <c r="CK216" s="567"/>
      <c r="CL216" s="567"/>
      <c r="CM216" s="567"/>
      <c r="CN216" s="567"/>
      <c r="CO216" s="567"/>
      <c r="CP216" s="567"/>
      <c r="CQ216" s="567"/>
      <c r="CR216" s="567"/>
      <c r="CS216" s="567"/>
      <c r="CT216" s="567"/>
      <c r="CU216" s="567"/>
      <c r="CV216" s="567"/>
      <c r="CW216" s="567"/>
      <c r="CX216" s="567"/>
      <c r="CY216" s="567"/>
      <c r="CZ216" s="567"/>
      <c r="DA216" s="567"/>
      <c r="DB216" s="567"/>
      <c r="DC216" s="567"/>
      <c r="DD216" s="567"/>
      <c r="DE216" s="567"/>
      <c r="DF216" s="567"/>
      <c r="DG216" s="567"/>
      <c r="DH216" s="567"/>
      <c r="DI216" s="567"/>
      <c r="DJ216" s="567"/>
      <c r="DK216" s="567"/>
      <c r="DL216" s="567"/>
      <c r="DM216" s="567"/>
      <c r="DN216" s="567"/>
      <c r="DO216" s="567"/>
      <c r="DP216" s="567"/>
      <c r="DQ216" s="567"/>
      <c r="DR216" s="567"/>
      <c r="DS216" s="567"/>
      <c r="DT216" s="567"/>
      <c r="DU216" s="567"/>
      <c r="DV216" s="567"/>
      <c r="DW216" s="567"/>
      <c r="DX216" s="567"/>
      <c r="DY216" s="567"/>
      <c r="DZ216" s="567"/>
      <c r="EA216" s="567"/>
      <c r="EB216" s="567"/>
      <c r="EC216" s="567"/>
      <c r="ED216" s="567"/>
      <c r="EE216" s="567"/>
      <c r="EF216" s="567"/>
      <c r="EG216" s="567"/>
      <c r="EH216" s="567"/>
      <c r="EI216" s="567"/>
      <c r="EJ216" s="567"/>
      <c r="EK216" s="567"/>
      <c r="EL216" s="567"/>
      <c r="EM216" s="567"/>
      <c r="EN216" s="567"/>
      <c r="EO216" s="567"/>
      <c r="EP216" s="567"/>
      <c r="EQ216" s="567"/>
      <c r="ER216" s="567"/>
      <c r="ES216" s="567"/>
      <c r="ET216" s="567"/>
      <c r="EU216" s="567"/>
      <c r="EV216" s="567"/>
      <c r="EW216" s="567"/>
      <c r="EX216" s="567"/>
      <c r="EY216" s="567"/>
      <c r="EZ216" s="567"/>
      <c r="FA216" s="567"/>
      <c r="FB216" s="567"/>
      <c r="FC216" s="567"/>
      <c r="FD216" s="567"/>
      <c r="FE216" s="567"/>
      <c r="FF216" s="567"/>
      <c r="FG216" s="567"/>
      <c r="FH216" s="567"/>
      <c r="FI216" s="567"/>
      <c r="FJ216" s="567"/>
      <c r="FK216" s="567"/>
      <c r="FL216" s="567"/>
      <c r="FM216" s="567"/>
      <c r="FN216" s="567"/>
      <c r="FO216" s="567"/>
      <c r="FP216" s="567"/>
      <c r="FQ216" s="567"/>
      <c r="FR216" s="567"/>
      <c r="FS216" s="567"/>
      <c r="FT216" s="567"/>
      <c r="FU216" s="567"/>
      <c r="FV216" s="567"/>
      <c r="FW216" s="567"/>
      <c r="FX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  <c r="BW217" s="567"/>
      <c r="BX217" s="567"/>
      <c r="BY217" s="567"/>
      <c r="BZ217" s="567"/>
      <c r="CA217" s="567"/>
      <c r="CB217" s="567"/>
      <c r="CC217" s="567"/>
      <c r="CD217" s="567"/>
      <c r="CE217" s="567"/>
      <c r="CF217" s="567"/>
      <c r="CG217" s="567"/>
      <c r="CH217" s="567"/>
      <c r="CI217" s="567"/>
      <c r="CJ217" s="567"/>
      <c r="CK217" s="567"/>
      <c r="CL217" s="567"/>
      <c r="CM217" s="567"/>
      <c r="CN217" s="567"/>
      <c r="CO217" s="567"/>
      <c r="CP217" s="567"/>
      <c r="CQ217" s="567"/>
      <c r="CR217" s="567"/>
      <c r="CS217" s="567"/>
      <c r="CT217" s="567"/>
      <c r="CU217" s="567"/>
      <c r="CV217" s="567"/>
      <c r="CW217" s="567"/>
      <c r="CX217" s="567"/>
      <c r="CY217" s="567"/>
      <c r="CZ217" s="567"/>
      <c r="DA217" s="567"/>
      <c r="DB217" s="567"/>
      <c r="DC217" s="567"/>
      <c r="DD217" s="567"/>
      <c r="DE217" s="567"/>
      <c r="DF217" s="567"/>
      <c r="DG217" s="567"/>
      <c r="DH217" s="567"/>
      <c r="DI217" s="567"/>
      <c r="DJ217" s="567"/>
      <c r="DK217" s="567"/>
      <c r="DL217" s="567"/>
      <c r="DM217" s="567"/>
      <c r="DN217" s="567"/>
      <c r="DO217" s="567"/>
      <c r="DP217" s="567"/>
      <c r="DQ217" s="567"/>
      <c r="DR217" s="567"/>
      <c r="DS217" s="567"/>
      <c r="DT217" s="567"/>
      <c r="DU217" s="567"/>
      <c r="DV217" s="567"/>
      <c r="DW217" s="567"/>
      <c r="DX217" s="567"/>
      <c r="DY217" s="567"/>
      <c r="DZ217" s="567"/>
      <c r="EA217" s="567"/>
      <c r="EB217" s="567"/>
      <c r="EC217" s="567"/>
      <c r="ED217" s="567"/>
      <c r="EE217" s="567"/>
      <c r="EF217" s="567"/>
      <c r="EG217" s="567"/>
      <c r="EH217" s="567"/>
      <c r="EI217" s="567"/>
      <c r="EJ217" s="567"/>
      <c r="EK217" s="567"/>
      <c r="EL217" s="567"/>
      <c r="EM217" s="567"/>
      <c r="EN217" s="567"/>
      <c r="EO217" s="567"/>
      <c r="EP217" s="567"/>
      <c r="EQ217" s="567"/>
      <c r="ER217" s="567"/>
      <c r="ES217" s="567"/>
      <c r="ET217" s="567"/>
      <c r="EU217" s="567"/>
      <c r="EV217" s="567"/>
      <c r="EW217" s="567"/>
      <c r="EX217" s="567"/>
      <c r="EY217" s="567"/>
      <c r="EZ217" s="567"/>
      <c r="FA217" s="567"/>
      <c r="FB217" s="567"/>
      <c r="FC217" s="567"/>
      <c r="FD217" s="567"/>
      <c r="FE217" s="567"/>
      <c r="FF217" s="567"/>
      <c r="FG217" s="567"/>
      <c r="FH217" s="567"/>
      <c r="FI217" s="567"/>
      <c r="FJ217" s="567"/>
      <c r="FK217" s="567"/>
      <c r="FL217" s="567"/>
      <c r="FM217" s="567"/>
      <c r="FN217" s="567"/>
      <c r="FO217" s="567"/>
      <c r="FP217" s="567"/>
      <c r="FQ217" s="567"/>
      <c r="FR217" s="567"/>
      <c r="FS217" s="567"/>
      <c r="FT217" s="567"/>
      <c r="FU217" s="567"/>
      <c r="FV217" s="567"/>
      <c r="FW217" s="567"/>
      <c r="FX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  <c r="BW218" s="567"/>
      <c r="BX218" s="567"/>
      <c r="BY218" s="567"/>
      <c r="BZ218" s="567"/>
      <c r="CA218" s="567"/>
      <c r="CB218" s="567"/>
      <c r="CC218" s="567"/>
      <c r="CD218" s="567"/>
      <c r="CE218" s="567"/>
      <c r="CF218" s="567"/>
      <c r="CG218" s="567"/>
      <c r="CH218" s="567"/>
      <c r="CI218" s="567"/>
      <c r="CJ218" s="567"/>
      <c r="CK218" s="567"/>
      <c r="CL218" s="567"/>
      <c r="CM218" s="567"/>
      <c r="CN218" s="567"/>
      <c r="CO218" s="567"/>
      <c r="CP218" s="567"/>
      <c r="CQ218" s="567"/>
      <c r="CR218" s="567"/>
      <c r="CS218" s="567"/>
      <c r="CT218" s="567"/>
      <c r="CU218" s="567"/>
      <c r="CV218" s="567"/>
      <c r="CW218" s="567"/>
      <c r="CX218" s="567"/>
      <c r="CY218" s="567"/>
      <c r="CZ218" s="567"/>
      <c r="DA218" s="567"/>
      <c r="DB218" s="567"/>
      <c r="DC218" s="567"/>
      <c r="DD218" s="567"/>
      <c r="DE218" s="567"/>
      <c r="DF218" s="567"/>
      <c r="DG218" s="567"/>
      <c r="DH218" s="567"/>
      <c r="DI218" s="567"/>
      <c r="DJ218" s="567"/>
      <c r="DK218" s="567"/>
      <c r="DL218" s="567"/>
      <c r="DM218" s="567"/>
      <c r="DN218" s="567"/>
      <c r="DO218" s="567"/>
      <c r="DP218" s="567"/>
      <c r="DQ218" s="567"/>
      <c r="DR218" s="567"/>
      <c r="DS218" s="567"/>
      <c r="DT218" s="567"/>
      <c r="DU218" s="567"/>
      <c r="DV218" s="567"/>
      <c r="DW218" s="567"/>
      <c r="DX218" s="567"/>
      <c r="DY218" s="567"/>
      <c r="DZ218" s="567"/>
      <c r="EA218" s="567"/>
      <c r="EB218" s="567"/>
      <c r="EC218" s="567"/>
      <c r="ED218" s="567"/>
      <c r="EE218" s="567"/>
      <c r="EF218" s="567"/>
      <c r="EG218" s="567"/>
      <c r="EH218" s="567"/>
      <c r="EI218" s="567"/>
      <c r="EJ218" s="567"/>
      <c r="EK218" s="567"/>
      <c r="EL218" s="567"/>
      <c r="EM218" s="567"/>
      <c r="EN218" s="567"/>
      <c r="EO218" s="567"/>
      <c r="EP218" s="567"/>
      <c r="EQ218" s="567"/>
      <c r="ER218" s="567"/>
      <c r="ES218" s="567"/>
      <c r="ET218" s="567"/>
      <c r="EU218" s="567"/>
      <c r="EV218" s="567"/>
      <c r="EW218" s="567"/>
      <c r="EX218" s="567"/>
      <c r="EY218" s="567"/>
      <c r="EZ218" s="567"/>
      <c r="FA218" s="567"/>
      <c r="FB218" s="567"/>
      <c r="FC218" s="567"/>
      <c r="FD218" s="567"/>
      <c r="FE218" s="567"/>
      <c r="FF218" s="567"/>
      <c r="FG218" s="567"/>
      <c r="FH218" s="567"/>
      <c r="FI218" s="567"/>
      <c r="FJ218" s="567"/>
      <c r="FK218" s="567"/>
      <c r="FL218" s="567"/>
      <c r="FM218" s="567"/>
      <c r="FN218" s="567"/>
      <c r="FO218" s="567"/>
      <c r="FP218" s="567"/>
      <c r="FQ218" s="567"/>
      <c r="FR218" s="567"/>
      <c r="FS218" s="567"/>
      <c r="FT218" s="567"/>
      <c r="FU218" s="567"/>
      <c r="FV218" s="567"/>
      <c r="FW218" s="567"/>
      <c r="FX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  <c r="BW219" s="567"/>
      <c r="BX219" s="567"/>
      <c r="BY219" s="567"/>
      <c r="BZ219" s="567"/>
      <c r="CA219" s="567"/>
      <c r="CB219" s="567"/>
      <c r="CC219" s="567"/>
      <c r="CD219" s="567"/>
      <c r="CE219" s="567"/>
      <c r="CF219" s="567"/>
      <c r="CG219" s="567"/>
      <c r="CH219" s="567"/>
      <c r="CI219" s="567"/>
      <c r="CJ219" s="567"/>
      <c r="CK219" s="567"/>
      <c r="CL219" s="567"/>
      <c r="CM219" s="567"/>
      <c r="CN219" s="567"/>
      <c r="CO219" s="567"/>
      <c r="CP219" s="567"/>
      <c r="CQ219" s="567"/>
      <c r="CR219" s="567"/>
      <c r="CS219" s="567"/>
      <c r="CT219" s="567"/>
      <c r="CU219" s="567"/>
      <c r="CV219" s="567"/>
      <c r="CW219" s="567"/>
      <c r="CX219" s="567"/>
      <c r="CY219" s="567"/>
      <c r="CZ219" s="567"/>
      <c r="DA219" s="567"/>
      <c r="DB219" s="567"/>
      <c r="DC219" s="567"/>
      <c r="DD219" s="567"/>
      <c r="DE219" s="567"/>
      <c r="DF219" s="567"/>
      <c r="DG219" s="567"/>
      <c r="DH219" s="567"/>
      <c r="DI219" s="567"/>
      <c r="DJ219" s="567"/>
      <c r="DK219" s="567"/>
      <c r="DL219" s="567"/>
      <c r="DM219" s="567"/>
      <c r="DN219" s="567"/>
      <c r="DO219" s="567"/>
      <c r="DP219" s="567"/>
      <c r="DQ219" s="567"/>
      <c r="DR219" s="567"/>
      <c r="DS219" s="567"/>
      <c r="DT219" s="567"/>
      <c r="DU219" s="567"/>
      <c r="DV219" s="567"/>
      <c r="DW219" s="567"/>
      <c r="DX219" s="567"/>
      <c r="DY219" s="567"/>
      <c r="DZ219" s="567"/>
      <c r="EA219" s="567"/>
      <c r="EB219" s="567"/>
      <c r="EC219" s="567"/>
      <c r="ED219" s="567"/>
      <c r="EE219" s="567"/>
      <c r="EF219" s="567"/>
      <c r="EG219" s="567"/>
      <c r="EH219" s="567"/>
      <c r="EI219" s="567"/>
      <c r="EJ219" s="567"/>
      <c r="EK219" s="567"/>
      <c r="EL219" s="567"/>
      <c r="EM219" s="567"/>
      <c r="EN219" s="567"/>
      <c r="EO219" s="567"/>
      <c r="EP219" s="567"/>
      <c r="EQ219" s="567"/>
      <c r="ER219" s="567"/>
      <c r="ES219" s="567"/>
      <c r="ET219" s="567"/>
      <c r="EU219" s="567"/>
      <c r="EV219" s="567"/>
      <c r="EW219" s="567"/>
      <c r="EX219" s="567"/>
      <c r="EY219" s="567"/>
      <c r="EZ219" s="567"/>
      <c r="FA219" s="567"/>
      <c r="FB219" s="567"/>
      <c r="FC219" s="567"/>
      <c r="FD219" s="567"/>
      <c r="FE219" s="567"/>
      <c r="FF219" s="567"/>
      <c r="FG219" s="567"/>
      <c r="FH219" s="567"/>
      <c r="FI219" s="567"/>
      <c r="FJ219" s="567"/>
      <c r="FK219" s="567"/>
      <c r="FL219" s="567"/>
      <c r="FM219" s="567"/>
      <c r="FN219" s="567"/>
      <c r="FO219" s="567"/>
      <c r="FP219" s="567"/>
      <c r="FQ219" s="567"/>
      <c r="FR219" s="567"/>
      <c r="FS219" s="567"/>
      <c r="FT219" s="567"/>
      <c r="FU219" s="567"/>
      <c r="FV219" s="567"/>
      <c r="FW219" s="567"/>
      <c r="FX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  <c r="BW220" s="567"/>
      <c r="BX220" s="567"/>
      <c r="BY220" s="567"/>
      <c r="BZ220" s="567"/>
      <c r="CA220" s="567"/>
      <c r="CB220" s="567"/>
      <c r="CC220" s="567"/>
      <c r="CD220" s="567"/>
      <c r="CE220" s="567"/>
      <c r="CF220" s="567"/>
      <c r="CG220" s="567"/>
      <c r="CH220" s="567"/>
      <c r="CI220" s="567"/>
      <c r="CJ220" s="567"/>
      <c r="CK220" s="567"/>
      <c r="CL220" s="567"/>
      <c r="CM220" s="567"/>
      <c r="CN220" s="567"/>
      <c r="CO220" s="567"/>
      <c r="CP220" s="567"/>
      <c r="CQ220" s="567"/>
      <c r="CR220" s="567"/>
      <c r="CS220" s="567"/>
      <c r="CT220" s="567"/>
      <c r="CU220" s="567"/>
      <c r="CV220" s="567"/>
      <c r="CW220" s="567"/>
      <c r="CX220" s="567"/>
      <c r="CY220" s="567"/>
      <c r="CZ220" s="567"/>
      <c r="DA220" s="567"/>
      <c r="DB220" s="567"/>
      <c r="DC220" s="567"/>
      <c r="DD220" s="567"/>
      <c r="DE220" s="567"/>
      <c r="DF220" s="567"/>
      <c r="DG220" s="567"/>
      <c r="DH220" s="567"/>
      <c r="DI220" s="567"/>
      <c r="DJ220" s="567"/>
      <c r="DK220" s="567"/>
      <c r="DL220" s="567"/>
      <c r="DM220" s="567"/>
      <c r="DN220" s="567"/>
      <c r="DO220" s="567"/>
      <c r="DP220" s="567"/>
      <c r="DQ220" s="567"/>
      <c r="DR220" s="567"/>
      <c r="DS220" s="567"/>
      <c r="DT220" s="567"/>
      <c r="DU220" s="567"/>
      <c r="DV220" s="567"/>
      <c r="DW220" s="567"/>
      <c r="DX220" s="567"/>
      <c r="DY220" s="567"/>
      <c r="DZ220" s="567"/>
      <c r="EA220" s="567"/>
      <c r="EB220" s="567"/>
      <c r="EC220" s="567"/>
      <c r="ED220" s="567"/>
      <c r="EE220" s="567"/>
      <c r="EF220" s="567"/>
      <c r="EG220" s="567"/>
      <c r="EH220" s="567"/>
      <c r="EI220" s="567"/>
      <c r="EJ220" s="567"/>
      <c r="EK220" s="567"/>
      <c r="EL220" s="567"/>
      <c r="EM220" s="567"/>
      <c r="EN220" s="567"/>
      <c r="EO220" s="567"/>
      <c r="EP220" s="567"/>
      <c r="EQ220" s="567"/>
      <c r="ER220" s="567"/>
      <c r="ES220" s="567"/>
      <c r="ET220" s="567"/>
      <c r="EU220" s="567"/>
      <c r="EV220" s="567"/>
      <c r="EW220" s="567"/>
      <c r="EX220" s="567"/>
      <c r="EY220" s="567"/>
      <c r="EZ220" s="567"/>
      <c r="FA220" s="567"/>
      <c r="FB220" s="567"/>
      <c r="FC220" s="567"/>
      <c r="FD220" s="567"/>
      <c r="FE220" s="567"/>
      <c r="FF220" s="567"/>
      <c r="FG220" s="567"/>
      <c r="FH220" s="567"/>
      <c r="FI220" s="567"/>
      <c r="FJ220" s="567"/>
      <c r="FK220" s="567"/>
      <c r="FL220" s="567"/>
      <c r="FM220" s="567"/>
      <c r="FN220" s="567"/>
      <c r="FO220" s="567"/>
      <c r="FP220" s="567"/>
      <c r="FQ220" s="567"/>
      <c r="FR220" s="567"/>
      <c r="FS220" s="567"/>
      <c r="FT220" s="567"/>
      <c r="FU220" s="567"/>
      <c r="FV220" s="567"/>
      <c r="FW220" s="567"/>
      <c r="FX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  <c r="BW221" s="567"/>
      <c r="BX221" s="567"/>
      <c r="BY221" s="567"/>
      <c r="BZ221" s="567"/>
      <c r="CA221" s="567"/>
      <c r="CB221" s="567"/>
      <c r="CC221" s="567"/>
      <c r="CD221" s="567"/>
      <c r="CE221" s="567"/>
      <c r="CF221" s="567"/>
      <c r="CG221" s="567"/>
      <c r="CH221" s="567"/>
      <c r="CI221" s="567"/>
      <c r="CJ221" s="567"/>
      <c r="CK221" s="567"/>
      <c r="CL221" s="567"/>
      <c r="CM221" s="567"/>
      <c r="CN221" s="567"/>
      <c r="CO221" s="567"/>
      <c r="CP221" s="567"/>
      <c r="CQ221" s="567"/>
      <c r="CR221" s="567"/>
      <c r="CS221" s="567"/>
      <c r="CT221" s="567"/>
      <c r="CU221" s="567"/>
      <c r="CV221" s="567"/>
      <c r="CW221" s="567"/>
      <c r="CX221" s="567"/>
      <c r="CY221" s="567"/>
      <c r="CZ221" s="567"/>
      <c r="DA221" s="567"/>
      <c r="DB221" s="567"/>
      <c r="DC221" s="567"/>
      <c r="DD221" s="567"/>
      <c r="DE221" s="567"/>
      <c r="DF221" s="567"/>
      <c r="DG221" s="567"/>
      <c r="DH221" s="567"/>
      <c r="DI221" s="567"/>
      <c r="DJ221" s="567"/>
      <c r="DK221" s="567"/>
      <c r="DL221" s="567"/>
      <c r="DM221" s="567"/>
      <c r="DN221" s="567"/>
      <c r="DO221" s="567"/>
      <c r="DP221" s="567"/>
      <c r="DQ221" s="567"/>
      <c r="DR221" s="567"/>
      <c r="DS221" s="567"/>
      <c r="DT221" s="567"/>
      <c r="DU221" s="567"/>
      <c r="DV221" s="567"/>
      <c r="DW221" s="567"/>
      <c r="DX221" s="567"/>
      <c r="DY221" s="567"/>
      <c r="DZ221" s="567"/>
      <c r="EA221" s="567"/>
      <c r="EB221" s="567"/>
      <c r="EC221" s="567"/>
      <c r="ED221" s="567"/>
      <c r="EE221" s="567"/>
      <c r="EF221" s="567"/>
      <c r="EG221" s="567"/>
      <c r="EH221" s="567"/>
      <c r="EI221" s="567"/>
      <c r="EJ221" s="567"/>
      <c r="EK221" s="567"/>
      <c r="EL221" s="567"/>
      <c r="EM221" s="567"/>
      <c r="EN221" s="567"/>
      <c r="EO221" s="567"/>
      <c r="EP221" s="567"/>
      <c r="EQ221" s="567"/>
      <c r="ER221" s="567"/>
      <c r="ES221" s="567"/>
      <c r="ET221" s="567"/>
      <c r="EU221" s="567"/>
      <c r="EV221" s="567"/>
      <c r="EW221" s="567"/>
      <c r="EX221" s="567"/>
      <c r="EY221" s="567"/>
      <c r="EZ221" s="567"/>
      <c r="FA221" s="567"/>
      <c r="FB221" s="567"/>
      <c r="FC221" s="567"/>
      <c r="FD221" s="567"/>
      <c r="FE221" s="567"/>
      <c r="FF221" s="567"/>
      <c r="FG221" s="567"/>
      <c r="FH221" s="567"/>
      <c r="FI221" s="567"/>
      <c r="FJ221" s="567"/>
      <c r="FK221" s="567"/>
      <c r="FL221" s="567"/>
      <c r="FM221" s="567"/>
      <c r="FN221" s="567"/>
      <c r="FO221" s="567"/>
      <c r="FP221" s="567"/>
      <c r="FQ221" s="567"/>
      <c r="FR221" s="567"/>
      <c r="FS221" s="567"/>
      <c r="FT221" s="567"/>
      <c r="FU221" s="567"/>
      <c r="FV221" s="567"/>
      <c r="FW221" s="567"/>
      <c r="FX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  <c r="BW222" s="567"/>
      <c r="BX222" s="567"/>
      <c r="BY222" s="567"/>
      <c r="BZ222" s="567"/>
      <c r="CA222" s="567"/>
      <c r="CB222" s="567"/>
      <c r="CC222" s="567"/>
      <c r="CD222" s="567"/>
      <c r="CE222" s="567"/>
      <c r="CF222" s="567"/>
      <c r="CG222" s="567"/>
      <c r="CH222" s="567"/>
      <c r="CI222" s="567"/>
      <c r="CJ222" s="567"/>
      <c r="CK222" s="567"/>
      <c r="CL222" s="567"/>
      <c r="CM222" s="567"/>
      <c r="CN222" s="567"/>
      <c r="CO222" s="567"/>
      <c r="CP222" s="567"/>
      <c r="CQ222" s="567"/>
      <c r="CR222" s="567"/>
      <c r="CS222" s="567"/>
      <c r="CT222" s="567"/>
      <c r="CU222" s="567"/>
      <c r="CV222" s="567"/>
      <c r="CW222" s="567"/>
      <c r="CX222" s="567"/>
      <c r="CY222" s="567"/>
      <c r="CZ222" s="567"/>
      <c r="DA222" s="567"/>
      <c r="DB222" s="567"/>
      <c r="DC222" s="567"/>
      <c r="DD222" s="567"/>
      <c r="DE222" s="567"/>
      <c r="DF222" s="567"/>
      <c r="DG222" s="567"/>
      <c r="DH222" s="567"/>
      <c r="DI222" s="567"/>
      <c r="DJ222" s="567"/>
      <c r="DK222" s="567"/>
      <c r="DL222" s="567"/>
      <c r="DM222" s="567"/>
      <c r="DN222" s="567"/>
      <c r="DO222" s="567"/>
      <c r="DP222" s="567"/>
      <c r="DQ222" s="567"/>
      <c r="DR222" s="567"/>
      <c r="DS222" s="567"/>
      <c r="DT222" s="567"/>
      <c r="DU222" s="567"/>
      <c r="DV222" s="567"/>
      <c r="DW222" s="567"/>
      <c r="DX222" s="567"/>
      <c r="DY222" s="567"/>
      <c r="DZ222" s="567"/>
      <c r="EA222" s="567"/>
      <c r="EB222" s="567"/>
      <c r="EC222" s="567"/>
      <c r="ED222" s="567"/>
      <c r="EE222" s="567"/>
      <c r="EF222" s="567"/>
      <c r="EG222" s="567"/>
      <c r="EH222" s="567"/>
      <c r="EI222" s="567"/>
      <c r="EJ222" s="567"/>
      <c r="EK222" s="567"/>
      <c r="EL222" s="567"/>
      <c r="EM222" s="567"/>
      <c r="EN222" s="567"/>
      <c r="EO222" s="567"/>
      <c r="EP222" s="567"/>
      <c r="EQ222" s="567"/>
      <c r="ER222" s="567"/>
      <c r="ES222" s="567"/>
      <c r="ET222" s="567"/>
      <c r="EU222" s="567"/>
      <c r="EV222" s="567"/>
      <c r="EW222" s="567"/>
      <c r="EX222" s="567"/>
      <c r="EY222" s="567"/>
      <c r="EZ222" s="567"/>
      <c r="FA222" s="567"/>
      <c r="FB222" s="567"/>
      <c r="FC222" s="567"/>
      <c r="FD222" s="567"/>
      <c r="FE222" s="567"/>
      <c r="FF222" s="567"/>
      <c r="FG222" s="567"/>
      <c r="FH222" s="567"/>
      <c r="FI222" s="567"/>
      <c r="FJ222" s="567"/>
      <c r="FK222" s="567"/>
      <c r="FL222" s="567"/>
      <c r="FM222" s="567"/>
      <c r="FN222" s="567"/>
      <c r="FO222" s="567"/>
      <c r="FP222" s="567"/>
      <c r="FQ222" s="567"/>
      <c r="FR222" s="567"/>
      <c r="FS222" s="567"/>
      <c r="FT222" s="567"/>
      <c r="FU222" s="567"/>
      <c r="FV222" s="567"/>
      <c r="FW222" s="567"/>
      <c r="FX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  <c r="BW223" s="567"/>
      <c r="BX223" s="567"/>
      <c r="BY223" s="567"/>
      <c r="BZ223" s="567"/>
      <c r="CA223" s="567"/>
      <c r="CB223" s="567"/>
      <c r="CC223" s="567"/>
      <c r="CD223" s="567"/>
      <c r="CE223" s="567"/>
      <c r="CF223" s="567"/>
      <c r="CG223" s="567"/>
      <c r="CH223" s="567"/>
      <c r="CI223" s="567"/>
      <c r="CJ223" s="567"/>
      <c r="CK223" s="567"/>
      <c r="CL223" s="567"/>
      <c r="CM223" s="567"/>
      <c r="CN223" s="567"/>
      <c r="CO223" s="567"/>
      <c r="CP223" s="567"/>
      <c r="CQ223" s="567"/>
      <c r="CR223" s="567"/>
      <c r="CS223" s="567"/>
      <c r="CT223" s="567"/>
      <c r="CU223" s="567"/>
      <c r="CV223" s="567"/>
      <c r="CW223" s="567"/>
      <c r="CX223" s="567"/>
      <c r="CY223" s="567"/>
      <c r="CZ223" s="567"/>
      <c r="DA223" s="567"/>
      <c r="DB223" s="567"/>
      <c r="DC223" s="567"/>
      <c r="DD223" s="567"/>
      <c r="DE223" s="567"/>
      <c r="DF223" s="567"/>
      <c r="DG223" s="567"/>
      <c r="DH223" s="567"/>
      <c r="DI223" s="567"/>
      <c r="DJ223" s="567"/>
      <c r="DK223" s="567"/>
      <c r="DL223" s="567"/>
      <c r="DM223" s="567"/>
      <c r="DN223" s="567"/>
      <c r="DO223" s="567"/>
      <c r="DP223" s="567"/>
      <c r="DQ223" s="567"/>
      <c r="DR223" s="567"/>
      <c r="DS223" s="567"/>
      <c r="DT223" s="567"/>
      <c r="DU223" s="567"/>
      <c r="DV223" s="567"/>
      <c r="DW223" s="567"/>
      <c r="DX223" s="567"/>
      <c r="DY223" s="567"/>
      <c r="DZ223" s="567"/>
      <c r="EA223" s="567"/>
      <c r="EB223" s="567"/>
      <c r="EC223" s="567"/>
      <c r="ED223" s="567"/>
      <c r="EE223" s="567"/>
      <c r="EF223" s="567"/>
      <c r="EG223" s="567"/>
      <c r="EH223" s="567"/>
      <c r="EI223" s="567"/>
      <c r="EJ223" s="567"/>
      <c r="EK223" s="567"/>
      <c r="EL223" s="567"/>
      <c r="EM223" s="567"/>
      <c r="EN223" s="567"/>
      <c r="EO223" s="567"/>
      <c r="EP223" s="567"/>
      <c r="EQ223" s="567"/>
      <c r="ER223" s="567"/>
      <c r="ES223" s="567"/>
      <c r="ET223" s="567"/>
      <c r="EU223" s="567"/>
      <c r="EV223" s="567"/>
      <c r="EW223" s="567"/>
      <c r="EX223" s="567"/>
      <c r="EY223" s="567"/>
      <c r="EZ223" s="567"/>
      <c r="FA223" s="567"/>
      <c r="FB223" s="567"/>
      <c r="FC223" s="567"/>
      <c r="FD223" s="567"/>
      <c r="FE223" s="567"/>
      <c r="FF223" s="567"/>
      <c r="FG223" s="567"/>
      <c r="FH223" s="567"/>
      <c r="FI223" s="567"/>
      <c r="FJ223" s="567"/>
      <c r="FK223" s="567"/>
      <c r="FL223" s="567"/>
      <c r="FM223" s="567"/>
      <c r="FN223" s="567"/>
      <c r="FO223" s="567"/>
      <c r="FP223" s="567"/>
      <c r="FQ223" s="567"/>
      <c r="FR223" s="567"/>
      <c r="FS223" s="567"/>
      <c r="FT223" s="567"/>
      <c r="FU223" s="567"/>
      <c r="FV223" s="567"/>
      <c r="FW223" s="567"/>
      <c r="FX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  <c r="BW224" s="567"/>
      <c r="BX224" s="567"/>
      <c r="BY224" s="567"/>
      <c r="BZ224" s="567"/>
      <c r="CA224" s="567"/>
      <c r="CB224" s="567"/>
      <c r="CC224" s="567"/>
      <c r="CD224" s="567"/>
      <c r="CE224" s="567"/>
      <c r="CF224" s="567"/>
      <c r="CG224" s="567"/>
      <c r="CH224" s="567"/>
      <c r="CI224" s="567"/>
      <c r="CJ224" s="567"/>
      <c r="CK224" s="567"/>
      <c r="CL224" s="567"/>
      <c r="CM224" s="567"/>
      <c r="CN224" s="567"/>
      <c r="CO224" s="567"/>
      <c r="CP224" s="567"/>
      <c r="CQ224" s="567"/>
      <c r="CR224" s="567"/>
      <c r="CS224" s="567"/>
      <c r="CT224" s="567"/>
      <c r="CU224" s="567"/>
      <c r="CV224" s="567"/>
      <c r="CW224" s="567"/>
      <c r="CX224" s="567"/>
      <c r="CY224" s="567"/>
      <c r="CZ224" s="567"/>
      <c r="DA224" s="567"/>
      <c r="DB224" s="567"/>
      <c r="DC224" s="567"/>
      <c r="DD224" s="567"/>
      <c r="DE224" s="567"/>
      <c r="DF224" s="567"/>
      <c r="DG224" s="567"/>
      <c r="DH224" s="567"/>
      <c r="DI224" s="567"/>
      <c r="DJ224" s="567"/>
      <c r="DK224" s="567"/>
      <c r="DL224" s="567"/>
      <c r="DM224" s="567"/>
      <c r="DN224" s="567"/>
      <c r="DO224" s="567"/>
      <c r="DP224" s="567"/>
      <c r="DQ224" s="567"/>
      <c r="DR224" s="567"/>
      <c r="DS224" s="567"/>
      <c r="DT224" s="567"/>
      <c r="DU224" s="567"/>
      <c r="DV224" s="567"/>
      <c r="DW224" s="567"/>
      <c r="DX224" s="567"/>
      <c r="DY224" s="567"/>
      <c r="DZ224" s="567"/>
      <c r="EA224" s="567"/>
      <c r="EB224" s="567"/>
      <c r="EC224" s="567"/>
      <c r="ED224" s="567"/>
      <c r="EE224" s="567"/>
      <c r="EF224" s="567"/>
      <c r="EG224" s="567"/>
      <c r="EH224" s="567"/>
      <c r="EI224" s="567"/>
      <c r="EJ224" s="567"/>
      <c r="EK224" s="567"/>
      <c r="EL224" s="567"/>
      <c r="EM224" s="567"/>
      <c r="EN224" s="567"/>
      <c r="EO224" s="567"/>
      <c r="EP224" s="567"/>
      <c r="EQ224" s="567"/>
      <c r="ER224" s="567"/>
      <c r="ES224" s="567"/>
      <c r="ET224" s="567"/>
      <c r="EU224" s="567"/>
      <c r="EV224" s="567"/>
      <c r="EW224" s="567"/>
      <c r="EX224" s="567"/>
      <c r="EY224" s="567"/>
      <c r="EZ224" s="567"/>
      <c r="FA224" s="567"/>
      <c r="FB224" s="567"/>
      <c r="FC224" s="567"/>
      <c r="FD224" s="567"/>
      <c r="FE224" s="567"/>
      <c r="FF224" s="567"/>
      <c r="FG224" s="567"/>
      <c r="FH224" s="567"/>
      <c r="FI224" s="567"/>
      <c r="FJ224" s="567"/>
      <c r="FK224" s="567"/>
      <c r="FL224" s="567"/>
      <c r="FM224" s="567"/>
      <c r="FN224" s="567"/>
      <c r="FO224" s="567"/>
      <c r="FP224" s="567"/>
      <c r="FQ224" s="567"/>
      <c r="FR224" s="567"/>
      <c r="FS224" s="567"/>
      <c r="FT224" s="567"/>
      <c r="FU224" s="567"/>
      <c r="FV224" s="567"/>
      <c r="FW224" s="567"/>
      <c r="FX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  <c r="BW225" s="567"/>
      <c r="BX225" s="567"/>
      <c r="BY225" s="567"/>
      <c r="BZ225" s="567"/>
      <c r="CA225" s="567"/>
      <c r="CB225" s="567"/>
      <c r="CC225" s="567"/>
      <c r="CD225" s="567"/>
      <c r="CE225" s="567"/>
      <c r="CF225" s="567"/>
      <c r="CG225" s="567"/>
      <c r="CH225" s="567"/>
      <c r="CI225" s="567"/>
      <c r="CJ225" s="567"/>
      <c r="CK225" s="567"/>
      <c r="CL225" s="567"/>
      <c r="CM225" s="567"/>
      <c r="CN225" s="567"/>
      <c r="CO225" s="567"/>
      <c r="CP225" s="567"/>
      <c r="CQ225" s="567"/>
      <c r="CR225" s="567"/>
      <c r="CS225" s="567"/>
      <c r="CT225" s="567"/>
      <c r="CU225" s="567"/>
      <c r="CV225" s="567"/>
      <c r="CW225" s="567"/>
      <c r="CX225" s="567"/>
      <c r="CY225" s="567"/>
      <c r="CZ225" s="567"/>
      <c r="DA225" s="567"/>
      <c r="DB225" s="567"/>
      <c r="DC225" s="567"/>
      <c r="DD225" s="567"/>
      <c r="DE225" s="567"/>
      <c r="DF225" s="567"/>
      <c r="DG225" s="567"/>
      <c r="DH225" s="567"/>
      <c r="DI225" s="567"/>
      <c r="DJ225" s="567"/>
      <c r="DK225" s="567"/>
      <c r="DL225" s="567"/>
      <c r="DM225" s="567"/>
      <c r="DN225" s="567"/>
      <c r="DO225" s="567"/>
      <c r="DP225" s="567"/>
      <c r="DQ225" s="567"/>
      <c r="DR225" s="567"/>
      <c r="DS225" s="567"/>
      <c r="DT225" s="567"/>
      <c r="DU225" s="567"/>
      <c r="DV225" s="567"/>
      <c r="DW225" s="567"/>
      <c r="DX225" s="567"/>
      <c r="DY225" s="567"/>
      <c r="DZ225" s="567"/>
      <c r="EA225" s="567"/>
      <c r="EB225" s="567"/>
      <c r="EC225" s="567"/>
      <c r="ED225" s="567"/>
      <c r="EE225" s="567"/>
      <c r="EF225" s="567"/>
      <c r="EG225" s="567"/>
      <c r="EH225" s="567"/>
      <c r="EI225" s="567"/>
      <c r="EJ225" s="567"/>
      <c r="EK225" s="567"/>
      <c r="EL225" s="567"/>
      <c r="EM225" s="567"/>
      <c r="EN225" s="567"/>
      <c r="EO225" s="567"/>
      <c r="EP225" s="567"/>
      <c r="EQ225" s="567"/>
      <c r="ER225" s="567"/>
      <c r="ES225" s="567"/>
      <c r="ET225" s="567"/>
      <c r="EU225" s="567"/>
      <c r="EV225" s="567"/>
      <c r="EW225" s="567"/>
      <c r="EX225" s="567"/>
      <c r="EY225" s="567"/>
      <c r="EZ225" s="567"/>
      <c r="FA225" s="567"/>
      <c r="FB225" s="567"/>
      <c r="FC225" s="567"/>
      <c r="FD225" s="567"/>
      <c r="FE225" s="567"/>
      <c r="FF225" s="567"/>
      <c r="FG225" s="567"/>
      <c r="FH225" s="567"/>
      <c r="FI225" s="567"/>
      <c r="FJ225" s="567"/>
      <c r="FK225" s="567"/>
      <c r="FL225" s="567"/>
      <c r="FM225" s="567"/>
      <c r="FN225" s="567"/>
      <c r="FO225" s="567"/>
      <c r="FP225" s="567"/>
      <c r="FQ225" s="567"/>
      <c r="FR225" s="567"/>
      <c r="FS225" s="567"/>
      <c r="FT225" s="567"/>
      <c r="FU225" s="567"/>
      <c r="FV225" s="567"/>
      <c r="FW225" s="567"/>
      <c r="FX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  <c r="BW226" s="567"/>
      <c r="BX226" s="567"/>
      <c r="BY226" s="567"/>
      <c r="BZ226" s="567"/>
      <c r="CA226" s="567"/>
      <c r="CB226" s="567"/>
      <c r="CC226" s="567"/>
      <c r="CD226" s="567"/>
      <c r="CE226" s="567"/>
      <c r="CF226" s="567"/>
      <c r="CG226" s="567"/>
      <c r="CH226" s="567"/>
      <c r="CI226" s="567"/>
      <c r="CJ226" s="567"/>
      <c r="CK226" s="567"/>
      <c r="CL226" s="567"/>
      <c r="CM226" s="567"/>
      <c r="CN226" s="567"/>
      <c r="CO226" s="567"/>
      <c r="CP226" s="567"/>
      <c r="CQ226" s="567"/>
      <c r="CR226" s="567"/>
      <c r="CS226" s="567"/>
      <c r="CT226" s="567"/>
      <c r="CU226" s="567"/>
      <c r="CV226" s="567"/>
      <c r="CW226" s="567"/>
      <c r="CX226" s="567"/>
      <c r="CY226" s="567"/>
      <c r="CZ226" s="567"/>
      <c r="DA226" s="567"/>
      <c r="DB226" s="567"/>
      <c r="DC226" s="567"/>
      <c r="DD226" s="567"/>
      <c r="DE226" s="567"/>
      <c r="DF226" s="567"/>
      <c r="DG226" s="567"/>
      <c r="DH226" s="567"/>
      <c r="DI226" s="567"/>
      <c r="DJ226" s="567"/>
      <c r="DK226" s="567"/>
      <c r="DL226" s="567"/>
      <c r="DM226" s="567"/>
      <c r="DN226" s="567"/>
      <c r="DO226" s="567"/>
      <c r="DP226" s="567"/>
      <c r="DQ226" s="567"/>
      <c r="DR226" s="567"/>
      <c r="DS226" s="567"/>
      <c r="DT226" s="567"/>
      <c r="DU226" s="567"/>
      <c r="DV226" s="567"/>
      <c r="DW226" s="567"/>
      <c r="DX226" s="567"/>
      <c r="DY226" s="567"/>
      <c r="DZ226" s="567"/>
      <c r="EA226" s="567"/>
      <c r="EB226" s="567"/>
      <c r="EC226" s="567"/>
      <c r="ED226" s="567"/>
      <c r="EE226" s="567"/>
      <c r="EF226" s="567"/>
      <c r="EG226" s="567"/>
      <c r="EH226" s="567"/>
      <c r="EI226" s="567"/>
      <c r="EJ226" s="567"/>
      <c r="EK226" s="567"/>
      <c r="EL226" s="567"/>
      <c r="EM226" s="567"/>
      <c r="EN226" s="567"/>
      <c r="EO226" s="567"/>
      <c r="EP226" s="567"/>
      <c r="EQ226" s="567"/>
      <c r="ER226" s="567"/>
      <c r="ES226" s="567"/>
      <c r="ET226" s="567"/>
      <c r="EU226" s="567"/>
      <c r="EV226" s="567"/>
      <c r="EW226" s="567"/>
      <c r="EX226" s="567"/>
      <c r="EY226" s="567"/>
      <c r="EZ226" s="567"/>
      <c r="FA226" s="567"/>
      <c r="FB226" s="567"/>
      <c r="FC226" s="567"/>
      <c r="FD226" s="567"/>
      <c r="FE226" s="567"/>
      <c r="FF226" s="567"/>
      <c r="FG226" s="567"/>
      <c r="FH226" s="567"/>
      <c r="FI226" s="567"/>
      <c r="FJ226" s="567"/>
      <c r="FK226" s="567"/>
      <c r="FL226" s="567"/>
      <c r="FM226" s="567"/>
      <c r="FN226" s="567"/>
      <c r="FO226" s="567"/>
      <c r="FP226" s="567"/>
      <c r="FQ226" s="567"/>
      <c r="FR226" s="567"/>
      <c r="FS226" s="567"/>
      <c r="FT226" s="567"/>
      <c r="FU226" s="567"/>
      <c r="FV226" s="567"/>
      <c r="FW226" s="567"/>
      <c r="FX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  <c r="BW227" s="567"/>
      <c r="BX227" s="567"/>
      <c r="BY227" s="567"/>
      <c r="BZ227" s="567"/>
      <c r="CA227" s="567"/>
      <c r="CB227" s="567"/>
      <c r="CC227" s="567"/>
      <c r="CD227" s="567"/>
      <c r="CE227" s="567"/>
      <c r="CF227" s="567"/>
      <c r="CG227" s="567"/>
      <c r="CH227" s="567"/>
      <c r="CI227" s="567"/>
      <c r="CJ227" s="567"/>
      <c r="CK227" s="567"/>
      <c r="CL227" s="567"/>
      <c r="CM227" s="567"/>
      <c r="CN227" s="567"/>
      <c r="CO227" s="567"/>
      <c r="CP227" s="567"/>
      <c r="CQ227" s="567"/>
      <c r="CR227" s="567"/>
      <c r="CS227" s="567"/>
      <c r="CT227" s="567"/>
      <c r="CU227" s="567"/>
      <c r="CV227" s="567"/>
      <c r="CW227" s="567"/>
      <c r="CX227" s="567"/>
      <c r="CY227" s="567"/>
      <c r="CZ227" s="567"/>
      <c r="DA227" s="567"/>
      <c r="DB227" s="567"/>
      <c r="DC227" s="567"/>
      <c r="DD227" s="567"/>
      <c r="DE227" s="567"/>
      <c r="DF227" s="567"/>
      <c r="DG227" s="567"/>
      <c r="DH227" s="567"/>
      <c r="DI227" s="567"/>
      <c r="DJ227" s="567"/>
      <c r="DK227" s="567"/>
      <c r="DL227" s="567"/>
      <c r="DM227" s="567"/>
      <c r="DN227" s="567"/>
      <c r="DO227" s="567"/>
      <c r="DP227" s="567"/>
      <c r="DQ227" s="567"/>
      <c r="DR227" s="567"/>
      <c r="DS227" s="567"/>
      <c r="DT227" s="567"/>
      <c r="DU227" s="567"/>
      <c r="DV227" s="567"/>
      <c r="DW227" s="567"/>
      <c r="DX227" s="567"/>
      <c r="DY227" s="567"/>
      <c r="DZ227" s="567"/>
      <c r="EA227" s="567"/>
      <c r="EB227" s="567"/>
      <c r="EC227" s="567"/>
      <c r="ED227" s="567"/>
      <c r="EE227" s="567"/>
      <c r="EF227" s="567"/>
      <c r="EG227" s="567"/>
      <c r="EH227" s="567"/>
      <c r="EI227" s="567"/>
      <c r="EJ227" s="567"/>
      <c r="EK227" s="567"/>
      <c r="EL227" s="567"/>
      <c r="EM227" s="567"/>
      <c r="EN227" s="567"/>
      <c r="EO227" s="567"/>
      <c r="EP227" s="567"/>
      <c r="EQ227" s="567"/>
      <c r="ER227" s="567"/>
      <c r="ES227" s="567"/>
      <c r="ET227" s="567"/>
      <c r="EU227" s="567"/>
      <c r="EV227" s="567"/>
      <c r="EW227" s="567"/>
      <c r="EX227" s="567"/>
      <c r="EY227" s="567"/>
      <c r="EZ227" s="567"/>
      <c r="FA227" s="567"/>
      <c r="FB227" s="567"/>
      <c r="FC227" s="567"/>
      <c r="FD227" s="567"/>
      <c r="FE227" s="567"/>
      <c r="FF227" s="567"/>
      <c r="FG227" s="567"/>
      <c r="FH227" s="567"/>
      <c r="FI227" s="567"/>
      <c r="FJ227" s="567"/>
      <c r="FK227" s="567"/>
      <c r="FL227" s="567"/>
      <c r="FM227" s="567"/>
      <c r="FN227" s="567"/>
      <c r="FO227" s="567"/>
      <c r="FP227" s="567"/>
      <c r="FQ227" s="567"/>
      <c r="FR227" s="567"/>
      <c r="FS227" s="567"/>
      <c r="FT227" s="567"/>
      <c r="FU227" s="567"/>
      <c r="FV227" s="567"/>
      <c r="FW227" s="567"/>
      <c r="FX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  <c r="BW228" s="567"/>
      <c r="BX228" s="567"/>
      <c r="BY228" s="567"/>
      <c r="BZ228" s="567"/>
      <c r="CA228" s="567"/>
      <c r="CB228" s="567"/>
      <c r="CC228" s="567"/>
      <c r="CD228" s="567"/>
      <c r="CE228" s="567"/>
      <c r="CF228" s="567"/>
      <c r="CG228" s="567"/>
      <c r="CH228" s="567"/>
      <c r="CI228" s="567"/>
      <c r="CJ228" s="567"/>
      <c r="CK228" s="567"/>
      <c r="CL228" s="567"/>
      <c r="CM228" s="567"/>
      <c r="CN228" s="567"/>
      <c r="CO228" s="567"/>
      <c r="CP228" s="567"/>
      <c r="CQ228" s="567"/>
      <c r="CR228" s="567"/>
      <c r="CS228" s="567"/>
      <c r="CT228" s="567"/>
      <c r="CU228" s="567"/>
      <c r="CV228" s="567"/>
      <c r="CW228" s="567"/>
      <c r="CX228" s="567"/>
      <c r="CY228" s="567"/>
      <c r="CZ228" s="567"/>
      <c r="DA228" s="567"/>
      <c r="DB228" s="567"/>
      <c r="DC228" s="567"/>
      <c r="DD228" s="567"/>
      <c r="DE228" s="567"/>
      <c r="DF228" s="567"/>
      <c r="DG228" s="567"/>
      <c r="DH228" s="567"/>
      <c r="DI228" s="567"/>
      <c r="DJ228" s="567"/>
      <c r="DK228" s="567"/>
      <c r="DL228" s="567"/>
      <c r="DM228" s="567"/>
      <c r="DN228" s="567"/>
      <c r="DO228" s="567"/>
      <c r="DP228" s="567"/>
      <c r="DQ228" s="567"/>
      <c r="DR228" s="567"/>
      <c r="DS228" s="567"/>
      <c r="DT228" s="567"/>
      <c r="DU228" s="567"/>
      <c r="DV228" s="567"/>
      <c r="DW228" s="567"/>
      <c r="DX228" s="567"/>
      <c r="DY228" s="567"/>
      <c r="DZ228" s="567"/>
      <c r="EA228" s="567"/>
      <c r="EB228" s="567"/>
      <c r="EC228" s="567"/>
      <c r="ED228" s="567"/>
      <c r="EE228" s="567"/>
      <c r="EF228" s="567"/>
      <c r="EG228" s="567"/>
      <c r="EH228" s="567"/>
      <c r="EI228" s="567"/>
      <c r="EJ228" s="567"/>
      <c r="EK228" s="567"/>
      <c r="EL228" s="567"/>
      <c r="EM228" s="567"/>
      <c r="EN228" s="567"/>
      <c r="EO228" s="567"/>
      <c r="EP228" s="567"/>
      <c r="EQ228" s="567"/>
      <c r="ER228" s="567"/>
      <c r="ES228" s="567"/>
      <c r="ET228" s="567"/>
      <c r="EU228" s="567"/>
      <c r="EV228" s="567"/>
      <c r="EW228" s="567"/>
      <c r="EX228" s="567"/>
      <c r="EY228" s="567"/>
      <c r="EZ228" s="567"/>
      <c r="FA228" s="567"/>
      <c r="FB228" s="567"/>
      <c r="FC228" s="567"/>
      <c r="FD228" s="567"/>
      <c r="FE228" s="567"/>
      <c r="FF228" s="567"/>
      <c r="FG228" s="567"/>
      <c r="FH228" s="567"/>
      <c r="FI228" s="567"/>
      <c r="FJ228" s="567"/>
      <c r="FK228" s="567"/>
      <c r="FL228" s="567"/>
      <c r="FM228" s="567"/>
      <c r="FN228" s="567"/>
      <c r="FO228" s="567"/>
      <c r="FP228" s="567"/>
      <c r="FQ228" s="567"/>
      <c r="FR228" s="567"/>
      <c r="FS228" s="567"/>
      <c r="FT228" s="567"/>
      <c r="FU228" s="567"/>
      <c r="FV228" s="567"/>
      <c r="FW228" s="567"/>
      <c r="FX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  <c r="BW229" s="567"/>
      <c r="BX229" s="567"/>
      <c r="BY229" s="567"/>
      <c r="BZ229" s="567"/>
      <c r="CA229" s="567"/>
      <c r="CB229" s="567"/>
      <c r="CC229" s="567"/>
      <c r="CD229" s="567"/>
      <c r="CE229" s="567"/>
      <c r="CF229" s="567"/>
      <c r="CG229" s="567"/>
      <c r="CH229" s="567"/>
      <c r="CI229" s="567"/>
      <c r="CJ229" s="567"/>
      <c r="CK229" s="567"/>
      <c r="CL229" s="567"/>
      <c r="CM229" s="567"/>
      <c r="CN229" s="567"/>
      <c r="CO229" s="567"/>
      <c r="CP229" s="567"/>
      <c r="CQ229" s="567"/>
      <c r="CR229" s="567"/>
      <c r="CS229" s="567"/>
      <c r="CT229" s="567"/>
      <c r="CU229" s="567"/>
      <c r="CV229" s="567"/>
      <c r="CW229" s="567"/>
      <c r="CX229" s="567"/>
      <c r="CY229" s="567"/>
      <c r="CZ229" s="567"/>
      <c r="DA229" s="567"/>
      <c r="DB229" s="567"/>
      <c r="DC229" s="567"/>
      <c r="DD229" s="567"/>
      <c r="DE229" s="567"/>
      <c r="DF229" s="567"/>
      <c r="DG229" s="567"/>
      <c r="DH229" s="567"/>
      <c r="DI229" s="567"/>
      <c r="DJ229" s="567"/>
      <c r="DK229" s="567"/>
      <c r="DL229" s="567"/>
      <c r="DM229" s="567"/>
      <c r="DN229" s="567"/>
      <c r="DO229" s="567"/>
      <c r="DP229" s="567"/>
      <c r="DQ229" s="567"/>
      <c r="DR229" s="567"/>
      <c r="DS229" s="567"/>
      <c r="DT229" s="567"/>
      <c r="DU229" s="567"/>
      <c r="DV229" s="567"/>
      <c r="DW229" s="567"/>
      <c r="DX229" s="567"/>
      <c r="DY229" s="567"/>
      <c r="DZ229" s="567"/>
      <c r="EA229" s="567"/>
      <c r="EB229" s="567"/>
      <c r="EC229" s="567"/>
      <c r="ED229" s="567"/>
      <c r="EE229" s="567"/>
      <c r="EF229" s="567"/>
      <c r="EG229" s="567"/>
      <c r="EH229" s="567"/>
      <c r="EI229" s="567"/>
      <c r="EJ229" s="567"/>
      <c r="EK229" s="567"/>
      <c r="EL229" s="567"/>
      <c r="EM229" s="567"/>
      <c r="EN229" s="567"/>
      <c r="EO229" s="567"/>
      <c r="EP229" s="567"/>
      <c r="EQ229" s="567"/>
      <c r="ER229" s="567"/>
      <c r="ES229" s="567"/>
      <c r="ET229" s="567"/>
      <c r="EU229" s="567"/>
      <c r="EV229" s="567"/>
      <c r="EW229" s="567"/>
      <c r="EX229" s="567"/>
      <c r="EY229" s="567"/>
      <c r="EZ229" s="567"/>
      <c r="FA229" s="567"/>
      <c r="FB229" s="567"/>
      <c r="FC229" s="567"/>
      <c r="FD229" s="567"/>
      <c r="FE229" s="567"/>
      <c r="FF229" s="567"/>
      <c r="FG229" s="567"/>
      <c r="FH229" s="567"/>
      <c r="FI229" s="567"/>
      <c r="FJ229" s="567"/>
      <c r="FK229" s="567"/>
      <c r="FL229" s="567"/>
      <c r="FM229" s="567"/>
      <c r="FN229" s="567"/>
      <c r="FO229" s="567"/>
      <c r="FP229" s="567"/>
      <c r="FQ229" s="567"/>
      <c r="FR229" s="567"/>
      <c r="FS229" s="567"/>
      <c r="FT229" s="567"/>
      <c r="FU229" s="567"/>
      <c r="FV229" s="567"/>
      <c r="FW229" s="567"/>
      <c r="FX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  <c r="BW230" s="567"/>
      <c r="BX230" s="567"/>
      <c r="BY230" s="567"/>
      <c r="BZ230" s="567"/>
      <c r="CA230" s="567"/>
      <c r="CB230" s="567"/>
      <c r="CC230" s="567"/>
      <c r="CD230" s="567"/>
      <c r="CE230" s="567"/>
      <c r="CF230" s="567"/>
      <c r="CG230" s="567"/>
      <c r="CH230" s="567"/>
      <c r="CI230" s="567"/>
      <c r="CJ230" s="567"/>
      <c r="CK230" s="567"/>
      <c r="CL230" s="567"/>
      <c r="CM230" s="567"/>
      <c r="CN230" s="567"/>
      <c r="CO230" s="567"/>
      <c r="CP230" s="567"/>
      <c r="CQ230" s="567"/>
      <c r="CR230" s="567"/>
      <c r="CS230" s="567"/>
      <c r="CT230" s="567"/>
      <c r="CU230" s="567"/>
      <c r="CV230" s="567"/>
      <c r="CW230" s="567"/>
      <c r="CX230" s="567"/>
      <c r="CY230" s="567"/>
      <c r="CZ230" s="567"/>
      <c r="DA230" s="567"/>
      <c r="DB230" s="567"/>
      <c r="DC230" s="567"/>
      <c r="DD230" s="567"/>
      <c r="DE230" s="567"/>
      <c r="DF230" s="567"/>
      <c r="DG230" s="567"/>
      <c r="DH230" s="567"/>
      <c r="DI230" s="567"/>
      <c r="DJ230" s="567"/>
      <c r="DK230" s="567"/>
      <c r="DL230" s="567"/>
      <c r="DM230" s="567"/>
      <c r="DN230" s="567"/>
      <c r="DO230" s="567"/>
      <c r="DP230" s="567"/>
      <c r="DQ230" s="567"/>
      <c r="DR230" s="567"/>
      <c r="DS230" s="567"/>
      <c r="DT230" s="567"/>
      <c r="DU230" s="567"/>
      <c r="DV230" s="567"/>
      <c r="DW230" s="567"/>
      <c r="DX230" s="567"/>
      <c r="DY230" s="567"/>
      <c r="DZ230" s="567"/>
      <c r="EA230" s="567"/>
      <c r="EB230" s="567"/>
      <c r="EC230" s="567"/>
      <c r="ED230" s="567"/>
      <c r="EE230" s="567"/>
      <c r="EF230" s="567"/>
      <c r="EG230" s="567"/>
      <c r="EH230" s="567"/>
      <c r="EI230" s="567"/>
      <c r="EJ230" s="567"/>
      <c r="EK230" s="567"/>
      <c r="EL230" s="567"/>
      <c r="EM230" s="567"/>
      <c r="EN230" s="567"/>
      <c r="EO230" s="567"/>
      <c r="EP230" s="567"/>
      <c r="EQ230" s="567"/>
      <c r="ER230" s="567"/>
      <c r="ES230" s="567"/>
      <c r="ET230" s="567"/>
      <c r="EU230" s="567"/>
      <c r="EV230" s="567"/>
      <c r="EW230" s="567"/>
      <c r="EX230" s="567"/>
      <c r="EY230" s="567"/>
      <c r="EZ230" s="567"/>
      <c r="FA230" s="567"/>
      <c r="FB230" s="567"/>
      <c r="FC230" s="567"/>
      <c r="FD230" s="567"/>
      <c r="FE230" s="567"/>
      <c r="FF230" s="567"/>
      <c r="FG230" s="567"/>
      <c r="FH230" s="567"/>
      <c r="FI230" s="567"/>
      <c r="FJ230" s="567"/>
      <c r="FK230" s="567"/>
      <c r="FL230" s="567"/>
      <c r="FM230" s="567"/>
      <c r="FN230" s="567"/>
      <c r="FO230" s="567"/>
      <c r="FP230" s="567"/>
      <c r="FQ230" s="567"/>
      <c r="FR230" s="567"/>
      <c r="FS230" s="567"/>
      <c r="FT230" s="567"/>
      <c r="FU230" s="567"/>
      <c r="FV230" s="567"/>
      <c r="FW230" s="567"/>
      <c r="FX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  <c r="BW231" s="567"/>
      <c r="BX231" s="567"/>
      <c r="BY231" s="567"/>
      <c r="BZ231" s="567"/>
      <c r="CA231" s="567"/>
      <c r="CB231" s="567"/>
      <c r="CC231" s="567"/>
      <c r="CD231" s="567"/>
      <c r="CE231" s="567"/>
      <c r="CF231" s="567"/>
      <c r="CG231" s="567"/>
      <c r="CH231" s="567"/>
      <c r="CI231" s="567"/>
      <c r="CJ231" s="567"/>
      <c r="CK231" s="567"/>
      <c r="CL231" s="567"/>
      <c r="CM231" s="567"/>
      <c r="CN231" s="567"/>
      <c r="CO231" s="567"/>
      <c r="CP231" s="567"/>
      <c r="CQ231" s="567"/>
      <c r="CR231" s="567"/>
      <c r="CS231" s="567"/>
      <c r="CT231" s="567"/>
      <c r="CU231" s="567"/>
      <c r="CV231" s="567"/>
      <c r="CW231" s="567"/>
      <c r="CX231" s="567"/>
      <c r="CY231" s="567"/>
      <c r="CZ231" s="567"/>
      <c r="DA231" s="567"/>
      <c r="DB231" s="567"/>
      <c r="DC231" s="567"/>
      <c r="DD231" s="567"/>
      <c r="DE231" s="567"/>
      <c r="DF231" s="567"/>
      <c r="DG231" s="567"/>
      <c r="DH231" s="567"/>
      <c r="DI231" s="567"/>
      <c r="DJ231" s="567"/>
      <c r="DK231" s="567"/>
      <c r="DL231" s="567"/>
      <c r="DM231" s="567"/>
      <c r="DN231" s="567"/>
      <c r="DO231" s="567"/>
      <c r="DP231" s="567"/>
      <c r="DQ231" s="567"/>
      <c r="DR231" s="567"/>
      <c r="DS231" s="567"/>
      <c r="DT231" s="567"/>
      <c r="DU231" s="567"/>
      <c r="DV231" s="567"/>
      <c r="DW231" s="567"/>
      <c r="DX231" s="567"/>
      <c r="DY231" s="567"/>
      <c r="DZ231" s="567"/>
      <c r="EA231" s="567"/>
      <c r="EB231" s="567"/>
      <c r="EC231" s="567"/>
      <c r="ED231" s="567"/>
      <c r="EE231" s="567"/>
      <c r="EF231" s="567"/>
      <c r="EG231" s="567"/>
      <c r="EH231" s="567"/>
      <c r="EI231" s="567"/>
      <c r="EJ231" s="567"/>
      <c r="EK231" s="567"/>
      <c r="EL231" s="567"/>
      <c r="EM231" s="567"/>
      <c r="EN231" s="567"/>
      <c r="EO231" s="567"/>
      <c r="EP231" s="567"/>
      <c r="EQ231" s="567"/>
      <c r="ER231" s="567"/>
      <c r="ES231" s="567"/>
      <c r="ET231" s="567"/>
      <c r="EU231" s="567"/>
      <c r="EV231" s="567"/>
      <c r="EW231" s="567"/>
      <c r="EX231" s="567"/>
      <c r="EY231" s="567"/>
      <c r="EZ231" s="567"/>
      <c r="FA231" s="567"/>
      <c r="FB231" s="567"/>
      <c r="FC231" s="567"/>
      <c r="FD231" s="567"/>
      <c r="FE231" s="567"/>
      <c r="FF231" s="567"/>
      <c r="FG231" s="567"/>
      <c r="FH231" s="567"/>
      <c r="FI231" s="567"/>
      <c r="FJ231" s="567"/>
      <c r="FK231" s="567"/>
      <c r="FL231" s="567"/>
      <c r="FM231" s="567"/>
      <c r="FN231" s="567"/>
      <c r="FO231" s="567"/>
      <c r="FP231" s="567"/>
      <c r="FQ231" s="567"/>
      <c r="FR231" s="567"/>
      <c r="FS231" s="567"/>
      <c r="FT231" s="567"/>
      <c r="FU231" s="567"/>
      <c r="FV231" s="567"/>
      <c r="FW231" s="567"/>
      <c r="FX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  <c r="BW232" s="567"/>
      <c r="BX232" s="567"/>
      <c r="BY232" s="567"/>
      <c r="BZ232" s="567"/>
      <c r="CA232" s="567"/>
      <c r="CB232" s="567"/>
      <c r="CC232" s="567"/>
      <c r="CD232" s="567"/>
      <c r="CE232" s="567"/>
      <c r="CF232" s="567"/>
      <c r="CG232" s="567"/>
      <c r="CH232" s="567"/>
      <c r="CI232" s="567"/>
      <c r="CJ232" s="567"/>
      <c r="CK232" s="567"/>
      <c r="CL232" s="567"/>
      <c r="CM232" s="567"/>
      <c r="CN232" s="567"/>
      <c r="CO232" s="567"/>
      <c r="CP232" s="567"/>
      <c r="CQ232" s="567"/>
      <c r="CR232" s="567"/>
      <c r="CS232" s="567"/>
      <c r="CT232" s="567"/>
      <c r="CU232" s="567"/>
      <c r="CV232" s="567"/>
      <c r="CW232" s="567"/>
      <c r="CX232" s="567"/>
      <c r="CY232" s="567"/>
      <c r="CZ232" s="567"/>
      <c r="DA232" s="567"/>
      <c r="DB232" s="567"/>
      <c r="DC232" s="567"/>
      <c r="DD232" s="567"/>
      <c r="DE232" s="567"/>
      <c r="DF232" s="567"/>
      <c r="DG232" s="567"/>
      <c r="DH232" s="567"/>
      <c r="DI232" s="567"/>
      <c r="DJ232" s="567"/>
      <c r="DK232" s="567"/>
      <c r="DL232" s="567"/>
      <c r="DM232" s="567"/>
      <c r="DN232" s="567"/>
      <c r="DO232" s="567"/>
      <c r="DP232" s="567"/>
      <c r="DQ232" s="567"/>
      <c r="DR232" s="567"/>
      <c r="DS232" s="567"/>
      <c r="DT232" s="567"/>
      <c r="DU232" s="567"/>
      <c r="DV232" s="567"/>
      <c r="DW232" s="567"/>
      <c r="DX232" s="567"/>
      <c r="DY232" s="567"/>
      <c r="DZ232" s="567"/>
      <c r="EA232" s="567"/>
      <c r="EB232" s="567"/>
      <c r="EC232" s="567"/>
      <c r="ED232" s="567"/>
      <c r="EE232" s="567"/>
      <c r="EF232" s="567"/>
      <c r="EG232" s="567"/>
      <c r="EH232" s="567"/>
      <c r="EI232" s="567"/>
      <c r="EJ232" s="567"/>
      <c r="EK232" s="567"/>
      <c r="EL232" s="567"/>
      <c r="EM232" s="567"/>
      <c r="EN232" s="567"/>
      <c r="EO232" s="567"/>
      <c r="EP232" s="567"/>
      <c r="EQ232" s="567"/>
      <c r="ER232" s="567"/>
      <c r="ES232" s="567"/>
      <c r="ET232" s="567"/>
      <c r="EU232" s="567"/>
      <c r="EV232" s="567"/>
      <c r="EW232" s="567"/>
      <c r="EX232" s="567"/>
      <c r="EY232" s="567"/>
      <c r="EZ232" s="567"/>
      <c r="FA232" s="567"/>
      <c r="FB232" s="567"/>
      <c r="FC232" s="567"/>
      <c r="FD232" s="567"/>
      <c r="FE232" s="567"/>
      <c r="FF232" s="567"/>
      <c r="FG232" s="567"/>
      <c r="FH232" s="567"/>
      <c r="FI232" s="567"/>
      <c r="FJ232" s="567"/>
      <c r="FK232" s="567"/>
      <c r="FL232" s="567"/>
      <c r="FM232" s="567"/>
      <c r="FN232" s="567"/>
      <c r="FO232" s="567"/>
      <c r="FP232" s="567"/>
      <c r="FQ232" s="567"/>
      <c r="FR232" s="567"/>
      <c r="FS232" s="567"/>
      <c r="FT232" s="567"/>
      <c r="FU232" s="567"/>
      <c r="FV232" s="567"/>
      <c r="FW232" s="567"/>
      <c r="FX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  <c r="BW233" s="567"/>
      <c r="BX233" s="567"/>
      <c r="BY233" s="567"/>
      <c r="BZ233" s="567"/>
      <c r="CA233" s="567"/>
      <c r="CB233" s="567"/>
      <c r="CC233" s="567"/>
      <c r="CD233" s="567"/>
      <c r="CE233" s="567"/>
      <c r="CF233" s="567"/>
      <c r="CG233" s="567"/>
      <c r="CH233" s="567"/>
      <c r="CI233" s="567"/>
      <c r="CJ233" s="567"/>
      <c r="CK233" s="567"/>
      <c r="CL233" s="567"/>
      <c r="CM233" s="567"/>
      <c r="CN233" s="567"/>
      <c r="CO233" s="567"/>
      <c r="CP233" s="567"/>
      <c r="CQ233" s="567"/>
      <c r="CR233" s="567"/>
      <c r="CS233" s="567"/>
      <c r="CT233" s="567"/>
      <c r="CU233" s="567"/>
      <c r="CV233" s="567"/>
      <c r="CW233" s="567"/>
      <c r="CX233" s="567"/>
      <c r="CY233" s="567"/>
      <c r="CZ233" s="567"/>
      <c r="DA233" s="567"/>
      <c r="DB233" s="567"/>
      <c r="DC233" s="567"/>
      <c r="DD233" s="567"/>
      <c r="DE233" s="567"/>
      <c r="DF233" s="567"/>
      <c r="DG233" s="567"/>
      <c r="DH233" s="567"/>
      <c r="DI233" s="567"/>
      <c r="DJ233" s="567"/>
      <c r="DK233" s="567"/>
      <c r="DL233" s="567"/>
      <c r="DM233" s="567"/>
      <c r="DN233" s="567"/>
      <c r="DO233" s="567"/>
      <c r="DP233" s="567"/>
      <c r="DQ233" s="567"/>
      <c r="DR233" s="567"/>
      <c r="DS233" s="567"/>
      <c r="DT233" s="567"/>
      <c r="DU233" s="567"/>
      <c r="DV233" s="567"/>
      <c r="DW233" s="567"/>
      <c r="DX233" s="567"/>
      <c r="DY233" s="567"/>
      <c r="DZ233" s="567"/>
      <c r="EA233" s="567"/>
      <c r="EB233" s="567"/>
      <c r="EC233" s="567"/>
      <c r="ED233" s="567"/>
      <c r="EE233" s="567"/>
      <c r="EF233" s="567"/>
      <c r="EG233" s="567"/>
      <c r="EH233" s="567"/>
      <c r="EI233" s="567"/>
      <c r="EJ233" s="567"/>
      <c r="EK233" s="567"/>
      <c r="EL233" s="567"/>
      <c r="EM233" s="567"/>
      <c r="EN233" s="567"/>
      <c r="EO233" s="567"/>
      <c r="EP233" s="567"/>
      <c r="EQ233" s="567"/>
      <c r="ER233" s="567"/>
      <c r="ES233" s="567"/>
      <c r="ET233" s="567"/>
      <c r="EU233" s="567"/>
      <c r="EV233" s="567"/>
      <c r="EW233" s="567"/>
      <c r="EX233" s="567"/>
      <c r="EY233" s="567"/>
      <c r="EZ233" s="567"/>
      <c r="FA233" s="567"/>
      <c r="FB233" s="567"/>
      <c r="FC233" s="567"/>
      <c r="FD233" s="567"/>
      <c r="FE233" s="567"/>
      <c r="FF233" s="567"/>
      <c r="FG233" s="567"/>
      <c r="FH233" s="567"/>
      <c r="FI233" s="567"/>
      <c r="FJ233" s="567"/>
      <c r="FK233" s="567"/>
      <c r="FL233" s="567"/>
      <c r="FM233" s="567"/>
      <c r="FN233" s="567"/>
      <c r="FO233" s="567"/>
      <c r="FP233" s="567"/>
      <c r="FQ233" s="567"/>
      <c r="FR233" s="567"/>
      <c r="FS233" s="567"/>
      <c r="FT233" s="567"/>
      <c r="FU233" s="567"/>
      <c r="FV233" s="567"/>
      <c r="FW233" s="567"/>
      <c r="FX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  <c r="BW234" s="567"/>
      <c r="BX234" s="567"/>
      <c r="BY234" s="567"/>
      <c r="BZ234" s="567"/>
      <c r="CA234" s="567"/>
      <c r="CB234" s="567"/>
      <c r="CC234" s="567"/>
      <c r="CD234" s="567"/>
      <c r="CE234" s="567"/>
      <c r="CF234" s="567"/>
      <c r="CG234" s="567"/>
      <c r="CH234" s="567"/>
      <c r="CI234" s="567"/>
      <c r="CJ234" s="567"/>
      <c r="CK234" s="567"/>
      <c r="CL234" s="567"/>
      <c r="CM234" s="567"/>
      <c r="CN234" s="567"/>
      <c r="CO234" s="567"/>
      <c r="CP234" s="567"/>
      <c r="CQ234" s="567"/>
      <c r="CR234" s="567"/>
      <c r="CS234" s="567"/>
      <c r="CT234" s="567"/>
      <c r="CU234" s="567"/>
      <c r="CV234" s="567"/>
      <c r="CW234" s="567"/>
      <c r="CX234" s="567"/>
      <c r="CY234" s="567"/>
      <c r="CZ234" s="567"/>
      <c r="DA234" s="567"/>
      <c r="DB234" s="567"/>
      <c r="DC234" s="567"/>
      <c r="DD234" s="567"/>
      <c r="DE234" s="567"/>
      <c r="DF234" s="567"/>
      <c r="DG234" s="567"/>
      <c r="DH234" s="567"/>
      <c r="DI234" s="567"/>
      <c r="DJ234" s="567"/>
      <c r="DK234" s="567"/>
      <c r="DL234" s="567"/>
      <c r="DM234" s="567"/>
      <c r="DN234" s="567"/>
      <c r="DO234" s="567"/>
      <c r="DP234" s="567"/>
      <c r="DQ234" s="567"/>
      <c r="DR234" s="567"/>
      <c r="DS234" s="567"/>
      <c r="DT234" s="567"/>
      <c r="DU234" s="567"/>
      <c r="DV234" s="567"/>
      <c r="DW234" s="567"/>
      <c r="DX234" s="567"/>
      <c r="DY234" s="567"/>
      <c r="DZ234" s="567"/>
      <c r="EA234" s="567"/>
      <c r="EB234" s="567"/>
      <c r="EC234" s="567"/>
      <c r="ED234" s="567"/>
      <c r="EE234" s="567"/>
      <c r="EF234" s="567"/>
      <c r="EG234" s="567"/>
      <c r="EH234" s="567"/>
      <c r="EI234" s="567"/>
      <c r="EJ234" s="567"/>
      <c r="EK234" s="567"/>
      <c r="EL234" s="567"/>
      <c r="EM234" s="567"/>
      <c r="EN234" s="567"/>
      <c r="EO234" s="567"/>
      <c r="EP234" s="567"/>
      <c r="EQ234" s="567"/>
      <c r="ER234" s="567"/>
      <c r="ES234" s="567"/>
      <c r="ET234" s="567"/>
      <c r="EU234" s="567"/>
      <c r="EV234" s="567"/>
      <c r="EW234" s="567"/>
      <c r="EX234" s="567"/>
      <c r="EY234" s="567"/>
      <c r="EZ234" s="567"/>
      <c r="FA234" s="567"/>
      <c r="FB234" s="567"/>
      <c r="FC234" s="567"/>
      <c r="FD234" s="567"/>
      <c r="FE234" s="567"/>
      <c r="FF234" s="567"/>
      <c r="FG234" s="567"/>
      <c r="FH234" s="567"/>
      <c r="FI234" s="567"/>
      <c r="FJ234" s="567"/>
      <c r="FK234" s="567"/>
      <c r="FL234" s="567"/>
      <c r="FM234" s="567"/>
      <c r="FN234" s="567"/>
      <c r="FO234" s="567"/>
      <c r="FP234" s="567"/>
      <c r="FQ234" s="567"/>
      <c r="FR234" s="567"/>
      <c r="FS234" s="567"/>
      <c r="FT234" s="567"/>
      <c r="FU234" s="567"/>
      <c r="FV234" s="567"/>
      <c r="FW234" s="567"/>
      <c r="FX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  <c r="BW235" s="567"/>
      <c r="BX235" s="567"/>
      <c r="BY235" s="567"/>
      <c r="BZ235" s="567"/>
      <c r="CA235" s="567"/>
      <c r="CB235" s="567"/>
      <c r="CC235" s="567"/>
      <c r="CD235" s="567"/>
      <c r="CE235" s="567"/>
      <c r="CF235" s="567"/>
      <c r="CG235" s="567"/>
      <c r="CH235" s="567"/>
      <c r="CI235" s="567"/>
      <c r="CJ235" s="567"/>
      <c r="CK235" s="567"/>
      <c r="CL235" s="567"/>
      <c r="CM235" s="567"/>
      <c r="CN235" s="567"/>
      <c r="CO235" s="567"/>
      <c r="CP235" s="567"/>
      <c r="CQ235" s="567"/>
      <c r="CR235" s="567"/>
      <c r="CS235" s="567"/>
      <c r="CT235" s="567"/>
      <c r="CU235" s="567"/>
      <c r="CV235" s="567"/>
      <c r="CW235" s="567"/>
      <c r="CX235" s="567"/>
      <c r="CY235" s="567"/>
      <c r="CZ235" s="567"/>
      <c r="DA235" s="567"/>
      <c r="DB235" s="567"/>
      <c r="DC235" s="567"/>
      <c r="DD235" s="567"/>
      <c r="DE235" s="567"/>
      <c r="DF235" s="567"/>
      <c r="DG235" s="567"/>
      <c r="DH235" s="567"/>
      <c r="DI235" s="567"/>
      <c r="DJ235" s="567"/>
      <c r="DK235" s="567"/>
      <c r="DL235" s="567"/>
      <c r="DM235" s="567"/>
      <c r="DN235" s="567"/>
      <c r="DO235" s="567"/>
      <c r="DP235" s="567"/>
      <c r="DQ235" s="567"/>
      <c r="DR235" s="567"/>
      <c r="DS235" s="567"/>
      <c r="DT235" s="567"/>
      <c r="DU235" s="567"/>
      <c r="DV235" s="567"/>
      <c r="DW235" s="567"/>
      <c r="DX235" s="567"/>
      <c r="DY235" s="567"/>
      <c r="DZ235" s="567"/>
      <c r="EA235" s="567"/>
      <c r="EB235" s="567"/>
      <c r="EC235" s="567"/>
      <c r="ED235" s="567"/>
      <c r="EE235" s="567"/>
      <c r="EF235" s="567"/>
      <c r="EG235" s="567"/>
      <c r="EH235" s="567"/>
      <c r="EI235" s="567"/>
      <c r="EJ235" s="567"/>
      <c r="EK235" s="567"/>
      <c r="EL235" s="567"/>
      <c r="EM235" s="567"/>
      <c r="EN235" s="567"/>
      <c r="EO235" s="567"/>
      <c r="EP235" s="567"/>
      <c r="EQ235" s="567"/>
      <c r="ER235" s="567"/>
      <c r="ES235" s="567"/>
      <c r="ET235" s="567"/>
      <c r="EU235" s="567"/>
      <c r="EV235" s="567"/>
      <c r="EW235" s="567"/>
      <c r="EX235" s="567"/>
      <c r="EY235" s="567"/>
      <c r="EZ235" s="567"/>
      <c r="FA235" s="567"/>
      <c r="FB235" s="567"/>
      <c r="FC235" s="567"/>
      <c r="FD235" s="567"/>
      <c r="FE235" s="567"/>
      <c r="FF235" s="567"/>
      <c r="FG235" s="567"/>
      <c r="FH235" s="567"/>
      <c r="FI235" s="567"/>
      <c r="FJ235" s="567"/>
      <c r="FK235" s="567"/>
      <c r="FL235" s="567"/>
      <c r="FM235" s="567"/>
      <c r="FN235" s="567"/>
      <c r="FO235" s="567"/>
      <c r="FP235" s="567"/>
      <c r="FQ235" s="567"/>
      <c r="FR235" s="567"/>
      <c r="FS235" s="567"/>
      <c r="FT235" s="567"/>
      <c r="FU235" s="567"/>
      <c r="FV235" s="567"/>
      <c r="FW235" s="567"/>
      <c r="FX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  <c r="BW236" s="567"/>
      <c r="BX236" s="567"/>
      <c r="BY236" s="567"/>
      <c r="BZ236" s="567"/>
      <c r="CA236" s="567"/>
      <c r="CB236" s="567"/>
      <c r="CC236" s="567"/>
      <c r="CD236" s="567"/>
      <c r="CE236" s="567"/>
      <c r="CF236" s="567"/>
      <c r="CG236" s="567"/>
      <c r="CH236" s="567"/>
      <c r="CI236" s="567"/>
      <c r="CJ236" s="567"/>
      <c r="CK236" s="567"/>
      <c r="CL236" s="567"/>
      <c r="CM236" s="567"/>
      <c r="CN236" s="567"/>
      <c r="CO236" s="567"/>
      <c r="CP236" s="567"/>
      <c r="CQ236" s="567"/>
      <c r="CR236" s="567"/>
      <c r="CS236" s="567"/>
      <c r="CT236" s="567"/>
      <c r="CU236" s="567"/>
      <c r="CV236" s="567"/>
      <c r="CW236" s="567"/>
      <c r="CX236" s="567"/>
      <c r="CY236" s="567"/>
      <c r="CZ236" s="567"/>
      <c r="DA236" s="567"/>
      <c r="DB236" s="567"/>
      <c r="DC236" s="567"/>
      <c r="DD236" s="567"/>
      <c r="DE236" s="567"/>
      <c r="DF236" s="567"/>
      <c r="DG236" s="567"/>
      <c r="DH236" s="567"/>
      <c r="DI236" s="567"/>
      <c r="DJ236" s="567"/>
      <c r="DK236" s="567"/>
      <c r="DL236" s="567"/>
      <c r="DM236" s="567"/>
      <c r="DN236" s="567"/>
      <c r="DO236" s="567"/>
      <c r="DP236" s="567"/>
      <c r="DQ236" s="567"/>
      <c r="DR236" s="567"/>
      <c r="DS236" s="567"/>
      <c r="DT236" s="567"/>
      <c r="DU236" s="567"/>
      <c r="DV236" s="567"/>
      <c r="DW236" s="567"/>
      <c r="DX236" s="567"/>
      <c r="DY236" s="567"/>
      <c r="DZ236" s="567"/>
      <c r="EA236" s="567"/>
      <c r="EB236" s="567"/>
      <c r="EC236" s="567"/>
      <c r="ED236" s="567"/>
      <c r="EE236" s="567"/>
      <c r="EF236" s="567"/>
      <c r="EG236" s="567"/>
      <c r="EH236" s="567"/>
      <c r="EI236" s="567"/>
      <c r="EJ236" s="567"/>
      <c r="EK236" s="567"/>
      <c r="EL236" s="567"/>
      <c r="EM236" s="567"/>
      <c r="EN236" s="567"/>
      <c r="EO236" s="567"/>
      <c r="EP236" s="567"/>
      <c r="EQ236" s="567"/>
      <c r="ER236" s="567"/>
      <c r="ES236" s="567"/>
      <c r="ET236" s="567"/>
      <c r="EU236" s="567"/>
      <c r="EV236" s="567"/>
      <c r="EW236" s="567"/>
      <c r="EX236" s="567"/>
      <c r="EY236" s="567"/>
      <c r="EZ236" s="567"/>
      <c r="FA236" s="567"/>
      <c r="FB236" s="567"/>
      <c r="FC236" s="567"/>
      <c r="FD236" s="567"/>
      <c r="FE236" s="567"/>
      <c r="FF236" s="567"/>
      <c r="FG236" s="567"/>
      <c r="FH236" s="567"/>
      <c r="FI236" s="567"/>
      <c r="FJ236" s="567"/>
      <c r="FK236" s="567"/>
      <c r="FL236" s="567"/>
      <c r="FM236" s="567"/>
      <c r="FN236" s="567"/>
      <c r="FO236" s="567"/>
      <c r="FP236" s="567"/>
      <c r="FQ236" s="567"/>
      <c r="FR236" s="567"/>
      <c r="FS236" s="567"/>
      <c r="FT236" s="567"/>
      <c r="FU236" s="567"/>
      <c r="FV236" s="567"/>
      <c r="FW236" s="567"/>
      <c r="FX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  <c r="BW237" s="567"/>
      <c r="BX237" s="567"/>
      <c r="BY237" s="567"/>
      <c r="BZ237" s="567"/>
      <c r="CA237" s="567"/>
      <c r="CB237" s="567"/>
      <c r="CC237" s="567"/>
      <c r="CD237" s="567"/>
      <c r="CE237" s="567"/>
      <c r="CF237" s="567"/>
      <c r="CG237" s="567"/>
      <c r="CH237" s="567"/>
      <c r="CI237" s="567"/>
      <c r="CJ237" s="567"/>
      <c r="CK237" s="567"/>
      <c r="CL237" s="567"/>
      <c r="CM237" s="567"/>
      <c r="CN237" s="567"/>
      <c r="CO237" s="567"/>
      <c r="CP237" s="567"/>
      <c r="CQ237" s="567"/>
      <c r="CR237" s="567"/>
      <c r="CS237" s="567"/>
      <c r="CT237" s="567"/>
      <c r="CU237" s="567"/>
      <c r="CV237" s="567"/>
      <c r="CW237" s="567"/>
      <c r="CX237" s="567"/>
      <c r="CY237" s="567"/>
      <c r="CZ237" s="567"/>
      <c r="DA237" s="567"/>
      <c r="DB237" s="567"/>
      <c r="DC237" s="567"/>
      <c r="DD237" s="567"/>
      <c r="DE237" s="567"/>
      <c r="DF237" s="567"/>
      <c r="DG237" s="567"/>
      <c r="DH237" s="567"/>
      <c r="DI237" s="567"/>
      <c r="DJ237" s="567"/>
      <c r="DK237" s="567"/>
      <c r="DL237" s="567"/>
      <c r="DM237" s="567"/>
      <c r="DN237" s="567"/>
      <c r="DO237" s="567"/>
      <c r="DP237" s="567"/>
      <c r="DQ237" s="567"/>
      <c r="DR237" s="567"/>
      <c r="DS237" s="567"/>
      <c r="DT237" s="567"/>
      <c r="DU237" s="567"/>
      <c r="DV237" s="567"/>
      <c r="DW237" s="567"/>
      <c r="DX237" s="567"/>
      <c r="DY237" s="567"/>
      <c r="DZ237" s="567"/>
      <c r="EA237" s="567"/>
      <c r="EB237" s="567"/>
      <c r="EC237" s="567"/>
      <c r="ED237" s="567"/>
      <c r="EE237" s="567"/>
      <c r="EF237" s="567"/>
      <c r="EG237" s="567"/>
      <c r="EH237" s="567"/>
      <c r="EI237" s="567"/>
      <c r="EJ237" s="567"/>
      <c r="EK237" s="567"/>
      <c r="EL237" s="567"/>
      <c r="EM237" s="567"/>
      <c r="EN237" s="567"/>
      <c r="EO237" s="567"/>
      <c r="EP237" s="567"/>
      <c r="EQ237" s="567"/>
      <c r="ER237" s="567"/>
      <c r="ES237" s="567"/>
      <c r="ET237" s="567"/>
      <c r="EU237" s="567"/>
      <c r="EV237" s="567"/>
      <c r="EW237" s="567"/>
      <c r="EX237" s="567"/>
      <c r="EY237" s="567"/>
      <c r="EZ237" s="567"/>
      <c r="FA237" s="567"/>
      <c r="FB237" s="567"/>
      <c r="FC237" s="567"/>
      <c r="FD237" s="567"/>
      <c r="FE237" s="567"/>
      <c r="FF237" s="567"/>
      <c r="FG237" s="567"/>
      <c r="FH237" s="567"/>
      <c r="FI237" s="567"/>
      <c r="FJ237" s="567"/>
      <c r="FK237" s="567"/>
      <c r="FL237" s="567"/>
      <c r="FM237" s="567"/>
      <c r="FN237" s="567"/>
      <c r="FO237" s="567"/>
      <c r="FP237" s="567"/>
      <c r="FQ237" s="567"/>
      <c r="FR237" s="567"/>
      <c r="FS237" s="567"/>
      <c r="FT237" s="567"/>
      <c r="FU237" s="567"/>
      <c r="FV237" s="567"/>
      <c r="FW237" s="567"/>
      <c r="FX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  <c r="BW238" s="567"/>
      <c r="BX238" s="567"/>
      <c r="BY238" s="567"/>
      <c r="BZ238" s="567"/>
      <c r="CA238" s="567"/>
      <c r="CB238" s="567"/>
      <c r="CC238" s="567"/>
      <c r="CD238" s="567"/>
      <c r="CE238" s="567"/>
      <c r="CF238" s="567"/>
      <c r="CG238" s="567"/>
      <c r="CH238" s="567"/>
      <c r="CI238" s="567"/>
      <c r="CJ238" s="567"/>
      <c r="CK238" s="567"/>
      <c r="CL238" s="567"/>
      <c r="CM238" s="567"/>
      <c r="CN238" s="567"/>
      <c r="CO238" s="567"/>
      <c r="CP238" s="567"/>
      <c r="CQ238" s="567"/>
      <c r="CR238" s="567"/>
      <c r="CS238" s="567"/>
      <c r="CT238" s="567"/>
      <c r="CU238" s="567"/>
      <c r="CV238" s="567"/>
      <c r="CW238" s="567"/>
      <c r="CX238" s="567"/>
      <c r="CY238" s="567"/>
      <c r="CZ238" s="567"/>
      <c r="DA238" s="567"/>
      <c r="DB238" s="567"/>
      <c r="DC238" s="567"/>
      <c r="DD238" s="567"/>
      <c r="DE238" s="567"/>
      <c r="DF238" s="567"/>
      <c r="DG238" s="567"/>
      <c r="DH238" s="567"/>
      <c r="DI238" s="567"/>
      <c r="DJ238" s="567"/>
      <c r="DK238" s="567"/>
      <c r="DL238" s="567"/>
      <c r="DM238" s="567"/>
      <c r="DN238" s="567"/>
      <c r="DO238" s="567"/>
      <c r="DP238" s="567"/>
      <c r="DQ238" s="567"/>
      <c r="DR238" s="567"/>
      <c r="DS238" s="567"/>
      <c r="DT238" s="567"/>
      <c r="DU238" s="567"/>
      <c r="DV238" s="567"/>
      <c r="DW238" s="567"/>
      <c r="DX238" s="567"/>
      <c r="DY238" s="567"/>
      <c r="DZ238" s="567"/>
      <c r="EA238" s="567"/>
      <c r="EB238" s="567"/>
      <c r="EC238" s="567"/>
      <c r="ED238" s="567"/>
      <c r="EE238" s="567"/>
      <c r="EF238" s="567"/>
      <c r="EG238" s="567"/>
      <c r="EH238" s="567"/>
      <c r="EI238" s="567"/>
      <c r="EJ238" s="567"/>
      <c r="EK238" s="567"/>
      <c r="EL238" s="567"/>
      <c r="EM238" s="567"/>
      <c r="EN238" s="567"/>
      <c r="EO238" s="567"/>
      <c r="EP238" s="567"/>
      <c r="EQ238" s="567"/>
      <c r="ER238" s="567"/>
      <c r="ES238" s="567"/>
      <c r="ET238" s="567"/>
      <c r="EU238" s="567"/>
      <c r="EV238" s="567"/>
      <c r="EW238" s="567"/>
      <c r="EX238" s="567"/>
      <c r="EY238" s="567"/>
      <c r="EZ238" s="567"/>
      <c r="FA238" s="567"/>
      <c r="FB238" s="567"/>
      <c r="FC238" s="567"/>
      <c r="FD238" s="567"/>
      <c r="FE238" s="567"/>
      <c r="FF238" s="567"/>
      <c r="FG238" s="567"/>
      <c r="FH238" s="567"/>
      <c r="FI238" s="567"/>
      <c r="FJ238" s="567"/>
      <c r="FK238" s="567"/>
      <c r="FL238" s="567"/>
      <c r="FM238" s="567"/>
      <c r="FN238" s="567"/>
      <c r="FO238" s="567"/>
      <c r="FP238" s="567"/>
      <c r="FQ238" s="567"/>
      <c r="FR238" s="567"/>
      <c r="FS238" s="567"/>
      <c r="FT238" s="567"/>
      <c r="FU238" s="567"/>
      <c r="FV238" s="567"/>
      <c r="FW238" s="567"/>
      <c r="FX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  <c r="BW239" s="567"/>
      <c r="BX239" s="567"/>
      <c r="BY239" s="567"/>
      <c r="BZ239" s="567"/>
      <c r="CA239" s="567"/>
      <c r="CB239" s="567"/>
      <c r="CC239" s="567"/>
      <c r="CD239" s="567"/>
      <c r="CE239" s="567"/>
      <c r="CF239" s="567"/>
      <c r="CG239" s="567"/>
      <c r="CH239" s="567"/>
      <c r="CI239" s="567"/>
      <c r="CJ239" s="567"/>
      <c r="CK239" s="567"/>
      <c r="CL239" s="567"/>
      <c r="CM239" s="567"/>
      <c r="CN239" s="567"/>
      <c r="CO239" s="567"/>
      <c r="CP239" s="567"/>
      <c r="CQ239" s="567"/>
      <c r="CR239" s="567"/>
      <c r="CS239" s="567"/>
      <c r="CT239" s="567"/>
      <c r="CU239" s="567"/>
      <c r="CV239" s="567"/>
      <c r="CW239" s="567"/>
      <c r="CX239" s="567"/>
      <c r="CY239" s="567"/>
      <c r="CZ239" s="567"/>
      <c r="DA239" s="567"/>
      <c r="DB239" s="567"/>
      <c r="DC239" s="567"/>
      <c r="DD239" s="567"/>
      <c r="DE239" s="567"/>
      <c r="DF239" s="567"/>
      <c r="DG239" s="567"/>
      <c r="DH239" s="567"/>
      <c r="DI239" s="567"/>
      <c r="DJ239" s="567"/>
      <c r="DK239" s="567"/>
      <c r="DL239" s="567"/>
      <c r="DM239" s="567"/>
      <c r="DN239" s="567"/>
      <c r="DO239" s="567"/>
      <c r="DP239" s="567"/>
      <c r="DQ239" s="567"/>
      <c r="DR239" s="567"/>
      <c r="DS239" s="567"/>
      <c r="DT239" s="567"/>
      <c r="DU239" s="567"/>
      <c r="DV239" s="567"/>
      <c r="DW239" s="567"/>
      <c r="DX239" s="567"/>
      <c r="DY239" s="567"/>
      <c r="DZ239" s="567"/>
      <c r="EA239" s="567"/>
      <c r="EB239" s="567"/>
      <c r="EC239" s="567"/>
      <c r="ED239" s="567"/>
      <c r="EE239" s="567"/>
      <c r="EF239" s="567"/>
      <c r="EG239" s="567"/>
      <c r="EH239" s="567"/>
      <c r="EI239" s="567"/>
      <c r="EJ239" s="567"/>
      <c r="EK239" s="567"/>
      <c r="EL239" s="567"/>
      <c r="EM239" s="567"/>
      <c r="EN239" s="567"/>
      <c r="EO239" s="567"/>
      <c r="EP239" s="567"/>
      <c r="EQ239" s="567"/>
      <c r="ER239" s="567"/>
      <c r="ES239" s="567"/>
      <c r="ET239" s="567"/>
      <c r="EU239" s="567"/>
      <c r="EV239" s="567"/>
      <c r="EW239" s="567"/>
      <c r="EX239" s="567"/>
      <c r="EY239" s="567"/>
      <c r="EZ239" s="567"/>
      <c r="FA239" s="567"/>
      <c r="FB239" s="567"/>
      <c r="FC239" s="567"/>
      <c r="FD239" s="567"/>
      <c r="FE239" s="567"/>
      <c r="FF239" s="567"/>
      <c r="FG239" s="567"/>
      <c r="FH239" s="567"/>
      <c r="FI239" s="567"/>
      <c r="FJ239" s="567"/>
      <c r="FK239" s="567"/>
      <c r="FL239" s="567"/>
      <c r="FM239" s="567"/>
      <c r="FN239" s="567"/>
      <c r="FO239" s="567"/>
      <c r="FP239" s="567"/>
      <c r="FQ239" s="567"/>
      <c r="FR239" s="567"/>
      <c r="FS239" s="567"/>
      <c r="FT239" s="567"/>
      <c r="FU239" s="567"/>
      <c r="FV239" s="567"/>
      <c r="FW239" s="567"/>
      <c r="FX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  <c r="BW240" s="567"/>
      <c r="BX240" s="567"/>
      <c r="BY240" s="567"/>
      <c r="BZ240" s="567"/>
      <c r="CA240" s="567"/>
      <c r="CB240" s="567"/>
      <c r="CC240" s="567"/>
      <c r="CD240" s="567"/>
      <c r="CE240" s="567"/>
      <c r="CF240" s="567"/>
      <c r="CG240" s="567"/>
      <c r="CH240" s="567"/>
      <c r="CI240" s="567"/>
      <c r="CJ240" s="567"/>
      <c r="CK240" s="567"/>
      <c r="CL240" s="567"/>
      <c r="CM240" s="567"/>
      <c r="CN240" s="567"/>
      <c r="CO240" s="567"/>
      <c r="CP240" s="567"/>
      <c r="CQ240" s="567"/>
      <c r="CR240" s="567"/>
      <c r="CS240" s="567"/>
      <c r="CT240" s="567"/>
      <c r="CU240" s="567"/>
      <c r="CV240" s="567"/>
      <c r="CW240" s="567"/>
      <c r="CX240" s="567"/>
      <c r="CY240" s="567"/>
      <c r="CZ240" s="567"/>
      <c r="DA240" s="567"/>
      <c r="DB240" s="567"/>
      <c r="DC240" s="567"/>
      <c r="DD240" s="567"/>
      <c r="DE240" s="567"/>
      <c r="DF240" s="567"/>
      <c r="DG240" s="567"/>
      <c r="DH240" s="567"/>
      <c r="DI240" s="567"/>
      <c r="DJ240" s="567"/>
      <c r="DK240" s="567"/>
      <c r="DL240" s="567"/>
      <c r="DM240" s="567"/>
      <c r="DN240" s="567"/>
      <c r="DO240" s="567"/>
      <c r="DP240" s="567"/>
      <c r="DQ240" s="567"/>
      <c r="DR240" s="567"/>
      <c r="DS240" s="567"/>
      <c r="DT240" s="567"/>
      <c r="DU240" s="567"/>
      <c r="DV240" s="567"/>
      <c r="DW240" s="567"/>
      <c r="DX240" s="567"/>
      <c r="DY240" s="567"/>
      <c r="DZ240" s="567"/>
      <c r="EA240" s="567"/>
      <c r="EB240" s="567"/>
      <c r="EC240" s="567"/>
      <c r="ED240" s="567"/>
      <c r="EE240" s="567"/>
      <c r="EF240" s="567"/>
      <c r="EG240" s="567"/>
      <c r="EH240" s="567"/>
      <c r="EI240" s="567"/>
      <c r="EJ240" s="567"/>
      <c r="EK240" s="567"/>
      <c r="EL240" s="567"/>
      <c r="EM240" s="567"/>
      <c r="EN240" s="567"/>
      <c r="EO240" s="567"/>
      <c r="EP240" s="567"/>
      <c r="EQ240" s="567"/>
      <c r="ER240" s="567"/>
      <c r="ES240" s="567"/>
      <c r="ET240" s="567"/>
      <c r="EU240" s="567"/>
      <c r="EV240" s="567"/>
      <c r="EW240" s="567"/>
      <c r="EX240" s="567"/>
      <c r="EY240" s="567"/>
      <c r="EZ240" s="567"/>
      <c r="FA240" s="567"/>
      <c r="FB240" s="567"/>
      <c r="FC240" s="567"/>
      <c r="FD240" s="567"/>
      <c r="FE240" s="567"/>
      <c r="FF240" s="567"/>
      <c r="FG240" s="567"/>
      <c r="FH240" s="567"/>
      <c r="FI240" s="567"/>
      <c r="FJ240" s="567"/>
      <c r="FK240" s="567"/>
      <c r="FL240" s="567"/>
      <c r="FM240" s="567"/>
      <c r="FN240" s="567"/>
      <c r="FO240" s="567"/>
      <c r="FP240" s="567"/>
      <c r="FQ240" s="567"/>
      <c r="FR240" s="567"/>
      <c r="FS240" s="567"/>
      <c r="FT240" s="567"/>
      <c r="FU240" s="567"/>
      <c r="FV240" s="567"/>
      <c r="FW240" s="567"/>
      <c r="FX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  <c r="BW241" s="567"/>
      <c r="BX241" s="567"/>
      <c r="BY241" s="567"/>
      <c r="BZ241" s="567"/>
      <c r="CA241" s="567"/>
      <c r="CB241" s="567"/>
      <c r="CC241" s="567"/>
      <c r="CD241" s="567"/>
      <c r="CE241" s="567"/>
      <c r="CF241" s="567"/>
      <c r="CG241" s="567"/>
      <c r="CH241" s="567"/>
      <c r="CI241" s="567"/>
      <c r="CJ241" s="567"/>
      <c r="CK241" s="567"/>
      <c r="CL241" s="567"/>
      <c r="CM241" s="567"/>
      <c r="CN241" s="567"/>
      <c r="CO241" s="567"/>
      <c r="CP241" s="567"/>
      <c r="CQ241" s="567"/>
      <c r="CR241" s="567"/>
      <c r="CS241" s="567"/>
      <c r="CT241" s="567"/>
      <c r="CU241" s="567"/>
      <c r="CV241" s="567"/>
      <c r="CW241" s="567"/>
      <c r="CX241" s="567"/>
      <c r="CY241" s="567"/>
      <c r="CZ241" s="567"/>
      <c r="DA241" s="567"/>
      <c r="DB241" s="567"/>
      <c r="DC241" s="567"/>
      <c r="DD241" s="567"/>
      <c r="DE241" s="567"/>
      <c r="DF241" s="567"/>
      <c r="DG241" s="567"/>
      <c r="DH241" s="567"/>
      <c r="DI241" s="567"/>
      <c r="DJ241" s="567"/>
      <c r="DK241" s="567"/>
      <c r="DL241" s="567"/>
      <c r="DM241" s="567"/>
      <c r="DN241" s="567"/>
      <c r="DO241" s="567"/>
      <c r="DP241" s="567"/>
      <c r="DQ241" s="567"/>
      <c r="DR241" s="567"/>
      <c r="DS241" s="567"/>
      <c r="DT241" s="567"/>
      <c r="DU241" s="567"/>
      <c r="DV241" s="567"/>
      <c r="DW241" s="567"/>
      <c r="DX241" s="567"/>
      <c r="DY241" s="567"/>
      <c r="DZ241" s="567"/>
      <c r="EA241" s="567"/>
      <c r="EB241" s="567"/>
      <c r="EC241" s="567"/>
      <c r="ED241" s="567"/>
      <c r="EE241" s="567"/>
      <c r="EF241" s="567"/>
      <c r="EG241" s="567"/>
      <c r="EH241" s="567"/>
      <c r="EI241" s="567"/>
      <c r="EJ241" s="567"/>
      <c r="EK241" s="567"/>
      <c r="EL241" s="567"/>
      <c r="EM241" s="567"/>
      <c r="EN241" s="567"/>
      <c r="EO241" s="567"/>
      <c r="EP241" s="567"/>
      <c r="EQ241" s="567"/>
      <c r="ER241" s="567"/>
      <c r="ES241" s="567"/>
      <c r="ET241" s="567"/>
      <c r="EU241" s="567"/>
      <c r="EV241" s="567"/>
      <c r="EW241" s="567"/>
      <c r="EX241" s="567"/>
      <c r="EY241" s="567"/>
      <c r="EZ241" s="567"/>
      <c r="FA241" s="567"/>
      <c r="FB241" s="567"/>
      <c r="FC241" s="567"/>
      <c r="FD241" s="567"/>
      <c r="FE241" s="567"/>
      <c r="FF241" s="567"/>
      <c r="FG241" s="567"/>
      <c r="FH241" s="567"/>
      <c r="FI241" s="567"/>
      <c r="FJ241" s="567"/>
      <c r="FK241" s="567"/>
      <c r="FL241" s="567"/>
      <c r="FM241" s="567"/>
      <c r="FN241" s="567"/>
      <c r="FO241" s="567"/>
      <c r="FP241" s="567"/>
      <c r="FQ241" s="567"/>
      <c r="FR241" s="567"/>
      <c r="FS241" s="567"/>
      <c r="FT241" s="567"/>
      <c r="FU241" s="567"/>
      <c r="FV241" s="567"/>
      <c r="FW241" s="567"/>
      <c r="FX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  <c r="BW242" s="567"/>
      <c r="BX242" s="567"/>
      <c r="BY242" s="567"/>
      <c r="BZ242" s="567"/>
      <c r="CA242" s="567"/>
      <c r="CB242" s="567"/>
      <c r="CC242" s="567"/>
      <c r="CD242" s="567"/>
      <c r="CE242" s="567"/>
      <c r="CF242" s="567"/>
      <c r="CG242" s="567"/>
      <c r="CH242" s="567"/>
      <c r="CI242" s="567"/>
      <c r="CJ242" s="567"/>
      <c r="CK242" s="567"/>
      <c r="CL242" s="567"/>
      <c r="CM242" s="567"/>
      <c r="CN242" s="567"/>
      <c r="CO242" s="567"/>
      <c r="CP242" s="567"/>
      <c r="CQ242" s="567"/>
      <c r="CR242" s="567"/>
      <c r="CS242" s="567"/>
      <c r="CT242" s="567"/>
      <c r="CU242" s="567"/>
      <c r="CV242" s="567"/>
      <c r="CW242" s="567"/>
      <c r="CX242" s="567"/>
      <c r="CY242" s="567"/>
      <c r="CZ242" s="567"/>
      <c r="DA242" s="567"/>
      <c r="DB242" s="567"/>
      <c r="DC242" s="567"/>
      <c r="DD242" s="567"/>
      <c r="DE242" s="567"/>
      <c r="DF242" s="567"/>
      <c r="DG242" s="567"/>
      <c r="DH242" s="567"/>
      <c r="DI242" s="567"/>
      <c r="DJ242" s="567"/>
      <c r="DK242" s="567"/>
      <c r="DL242" s="567"/>
      <c r="DM242" s="567"/>
      <c r="DN242" s="567"/>
      <c r="DO242" s="567"/>
      <c r="DP242" s="567"/>
      <c r="DQ242" s="567"/>
      <c r="DR242" s="567"/>
      <c r="DS242" s="567"/>
      <c r="DT242" s="567"/>
      <c r="DU242" s="567"/>
      <c r="DV242" s="567"/>
      <c r="DW242" s="567"/>
      <c r="DX242" s="567"/>
      <c r="DY242" s="567"/>
      <c r="DZ242" s="567"/>
      <c r="EA242" s="567"/>
      <c r="EB242" s="567"/>
      <c r="EC242" s="567"/>
      <c r="ED242" s="567"/>
      <c r="EE242" s="567"/>
      <c r="EF242" s="567"/>
      <c r="EG242" s="567"/>
      <c r="EH242" s="567"/>
      <c r="EI242" s="567"/>
      <c r="EJ242" s="567"/>
      <c r="EK242" s="567"/>
      <c r="EL242" s="567"/>
      <c r="EM242" s="567"/>
      <c r="EN242" s="567"/>
      <c r="EO242" s="567"/>
      <c r="EP242" s="567"/>
      <c r="EQ242" s="567"/>
      <c r="ER242" s="567"/>
      <c r="ES242" s="567"/>
      <c r="ET242" s="567"/>
      <c r="EU242" s="567"/>
      <c r="EV242" s="567"/>
      <c r="EW242" s="567"/>
      <c r="EX242" s="567"/>
      <c r="EY242" s="567"/>
      <c r="EZ242" s="567"/>
      <c r="FA242" s="567"/>
      <c r="FB242" s="567"/>
      <c r="FC242" s="567"/>
      <c r="FD242" s="567"/>
      <c r="FE242" s="567"/>
      <c r="FF242" s="567"/>
      <c r="FG242" s="567"/>
      <c r="FH242" s="567"/>
      <c r="FI242" s="567"/>
      <c r="FJ242" s="567"/>
      <c r="FK242" s="567"/>
      <c r="FL242" s="567"/>
      <c r="FM242" s="567"/>
      <c r="FN242" s="567"/>
      <c r="FO242" s="567"/>
      <c r="FP242" s="567"/>
      <c r="FQ242" s="567"/>
      <c r="FR242" s="567"/>
      <c r="FS242" s="567"/>
      <c r="FT242" s="567"/>
      <c r="FU242" s="567"/>
      <c r="FV242" s="567"/>
      <c r="FW242" s="567"/>
      <c r="FX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  <c r="BW243" s="567"/>
      <c r="BX243" s="567"/>
      <c r="BY243" s="567"/>
      <c r="BZ243" s="567"/>
      <c r="CA243" s="567"/>
      <c r="CB243" s="567"/>
      <c r="CC243" s="567"/>
      <c r="CD243" s="567"/>
      <c r="CE243" s="567"/>
      <c r="CF243" s="567"/>
      <c r="CG243" s="567"/>
      <c r="CH243" s="567"/>
      <c r="CI243" s="567"/>
      <c r="CJ243" s="567"/>
      <c r="CK243" s="567"/>
      <c r="CL243" s="567"/>
      <c r="CM243" s="567"/>
      <c r="CN243" s="567"/>
      <c r="CO243" s="567"/>
      <c r="CP243" s="567"/>
      <c r="CQ243" s="567"/>
      <c r="CR243" s="567"/>
      <c r="CS243" s="567"/>
      <c r="CT243" s="567"/>
      <c r="CU243" s="567"/>
      <c r="CV243" s="567"/>
      <c r="CW243" s="567"/>
      <c r="CX243" s="567"/>
      <c r="CY243" s="567"/>
      <c r="CZ243" s="567"/>
      <c r="DA243" s="567"/>
      <c r="DB243" s="567"/>
      <c r="DC243" s="567"/>
      <c r="DD243" s="567"/>
      <c r="DE243" s="567"/>
      <c r="DF243" s="567"/>
      <c r="DG243" s="567"/>
      <c r="DH243" s="567"/>
      <c r="DI243" s="567"/>
      <c r="DJ243" s="567"/>
      <c r="DK243" s="567"/>
      <c r="DL243" s="567"/>
      <c r="DM243" s="567"/>
      <c r="DN243" s="567"/>
      <c r="DO243" s="567"/>
      <c r="DP243" s="567"/>
      <c r="DQ243" s="567"/>
      <c r="DR243" s="567"/>
      <c r="DS243" s="567"/>
      <c r="DT243" s="567"/>
      <c r="DU243" s="567"/>
      <c r="DV243" s="567"/>
      <c r="DW243" s="567"/>
      <c r="DX243" s="567"/>
      <c r="DY243" s="567"/>
      <c r="DZ243" s="567"/>
      <c r="EA243" s="567"/>
      <c r="EB243" s="567"/>
      <c r="EC243" s="567"/>
      <c r="ED243" s="567"/>
      <c r="EE243" s="567"/>
      <c r="EF243" s="567"/>
      <c r="EG243" s="567"/>
      <c r="EH243" s="567"/>
      <c r="EI243" s="567"/>
      <c r="EJ243" s="567"/>
      <c r="EK243" s="567"/>
      <c r="EL243" s="567"/>
      <c r="EM243" s="567"/>
      <c r="EN243" s="567"/>
      <c r="EO243" s="567"/>
      <c r="EP243" s="567"/>
      <c r="EQ243" s="567"/>
      <c r="ER243" s="567"/>
      <c r="ES243" s="567"/>
      <c r="ET243" s="567"/>
      <c r="EU243" s="567"/>
      <c r="EV243" s="567"/>
      <c r="EW243" s="567"/>
      <c r="EX243" s="567"/>
      <c r="EY243" s="567"/>
      <c r="EZ243" s="567"/>
      <c r="FA243" s="567"/>
      <c r="FB243" s="567"/>
      <c r="FC243" s="567"/>
      <c r="FD243" s="567"/>
      <c r="FE243" s="567"/>
      <c r="FF243" s="567"/>
      <c r="FG243" s="567"/>
      <c r="FH243" s="567"/>
      <c r="FI243" s="567"/>
      <c r="FJ243" s="567"/>
      <c r="FK243" s="567"/>
      <c r="FL243" s="567"/>
      <c r="FM243" s="567"/>
      <c r="FN243" s="567"/>
      <c r="FO243" s="567"/>
      <c r="FP243" s="567"/>
      <c r="FQ243" s="567"/>
      <c r="FR243" s="567"/>
      <c r="FS243" s="567"/>
      <c r="FT243" s="567"/>
      <c r="FU243" s="567"/>
      <c r="FV243" s="567"/>
      <c r="FW243" s="567"/>
      <c r="FX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  <c r="BW244" s="567"/>
      <c r="BX244" s="567"/>
      <c r="BY244" s="567"/>
      <c r="BZ244" s="567"/>
      <c r="CA244" s="567"/>
      <c r="CB244" s="567"/>
      <c r="CC244" s="567"/>
      <c r="CD244" s="567"/>
      <c r="CE244" s="567"/>
      <c r="CF244" s="567"/>
      <c r="CG244" s="567"/>
      <c r="CH244" s="567"/>
      <c r="CI244" s="567"/>
      <c r="CJ244" s="567"/>
      <c r="CK244" s="567"/>
      <c r="CL244" s="567"/>
      <c r="CM244" s="567"/>
      <c r="CN244" s="567"/>
      <c r="CO244" s="567"/>
      <c r="CP244" s="567"/>
      <c r="CQ244" s="567"/>
      <c r="CR244" s="567"/>
      <c r="CS244" s="567"/>
      <c r="CT244" s="567"/>
      <c r="CU244" s="567"/>
      <c r="CV244" s="567"/>
      <c r="CW244" s="567"/>
      <c r="CX244" s="567"/>
      <c r="CY244" s="567"/>
      <c r="CZ244" s="567"/>
      <c r="DA244" s="567"/>
      <c r="DB244" s="567"/>
      <c r="DC244" s="567"/>
      <c r="DD244" s="567"/>
      <c r="DE244" s="567"/>
      <c r="DF244" s="567"/>
      <c r="DG244" s="567"/>
      <c r="DH244" s="567"/>
      <c r="DI244" s="567"/>
      <c r="DJ244" s="567"/>
      <c r="DK244" s="567"/>
      <c r="DL244" s="567"/>
      <c r="DM244" s="567"/>
      <c r="DN244" s="567"/>
      <c r="DO244" s="567"/>
      <c r="DP244" s="567"/>
      <c r="DQ244" s="567"/>
      <c r="DR244" s="567"/>
      <c r="DS244" s="567"/>
      <c r="DT244" s="567"/>
      <c r="DU244" s="567"/>
      <c r="DV244" s="567"/>
      <c r="DW244" s="567"/>
      <c r="DX244" s="567"/>
      <c r="DY244" s="567"/>
      <c r="DZ244" s="567"/>
      <c r="EA244" s="567"/>
      <c r="EB244" s="567"/>
      <c r="EC244" s="567"/>
      <c r="ED244" s="567"/>
      <c r="EE244" s="567"/>
      <c r="EF244" s="567"/>
      <c r="EG244" s="567"/>
      <c r="EH244" s="567"/>
      <c r="EI244" s="567"/>
      <c r="EJ244" s="567"/>
      <c r="EK244" s="567"/>
      <c r="EL244" s="567"/>
      <c r="EM244" s="567"/>
      <c r="EN244" s="567"/>
      <c r="EO244" s="567"/>
      <c r="EP244" s="567"/>
      <c r="EQ244" s="567"/>
      <c r="ER244" s="567"/>
      <c r="ES244" s="567"/>
      <c r="ET244" s="567"/>
      <c r="EU244" s="567"/>
      <c r="EV244" s="567"/>
      <c r="EW244" s="567"/>
      <c r="EX244" s="567"/>
      <c r="EY244" s="567"/>
      <c r="EZ244" s="567"/>
      <c r="FA244" s="567"/>
      <c r="FB244" s="567"/>
      <c r="FC244" s="567"/>
      <c r="FD244" s="567"/>
      <c r="FE244" s="567"/>
      <c r="FF244" s="567"/>
      <c r="FG244" s="567"/>
      <c r="FH244" s="567"/>
      <c r="FI244" s="567"/>
      <c r="FJ244" s="567"/>
      <c r="FK244" s="567"/>
      <c r="FL244" s="567"/>
      <c r="FM244" s="567"/>
      <c r="FN244" s="567"/>
      <c r="FO244" s="567"/>
      <c r="FP244" s="567"/>
      <c r="FQ244" s="567"/>
      <c r="FR244" s="567"/>
      <c r="FS244" s="567"/>
      <c r="FT244" s="567"/>
      <c r="FU244" s="567"/>
      <c r="FV244" s="567"/>
      <c r="FW244" s="567"/>
      <c r="FX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  <c r="BW245" s="567"/>
      <c r="BX245" s="567"/>
      <c r="BY245" s="567"/>
      <c r="BZ245" s="567"/>
      <c r="CA245" s="567"/>
      <c r="CB245" s="567"/>
      <c r="CC245" s="567"/>
      <c r="CD245" s="567"/>
      <c r="CE245" s="567"/>
      <c r="CF245" s="567"/>
      <c r="CG245" s="567"/>
      <c r="CH245" s="567"/>
      <c r="CI245" s="567"/>
      <c r="CJ245" s="567"/>
      <c r="CK245" s="567"/>
      <c r="CL245" s="567"/>
      <c r="CM245" s="567"/>
      <c r="CN245" s="567"/>
      <c r="CO245" s="567"/>
      <c r="CP245" s="567"/>
      <c r="CQ245" s="567"/>
      <c r="CR245" s="567"/>
      <c r="CS245" s="567"/>
      <c r="CT245" s="567"/>
      <c r="CU245" s="567"/>
      <c r="CV245" s="567"/>
      <c r="CW245" s="567"/>
      <c r="CX245" s="567"/>
      <c r="CY245" s="567"/>
      <c r="CZ245" s="567"/>
      <c r="DA245" s="567"/>
      <c r="DB245" s="567"/>
      <c r="DC245" s="567"/>
      <c r="DD245" s="567"/>
      <c r="DE245" s="567"/>
      <c r="DF245" s="567"/>
      <c r="DG245" s="567"/>
      <c r="DH245" s="567"/>
      <c r="DI245" s="567"/>
      <c r="DJ245" s="567"/>
      <c r="DK245" s="567"/>
      <c r="DL245" s="567"/>
      <c r="DM245" s="567"/>
      <c r="DN245" s="567"/>
      <c r="DO245" s="567"/>
      <c r="DP245" s="567"/>
      <c r="DQ245" s="567"/>
      <c r="DR245" s="567"/>
      <c r="DS245" s="567"/>
      <c r="DT245" s="567"/>
      <c r="DU245" s="567"/>
      <c r="DV245" s="567"/>
      <c r="DW245" s="567"/>
      <c r="DX245" s="567"/>
      <c r="DY245" s="567"/>
      <c r="DZ245" s="567"/>
      <c r="EA245" s="567"/>
      <c r="EB245" s="567"/>
      <c r="EC245" s="567"/>
      <c r="ED245" s="567"/>
      <c r="EE245" s="567"/>
      <c r="EF245" s="567"/>
      <c r="EG245" s="567"/>
      <c r="EH245" s="567"/>
      <c r="EI245" s="567"/>
      <c r="EJ245" s="567"/>
      <c r="EK245" s="567"/>
      <c r="EL245" s="567"/>
      <c r="EM245" s="567"/>
      <c r="EN245" s="567"/>
      <c r="EO245" s="567"/>
      <c r="EP245" s="567"/>
      <c r="EQ245" s="567"/>
      <c r="ER245" s="567"/>
      <c r="ES245" s="567"/>
      <c r="ET245" s="567"/>
      <c r="EU245" s="567"/>
      <c r="EV245" s="567"/>
      <c r="EW245" s="567"/>
      <c r="EX245" s="567"/>
      <c r="EY245" s="567"/>
      <c r="EZ245" s="567"/>
      <c r="FA245" s="567"/>
      <c r="FB245" s="567"/>
      <c r="FC245" s="567"/>
      <c r="FD245" s="567"/>
      <c r="FE245" s="567"/>
      <c r="FF245" s="567"/>
      <c r="FG245" s="567"/>
      <c r="FH245" s="567"/>
      <c r="FI245" s="567"/>
      <c r="FJ245" s="567"/>
      <c r="FK245" s="567"/>
      <c r="FL245" s="567"/>
      <c r="FM245" s="567"/>
      <c r="FN245" s="567"/>
      <c r="FO245" s="567"/>
      <c r="FP245" s="567"/>
      <c r="FQ245" s="567"/>
      <c r="FR245" s="567"/>
      <c r="FS245" s="567"/>
      <c r="FT245" s="567"/>
      <c r="FU245" s="567"/>
      <c r="FV245" s="567"/>
      <c r="FW245" s="567"/>
      <c r="FX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  <c r="BW246" s="567"/>
      <c r="BX246" s="567"/>
      <c r="BY246" s="567"/>
      <c r="BZ246" s="567"/>
      <c r="CA246" s="567"/>
      <c r="CB246" s="567"/>
      <c r="CC246" s="567"/>
      <c r="CD246" s="567"/>
      <c r="CE246" s="567"/>
      <c r="CF246" s="567"/>
      <c r="CG246" s="567"/>
      <c r="CH246" s="567"/>
      <c r="CI246" s="567"/>
      <c r="CJ246" s="567"/>
      <c r="CK246" s="567"/>
      <c r="CL246" s="567"/>
      <c r="CM246" s="567"/>
      <c r="CN246" s="567"/>
      <c r="CO246" s="567"/>
      <c r="CP246" s="567"/>
      <c r="CQ246" s="567"/>
      <c r="CR246" s="567"/>
      <c r="CS246" s="567"/>
      <c r="CT246" s="567"/>
      <c r="CU246" s="567"/>
      <c r="CV246" s="567"/>
      <c r="CW246" s="567"/>
      <c r="CX246" s="567"/>
      <c r="CY246" s="567"/>
      <c r="CZ246" s="567"/>
      <c r="DA246" s="567"/>
      <c r="DB246" s="567"/>
      <c r="DC246" s="567"/>
      <c r="DD246" s="567"/>
      <c r="DE246" s="567"/>
      <c r="DF246" s="567"/>
      <c r="DG246" s="567"/>
      <c r="DH246" s="567"/>
      <c r="DI246" s="567"/>
      <c r="DJ246" s="567"/>
      <c r="DK246" s="567"/>
      <c r="DL246" s="567"/>
      <c r="DM246" s="567"/>
      <c r="DN246" s="567"/>
      <c r="DO246" s="567"/>
      <c r="DP246" s="567"/>
      <c r="DQ246" s="567"/>
      <c r="DR246" s="567"/>
      <c r="DS246" s="567"/>
      <c r="DT246" s="567"/>
      <c r="DU246" s="567"/>
      <c r="DV246" s="567"/>
      <c r="DW246" s="567"/>
      <c r="DX246" s="567"/>
      <c r="DY246" s="567"/>
      <c r="DZ246" s="567"/>
      <c r="EA246" s="567"/>
      <c r="EB246" s="567"/>
      <c r="EC246" s="567"/>
      <c r="ED246" s="567"/>
      <c r="EE246" s="567"/>
      <c r="EF246" s="567"/>
      <c r="EG246" s="567"/>
      <c r="EH246" s="567"/>
      <c r="EI246" s="567"/>
      <c r="EJ246" s="567"/>
      <c r="EK246" s="567"/>
      <c r="EL246" s="567"/>
      <c r="EM246" s="567"/>
      <c r="EN246" s="567"/>
      <c r="EO246" s="567"/>
      <c r="EP246" s="567"/>
      <c r="EQ246" s="567"/>
      <c r="ER246" s="567"/>
      <c r="ES246" s="567"/>
      <c r="ET246" s="567"/>
      <c r="EU246" s="567"/>
      <c r="EV246" s="567"/>
      <c r="EW246" s="567"/>
      <c r="EX246" s="567"/>
      <c r="EY246" s="567"/>
      <c r="EZ246" s="567"/>
      <c r="FA246" s="567"/>
      <c r="FB246" s="567"/>
      <c r="FC246" s="567"/>
      <c r="FD246" s="567"/>
      <c r="FE246" s="567"/>
      <c r="FF246" s="567"/>
      <c r="FG246" s="567"/>
      <c r="FH246" s="567"/>
      <c r="FI246" s="567"/>
      <c r="FJ246" s="567"/>
      <c r="FK246" s="567"/>
      <c r="FL246" s="567"/>
      <c r="FM246" s="567"/>
      <c r="FN246" s="567"/>
      <c r="FO246" s="567"/>
      <c r="FP246" s="567"/>
      <c r="FQ246" s="567"/>
      <c r="FR246" s="567"/>
      <c r="FS246" s="567"/>
      <c r="FT246" s="567"/>
      <c r="FU246" s="567"/>
      <c r="FV246" s="567"/>
      <c r="FW246" s="567"/>
      <c r="FX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  <c r="BW247" s="567"/>
      <c r="BX247" s="567"/>
      <c r="BY247" s="567"/>
      <c r="BZ247" s="567"/>
      <c r="CA247" s="567"/>
      <c r="CB247" s="567"/>
      <c r="CC247" s="567"/>
      <c r="CD247" s="567"/>
      <c r="CE247" s="567"/>
      <c r="CF247" s="567"/>
      <c r="CG247" s="567"/>
      <c r="CH247" s="567"/>
      <c r="CI247" s="567"/>
      <c r="CJ247" s="567"/>
      <c r="CK247" s="567"/>
      <c r="CL247" s="567"/>
      <c r="CM247" s="567"/>
      <c r="CN247" s="567"/>
      <c r="CO247" s="567"/>
      <c r="CP247" s="567"/>
      <c r="CQ247" s="567"/>
      <c r="CR247" s="567"/>
      <c r="CS247" s="567"/>
      <c r="CT247" s="567"/>
      <c r="CU247" s="567"/>
      <c r="CV247" s="567"/>
      <c r="CW247" s="567"/>
      <c r="CX247" s="567"/>
      <c r="CY247" s="567"/>
      <c r="CZ247" s="567"/>
      <c r="DA247" s="567"/>
      <c r="DB247" s="567"/>
      <c r="DC247" s="567"/>
      <c r="DD247" s="567"/>
      <c r="DE247" s="567"/>
      <c r="DF247" s="567"/>
      <c r="DG247" s="567"/>
      <c r="DH247" s="567"/>
      <c r="DI247" s="567"/>
      <c r="DJ247" s="567"/>
      <c r="DK247" s="567"/>
      <c r="DL247" s="567"/>
      <c r="DM247" s="567"/>
      <c r="DN247" s="567"/>
      <c r="DO247" s="567"/>
      <c r="DP247" s="567"/>
      <c r="DQ247" s="567"/>
      <c r="DR247" s="567"/>
      <c r="DS247" s="567"/>
      <c r="DT247" s="567"/>
      <c r="DU247" s="567"/>
      <c r="DV247" s="567"/>
      <c r="DW247" s="567"/>
      <c r="DX247" s="567"/>
      <c r="DY247" s="567"/>
      <c r="DZ247" s="567"/>
      <c r="EA247" s="567"/>
      <c r="EB247" s="567"/>
      <c r="EC247" s="567"/>
      <c r="ED247" s="567"/>
      <c r="EE247" s="567"/>
      <c r="EF247" s="567"/>
      <c r="EG247" s="567"/>
      <c r="EH247" s="567"/>
      <c r="EI247" s="567"/>
      <c r="EJ247" s="567"/>
      <c r="EK247" s="567"/>
      <c r="EL247" s="567"/>
      <c r="EM247" s="567"/>
      <c r="EN247" s="567"/>
      <c r="EO247" s="567"/>
      <c r="EP247" s="567"/>
      <c r="EQ247" s="567"/>
      <c r="ER247" s="567"/>
      <c r="ES247" s="567"/>
      <c r="ET247" s="567"/>
      <c r="EU247" s="567"/>
      <c r="EV247" s="567"/>
      <c r="EW247" s="567"/>
      <c r="EX247" s="567"/>
      <c r="EY247" s="567"/>
      <c r="EZ247" s="567"/>
      <c r="FA247" s="567"/>
      <c r="FB247" s="567"/>
      <c r="FC247" s="567"/>
      <c r="FD247" s="567"/>
      <c r="FE247" s="567"/>
      <c r="FF247" s="567"/>
      <c r="FG247" s="567"/>
      <c r="FH247" s="567"/>
      <c r="FI247" s="567"/>
      <c r="FJ247" s="567"/>
      <c r="FK247" s="567"/>
      <c r="FL247" s="567"/>
      <c r="FM247" s="567"/>
      <c r="FN247" s="567"/>
      <c r="FO247" s="567"/>
      <c r="FP247" s="567"/>
      <c r="FQ247" s="567"/>
      <c r="FR247" s="567"/>
      <c r="FS247" s="567"/>
      <c r="FT247" s="567"/>
      <c r="FU247" s="567"/>
      <c r="FV247" s="567"/>
      <c r="FW247" s="567"/>
      <c r="FX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  <c r="BW248" s="567"/>
      <c r="BX248" s="567"/>
      <c r="BY248" s="567"/>
      <c r="BZ248" s="567"/>
      <c r="CA248" s="567"/>
      <c r="CB248" s="567"/>
      <c r="CC248" s="567"/>
      <c r="CD248" s="567"/>
      <c r="CE248" s="567"/>
      <c r="CF248" s="567"/>
      <c r="CG248" s="567"/>
      <c r="CH248" s="567"/>
      <c r="CI248" s="567"/>
      <c r="CJ248" s="567"/>
      <c r="CK248" s="567"/>
      <c r="CL248" s="567"/>
      <c r="CM248" s="567"/>
      <c r="CN248" s="567"/>
      <c r="CO248" s="567"/>
      <c r="CP248" s="567"/>
      <c r="CQ248" s="567"/>
      <c r="CR248" s="567"/>
      <c r="CS248" s="567"/>
      <c r="CT248" s="567"/>
      <c r="CU248" s="567"/>
      <c r="CV248" s="567"/>
      <c r="CW248" s="567"/>
      <c r="CX248" s="567"/>
      <c r="CY248" s="567"/>
      <c r="CZ248" s="567"/>
      <c r="DA248" s="567"/>
      <c r="DB248" s="567"/>
      <c r="DC248" s="567"/>
      <c r="DD248" s="567"/>
      <c r="DE248" s="567"/>
      <c r="DF248" s="567"/>
      <c r="DG248" s="567"/>
      <c r="DH248" s="567"/>
      <c r="DI248" s="567"/>
      <c r="DJ248" s="567"/>
      <c r="DK248" s="567"/>
      <c r="DL248" s="567"/>
      <c r="DM248" s="567"/>
      <c r="DN248" s="567"/>
      <c r="DO248" s="567"/>
      <c r="DP248" s="567"/>
      <c r="DQ248" s="567"/>
      <c r="DR248" s="567"/>
      <c r="DS248" s="567"/>
      <c r="DT248" s="567"/>
      <c r="DU248" s="567"/>
      <c r="DV248" s="567"/>
      <c r="DW248" s="567"/>
      <c r="DX248" s="567"/>
      <c r="DY248" s="567"/>
      <c r="DZ248" s="567"/>
      <c r="EA248" s="567"/>
      <c r="EB248" s="567"/>
      <c r="EC248" s="567"/>
      <c r="ED248" s="567"/>
      <c r="EE248" s="567"/>
      <c r="EF248" s="567"/>
      <c r="EG248" s="567"/>
      <c r="EH248" s="567"/>
      <c r="EI248" s="567"/>
      <c r="EJ248" s="567"/>
      <c r="EK248" s="567"/>
      <c r="EL248" s="567"/>
      <c r="EM248" s="567"/>
      <c r="EN248" s="567"/>
      <c r="EO248" s="567"/>
      <c r="EP248" s="567"/>
      <c r="EQ248" s="567"/>
      <c r="ER248" s="567"/>
      <c r="ES248" s="567"/>
      <c r="ET248" s="567"/>
      <c r="EU248" s="567"/>
      <c r="EV248" s="567"/>
      <c r="EW248" s="567"/>
      <c r="EX248" s="567"/>
      <c r="EY248" s="567"/>
      <c r="EZ248" s="567"/>
      <c r="FA248" s="567"/>
      <c r="FB248" s="567"/>
      <c r="FC248" s="567"/>
      <c r="FD248" s="567"/>
      <c r="FE248" s="567"/>
      <c r="FF248" s="567"/>
      <c r="FG248" s="567"/>
      <c r="FH248" s="567"/>
      <c r="FI248" s="567"/>
      <c r="FJ248" s="567"/>
      <c r="FK248" s="567"/>
      <c r="FL248" s="567"/>
      <c r="FM248" s="567"/>
      <c r="FN248" s="567"/>
      <c r="FO248" s="567"/>
      <c r="FP248" s="567"/>
      <c r="FQ248" s="567"/>
      <c r="FR248" s="567"/>
      <c r="FS248" s="567"/>
      <c r="FT248" s="567"/>
      <c r="FU248" s="567"/>
      <c r="FV248" s="567"/>
      <c r="FW248" s="567"/>
      <c r="FX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  <c r="BW249" s="567"/>
      <c r="BX249" s="567"/>
      <c r="BY249" s="567"/>
      <c r="BZ249" s="567"/>
      <c r="CA249" s="567"/>
      <c r="CB249" s="567"/>
      <c r="CC249" s="567"/>
      <c r="CD249" s="567"/>
      <c r="CE249" s="567"/>
      <c r="CF249" s="567"/>
      <c r="CG249" s="567"/>
      <c r="CH249" s="567"/>
      <c r="CI249" s="567"/>
      <c r="CJ249" s="567"/>
      <c r="CK249" s="567"/>
      <c r="CL249" s="567"/>
      <c r="CM249" s="567"/>
      <c r="CN249" s="567"/>
      <c r="CO249" s="567"/>
      <c r="CP249" s="567"/>
      <c r="CQ249" s="567"/>
      <c r="CR249" s="567"/>
      <c r="CS249" s="567"/>
      <c r="CT249" s="567"/>
      <c r="CU249" s="567"/>
      <c r="CV249" s="567"/>
      <c r="CW249" s="567"/>
      <c r="CX249" s="567"/>
      <c r="CY249" s="567"/>
      <c r="CZ249" s="567"/>
      <c r="DA249" s="567"/>
      <c r="DB249" s="567"/>
      <c r="DC249" s="567"/>
      <c r="DD249" s="567"/>
      <c r="DE249" s="567"/>
      <c r="DF249" s="567"/>
      <c r="DG249" s="567"/>
      <c r="DH249" s="567"/>
      <c r="DI249" s="567"/>
      <c r="DJ249" s="567"/>
      <c r="DK249" s="567"/>
      <c r="DL249" s="567"/>
      <c r="DM249" s="567"/>
      <c r="DN249" s="567"/>
      <c r="DO249" s="567"/>
      <c r="DP249" s="567"/>
      <c r="DQ249" s="567"/>
      <c r="DR249" s="567"/>
      <c r="DS249" s="567"/>
      <c r="DT249" s="567"/>
      <c r="DU249" s="567"/>
      <c r="DV249" s="567"/>
      <c r="DW249" s="567"/>
      <c r="DX249" s="567"/>
      <c r="DY249" s="567"/>
      <c r="DZ249" s="567"/>
      <c r="EA249" s="567"/>
      <c r="EB249" s="567"/>
      <c r="EC249" s="567"/>
      <c r="ED249" s="567"/>
      <c r="EE249" s="567"/>
      <c r="EF249" s="567"/>
      <c r="EG249" s="567"/>
      <c r="EH249" s="567"/>
      <c r="EI249" s="567"/>
      <c r="EJ249" s="567"/>
      <c r="EK249" s="567"/>
      <c r="EL249" s="567"/>
      <c r="EM249" s="567"/>
      <c r="EN249" s="567"/>
      <c r="EO249" s="567"/>
      <c r="EP249" s="567"/>
      <c r="EQ249" s="567"/>
      <c r="ER249" s="567"/>
      <c r="ES249" s="567"/>
      <c r="ET249" s="567"/>
      <c r="EU249" s="567"/>
      <c r="EV249" s="567"/>
      <c r="EW249" s="567"/>
      <c r="EX249" s="567"/>
      <c r="EY249" s="567"/>
      <c r="EZ249" s="567"/>
      <c r="FA249" s="567"/>
      <c r="FB249" s="567"/>
      <c r="FC249" s="567"/>
      <c r="FD249" s="567"/>
      <c r="FE249" s="567"/>
      <c r="FF249" s="567"/>
      <c r="FG249" s="567"/>
      <c r="FH249" s="567"/>
      <c r="FI249" s="567"/>
      <c r="FJ249" s="567"/>
      <c r="FK249" s="567"/>
      <c r="FL249" s="567"/>
      <c r="FM249" s="567"/>
      <c r="FN249" s="567"/>
      <c r="FO249" s="567"/>
      <c r="FP249" s="567"/>
      <c r="FQ249" s="567"/>
      <c r="FR249" s="567"/>
      <c r="FS249" s="567"/>
      <c r="FT249" s="567"/>
      <c r="FU249" s="567"/>
      <c r="FV249" s="567"/>
      <c r="FW249" s="567"/>
      <c r="FX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  <c r="BW250" s="567"/>
      <c r="BX250" s="567"/>
      <c r="BY250" s="567"/>
      <c r="BZ250" s="567"/>
      <c r="CA250" s="567"/>
      <c r="CB250" s="567"/>
      <c r="CC250" s="567"/>
      <c r="CD250" s="567"/>
      <c r="CE250" s="567"/>
      <c r="CF250" s="567"/>
      <c r="CG250" s="567"/>
      <c r="CH250" s="567"/>
      <c r="CI250" s="567"/>
      <c r="CJ250" s="567"/>
      <c r="CK250" s="567"/>
      <c r="CL250" s="567"/>
      <c r="CM250" s="567"/>
      <c r="CN250" s="567"/>
      <c r="CO250" s="567"/>
      <c r="CP250" s="567"/>
      <c r="CQ250" s="567"/>
      <c r="CR250" s="567"/>
      <c r="CS250" s="567"/>
      <c r="CT250" s="567"/>
      <c r="CU250" s="567"/>
      <c r="CV250" s="567"/>
      <c r="CW250" s="567"/>
      <c r="CX250" s="567"/>
      <c r="CY250" s="567"/>
      <c r="CZ250" s="567"/>
      <c r="DA250" s="567"/>
      <c r="DB250" s="567"/>
      <c r="DC250" s="567"/>
      <c r="DD250" s="567"/>
      <c r="DE250" s="567"/>
      <c r="DF250" s="567"/>
      <c r="DG250" s="567"/>
      <c r="DH250" s="567"/>
      <c r="DI250" s="567"/>
      <c r="DJ250" s="567"/>
      <c r="DK250" s="567"/>
      <c r="DL250" s="567"/>
      <c r="DM250" s="567"/>
      <c r="DN250" s="567"/>
      <c r="DO250" s="567"/>
      <c r="DP250" s="567"/>
      <c r="DQ250" s="567"/>
      <c r="DR250" s="567"/>
      <c r="DS250" s="567"/>
      <c r="DT250" s="567"/>
      <c r="DU250" s="567"/>
      <c r="DV250" s="567"/>
      <c r="DW250" s="567"/>
      <c r="DX250" s="567"/>
      <c r="DY250" s="567"/>
      <c r="DZ250" s="567"/>
      <c r="EA250" s="567"/>
      <c r="EB250" s="567"/>
      <c r="EC250" s="567"/>
      <c r="ED250" s="567"/>
      <c r="EE250" s="567"/>
      <c r="EF250" s="567"/>
      <c r="EG250" s="567"/>
      <c r="EH250" s="567"/>
      <c r="EI250" s="567"/>
      <c r="EJ250" s="567"/>
      <c r="EK250" s="567"/>
      <c r="EL250" s="567"/>
      <c r="EM250" s="567"/>
      <c r="EN250" s="567"/>
      <c r="EO250" s="567"/>
      <c r="EP250" s="567"/>
      <c r="EQ250" s="567"/>
      <c r="ER250" s="567"/>
      <c r="ES250" s="567"/>
      <c r="ET250" s="567"/>
      <c r="EU250" s="567"/>
      <c r="EV250" s="567"/>
      <c r="EW250" s="567"/>
      <c r="EX250" s="567"/>
      <c r="EY250" s="567"/>
      <c r="EZ250" s="567"/>
      <c r="FA250" s="567"/>
      <c r="FB250" s="567"/>
      <c r="FC250" s="567"/>
      <c r="FD250" s="567"/>
      <c r="FE250" s="567"/>
      <c r="FF250" s="567"/>
      <c r="FG250" s="567"/>
      <c r="FH250" s="567"/>
      <c r="FI250" s="567"/>
      <c r="FJ250" s="567"/>
      <c r="FK250" s="567"/>
      <c r="FL250" s="567"/>
      <c r="FM250" s="567"/>
      <c r="FN250" s="567"/>
      <c r="FO250" s="567"/>
      <c r="FP250" s="567"/>
      <c r="FQ250" s="567"/>
      <c r="FR250" s="567"/>
      <c r="FS250" s="567"/>
      <c r="FT250" s="567"/>
      <c r="FU250" s="567"/>
      <c r="FV250" s="567"/>
      <c r="FW250" s="567"/>
      <c r="FX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  <c r="BW251" s="567"/>
      <c r="BX251" s="567"/>
      <c r="BY251" s="567"/>
      <c r="BZ251" s="567"/>
      <c r="CA251" s="567"/>
      <c r="CB251" s="567"/>
      <c r="CC251" s="567"/>
      <c r="CD251" s="567"/>
      <c r="CE251" s="567"/>
      <c r="CF251" s="567"/>
      <c r="CG251" s="567"/>
      <c r="CH251" s="567"/>
      <c r="CI251" s="567"/>
      <c r="CJ251" s="567"/>
      <c r="CK251" s="567"/>
      <c r="CL251" s="567"/>
      <c r="CM251" s="567"/>
      <c r="CN251" s="567"/>
      <c r="CO251" s="567"/>
      <c r="CP251" s="567"/>
      <c r="CQ251" s="567"/>
      <c r="CR251" s="567"/>
      <c r="CS251" s="567"/>
      <c r="CT251" s="567"/>
      <c r="CU251" s="567"/>
      <c r="CV251" s="567"/>
      <c r="CW251" s="567"/>
      <c r="CX251" s="567"/>
      <c r="CY251" s="567"/>
      <c r="CZ251" s="567"/>
      <c r="DA251" s="567"/>
      <c r="DB251" s="567"/>
      <c r="DC251" s="567"/>
      <c r="DD251" s="567"/>
      <c r="DE251" s="567"/>
      <c r="DF251" s="567"/>
      <c r="DG251" s="567"/>
      <c r="DH251" s="567"/>
      <c r="DI251" s="567"/>
      <c r="DJ251" s="567"/>
      <c r="DK251" s="567"/>
      <c r="DL251" s="567"/>
      <c r="DM251" s="567"/>
      <c r="DN251" s="567"/>
      <c r="DO251" s="567"/>
      <c r="DP251" s="567"/>
      <c r="DQ251" s="567"/>
      <c r="DR251" s="567"/>
      <c r="DS251" s="567"/>
      <c r="DT251" s="567"/>
      <c r="DU251" s="567"/>
      <c r="DV251" s="567"/>
      <c r="DW251" s="567"/>
      <c r="DX251" s="567"/>
      <c r="DY251" s="567"/>
      <c r="DZ251" s="567"/>
      <c r="EA251" s="567"/>
      <c r="EB251" s="567"/>
      <c r="EC251" s="567"/>
      <c r="ED251" s="567"/>
      <c r="EE251" s="567"/>
      <c r="EF251" s="567"/>
      <c r="EG251" s="567"/>
      <c r="EH251" s="567"/>
      <c r="EI251" s="567"/>
      <c r="EJ251" s="567"/>
      <c r="EK251" s="567"/>
      <c r="EL251" s="567"/>
      <c r="EM251" s="567"/>
      <c r="EN251" s="567"/>
      <c r="EO251" s="567"/>
      <c r="EP251" s="567"/>
      <c r="EQ251" s="567"/>
      <c r="ER251" s="567"/>
      <c r="ES251" s="567"/>
      <c r="ET251" s="567"/>
      <c r="EU251" s="567"/>
      <c r="EV251" s="567"/>
      <c r="EW251" s="567"/>
      <c r="EX251" s="567"/>
      <c r="EY251" s="567"/>
      <c r="EZ251" s="567"/>
      <c r="FA251" s="567"/>
      <c r="FB251" s="567"/>
      <c r="FC251" s="567"/>
      <c r="FD251" s="567"/>
      <c r="FE251" s="567"/>
      <c r="FF251" s="567"/>
      <c r="FG251" s="567"/>
      <c r="FH251" s="567"/>
      <c r="FI251" s="567"/>
      <c r="FJ251" s="567"/>
      <c r="FK251" s="567"/>
      <c r="FL251" s="567"/>
      <c r="FM251" s="567"/>
      <c r="FN251" s="567"/>
      <c r="FO251" s="567"/>
      <c r="FP251" s="567"/>
      <c r="FQ251" s="567"/>
      <c r="FR251" s="567"/>
      <c r="FS251" s="567"/>
      <c r="FT251" s="567"/>
      <c r="FU251" s="567"/>
      <c r="FV251" s="567"/>
      <c r="FW251" s="567"/>
      <c r="FX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  <c r="BW252" s="567"/>
      <c r="BX252" s="567"/>
      <c r="BY252" s="567"/>
      <c r="BZ252" s="567"/>
      <c r="CA252" s="567"/>
      <c r="CB252" s="567"/>
      <c r="CC252" s="567"/>
      <c r="CD252" s="567"/>
      <c r="CE252" s="567"/>
      <c r="CF252" s="567"/>
      <c r="CG252" s="567"/>
      <c r="CH252" s="567"/>
      <c r="CI252" s="567"/>
      <c r="CJ252" s="567"/>
      <c r="CK252" s="567"/>
      <c r="CL252" s="567"/>
      <c r="CM252" s="567"/>
      <c r="CN252" s="567"/>
      <c r="CO252" s="567"/>
      <c r="CP252" s="567"/>
      <c r="CQ252" s="567"/>
      <c r="CR252" s="567"/>
      <c r="CS252" s="567"/>
      <c r="CT252" s="567"/>
      <c r="CU252" s="567"/>
      <c r="CV252" s="567"/>
      <c r="CW252" s="567"/>
      <c r="CX252" s="567"/>
      <c r="CY252" s="567"/>
      <c r="CZ252" s="567"/>
      <c r="DA252" s="567"/>
      <c r="DB252" s="567"/>
      <c r="DC252" s="567"/>
      <c r="DD252" s="567"/>
      <c r="DE252" s="567"/>
      <c r="DF252" s="567"/>
      <c r="DG252" s="567"/>
      <c r="DH252" s="567"/>
      <c r="DI252" s="567"/>
      <c r="DJ252" s="567"/>
      <c r="DK252" s="567"/>
      <c r="DL252" s="567"/>
      <c r="DM252" s="567"/>
      <c r="DN252" s="567"/>
      <c r="DO252" s="567"/>
      <c r="DP252" s="567"/>
      <c r="DQ252" s="567"/>
      <c r="DR252" s="567"/>
      <c r="DS252" s="567"/>
      <c r="DT252" s="567"/>
      <c r="DU252" s="567"/>
      <c r="DV252" s="567"/>
      <c r="DW252" s="567"/>
      <c r="DX252" s="567"/>
      <c r="DY252" s="567"/>
      <c r="DZ252" s="567"/>
      <c r="EA252" s="567"/>
      <c r="EB252" s="567"/>
      <c r="EC252" s="567"/>
      <c r="ED252" s="567"/>
      <c r="EE252" s="567"/>
      <c r="EF252" s="567"/>
      <c r="EG252" s="567"/>
      <c r="EH252" s="567"/>
      <c r="EI252" s="567"/>
      <c r="EJ252" s="567"/>
      <c r="EK252" s="567"/>
      <c r="EL252" s="567"/>
      <c r="EM252" s="567"/>
      <c r="EN252" s="567"/>
      <c r="EO252" s="567"/>
      <c r="EP252" s="567"/>
      <c r="EQ252" s="567"/>
      <c r="ER252" s="567"/>
      <c r="ES252" s="567"/>
      <c r="ET252" s="567"/>
      <c r="EU252" s="567"/>
      <c r="EV252" s="567"/>
      <c r="EW252" s="567"/>
      <c r="EX252" s="567"/>
      <c r="EY252" s="567"/>
      <c r="EZ252" s="567"/>
      <c r="FA252" s="567"/>
      <c r="FB252" s="567"/>
      <c r="FC252" s="567"/>
      <c r="FD252" s="567"/>
      <c r="FE252" s="567"/>
      <c r="FF252" s="567"/>
      <c r="FG252" s="567"/>
      <c r="FH252" s="567"/>
      <c r="FI252" s="567"/>
      <c r="FJ252" s="567"/>
      <c r="FK252" s="567"/>
      <c r="FL252" s="567"/>
      <c r="FM252" s="567"/>
      <c r="FN252" s="567"/>
      <c r="FO252" s="567"/>
      <c r="FP252" s="567"/>
      <c r="FQ252" s="567"/>
      <c r="FR252" s="567"/>
      <c r="FS252" s="567"/>
      <c r="FT252" s="567"/>
      <c r="FU252" s="567"/>
      <c r="FV252" s="567"/>
      <c r="FW252" s="567"/>
      <c r="FX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  <c r="CL253" s="567"/>
      <c r="CM253" s="567"/>
      <c r="CN253" s="567"/>
      <c r="CO253" s="567"/>
      <c r="CP253" s="567"/>
      <c r="CQ253" s="567"/>
      <c r="CR253" s="567"/>
      <c r="CS253" s="567"/>
      <c r="CT253" s="567"/>
      <c r="CU253" s="567"/>
      <c r="CV253" s="567"/>
      <c r="CW253" s="567"/>
      <c r="CX253" s="567"/>
      <c r="CY253" s="567"/>
      <c r="CZ253" s="567"/>
      <c r="DA253" s="567"/>
      <c r="DB253" s="567"/>
      <c r="DC253" s="567"/>
      <c r="DD253" s="567"/>
      <c r="DE253" s="567"/>
      <c r="DF253" s="567"/>
      <c r="DG253" s="567"/>
      <c r="DH253" s="567"/>
      <c r="DI253" s="567"/>
      <c r="DJ253" s="567"/>
      <c r="DK253" s="567"/>
      <c r="DL253" s="567"/>
      <c r="DM253" s="567"/>
      <c r="DN253" s="567"/>
      <c r="DO253" s="567"/>
      <c r="DP253" s="567"/>
      <c r="DQ253" s="567"/>
      <c r="DR253" s="567"/>
      <c r="DS253" s="567"/>
      <c r="DT253" s="567"/>
      <c r="DU253" s="567"/>
      <c r="DV253" s="567"/>
      <c r="DW253" s="567"/>
      <c r="DX253" s="567"/>
      <c r="DY253" s="567"/>
      <c r="DZ253" s="567"/>
      <c r="EA253" s="567"/>
      <c r="EB253" s="567"/>
      <c r="EC253" s="567"/>
      <c r="ED253" s="567"/>
      <c r="EE253" s="567"/>
      <c r="EF253" s="567"/>
      <c r="EG253" s="567"/>
      <c r="EH253" s="567"/>
      <c r="EI253" s="567"/>
      <c r="EJ253" s="567"/>
      <c r="EK253" s="567"/>
      <c r="EL253" s="567"/>
      <c r="EM253" s="567"/>
      <c r="EN253" s="567"/>
      <c r="EO253" s="567"/>
      <c r="EP253" s="567"/>
      <c r="EQ253" s="567"/>
      <c r="ER253" s="567"/>
      <c r="ES253" s="567"/>
      <c r="ET253" s="567"/>
      <c r="EU253" s="567"/>
      <c r="EV253" s="567"/>
      <c r="EW253" s="567"/>
      <c r="EX253" s="567"/>
      <c r="EY253" s="567"/>
      <c r="EZ253" s="567"/>
      <c r="FA253" s="567"/>
      <c r="FB253" s="567"/>
      <c r="FC253" s="567"/>
      <c r="FD253" s="567"/>
      <c r="FE253" s="567"/>
      <c r="FF253" s="567"/>
      <c r="FG253" s="567"/>
      <c r="FH253" s="567"/>
      <c r="FI253" s="567"/>
      <c r="FJ253" s="567"/>
      <c r="FK253" s="567"/>
      <c r="FL253" s="567"/>
      <c r="FM253" s="567"/>
      <c r="FN253" s="567"/>
      <c r="FO253" s="567"/>
      <c r="FP253" s="567"/>
      <c r="FQ253" s="567"/>
      <c r="FR253" s="567"/>
      <c r="FS253" s="567"/>
      <c r="FT253" s="567"/>
      <c r="FU253" s="567"/>
      <c r="FV253" s="567"/>
      <c r="FW253" s="567"/>
      <c r="FX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  <c r="BW254" s="567"/>
      <c r="BX254" s="567"/>
      <c r="BY254" s="567"/>
      <c r="BZ254" s="567"/>
      <c r="CA254" s="567"/>
      <c r="CB254" s="567"/>
      <c r="CC254" s="567"/>
      <c r="CD254" s="567"/>
      <c r="CE254" s="567"/>
      <c r="CF254" s="567"/>
      <c r="CG254" s="567"/>
      <c r="CH254" s="567"/>
      <c r="CI254" s="567"/>
      <c r="CJ254" s="567"/>
      <c r="CK254" s="567"/>
      <c r="CL254" s="567"/>
      <c r="CM254" s="567"/>
      <c r="CN254" s="567"/>
      <c r="CO254" s="567"/>
      <c r="CP254" s="567"/>
      <c r="CQ254" s="567"/>
      <c r="CR254" s="567"/>
      <c r="CS254" s="567"/>
      <c r="CT254" s="567"/>
      <c r="CU254" s="567"/>
      <c r="CV254" s="567"/>
      <c r="CW254" s="567"/>
      <c r="CX254" s="567"/>
      <c r="CY254" s="567"/>
      <c r="CZ254" s="567"/>
      <c r="DA254" s="567"/>
      <c r="DB254" s="567"/>
      <c r="DC254" s="567"/>
      <c r="DD254" s="567"/>
      <c r="DE254" s="567"/>
      <c r="DF254" s="567"/>
      <c r="DG254" s="567"/>
      <c r="DH254" s="567"/>
      <c r="DI254" s="567"/>
      <c r="DJ254" s="567"/>
      <c r="DK254" s="567"/>
      <c r="DL254" s="567"/>
      <c r="DM254" s="567"/>
      <c r="DN254" s="567"/>
      <c r="DO254" s="567"/>
      <c r="DP254" s="567"/>
      <c r="DQ254" s="567"/>
      <c r="DR254" s="567"/>
      <c r="DS254" s="567"/>
      <c r="DT254" s="567"/>
      <c r="DU254" s="567"/>
      <c r="DV254" s="567"/>
      <c r="DW254" s="567"/>
      <c r="DX254" s="567"/>
      <c r="DY254" s="567"/>
      <c r="DZ254" s="567"/>
      <c r="EA254" s="567"/>
      <c r="EB254" s="567"/>
      <c r="EC254" s="567"/>
      <c r="ED254" s="567"/>
      <c r="EE254" s="567"/>
      <c r="EF254" s="567"/>
      <c r="EG254" s="567"/>
      <c r="EH254" s="567"/>
      <c r="EI254" s="567"/>
      <c r="EJ254" s="567"/>
      <c r="EK254" s="567"/>
      <c r="EL254" s="567"/>
      <c r="EM254" s="567"/>
      <c r="EN254" s="567"/>
      <c r="EO254" s="567"/>
      <c r="EP254" s="567"/>
      <c r="EQ254" s="567"/>
      <c r="ER254" s="567"/>
      <c r="ES254" s="567"/>
      <c r="ET254" s="567"/>
      <c r="EU254" s="567"/>
      <c r="EV254" s="567"/>
      <c r="EW254" s="567"/>
      <c r="EX254" s="567"/>
      <c r="EY254" s="567"/>
      <c r="EZ254" s="567"/>
      <c r="FA254" s="567"/>
      <c r="FB254" s="567"/>
      <c r="FC254" s="567"/>
      <c r="FD254" s="567"/>
      <c r="FE254" s="567"/>
      <c r="FF254" s="567"/>
      <c r="FG254" s="567"/>
      <c r="FH254" s="567"/>
      <c r="FI254" s="567"/>
      <c r="FJ254" s="567"/>
      <c r="FK254" s="567"/>
      <c r="FL254" s="567"/>
      <c r="FM254" s="567"/>
      <c r="FN254" s="567"/>
      <c r="FO254" s="567"/>
      <c r="FP254" s="567"/>
      <c r="FQ254" s="567"/>
      <c r="FR254" s="567"/>
      <c r="FS254" s="567"/>
      <c r="FT254" s="567"/>
      <c r="FU254" s="567"/>
      <c r="FV254" s="567"/>
      <c r="FW254" s="567"/>
      <c r="FX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  <c r="BW255" s="567"/>
      <c r="BX255" s="567"/>
      <c r="BY255" s="567"/>
      <c r="BZ255" s="567"/>
      <c r="CA255" s="567"/>
      <c r="CB255" s="567"/>
      <c r="CC255" s="567"/>
      <c r="CD255" s="567"/>
      <c r="CE255" s="567"/>
      <c r="CF255" s="567"/>
      <c r="CG255" s="567"/>
      <c r="CH255" s="567"/>
      <c r="CI255" s="567"/>
      <c r="CJ255" s="567"/>
      <c r="CK255" s="567"/>
      <c r="CL255" s="567"/>
      <c r="CM255" s="567"/>
      <c r="CN255" s="567"/>
      <c r="CO255" s="567"/>
      <c r="CP255" s="567"/>
      <c r="CQ255" s="567"/>
      <c r="CR255" s="567"/>
      <c r="CS255" s="567"/>
      <c r="CT255" s="567"/>
      <c r="CU255" s="567"/>
      <c r="CV255" s="567"/>
      <c r="CW255" s="567"/>
      <c r="CX255" s="567"/>
      <c r="CY255" s="567"/>
      <c r="CZ255" s="567"/>
      <c r="DA255" s="567"/>
      <c r="DB255" s="567"/>
      <c r="DC255" s="567"/>
      <c r="DD255" s="567"/>
      <c r="DE255" s="567"/>
      <c r="DF255" s="567"/>
      <c r="DG255" s="567"/>
      <c r="DH255" s="567"/>
      <c r="DI255" s="567"/>
      <c r="DJ255" s="567"/>
      <c r="DK255" s="567"/>
      <c r="DL255" s="567"/>
      <c r="DM255" s="567"/>
      <c r="DN255" s="567"/>
      <c r="DO255" s="567"/>
      <c r="DP255" s="567"/>
      <c r="DQ255" s="567"/>
      <c r="DR255" s="567"/>
      <c r="DS255" s="567"/>
      <c r="DT255" s="567"/>
      <c r="DU255" s="567"/>
      <c r="DV255" s="567"/>
      <c r="DW255" s="567"/>
      <c r="DX255" s="567"/>
      <c r="DY255" s="567"/>
      <c r="DZ255" s="567"/>
      <c r="EA255" s="567"/>
      <c r="EB255" s="567"/>
      <c r="EC255" s="567"/>
      <c r="ED255" s="567"/>
      <c r="EE255" s="567"/>
      <c r="EF255" s="567"/>
      <c r="EG255" s="567"/>
      <c r="EH255" s="567"/>
      <c r="EI255" s="567"/>
      <c r="EJ255" s="567"/>
      <c r="EK255" s="567"/>
      <c r="EL255" s="567"/>
      <c r="EM255" s="567"/>
      <c r="EN255" s="567"/>
      <c r="EO255" s="567"/>
      <c r="EP255" s="567"/>
      <c r="EQ255" s="567"/>
      <c r="ER255" s="567"/>
      <c r="ES255" s="567"/>
      <c r="ET255" s="567"/>
      <c r="EU255" s="567"/>
      <c r="EV255" s="567"/>
      <c r="EW255" s="567"/>
      <c r="EX255" s="567"/>
      <c r="EY255" s="567"/>
      <c r="EZ255" s="567"/>
      <c r="FA255" s="567"/>
      <c r="FB255" s="567"/>
      <c r="FC255" s="567"/>
      <c r="FD255" s="567"/>
      <c r="FE255" s="567"/>
      <c r="FF255" s="567"/>
      <c r="FG255" s="567"/>
      <c r="FH255" s="567"/>
      <c r="FI255" s="567"/>
      <c r="FJ255" s="567"/>
      <c r="FK255" s="567"/>
      <c r="FL255" s="567"/>
      <c r="FM255" s="567"/>
      <c r="FN255" s="567"/>
      <c r="FO255" s="567"/>
      <c r="FP255" s="567"/>
      <c r="FQ255" s="567"/>
      <c r="FR255" s="567"/>
      <c r="FS255" s="567"/>
      <c r="FT255" s="567"/>
      <c r="FU255" s="567"/>
      <c r="FV255" s="567"/>
      <c r="FW255" s="567"/>
      <c r="FX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  <c r="BW256" s="567"/>
      <c r="BX256" s="567"/>
      <c r="BY256" s="567"/>
      <c r="BZ256" s="567"/>
      <c r="CA256" s="567"/>
      <c r="CB256" s="567"/>
      <c r="CC256" s="567"/>
      <c r="CD256" s="567"/>
      <c r="CE256" s="567"/>
      <c r="CF256" s="567"/>
      <c r="CG256" s="567"/>
      <c r="CH256" s="567"/>
      <c r="CI256" s="567"/>
      <c r="CJ256" s="567"/>
      <c r="CK256" s="567"/>
      <c r="CL256" s="567"/>
      <c r="CM256" s="567"/>
      <c r="CN256" s="567"/>
      <c r="CO256" s="567"/>
      <c r="CP256" s="567"/>
      <c r="CQ256" s="567"/>
      <c r="CR256" s="567"/>
      <c r="CS256" s="567"/>
      <c r="CT256" s="567"/>
      <c r="CU256" s="567"/>
      <c r="CV256" s="567"/>
      <c r="CW256" s="567"/>
      <c r="CX256" s="567"/>
      <c r="CY256" s="567"/>
      <c r="CZ256" s="567"/>
      <c r="DA256" s="567"/>
      <c r="DB256" s="567"/>
      <c r="DC256" s="567"/>
      <c r="DD256" s="567"/>
      <c r="DE256" s="567"/>
      <c r="DF256" s="567"/>
      <c r="DG256" s="567"/>
      <c r="DH256" s="567"/>
      <c r="DI256" s="567"/>
      <c r="DJ256" s="567"/>
      <c r="DK256" s="567"/>
      <c r="DL256" s="567"/>
      <c r="DM256" s="567"/>
      <c r="DN256" s="567"/>
      <c r="DO256" s="567"/>
      <c r="DP256" s="567"/>
      <c r="DQ256" s="567"/>
      <c r="DR256" s="567"/>
      <c r="DS256" s="567"/>
      <c r="DT256" s="567"/>
      <c r="DU256" s="567"/>
      <c r="DV256" s="567"/>
      <c r="DW256" s="567"/>
      <c r="DX256" s="567"/>
      <c r="DY256" s="567"/>
      <c r="DZ256" s="567"/>
      <c r="EA256" s="567"/>
      <c r="EB256" s="567"/>
      <c r="EC256" s="567"/>
      <c r="ED256" s="567"/>
      <c r="EE256" s="567"/>
      <c r="EF256" s="567"/>
      <c r="EG256" s="567"/>
      <c r="EH256" s="567"/>
      <c r="EI256" s="567"/>
      <c r="EJ256" s="567"/>
      <c r="EK256" s="567"/>
      <c r="EL256" s="567"/>
      <c r="EM256" s="567"/>
      <c r="EN256" s="567"/>
      <c r="EO256" s="567"/>
      <c r="EP256" s="567"/>
      <c r="EQ256" s="567"/>
      <c r="ER256" s="567"/>
      <c r="ES256" s="567"/>
      <c r="ET256" s="567"/>
      <c r="EU256" s="567"/>
      <c r="EV256" s="567"/>
      <c r="EW256" s="567"/>
      <c r="EX256" s="567"/>
      <c r="EY256" s="567"/>
      <c r="EZ256" s="567"/>
      <c r="FA256" s="567"/>
      <c r="FB256" s="567"/>
      <c r="FC256" s="567"/>
      <c r="FD256" s="567"/>
      <c r="FE256" s="567"/>
      <c r="FF256" s="567"/>
      <c r="FG256" s="567"/>
      <c r="FH256" s="567"/>
      <c r="FI256" s="567"/>
      <c r="FJ256" s="567"/>
      <c r="FK256" s="567"/>
      <c r="FL256" s="567"/>
      <c r="FM256" s="567"/>
      <c r="FN256" s="567"/>
      <c r="FO256" s="567"/>
      <c r="FP256" s="567"/>
      <c r="FQ256" s="567"/>
      <c r="FR256" s="567"/>
      <c r="FS256" s="567"/>
      <c r="FT256" s="567"/>
      <c r="FU256" s="567"/>
      <c r="FV256" s="567"/>
      <c r="FW256" s="567"/>
      <c r="FX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  <c r="BW257" s="567"/>
      <c r="BX257" s="567"/>
      <c r="BY257" s="567"/>
      <c r="BZ257" s="567"/>
      <c r="CA257" s="567"/>
      <c r="CB257" s="567"/>
      <c r="CC257" s="567"/>
      <c r="CD257" s="567"/>
      <c r="CE257" s="567"/>
      <c r="CF257" s="567"/>
      <c r="CG257" s="567"/>
      <c r="CH257" s="567"/>
      <c r="CI257" s="567"/>
      <c r="CJ257" s="567"/>
      <c r="CK257" s="567"/>
      <c r="CL257" s="567"/>
      <c r="CM257" s="567"/>
      <c r="CN257" s="567"/>
      <c r="CO257" s="567"/>
      <c r="CP257" s="567"/>
      <c r="CQ257" s="567"/>
      <c r="CR257" s="567"/>
      <c r="CS257" s="567"/>
      <c r="CT257" s="567"/>
      <c r="CU257" s="567"/>
      <c r="CV257" s="567"/>
      <c r="CW257" s="567"/>
      <c r="CX257" s="567"/>
      <c r="CY257" s="567"/>
      <c r="CZ257" s="567"/>
      <c r="DA257" s="567"/>
      <c r="DB257" s="567"/>
      <c r="DC257" s="567"/>
      <c r="DD257" s="567"/>
      <c r="DE257" s="567"/>
      <c r="DF257" s="567"/>
      <c r="DG257" s="567"/>
      <c r="DH257" s="567"/>
      <c r="DI257" s="567"/>
      <c r="DJ257" s="567"/>
      <c r="DK257" s="567"/>
      <c r="DL257" s="567"/>
      <c r="DM257" s="567"/>
      <c r="DN257" s="567"/>
      <c r="DO257" s="567"/>
      <c r="DP257" s="567"/>
      <c r="DQ257" s="567"/>
      <c r="DR257" s="567"/>
      <c r="DS257" s="567"/>
      <c r="DT257" s="567"/>
      <c r="DU257" s="567"/>
      <c r="DV257" s="567"/>
      <c r="DW257" s="567"/>
      <c r="DX257" s="567"/>
      <c r="DY257" s="567"/>
      <c r="DZ257" s="567"/>
      <c r="EA257" s="567"/>
      <c r="EB257" s="567"/>
      <c r="EC257" s="567"/>
      <c r="ED257" s="567"/>
      <c r="EE257" s="567"/>
      <c r="EF257" s="567"/>
      <c r="EG257" s="567"/>
      <c r="EH257" s="567"/>
      <c r="EI257" s="567"/>
      <c r="EJ257" s="567"/>
      <c r="EK257" s="567"/>
      <c r="EL257" s="567"/>
      <c r="EM257" s="567"/>
      <c r="EN257" s="567"/>
      <c r="EO257" s="567"/>
      <c r="EP257" s="567"/>
      <c r="EQ257" s="567"/>
      <c r="ER257" s="567"/>
      <c r="ES257" s="567"/>
      <c r="ET257" s="567"/>
      <c r="EU257" s="567"/>
      <c r="EV257" s="567"/>
      <c r="EW257" s="567"/>
      <c r="EX257" s="567"/>
      <c r="EY257" s="567"/>
      <c r="EZ257" s="567"/>
      <c r="FA257" s="567"/>
      <c r="FB257" s="567"/>
      <c r="FC257" s="567"/>
      <c r="FD257" s="567"/>
      <c r="FE257" s="567"/>
      <c r="FF257" s="567"/>
      <c r="FG257" s="567"/>
      <c r="FH257" s="567"/>
      <c r="FI257" s="567"/>
      <c r="FJ257" s="567"/>
      <c r="FK257" s="567"/>
      <c r="FL257" s="567"/>
      <c r="FM257" s="567"/>
      <c r="FN257" s="567"/>
      <c r="FO257" s="567"/>
      <c r="FP257" s="567"/>
      <c r="FQ257" s="567"/>
      <c r="FR257" s="567"/>
      <c r="FS257" s="567"/>
      <c r="FT257" s="567"/>
      <c r="FU257" s="567"/>
      <c r="FV257" s="567"/>
      <c r="FW257" s="567"/>
      <c r="FX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  <c r="BW258" s="567"/>
      <c r="BX258" s="567"/>
      <c r="BY258" s="567"/>
      <c r="BZ258" s="567"/>
      <c r="CA258" s="567"/>
      <c r="CB258" s="567"/>
      <c r="CC258" s="567"/>
      <c r="CD258" s="567"/>
      <c r="CE258" s="567"/>
      <c r="CF258" s="567"/>
      <c r="CG258" s="567"/>
      <c r="CH258" s="567"/>
      <c r="CI258" s="567"/>
      <c r="CJ258" s="567"/>
      <c r="CK258" s="567"/>
      <c r="CL258" s="567"/>
      <c r="CM258" s="567"/>
      <c r="CN258" s="567"/>
      <c r="CO258" s="567"/>
      <c r="CP258" s="567"/>
      <c r="CQ258" s="567"/>
      <c r="CR258" s="567"/>
      <c r="CS258" s="567"/>
      <c r="CT258" s="567"/>
      <c r="CU258" s="567"/>
      <c r="CV258" s="567"/>
      <c r="CW258" s="567"/>
      <c r="CX258" s="567"/>
      <c r="CY258" s="567"/>
      <c r="CZ258" s="567"/>
      <c r="DA258" s="567"/>
      <c r="DB258" s="567"/>
      <c r="DC258" s="567"/>
      <c r="DD258" s="567"/>
      <c r="DE258" s="567"/>
      <c r="DF258" s="567"/>
      <c r="DG258" s="567"/>
      <c r="DH258" s="567"/>
      <c r="DI258" s="567"/>
      <c r="DJ258" s="567"/>
      <c r="DK258" s="567"/>
      <c r="DL258" s="567"/>
      <c r="DM258" s="567"/>
      <c r="DN258" s="567"/>
      <c r="DO258" s="567"/>
      <c r="DP258" s="567"/>
      <c r="DQ258" s="567"/>
      <c r="DR258" s="567"/>
      <c r="DS258" s="567"/>
      <c r="DT258" s="567"/>
      <c r="DU258" s="567"/>
      <c r="DV258" s="567"/>
      <c r="DW258" s="567"/>
      <c r="DX258" s="567"/>
      <c r="DY258" s="567"/>
      <c r="DZ258" s="567"/>
      <c r="EA258" s="567"/>
      <c r="EB258" s="567"/>
      <c r="EC258" s="567"/>
      <c r="ED258" s="567"/>
      <c r="EE258" s="567"/>
      <c r="EF258" s="567"/>
      <c r="EG258" s="567"/>
      <c r="EH258" s="567"/>
      <c r="EI258" s="567"/>
      <c r="EJ258" s="567"/>
      <c r="EK258" s="567"/>
      <c r="EL258" s="567"/>
      <c r="EM258" s="567"/>
      <c r="EN258" s="567"/>
      <c r="EO258" s="567"/>
      <c r="EP258" s="567"/>
      <c r="EQ258" s="567"/>
      <c r="ER258" s="567"/>
      <c r="ES258" s="567"/>
      <c r="ET258" s="567"/>
      <c r="EU258" s="567"/>
      <c r="EV258" s="567"/>
      <c r="EW258" s="567"/>
      <c r="EX258" s="567"/>
      <c r="EY258" s="567"/>
      <c r="EZ258" s="567"/>
      <c r="FA258" s="567"/>
      <c r="FB258" s="567"/>
      <c r="FC258" s="567"/>
      <c r="FD258" s="567"/>
      <c r="FE258" s="567"/>
      <c r="FF258" s="567"/>
      <c r="FG258" s="567"/>
      <c r="FH258" s="567"/>
      <c r="FI258" s="567"/>
      <c r="FJ258" s="567"/>
      <c r="FK258" s="567"/>
      <c r="FL258" s="567"/>
      <c r="FM258" s="567"/>
      <c r="FN258" s="567"/>
      <c r="FO258" s="567"/>
      <c r="FP258" s="567"/>
      <c r="FQ258" s="567"/>
      <c r="FR258" s="567"/>
      <c r="FS258" s="567"/>
      <c r="FT258" s="567"/>
      <c r="FU258" s="567"/>
      <c r="FV258" s="567"/>
      <c r="FW258" s="567"/>
      <c r="FX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  <c r="BW259" s="567"/>
      <c r="BX259" s="567"/>
      <c r="BY259" s="567"/>
      <c r="BZ259" s="567"/>
      <c r="CA259" s="567"/>
      <c r="CB259" s="567"/>
      <c r="CC259" s="567"/>
      <c r="CD259" s="567"/>
      <c r="CE259" s="567"/>
      <c r="CF259" s="567"/>
      <c r="CG259" s="567"/>
      <c r="CH259" s="567"/>
      <c r="CI259" s="567"/>
      <c r="CJ259" s="567"/>
      <c r="CK259" s="567"/>
      <c r="CL259" s="567"/>
      <c r="CM259" s="567"/>
      <c r="CN259" s="567"/>
      <c r="CO259" s="567"/>
      <c r="CP259" s="567"/>
      <c r="CQ259" s="567"/>
      <c r="CR259" s="567"/>
      <c r="CS259" s="567"/>
      <c r="CT259" s="567"/>
      <c r="CU259" s="567"/>
      <c r="CV259" s="567"/>
      <c r="CW259" s="567"/>
      <c r="CX259" s="567"/>
      <c r="CY259" s="567"/>
      <c r="CZ259" s="567"/>
      <c r="DA259" s="567"/>
      <c r="DB259" s="567"/>
      <c r="DC259" s="567"/>
      <c r="DD259" s="567"/>
      <c r="DE259" s="567"/>
      <c r="DF259" s="567"/>
      <c r="DG259" s="567"/>
      <c r="DH259" s="567"/>
      <c r="DI259" s="567"/>
      <c r="DJ259" s="567"/>
      <c r="DK259" s="567"/>
      <c r="DL259" s="567"/>
      <c r="DM259" s="567"/>
      <c r="DN259" s="567"/>
      <c r="DO259" s="567"/>
      <c r="DP259" s="567"/>
      <c r="DQ259" s="567"/>
      <c r="DR259" s="567"/>
      <c r="DS259" s="567"/>
      <c r="DT259" s="567"/>
      <c r="DU259" s="567"/>
      <c r="DV259" s="567"/>
      <c r="DW259" s="567"/>
      <c r="DX259" s="567"/>
      <c r="DY259" s="567"/>
      <c r="DZ259" s="567"/>
      <c r="EA259" s="567"/>
      <c r="EB259" s="567"/>
      <c r="EC259" s="567"/>
      <c r="ED259" s="567"/>
      <c r="EE259" s="567"/>
      <c r="EF259" s="567"/>
      <c r="EG259" s="567"/>
      <c r="EH259" s="567"/>
      <c r="EI259" s="567"/>
      <c r="EJ259" s="567"/>
      <c r="EK259" s="567"/>
      <c r="EL259" s="567"/>
      <c r="EM259" s="567"/>
      <c r="EN259" s="567"/>
      <c r="EO259" s="567"/>
      <c r="EP259" s="567"/>
      <c r="EQ259" s="567"/>
      <c r="ER259" s="567"/>
      <c r="ES259" s="567"/>
      <c r="ET259" s="567"/>
      <c r="EU259" s="567"/>
      <c r="EV259" s="567"/>
      <c r="EW259" s="567"/>
      <c r="EX259" s="567"/>
      <c r="EY259" s="567"/>
      <c r="EZ259" s="567"/>
      <c r="FA259" s="567"/>
      <c r="FB259" s="567"/>
      <c r="FC259" s="567"/>
      <c r="FD259" s="567"/>
      <c r="FE259" s="567"/>
      <c r="FF259" s="567"/>
      <c r="FG259" s="567"/>
      <c r="FH259" s="567"/>
      <c r="FI259" s="567"/>
      <c r="FJ259" s="567"/>
      <c r="FK259" s="567"/>
      <c r="FL259" s="567"/>
      <c r="FM259" s="567"/>
      <c r="FN259" s="567"/>
      <c r="FO259" s="567"/>
      <c r="FP259" s="567"/>
      <c r="FQ259" s="567"/>
      <c r="FR259" s="567"/>
      <c r="FS259" s="567"/>
      <c r="FT259" s="567"/>
      <c r="FU259" s="567"/>
      <c r="FV259" s="567"/>
      <c r="FW259" s="567"/>
      <c r="FX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  <c r="BW260" s="567"/>
      <c r="BX260" s="567"/>
      <c r="BY260" s="567"/>
      <c r="BZ260" s="567"/>
      <c r="CA260" s="567"/>
      <c r="CB260" s="567"/>
      <c r="CC260" s="567"/>
      <c r="CD260" s="567"/>
      <c r="CE260" s="567"/>
      <c r="CF260" s="567"/>
      <c r="CG260" s="567"/>
      <c r="CH260" s="567"/>
      <c r="CI260" s="567"/>
      <c r="CJ260" s="567"/>
      <c r="CK260" s="567"/>
      <c r="CL260" s="567"/>
      <c r="CM260" s="567"/>
      <c r="CN260" s="567"/>
      <c r="CO260" s="567"/>
      <c r="CP260" s="567"/>
      <c r="CQ260" s="567"/>
      <c r="CR260" s="567"/>
      <c r="CS260" s="567"/>
      <c r="CT260" s="567"/>
      <c r="CU260" s="567"/>
      <c r="CV260" s="567"/>
      <c r="CW260" s="567"/>
      <c r="CX260" s="567"/>
      <c r="CY260" s="567"/>
      <c r="CZ260" s="567"/>
      <c r="DA260" s="567"/>
      <c r="DB260" s="567"/>
      <c r="DC260" s="567"/>
      <c r="DD260" s="567"/>
      <c r="DE260" s="567"/>
      <c r="DF260" s="567"/>
      <c r="DG260" s="567"/>
      <c r="DH260" s="567"/>
      <c r="DI260" s="567"/>
      <c r="DJ260" s="567"/>
      <c r="DK260" s="567"/>
      <c r="DL260" s="567"/>
      <c r="DM260" s="567"/>
      <c r="DN260" s="567"/>
      <c r="DO260" s="567"/>
      <c r="DP260" s="567"/>
      <c r="DQ260" s="567"/>
      <c r="DR260" s="567"/>
      <c r="DS260" s="567"/>
      <c r="DT260" s="567"/>
      <c r="DU260" s="567"/>
      <c r="DV260" s="567"/>
      <c r="DW260" s="567"/>
      <c r="DX260" s="567"/>
      <c r="DY260" s="567"/>
      <c r="DZ260" s="567"/>
      <c r="EA260" s="567"/>
      <c r="EB260" s="567"/>
      <c r="EC260" s="567"/>
      <c r="ED260" s="567"/>
      <c r="EE260" s="567"/>
      <c r="EF260" s="567"/>
      <c r="EG260" s="567"/>
      <c r="EH260" s="567"/>
      <c r="EI260" s="567"/>
      <c r="EJ260" s="567"/>
      <c r="EK260" s="567"/>
      <c r="EL260" s="567"/>
      <c r="EM260" s="567"/>
      <c r="EN260" s="567"/>
      <c r="EO260" s="567"/>
      <c r="EP260" s="567"/>
      <c r="EQ260" s="567"/>
      <c r="ER260" s="567"/>
      <c r="ES260" s="567"/>
      <c r="ET260" s="567"/>
      <c r="EU260" s="567"/>
      <c r="EV260" s="567"/>
      <c r="EW260" s="567"/>
      <c r="EX260" s="567"/>
      <c r="EY260" s="567"/>
      <c r="EZ260" s="567"/>
      <c r="FA260" s="567"/>
      <c r="FB260" s="567"/>
      <c r="FC260" s="567"/>
      <c r="FD260" s="567"/>
      <c r="FE260" s="567"/>
      <c r="FF260" s="567"/>
      <c r="FG260" s="567"/>
      <c r="FH260" s="567"/>
      <c r="FI260" s="567"/>
      <c r="FJ260" s="567"/>
      <c r="FK260" s="567"/>
      <c r="FL260" s="567"/>
      <c r="FM260" s="567"/>
      <c r="FN260" s="567"/>
      <c r="FO260" s="567"/>
      <c r="FP260" s="567"/>
      <c r="FQ260" s="567"/>
      <c r="FR260" s="567"/>
      <c r="FS260" s="567"/>
      <c r="FT260" s="567"/>
      <c r="FU260" s="567"/>
      <c r="FV260" s="567"/>
      <c r="FW260" s="567"/>
      <c r="FX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  <c r="BW261" s="567"/>
      <c r="BX261" s="567"/>
      <c r="BY261" s="567"/>
      <c r="BZ261" s="567"/>
      <c r="CA261" s="567"/>
      <c r="CB261" s="567"/>
      <c r="CC261" s="567"/>
      <c r="CD261" s="567"/>
      <c r="CE261" s="567"/>
      <c r="CF261" s="567"/>
      <c r="CG261" s="567"/>
      <c r="CH261" s="567"/>
      <c r="CI261" s="567"/>
      <c r="CJ261" s="567"/>
      <c r="CK261" s="567"/>
      <c r="CL261" s="567"/>
      <c r="CM261" s="567"/>
      <c r="CN261" s="567"/>
      <c r="CO261" s="567"/>
      <c r="CP261" s="567"/>
      <c r="CQ261" s="567"/>
      <c r="CR261" s="567"/>
      <c r="CS261" s="567"/>
      <c r="CT261" s="567"/>
      <c r="CU261" s="567"/>
      <c r="CV261" s="567"/>
      <c r="CW261" s="567"/>
      <c r="CX261" s="567"/>
      <c r="CY261" s="567"/>
      <c r="CZ261" s="567"/>
      <c r="DA261" s="567"/>
      <c r="DB261" s="567"/>
      <c r="DC261" s="567"/>
      <c r="DD261" s="567"/>
      <c r="DE261" s="567"/>
      <c r="DF261" s="567"/>
      <c r="DG261" s="567"/>
      <c r="DH261" s="567"/>
      <c r="DI261" s="567"/>
      <c r="DJ261" s="567"/>
      <c r="DK261" s="567"/>
      <c r="DL261" s="567"/>
      <c r="DM261" s="567"/>
      <c r="DN261" s="567"/>
      <c r="DO261" s="567"/>
      <c r="DP261" s="567"/>
      <c r="DQ261" s="567"/>
      <c r="DR261" s="567"/>
      <c r="DS261" s="567"/>
      <c r="DT261" s="567"/>
      <c r="DU261" s="567"/>
      <c r="DV261" s="567"/>
      <c r="DW261" s="567"/>
      <c r="DX261" s="567"/>
      <c r="DY261" s="567"/>
      <c r="DZ261" s="567"/>
      <c r="EA261" s="567"/>
      <c r="EB261" s="567"/>
      <c r="EC261" s="567"/>
      <c r="ED261" s="567"/>
      <c r="EE261" s="567"/>
      <c r="EF261" s="567"/>
      <c r="EG261" s="567"/>
      <c r="EH261" s="567"/>
      <c r="EI261" s="567"/>
      <c r="EJ261" s="567"/>
      <c r="EK261" s="567"/>
      <c r="EL261" s="567"/>
      <c r="EM261" s="567"/>
      <c r="EN261" s="567"/>
      <c r="EO261" s="567"/>
      <c r="EP261" s="567"/>
      <c r="EQ261" s="567"/>
      <c r="ER261" s="567"/>
      <c r="ES261" s="567"/>
      <c r="ET261" s="567"/>
      <c r="EU261" s="567"/>
      <c r="EV261" s="567"/>
      <c r="EW261" s="567"/>
      <c r="EX261" s="567"/>
      <c r="EY261" s="567"/>
      <c r="EZ261" s="567"/>
      <c r="FA261" s="567"/>
      <c r="FB261" s="567"/>
      <c r="FC261" s="567"/>
      <c r="FD261" s="567"/>
      <c r="FE261" s="567"/>
      <c r="FF261" s="567"/>
      <c r="FG261" s="567"/>
      <c r="FH261" s="567"/>
      <c r="FI261" s="567"/>
      <c r="FJ261" s="567"/>
      <c r="FK261" s="567"/>
      <c r="FL261" s="567"/>
      <c r="FM261" s="567"/>
      <c r="FN261" s="567"/>
      <c r="FO261" s="567"/>
      <c r="FP261" s="567"/>
      <c r="FQ261" s="567"/>
      <c r="FR261" s="567"/>
      <c r="FS261" s="567"/>
      <c r="FT261" s="567"/>
      <c r="FU261" s="567"/>
      <c r="FV261" s="567"/>
      <c r="FW261" s="567"/>
      <c r="FX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  <c r="BW262" s="567"/>
      <c r="BX262" s="567"/>
      <c r="BY262" s="567"/>
      <c r="BZ262" s="567"/>
      <c r="CA262" s="567"/>
      <c r="CB262" s="567"/>
      <c r="CC262" s="567"/>
      <c r="CD262" s="567"/>
      <c r="CE262" s="567"/>
      <c r="CF262" s="567"/>
      <c r="CG262" s="567"/>
      <c r="CH262" s="567"/>
      <c r="CI262" s="567"/>
      <c r="CJ262" s="567"/>
      <c r="CK262" s="567"/>
      <c r="CL262" s="567"/>
      <c r="CM262" s="567"/>
      <c r="CN262" s="567"/>
      <c r="CO262" s="567"/>
      <c r="CP262" s="567"/>
      <c r="CQ262" s="567"/>
      <c r="CR262" s="567"/>
      <c r="CS262" s="567"/>
      <c r="CT262" s="567"/>
      <c r="CU262" s="567"/>
      <c r="CV262" s="567"/>
      <c r="CW262" s="567"/>
      <c r="CX262" s="567"/>
      <c r="CY262" s="567"/>
      <c r="CZ262" s="567"/>
      <c r="DA262" s="567"/>
      <c r="DB262" s="567"/>
      <c r="DC262" s="567"/>
      <c r="DD262" s="567"/>
      <c r="DE262" s="567"/>
      <c r="DF262" s="567"/>
      <c r="DG262" s="567"/>
      <c r="DH262" s="567"/>
      <c r="DI262" s="567"/>
      <c r="DJ262" s="567"/>
      <c r="DK262" s="567"/>
      <c r="DL262" s="567"/>
      <c r="DM262" s="567"/>
      <c r="DN262" s="567"/>
      <c r="DO262" s="567"/>
      <c r="DP262" s="567"/>
      <c r="DQ262" s="567"/>
      <c r="DR262" s="567"/>
      <c r="DS262" s="567"/>
      <c r="DT262" s="567"/>
      <c r="DU262" s="567"/>
      <c r="DV262" s="567"/>
      <c r="DW262" s="567"/>
      <c r="DX262" s="567"/>
      <c r="DY262" s="567"/>
      <c r="DZ262" s="567"/>
      <c r="EA262" s="567"/>
      <c r="EB262" s="567"/>
      <c r="EC262" s="567"/>
      <c r="ED262" s="567"/>
      <c r="EE262" s="567"/>
      <c r="EF262" s="567"/>
      <c r="EG262" s="567"/>
      <c r="EH262" s="567"/>
      <c r="EI262" s="567"/>
      <c r="EJ262" s="567"/>
      <c r="EK262" s="567"/>
      <c r="EL262" s="567"/>
      <c r="EM262" s="567"/>
      <c r="EN262" s="567"/>
      <c r="EO262" s="567"/>
      <c r="EP262" s="567"/>
      <c r="EQ262" s="567"/>
      <c r="ER262" s="567"/>
      <c r="ES262" s="567"/>
      <c r="ET262" s="567"/>
      <c r="EU262" s="567"/>
      <c r="EV262" s="567"/>
      <c r="EW262" s="567"/>
      <c r="EX262" s="567"/>
      <c r="EY262" s="567"/>
      <c r="EZ262" s="567"/>
      <c r="FA262" s="567"/>
      <c r="FB262" s="567"/>
      <c r="FC262" s="567"/>
      <c r="FD262" s="567"/>
      <c r="FE262" s="567"/>
      <c r="FF262" s="567"/>
      <c r="FG262" s="567"/>
      <c r="FH262" s="567"/>
      <c r="FI262" s="567"/>
      <c r="FJ262" s="567"/>
      <c r="FK262" s="567"/>
      <c r="FL262" s="567"/>
      <c r="FM262" s="567"/>
      <c r="FN262" s="567"/>
      <c r="FO262" s="567"/>
      <c r="FP262" s="567"/>
      <c r="FQ262" s="567"/>
      <c r="FR262" s="567"/>
      <c r="FS262" s="567"/>
      <c r="FT262" s="567"/>
      <c r="FU262" s="567"/>
      <c r="FV262" s="567"/>
      <c r="FW262" s="567"/>
      <c r="FX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  <c r="BW263" s="567"/>
      <c r="BX263" s="567"/>
      <c r="BY263" s="567"/>
      <c r="BZ263" s="567"/>
      <c r="CA263" s="567"/>
      <c r="CB263" s="567"/>
      <c r="CC263" s="567"/>
      <c r="CD263" s="567"/>
      <c r="CE263" s="567"/>
      <c r="CF263" s="567"/>
      <c r="CG263" s="567"/>
      <c r="CH263" s="567"/>
      <c r="CI263" s="567"/>
      <c r="CJ263" s="567"/>
      <c r="CK263" s="567"/>
      <c r="CL263" s="567"/>
      <c r="CM263" s="567"/>
      <c r="CN263" s="567"/>
      <c r="CO263" s="567"/>
      <c r="CP263" s="567"/>
      <c r="CQ263" s="567"/>
      <c r="CR263" s="567"/>
      <c r="CS263" s="567"/>
      <c r="CT263" s="567"/>
      <c r="CU263" s="567"/>
      <c r="CV263" s="567"/>
      <c r="CW263" s="567"/>
      <c r="CX263" s="567"/>
      <c r="CY263" s="567"/>
      <c r="CZ263" s="567"/>
      <c r="DA263" s="567"/>
      <c r="DB263" s="567"/>
      <c r="DC263" s="567"/>
      <c r="DD263" s="567"/>
      <c r="DE263" s="567"/>
      <c r="DF263" s="567"/>
      <c r="DG263" s="567"/>
      <c r="DH263" s="567"/>
      <c r="DI263" s="567"/>
      <c r="DJ263" s="567"/>
      <c r="DK263" s="567"/>
      <c r="DL263" s="567"/>
      <c r="DM263" s="567"/>
      <c r="DN263" s="567"/>
      <c r="DO263" s="567"/>
      <c r="DP263" s="567"/>
      <c r="DQ263" s="567"/>
      <c r="DR263" s="567"/>
      <c r="DS263" s="567"/>
      <c r="DT263" s="567"/>
      <c r="DU263" s="567"/>
      <c r="DV263" s="567"/>
      <c r="DW263" s="567"/>
      <c r="DX263" s="567"/>
      <c r="DY263" s="567"/>
      <c r="DZ263" s="567"/>
      <c r="EA263" s="567"/>
      <c r="EB263" s="567"/>
      <c r="EC263" s="567"/>
      <c r="ED263" s="567"/>
      <c r="EE263" s="567"/>
      <c r="EF263" s="567"/>
      <c r="EG263" s="567"/>
      <c r="EH263" s="567"/>
      <c r="EI263" s="567"/>
      <c r="EJ263" s="567"/>
      <c r="EK263" s="567"/>
      <c r="EL263" s="567"/>
      <c r="EM263" s="567"/>
      <c r="EN263" s="567"/>
      <c r="EO263" s="567"/>
      <c r="EP263" s="567"/>
      <c r="EQ263" s="567"/>
      <c r="ER263" s="567"/>
      <c r="ES263" s="567"/>
      <c r="ET263" s="567"/>
      <c r="EU263" s="567"/>
      <c r="EV263" s="567"/>
      <c r="EW263" s="567"/>
      <c r="EX263" s="567"/>
      <c r="EY263" s="567"/>
      <c r="EZ263" s="567"/>
      <c r="FA263" s="567"/>
      <c r="FB263" s="567"/>
      <c r="FC263" s="567"/>
      <c r="FD263" s="567"/>
      <c r="FE263" s="567"/>
      <c r="FF263" s="567"/>
      <c r="FG263" s="567"/>
      <c r="FH263" s="567"/>
      <c r="FI263" s="567"/>
      <c r="FJ263" s="567"/>
      <c r="FK263" s="567"/>
      <c r="FL263" s="567"/>
      <c r="FM263" s="567"/>
      <c r="FN263" s="567"/>
      <c r="FO263" s="567"/>
      <c r="FP263" s="567"/>
      <c r="FQ263" s="567"/>
      <c r="FR263" s="567"/>
      <c r="FS263" s="567"/>
      <c r="FT263" s="567"/>
      <c r="FU263" s="567"/>
      <c r="FV263" s="567"/>
      <c r="FW263" s="567"/>
      <c r="FX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  <c r="BW264" s="567"/>
      <c r="BX264" s="567"/>
      <c r="BY264" s="567"/>
      <c r="BZ264" s="567"/>
      <c r="CA264" s="567"/>
      <c r="CB264" s="567"/>
      <c r="CC264" s="567"/>
      <c r="CD264" s="567"/>
      <c r="CE264" s="567"/>
      <c r="CF264" s="567"/>
      <c r="CG264" s="567"/>
      <c r="CH264" s="567"/>
      <c r="CI264" s="567"/>
      <c r="CJ264" s="567"/>
      <c r="CK264" s="567"/>
      <c r="CL264" s="567"/>
      <c r="CM264" s="567"/>
      <c r="CN264" s="567"/>
      <c r="CO264" s="567"/>
      <c r="CP264" s="567"/>
      <c r="CQ264" s="567"/>
      <c r="CR264" s="567"/>
      <c r="CS264" s="567"/>
      <c r="CT264" s="567"/>
      <c r="CU264" s="567"/>
      <c r="CV264" s="567"/>
      <c r="CW264" s="567"/>
      <c r="CX264" s="567"/>
      <c r="CY264" s="567"/>
      <c r="CZ264" s="567"/>
      <c r="DA264" s="567"/>
      <c r="DB264" s="567"/>
      <c r="DC264" s="567"/>
      <c r="DD264" s="567"/>
      <c r="DE264" s="567"/>
      <c r="DF264" s="567"/>
      <c r="DG264" s="567"/>
      <c r="DH264" s="567"/>
      <c r="DI264" s="567"/>
      <c r="DJ264" s="567"/>
      <c r="DK264" s="567"/>
      <c r="DL264" s="567"/>
      <c r="DM264" s="567"/>
      <c r="DN264" s="567"/>
      <c r="DO264" s="567"/>
      <c r="DP264" s="567"/>
      <c r="DQ264" s="567"/>
      <c r="DR264" s="567"/>
      <c r="DS264" s="567"/>
      <c r="DT264" s="567"/>
      <c r="DU264" s="567"/>
      <c r="DV264" s="567"/>
      <c r="DW264" s="567"/>
      <c r="DX264" s="567"/>
      <c r="DY264" s="567"/>
      <c r="DZ264" s="567"/>
      <c r="EA264" s="567"/>
      <c r="EB264" s="567"/>
      <c r="EC264" s="567"/>
      <c r="ED264" s="567"/>
      <c r="EE264" s="567"/>
      <c r="EF264" s="567"/>
      <c r="EG264" s="567"/>
      <c r="EH264" s="567"/>
      <c r="EI264" s="567"/>
      <c r="EJ264" s="567"/>
      <c r="EK264" s="567"/>
      <c r="EL264" s="567"/>
      <c r="EM264" s="567"/>
      <c r="EN264" s="567"/>
      <c r="EO264" s="567"/>
      <c r="EP264" s="567"/>
      <c r="EQ264" s="567"/>
      <c r="ER264" s="567"/>
      <c r="ES264" s="567"/>
      <c r="ET264" s="567"/>
      <c r="EU264" s="567"/>
      <c r="EV264" s="567"/>
      <c r="EW264" s="567"/>
      <c r="EX264" s="567"/>
      <c r="EY264" s="567"/>
      <c r="EZ264" s="567"/>
      <c r="FA264" s="567"/>
      <c r="FB264" s="567"/>
      <c r="FC264" s="567"/>
      <c r="FD264" s="567"/>
      <c r="FE264" s="567"/>
      <c r="FF264" s="567"/>
      <c r="FG264" s="567"/>
      <c r="FH264" s="567"/>
      <c r="FI264" s="567"/>
      <c r="FJ264" s="567"/>
      <c r="FK264" s="567"/>
      <c r="FL264" s="567"/>
      <c r="FM264" s="567"/>
      <c r="FN264" s="567"/>
      <c r="FO264" s="567"/>
      <c r="FP264" s="567"/>
      <c r="FQ264" s="567"/>
      <c r="FR264" s="567"/>
      <c r="FS264" s="567"/>
      <c r="FT264" s="567"/>
      <c r="FU264" s="567"/>
      <c r="FV264" s="567"/>
      <c r="FW264" s="567"/>
      <c r="FX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  <c r="BW265" s="567"/>
      <c r="BX265" s="567"/>
      <c r="BY265" s="567"/>
      <c r="BZ265" s="567"/>
      <c r="CA265" s="567"/>
      <c r="CB265" s="567"/>
      <c r="CC265" s="567"/>
      <c r="CD265" s="567"/>
      <c r="CE265" s="567"/>
      <c r="CF265" s="567"/>
      <c r="CG265" s="567"/>
      <c r="CH265" s="567"/>
      <c r="CI265" s="567"/>
      <c r="CJ265" s="567"/>
      <c r="CK265" s="567"/>
      <c r="CL265" s="567"/>
      <c r="CM265" s="567"/>
      <c r="CN265" s="567"/>
      <c r="CO265" s="567"/>
      <c r="CP265" s="567"/>
      <c r="CQ265" s="567"/>
      <c r="CR265" s="567"/>
      <c r="CS265" s="567"/>
      <c r="CT265" s="567"/>
      <c r="CU265" s="567"/>
      <c r="CV265" s="567"/>
      <c r="CW265" s="567"/>
      <c r="CX265" s="567"/>
      <c r="CY265" s="567"/>
      <c r="CZ265" s="567"/>
      <c r="DA265" s="567"/>
      <c r="DB265" s="567"/>
      <c r="DC265" s="567"/>
      <c r="DD265" s="567"/>
      <c r="DE265" s="567"/>
      <c r="DF265" s="567"/>
      <c r="DG265" s="567"/>
      <c r="DH265" s="567"/>
      <c r="DI265" s="567"/>
      <c r="DJ265" s="567"/>
      <c r="DK265" s="567"/>
      <c r="DL265" s="567"/>
      <c r="DM265" s="567"/>
      <c r="DN265" s="567"/>
      <c r="DO265" s="567"/>
      <c r="DP265" s="567"/>
      <c r="DQ265" s="567"/>
      <c r="DR265" s="567"/>
      <c r="DS265" s="567"/>
      <c r="DT265" s="567"/>
      <c r="DU265" s="567"/>
      <c r="DV265" s="567"/>
      <c r="DW265" s="567"/>
      <c r="DX265" s="567"/>
      <c r="DY265" s="567"/>
      <c r="DZ265" s="567"/>
      <c r="EA265" s="567"/>
      <c r="EB265" s="567"/>
      <c r="EC265" s="567"/>
      <c r="ED265" s="567"/>
      <c r="EE265" s="567"/>
      <c r="EF265" s="567"/>
      <c r="EG265" s="567"/>
      <c r="EH265" s="567"/>
      <c r="EI265" s="567"/>
      <c r="EJ265" s="567"/>
      <c r="EK265" s="567"/>
      <c r="EL265" s="567"/>
      <c r="EM265" s="567"/>
      <c r="EN265" s="567"/>
      <c r="EO265" s="567"/>
      <c r="EP265" s="567"/>
      <c r="EQ265" s="567"/>
      <c r="ER265" s="567"/>
      <c r="ES265" s="567"/>
      <c r="ET265" s="567"/>
      <c r="EU265" s="567"/>
      <c r="EV265" s="567"/>
      <c r="EW265" s="567"/>
      <c r="EX265" s="567"/>
      <c r="EY265" s="567"/>
      <c r="EZ265" s="567"/>
      <c r="FA265" s="567"/>
      <c r="FB265" s="567"/>
      <c r="FC265" s="567"/>
      <c r="FD265" s="567"/>
      <c r="FE265" s="567"/>
      <c r="FF265" s="567"/>
      <c r="FG265" s="567"/>
      <c r="FH265" s="567"/>
      <c r="FI265" s="567"/>
      <c r="FJ265" s="567"/>
      <c r="FK265" s="567"/>
      <c r="FL265" s="567"/>
      <c r="FM265" s="567"/>
      <c r="FN265" s="567"/>
      <c r="FO265" s="567"/>
      <c r="FP265" s="567"/>
      <c r="FQ265" s="567"/>
      <c r="FR265" s="567"/>
      <c r="FS265" s="567"/>
      <c r="FT265" s="567"/>
      <c r="FU265" s="567"/>
      <c r="FV265" s="567"/>
      <c r="FW265" s="567"/>
      <c r="FX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  <c r="BW266" s="567"/>
      <c r="BX266" s="567"/>
      <c r="BY266" s="567"/>
      <c r="BZ266" s="567"/>
      <c r="CA266" s="567"/>
      <c r="CB266" s="567"/>
      <c r="CC266" s="567"/>
      <c r="CD266" s="567"/>
      <c r="CE266" s="567"/>
      <c r="CF266" s="567"/>
      <c r="CG266" s="567"/>
      <c r="CH266" s="567"/>
      <c r="CI266" s="567"/>
      <c r="CJ266" s="567"/>
      <c r="CK266" s="567"/>
      <c r="CL266" s="567"/>
      <c r="CM266" s="567"/>
      <c r="CN266" s="567"/>
      <c r="CO266" s="567"/>
      <c r="CP266" s="567"/>
      <c r="CQ266" s="567"/>
      <c r="CR266" s="567"/>
      <c r="CS266" s="567"/>
      <c r="CT266" s="567"/>
      <c r="CU266" s="567"/>
      <c r="CV266" s="567"/>
      <c r="CW266" s="567"/>
      <c r="CX266" s="567"/>
      <c r="CY266" s="567"/>
      <c r="CZ266" s="567"/>
      <c r="DA266" s="567"/>
      <c r="DB266" s="567"/>
      <c r="DC266" s="567"/>
      <c r="DD266" s="567"/>
      <c r="DE266" s="567"/>
      <c r="DF266" s="567"/>
      <c r="DG266" s="567"/>
      <c r="DH266" s="567"/>
      <c r="DI266" s="567"/>
      <c r="DJ266" s="567"/>
      <c r="DK266" s="567"/>
      <c r="DL266" s="567"/>
      <c r="DM266" s="567"/>
      <c r="DN266" s="567"/>
      <c r="DO266" s="567"/>
      <c r="DP266" s="567"/>
      <c r="DQ266" s="567"/>
      <c r="DR266" s="567"/>
      <c r="DS266" s="567"/>
      <c r="DT266" s="567"/>
      <c r="DU266" s="567"/>
      <c r="DV266" s="567"/>
      <c r="DW266" s="567"/>
      <c r="DX266" s="567"/>
      <c r="DY266" s="567"/>
      <c r="DZ266" s="567"/>
      <c r="EA266" s="567"/>
      <c r="EB266" s="567"/>
      <c r="EC266" s="567"/>
      <c r="ED266" s="567"/>
      <c r="EE266" s="567"/>
      <c r="EF266" s="567"/>
      <c r="EG266" s="567"/>
      <c r="EH266" s="567"/>
      <c r="EI266" s="567"/>
      <c r="EJ266" s="567"/>
      <c r="EK266" s="567"/>
      <c r="EL266" s="567"/>
      <c r="EM266" s="567"/>
      <c r="EN266" s="567"/>
      <c r="EO266" s="567"/>
      <c r="EP266" s="567"/>
      <c r="EQ266" s="567"/>
      <c r="ER266" s="567"/>
      <c r="ES266" s="567"/>
      <c r="ET266" s="567"/>
      <c r="EU266" s="567"/>
      <c r="EV266" s="567"/>
      <c r="EW266" s="567"/>
      <c r="EX266" s="567"/>
      <c r="EY266" s="567"/>
      <c r="EZ266" s="567"/>
      <c r="FA266" s="567"/>
      <c r="FB266" s="567"/>
      <c r="FC266" s="567"/>
      <c r="FD266" s="567"/>
      <c r="FE266" s="567"/>
      <c r="FF266" s="567"/>
      <c r="FG266" s="567"/>
      <c r="FH266" s="567"/>
      <c r="FI266" s="567"/>
      <c r="FJ266" s="567"/>
      <c r="FK266" s="567"/>
      <c r="FL266" s="567"/>
      <c r="FM266" s="567"/>
      <c r="FN266" s="567"/>
      <c r="FO266" s="567"/>
      <c r="FP266" s="567"/>
      <c r="FQ266" s="567"/>
      <c r="FR266" s="567"/>
      <c r="FS266" s="567"/>
      <c r="FT266" s="567"/>
      <c r="FU266" s="567"/>
      <c r="FV266" s="567"/>
      <c r="FW266" s="567"/>
      <c r="FX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  <c r="BW267" s="567"/>
      <c r="BX267" s="567"/>
      <c r="BY267" s="567"/>
      <c r="BZ267" s="567"/>
      <c r="CA267" s="567"/>
      <c r="CB267" s="567"/>
      <c r="CC267" s="567"/>
      <c r="CD267" s="567"/>
      <c r="CE267" s="567"/>
      <c r="CF267" s="567"/>
      <c r="CG267" s="567"/>
      <c r="CH267" s="567"/>
      <c r="CI267" s="567"/>
      <c r="CJ267" s="567"/>
      <c r="CK267" s="567"/>
      <c r="CL267" s="567"/>
      <c r="CM267" s="567"/>
      <c r="CN267" s="567"/>
      <c r="CO267" s="567"/>
      <c r="CP267" s="567"/>
      <c r="CQ267" s="567"/>
      <c r="CR267" s="567"/>
      <c r="CS267" s="567"/>
      <c r="CT267" s="567"/>
      <c r="CU267" s="567"/>
      <c r="CV267" s="567"/>
      <c r="CW267" s="567"/>
      <c r="CX267" s="567"/>
      <c r="CY267" s="567"/>
      <c r="CZ267" s="567"/>
      <c r="DA267" s="567"/>
      <c r="DB267" s="567"/>
      <c r="DC267" s="567"/>
      <c r="DD267" s="567"/>
      <c r="DE267" s="567"/>
      <c r="DF267" s="567"/>
      <c r="DG267" s="567"/>
      <c r="DH267" s="567"/>
      <c r="DI267" s="567"/>
      <c r="DJ267" s="567"/>
      <c r="DK267" s="567"/>
      <c r="DL267" s="567"/>
      <c r="DM267" s="567"/>
      <c r="DN267" s="567"/>
      <c r="DO267" s="567"/>
      <c r="DP267" s="567"/>
      <c r="DQ267" s="567"/>
      <c r="DR267" s="567"/>
      <c r="DS267" s="567"/>
      <c r="DT267" s="567"/>
      <c r="DU267" s="567"/>
      <c r="DV267" s="567"/>
      <c r="DW267" s="567"/>
      <c r="DX267" s="567"/>
      <c r="DY267" s="567"/>
      <c r="DZ267" s="567"/>
      <c r="EA267" s="567"/>
      <c r="EB267" s="567"/>
      <c r="EC267" s="567"/>
      <c r="ED267" s="567"/>
      <c r="EE267" s="567"/>
      <c r="EF267" s="567"/>
      <c r="EG267" s="567"/>
      <c r="EH267" s="567"/>
      <c r="EI267" s="567"/>
      <c r="EJ267" s="567"/>
      <c r="EK267" s="567"/>
      <c r="EL267" s="567"/>
      <c r="EM267" s="567"/>
      <c r="EN267" s="567"/>
      <c r="EO267" s="567"/>
      <c r="EP267" s="567"/>
      <c r="EQ267" s="567"/>
      <c r="ER267" s="567"/>
      <c r="ES267" s="567"/>
      <c r="ET267" s="567"/>
      <c r="EU267" s="567"/>
      <c r="EV267" s="567"/>
      <c r="EW267" s="567"/>
      <c r="EX267" s="567"/>
      <c r="EY267" s="567"/>
      <c r="EZ267" s="567"/>
      <c r="FA267" s="567"/>
      <c r="FB267" s="567"/>
      <c r="FC267" s="567"/>
      <c r="FD267" s="567"/>
      <c r="FE267" s="567"/>
      <c r="FF267" s="567"/>
      <c r="FG267" s="567"/>
      <c r="FH267" s="567"/>
      <c r="FI267" s="567"/>
      <c r="FJ267" s="567"/>
      <c r="FK267" s="567"/>
      <c r="FL267" s="567"/>
      <c r="FM267" s="567"/>
      <c r="FN267" s="567"/>
      <c r="FO267" s="567"/>
      <c r="FP267" s="567"/>
      <c r="FQ267" s="567"/>
      <c r="FR267" s="567"/>
      <c r="FS267" s="567"/>
      <c r="FT267" s="567"/>
      <c r="FU267" s="567"/>
      <c r="FV267" s="567"/>
      <c r="FW267" s="567"/>
      <c r="FX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  <c r="BW268" s="567"/>
      <c r="BX268" s="567"/>
      <c r="BY268" s="567"/>
      <c r="BZ268" s="567"/>
      <c r="CA268" s="567"/>
      <c r="CB268" s="567"/>
      <c r="CC268" s="567"/>
      <c r="CD268" s="567"/>
      <c r="CE268" s="567"/>
      <c r="CF268" s="567"/>
      <c r="CG268" s="567"/>
      <c r="CH268" s="567"/>
      <c r="CI268" s="567"/>
      <c r="CJ268" s="567"/>
      <c r="CK268" s="567"/>
      <c r="CL268" s="567"/>
      <c r="CM268" s="567"/>
      <c r="CN268" s="567"/>
      <c r="CO268" s="567"/>
      <c r="CP268" s="567"/>
      <c r="CQ268" s="567"/>
      <c r="CR268" s="567"/>
      <c r="CS268" s="567"/>
      <c r="CT268" s="567"/>
      <c r="CU268" s="567"/>
      <c r="CV268" s="567"/>
      <c r="CW268" s="567"/>
      <c r="CX268" s="567"/>
      <c r="CY268" s="567"/>
      <c r="CZ268" s="567"/>
      <c r="DA268" s="567"/>
      <c r="DB268" s="567"/>
      <c r="DC268" s="567"/>
      <c r="DD268" s="567"/>
      <c r="DE268" s="567"/>
      <c r="DF268" s="567"/>
      <c r="DG268" s="567"/>
      <c r="DH268" s="567"/>
      <c r="DI268" s="567"/>
      <c r="DJ268" s="567"/>
      <c r="DK268" s="567"/>
      <c r="DL268" s="567"/>
      <c r="DM268" s="567"/>
      <c r="DN268" s="567"/>
      <c r="DO268" s="567"/>
      <c r="DP268" s="567"/>
      <c r="DQ268" s="567"/>
      <c r="DR268" s="567"/>
      <c r="DS268" s="567"/>
      <c r="DT268" s="567"/>
      <c r="DU268" s="567"/>
      <c r="DV268" s="567"/>
      <c r="DW268" s="567"/>
      <c r="DX268" s="567"/>
      <c r="DY268" s="567"/>
      <c r="DZ268" s="567"/>
      <c r="EA268" s="567"/>
      <c r="EB268" s="567"/>
      <c r="EC268" s="567"/>
      <c r="ED268" s="567"/>
      <c r="EE268" s="567"/>
      <c r="EF268" s="567"/>
      <c r="EG268" s="567"/>
      <c r="EH268" s="567"/>
      <c r="EI268" s="567"/>
      <c r="EJ268" s="567"/>
      <c r="EK268" s="567"/>
      <c r="EL268" s="567"/>
      <c r="EM268" s="567"/>
      <c r="EN268" s="567"/>
      <c r="EO268" s="567"/>
      <c r="EP268" s="567"/>
      <c r="EQ268" s="567"/>
      <c r="ER268" s="567"/>
      <c r="ES268" s="567"/>
      <c r="ET268" s="567"/>
      <c r="EU268" s="567"/>
      <c r="EV268" s="567"/>
      <c r="EW268" s="567"/>
      <c r="EX268" s="567"/>
      <c r="EY268" s="567"/>
      <c r="EZ268" s="567"/>
      <c r="FA268" s="567"/>
      <c r="FB268" s="567"/>
      <c r="FC268" s="567"/>
      <c r="FD268" s="567"/>
      <c r="FE268" s="567"/>
      <c r="FF268" s="567"/>
      <c r="FG268" s="567"/>
      <c r="FH268" s="567"/>
      <c r="FI268" s="567"/>
      <c r="FJ268" s="567"/>
      <c r="FK268" s="567"/>
      <c r="FL268" s="567"/>
      <c r="FM268" s="567"/>
      <c r="FN268" s="567"/>
      <c r="FO268" s="567"/>
      <c r="FP268" s="567"/>
      <c r="FQ268" s="567"/>
      <c r="FR268" s="567"/>
      <c r="FS268" s="567"/>
      <c r="FT268" s="567"/>
      <c r="FU268" s="567"/>
      <c r="FV268" s="567"/>
      <c r="FW268" s="567"/>
      <c r="FX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  <c r="BW269" s="567"/>
      <c r="BX269" s="567"/>
      <c r="BY269" s="567"/>
      <c r="BZ269" s="567"/>
      <c r="CA269" s="567"/>
      <c r="CB269" s="567"/>
      <c r="CC269" s="567"/>
      <c r="CD269" s="567"/>
      <c r="CE269" s="567"/>
      <c r="CF269" s="567"/>
      <c r="CG269" s="567"/>
      <c r="CH269" s="567"/>
      <c r="CI269" s="567"/>
      <c r="CJ269" s="567"/>
      <c r="CK269" s="567"/>
      <c r="CL269" s="567"/>
      <c r="CM269" s="567"/>
      <c r="CN269" s="567"/>
      <c r="CO269" s="567"/>
      <c r="CP269" s="567"/>
      <c r="CQ269" s="567"/>
      <c r="CR269" s="567"/>
      <c r="CS269" s="567"/>
      <c r="CT269" s="567"/>
      <c r="CU269" s="567"/>
      <c r="CV269" s="567"/>
      <c r="CW269" s="567"/>
      <c r="CX269" s="567"/>
      <c r="CY269" s="567"/>
      <c r="CZ269" s="567"/>
      <c r="DA269" s="567"/>
      <c r="DB269" s="567"/>
      <c r="DC269" s="567"/>
      <c r="DD269" s="567"/>
      <c r="DE269" s="567"/>
      <c r="DF269" s="567"/>
      <c r="DG269" s="567"/>
      <c r="DH269" s="567"/>
      <c r="DI269" s="567"/>
      <c r="DJ269" s="567"/>
      <c r="DK269" s="567"/>
      <c r="DL269" s="567"/>
      <c r="DM269" s="567"/>
      <c r="DN269" s="567"/>
      <c r="DO269" s="567"/>
      <c r="DP269" s="567"/>
      <c r="DQ269" s="567"/>
      <c r="DR269" s="567"/>
      <c r="DS269" s="567"/>
      <c r="DT269" s="567"/>
      <c r="DU269" s="567"/>
      <c r="DV269" s="567"/>
      <c r="DW269" s="567"/>
      <c r="DX269" s="567"/>
      <c r="DY269" s="567"/>
      <c r="DZ269" s="567"/>
      <c r="EA269" s="567"/>
      <c r="EB269" s="567"/>
      <c r="EC269" s="567"/>
      <c r="ED269" s="567"/>
      <c r="EE269" s="567"/>
      <c r="EF269" s="567"/>
      <c r="EG269" s="567"/>
      <c r="EH269" s="567"/>
      <c r="EI269" s="567"/>
      <c r="EJ269" s="567"/>
      <c r="EK269" s="567"/>
      <c r="EL269" s="567"/>
      <c r="EM269" s="567"/>
      <c r="EN269" s="567"/>
      <c r="EO269" s="567"/>
      <c r="EP269" s="567"/>
      <c r="EQ269" s="567"/>
      <c r="ER269" s="567"/>
      <c r="ES269" s="567"/>
      <c r="ET269" s="567"/>
      <c r="EU269" s="567"/>
      <c r="EV269" s="567"/>
      <c r="EW269" s="567"/>
      <c r="EX269" s="567"/>
      <c r="EY269" s="567"/>
      <c r="EZ269" s="567"/>
      <c r="FA269" s="567"/>
      <c r="FB269" s="567"/>
      <c r="FC269" s="567"/>
      <c r="FD269" s="567"/>
      <c r="FE269" s="567"/>
      <c r="FF269" s="567"/>
      <c r="FG269" s="567"/>
      <c r="FH269" s="567"/>
      <c r="FI269" s="567"/>
      <c r="FJ269" s="567"/>
      <c r="FK269" s="567"/>
      <c r="FL269" s="567"/>
      <c r="FM269" s="567"/>
      <c r="FN269" s="567"/>
      <c r="FO269" s="567"/>
      <c r="FP269" s="567"/>
      <c r="FQ269" s="567"/>
      <c r="FR269" s="567"/>
      <c r="FS269" s="567"/>
      <c r="FT269" s="567"/>
      <c r="FU269" s="567"/>
      <c r="FV269" s="567"/>
      <c r="FW269" s="567"/>
      <c r="FX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  <c r="BW270" s="567"/>
      <c r="BX270" s="567"/>
      <c r="BY270" s="567"/>
      <c r="BZ270" s="567"/>
      <c r="CA270" s="567"/>
      <c r="CB270" s="567"/>
      <c r="CC270" s="567"/>
      <c r="CD270" s="567"/>
      <c r="CE270" s="567"/>
      <c r="CF270" s="567"/>
      <c r="CG270" s="567"/>
      <c r="CH270" s="567"/>
      <c r="CI270" s="567"/>
      <c r="CJ270" s="567"/>
      <c r="CK270" s="567"/>
      <c r="CL270" s="567"/>
      <c r="CM270" s="567"/>
      <c r="CN270" s="567"/>
      <c r="CO270" s="567"/>
      <c r="CP270" s="567"/>
      <c r="CQ270" s="567"/>
      <c r="CR270" s="567"/>
      <c r="CS270" s="567"/>
      <c r="CT270" s="567"/>
      <c r="CU270" s="567"/>
      <c r="CV270" s="567"/>
      <c r="CW270" s="567"/>
      <c r="CX270" s="567"/>
      <c r="CY270" s="567"/>
      <c r="CZ270" s="567"/>
      <c r="DA270" s="567"/>
      <c r="DB270" s="567"/>
      <c r="DC270" s="567"/>
      <c r="DD270" s="567"/>
      <c r="DE270" s="567"/>
      <c r="DF270" s="567"/>
      <c r="DG270" s="567"/>
      <c r="DH270" s="567"/>
      <c r="DI270" s="567"/>
      <c r="DJ270" s="567"/>
      <c r="DK270" s="567"/>
      <c r="DL270" s="567"/>
      <c r="DM270" s="567"/>
      <c r="DN270" s="567"/>
      <c r="DO270" s="567"/>
      <c r="DP270" s="567"/>
      <c r="DQ270" s="567"/>
      <c r="DR270" s="567"/>
      <c r="DS270" s="567"/>
      <c r="DT270" s="567"/>
      <c r="DU270" s="567"/>
      <c r="DV270" s="567"/>
      <c r="DW270" s="567"/>
      <c r="DX270" s="567"/>
      <c r="DY270" s="567"/>
      <c r="DZ270" s="567"/>
      <c r="EA270" s="567"/>
      <c r="EB270" s="567"/>
      <c r="EC270" s="567"/>
      <c r="ED270" s="567"/>
      <c r="EE270" s="567"/>
      <c r="EF270" s="567"/>
      <c r="EG270" s="567"/>
      <c r="EH270" s="567"/>
      <c r="EI270" s="567"/>
      <c r="EJ270" s="567"/>
      <c r="EK270" s="567"/>
      <c r="EL270" s="567"/>
      <c r="EM270" s="567"/>
      <c r="EN270" s="567"/>
      <c r="EO270" s="567"/>
      <c r="EP270" s="567"/>
      <c r="EQ270" s="567"/>
      <c r="ER270" s="567"/>
      <c r="ES270" s="567"/>
      <c r="ET270" s="567"/>
      <c r="EU270" s="567"/>
      <c r="EV270" s="567"/>
      <c r="EW270" s="567"/>
      <c r="EX270" s="567"/>
      <c r="EY270" s="567"/>
      <c r="EZ270" s="567"/>
      <c r="FA270" s="567"/>
      <c r="FB270" s="567"/>
      <c r="FC270" s="567"/>
      <c r="FD270" s="567"/>
      <c r="FE270" s="567"/>
      <c r="FF270" s="567"/>
      <c r="FG270" s="567"/>
      <c r="FH270" s="567"/>
      <c r="FI270" s="567"/>
      <c r="FJ270" s="567"/>
      <c r="FK270" s="567"/>
      <c r="FL270" s="567"/>
      <c r="FM270" s="567"/>
      <c r="FN270" s="567"/>
      <c r="FO270" s="567"/>
      <c r="FP270" s="567"/>
      <c r="FQ270" s="567"/>
      <c r="FR270" s="567"/>
      <c r="FS270" s="567"/>
      <c r="FT270" s="567"/>
      <c r="FU270" s="567"/>
      <c r="FV270" s="567"/>
      <c r="FW270" s="567"/>
      <c r="FX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  <c r="BW271" s="567"/>
      <c r="BX271" s="567"/>
      <c r="BY271" s="567"/>
      <c r="BZ271" s="567"/>
      <c r="CA271" s="567"/>
      <c r="CB271" s="567"/>
      <c r="CC271" s="567"/>
      <c r="CD271" s="567"/>
      <c r="CE271" s="567"/>
      <c r="CF271" s="567"/>
      <c r="CG271" s="567"/>
      <c r="CH271" s="567"/>
      <c r="CI271" s="567"/>
      <c r="CJ271" s="567"/>
      <c r="CK271" s="567"/>
      <c r="CL271" s="567"/>
      <c r="CM271" s="567"/>
      <c r="CN271" s="567"/>
      <c r="CO271" s="567"/>
      <c r="CP271" s="567"/>
      <c r="CQ271" s="567"/>
      <c r="CR271" s="567"/>
      <c r="CS271" s="567"/>
      <c r="CT271" s="567"/>
      <c r="CU271" s="567"/>
      <c r="CV271" s="567"/>
      <c r="CW271" s="567"/>
      <c r="CX271" s="567"/>
      <c r="CY271" s="567"/>
      <c r="CZ271" s="567"/>
      <c r="DA271" s="567"/>
      <c r="DB271" s="567"/>
      <c r="DC271" s="567"/>
      <c r="DD271" s="567"/>
      <c r="DE271" s="567"/>
      <c r="DF271" s="567"/>
      <c r="DG271" s="567"/>
      <c r="DH271" s="567"/>
      <c r="DI271" s="567"/>
      <c r="DJ271" s="567"/>
      <c r="DK271" s="567"/>
      <c r="DL271" s="567"/>
      <c r="DM271" s="567"/>
      <c r="DN271" s="567"/>
      <c r="DO271" s="567"/>
      <c r="DP271" s="567"/>
      <c r="DQ271" s="567"/>
      <c r="DR271" s="567"/>
      <c r="DS271" s="567"/>
      <c r="DT271" s="567"/>
      <c r="DU271" s="567"/>
      <c r="DV271" s="567"/>
      <c r="DW271" s="567"/>
      <c r="DX271" s="567"/>
      <c r="DY271" s="567"/>
      <c r="DZ271" s="567"/>
      <c r="EA271" s="567"/>
      <c r="EB271" s="567"/>
      <c r="EC271" s="567"/>
      <c r="ED271" s="567"/>
      <c r="EE271" s="567"/>
      <c r="EF271" s="567"/>
      <c r="EG271" s="567"/>
      <c r="EH271" s="567"/>
      <c r="EI271" s="567"/>
      <c r="EJ271" s="567"/>
      <c r="EK271" s="567"/>
      <c r="EL271" s="567"/>
      <c r="EM271" s="567"/>
      <c r="EN271" s="567"/>
      <c r="EO271" s="567"/>
      <c r="EP271" s="567"/>
      <c r="EQ271" s="567"/>
      <c r="ER271" s="567"/>
      <c r="ES271" s="567"/>
      <c r="ET271" s="567"/>
      <c r="EU271" s="567"/>
      <c r="EV271" s="567"/>
      <c r="EW271" s="567"/>
      <c r="EX271" s="567"/>
      <c r="EY271" s="567"/>
      <c r="EZ271" s="567"/>
      <c r="FA271" s="567"/>
      <c r="FB271" s="567"/>
      <c r="FC271" s="567"/>
      <c r="FD271" s="567"/>
      <c r="FE271" s="567"/>
      <c r="FF271" s="567"/>
      <c r="FG271" s="567"/>
      <c r="FH271" s="567"/>
      <c r="FI271" s="567"/>
      <c r="FJ271" s="567"/>
      <c r="FK271" s="567"/>
      <c r="FL271" s="567"/>
      <c r="FM271" s="567"/>
      <c r="FN271" s="567"/>
      <c r="FO271" s="567"/>
      <c r="FP271" s="567"/>
      <c r="FQ271" s="567"/>
      <c r="FR271" s="567"/>
      <c r="FS271" s="567"/>
      <c r="FT271" s="567"/>
      <c r="FU271" s="567"/>
      <c r="FV271" s="567"/>
      <c r="FW271" s="567"/>
      <c r="FX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  <c r="BW272" s="567"/>
      <c r="BX272" s="567"/>
      <c r="BY272" s="567"/>
      <c r="BZ272" s="567"/>
      <c r="CA272" s="567"/>
      <c r="CB272" s="567"/>
      <c r="CC272" s="567"/>
      <c r="CD272" s="567"/>
      <c r="CE272" s="567"/>
      <c r="CF272" s="567"/>
      <c r="CG272" s="567"/>
      <c r="CH272" s="567"/>
      <c r="CI272" s="567"/>
      <c r="CJ272" s="567"/>
      <c r="CK272" s="567"/>
      <c r="CL272" s="567"/>
      <c r="CM272" s="567"/>
      <c r="CN272" s="567"/>
      <c r="CO272" s="567"/>
      <c r="CP272" s="567"/>
      <c r="CQ272" s="567"/>
      <c r="CR272" s="567"/>
      <c r="CS272" s="567"/>
      <c r="CT272" s="567"/>
      <c r="CU272" s="567"/>
      <c r="CV272" s="567"/>
      <c r="CW272" s="567"/>
      <c r="CX272" s="567"/>
      <c r="CY272" s="567"/>
      <c r="CZ272" s="567"/>
      <c r="DA272" s="567"/>
      <c r="DB272" s="567"/>
      <c r="DC272" s="567"/>
      <c r="DD272" s="567"/>
      <c r="DE272" s="567"/>
      <c r="DF272" s="567"/>
      <c r="DG272" s="567"/>
      <c r="DH272" s="567"/>
      <c r="DI272" s="567"/>
      <c r="DJ272" s="567"/>
      <c r="DK272" s="567"/>
      <c r="DL272" s="567"/>
      <c r="DM272" s="567"/>
      <c r="DN272" s="567"/>
      <c r="DO272" s="567"/>
      <c r="DP272" s="567"/>
      <c r="DQ272" s="567"/>
      <c r="DR272" s="567"/>
      <c r="DS272" s="567"/>
      <c r="DT272" s="567"/>
      <c r="DU272" s="567"/>
      <c r="DV272" s="567"/>
      <c r="DW272" s="567"/>
      <c r="DX272" s="567"/>
      <c r="DY272" s="567"/>
      <c r="DZ272" s="567"/>
      <c r="EA272" s="567"/>
      <c r="EB272" s="567"/>
      <c r="EC272" s="567"/>
      <c r="ED272" s="567"/>
      <c r="EE272" s="567"/>
      <c r="EF272" s="567"/>
      <c r="EG272" s="567"/>
      <c r="EH272" s="567"/>
      <c r="EI272" s="567"/>
      <c r="EJ272" s="567"/>
      <c r="EK272" s="567"/>
      <c r="EL272" s="567"/>
      <c r="EM272" s="567"/>
      <c r="EN272" s="567"/>
      <c r="EO272" s="567"/>
      <c r="EP272" s="567"/>
      <c r="EQ272" s="567"/>
      <c r="ER272" s="567"/>
      <c r="ES272" s="567"/>
      <c r="ET272" s="567"/>
      <c r="EU272" s="567"/>
      <c r="EV272" s="567"/>
      <c r="EW272" s="567"/>
      <c r="EX272" s="567"/>
      <c r="EY272" s="567"/>
      <c r="EZ272" s="567"/>
      <c r="FA272" s="567"/>
      <c r="FB272" s="567"/>
      <c r="FC272" s="567"/>
      <c r="FD272" s="567"/>
      <c r="FE272" s="567"/>
      <c r="FF272" s="567"/>
      <c r="FG272" s="567"/>
      <c r="FH272" s="567"/>
      <c r="FI272" s="567"/>
      <c r="FJ272" s="567"/>
      <c r="FK272" s="567"/>
      <c r="FL272" s="567"/>
      <c r="FM272" s="567"/>
      <c r="FN272" s="567"/>
      <c r="FO272" s="567"/>
      <c r="FP272" s="567"/>
      <c r="FQ272" s="567"/>
      <c r="FR272" s="567"/>
      <c r="FS272" s="567"/>
      <c r="FT272" s="567"/>
      <c r="FU272" s="567"/>
      <c r="FV272" s="567"/>
      <c r="FW272" s="567"/>
      <c r="FX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  <c r="BW273" s="567"/>
      <c r="BX273" s="567"/>
      <c r="BY273" s="567"/>
      <c r="BZ273" s="567"/>
      <c r="CA273" s="567"/>
      <c r="CB273" s="567"/>
      <c r="CC273" s="567"/>
      <c r="CD273" s="567"/>
      <c r="CE273" s="567"/>
      <c r="CF273" s="567"/>
      <c r="CG273" s="567"/>
      <c r="CH273" s="567"/>
      <c r="CI273" s="567"/>
      <c r="CJ273" s="567"/>
      <c r="CK273" s="567"/>
      <c r="CL273" s="567"/>
      <c r="CM273" s="567"/>
      <c r="CN273" s="567"/>
      <c r="CO273" s="567"/>
      <c r="CP273" s="567"/>
      <c r="CQ273" s="567"/>
      <c r="CR273" s="567"/>
      <c r="CS273" s="567"/>
      <c r="CT273" s="567"/>
      <c r="CU273" s="567"/>
      <c r="CV273" s="567"/>
      <c r="CW273" s="567"/>
      <c r="CX273" s="567"/>
      <c r="CY273" s="567"/>
      <c r="CZ273" s="567"/>
      <c r="DA273" s="567"/>
      <c r="DB273" s="567"/>
      <c r="DC273" s="567"/>
      <c r="DD273" s="567"/>
      <c r="DE273" s="567"/>
      <c r="DF273" s="567"/>
      <c r="DG273" s="567"/>
      <c r="DH273" s="567"/>
      <c r="DI273" s="567"/>
      <c r="DJ273" s="567"/>
      <c r="DK273" s="567"/>
      <c r="DL273" s="567"/>
      <c r="DM273" s="567"/>
      <c r="DN273" s="567"/>
      <c r="DO273" s="567"/>
      <c r="DP273" s="567"/>
      <c r="DQ273" s="567"/>
      <c r="DR273" s="567"/>
      <c r="DS273" s="567"/>
      <c r="DT273" s="567"/>
      <c r="DU273" s="567"/>
      <c r="DV273" s="567"/>
      <c r="DW273" s="567"/>
      <c r="DX273" s="567"/>
      <c r="DY273" s="567"/>
      <c r="DZ273" s="567"/>
      <c r="EA273" s="567"/>
      <c r="EB273" s="567"/>
      <c r="EC273" s="567"/>
      <c r="ED273" s="567"/>
      <c r="EE273" s="567"/>
      <c r="EF273" s="567"/>
      <c r="EG273" s="567"/>
      <c r="EH273" s="567"/>
      <c r="EI273" s="567"/>
      <c r="EJ273" s="567"/>
      <c r="EK273" s="567"/>
      <c r="EL273" s="567"/>
      <c r="EM273" s="567"/>
      <c r="EN273" s="567"/>
      <c r="EO273" s="567"/>
      <c r="EP273" s="567"/>
      <c r="EQ273" s="567"/>
      <c r="ER273" s="567"/>
      <c r="ES273" s="567"/>
      <c r="ET273" s="567"/>
      <c r="EU273" s="567"/>
      <c r="EV273" s="567"/>
      <c r="EW273" s="567"/>
      <c r="EX273" s="567"/>
      <c r="EY273" s="567"/>
      <c r="EZ273" s="567"/>
      <c r="FA273" s="567"/>
      <c r="FB273" s="567"/>
      <c r="FC273" s="567"/>
      <c r="FD273" s="567"/>
      <c r="FE273" s="567"/>
      <c r="FF273" s="567"/>
      <c r="FG273" s="567"/>
      <c r="FH273" s="567"/>
      <c r="FI273" s="567"/>
      <c r="FJ273" s="567"/>
      <c r="FK273" s="567"/>
      <c r="FL273" s="567"/>
      <c r="FM273" s="567"/>
      <c r="FN273" s="567"/>
      <c r="FO273" s="567"/>
      <c r="FP273" s="567"/>
      <c r="FQ273" s="567"/>
      <c r="FR273" s="567"/>
      <c r="FS273" s="567"/>
      <c r="FT273" s="567"/>
      <c r="FU273" s="567"/>
      <c r="FV273" s="567"/>
      <c r="FW273" s="567"/>
      <c r="FX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  <c r="BW274" s="567"/>
      <c r="BX274" s="567"/>
      <c r="BY274" s="567"/>
      <c r="BZ274" s="567"/>
      <c r="CA274" s="567"/>
      <c r="CB274" s="567"/>
      <c r="CC274" s="567"/>
      <c r="CD274" s="567"/>
      <c r="CE274" s="567"/>
      <c r="CF274" s="567"/>
      <c r="CG274" s="567"/>
      <c r="CH274" s="567"/>
      <c r="CI274" s="567"/>
      <c r="CJ274" s="567"/>
      <c r="CK274" s="567"/>
      <c r="CL274" s="567"/>
      <c r="CM274" s="567"/>
      <c r="CN274" s="567"/>
      <c r="CO274" s="567"/>
      <c r="CP274" s="567"/>
      <c r="CQ274" s="567"/>
      <c r="CR274" s="567"/>
      <c r="CS274" s="567"/>
      <c r="CT274" s="567"/>
      <c r="CU274" s="567"/>
      <c r="CV274" s="567"/>
      <c r="CW274" s="567"/>
      <c r="CX274" s="567"/>
      <c r="CY274" s="567"/>
      <c r="CZ274" s="567"/>
      <c r="DA274" s="567"/>
      <c r="DB274" s="567"/>
      <c r="DC274" s="567"/>
      <c r="DD274" s="567"/>
      <c r="DE274" s="567"/>
      <c r="DF274" s="567"/>
      <c r="DG274" s="567"/>
      <c r="DH274" s="567"/>
      <c r="DI274" s="567"/>
      <c r="DJ274" s="567"/>
      <c r="DK274" s="567"/>
      <c r="DL274" s="567"/>
      <c r="DM274" s="567"/>
      <c r="DN274" s="567"/>
      <c r="DO274" s="567"/>
      <c r="DP274" s="567"/>
      <c r="DQ274" s="567"/>
      <c r="DR274" s="567"/>
      <c r="DS274" s="567"/>
      <c r="DT274" s="567"/>
      <c r="DU274" s="567"/>
      <c r="DV274" s="567"/>
      <c r="DW274" s="567"/>
      <c r="DX274" s="567"/>
      <c r="DY274" s="567"/>
      <c r="DZ274" s="567"/>
      <c r="EA274" s="567"/>
      <c r="EB274" s="567"/>
      <c r="EC274" s="567"/>
      <c r="ED274" s="567"/>
      <c r="EE274" s="567"/>
      <c r="EF274" s="567"/>
      <c r="EG274" s="567"/>
      <c r="EH274" s="567"/>
      <c r="EI274" s="567"/>
      <c r="EJ274" s="567"/>
      <c r="EK274" s="567"/>
      <c r="EL274" s="567"/>
      <c r="EM274" s="567"/>
      <c r="EN274" s="567"/>
      <c r="EO274" s="567"/>
      <c r="EP274" s="567"/>
      <c r="EQ274" s="567"/>
      <c r="ER274" s="567"/>
      <c r="ES274" s="567"/>
      <c r="ET274" s="567"/>
      <c r="EU274" s="567"/>
      <c r="EV274" s="567"/>
      <c r="EW274" s="567"/>
      <c r="EX274" s="567"/>
      <c r="EY274" s="567"/>
      <c r="EZ274" s="567"/>
      <c r="FA274" s="567"/>
      <c r="FB274" s="567"/>
      <c r="FC274" s="567"/>
      <c r="FD274" s="567"/>
      <c r="FE274" s="567"/>
      <c r="FF274" s="567"/>
      <c r="FG274" s="567"/>
      <c r="FH274" s="567"/>
      <c r="FI274" s="567"/>
      <c r="FJ274" s="567"/>
      <c r="FK274" s="567"/>
      <c r="FL274" s="567"/>
      <c r="FM274" s="567"/>
      <c r="FN274" s="567"/>
      <c r="FO274" s="567"/>
      <c r="FP274" s="567"/>
      <c r="FQ274" s="567"/>
      <c r="FR274" s="567"/>
      <c r="FS274" s="567"/>
      <c r="FT274" s="567"/>
      <c r="FU274" s="567"/>
      <c r="FV274" s="567"/>
      <c r="FW274" s="567"/>
      <c r="FX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  <c r="BW275" s="567"/>
      <c r="BX275" s="567"/>
      <c r="BY275" s="567"/>
      <c r="BZ275" s="567"/>
      <c r="CA275" s="567"/>
      <c r="CB275" s="567"/>
      <c r="CC275" s="567"/>
      <c r="CD275" s="567"/>
      <c r="CE275" s="567"/>
      <c r="CF275" s="567"/>
      <c r="CG275" s="567"/>
      <c r="CH275" s="567"/>
      <c r="CI275" s="567"/>
      <c r="CJ275" s="567"/>
      <c r="CK275" s="567"/>
      <c r="CL275" s="567"/>
      <c r="CM275" s="567"/>
      <c r="CN275" s="567"/>
      <c r="CO275" s="567"/>
      <c r="CP275" s="567"/>
      <c r="CQ275" s="567"/>
      <c r="CR275" s="567"/>
      <c r="CS275" s="567"/>
      <c r="CT275" s="567"/>
      <c r="CU275" s="567"/>
      <c r="CV275" s="567"/>
      <c r="CW275" s="567"/>
      <c r="CX275" s="567"/>
      <c r="CY275" s="567"/>
      <c r="CZ275" s="567"/>
      <c r="DA275" s="567"/>
      <c r="DB275" s="567"/>
      <c r="DC275" s="567"/>
      <c r="DD275" s="567"/>
      <c r="DE275" s="567"/>
      <c r="DF275" s="567"/>
      <c r="DG275" s="567"/>
      <c r="DH275" s="567"/>
      <c r="DI275" s="567"/>
      <c r="DJ275" s="567"/>
      <c r="DK275" s="567"/>
      <c r="DL275" s="567"/>
      <c r="DM275" s="567"/>
      <c r="DN275" s="567"/>
      <c r="DO275" s="567"/>
      <c r="DP275" s="567"/>
      <c r="DQ275" s="567"/>
      <c r="DR275" s="567"/>
      <c r="DS275" s="567"/>
      <c r="DT275" s="567"/>
      <c r="DU275" s="567"/>
      <c r="DV275" s="567"/>
      <c r="DW275" s="567"/>
      <c r="DX275" s="567"/>
      <c r="DY275" s="567"/>
      <c r="DZ275" s="567"/>
      <c r="EA275" s="567"/>
      <c r="EB275" s="567"/>
      <c r="EC275" s="567"/>
      <c r="ED275" s="567"/>
      <c r="EE275" s="567"/>
      <c r="EF275" s="567"/>
      <c r="EG275" s="567"/>
      <c r="EH275" s="567"/>
      <c r="EI275" s="567"/>
      <c r="EJ275" s="567"/>
      <c r="EK275" s="567"/>
      <c r="EL275" s="567"/>
      <c r="EM275" s="567"/>
      <c r="EN275" s="567"/>
      <c r="EO275" s="567"/>
      <c r="EP275" s="567"/>
      <c r="EQ275" s="567"/>
      <c r="ER275" s="567"/>
      <c r="ES275" s="567"/>
      <c r="ET275" s="567"/>
      <c r="EU275" s="567"/>
      <c r="EV275" s="567"/>
      <c r="EW275" s="567"/>
      <c r="EX275" s="567"/>
      <c r="EY275" s="567"/>
      <c r="EZ275" s="567"/>
      <c r="FA275" s="567"/>
      <c r="FB275" s="567"/>
      <c r="FC275" s="567"/>
      <c r="FD275" s="567"/>
      <c r="FE275" s="567"/>
      <c r="FF275" s="567"/>
      <c r="FG275" s="567"/>
      <c r="FH275" s="567"/>
      <c r="FI275" s="567"/>
      <c r="FJ275" s="567"/>
      <c r="FK275" s="567"/>
      <c r="FL275" s="567"/>
      <c r="FM275" s="567"/>
      <c r="FN275" s="567"/>
      <c r="FO275" s="567"/>
      <c r="FP275" s="567"/>
      <c r="FQ275" s="567"/>
      <c r="FR275" s="567"/>
      <c r="FS275" s="567"/>
      <c r="FT275" s="567"/>
      <c r="FU275" s="567"/>
      <c r="FV275" s="567"/>
      <c r="FW275" s="567"/>
      <c r="FX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  <c r="BW276" s="567"/>
      <c r="BX276" s="567"/>
      <c r="BY276" s="567"/>
      <c r="BZ276" s="567"/>
      <c r="CA276" s="567"/>
      <c r="CB276" s="567"/>
      <c r="CC276" s="567"/>
      <c r="CD276" s="567"/>
      <c r="CE276" s="567"/>
      <c r="CF276" s="567"/>
      <c r="CG276" s="567"/>
      <c r="CH276" s="567"/>
      <c r="CI276" s="567"/>
      <c r="CJ276" s="567"/>
      <c r="CK276" s="567"/>
      <c r="CL276" s="567"/>
      <c r="CM276" s="567"/>
      <c r="CN276" s="567"/>
      <c r="CO276" s="567"/>
      <c r="CP276" s="567"/>
      <c r="CQ276" s="567"/>
      <c r="CR276" s="567"/>
      <c r="CS276" s="567"/>
      <c r="CT276" s="567"/>
      <c r="CU276" s="567"/>
      <c r="CV276" s="567"/>
      <c r="CW276" s="567"/>
      <c r="CX276" s="567"/>
      <c r="CY276" s="567"/>
      <c r="CZ276" s="567"/>
      <c r="DA276" s="567"/>
      <c r="DB276" s="567"/>
      <c r="DC276" s="567"/>
      <c r="DD276" s="567"/>
      <c r="DE276" s="567"/>
      <c r="DF276" s="567"/>
      <c r="DG276" s="567"/>
      <c r="DH276" s="567"/>
      <c r="DI276" s="567"/>
      <c r="DJ276" s="567"/>
      <c r="DK276" s="567"/>
      <c r="DL276" s="567"/>
      <c r="DM276" s="567"/>
      <c r="DN276" s="567"/>
      <c r="DO276" s="567"/>
      <c r="DP276" s="567"/>
      <c r="DQ276" s="567"/>
      <c r="DR276" s="567"/>
      <c r="DS276" s="567"/>
      <c r="DT276" s="567"/>
      <c r="DU276" s="567"/>
      <c r="DV276" s="567"/>
      <c r="DW276" s="567"/>
      <c r="DX276" s="567"/>
      <c r="DY276" s="567"/>
      <c r="DZ276" s="567"/>
      <c r="EA276" s="567"/>
      <c r="EB276" s="567"/>
      <c r="EC276" s="567"/>
      <c r="ED276" s="567"/>
      <c r="EE276" s="567"/>
      <c r="EF276" s="567"/>
      <c r="EG276" s="567"/>
      <c r="EH276" s="567"/>
      <c r="EI276" s="567"/>
      <c r="EJ276" s="567"/>
      <c r="EK276" s="567"/>
      <c r="EL276" s="567"/>
      <c r="EM276" s="567"/>
      <c r="EN276" s="567"/>
      <c r="EO276" s="567"/>
      <c r="EP276" s="567"/>
      <c r="EQ276" s="567"/>
      <c r="ER276" s="567"/>
      <c r="ES276" s="567"/>
      <c r="ET276" s="567"/>
      <c r="EU276" s="567"/>
      <c r="EV276" s="567"/>
      <c r="EW276" s="567"/>
      <c r="EX276" s="567"/>
      <c r="EY276" s="567"/>
      <c r="EZ276" s="567"/>
      <c r="FA276" s="567"/>
      <c r="FB276" s="567"/>
      <c r="FC276" s="567"/>
      <c r="FD276" s="567"/>
      <c r="FE276" s="567"/>
      <c r="FF276" s="567"/>
      <c r="FG276" s="567"/>
      <c r="FH276" s="567"/>
      <c r="FI276" s="567"/>
      <c r="FJ276" s="567"/>
      <c r="FK276" s="567"/>
      <c r="FL276" s="567"/>
      <c r="FM276" s="567"/>
      <c r="FN276" s="567"/>
      <c r="FO276" s="567"/>
      <c r="FP276" s="567"/>
      <c r="FQ276" s="567"/>
      <c r="FR276" s="567"/>
      <c r="FS276" s="567"/>
      <c r="FT276" s="567"/>
      <c r="FU276" s="567"/>
      <c r="FV276" s="567"/>
      <c r="FW276" s="567"/>
      <c r="FX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  <c r="BW277" s="567"/>
      <c r="BX277" s="567"/>
      <c r="BY277" s="567"/>
      <c r="BZ277" s="567"/>
      <c r="CA277" s="567"/>
      <c r="CB277" s="567"/>
      <c r="CC277" s="567"/>
      <c r="CD277" s="567"/>
      <c r="CE277" s="567"/>
      <c r="CF277" s="567"/>
      <c r="CG277" s="567"/>
      <c r="CH277" s="567"/>
      <c r="CI277" s="567"/>
      <c r="CJ277" s="567"/>
      <c r="CK277" s="567"/>
      <c r="CL277" s="567"/>
      <c r="CM277" s="567"/>
      <c r="CN277" s="567"/>
      <c r="CO277" s="567"/>
      <c r="CP277" s="567"/>
      <c r="CQ277" s="567"/>
      <c r="CR277" s="567"/>
      <c r="CS277" s="567"/>
      <c r="CT277" s="567"/>
      <c r="CU277" s="567"/>
      <c r="CV277" s="567"/>
      <c r="CW277" s="567"/>
      <c r="CX277" s="567"/>
      <c r="CY277" s="567"/>
      <c r="CZ277" s="567"/>
      <c r="DA277" s="567"/>
      <c r="DB277" s="567"/>
      <c r="DC277" s="567"/>
      <c r="DD277" s="567"/>
      <c r="DE277" s="567"/>
      <c r="DF277" s="567"/>
      <c r="DG277" s="567"/>
      <c r="DH277" s="567"/>
      <c r="DI277" s="567"/>
      <c r="DJ277" s="567"/>
      <c r="DK277" s="567"/>
      <c r="DL277" s="567"/>
      <c r="DM277" s="567"/>
      <c r="DN277" s="567"/>
      <c r="DO277" s="567"/>
      <c r="DP277" s="567"/>
      <c r="DQ277" s="567"/>
      <c r="DR277" s="567"/>
      <c r="DS277" s="567"/>
      <c r="DT277" s="567"/>
      <c r="DU277" s="567"/>
      <c r="DV277" s="567"/>
      <c r="DW277" s="567"/>
      <c r="DX277" s="567"/>
      <c r="DY277" s="567"/>
      <c r="DZ277" s="567"/>
      <c r="EA277" s="567"/>
      <c r="EB277" s="567"/>
      <c r="EC277" s="567"/>
      <c r="ED277" s="567"/>
      <c r="EE277" s="567"/>
      <c r="EF277" s="567"/>
      <c r="EG277" s="567"/>
      <c r="EH277" s="567"/>
      <c r="EI277" s="567"/>
      <c r="EJ277" s="567"/>
      <c r="EK277" s="567"/>
      <c r="EL277" s="567"/>
      <c r="EM277" s="567"/>
      <c r="EN277" s="567"/>
      <c r="EO277" s="567"/>
      <c r="EP277" s="567"/>
      <c r="EQ277" s="567"/>
      <c r="ER277" s="567"/>
      <c r="ES277" s="567"/>
      <c r="ET277" s="567"/>
      <c r="EU277" s="567"/>
      <c r="EV277" s="567"/>
      <c r="EW277" s="567"/>
      <c r="EX277" s="567"/>
      <c r="EY277" s="567"/>
      <c r="EZ277" s="567"/>
      <c r="FA277" s="567"/>
      <c r="FB277" s="567"/>
      <c r="FC277" s="567"/>
      <c r="FD277" s="567"/>
      <c r="FE277" s="567"/>
      <c r="FF277" s="567"/>
      <c r="FG277" s="567"/>
      <c r="FH277" s="567"/>
      <c r="FI277" s="567"/>
      <c r="FJ277" s="567"/>
      <c r="FK277" s="567"/>
      <c r="FL277" s="567"/>
      <c r="FM277" s="567"/>
      <c r="FN277" s="567"/>
      <c r="FO277" s="567"/>
      <c r="FP277" s="567"/>
      <c r="FQ277" s="567"/>
      <c r="FR277" s="567"/>
      <c r="FS277" s="567"/>
      <c r="FT277" s="567"/>
      <c r="FU277" s="567"/>
      <c r="FV277" s="567"/>
      <c r="FW277" s="567"/>
      <c r="FX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  <c r="BW278" s="567"/>
      <c r="BX278" s="567"/>
      <c r="BY278" s="567"/>
      <c r="BZ278" s="567"/>
      <c r="CA278" s="567"/>
      <c r="CB278" s="567"/>
      <c r="CC278" s="567"/>
      <c r="CD278" s="567"/>
      <c r="CE278" s="567"/>
      <c r="CF278" s="567"/>
      <c r="CG278" s="567"/>
      <c r="CH278" s="567"/>
      <c r="CI278" s="567"/>
      <c r="CJ278" s="567"/>
      <c r="CK278" s="567"/>
      <c r="CL278" s="567"/>
      <c r="CM278" s="567"/>
      <c r="CN278" s="567"/>
      <c r="CO278" s="567"/>
      <c r="CP278" s="567"/>
      <c r="CQ278" s="567"/>
      <c r="CR278" s="567"/>
      <c r="CS278" s="567"/>
      <c r="CT278" s="567"/>
      <c r="CU278" s="567"/>
      <c r="CV278" s="567"/>
      <c r="CW278" s="567"/>
      <c r="CX278" s="567"/>
      <c r="CY278" s="567"/>
      <c r="CZ278" s="567"/>
      <c r="DA278" s="567"/>
      <c r="DB278" s="567"/>
      <c r="DC278" s="567"/>
      <c r="DD278" s="567"/>
      <c r="DE278" s="567"/>
      <c r="DF278" s="567"/>
      <c r="DG278" s="567"/>
      <c r="DH278" s="567"/>
      <c r="DI278" s="567"/>
      <c r="DJ278" s="567"/>
      <c r="DK278" s="567"/>
      <c r="DL278" s="567"/>
      <c r="DM278" s="567"/>
      <c r="DN278" s="567"/>
      <c r="DO278" s="567"/>
      <c r="DP278" s="567"/>
      <c r="DQ278" s="567"/>
      <c r="DR278" s="567"/>
      <c r="DS278" s="567"/>
      <c r="DT278" s="567"/>
      <c r="DU278" s="567"/>
      <c r="DV278" s="567"/>
      <c r="DW278" s="567"/>
      <c r="DX278" s="567"/>
      <c r="DY278" s="567"/>
      <c r="DZ278" s="567"/>
      <c r="EA278" s="567"/>
      <c r="EB278" s="567"/>
      <c r="EC278" s="567"/>
      <c r="ED278" s="567"/>
      <c r="EE278" s="567"/>
      <c r="EF278" s="567"/>
      <c r="EG278" s="567"/>
      <c r="EH278" s="567"/>
      <c r="EI278" s="567"/>
      <c r="EJ278" s="567"/>
      <c r="EK278" s="567"/>
      <c r="EL278" s="567"/>
      <c r="EM278" s="567"/>
      <c r="EN278" s="567"/>
      <c r="EO278" s="567"/>
      <c r="EP278" s="567"/>
      <c r="EQ278" s="567"/>
      <c r="ER278" s="567"/>
      <c r="ES278" s="567"/>
      <c r="ET278" s="567"/>
      <c r="EU278" s="567"/>
      <c r="EV278" s="567"/>
      <c r="EW278" s="567"/>
      <c r="EX278" s="567"/>
      <c r="EY278" s="567"/>
      <c r="EZ278" s="567"/>
      <c r="FA278" s="567"/>
      <c r="FB278" s="567"/>
      <c r="FC278" s="567"/>
      <c r="FD278" s="567"/>
      <c r="FE278" s="567"/>
      <c r="FF278" s="567"/>
      <c r="FG278" s="567"/>
      <c r="FH278" s="567"/>
      <c r="FI278" s="567"/>
      <c r="FJ278" s="567"/>
      <c r="FK278" s="567"/>
      <c r="FL278" s="567"/>
      <c r="FM278" s="567"/>
      <c r="FN278" s="567"/>
      <c r="FO278" s="567"/>
      <c r="FP278" s="567"/>
      <c r="FQ278" s="567"/>
      <c r="FR278" s="567"/>
      <c r="FS278" s="567"/>
      <c r="FT278" s="567"/>
      <c r="FU278" s="567"/>
      <c r="FV278" s="567"/>
      <c r="FW278" s="567"/>
      <c r="FX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  <c r="BW279" s="567"/>
      <c r="BX279" s="567"/>
      <c r="BY279" s="567"/>
      <c r="BZ279" s="567"/>
      <c r="CA279" s="567"/>
      <c r="CB279" s="567"/>
      <c r="CC279" s="567"/>
      <c r="CD279" s="567"/>
      <c r="CE279" s="567"/>
      <c r="CF279" s="567"/>
      <c r="CG279" s="567"/>
      <c r="CH279" s="567"/>
      <c r="CI279" s="567"/>
      <c r="CJ279" s="567"/>
      <c r="CK279" s="567"/>
      <c r="CL279" s="567"/>
      <c r="CM279" s="567"/>
      <c r="CN279" s="567"/>
      <c r="CO279" s="567"/>
      <c r="CP279" s="567"/>
      <c r="CQ279" s="567"/>
      <c r="CR279" s="567"/>
      <c r="CS279" s="567"/>
      <c r="CT279" s="567"/>
      <c r="CU279" s="567"/>
      <c r="CV279" s="567"/>
      <c r="CW279" s="567"/>
      <c r="CX279" s="567"/>
      <c r="CY279" s="567"/>
      <c r="CZ279" s="567"/>
      <c r="DA279" s="567"/>
      <c r="DB279" s="567"/>
      <c r="DC279" s="567"/>
      <c r="DD279" s="567"/>
      <c r="DE279" s="567"/>
      <c r="DF279" s="567"/>
      <c r="DG279" s="567"/>
      <c r="DH279" s="567"/>
      <c r="DI279" s="567"/>
      <c r="DJ279" s="567"/>
      <c r="DK279" s="567"/>
      <c r="DL279" s="567"/>
      <c r="DM279" s="567"/>
      <c r="DN279" s="567"/>
      <c r="DO279" s="567"/>
      <c r="DP279" s="567"/>
      <c r="DQ279" s="567"/>
      <c r="DR279" s="567"/>
      <c r="DS279" s="567"/>
      <c r="DT279" s="567"/>
      <c r="DU279" s="567"/>
      <c r="DV279" s="567"/>
      <c r="DW279" s="567"/>
      <c r="DX279" s="567"/>
      <c r="DY279" s="567"/>
      <c r="DZ279" s="567"/>
      <c r="EA279" s="567"/>
      <c r="EB279" s="567"/>
      <c r="EC279" s="567"/>
      <c r="ED279" s="567"/>
      <c r="EE279" s="567"/>
      <c r="EF279" s="567"/>
      <c r="EG279" s="567"/>
      <c r="EH279" s="567"/>
      <c r="EI279" s="567"/>
      <c r="EJ279" s="567"/>
      <c r="EK279" s="567"/>
      <c r="EL279" s="567"/>
      <c r="EM279" s="567"/>
      <c r="EN279" s="567"/>
      <c r="EO279" s="567"/>
      <c r="EP279" s="567"/>
      <c r="EQ279" s="567"/>
      <c r="ER279" s="567"/>
      <c r="ES279" s="567"/>
      <c r="ET279" s="567"/>
      <c r="EU279" s="567"/>
      <c r="EV279" s="567"/>
      <c r="EW279" s="567"/>
      <c r="EX279" s="567"/>
      <c r="EY279" s="567"/>
      <c r="EZ279" s="567"/>
      <c r="FA279" s="567"/>
      <c r="FB279" s="567"/>
      <c r="FC279" s="567"/>
      <c r="FD279" s="567"/>
      <c r="FE279" s="567"/>
      <c r="FF279" s="567"/>
      <c r="FG279" s="567"/>
      <c r="FH279" s="567"/>
      <c r="FI279" s="567"/>
      <c r="FJ279" s="567"/>
      <c r="FK279" s="567"/>
      <c r="FL279" s="567"/>
      <c r="FM279" s="567"/>
      <c r="FN279" s="567"/>
      <c r="FO279" s="567"/>
      <c r="FP279" s="567"/>
      <c r="FQ279" s="567"/>
      <c r="FR279" s="567"/>
      <c r="FS279" s="567"/>
      <c r="FT279" s="567"/>
      <c r="FU279" s="567"/>
      <c r="FV279" s="567"/>
      <c r="FW279" s="567"/>
      <c r="FX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  <c r="BW280" s="567"/>
      <c r="BX280" s="567"/>
      <c r="BY280" s="567"/>
      <c r="BZ280" s="567"/>
      <c r="CA280" s="567"/>
      <c r="CB280" s="567"/>
      <c r="CC280" s="567"/>
      <c r="CD280" s="567"/>
      <c r="CE280" s="567"/>
      <c r="CF280" s="567"/>
      <c r="CG280" s="567"/>
      <c r="CH280" s="567"/>
      <c r="CI280" s="567"/>
      <c r="CJ280" s="567"/>
      <c r="CK280" s="567"/>
      <c r="CL280" s="567"/>
      <c r="CM280" s="567"/>
      <c r="CN280" s="567"/>
      <c r="CO280" s="567"/>
      <c r="CP280" s="567"/>
      <c r="CQ280" s="567"/>
      <c r="CR280" s="567"/>
      <c r="CS280" s="567"/>
      <c r="CT280" s="567"/>
      <c r="CU280" s="567"/>
      <c r="CV280" s="567"/>
      <c r="CW280" s="567"/>
      <c r="CX280" s="567"/>
      <c r="CY280" s="567"/>
      <c r="CZ280" s="567"/>
      <c r="DA280" s="567"/>
      <c r="DB280" s="567"/>
      <c r="DC280" s="567"/>
      <c r="DD280" s="567"/>
      <c r="DE280" s="567"/>
      <c r="DF280" s="567"/>
      <c r="DG280" s="567"/>
      <c r="DH280" s="567"/>
      <c r="DI280" s="567"/>
      <c r="DJ280" s="567"/>
      <c r="DK280" s="567"/>
      <c r="DL280" s="567"/>
      <c r="DM280" s="567"/>
      <c r="DN280" s="567"/>
      <c r="DO280" s="567"/>
      <c r="DP280" s="567"/>
      <c r="DQ280" s="567"/>
      <c r="DR280" s="567"/>
      <c r="DS280" s="567"/>
      <c r="DT280" s="567"/>
      <c r="DU280" s="567"/>
      <c r="DV280" s="567"/>
      <c r="DW280" s="567"/>
      <c r="DX280" s="567"/>
      <c r="DY280" s="567"/>
      <c r="DZ280" s="567"/>
      <c r="EA280" s="567"/>
      <c r="EB280" s="567"/>
      <c r="EC280" s="567"/>
      <c r="ED280" s="567"/>
      <c r="EE280" s="567"/>
      <c r="EF280" s="567"/>
      <c r="EG280" s="567"/>
      <c r="EH280" s="567"/>
      <c r="EI280" s="567"/>
      <c r="EJ280" s="567"/>
      <c r="EK280" s="567"/>
      <c r="EL280" s="567"/>
      <c r="EM280" s="567"/>
      <c r="EN280" s="567"/>
      <c r="EO280" s="567"/>
      <c r="EP280" s="567"/>
      <c r="EQ280" s="567"/>
      <c r="ER280" s="567"/>
      <c r="ES280" s="567"/>
      <c r="ET280" s="567"/>
      <c r="EU280" s="567"/>
      <c r="EV280" s="567"/>
      <c r="EW280" s="567"/>
      <c r="EX280" s="567"/>
      <c r="EY280" s="567"/>
      <c r="EZ280" s="567"/>
      <c r="FA280" s="567"/>
      <c r="FB280" s="567"/>
      <c r="FC280" s="567"/>
      <c r="FD280" s="567"/>
      <c r="FE280" s="567"/>
      <c r="FF280" s="567"/>
      <c r="FG280" s="567"/>
      <c r="FH280" s="567"/>
      <c r="FI280" s="567"/>
      <c r="FJ280" s="567"/>
      <c r="FK280" s="567"/>
      <c r="FL280" s="567"/>
      <c r="FM280" s="567"/>
      <c r="FN280" s="567"/>
      <c r="FO280" s="567"/>
      <c r="FP280" s="567"/>
      <c r="FQ280" s="567"/>
      <c r="FR280" s="567"/>
      <c r="FS280" s="567"/>
      <c r="FT280" s="567"/>
      <c r="FU280" s="567"/>
      <c r="FV280" s="567"/>
      <c r="FW280" s="567"/>
      <c r="FX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  <c r="BW281" s="567"/>
      <c r="BX281" s="567"/>
      <c r="BY281" s="567"/>
      <c r="BZ281" s="567"/>
      <c r="CA281" s="567"/>
      <c r="CB281" s="567"/>
      <c r="CC281" s="567"/>
      <c r="CD281" s="567"/>
      <c r="CE281" s="567"/>
      <c r="CF281" s="567"/>
      <c r="CG281" s="567"/>
      <c r="CH281" s="567"/>
      <c r="CI281" s="567"/>
      <c r="CJ281" s="567"/>
      <c r="CK281" s="567"/>
      <c r="CL281" s="567"/>
      <c r="CM281" s="567"/>
      <c r="CN281" s="567"/>
      <c r="CO281" s="567"/>
      <c r="CP281" s="567"/>
      <c r="CQ281" s="567"/>
      <c r="CR281" s="567"/>
      <c r="CS281" s="567"/>
      <c r="CT281" s="567"/>
      <c r="CU281" s="567"/>
      <c r="CV281" s="567"/>
      <c r="CW281" s="567"/>
      <c r="CX281" s="567"/>
      <c r="CY281" s="567"/>
      <c r="CZ281" s="567"/>
      <c r="DA281" s="567"/>
      <c r="DB281" s="567"/>
      <c r="DC281" s="567"/>
      <c r="DD281" s="567"/>
      <c r="DE281" s="567"/>
      <c r="DF281" s="567"/>
      <c r="DG281" s="567"/>
      <c r="DH281" s="567"/>
      <c r="DI281" s="567"/>
      <c r="DJ281" s="567"/>
      <c r="DK281" s="567"/>
      <c r="DL281" s="567"/>
      <c r="DM281" s="567"/>
      <c r="DN281" s="567"/>
      <c r="DO281" s="567"/>
      <c r="DP281" s="567"/>
      <c r="DQ281" s="567"/>
      <c r="DR281" s="567"/>
      <c r="DS281" s="567"/>
      <c r="DT281" s="567"/>
      <c r="DU281" s="567"/>
      <c r="DV281" s="567"/>
      <c r="DW281" s="567"/>
      <c r="DX281" s="567"/>
      <c r="DY281" s="567"/>
      <c r="DZ281" s="567"/>
      <c r="EA281" s="567"/>
      <c r="EB281" s="567"/>
      <c r="EC281" s="567"/>
      <c r="ED281" s="567"/>
      <c r="EE281" s="567"/>
      <c r="EF281" s="567"/>
      <c r="EG281" s="567"/>
      <c r="EH281" s="567"/>
      <c r="EI281" s="567"/>
      <c r="EJ281" s="567"/>
      <c r="EK281" s="567"/>
      <c r="EL281" s="567"/>
      <c r="EM281" s="567"/>
      <c r="EN281" s="567"/>
      <c r="EO281" s="567"/>
      <c r="EP281" s="567"/>
      <c r="EQ281" s="567"/>
      <c r="ER281" s="567"/>
      <c r="ES281" s="567"/>
      <c r="ET281" s="567"/>
      <c r="EU281" s="567"/>
      <c r="EV281" s="567"/>
      <c r="EW281" s="567"/>
      <c r="EX281" s="567"/>
      <c r="EY281" s="567"/>
      <c r="EZ281" s="567"/>
      <c r="FA281" s="567"/>
      <c r="FB281" s="567"/>
      <c r="FC281" s="567"/>
      <c r="FD281" s="567"/>
      <c r="FE281" s="567"/>
      <c r="FF281" s="567"/>
      <c r="FG281" s="567"/>
      <c r="FH281" s="567"/>
      <c r="FI281" s="567"/>
      <c r="FJ281" s="567"/>
      <c r="FK281" s="567"/>
      <c r="FL281" s="567"/>
      <c r="FM281" s="567"/>
      <c r="FN281" s="567"/>
      <c r="FO281" s="567"/>
      <c r="FP281" s="567"/>
      <c r="FQ281" s="567"/>
      <c r="FR281" s="567"/>
      <c r="FS281" s="567"/>
      <c r="FT281" s="567"/>
      <c r="FU281" s="567"/>
      <c r="FV281" s="567"/>
      <c r="FW281" s="567"/>
      <c r="FX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  <c r="BW282" s="567"/>
      <c r="BX282" s="567"/>
      <c r="BY282" s="567"/>
      <c r="BZ282" s="567"/>
      <c r="CA282" s="567"/>
      <c r="CB282" s="567"/>
      <c r="CC282" s="567"/>
      <c r="CD282" s="567"/>
      <c r="CE282" s="567"/>
      <c r="CF282" s="567"/>
      <c r="CG282" s="567"/>
      <c r="CH282" s="567"/>
      <c r="CI282" s="567"/>
      <c r="CJ282" s="567"/>
      <c r="CK282" s="567"/>
      <c r="CL282" s="567"/>
      <c r="CM282" s="567"/>
      <c r="CN282" s="567"/>
      <c r="CO282" s="567"/>
      <c r="CP282" s="567"/>
      <c r="CQ282" s="567"/>
      <c r="CR282" s="567"/>
      <c r="CS282" s="567"/>
      <c r="CT282" s="567"/>
      <c r="CU282" s="567"/>
      <c r="CV282" s="567"/>
      <c r="CW282" s="567"/>
      <c r="CX282" s="567"/>
      <c r="CY282" s="567"/>
      <c r="CZ282" s="567"/>
      <c r="DA282" s="567"/>
      <c r="DB282" s="567"/>
      <c r="DC282" s="567"/>
      <c r="DD282" s="567"/>
      <c r="DE282" s="567"/>
      <c r="DF282" s="567"/>
      <c r="DG282" s="567"/>
      <c r="DH282" s="567"/>
      <c r="DI282" s="567"/>
      <c r="DJ282" s="567"/>
      <c r="DK282" s="567"/>
      <c r="DL282" s="567"/>
      <c r="DM282" s="567"/>
      <c r="DN282" s="567"/>
      <c r="DO282" s="567"/>
      <c r="DP282" s="567"/>
      <c r="DQ282" s="567"/>
      <c r="DR282" s="567"/>
      <c r="DS282" s="567"/>
      <c r="DT282" s="567"/>
      <c r="DU282" s="567"/>
      <c r="DV282" s="567"/>
      <c r="DW282" s="567"/>
      <c r="DX282" s="567"/>
      <c r="DY282" s="567"/>
      <c r="DZ282" s="567"/>
      <c r="EA282" s="567"/>
      <c r="EB282" s="567"/>
      <c r="EC282" s="567"/>
      <c r="ED282" s="567"/>
      <c r="EE282" s="567"/>
      <c r="EF282" s="567"/>
      <c r="EG282" s="567"/>
      <c r="EH282" s="567"/>
      <c r="EI282" s="567"/>
      <c r="EJ282" s="567"/>
      <c r="EK282" s="567"/>
      <c r="EL282" s="567"/>
      <c r="EM282" s="567"/>
      <c r="EN282" s="567"/>
      <c r="EO282" s="567"/>
      <c r="EP282" s="567"/>
      <c r="EQ282" s="567"/>
      <c r="ER282" s="567"/>
      <c r="ES282" s="567"/>
      <c r="ET282" s="567"/>
      <c r="EU282" s="567"/>
      <c r="EV282" s="567"/>
      <c r="EW282" s="567"/>
      <c r="EX282" s="567"/>
      <c r="EY282" s="567"/>
      <c r="EZ282" s="567"/>
      <c r="FA282" s="567"/>
      <c r="FB282" s="567"/>
      <c r="FC282" s="567"/>
      <c r="FD282" s="567"/>
      <c r="FE282" s="567"/>
      <c r="FF282" s="567"/>
      <c r="FG282" s="567"/>
      <c r="FH282" s="567"/>
      <c r="FI282" s="567"/>
      <c r="FJ282" s="567"/>
      <c r="FK282" s="567"/>
      <c r="FL282" s="567"/>
      <c r="FM282" s="567"/>
      <c r="FN282" s="567"/>
      <c r="FO282" s="567"/>
      <c r="FP282" s="567"/>
      <c r="FQ282" s="567"/>
      <c r="FR282" s="567"/>
      <c r="FS282" s="567"/>
      <c r="FT282" s="567"/>
      <c r="FU282" s="567"/>
      <c r="FV282" s="567"/>
      <c r="FW282" s="567"/>
      <c r="FX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  <c r="BW283" s="567"/>
      <c r="BX283" s="567"/>
      <c r="BY283" s="567"/>
      <c r="BZ283" s="567"/>
      <c r="CA283" s="567"/>
      <c r="CB283" s="567"/>
      <c r="CC283" s="567"/>
      <c r="CD283" s="567"/>
      <c r="CE283" s="567"/>
      <c r="CF283" s="567"/>
      <c r="CG283" s="567"/>
      <c r="CH283" s="567"/>
      <c r="CI283" s="567"/>
      <c r="CJ283" s="567"/>
      <c r="CK283" s="567"/>
      <c r="CL283" s="567"/>
      <c r="CM283" s="567"/>
      <c r="CN283" s="567"/>
      <c r="CO283" s="567"/>
      <c r="CP283" s="567"/>
      <c r="CQ283" s="567"/>
      <c r="CR283" s="567"/>
      <c r="CS283" s="567"/>
      <c r="CT283" s="567"/>
      <c r="CU283" s="567"/>
      <c r="CV283" s="567"/>
      <c r="CW283" s="567"/>
      <c r="CX283" s="567"/>
      <c r="CY283" s="567"/>
      <c r="CZ283" s="567"/>
      <c r="DA283" s="567"/>
      <c r="DB283" s="567"/>
      <c r="DC283" s="567"/>
      <c r="DD283" s="567"/>
      <c r="DE283" s="567"/>
      <c r="DF283" s="567"/>
      <c r="DG283" s="567"/>
      <c r="DH283" s="567"/>
      <c r="DI283" s="567"/>
      <c r="DJ283" s="567"/>
      <c r="DK283" s="567"/>
      <c r="DL283" s="567"/>
      <c r="DM283" s="567"/>
      <c r="DN283" s="567"/>
      <c r="DO283" s="567"/>
      <c r="DP283" s="567"/>
      <c r="DQ283" s="567"/>
      <c r="DR283" s="567"/>
      <c r="DS283" s="567"/>
      <c r="DT283" s="567"/>
      <c r="DU283" s="567"/>
      <c r="DV283" s="567"/>
      <c r="DW283" s="567"/>
      <c r="DX283" s="567"/>
      <c r="DY283" s="567"/>
      <c r="DZ283" s="567"/>
      <c r="EA283" s="567"/>
      <c r="EB283" s="567"/>
      <c r="EC283" s="567"/>
      <c r="ED283" s="567"/>
      <c r="EE283" s="567"/>
      <c r="EF283" s="567"/>
      <c r="EG283" s="567"/>
      <c r="EH283" s="567"/>
      <c r="EI283" s="567"/>
      <c r="EJ283" s="567"/>
      <c r="EK283" s="567"/>
      <c r="EL283" s="567"/>
      <c r="EM283" s="567"/>
      <c r="EN283" s="567"/>
      <c r="EO283" s="567"/>
      <c r="EP283" s="567"/>
      <c r="EQ283" s="567"/>
      <c r="ER283" s="567"/>
      <c r="ES283" s="567"/>
      <c r="ET283" s="567"/>
      <c r="EU283" s="567"/>
      <c r="EV283" s="567"/>
      <c r="EW283" s="567"/>
      <c r="EX283" s="567"/>
      <c r="EY283" s="567"/>
      <c r="EZ283" s="567"/>
      <c r="FA283" s="567"/>
      <c r="FB283" s="567"/>
      <c r="FC283" s="567"/>
      <c r="FD283" s="567"/>
      <c r="FE283" s="567"/>
      <c r="FF283" s="567"/>
      <c r="FG283" s="567"/>
      <c r="FH283" s="567"/>
      <c r="FI283" s="567"/>
      <c r="FJ283" s="567"/>
      <c r="FK283" s="567"/>
      <c r="FL283" s="567"/>
      <c r="FM283" s="567"/>
      <c r="FN283" s="567"/>
      <c r="FO283" s="567"/>
      <c r="FP283" s="567"/>
      <c r="FQ283" s="567"/>
      <c r="FR283" s="567"/>
      <c r="FS283" s="567"/>
      <c r="FT283" s="567"/>
      <c r="FU283" s="567"/>
      <c r="FV283" s="567"/>
      <c r="FW283" s="567"/>
      <c r="FX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  <c r="BW284" s="567"/>
      <c r="BX284" s="567"/>
      <c r="BY284" s="567"/>
      <c r="BZ284" s="567"/>
      <c r="CA284" s="567"/>
      <c r="CB284" s="567"/>
      <c r="CC284" s="567"/>
      <c r="CD284" s="567"/>
      <c r="CE284" s="567"/>
      <c r="CF284" s="567"/>
      <c r="CG284" s="567"/>
      <c r="CH284" s="567"/>
      <c r="CI284" s="567"/>
      <c r="CJ284" s="567"/>
      <c r="CK284" s="567"/>
      <c r="CL284" s="567"/>
      <c r="CM284" s="567"/>
      <c r="CN284" s="567"/>
      <c r="CO284" s="567"/>
      <c r="CP284" s="567"/>
      <c r="CQ284" s="567"/>
      <c r="CR284" s="567"/>
      <c r="CS284" s="567"/>
      <c r="CT284" s="567"/>
      <c r="CU284" s="567"/>
      <c r="CV284" s="567"/>
      <c r="CW284" s="567"/>
      <c r="CX284" s="567"/>
      <c r="CY284" s="567"/>
      <c r="CZ284" s="567"/>
      <c r="DA284" s="567"/>
      <c r="DB284" s="567"/>
      <c r="DC284" s="567"/>
      <c r="DD284" s="567"/>
      <c r="DE284" s="567"/>
      <c r="DF284" s="567"/>
      <c r="DG284" s="567"/>
      <c r="DH284" s="567"/>
      <c r="DI284" s="567"/>
      <c r="DJ284" s="567"/>
      <c r="DK284" s="567"/>
      <c r="DL284" s="567"/>
      <c r="DM284" s="567"/>
      <c r="DN284" s="567"/>
      <c r="DO284" s="567"/>
      <c r="DP284" s="567"/>
      <c r="DQ284" s="567"/>
      <c r="DR284" s="567"/>
      <c r="DS284" s="567"/>
      <c r="DT284" s="567"/>
      <c r="DU284" s="567"/>
      <c r="DV284" s="567"/>
      <c r="DW284" s="567"/>
      <c r="DX284" s="567"/>
      <c r="DY284" s="567"/>
      <c r="DZ284" s="567"/>
      <c r="EA284" s="567"/>
      <c r="EB284" s="567"/>
      <c r="EC284" s="567"/>
      <c r="ED284" s="567"/>
      <c r="EE284" s="567"/>
      <c r="EF284" s="567"/>
      <c r="EG284" s="567"/>
      <c r="EH284" s="567"/>
      <c r="EI284" s="567"/>
      <c r="EJ284" s="567"/>
      <c r="EK284" s="567"/>
      <c r="EL284" s="567"/>
      <c r="EM284" s="567"/>
      <c r="EN284" s="567"/>
      <c r="EO284" s="567"/>
      <c r="EP284" s="567"/>
      <c r="EQ284" s="567"/>
      <c r="ER284" s="567"/>
      <c r="ES284" s="567"/>
      <c r="ET284" s="567"/>
      <c r="EU284" s="567"/>
      <c r="EV284" s="567"/>
      <c r="EW284" s="567"/>
      <c r="EX284" s="567"/>
      <c r="EY284" s="567"/>
      <c r="EZ284" s="567"/>
      <c r="FA284" s="567"/>
      <c r="FB284" s="567"/>
      <c r="FC284" s="567"/>
      <c r="FD284" s="567"/>
      <c r="FE284" s="567"/>
      <c r="FF284" s="567"/>
      <c r="FG284" s="567"/>
      <c r="FH284" s="567"/>
      <c r="FI284" s="567"/>
      <c r="FJ284" s="567"/>
      <c r="FK284" s="567"/>
      <c r="FL284" s="567"/>
      <c r="FM284" s="567"/>
      <c r="FN284" s="567"/>
      <c r="FO284" s="567"/>
      <c r="FP284" s="567"/>
      <c r="FQ284" s="567"/>
      <c r="FR284" s="567"/>
      <c r="FS284" s="567"/>
      <c r="FT284" s="567"/>
      <c r="FU284" s="567"/>
      <c r="FV284" s="567"/>
      <c r="FW284" s="567"/>
      <c r="FX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  <c r="BW285" s="567"/>
      <c r="BX285" s="567"/>
      <c r="BY285" s="567"/>
      <c r="BZ285" s="567"/>
      <c r="CA285" s="567"/>
      <c r="CB285" s="567"/>
      <c r="CC285" s="567"/>
      <c r="CD285" s="567"/>
      <c r="CE285" s="567"/>
      <c r="CF285" s="567"/>
      <c r="CG285" s="567"/>
      <c r="CH285" s="567"/>
      <c r="CI285" s="567"/>
      <c r="CJ285" s="567"/>
      <c r="CK285" s="567"/>
      <c r="CL285" s="567"/>
      <c r="CM285" s="567"/>
      <c r="CN285" s="567"/>
      <c r="CO285" s="567"/>
      <c r="CP285" s="567"/>
      <c r="CQ285" s="567"/>
      <c r="CR285" s="567"/>
      <c r="CS285" s="567"/>
      <c r="CT285" s="567"/>
      <c r="CU285" s="567"/>
      <c r="CV285" s="567"/>
      <c r="CW285" s="567"/>
      <c r="CX285" s="567"/>
      <c r="CY285" s="567"/>
      <c r="CZ285" s="567"/>
      <c r="DA285" s="567"/>
      <c r="DB285" s="567"/>
      <c r="DC285" s="567"/>
      <c r="DD285" s="567"/>
      <c r="DE285" s="567"/>
      <c r="DF285" s="567"/>
      <c r="DG285" s="567"/>
      <c r="DH285" s="567"/>
      <c r="DI285" s="567"/>
      <c r="DJ285" s="567"/>
      <c r="DK285" s="567"/>
      <c r="DL285" s="567"/>
      <c r="DM285" s="567"/>
      <c r="DN285" s="567"/>
      <c r="DO285" s="567"/>
      <c r="DP285" s="567"/>
      <c r="DQ285" s="567"/>
      <c r="DR285" s="567"/>
      <c r="DS285" s="567"/>
      <c r="DT285" s="567"/>
      <c r="DU285" s="567"/>
      <c r="DV285" s="567"/>
      <c r="DW285" s="567"/>
      <c r="DX285" s="567"/>
      <c r="DY285" s="567"/>
      <c r="DZ285" s="567"/>
      <c r="EA285" s="567"/>
      <c r="EB285" s="567"/>
      <c r="EC285" s="567"/>
      <c r="ED285" s="567"/>
      <c r="EE285" s="567"/>
      <c r="EF285" s="567"/>
      <c r="EG285" s="567"/>
      <c r="EH285" s="567"/>
      <c r="EI285" s="567"/>
      <c r="EJ285" s="567"/>
      <c r="EK285" s="567"/>
      <c r="EL285" s="567"/>
      <c r="EM285" s="567"/>
      <c r="EN285" s="567"/>
      <c r="EO285" s="567"/>
      <c r="EP285" s="567"/>
      <c r="EQ285" s="567"/>
      <c r="ER285" s="567"/>
      <c r="ES285" s="567"/>
      <c r="ET285" s="567"/>
      <c r="EU285" s="567"/>
      <c r="EV285" s="567"/>
      <c r="EW285" s="567"/>
      <c r="EX285" s="567"/>
      <c r="EY285" s="567"/>
      <c r="EZ285" s="567"/>
      <c r="FA285" s="567"/>
      <c r="FB285" s="567"/>
      <c r="FC285" s="567"/>
      <c r="FD285" s="567"/>
      <c r="FE285" s="567"/>
      <c r="FF285" s="567"/>
      <c r="FG285" s="567"/>
      <c r="FH285" s="567"/>
      <c r="FI285" s="567"/>
      <c r="FJ285" s="567"/>
      <c r="FK285" s="567"/>
      <c r="FL285" s="567"/>
      <c r="FM285" s="567"/>
      <c r="FN285" s="567"/>
      <c r="FO285" s="567"/>
      <c r="FP285" s="567"/>
      <c r="FQ285" s="567"/>
      <c r="FR285" s="567"/>
      <c r="FS285" s="567"/>
      <c r="FT285" s="567"/>
      <c r="FU285" s="567"/>
      <c r="FV285" s="567"/>
      <c r="FW285" s="567"/>
      <c r="FX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  <c r="BW286" s="567"/>
      <c r="BX286" s="567"/>
      <c r="BY286" s="567"/>
      <c r="BZ286" s="567"/>
      <c r="CA286" s="567"/>
      <c r="CB286" s="567"/>
      <c r="CC286" s="567"/>
      <c r="CD286" s="567"/>
      <c r="CE286" s="567"/>
      <c r="CF286" s="567"/>
      <c r="CG286" s="567"/>
      <c r="CH286" s="567"/>
      <c r="CI286" s="567"/>
      <c r="CJ286" s="567"/>
      <c r="CK286" s="567"/>
      <c r="CL286" s="567"/>
      <c r="CM286" s="567"/>
      <c r="CN286" s="567"/>
      <c r="CO286" s="567"/>
      <c r="CP286" s="567"/>
      <c r="CQ286" s="567"/>
      <c r="CR286" s="567"/>
      <c r="CS286" s="567"/>
      <c r="CT286" s="567"/>
      <c r="CU286" s="567"/>
      <c r="CV286" s="567"/>
      <c r="CW286" s="567"/>
      <c r="CX286" s="567"/>
      <c r="CY286" s="567"/>
      <c r="CZ286" s="567"/>
      <c r="DA286" s="567"/>
      <c r="DB286" s="567"/>
      <c r="DC286" s="567"/>
      <c r="DD286" s="567"/>
      <c r="DE286" s="567"/>
      <c r="DF286" s="567"/>
      <c r="DG286" s="567"/>
      <c r="DH286" s="567"/>
      <c r="DI286" s="567"/>
      <c r="DJ286" s="567"/>
      <c r="DK286" s="567"/>
      <c r="DL286" s="567"/>
      <c r="DM286" s="567"/>
      <c r="DN286" s="567"/>
      <c r="DO286" s="567"/>
      <c r="DP286" s="567"/>
      <c r="DQ286" s="567"/>
      <c r="DR286" s="567"/>
      <c r="DS286" s="567"/>
      <c r="DT286" s="567"/>
      <c r="DU286" s="567"/>
      <c r="DV286" s="567"/>
      <c r="DW286" s="567"/>
      <c r="DX286" s="567"/>
      <c r="DY286" s="567"/>
      <c r="DZ286" s="567"/>
      <c r="EA286" s="567"/>
      <c r="EB286" s="567"/>
      <c r="EC286" s="567"/>
      <c r="ED286" s="567"/>
      <c r="EE286" s="567"/>
      <c r="EF286" s="567"/>
      <c r="EG286" s="567"/>
      <c r="EH286" s="567"/>
      <c r="EI286" s="567"/>
      <c r="EJ286" s="567"/>
      <c r="EK286" s="567"/>
      <c r="EL286" s="567"/>
      <c r="EM286" s="567"/>
      <c r="EN286" s="567"/>
      <c r="EO286" s="567"/>
      <c r="EP286" s="567"/>
      <c r="EQ286" s="567"/>
      <c r="ER286" s="567"/>
      <c r="ES286" s="567"/>
      <c r="ET286" s="567"/>
      <c r="EU286" s="567"/>
      <c r="EV286" s="567"/>
      <c r="EW286" s="567"/>
      <c r="EX286" s="567"/>
      <c r="EY286" s="567"/>
      <c r="EZ286" s="567"/>
      <c r="FA286" s="567"/>
      <c r="FB286" s="567"/>
      <c r="FC286" s="567"/>
      <c r="FD286" s="567"/>
      <c r="FE286" s="567"/>
      <c r="FF286" s="567"/>
      <c r="FG286" s="567"/>
      <c r="FH286" s="567"/>
      <c r="FI286" s="567"/>
      <c r="FJ286" s="567"/>
      <c r="FK286" s="567"/>
      <c r="FL286" s="567"/>
      <c r="FM286" s="567"/>
      <c r="FN286" s="567"/>
      <c r="FO286" s="567"/>
      <c r="FP286" s="567"/>
      <c r="FQ286" s="567"/>
      <c r="FR286" s="567"/>
      <c r="FS286" s="567"/>
      <c r="FT286" s="567"/>
      <c r="FU286" s="567"/>
      <c r="FV286" s="567"/>
      <c r="FW286" s="567"/>
      <c r="FX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  <c r="BW287" s="567"/>
      <c r="BX287" s="567"/>
      <c r="BY287" s="567"/>
      <c r="BZ287" s="567"/>
      <c r="CA287" s="567"/>
      <c r="CB287" s="567"/>
      <c r="CC287" s="567"/>
      <c r="CD287" s="567"/>
      <c r="CE287" s="567"/>
      <c r="CF287" s="567"/>
      <c r="CG287" s="567"/>
      <c r="CH287" s="567"/>
      <c r="CI287" s="567"/>
      <c r="CJ287" s="567"/>
      <c r="CK287" s="567"/>
      <c r="CL287" s="567"/>
      <c r="CM287" s="567"/>
      <c r="CN287" s="567"/>
      <c r="CO287" s="567"/>
      <c r="CP287" s="567"/>
      <c r="CQ287" s="567"/>
      <c r="CR287" s="567"/>
      <c r="CS287" s="567"/>
      <c r="CT287" s="567"/>
      <c r="CU287" s="567"/>
      <c r="CV287" s="567"/>
      <c r="CW287" s="567"/>
      <c r="CX287" s="567"/>
      <c r="CY287" s="567"/>
      <c r="CZ287" s="567"/>
      <c r="DA287" s="567"/>
      <c r="DB287" s="567"/>
      <c r="DC287" s="567"/>
      <c r="DD287" s="567"/>
      <c r="DE287" s="567"/>
      <c r="DF287" s="567"/>
      <c r="DG287" s="567"/>
      <c r="DH287" s="567"/>
      <c r="DI287" s="567"/>
      <c r="DJ287" s="567"/>
      <c r="DK287" s="567"/>
      <c r="DL287" s="567"/>
      <c r="DM287" s="567"/>
      <c r="DN287" s="567"/>
      <c r="DO287" s="567"/>
      <c r="DP287" s="567"/>
      <c r="DQ287" s="567"/>
      <c r="DR287" s="567"/>
      <c r="DS287" s="567"/>
      <c r="DT287" s="567"/>
      <c r="DU287" s="567"/>
      <c r="DV287" s="567"/>
      <c r="DW287" s="567"/>
      <c r="DX287" s="567"/>
      <c r="DY287" s="567"/>
      <c r="DZ287" s="567"/>
      <c r="EA287" s="567"/>
      <c r="EB287" s="567"/>
      <c r="EC287" s="567"/>
      <c r="ED287" s="567"/>
      <c r="EE287" s="567"/>
      <c r="EF287" s="567"/>
      <c r="EG287" s="567"/>
      <c r="EH287" s="567"/>
      <c r="EI287" s="567"/>
      <c r="EJ287" s="567"/>
      <c r="EK287" s="567"/>
      <c r="EL287" s="567"/>
      <c r="EM287" s="567"/>
      <c r="EN287" s="567"/>
      <c r="EO287" s="567"/>
      <c r="EP287" s="567"/>
      <c r="EQ287" s="567"/>
      <c r="ER287" s="567"/>
      <c r="ES287" s="567"/>
      <c r="ET287" s="567"/>
      <c r="EU287" s="567"/>
      <c r="EV287" s="567"/>
      <c r="EW287" s="567"/>
      <c r="EX287" s="567"/>
      <c r="EY287" s="567"/>
      <c r="EZ287" s="567"/>
      <c r="FA287" s="567"/>
      <c r="FB287" s="567"/>
      <c r="FC287" s="567"/>
      <c r="FD287" s="567"/>
      <c r="FE287" s="567"/>
      <c r="FF287" s="567"/>
      <c r="FG287" s="567"/>
      <c r="FH287" s="567"/>
      <c r="FI287" s="567"/>
      <c r="FJ287" s="567"/>
      <c r="FK287" s="567"/>
      <c r="FL287" s="567"/>
      <c r="FM287" s="567"/>
      <c r="FN287" s="567"/>
      <c r="FO287" s="567"/>
      <c r="FP287" s="567"/>
      <c r="FQ287" s="567"/>
      <c r="FR287" s="567"/>
      <c r="FS287" s="567"/>
      <c r="FT287" s="567"/>
      <c r="FU287" s="567"/>
      <c r="FV287" s="567"/>
      <c r="FW287" s="567"/>
      <c r="FX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  <c r="BW288" s="567"/>
      <c r="BX288" s="567"/>
      <c r="BY288" s="567"/>
      <c r="BZ288" s="567"/>
      <c r="CA288" s="567"/>
      <c r="CB288" s="567"/>
      <c r="CC288" s="567"/>
      <c r="CD288" s="567"/>
      <c r="CE288" s="567"/>
      <c r="CF288" s="567"/>
      <c r="CG288" s="567"/>
      <c r="CH288" s="567"/>
      <c r="CI288" s="567"/>
      <c r="CJ288" s="567"/>
      <c r="CK288" s="567"/>
      <c r="CL288" s="567"/>
      <c r="CM288" s="567"/>
      <c r="CN288" s="567"/>
      <c r="CO288" s="567"/>
      <c r="CP288" s="567"/>
      <c r="CQ288" s="567"/>
      <c r="CR288" s="567"/>
      <c r="CS288" s="567"/>
      <c r="CT288" s="567"/>
      <c r="CU288" s="567"/>
      <c r="CV288" s="567"/>
      <c r="CW288" s="567"/>
      <c r="CX288" s="567"/>
      <c r="CY288" s="567"/>
      <c r="CZ288" s="567"/>
      <c r="DA288" s="567"/>
      <c r="DB288" s="567"/>
      <c r="DC288" s="567"/>
      <c r="DD288" s="567"/>
      <c r="DE288" s="567"/>
      <c r="DF288" s="567"/>
      <c r="DG288" s="567"/>
      <c r="DH288" s="567"/>
      <c r="DI288" s="567"/>
      <c r="DJ288" s="567"/>
      <c r="DK288" s="567"/>
      <c r="DL288" s="567"/>
      <c r="DM288" s="567"/>
      <c r="DN288" s="567"/>
      <c r="DO288" s="567"/>
      <c r="DP288" s="567"/>
      <c r="DQ288" s="567"/>
      <c r="DR288" s="567"/>
      <c r="DS288" s="567"/>
      <c r="DT288" s="567"/>
      <c r="DU288" s="567"/>
      <c r="DV288" s="567"/>
      <c r="DW288" s="567"/>
      <c r="DX288" s="567"/>
      <c r="DY288" s="567"/>
      <c r="DZ288" s="567"/>
      <c r="EA288" s="567"/>
      <c r="EB288" s="567"/>
      <c r="EC288" s="567"/>
      <c r="ED288" s="567"/>
      <c r="EE288" s="567"/>
      <c r="EF288" s="567"/>
      <c r="EG288" s="567"/>
      <c r="EH288" s="567"/>
      <c r="EI288" s="567"/>
      <c r="EJ288" s="567"/>
      <c r="EK288" s="567"/>
      <c r="EL288" s="567"/>
      <c r="EM288" s="567"/>
      <c r="EN288" s="567"/>
      <c r="EO288" s="567"/>
      <c r="EP288" s="567"/>
      <c r="EQ288" s="567"/>
      <c r="ER288" s="567"/>
      <c r="ES288" s="567"/>
      <c r="ET288" s="567"/>
      <c r="EU288" s="567"/>
      <c r="EV288" s="567"/>
      <c r="EW288" s="567"/>
      <c r="EX288" s="567"/>
      <c r="EY288" s="567"/>
      <c r="EZ288" s="567"/>
      <c r="FA288" s="567"/>
      <c r="FB288" s="567"/>
      <c r="FC288" s="567"/>
      <c r="FD288" s="567"/>
      <c r="FE288" s="567"/>
      <c r="FF288" s="567"/>
      <c r="FG288" s="567"/>
      <c r="FH288" s="567"/>
      <c r="FI288" s="567"/>
      <c r="FJ288" s="567"/>
      <c r="FK288" s="567"/>
      <c r="FL288" s="567"/>
      <c r="FM288" s="567"/>
      <c r="FN288" s="567"/>
      <c r="FO288" s="567"/>
      <c r="FP288" s="567"/>
      <c r="FQ288" s="567"/>
      <c r="FR288" s="567"/>
      <c r="FS288" s="567"/>
      <c r="FT288" s="567"/>
      <c r="FU288" s="567"/>
      <c r="FV288" s="567"/>
      <c r="FW288" s="567"/>
      <c r="FX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  <c r="BW289" s="567"/>
      <c r="BX289" s="567"/>
      <c r="BY289" s="567"/>
      <c r="BZ289" s="567"/>
      <c r="CA289" s="567"/>
      <c r="CB289" s="567"/>
      <c r="CC289" s="567"/>
      <c r="CD289" s="567"/>
      <c r="CE289" s="567"/>
      <c r="CF289" s="567"/>
      <c r="CG289" s="567"/>
      <c r="CH289" s="567"/>
      <c r="CI289" s="567"/>
      <c r="CJ289" s="567"/>
      <c r="CK289" s="567"/>
      <c r="CL289" s="567"/>
      <c r="CM289" s="567"/>
      <c r="CN289" s="567"/>
      <c r="CO289" s="567"/>
      <c r="CP289" s="567"/>
      <c r="CQ289" s="567"/>
      <c r="CR289" s="567"/>
      <c r="CS289" s="567"/>
      <c r="CT289" s="567"/>
      <c r="CU289" s="567"/>
      <c r="CV289" s="567"/>
      <c r="CW289" s="567"/>
      <c r="CX289" s="567"/>
      <c r="CY289" s="567"/>
      <c r="CZ289" s="567"/>
      <c r="DA289" s="567"/>
      <c r="DB289" s="567"/>
      <c r="DC289" s="567"/>
      <c r="DD289" s="567"/>
      <c r="DE289" s="567"/>
      <c r="DF289" s="567"/>
      <c r="DG289" s="567"/>
      <c r="DH289" s="567"/>
      <c r="DI289" s="567"/>
      <c r="DJ289" s="567"/>
      <c r="DK289" s="567"/>
      <c r="DL289" s="567"/>
      <c r="DM289" s="567"/>
      <c r="DN289" s="567"/>
      <c r="DO289" s="567"/>
      <c r="DP289" s="567"/>
      <c r="DQ289" s="567"/>
      <c r="DR289" s="567"/>
      <c r="DS289" s="567"/>
      <c r="DT289" s="567"/>
      <c r="DU289" s="567"/>
      <c r="DV289" s="567"/>
      <c r="DW289" s="567"/>
      <c r="DX289" s="567"/>
      <c r="DY289" s="567"/>
      <c r="DZ289" s="567"/>
      <c r="EA289" s="567"/>
      <c r="EB289" s="567"/>
      <c r="EC289" s="567"/>
      <c r="ED289" s="567"/>
      <c r="EE289" s="567"/>
      <c r="EF289" s="567"/>
      <c r="EG289" s="567"/>
      <c r="EH289" s="567"/>
      <c r="EI289" s="567"/>
      <c r="EJ289" s="567"/>
      <c r="EK289" s="567"/>
      <c r="EL289" s="567"/>
      <c r="EM289" s="567"/>
      <c r="EN289" s="567"/>
      <c r="EO289" s="567"/>
      <c r="EP289" s="567"/>
      <c r="EQ289" s="567"/>
      <c r="ER289" s="567"/>
      <c r="ES289" s="567"/>
      <c r="ET289" s="567"/>
      <c r="EU289" s="567"/>
      <c r="EV289" s="567"/>
      <c r="EW289" s="567"/>
      <c r="EX289" s="567"/>
      <c r="EY289" s="567"/>
      <c r="EZ289" s="567"/>
      <c r="FA289" s="567"/>
      <c r="FB289" s="567"/>
      <c r="FC289" s="567"/>
      <c r="FD289" s="567"/>
      <c r="FE289" s="567"/>
      <c r="FF289" s="567"/>
      <c r="FG289" s="567"/>
      <c r="FH289" s="567"/>
      <c r="FI289" s="567"/>
      <c r="FJ289" s="567"/>
      <c r="FK289" s="567"/>
      <c r="FL289" s="567"/>
      <c r="FM289" s="567"/>
      <c r="FN289" s="567"/>
      <c r="FO289" s="567"/>
      <c r="FP289" s="567"/>
      <c r="FQ289" s="567"/>
      <c r="FR289" s="567"/>
      <c r="FS289" s="567"/>
      <c r="FT289" s="567"/>
      <c r="FU289" s="567"/>
      <c r="FV289" s="567"/>
      <c r="FW289" s="567"/>
      <c r="FX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  <c r="BW290" s="567"/>
      <c r="BX290" s="567"/>
      <c r="BY290" s="567"/>
      <c r="BZ290" s="567"/>
      <c r="CA290" s="567"/>
      <c r="CB290" s="567"/>
      <c r="CC290" s="567"/>
      <c r="CD290" s="567"/>
      <c r="CE290" s="567"/>
      <c r="CF290" s="567"/>
      <c r="CG290" s="567"/>
      <c r="CH290" s="567"/>
      <c r="CI290" s="567"/>
      <c r="CJ290" s="567"/>
      <c r="CK290" s="567"/>
      <c r="CL290" s="567"/>
      <c r="CM290" s="567"/>
      <c r="CN290" s="567"/>
      <c r="CO290" s="567"/>
      <c r="CP290" s="567"/>
      <c r="CQ290" s="567"/>
      <c r="CR290" s="567"/>
      <c r="CS290" s="567"/>
      <c r="CT290" s="567"/>
      <c r="CU290" s="567"/>
      <c r="CV290" s="567"/>
      <c r="CW290" s="567"/>
      <c r="CX290" s="567"/>
      <c r="CY290" s="567"/>
      <c r="CZ290" s="567"/>
      <c r="DA290" s="567"/>
      <c r="DB290" s="567"/>
      <c r="DC290" s="567"/>
      <c r="DD290" s="567"/>
      <c r="DE290" s="567"/>
      <c r="DF290" s="567"/>
      <c r="DG290" s="567"/>
      <c r="DH290" s="567"/>
      <c r="DI290" s="567"/>
      <c r="DJ290" s="567"/>
      <c r="DK290" s="567"/>
      <c r="DL290" s="567"/>
      <c r="DM290" s="567"/>
      <c r="DN290" s="567"/>
      <c r="DO290" s="567"/>
      <c r="DP290" s="567"/>
      <c r="DQ290" s="567"/>
      <c r="DR290" s="567"/>
      <c r="DS290" s="567"/>
      <c r="DT290" s="567"/>
      <c r="DU290" s="567"/>
      <c r="DV290" s="567"/>
      <c r="DW290" s="567"/>
      <c r="DX290" s="567"/>
      <c r="DY290" s="567"/>
      <c r="DZ290" s="567"/>
      <c r="EA290" s="567"/>
      <c r="EB290" s="567"/>
      <c r="EC290" s="567"/>
      <c r="ED290" s="567"/>
      <c r="EE290" s="567"/>
      <c r="EF290" s="567"/>
      <c r="EG290" s="567"/>
      <c r="EH290" s="567"/>
      <c r="EI290" s="567"/>
      <c r="EJ290" s="567"/>
      <c r="EK290" s="567"/>
      <c r="EL290" s="567"/>
      <c r="EM290" s="567"/>
      <c r="EN290" s="567"/>
      <c r="EO290" s="567"/>
      <c r="EP290" s="567"/>
      <c r="EQ290" s="567"/>
      <c r="ER290" s="567"/>
      <c r="ES290" s="567"/>
      <c r="ET290" s="567"/>
      <c r="EU290" s="567"/>
      <c r="EV290" s="567"/>
      <c r="EW290" s="567"/>
      <c r="EX290" s="567"/>
      <c r="EY290" s="567"/>
      <c r="EZ290" s="567"/>
      <c r="FA290" s="567"/>
      <c r="FB290" s="567"/>
      <c r="FC290" s="567"/>
      <c r="FD290" s="567"/>
      <c r="FE290" s="567"/>
      <c r="FF290" s="567"/>
      <c r="FG290" s="567"/>
      <c r="FH290" s="567"/>
      <c r="FI290" s="567"/>
      <c r="FJ290" s="567"/>
      <c r="FK290" s="567"/>
      <c r="FL290" s="567"/>
      <c r="FM290" s="567"/>
      <c r="FN290" s="567"/>
      <c r="FO290" s="567"/>
      <c r="FP290" s="567"/>
      <c r="FQ290" s="567"/>
      <c r="FR290" s="567"/>
      <c r="FS290" s="567"/>
      <c r="FT290" s="567"/>
      <c r="FU290" s="567"/>
      <c r="FV290" s="567"/>
      <c r="FW290" s="567"/>
      <c r="FX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  <c r="BW291" s="567"/>
      <c r="BX291" s="567"/>
      <c r="BY291" s="567"/>
      <c r="BZ291" s="567"/>
      <c r="CA291" s="567"/>
      <c r="CB291" s="567"/>
      <c r="CC291" s="567"/>
      <c r="CD291" s="567"/>
      <c r="CE291" s="567"/>
      <c r="CF291" s="567"/>
      <c r="CG291" s="567"/>
      <c r="CH291" s="567"/>
      <c r="CI291" s="567"/>
      <c r="CJ291" s="567"/>
      <c r="CK291" s="567"/>
      <c r="CL291" s="567"/>
      <c r="CM291" s="567"/>
      <c r="CN291" s="567"/>
      <c r="CO291" s="567"/>
      <c r="CP291" s="567"/>
      <c r="CQ291" s="567"/>
      <c r="CR291" s="567"/>
      <c r="CS291" s="567"/>
      <c r="CT291" s="567"/>
      <c r="CU291" s="567"/>
      <c r="CV291" s="567"/>
      <c r="CW291" s="567"/>
      <c r="CX291" s="567"/>
      <c r="CY291" s="567"/>
      <c r="CZ291" s="567"/>
      <c r="DA291" s="567"/>
      <c r="DB291" s="567"/>
      <c r="DC291" s="567"/>
      <c r="DD291" s="567"/>
      <c r="DE291" s="567"/>
      <c r="DF291" s="567"/>
      <c r="DG291" s="567"/>
      <c r="DH291" s="567"/>
      <c r="DI291" s="567"/>
      <c r="DJ291" s="567"/>
      <c r="DK291" s="567"/>
      <c r="DL291" s="567"/>
      <c r="DM291" s="567"/>
      <c r="DN291" s="567"/>
      <c r="DO291" s="567"/>
      <c r="DP291" s="567"/>
      <c r="DQ291" s="567"/>
      <c r="DR291" s="567"/>
      <c r="DS291" s="567"/>
      <c r="DT291" s="567"/>
      <c r="DU291" s="567"/>
      <c r="DV291" s="567"/>
      <c r="DW291" s="567"/>
      <c r="DX291" s="567"/>
      <c r="DY291" s="567"/>
      <c r="DZ291" s="567"/>
      <c r="EA291" s="567"/>
      <c r="EB291" s="567"/>
      <c r="EC291" s="567"/>
      <c r="ED291" s="567"/>
      <c r="EE291" s="567"/>
      <c r="EF291" s="567"/>
      <c r="EG291" s="567"/>
      <c r="EH291" s="567"/>
      <c r="EI291" s="567"/>
      <c r="EJ291" s="567"/>
      <c r="EK291" s="567"/>
      <c r="EL291" s="567"/>
      <c r="EM291" s="567"/>
      <c r="EN291" s="567"/>
      <c r="EO291" s="567"/>
      <c r="EP291" s="567"/>
      <c r="EQ291" s="567"/>
      <c r="ER291" s="567"/>
      <c r="ES291" s="567"/>
      <c r="ET291" s="567"/>
      <c r="EU291" s="567"/>
      <c r="EV291" s="567"/>
      <c r="EW291" s="567"/>
      <c r="EX291" s="567"/>
      <c r="EY291" s="567"/>
      <c r="EZ291" s="567"/>
      <c r="FA291" s="567"/>
      <c r="FB291" s="567"/>
      <c r="FC291" s="567"/>
      <c r="FD291" s="567"/>
      <c r="FE291" s="567"/>
      <c r="FF291" s="567"/>
      <c r="FG291" s="567"/>
      <c r="FH291" s="567"/>
      <c r="FI291" s="567"/>
      <c r="FJ291" s="567"/>
      <c r="FK291" s="567"/>
      <c r="FL291" s="567"/>
      <c r="FM291" s="567"/>
      <c r="FN291" s="567"/>
      <c r="FO291" s="567"/>
      <c r="FP291" s="567"/>
      <c r="FQ291" s="567"/>
      <c r="FR291" s="567"/>
      <c r="FS291" s="567"/>
      <c r="FT291" s="567"/>
      <c r="FU291" s="567"/>
      <c r="FV291" s="567"/>
      <c r="FW291" s="567"/>
      <c r="FX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  <c r="BW292" s="567"/>
      <c r="BX292" s="567"/>
      <c r="BY292" s="567"/>
      <c r="BZ292" s="567"/>
      <c r="CA292" s="567"/>
      <c r="CB292" s="567"/>
      <c r="CC292" s="567"/>
      <c r="CD292" s="567"/>
      <c r="CE292" s="567"/>
      <c r="CF292" s="567"/>
      <c r="CG292" s="567"/>
      <c r="CH292" s="567"/>
      <c r="CI292" s="567"/>
      <c r="CJ292" s="567"/>
      <c r="CK292" s="567"/>
      <c r="CL292" s="567"/>
      <c r="CM292" s="567"/>
      <c r="CN292" s="567"/>
      <c r="CO292" s="567"/>
      <c r="CP292" s="567"/>
      <c r="CQ292" s="567"/>
      <c r="CR292" s="567"/>
      <c r="CS292" s="567"/>
      <c r="CT292" s="567"/>
      <c r="CU292" s="567"/>
      <c r="CV292" s="567"/>
      <c r="CW292" s="567"/>
      <c r="CX292" s="567"/>
      <c r="CY292" s="567"/>
      <c r="CZ292" s="567"/>
      <c r="DA292" s="567"/>
      <c r="DB292" s="567"/>
      <c r="DC292" s="567"/>
      <c r="DD292" s="567"/>
      <c r="DE292" s="567"/>
      <c r="DF292" s="567"/>
      <c r="DG292" s="567"/>
      <c r="DH292" s="567"/>
      <c r="DI292" s="567"/>
      <c r="DJ292" s="567"/>
      <c r="DK292" s="567"/>
      <c r="DL292" s="567"/>
      <c r="DM292" s="567"/>
      <c r="DN292" s="567"/>
      <c r="DO292" s="567"/>
      <c r="DP292" s="567"/>
      <c r="DQ292" s="567"/>
      <c r="DR292" s="567"/>
      <c r="DS292" s="567"/>
      <c r="DT292" s="567"/>
      <c r="DU292" s="567"/>
      <c r="DV292" s="567"/>
      <c r="DW292" s="567"/>
      <c r="DX292" s="567"/>
      <c r="DY292" s="567"/>
      <c r="DZ292" s="567"/>
      <c r="EA292" s="567"/>
      <c r="EB292" s="567"/>
      <c r="EC292" s="567"/>
      <c r="ED292" s="567"/>
      <c r="EE292" s="567"/>
      <c r="EF292" s="567"/>
      <c r="EG292" s="567"/>
      <c r="EH292" s="567"/>
      <c r="EI292" s="567"/>
      <c r="EJ292" s="567"/>
      <c r="EK292" s="567"/>
      <c r="EL292" s="567"/>
      <c r="EM292" s="567"/>
      <c r="EN292" s="567"/>
      <c r="EO292" s="567"/>
      <c r="EP292" s="567"/>
      <c r="EQ292" s="567"/>
      <c r="ER292" s="567"/>
      <c r="ES292" s="567"/>
      <c r="ET292" s="567"/>
      <c r="EU292" s="567"/>
      <c r="EV292" s="567"/>
      <c r="EW292" s="567"/>
      <c r="EX292" s="567"/>
      <c r="EY292" s="567"/>
      <c r="EZ292" s="567"/>
      <c r="FA292" s="567"/>
      <c r="FB292" s="567"/>
      <c r="FC292" s="567"/>
      <c r="FD292" s="567"/>
      <c r="FE292" s="567"/>
      <c r="FF292" s="567"/>
      <c r="FG292" s="567"/>
      <c r="FH292" s="567"/>
      <c r="FI292" s="567"/>
      <c r="FJ292" s="567"/>
      <c r="FK292" s="567"/>
      <c r="FL292" s="567"/>
      <c r="FM292" s="567"/>
      <c r="FN292" s="567"/>
      <c r="FO292" s="567"/>
      <c r="FP292" s="567"/>
      <c r="FQ292" s="567"/>
      <c r="FR292" s="567"/>
      <c r="FS292" s="567"/>
      <c r="FT292" s="567"/>
      <c r="FU292" s="567"/>
      <c r="FV292" s="567"/>
      <c r="FW292" s="567"/>
      <c r="FX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  <c r="BW293" s="567"/>
      <c r="BX293" s="567"/>
      <c r="BY293" s="567"/>
      <c r="BZ293" s="567"/>
      <c r="CA293" s="567"/>
      <c r="CB293" s="567"/>
      <c r="CC293" s="567"/>
      <c r="CD293" s="567"/>
      <c r="CE293" s="567"/>
      <c r="CF293" s="567"/>
      <c r="CG293" s="567"/>
      <c r="CH293" s="567"/>
      <c r="CI293" s="567"/>
      <c r="CJ293" s="567"/>
      <c r="CK293" s="567"/>
      <c r="CL293" s="567"/>
      <c r="CM293" s="567"/>
      <c r="CN293" s="567"/>
      <c r="CO293" s="567"/>
      <c r="CP293" s="567"/>
      <c r="CQ293" s="567"/>
      <c r="CR293" s="567"/>
      <c r="CS293" s="567"/>
      <c r="CT293" s="567"/>
      <c r="CU293" s="567"/>
      <c r="CV293" s="567"/>
      <c r="CW293" s="567"/>
      <c r="CX293" s="567"/>
      <c r="CY293" s="567"/>
      <c r="CZ293" s="567"/>
      <c r="DA293" s="567"/>
      <c r="DB293" s="567"/>
      <c r="DC293" s="567"/>
      <c r="DD293" s="567"/>
      <c r="DE293" s="567"/>
      <c r="DF293" s="567"/>
      <c r="DG293" s="567"/>
      <c r="DH293" s="567"/>
      <c r="DI293" s="567"/>
      <c r="DJ293" s="567"/>
      <c r="DK293" s="567"/>
      <c r="DL293" s="567"/>
      <c r="DM293" s="567"/>
      <c r="DN293" s="567"/>
      <c r="DO293" s="567"/>
      <c r="DP293" s="567"/>
      <c r="DQ293" s="567"/>
      <c r="DR293" s="567"/>
      <c r="DS293" s="567"/>
      <c r="DT293" s="567"/>
      <c r="DU293" s="567"/>
      <c r="DV293" s="567"/>
      <c r="DW293" s="567"/>
      <c r="DX293" s="567"/>
      <c r="DY293" s="567"/>
      <c r="DZ293" s="567"/>
      <c r="EA293" s="567"/>
      <c r="EB293" s="567"/>
      <c r="EC293" s="567"/>
      <c r="ED293" s="567"/>
      <c r="EE293" s="567"/>
      <c r="EF293" s="567"/>
      <c r="EG293" s="567"/>
      <c r="EH293" s="567"/>
      <c r="EI293" s="567"/>
      <c r="EJ293" s="567"/>
      <c r="EK293" s="567"/>
      <c r="EL293" s="567"/>
      <c r="EM293" s="567"/>
      <c r="EN293" s="567"/>
      <c r="EO293" s="567"/>
      <c r="EP293" s="567"/>
      <c r="EQ293" s="567"/>
      <c r="ER293" s="567"/>
      <c r="ES293" s="567"/>
      <c r="ET293" s="567"/>
      <c r="EU293" s="567"/>
      <c r="EV293" s="567"/>
      <c r="EW293" s="567"/>
      <c r="EX293" s="567"/>
      <c r="EY293" s="567"/>
      <c r="EZ293" s="567"/>
      <c r="FA293" s="567"/>
      <c r="FB293" s="567"/>
      <c r="FC293" s="567"/>
      <c r="FD293" s="567"/>
      <c r="FE293" s="567"/>
      <c r="FF293" s="567"/>
      <c r="FG293" s="567"/>
      <c r="FH293" s="567"/>
      <c r="FI293" s="567"/>
      <c r="FJ293" s="567"/>
      <c r="FK293" s="567"/>
      <c r="FL293" s="567"/>
      <c r="FM293" s="567"/>
      <c r="FN293" s="567"/>
      <c r="FO293" s="567"/>
      <c r="FP293" s="567"/>
      <c r="FQ293" s="567"/>
      <c r="FR293" s="567"/>
      <c r="FS293" s="567"/>
      <c r="FT293" s="567"/>
      <c r="FU293" s="567"/>
      <c r="FV293" s="567"/>
      <c r="FW293" s="567"/>
      <c r="FX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  <c r="BW294" s="567"/>
      <c r="BX294" s="567"/>
      <c r="BY294" s="567"/>
      <c r="BZ294" s="567"/>
      <c r="CA294" s="567"/>
      <c r="CB294" s="567"/>
      <c r="CC294" s="567"/>
      <c r="CD294" s="567"/>
      <c r="CE294" s="567"/>
      <c r="CF294" s="567"/>
      <c r="CG294" s="567"/>
      <c r="CH294" s="567"/>
      <c r="CI294" s="567"/>
      <c r="CJ294" s="567"/>
      <c r="CK294" s="567"/>
      <c r="CL294" s="567"/>
      <c r="CM294" s="567"/>
      <c r="CN294" s="567"/>
      <c r="CO294" s="567"/>
      <c r="CP294" s="567"/>
      <c r="CQ294" s="567"/>
      <c r="CR294" s="567"/>
      <c r="CS294" s="567"/>
      <c r="CT294" s="567"/>
      <c r="CU294" s="567"/>
      <c r="CV294" s="567"/>
      <c r="CW294" s="567"/>
      <c r="CX294" s="567"/>
      <c r="CY294" s="567"/>
      <c r="CZ294" s="567"/>
      <c r="DA294" s="567"/>
      <c r="DB294" s="567"/>
      <c r="DC294" s="567"/>
      <c r="DD294" s="567"/>
      <c r="DE294" s="567"/>
      <c r="DF294" s="567"/>
      <c r="DG294" s="567"/>
      <c r="DH294" s="567"/>
      <c r="DI294" s="567"/>
      <c r="DJ294" s="567"/>
      <c r="DK294" s="567"/>
      <c r="DL294" s="567"/>
      <c r="DM294" s="567"/>
      <c r="DN294" s="567"/>
      <c r="DO294" s="567"/>
      <c r="DP294" s="567"/>
      <c r="DQ294" s="567"/>
      <c r="DR294" s="567"/>
      <c r="DS294" s="567"/>
      <c r="DT294" s="567"/>
      <c r="DU294" s="567"/>
      <c r="DV294" s="567"/>
      <c r="DW294" s="567"/>
      <c r="DX294" s="567"/>
      <c r="DY294" s="567"/>
      <c r="DZ294" s="567"/>
      <c r="EA294" s="567"/>
      <c r="EB294" s="567"/>
      <c r="EC294" s="567"/>
      <c r="ED294" s="567"/>
      <c r="EE294" s="567"/>
      <c r="EF294" s="567"/>
      <c r="EG294" s="567"/>
      <c r="EH294" s="567"/>
      <c r="EI294" s="567"/>
      <c r="EJ294" s="567"/>
      <c r="EK294" s="567"/>
      <c r="EL294" s="567"/>
      <c r="EM294" s="567"/>
      <c r="EN294" s="567"/>
      <c r="EO294" s="567"/>
      <c r="EP294" s="567"/>
      <c r="EQ294" s="567"/>
      <c r="ER294" s="567"/>
      <c r="ES294" s="567"/>
      <c r="ET294" s="567"/>
      <c r="EU294" s="567"/>
      <c r="EV294" s="567"/>
      <c r="EW294" s="567"/>
      <c r="EX294" s="567"/>
      <c r="EY294" s="567"/>
      <c r="EZ294" s="567"/>
      <c r="FA294" s="567"/>
      <c r="FB294" s="567"/>
      <c r="FC294" s="567"/>
      <c r="FD294" s="567"/>
      <c r="FE294" s="567"/>
      <c r="FF294" s="567"/>
      <c r="FG294" s="567"/>
      <c r="FH294" s="567"/>
      <c r="FI294" s="567"/>
      <c r="FJ294" s="567"/>
      <c r="FK294" s="567"/>
      <c r="FL294" s="567"/>
      <c r="FM294" s="567"/>
      <c r="FN294" s="567"/>
      <c r="FO294" s="567"/>
      <c r="FP294" s="567"/>
      <c r="FQ294" s="567"/>
      <c r="FR294" s="567"/>
      <c r="FS294" s="567"/>
      <c r="FT294" s="567"/>
      <c r="FU294" s="567"/>
      <c r="FV294" s="567"/>
      <c r="FW294" s="567"/>
      <c r="FX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  <c r="BW295" s="567"/>
      <c r="BX295" s="567"/>
      <c r="BY295" s="567"/>
      <c r="BZ295" s="567"/>
      <c r="CA295" s="567"/>
      <c r="CB295" s="567"/>
      <c r="CC295" s="567"/>
      <c r="CD295" s="567"/>
      <c r="CE295" s="567"/>
      <c r="CF295" s="567"/>
      <c r="CG295" s="567"/>
      <c r="CH295" s="567"/>
      <c r="CI295" s="567"/>
      <c r="CJ295" s="567"/>
      <c r="CK295" s="567"/>
      <c r="CL295" s="567"/>
      <c r="CM295" s="567"/>
      <c r="CN295" s="567"/>
      <c r="CO295" s="567"/>
      <c r="CP295" s="567"/>
      <c r="CQ295" s="567"/>
      <c r="CR295" s="567"/>
      <c r="CS295" s="567"/>
      <c r="CT295" s="567"/>
      <c r="CU295" s="567"/>
      <c r="CV295" s="567"/>
      <c r="CW295" s="567"/>
      <c r="CX295" s="567"/>
      <c r="CY295" s="567"/>
      <c r="CZ295" s="567"/>
      <c r="DA295" s="567"/>
      <c r="DB295" s="567"/>
      <c r="DC295" s="567"/>
      <c r="DD295" s="567"/>
      <c r="DE295" s="567"/>
      <c r="DF295" s="567"/>
      <c r="DG295" s="567"/>
      <c r="DH295" s="567"/>
      <c r="DI295" s="567"/>
      <c r="DJ295" s="567"/>
      <c r="DK295" s="567"/>
      <c r="DL295" s="567"/>
      <c r="DM295" s="567"/>
      <c r="DN295" s="567"/>
      <c r="DO295" s="567"/>
      <c r="DP295" s="567"/>
      <c r="DQ295" s="567"/>
      <c r="DR295" s="567"/>
      <c r="DS295" s="567"/>
      <c r="DT295" s="567"/>
      <c r="DU295" s="567"/>
      <c r="DV295" s="567"/>
      <c r="DW295" s="567"/>
      <c r="DX295" s="567"/>
      <c r="DY295" s="567"/>
      <c r="DZ295" s="567"/>
      <c r="EA295" s="567"/>
      <c r="EB295" s="567"/>
      <c r="EC295" s="567"/>
      <c r="ED295" s="567"/>
      <c r="EE295" s="567"/>
      <c r="EF295" s="567"/>
      <c r="EG295" s="567"/>
      <c r="EH295" s="567"/>
      <c r="EI295" s="567"/>
      <c r="EJ295" s="567"/>
      <c r="EK295" s="567"/>
      <c r="EL295" s="567"/>
      <c r="EM295" s="567"/>
      <c r="EN295" s="567"/>
      <c r="EO295" s="567"/>
      <c r="EP295" s="567"/>
      <c r="EQ295" s="567"/>
      <c r="ER295" s="567"/>
      <c r="ES295" s="567"/>
      <c r="ET295" s="567"/>
      <c r="EU295" s="567"/>
      <c r="EV295" s="567"/>
      <c r="EW295" s="567"/>
      <c r="EX295" s="567"/>
      <c r="EY295" s="567"/>
      <c r="EZ295" s="567"/>
      <c r="FA295" s="567"/>
      <c r="FB295" s="567"/>
      <c r="FC295" s="567"/>
      <c r="FD295" s="567"/>
      <c r="FE295" s="567"/>
      <c r="FF295" s="567"/>
      <c r="FG295" s="567"/>
      <c r="FH295" s="567"/>
      <c r="FI295" s="567"/>
      <c r="FJ295" s="567"/>
      <c r="FK295" s="567"/>
      <c r="FL295" s="567"/>
      <c r="FM295" s="567"/>
      <c r="FN295" s="567"/>
      <c r="FO295" s="567"/>
      <c r="FP295" s="567"/>
      <c r="FQ295" s="567"/>
      <c r="FR295" s="567"/>
      <c r="FS295" s="567"/>
      <c r="FT295" s="567"/>
      <c r="FU295" s="567"/>
      <c r="FV295" s="567"/>
      <c r="FW295" s="567"/>
      <c r="FX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  <c r="BW296" s="567"/>
      <c r="BX296" s="567"/>
      <c r="BY296" s="567"/>
      <c r="BZ296" s="567"/>
      <c r="CA296" s="567"/>
      <c r="CB296" s="567"/>
      <c r="CC296" s="567"/>
      <c r="CD296" s="567"/>
      <c r="CE296" s="567"/>
      <c r="CF296" s="567"/>
      <c r="CG296" s="567"/>
      <c r="CH296" s="567"/>
      <c r="CI296" s="567"/>
      <c r="CJ296" s="567"/>
      <c r="CK296" s="567"/>
      <c r="CL296" s="567"/>
      <c r="CM296" s="567"/>
      <c r="CN296" s="567"/>
      <c r="CO296" s="567"/>
      <c r="CP296" s="567"/>
      <c r="CQ296" s="567"/>
      <c r="CR296" s="567"/>
      <c r="CS296" s="567"/>
      <c r="CT296" s="567"/>
      <c r="CU296" s="567"/>
      <c r="CV296" s="567"/>
      <c r="CW296" s="567"/>
      <c r="CX296" s="567"/>
      <c r="CY296" s="567"/>
      <c r="CZ296" s="567"/>
      <c r="DA296" s="567"/>
      <c r="DB296" s="567"/>
      <c r="DC296" s="567"/>
      <c r="DD296" s="567"/>
      <c r="DE296" s="567"/>
      <c r="DF296" s="567"/>
      <c r="DG296" s="567"/>
      <c r="DH296" s="567"/>
      <c r="DI296" s="567"/>
      <c r="DJ296" s="567"/>
      <c r="DK296" s="567"/>
      <c r="DL296" s="567"/>
      <c r="DM296" s="567"/>
      <c r="DN296" s="567"/>
      <c r="DO296" s="567"/>
      <c r="DP296" s="567"/>
      <c r="DQ296" s="567"/>
      <c r="DR296" s="567"/>
      <c r="DS296" s="567"/>
      <c r="DT296" s="567"/>
      <c r="DU296" s="567"/>
      <c r="DV296" s="567"/>
      <c r="DW296" s="567"/>
      <c r="DX296" s="567"/>
      <c r="DY296" s="567"/>
      <c r="DZ296" s="567"/>
      <c r="EA296" s="567"/>
      <c r="EB296" s="567"/>
      <c r="EC296" s="567"/>
      <c r="ED296" s="567"/>
      <c r="EE296" s="567"/>
      <c r="EF296" s="567"/>
      <c r="EG296" s="567"/>
      <c r="EH296" s="567"/>
      <c r="EI296" s="567"/>
      <c r="EJ296" s="567"/>
      <c r="EK296" s="567"/>
      <c r="EL296" s="567"/>
      <c r="EM296" s="567"/>
      <c r="EN296" s="567"/>
      <c r="EO296" s="567"/>
      <c r="EP296" s="567"/>
      <c r="EQ296" s="567"/>
      <c r="ER296" s="567"/>
      <c r="ES296" s="567"/>
      <c r="ET296" s="567"/>
      <c r="EU296" s="567"/>
      <c r="EV296" s="567"/>
      <c r="EW296" s="567"/>
      <c r="EX296" s="567"/>
      <c r="EY296" s="567"/>
      <c r="EZ296" s="567"/>
      <c r="FA296" s="567"/>
      <c r="FB296" s="567"/>
      <c r="FC296" s="567"/>
      <c r="FD296" s="567"/>
      <c r="FE296" s="567"/>
      <c r="FF296" s="567"/>
      <c r="FG296" s="567"/>
      <c r="FH296" s="567"/>
      <c r="FI296" s="567"/>
      <c r="FJ296" s="567"/>
      <c r="FK296" s="567"/>
      <c r="FL296" s="567"/>
      <c r="FM296" s="567"/>
      <c r="FN296" s="567"/>
      <c r="FO296" s="567"/>
      <c r="FP296" s="567"/>
      <c r="FQ296" s="567"/>
      <c r="FR296" s="567"/>
      <c r="FS296" s="567"/>
      <c r="FT296" s="567"/>
      <c r="FU296" s="567"/>
      <c r="FV296" s="567"/>
      <c r="FW296" s="567"/>
      <c r="FX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  <c r="BW297" s="567"/>
      <c r="BX297" s="567"/>
      <c r="BY297" s="567"/>
      <c r="BZ297" s="567"/>
      <c r="CA297" s="567"/>
      <c r="CB297" s="567"/>
      <c r="CC297" s="567"/>
      <c r="CD297" s="567"/>
      <c r="CE297" s="567"/>
      <c r="CF297" s="567"/>
      <c r="CG297" s="567"/>
      <c r="CH297" s="567"/>
      <c r="CI297" s="567"/>
      <c r="CJ297" s="567"/>
      <c r="CK297" s="567"/>
      <c r="CL297" s="567"/>
      <c r="CM297" s="567"/>
      <c r="CN297" s="567"/>
      <c r="CO297" s="567"/>
      <c r="CP297" s="567"/>
      <c r="CQ297" s="567"/>
      <c r="CR297" s="567"/>
      <c r="CS297" s="567"/>
      <c r="CT297" s="567"/>
      <c r="CU297" s="567"/>
      <c r="CV297" s="567"/>
      <c r="CW297" s="567"/>
      <c r="CX297" s="567"/>
      <c r="CY297" s="567"/>
      <c r="CZ297" s="567"/>
      <c r="DA297" s="567"/>
      <c r="DB297" s="567"/>
      <c r="DC297" s="567"/>
      <c r="DD297" s="567"/>
      <c r="DE297" s="567"/>
      <c r="DF297" s="567"/>
      <c r="DG297" s="567"/>
      <c r="DH297" s="567"/>
      <c r="DI297" s="567"/>
      <c r="DJ297" s="567"/>
      <c r="DK297" s="567"/>
      <c r="DL297" s="567"/>
      <c r="DM297" s="567"/>
      <c r="DN297" s="567"/>
      <c r="DO297" s="567"/>
      <c r="DP297" s="567"/>
      <c r="DQ297" s="567"/>
      <c r="DR297" s="567"/>
      <c r="DS297" s="567"/>
      <c r="DT297" s="567"/>
      <c r="DU297" s="567"/>
      <c r="DV297" s="567"/>
      <c r="DW297" s="567"/>
      <c r="DX297" s="567"/>
      <c r="DY297" s="567"/>
      <c r="DZ297" s="567"/>
      <c r="EA297" s="567"/>
      <c r="EB297" s="567"/>
      <c r="EC297" s="567"/>
      <c r="ED297" s="567"/>
      <c r="EE297" s="567"/>
      <c r="EF297" s="567"/>
      <c r="EG297" s="567"/>
      <c r="EH297" s="567"/>
      <c r="EI297" s="567"/>
      <c r="EJ297" s="567"/>
      <c r="EK297" s="567"/>
      <c r="EL297" s="567"/>
      <c r="EM297" s="567"/>
      <c r="EN297" s="567"/>
      <c r="EO297" s="567"/>
      <c r="EP297" s="567"/>
      <c r="EQ297" s="567"/>
      <c r="ER297" s="567"/>
      <c r="ES297" s="567"/>
      <c r="ET297" s="567"/>
      <c r="EU297" s="567"/>
      <c r="EV297" s="567"/>
      <c r="EW297" s="567"/>
      <c r="EX297" s="567"/>
      <c r="EY297" s="567"/>
      <c r="EZ297" s="567"/>
      <c r="FA297" s="567"/>
      <c r="FB297" s="567"/>
      <c r="FC297" s="567"/>
      <c r="FD297" s="567"/>
      <c r="FE297" s="567"/>
      <c r="FF297" s="567"/>
      <c r="FG297" s="567"/>
      <c r="FH297" s="567"/>
      <c r="FI297" s="567"/>
      <c r="FJ297" s="567"/>
      <c r="FK297" s="567"/>
      <c r="FL297" s="567"/>
      <c r="FM297" s="567"/>
      <c r="FN297" s="567"/>
      <c r="FO297" s="567"/>
      <c r="FP297" s="567"/>
      <c r="FQ297" s="567"/>
      <c r="FR297" s="567"/>
      <c r="FS297" s="567"/>
      <c r="FT297" s="567"/>
      <c r="FU297" s="567"/>
      <c r="FV297" s="567"/>
      <c r="FW297" s="567"/>
      <c r="FX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  <c r="BW298" s="567"/>
      <c r="BX298" s="567"/>
      <c r="BY298" s="567"/>
      <c r="BZ298" s="567"/>
      <c r="CA298" s="567"/>
      <c r="CB298" s="567"/>
      <c r="CC298" s="567"/>
      <c r="CD298" s="567"/>
      <c r="CE298" s="567"/>
      <c r="CF298" s="567"/>
      <c r="CG298" s="567"/>
      <c r="CH298" s="567"/>
      <c r="CI298" s="567"/>
      <c r="CJ298" s="567"/>
      <c r="CK298" s="567"/>
      <c r="CL298" s="567"/>
      <c r="CM298" s="567"/>
      <c r="CN298" s="567"/>
      <c r="CO298" s="567"/>
      <c r="CP298" s="567"/>
      <c r="CQ298" s="567"/>
      <c r="CR298" s="567"/>
      <c r="CS298" s="567"/>
      <c r="CT298" s="567"/>
      <c r="CU298" s="567"/>
      <c r="CV298" s="567"/>
      <c r="CW298" s="567"/>
      <c r="CX298" s="567"/>
      <c r="CY298" s="567"/>
      <c r="CZ298" s="567"/>
      <c r="DA298" s="567"/>
      <c r="DB298" s="567"/>
      <c r="DC298" s="567"/>
      <c r="DD298" s="567"/>
      <c r="DE298" s="567"/>
      <c r="DF298" s="567"/>
      <c r="DG298" s="567"/>
      <c r="DH298" s="567"/>
      <c r="DI298" s="567"/>
      <c r="DJ298" s="567"/>
      <c r="DK298" s="567"/>
      <c r="DL298" s="567"/>
      <c r="DM298" s="567"/>
      <c r="DN298" s="567"/>
      <c r="DO298" s="567"/>
      <c r="DP298" s="567"/>
      <c r="DQ298" s="567"/>
      <c r="DR298" s="567"/>
      <c r="DS298" s="567"/>
      <c r="DT298" s="567"/>
      <c r="DU298" s="567"/>
      <c r="DV298" s="567"/>
      <c r="DW298" s="567"/>
      <c r="DX298" s="567"/>
      <c r="DY298" s="567"/>
      <c r="DZ298" s="567"/>
      <c r="EA298" s="567"/>
      <c r="EB298" s="567"/>
      <c r="EC298" s="567"/>
      <c r="ED298" s="567"/>
      <c r="EE298" s="567"/>
      <c r="EF298" s="567"/>
      <c r="EG298" s="567"/>
      <c r="EH298" s="567"/>
      <c r="EI298" s="567"/>
      <c r="EJ298" s="567"/>
      <c r="EK298" s="567"/>
      <c r="EL298" s="567"/>
      <c r="EM298" s="567"/>
      <c r="EN298" s="567"/>
      <c r="EO298" s="567"/>
      <c r="EP298" s="567"/>
      <c r="EQ298" s="567"/>
      <c r="ER298" s="567"/>
      <c r="ES298" s="567"/>
      <c r="ET298" s="567"/>
      <c r="EU298" s="567"/>
      <c r="EV298" s="567"/>
      <c r="EW298" s="567"/>
      <c r="EX298" s="567"/>
      <c r="EY298" s="567"/>
      <c r="EZ298" s="567"/>
      <c r="FA298" s="567"/>
      <c r="FB298" s="567"/>
      <c r="FC298" s="567"/>
      <c r="FD298" s="567"/>
      <c r="FE298" s="567"/>
      <c r="FF298" s="567"/>
      <c r="FG298" s="567"/>
      <c r="FH298" s="567"/>
      <c r="FI298" s="567"/>
      <c r="FJ298" s="567"/>
      <c r="FK298" s="567"/>
      <c r="FL298" s="567"/>
      <c r="FM298" s="567"/>
      <c r="FN298" s="567"/>
      <c r="FO298" s="567"/>
      <c r="FP298" s="567"/>
      <c r="FQ298" s="567"/>
      <c r="FR298" s="567"/>
      <c r="FS298" s="567"/>
      <c r="FT298" s="567"/>
      <c r="FU298" s="567"/>
      <c r="FV298" s="567"/>
      <c r="FW298" s="567"/>
      <c r="FX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  <c r="BW299" s="567"/>
      <c r="BX299" s="567"/>
      <c r="BY299" s="567"/>
      <c r="BZ299" s="567"/>
      <c r="CA299" s="567"/>
      <c r="CB299" s="567"/>
      <c r="CC299" s="567"/>
      <c r="CD299" s="567"/>
      <c r="CE299" s="567"/>
      <c r="CF299" s="567"/>
      <c r="CG299" s="567"/>
      <c r="CH299" s="567"/>
      <c r="CI299" s="567"/>
      <c r="CJ299" s="567"/>
      <c r="CK299" s="567"/>
      <c r="CL299" s="567"/>
      <c r="CM299" s="567"/>
      <c r="CN299" s="567"/>
      <c r="CO299" s="567"/>
      <c r="CP299" s="567"/>
      <c r="CQ299" s="567"/>
      <c r="CR299" s="567"/>
      <c r="CS299" s="567"/>
      <c r="CT299" s="567"/>
      <c r="CU299" s="567"/>
      <c r="CV299" s="567"/>
      <c r="CW299" s="567"/>
      <c r="CX299" s="567"/>
      <c r="CY299" s="567"/>
      <c r="CZ299" s="567"/>
      <c r="DA299" s="567"/>
      <c r="DB299" s="567"/>
      <c r="DC299" s="567"/>
      <c r="DD299" s="567"/>
      <c r="DE299" s="567"/>
      <c r="DF299" s="567"/>
      <c r="DG299" s="567"/>
      <c r="DH299" s="567"/>
      <c r="DI299" s="567"/>
      <c r="DJ299" s="567"/>
      <c r="DK299" s="567"/>
      <c r="DL299" s="567"/>
      <c r="DM299" s="567"/>
      <c r="DN299" s="567"/>
      <c r="DO299" s="567"/>
      <c r="DP299" s="567"/>
      <c r="DQ299" s="567"/>
      <c r="DR299" s="567"/>
      <c r="DS299" s="567"/>
      <c r="DT299" s="567"/>
      <c r="DU299" s="567"/>
      <c r="DV299" s="567"/>
      <c r="DW299" s="567"/>
      <c r="DX299" s="567"/>
      <c r="DY299" s="567"/>
      <c r="DZ299" s="567"/>
      <c r="EA299" s="567"/>
      <c r="EB299" s="567"/>
      <c r="EC299" s="567"/>
      <c r="ED299" s="567"/>
      <c r="EE299" s="567"/>
      <c r="EF299" s="567"/>
      <c r="EG299" s="567"/>
      <c r="EH299" s="567"/>
      <c r="EI299" s="567"/>
      <c r="EJ299" s="567"/>
      <c r="EK299" s="567"/>
      <c r="EL299" s="567"/>
      <c r="EM299" s="567"/>
      <c r="EN299" s="567"/>
      <c r="EO299" s="567"/>
      <c r="EP299" s="567"/>
      <c r="EQ299" s="567"/>
      <c r="ER299" s="567"/>
      <c r="ES299" s="567"/>
      <c r="ET299" s="567"/>
      <c r="EU299" s="567"/>
      <c r="EV299" s="567"/>
      <c r="EW299" s="567"/>
      <c r="EX299" s="567"/>
      <c r="EY299" s="567"/>
      <c r="EZ299" s="567"/>
      <c r="FA299" s="567"/>
      <c r="FB299" s="567"/>
      <c r="FC299" s="567"/>
      <c r="FD299" s="567"/>
      <c r="FE299" s="567"/>
      <c r="FF299" s="567"/>
      <c r="FG299" s="567"/>
      <c r="FH299" s="567"/>
      <c r="FI299" s="567"/>
      <c r="FJ299" s="567"/>
      <c r="FK299" s="567"/>
      <c r="FL299" s="567"/>
      <c r="FM299" s="567"/>
      <c r="FN299" s="567"/>
      <c r="FO299" s="567"/>
      <c r="FP299" s="567"/>
      <c r="FQ299" s="567"/>
      <c r="FR299" s="567"/>
      <c r="FS299" s="567"/>
      <c r="FT299" s="567"/>
      <c r="FU299" s="567"/>
      <c r="FV299" s="567"/>
      <c r="FW299" s="567"/>
      <c r="FX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  <c r="BW300" s="567"/>
      <c r="BX300" s="567"/>
      <c r="BY300" s="567"/>
      <c r="BZ300" s="567"/>
      <c r="CA300" s="567"/>
      <c r="CB300" s="567"/>
      <c r="CC300" s="567"/>
      <c r="CD300" s="567"/>
      <c r="CE300" s="567"/>
      <c r="CF300" s="567"/>
      <c r="CG300" s="567"/>
      <c r="CH300" s="567"/>
      <c r="CI300" s="567"/>
      <c r="CJ300" s="567"/>
      <c r="CK300" s="567"/>
      <c r="CL300" s="567"/>
      <c r="CM300" s="567"/>
      <c r="CN300" s="567"/>
      <c r="CO300" s="567"/>
      <c r="CP300" s="567"/>
      <c r="CQ300" s="567"/>
      <c r="CR300" s="567"/>
      <c r="CS300" s="567"/>
      <c r="CT300" s="567"/>
      <c r="CU300" s="567"/>
      <c r="CV300" s="567"/>
      <c r="CW300" s="567"/>
      <c r="CX300" s="567"/>
      <c r="CY300" s="567"/>
      <c r="CZ300" s="567"/>
      <c r="DA300" s="567"/>
      <c r="DB300" s="567"/>
      <c r="DC300" s="567"/>
      <c r="DD300" s="567"/>
      <c r="DE300" s="567"/>
      <c r="DF300" s="567"/>
      <c r="DG300" s="567"/>
      <c r="DH300" s="567"/>
      <c r="DI300" s="567"/>
      <c r="DJ300" s="567"/>
      <c r="DK300" s="567"/>
      <c r="DL300" s="567"/>
      <c r="DM300" s="567"/>
      <c r="DN300" s="567"/>
      <c r="DO300" s="567"/>
      <c r="DP300" s="567"/>
      <c r="DQ300" s="567"/>
      <c r="DR300" s="567"/>
      <c r="DS300" s="567"/>
      <c r="DT300" s="567"/>
      <c r="DU300" s="567"/>
      <c r="DV300" s="567"/>
      <c r="DW300" s="567"/>
      <c r="DX300" s="567"/>
      <c r="DY300" s="567"/>
      <c r="DZ300" s="567"/>
      <c r="EA300" s="567"/>
      <c r="EB300" s="567"/>
      <c r="EC300" s="567"/>
      <c r="ED300" s="567"/>
      <c r="EE300" s="567"/>
      <c r="EF300" s="567"/>
      <c r="EG300" s="567"/>
      <c r="EH300" s="567"/>
      <c r="EI300" s="567"/>
      <c r="EJ300" s="567"/>
      <c r="EK300" s="567"/>
      <c r="EL300" s="567"/>
      <c r="EM300" s="567"/>
      <c r="EN300" s="567"/>
      <c r="EO300" s="567"/>
      <c r="EP300" s="567"/>
      <c r="EQ300" s="567"/>
      <c r="ER300" s="567"/>
      <c r="ES300" s="567"/>
      <c r="ET300" s="567"/>
      <c r="EU300" s="567"/>
      <c r="EV300" s="567"/>
      <c r="EW300" s="567"/>
      <c r="EX300" s="567"/>
      <c r="EY300" s="567"/>
      <c r="EZ300" s="567"/>
      <c r="FA300" s="567"/>
      <c r="FB300" s="567"/>
      <c r="FC300" s="567"/>
      <c r="FD300" s="567"/>
      <c r="FE300" s="567"/>
      <c r="FF300" s="567"/>
      <c r="FG300" s="567"/>
      <c r="FH300" s="567"/>
      <c r="FI300" s="567"/>
      <c r="FJ300" s="567"/>
      <c r="FK300" s="567"/>
      <c r="FL300" s="567"/>
      <c r="FM300" s="567"/>
      <c r="FN300" s="567"/>
      <c r="FO300" s="567"/>
      <c r="FP300" s="567"/>
      <c r="FQ300" s="567"/>
      <c r="FR300" s="567"/>
      <c r="FS300" s="567"/>
      <c r="FT300" s="567"/>
      <c r="FU300" s="567"/>
      <c r="FV300" s="567"/>
      <c r="FW300" s="567"/>
      <c r="FX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  <c r="BW301" s="567"/>
      <c r="BX301" s="567"/>
      <c r="BY301" s="567"/>
      <c r="BZ301" s="567"/>
      <c r="CA301" s="567"/>
      <c r="CB301" s="567"/>
      <c r="CC301" s="567"/>
      <c r="CD301" s="567"/>
      <c r="CE301" s="567"/>
      <c r="CF301" s="567"/>
      <c r="CG301" s="567"/>
      <c r="CH301" s="567"/>
      <c r="CI301" s="567"/>
      <c r="CJ301" s="567"/>
      <c r="CK301" s="567"/>
      <c r="CL301" s="567"/>
      <c r="CM301" s="567"/>
      <c r="CN301" s="567"/>
      <c r="CO301" s="567"/>
      <c r="CP301" s="567"/>
      <c r="CQ301" s="567"/>
      <c r="CR301" s="567"/>
      <c r="CS301" s="567"/>
      <c r="CT301" s="567"/>
      <c r="CU301" s="567"/>
      <c r="CV301" s="567"/>
      <c r="CW301" s="567"/>
      <c r="CX301" s="567"/>
      <c r="CY301" s="567"/>
      <c r="CZ301" s="567"/>
      <c r="DA301" s="567"/>
      <c r="DB301" s="567"/>
      <c r="DC301" s="567"/>
      <c r="DD301" s="567"/>
      <c r="DE301" s="567"/>
      <c r="DF301" s="567"/>
      <c r="DG301" s="567"/>
      <c r="DH301" s="567"/>
      <c r="DI301" s="567"/>
      <c r="DJ301" s="567"/>
      <c r="DK301" s="567"/>
      <c r="DL301" s="567"/>
      <c r="DM301" s="567"/>
      <c r="DN301" s="567"/>
      <c r="DO301" s="567"/>
      <c r="DP301" s="567"/>
      <c r="DQ301" s="567"/>
      <c r="DR301" s="567"/>
      <c r="DS301" s="567"/>
      <c r="DT301" s="567"/>
      <c r="DU301" s="567"/>
      <c r="DV301" s="567"/>
      <c r="DW301" s="567"/>
      <c r="DX301" s="567"/>
      <c r="DY301" s="567"/>
      <c r="DZ301" s="567"/>
      <c r="EA301" s="567"/>
      <c r="EB301" s="567"/>
      <c r="EC301" s="567"/>
      <c r="ED301" s="567"/>
      <c r="EE301" s="567"/>
      <c r="EF301" s="567"/>
      <c r="EG301" s="567"/>
      <c r="EH301" s="567"/>
      <c r="EI301" s="567"/>
      <c r="EJ301" s="567"/>
      <c r="EK301" s="567"/>
      <c r="EL301" s="567"/>
      <c r="EM301" s="567"/>
      <c r="EN301" s="567"/>
      <c r="EO301" s="567"/>
      <c r="EP301" s="567"/>
      <c r="EQ301" s="567"/>
      <c r="ER301" s="567"/>
      <c r="ES301" s="567"/>
      <c r="ET301" s="567"/>
      <c r="EU301" s="567"/>
      <c r="EV301" s="567"/>
      <c r="EW301" s="567"/>
      <c r="EX301" s="567"/>
      <c r="EY301" s="567"/>
      <c r="EZ301" s="567"/>
      <c r="FA301" s="567"/>
      <c r="FB301" s="567"/>
      <c r="FC301" s="567"/>
      <c r="FD301" s="567"/>
      <c r="FE301" s="567"/>
      <c r="FF301" s="567"/>
      <c r="FG301" s="567"/>
      <c r="FH301" s="567"/>
      <c r="FI301" s="567"/>
      <c r="FJ301" s="567"/>
      <c r="FK301" s="567"/>
      <c r="FL301" s="567"/>
      <c r="FM301" s="567"/>
      <c r="FN301" s="567"/>
      <c r="FO301" s="567"/>
      <c r="FP301" s="567"/>
      <c r="FQ301" s="567"/>
      <c r="FR301" s="567"/>
      <c r="FS301" s="567"/>
      <c r="FT301" s="567"/>
      <c r="FU301" s="567"/>
      <c r="FV301" s="567"/>
      <c r="FW301" s="567"/>
      <c r="FX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  <c r="BW302" s="567"/>
      <c r="BX302" s="567"/>
      <c r="BY302" s="567"/>
      <c r="BZ302" s="567"/>
      <c r="CA302" s="567"/>
      <c r="CB302" s="567"/>
      <c r="CC302" s="567"/>
      <c r="CD302" s="567"/>
      <c r="CE302" s="567"/>
      <c r="CF302" s="567"/>
      <c r="CG302" s="567"/>
      <c r="CH302" s="567"/>
      <c r="CI302" s="567"/>
      <c r="CJ302" s="567"/>
      <c r="CK302" s="567"/>
      <c r="CL302" s="567"/>
      <c r="CM302" s="567"/>
      <c r="CN302" s="567"/>
      <c r="CO302" s="567"/>
      <c r="CP302" s="567"/>
      <c r="CQ302" s="567"/>
      <c r="CR302" s="567"/>
      <c r="CS302" s="567"/>
      <c r="CT302" s="567"/>
      <c r="CU302" s="567"/>
      <c r="CV302" s="567"/>
      <c r="CW302" s="567"/>
      <c r="CX302" s="567"/>
      <c r="CY302" s="567"/>
      <c r="CZ302" s="567"/>
      <c r="DA302" s="567"/>
      <c r="DB302" s="567"/>
      <c r="DC302" s="567"/>
      <c r="DD302" s="567"/>
      <c r="DE302" s="567"/>
      <c r="DF302" s="567"/>
      <c r="DG302" s="567"/>
      <c r="DH302" s="567"/>
      <c r="DI302" s="567"/>
      <c r="DJ302" s="567"/>
      <c r="DK302" s="567"/>
      <c r="DL302" s="567"/>
      <c r="DM302" s="567"/>
      <c r="DN302" s="567"/>
      <c r="DO302" s="567"/>
      <c r="DP302" s="567"/>
      <c r="DQ302" s="567"/>
      <c r="DR302" s="567"/>
      <c r="DS302" s="567"/>
      <c r="DT302" s="567"/>
      <c r="DU302" s="567"/>
      <c r="DV302" s="567"/>
      <c r="DW302" s="567"/>
      <c r="DX302" s="567"/>
      <c r="DY302" s="567"/>
      <c r="DZ302" s="567"/>
      <c r="EA302" s="567"/>
      <c r="EB302" s="567"/>
      <c r="EC302" s="567"/>
      <c r="ED302" s="567"/>
      <c r="EE302" s="567"/>
      <c r="EF302" s="567"/>
      <c r="EG302" s="567"/>
      <c r="EH302" s="567"/>
      <c r="EI302" s="567"/>
      <c r="EJ302" s="567"/>
      <c r="EK302" s="567"/>
      <c r="EL302" s="567"/>
      <c r="EM302" s="567"/>
      <c r="EN302" s="567"/>
      <c r="EO302" s="567"/>
      <c r="EP302" s="567"/>
      <c r="EQ302" s="567"/>
      <c r="ER302" s="567"/>
      <c r="ES302" s="567"/>
      <c r="ET302" s="567"/>
      <c r="EU302" s="567"/>
      <c r="EV302" s="567"/>
      <c r="EW302" s="567"/>
      <c r="EX302" s="567"/>
      <c r="EY302" s="567"/>
      <c r="EZ302" s="567"/>
      <c r="FA302" s="567"/>
      <c r="FB302" s="567"/>
      <c r="FC302" s="567"/>
      <c r="FD302" s="567"/>
      <c r="FE302" s="567"/>
      <c r="FF302" s="567"/>
      <c r="FG302" s="567"/>
      <c r="FH302" s="567"/>
      <c r="FI302" s="567"/>
      <c r="FJ302" s="567"/>
      <c r="FK302" s="567"/>
      <c r="FL302" s="567"/>
      <c r="FM302" s="567"/>
      <c r="FN302" s="567"/>
      <c r="FO302" s="567"/>
      <c r="FP302" s="567"/>
      <c r="FQ302" s="567"/>
      <c r="FR302" s="567"/>
      <c r="FS302" s="567"/>
      <c r="FT302" s="567"/>
      <c r="FU302" s="567"/>
      <c r="FV302" s="567"/>
      <c r="FW302" s="567"/>
      <c r="FX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  <c r="BW303" s="567"/>
      <c r="BX303" s="567"/>
      <c r="BY303" s="567"/>
      <c r="BZ303" s="567"/>
      <c r="CA303" s="567"/>
      <c r="CB303" s="567"/>
      <c r="CC303" s="567"/>
      <c r="CD303" s="567"/>
      <c r="CE303" s="567"/>
      <c r="CF303" s="567"/>
      <c r="CG303" s="567"/>
      <c r="CH303" s="567"/>
      <c r="CI303" s="567"/>
      <c r="CJ303" s="567"/>
      <c r="CK303" s="567"/>
      <c r="CL303" s="567"/>
      <c r="CM303" s="567"/>
      <c r="CN303" s="567"/>
      <c r="CO303" s="567"/>
      <c r="CP303" s="567"/>
      <c r="CQ303" s="567"/>
      <c r="CR303" s="567"/>
      <c r="CS303" s="567"/>
      <c r="CT303" s="567"/>
      <c r="CU303" s="567"/>
      <c r="CV303" s="567"/>
      <c r="CW303" s="567"/>
      <c r="CX303" s="567"/>
      <c r="CY303" s="567"/>
      <c r="CZ303" s="567"/>
      <c r="DA303" s="567"/>
      <c r="DB303" s="567"/>
      <c r="DC303" s="567"/>
      <c r="DD303" s="567"/>
      <c r="DE303" s="567"/>
      <c r="DF303" s="567"/>
      <c r="DG303" s="567"/>
      <c r="DH303" s="567"/>
      <c r="DI303" s="567"/>
      <c r="DJ303" s="567"/>
      <c r="DK303" s="567"/>
      <c r="DL303" s="567"/>
      <c r="DM303" s="567"/>
      <c r="DN303" s="567"/>
      <c r="DO303" s="567"/>
      <c r="DP303" s="567"/>
      <c r="DQ303" s="567"/>
      <c r="DR303" s="567"/>
      <c r="DS303" s="567"/>
      <c r="DT303" s="567"/>
      <c r="DU303" s="567"/>
      <c r="DV303" s="567"/>
      <c r="DW303" s="567"/>
      <c r="DX303" s="567"/>
      <c r="DY303" s="567"/>
      <c r="DZ303" s="567"/>
      <c r="EA303" s="567"/>
      <c r="EB303" s="567"/>
      <c r="EC303" s="567"/>
      <c r="ED303" s="567"/>
      <c r="EE303" s="567"/>
      <c r="EF303" s="567"/>
      <c r="EG303" s="567"/>
      <c r="EH303" s="567"/>
      <c r="EI303" s="567"/>
      <c r="EJ303" s="567"/>
      <c r="EK303" s="567"/>
      <c r="EL303" s="567"/>
      <c r="EM303" s="567"/>
      <c r="EN303" s="567"/>
      <c r="EO303" s="567"/>
      <c r="EP303" s="567"/>
      <c r="EQ303" s="567"/>
      <c r="ER303" s="567"/>
      <c r="ES303" s="567"/>
      <c r="ET303" s="567"/>
      <c r="EU303" s="567"/>
      <c r="EV303" s="567"/>
      <c r="EW303" s="567"/>
      <c r="EX303" s="567"/>
      <c r="EY303" s="567"/>
      <c r="EZ303" s="567"/>
      <c r="FA303" s="567"/>
      <c r="FB303" s="567"/>
      <c r="FC303" s="567"/>
      <c r="FD303" s="567"/>
      <c r="FE303" s="567"/>
      <c r="FF303" s="567"/>
      <c r="FG303" s="567"/>
      <c r="FH303" s="567"/>
      <c r="FI303" s="567"/>
      <c r="FJ303" s="567"/>
      <c r="FK303" s="567"/>
      <c r="FL303" s="567"/>
      <c r="FM303" s="567"/>
      <c r="FN303" s="567"/>
      <c r="FO303" s="567"/>
      <c r="FP303" s="567"/>
      <c r="FQ303" s="567"/>
      <c r="FR303" s="567"/>
      <c r="FS303" s="567"/>
      <c r="FT303" s="567"/>
      <c r="FU303" s="567"/>
      <c r="FV303" s="567"/>
      <c r="FW303" s="567"/>
      <c r="FX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  <c r="BW304" s="567"/>
      <c r="BX304" s="567"/>
      <c r="BY304" s="567"/>
      <c r="BZ304" s="567"/>
      <c r="CA304" s="567"/>
      <c r="CB304" s="567"/>
      <c r="CC304" s="567"/>
      <c r="CD304" s="567"/>
      <c r="CE304" s="567"/>
      <c r="CF304" s="567"/>
      <c r="CG304" s="567"/>
      <c r="CH304" s="567"/>
      <c r="CI304" s="567"/>
      <c r="CJ304" s="567"/>
      <c r="CK304" s="567"/>
      <c r="CL304" s="567"/>
      <c r="CM304" s="567"/>
      <c r="CN304" s="567"/>
      <c r="CO304" s="567"/>
      <c r="CP304" s="567"/>
      <c r="CQ304" s="567"/>
      <c r="CR304" s="567"/>
      <c r="CS304" s="567"/>
      <c r="CT304" s="567"/>
      <c r="CU304" s="567"/>
      <c r="CV304" s="567"/>
      <c r="CW304" s="567"/>
      <c r="CX304" s="567"/>
      <c r="CY304" s="567"/>
      <c r="CZ304" s="567"/>
      <c r="DA304" s="567"/>
      <c r="DB304" s="567"/>
      <c r="DC304" s="567"/>
      <c r="DD304" s="567"/>
      <c r="DE304" s="567"/>
      <c r="DF304" s="567"/>
      <c r="DG304" s="567"/>
      <c r="DH304" s="567"/>
      <c r="DI304" s="567"/>
      <c r="DJ304" s="567"/>
      <c r="DK304" s="567"/>
      <c r="DL304" s="567"/>
      <c r="DM304" s="567"/>
      <c r="DN304" s="567"/>
      <c r="DO304" s="567"/>
      <c r="DP304" s="567"/>
      <c r="DQ304" s="567"/>
      <c r="DR304" s="567"/>
      <c r="DS304" s="567"/>
      <c r="DT304" s="567"/>
      <c r="DU304" s="567"/>
      <c r="DV304" s="567"/>
      <c r="DW304" s="567"/>
      <c r="DX304" s="567"/>
      <c r="DY304" s="567"/>
      <c r="DZ304" s="567"/>
      <c r="EA304" s="567"/>
      <c r="EB304" s="567"/>
      <c r="EC304" s="567"/>
      <c r="ED304" s="567"/>
      <c r="EE304" s="567"/>
      <c r="EF304" s="567"/>
      <c r="EG304" s="567"/>
      <c r="EH304" s="567"/>
      <c r="EI304" s="567"/>
      <c r="EJ304" s="567"/>
      <c r="EK304" s="567"/>
      <c r="EL304" s="567"/>
      <c r="EM304" s="567"/>
      <c r="EN304" s="567"/>
      <c r="EO304" s="567"/>
      <c r="EP304" s="567"/>
      <c r="EQ304" s="567"/>
      <c r="ER304" s="567"/>
      <c r="ES304" s="567"/>
      <c r="ET304" s="567"/>
      <c r="EU304" s="567"/>
      <c r="EV304" s="567"/>
      <c r="EW304" s="567"/>
      <c r="EX304" s="567"/>
      <c r="EY304" s="567"/>
      <c r="EZ304" s="567"/>
      <c r="FA304" s="567"/>
      <c r="FB304" s="567"/>
      <c r="FC304" s="567"/>
      <c r="FD304" s="567"/>
      <c r="FE304" s="567"/>
      <c r="FF304" s="567"/>
      <c r="FG304" s="567"/>
      <c r="FH304" s="567"/>
      <c r="FI304" s="567"/>
      <c r="FJ304" s="567"/>
      <c r="FK304" s="567"/>
      <c r="FL304" s="567"/>
      <c r="FM304" s="567"/>
      <c r="FN304" s="567"/>
      <c r="FO304" s="567"/>
      <c r="FP304" s="567"/>
      <c r="FQ304" s="567"/>
      <c r="FR304" s="567"/>
      <c r="FS304" s="567"/>
      <c r="FT304" s="567"/>
      <c r="FU304" s="567"/>
      <c r="FV304" s="567"/>
      <c r="FW304" s="567"/>
      <c r="FX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  <c r="BW305" s="567"/>
      <c r="BX305" s="567"/>
      <c r="BY305" s="567"/>
      <c r="BZ305" s="567"/>
      <c r="CA305" s="567"/>
      <c r="CB305" s="567"/>
      <c r="CC305" s="567"/>
      <c r="CD305" s="567"/>
      <c r="CE305" s="567"/>
      <c r="CF305" s="567"/>
      <c r="CG305" s="567"/>
      <c r="CH305" s="567"/>
      <c r="CI305" s="567"/>
      <c r="CJ305" s="567"/>
      <c r="CK305" s="567"/>
      <c r="CL305" s="567"/>
      <c r="CM305" s="567"/>
      <c r="CN305" s="567"/>
      <c r="CO305" s="567"/>
      <c r="CP305" s="567"/>
      <c r="CQ305" s="567"/>
      <c r="CR305" s="567"/>
      <c r="CS305" s="567"/>
      <c r="CT305" s="567"/>
      <c r="CU305" s="567"/>
      <c r="CV305" s="567"/>
      <c r="CW305" s="567"/>
      <c r="CX305" s="567"/>
      <c r="CY305" s="567"/>
      <c r="CZ305" s="567"/>
      <c r="DA305" s="567"/>
      <c r="DB305" s="567"/>
      <c r="DC305" s="567"/>
      <c r="DD305" s="567"/>
      <c r="DE305" s="567"/>
      <c r="DF305" s="567"/>
      <c r="DG305" s="567"/>
      <c r="DH305" s="567"/>
      <c r="DI305" s="567"/>
      <c r="DJ305" s="567"/>
      <c r="DK305" s="567"/>
      <c r="DL305" s="567"/>
      <c r="DM305" s="567"/>
      <c r="DN305" s="567"/>
      <c r="DO305" s="567"/>
      <c r="DP305" s="567"/>
      <c r="DQ305" s="567"/>
      <c r="DR305" s="567"/>
      <c r="DS305" s="567"/>
      <c r="DT305" s="567"/>
      <c r="DU305" s="567"/>
      <c r="DV305" s="567"/>
      <c r="DW305" s="567"/>
      <c r="DX305" s="567"/>
      <c r="DY305" s="567"/>
      <c r="DZ305" s="567"/>
      <c r="EA305" s="567"/>
      <c r="EB305" s="567"/>
      <c r="EC305" s="567"/>
      <c r="ED305" s="567"/>
      <c r="EE305" s="567"/>
      <c r="EF305" s="567"/>
      <c r="EG305" s="567"/>
      <c r="EH305" s="567"/>
      <c r="EI305" s="567"/>
      <c r="EJ305" s="567"/>
      <c r="EK305" s="567"/>
      <c r="EL305" s="567"/>
      <c r="EM305" s="567"/>
      <c r="EN305" s="567"/>
      <c r="EO305" s="567"/>
      <c r="EP305" s="567"/>
      <c r="EQ305" s="567"/>
      <c r="ER305" s="567"/>
      <c r="ES305" s="567"/>
      <c r="ET305" s="567"/>
      <c r="EU305" s="567"/>
      <c r="EV305" s="567"/>
      <c r="EW305" s="567"/>
      <c r="EX305" s="567"/>
      <c r="EY305" s="567"/>
      <c r="EZ305" s="567"/>
      <c r="FA305" s="567"/>
      <c r="FB305" s="567"/>
      <c r="FC305" s="567"/>
      <c r="FD305" s="567"/>
      <c r="FE305" s="567"/>
      <c r="FF305" s="567"/>
      <c r="FG305" s="567"/>
      <c r="FH305" s="567"/>
      <c r="FI305" s="567"/>
      <c r="FJ305" s="567"/>
      <c r="FK305" s="567"/>
      <c r="FL305" s="567"/>
      <c r="FM305" s="567"/>
      <c r="FN305" s="567"/>
      <c r="FO305" s="567"/>
      <c r="FP305" s="567"/>
      <c r="FQ305" s="567"/>
      <c r="FR305" s="567"/>
      <c r="FS305" s="567"/>
      <c r="FT305" s="567"/>
      <c r="FU305" s="567"/>
      <c r="FV305" s="567"/>
      <c r="FW305" s="567"/>
      <c r="FX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  <c r="BW306" s="567"/>
      <c r="BX306" s="567"/>
      <c r="BY306" s="567"/>
      <c r="BZ306" s="567"/>
      <c r="CA306" s="567"/>
      <c r="CB306" s="567"/>
      <c r="CC306" s="567"/>
      <c r="CD306" s="567"/>
      <c r="CE306" s="567"/>
      <c r="CF306" s="567"/>
      <c r="CG306" s="567"/>
      <c r="CH306" s="567"/>
      <c r="CI306" s="567"/>
      <c r="CJ306" s="567"/>
      <c r="CK306" s="567"/>
      <c r="CL306" s="567"/>
      <c r="CM306" s="567"/>
      <c r="CN306" s="567"/>
      <c r="CO306" s="567"/>
      <c r="CP306" s="567"/>
      <c r="CQ306" s="567"/>
      <c r="CR306" s="567"/>
      <c r="CS306" s="567"/>
      <c r="CT306" s="567"/>
      <c r="CU306" s="567"/>
      <c r="CV306" s="567"/>
      <c r="CW306" s="567"/>
      <c r="CX306" s="567"/>
      <c r="CY306" s="567"/>
      <c r="CZ306" s="567"/>
      <c r="DA306" s="567"/>
      <c r="DB306" s="567"/>
      <c r="DC306" s="567"/>
      <c r="DD306" s="567"/>
      <c r="DE306" s="567"/>
      <c r="DF306" s="567"/>
      <c r="DG306" s="567"/>
      <c r="DH306" s="567"/>
      <c r="DI306" s="567"/>
      <c r="DJ306" s="567"/>
      <c r="DK306" s="567"/>
      <c r="DL306" s="567"/>
      <c r="DM306" s="567"/>
      <c r="DN306" s="567"/>
      <c r="DO306" s="567"/>
      <c r="DP306" s="567"/>
      <c r="DQ306" s="567"/>
      <c r="DR306" s="567"/>
      <c r="DS306" s="567"/>
      <c r="DT306" s="567"/>
      <c r="DU306" s="567"/>
      <c r="DV306" s="567"/>
      <c r="DW306" s="567"/>
      <c r="DX306" s="567"/>
      <c r="DY306" s="567"/>
      <c r="DZ306" s="567"/>
      <c r="EA306" s="567"/>
      <c r="EB306" s="567"/>
      <c r="EC306" s="567"/>
      <c r="ED306" s="567"/>
      <c r="EE306" s="567"/>
      <c r="EF306" s="567"/>
      <c r="EG306" s="567"/>
      <c r="EH306" s="567"/>
      <c r="EI306" s="567"/>
      <c r="EJ306" s="567"/>
      <c r="EK306" s="567"/>
      <c r="EL306" s="567"/>
      <c r="EM306" s="567"/>
      <c r="EN306" s="567"/>
      <c r="EO306" s="567"/>
      <c r="EP306" s="567"/>
      <c r="EQ306" s="567"/>
      <c r="ER306" s="567"/>
      <c r="ES306" s="567"/>
      <c r="ET306" s="567"/>
      <c r="EU306" s="567"/>
      <c r="EV306" s="567"/>
      <c r="EW306" s="567"/>
      <c r="EX306" s="567"/>
      <c r="EY306" s="567"/>
      <c r="EZ306" s="567"/>
      <c r="FA306" s="567"/>
      <c r="FB306" s="567"/>
      <c r="FC306" s="567"/>
      <c r="FD306" s="567"/>
      <c r="FE306" s="567"/>
      <c r="FF306" s="567"/>
      <c r="FG306" s="567"/>
      <c r="FH306" s="567"/>
      <c r="FI306" s="567"/>
      <c r="FJ306" s="567"/>
      <c r="FK306" s="567"/>
      <c r="FL306" s="567"/>
      <c r="FM306" s="567"/>
      <c r="FN306" s="567"/>
      <c r="FO306" s="567"/>
      <c r="FP306" s="567"/>
      <c r="FQ306" s="567"/>
      <c r="FR306" s="567"/>
      <c r="FS306" s="567"/>
      <c r="FT306" s="567"/>
      <c r="FU306" s="567"/>
      <c r="FV306" s="567"/>
      <c r="FW306" s="567"/>
      <c r="FX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  <c r="BW307" s="567"/>
      <c r="BX307" s="567"/>
      <c r="BY307" s="567"/>
      <c r="BZ307" s="567"/>
      <c r="CA307" s="567"/>
      <c r="CB307" s="567"/>
      <c r="CC307" s="567"/>
      <c r="CD307" s="567"/>
      <c r="CE307" s="567"/>
      <c r="CF307" s="567"/>
      <c r="CG307" s="567"/>
      <c r="CH307" s="567"/>
      <c r="CI307" s="567"/>
      <c r="CJ307" s="567"/>
      <c r="CK307" s="567"/>
      <c r="CL307" s="567"/>
      <c r="CM307" s="567"/>
      <c r="CN307" s="567"/>
      <c r="CO307" s="567"/>
      <c r="CP307" s="567"/>
      <c r="CQ307" s="567"/>
      <c r="CR307" s="567"/>
      <c r="CS307" s="567"/>
      <c r="CT307" s="567"/>
      <c r="CU307" s="567"/>
      <c r="CV307" s="567"/>
      <c r="CW307" s="567"/>
      <c r="CX307" s="567"/>
      <c r="CY307" s="567"/>
      <c r="CZ307" s="567"/>
      <c r="DA307" s="567"/>
      <c r="DB307" s="567"/>
      <c r="DC307" s="567"/>
      <c r="DD307" s="567"/>
      <c r="DE307" s="567"/>
      <c r="DF307" s="567"/>
      <c r="DG307" s="567"/>
      <c r="DH307" s="567"/>
      <c r="DI307" s="567"/>
      <c r="DJ307" s="567"/>
      <c r="DK307" s="567"/>
      <c r="DL307" s="567"/>
      <c r="DM307" s="567"/>
      <c r="DN307" s="567"/>
      <c r="DO307" s="567"/>
      <c r="DP307" s="567"/>
      <c r="DQ307" s="567"/>
      <c r="DR307" s="567"/>
      <c r="DS307" s="567"/>
      <c r="DT307" s="567"/>
      <c r="DU307" s="567"/>
      <c r="DV307" s="567"/>
      <c r="DW307" s="567"/>
      <c r="DX307" s="567"/>
      <c r="DY307" s="567"/>
      <c r="DZ307" s="567"/>
      <c r="EA307" s="567"/>
      <c r="EB307" s="567"/>
      <c r="EC307" s="567"/>
      <c r="ED307" s="567"/>
      <c r="EE307" s="567"/>
      <c r="EF307" s="567"/>
      <c r="EG307" s="567"/>
      <c r="EH307" s="567"/>
      <c r="EI307" s="567"/>
      <c r="EJ307" s="567"/>
      <c r="EK307" s="567"/>
      <c r="EL307" s="567"/>
      <c r="EM307" s="567"/>
      <c r="EN307" s="567"/>
      <c r="EO307" s="567"/>
      <c r="EP307" s="567"/>
      <c r="EQ307" s="567"/>
      <c r="ER307" s="567"/>
      <c r="ES307" s="567"/>
      <c r="ET307" s="567"/>
      <c r="EU307" s="567"/>
      <c r="EV307" s="567"/>
      <c r="EW307" s="567"/>
      <c r="EX307" s="567"/>
      <c r="EY307" s="567"/>
      <c r="EZ307" s="567"/>
      <c r="FA307" s="567"/>
      <c r="FB307" s="567"/>
      <c r="FC307" s="567"/>
      <c r="FD307" s="567"/>
      <c r="FE307" s="567"/>
      <c r="FF307" s="567"/>
      <c r="FG307" s="567"/>
      <c r="FH307" s="567"/>
      <c r="FI307" s="567"/>
      <c r="FJ307" s="567"/>
      <c r="FK307" s="567"/>
      <c r="FL307" s="567"/>
      <c r="FM307" s="567"/>
      <c r="FN307" s="567"/>
      <c r="FO307" s="567"/>
      <c r="FP307" s="567"/>
      <c r="FQ307" s="567"/>
      <c r="FR307" s="567"/>
      <c r="FS307" s="567"/>
      <c r="FT307" s="567"/>
      <c r="FU307" s="567"/>
      <c r="FV307" s="567"/>
      <c r="FW307" s="567"/>
      <c r="FX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  <c r="BW308" s="567"/>
      <c r="BX308" s="567"/>
      <c r="BY308" s="567"/>
      <c r="BZ308" s="567"/>
      <c r="CA308" s="567"/>
      <c r="CB308" s="567"/>
      <c r="CC308" s="567"/>
      <c r="CD308" s="567"/>
      <c r="CE308" s="567"/>
      <c r="CF308" s="567"/>
      <c r="CG308" s="567"/>
      <c r="CH308" s="567"/>
      <c r="CI308" s="567"/>
      <c r="CJ308" s="567"/>
      <c r="CK308" s="567"/>
      <c r="CL308" s="567"/>
      <c r="CM308" s="567"/>
      <c r="CN308" s="567"/>
      <c r="CO308" s="567"/>
      <c r="CP308" s="567"/>
      <c r="CQ308" s="567"/>
      <c r="CR308" s="567"/>
      <c r="CS308" s="567"/>
      <c r="CT308" s="567"/>
      <c r="CU308" s="567"/>
      <c r="CV308" s="567"/>
      <c r="CW308" s="567"/>
      <c r="CX308" s="567"/>
      <c r="CY308" s="567"/>
      <c r="CZ308" s="567"/>
      <c r="DA308" s="567"/>
      <c r="DB308" s="567"/>
      <c r="DC308" s="567"/>
      <c r="DD308" s="567"/>
      <c r="DE308" s="567"/>
      <c r="DF308" s="567"/>
      <c r="DG308" s="567"/>
      <c r="DH308" s="567"/>
      <c r="DI308" s="567"/>
      <c r="DJ308" s="567"/>
      <c r="DK308" s="567"/>
      <c r="DL308" s="567"/>
      <c r="DM308" s="567"/>
      <c r="DN308" s="567"/>
      <c r="DO308" s="567"/>
      <c r="DP308" s="567"/>
      <c r="DQ308" s="567"/>
      <c r="DR308" s="567"/>
      <c r="DS308" s="567"/>
      <c r="DT308" s="567"/>
      <c r="DU308" s="567"/>
      <c r="DV308" s="567"/>
      <c r="DW308" s="567"/>
      <c r="DX308" s="567"/>
      <c r="DY308" s="567"/>
      <c r="DZ308" s="567"/>
      <c r="EA308" s="567"/>
      <c r="EB308" s="567"/>
      <c r="EC308" s="567"/>
      <c r="ED308" s="567"/>
      <c r="EE308" s="567"/>
      <c r="EF308" s="567"/>
      <c r="EG308" s="567"/>
      <c r="EH308" s="567"/>
      <c r="EI308" s="567"/>
      <c r="EJ308" s="567"/>
      <c r="EK308" s="567"/>
      <c r="EL308" s="567"/>
      <c r="EM308" s="567"/>
      <c r="EN308" s="567"/>
      <c r="EO308" s="567"/>
      <c r="EP308" s="567"/>
      <c r="EQ308" s="567"/>
      <c r="ER308" s="567"/>
      <c r="ES308" s="567"/>
      <c r="ET308" s="567"/>
      <c r="EU308" s="567"/>
      <c r="EV308" s="567"/>
      <c r="EW308" s="567"/>
      <c r="EX308" s="567"/>
      <c r="EY308" s="567"/>
      <c r="EZ308" s="567"/>
      <c r="FA308" s="567"/>
      <c r="FB308" s="567"/>
      <c r="FC308" s="567"/>
      <c r="FD308" s="567"/>
      <c r="FE308" s="567"/>
      <c r="FF308" s="567"/>
      <c r="FG308" s="567"/>
      <c r="FH308" s="567"/>
      <c r="FI308" s="567"/>
      <c r="FJ308" s="567"/>
      <c r="FK308" s="567"/>
      <c r="FL308" s="567"/>
      <c r="FM308" s="567"/>
      <c r="FN308" s="567"/>
      <c r="FO308" s="567"/>
      <c r="FP308" s="567"/>
      <c r="FQ308" s="567"/>
      <c r="FR308" s="567"/>
      <c r="FS308" s="567"/>
      <c r="FT308" s="567"/>
      <c r="FU308" s="567"/>
      <c r="FV308" s="567"/>
      <c r="FW308" s="567"/>
      <c r="FX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  <c r="BW309" s="567"/>
      <c r="BX309" s="567"/>
      <c r="BY309" s="567"/>
      <c r="BZ309" s="567"/>
      <c r="CA309" s="567"/>
      <c r="CB309" s="567"/>
      <c r="CC309" s="567"/>
      <c r="CD309" s="567"/>
      <c r="CE309" s="567"/>
      <c r="CF309" s="567"/>
      <c r="CG309" s="567"/>
      <c r="CH309" s="567"/>
      <c r="CI309" s="567"/>
      <c r="CJ309" s="567"/>
      <c r="CK309" s="567"/>
      <c r="CL309" s="567"/>
      <c r="CM309" s="567"/>
      <c r="CN309" s="567"/>
      <c r="CO309" s="567"/>
      <c r="CP309" s="567"/>
      <c r="CQ309" s="567"/>
      <c r="CR309" s="567"/>
      <c r="CS309" s="567"/>
      <c r="CT309" s="567"/>
      <c r="CU309" s="567"/>
      <c r="CV309" s="567"/>
      <c r="CW309" s="567"/>
      <c r="CX309" s="567"/>
      <c r="CY309" s="567"/>
      <c r="CZ309" s="567"/>
      <c r="DA309" s="567"/>
      <c r="DB309" s="567"/>
      <c r="DC309" s="567"/>
      <c r="DD309" s="567"/>
      <c r="DE309" s="567"/>
      <c r="DF309" s="567"/>
      <c r="DG309" s="567"/>
      <c r="DH309" s="567"/>
      <c r="DI309" s="567"/>
      <c r="DJ309" s="567"/>
      <c r="DK309" s="567"/>
      <c r="DL309" s="567"/>
      <c r="DM309" s="567"/>
      <c r="DN309" s="567"/>
      <c r="DO309" s="567"/>
      <c r="DP309" s="567"/>
      <c r="DQ309" s="567"/>
      <c r="DR309" s="567"/>
      <c r="DS309" s="567"/>
      <c r="DT309" s="567"/>
      <c r="DU309" s="567"/>
      <c r="DV309" s="567"/>
      <c r="DW309" s="567"/>
      <c r="DX309" s="567"/>
      <c r="DY309" s="567"/>
      <c r="DZ309" s="567"/>
      <c r="EA309" s="567"/>
      <c r="EB309" s="567"/>
      <c r="EC309" s="567"/>
      <c r="ED309" s="567"/>
      <c r="EE309" s="567"/>
      <c r="EF309" s="567"/>
      <c r="EG309" s="567"/>
      <c r="EH309" s="567"/>
      <c r="EI309" s="567"/>
      <c r="EJ309" s="567"/>
      <c r="EK309" s="567"/>
      <c r="EL309" s="567"/>
      <c r="EM309" s="567"/>
      <c r="EN309" s="567"/>
      <c r="EO309" s="567"/>
      <c r="EP309" s="567"/>
      <c r="EQ309" s="567"/>
      <c r="ER309" s="567"/>
      <c r="ES309" s="567"/>
      <c r="ET309" s="567"/>
      <c r="EU309" s="567"/>
      <c r="EV309" s="567"/>
      <c r="EW309" s="567"/>
      <c r="EX309" s="567"/>
      <c r="EY309" s="567"/>
      <c r="EZ309" s="567"/>
      <c r="FA309" s="567"/>
      <c r="FB309" s="567"/>
      <c r="FC309" s="567"/>
      <c r="FD309" s="567"/>
      <c r="FE309" s="567"/>
      <c r="FF309" s="567"/>
      <c r="FG309" s="567"/>
      <c r="FH309" s="567"/>
      <c r="FI309" s="567"/>
      <c r="FJ309" s="567"/>
      <c r="FK309" s="567"/>
      <c r="FL309" s="567"/>
      <c r="FM309" s="567"/>
      <c r="FN309" s="567"/>
      <c r="FO309" s="567"/>
      <c r="FP309" s="567"/>
      <c r="FQ309" s="567"/>
      <c r="FR309" s="567"/>
      <c r="FS309" s="567"/>
      <c r="FT309" s="567"/>
      <c r="FU309" s="567"/>
      <c r="FV309" s="567"/>
      <c r="FW309" s="567"/>
      <c r="FX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  <c r="BW310" s="567"/>
      <c r="BX310" s="567"/>
      <c r="BY310" s="567"/>
      <c r="BZ310" s="567"/>
      <c r="CA310" s="567"/>
      <c r="CB310" s="567"/>
      <c r="CC310" s="567"/>
      <c r="CD310" s="567"/>
      <c r="CE310" s="567"/>
      <c r="CF310" s="567"/>
      <c r="CG310" s="567"/>
      <c r="CH310" s="567"/>
      <c r="CI310" s="567"/>
      <c r="CJ310" s="567"/>
      <c r="CK310" s="567"/>
      <c r="CL310" s="567"/>
      <c r="CM310" s="567"/>
      <c r="CN310" s="567"/>
      <c r="CO310" s="567"/>
      <c r="CP310" s="567"/>
      <c r="CQ310" s="567"/>
      <c r="CR310" s="567"/>
      <c r="CS310" s="567"/>
      <c r="CT310" s="567"/>
      <c r="CU310" s="567"/>
      <c r="CV310" s="567"/>
      <c r="CW310" s="567"/>
      <c r="CX310" s="567"/>
      <c r="CY310" s="567"/>
      <c r="CZ310" s="567"/>
      <c r="DA310" s="567"/>
      <c r="DB310" s="567"/>
      <c r="DC310" s="567"/>
      <c r="DD310" s="567"/>
      <c r="DE310" s="567"/>
      <c r="DF310" s="567"/>
      <c r="DG310" s="567"/>
      <c r="DH310" s="567"/>
      <c r="DI310" s="567"/>
      <c r="DJ310" s="567"/>
      <c r="DK310" s="567"/>
      <c r="DL310" s="567"/>
      <c r="DM310" s="567"/>
      <c r="DN310" s="567"/>
      <c r="DO310" s="567"/>
      <c r="DP310" s="567"/>
      <c r="DQ310" s="567"/>
      <c r="DR310" s="567"/>
      <c r="DS310" s="567"/>
      <c r="DT310" s="567"/>
      <c r="DU310" s="567"/>
      <c r="DV310" s="567"/>
      <c r="DW310" s="567"/>
      <c r="DX310" s="567"/>
      <c r="DY310" s="567"/>
      <c r="DZ310" s="567"/>
      <c r="EA310" s="567"/>
      <c r="EB310" s="567"/>
      <c r="EC310" s="567"/>
      <c r="ED310" s="567"/>
      <c r="EE310" s="567"/>
      <c r="EF310" s="567"/>
      <c r="EG310" s="567"/>
      <c r="EH310" s="567"/>
      <c r="EI310" s="567"/>
      <c r="EJ310" s="567"/>
      <c r="EK310" s="567"/>
      <c r="EL310" s="567"/>
      <c r="EM310" s="567"/>
      <c r="EN310" s="567"/>
      <c r="EO310" s="567"/>
      <c r="EP310" s="567"/>
      <c r="EQ310" s="567"/>
      <c r="ER310" s="567"/>
      <c r="ES310" s="567"/>
      <c r="ET310" s="567"/>
      <c r="EU310" s="567"/>
      <c r="EV310" s="567"/>
      <c r="EW310" s="567"/>
      <c r="EX310" s="567"/>
      <c r="EY310" s="567"/>
      <c r="EZ310" s="567"/>
      <c r="FA310" s="567"/>
      <c r="FB310" s="567"/>
      <c r="FC310" s="567"/>
      <c r="FD310" s="567"/>
      <c r="FE310" s="567"/>
      <c r="FF310" s="567"/>
      <c r="FG310" s="567"/>
      <c r="FH310" s="567"/>
      <c r="FI310" s="567"/>
      <c r="FJ310" s="567"/>
      <c r="FK310" s="567"/>
      <c r="FL310" s="567"/>
      <c r="FM310" s="567"/>
      <c r="FN310" s="567"/>
      <c r="FO310" s="567"/>
      <c r="FP310" s="567"/>
      <c r="FQ310" s="567"/>
      <c r="FR310" s="567"/>
      <c r="FS310" s="567"/>
      <c r="FT310" s="567"/>
      <c r="FU310" s="567"/>
      <c r="FV310" s="567"/>
      <c r="FW310" s="567"/>
      <c r="FX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  <c r="BW311" s="567"/>
      <c r="BX311" s="567"/>
      <c r="BY311" s="567"/>
      <c r="BZ311" s="567"/>
      <c r="CA311" s="567"/>
      <c r="CB311" s="567"/>
      <c r="CC311" s="567"/>
      <c r="CD311" s="567"/>
      <c r="CE311" s="567"/>
      <c r="CF311" s="567"/>
      <c r="CG311" s="567"/>
      <c r="CH311" s="567"/>
      <c r="CI311" s="567"/>
      <c r="CJ311" s="567"/>
      <c r="CK311" s="567"/>
      <c r="CL311" s="567"/>
      <c r="CM311" s="567"/>
      <c r="CN311" s="567"/>
      <c r="CO311" s="567"/>
      <c r="CP311" s="567"/>
      <c r="CQ311" s="567"/>
      <c r="CR311" s="567"/>
      <c r="CS311" s="567"/>
      <c r="CT311" s="567"/>
      <c r="CU311" s="567"/>
      <c r="CV311" s="567"/>
      <c r="CW311" s="567"/>
      <c r="CX311" s="567"/>
      <c r="CY311" s="567"/>
      <c r="CZ311" s="567"/>
      <c r="DA311" s="567"/>
      <c r="DB311" s="567"/>
      <c r="DC311" s="567"/>
      <c r="DD311" s="567"/>
      <c r="DE311" s="567"/>
      <c r="DF311" s="567"/>
      <c r="DG311" s="567"/>
      <c r="DH311" s="567"/>
      <c r="DI311" s="567"/>
      <c r="DJ311" s="567"/>
      <c r="DK311" s="567"/>
      <c r="DL311" s="567"/>
      <c r="DM311" s="567"/>
      <c r="DN311" s="567"/>
      <c r="DO311" s="567"/>
      <c r="DP311" s="567"/>
      <c r="DQ311" s="567"/>
      <c r="DR311" s="567"/>
      <c r="DS311" s="567"/>
      <c r="DT311" s="567"/>
      <c r="DU311" s="567"/>
      <c r="DV311" s="567"/>
      <c r="DW311" s="567"/>
      <c r="DX311" s="567"/>
      <c r="DY311" s="567"/>
      <c r="DZ311" s="567"/>
      <c r="EA311" s="567"/>
      <c r="EB311" s="567"/>
      <c r="EC311" s="567"/>
      <c r="ED311" s="567"/>
      <c r="EE311" s="567"/>
      <c r="EF311" s="567"/>
      <c r="EG311" s="567"/>
      <c r="EH311" s="567"/>
      <c r="EI311" s="567"/>
      <c r="EJ311" s="567"/>
      <c r="EK311" s="567"/>
      <c r="EL311" s="567"/>
      <c r="EM311" s="567"/>
      <c r="EN311" s="567"/>
      <c r="EO311" s="567"/>
      <c r="EP311" s="567"/>
      <c r="EQ311" s="567"/>
      <c r="ER311" s="567"/>
      <c r="ES311" s="567"/>
      <c r="ET311" s="567"/>
      <c r="EU311" s="567"/>
      <c r="EV311" s="567"/>
      <c r="EW311" s="567"/>
      <c r="EX311" s="567"/>
      <c r="EY311" s="567"/>
      <c r="EZ311" s="567"/>
      <c r="FA311" s="567"/>
      <c r="FB311" s="567"/>
      <c r="FC311" s="567"/>
      <c r="FD311" s="567"/>
      <c r="FE311" s="567"/>
      <c r="FF311" s="567"/>
      <c r="FG311" s="567"/>
      <c r="FH311" s="567"/>
      <c r="FI311" s="567"/>
      <c r="FJ311" s="567"/>
      <c r="FK311" s="567"/>
      <c r="FL311" s="567"/>
      <c r="FM311" s="567"/>
      <c r="FN311" s="567"/>
      <c r="FO311" s="567"/>
      <c r="FP311" s="567"/>
      <c r="FQ311" s="567"/>
      <c r="FR311" s="567"/>
      <c r="FS311" s="567"/>
      <c r="FT311" s="567"/>
      <c r="FU311" s="567"/>
      <c r="FV311" s="567"/>
      <c r="FW311" s="567"/>
      <c r="FX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  <c r="BW312" s="567"/>
      <c r="BX312" s="567"/>
      <c r="BY312" s="567"/>
      <c r="BZ312" s="567"/>
      <c r="CA312" s="567"/>
      <c r="CB312" s="567"/>
      <c r="CC312" s="567"/>
      <c r="CD312" s="567"/>
      <c r="CE312" s="567"/>
      <c r="CF312" s="567"/>
      <c r="CG312" s="567"/>
      <c r="CH312" s="567"/>
      <c r="CI312" s="567"/>
      <c r="CJ312" s="567"/>
      <c r="CK312" s="567"/>
      <c r="CL312" s="567"/>
      <c r="CM312" s="567"/>
      <c r="CN312" s="567"/>
      <c r="CO312" s="567"/>
      <c r="CP312" s="567"/>
      <c r="CQ312" s="567"/>
      <c r="CR312" s="567"/>
      <c r="CS312" s="567"/>
      <c r="CT312" s="567"/>
      <c r="CU312" s="567"/>
      <c r="CV312" s="567"/>
      <c r="CW312" s="567"/>
      <c r="CX312" s="567"/>
      <c r="CY312" s="567"/>
      <c r="CZ312" s="567"/>
      <c r="DA312" s="567"/>
      <c r="DB312" s="567"/>
      <c r="DC312" s="567"/>
      <c r="DD312" s="567"/>
      <c r="DE312" s="567"/>
      <c r="DF312" s="567"/>
      <c r="DG312" s="567"/>
      <c r="DH312" s="567"/>
      <c r="DI312" s="567"/>
      <c r="DJ312" s="567"/>
      <c r="DK312" s="567"/>
      <c r="DL312" s="567"/>
      <c r="DM312" s="567"/>
      <c r="DN312" s="567"/>
      <c r="DO312" s="567"/>
      <c r="DP312" s="567"/>
      <c r="DQ312" s="567"/>
      <c r="DR312" s="567"/>
      <c r="DS312" s="567"/>
      <c r="DT312" s="567"/>
      <c r="DU312" s="567"/>
      <c r="DV312" s="567"/>
      <c r="DW312" s="567"/>
      <c r="DX312" s="567"/>
      <c r="DY312" s="567"/>
      <c r="DZ312" s="567"/>
      <c r="EA312" s="567"/>
      <c r="EB312" s="567"/>
      <c r="EC312" s="567"/>
      <c r="ED312" s="567"/>
      <c r="EE312" s="567"/>
      <c r="EF312" s="567"/>
      <c r="EG312" s="567"/>
      <c r="EH312" s="567"/>
      <c r="EI312" s="567"/>
      <c r="EJ312" s="567"/>
      <c r="EK312" s="567"/>
      <c r="EL312" s="567"/>
      <c r="EM312" s="567"/>
      <c r="EN312" s="567"/>
      <c r="EO312" s="567"/>
      <c r="EP312" s="567"/>
      <c r="EQ312" s="567"/>
      <c r="ER312" s="567"/>
      <c r="ES312" s="567"/>
      <c r="ET312" s="567"/>
      <c r="EU312" s="567"/>
      <c r="EV312" s="567"/>
      <c r="EW312" s="567"/>
      <c r="EX312" s="567"/>
      <c r="EY312" s="567"/>
      <c r="EZ312" s="567"/>
      <c r="FA312" s="567"/>
      <c r="FB312" s="567"/>
      <c r="FC312" s="567"/>
      <c r="FD312" s="567"/>
      <c r="FE312" s="567"/>
      <c r="FF312" s="567"/>
      <c r="FG312" s="567"/>
      <c r="FH312" s="567"/>
      <c r="FI312" s="567"/>
      <c r="FJ312" s="567"/>
      <c r="FK312" s="567"/>
      <c r="FL312" s="567"/>
      <c r="FM312" s="567"/>
      <c r="FN312" s="567"/>
      <c r="FO312" s="567"/>
      <c r="FP312" s="567"/>
      <c r="FQ312" s="567"/>
      <c r="FR312" s="567"/>
      <c r="FS312" s="567"/>
      <c r="FT312" s="567"/>
      <c r="FU312" s="567"/>
      <c r="FV312" s="567"/>
      <c r="FW312" s="567"/>
      <c r="FX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  <c r="BW313" s="567"/>
      <c r="BX313" s="567"/>
      <c r="BY313" s="567"/>
      <c r="BZ313" s="567"/>
      <c r="CA313" s="567"/>
      <c r="CB313" s="567"/>
      <c r="CC313" s="567"/>
      <c r="CD313" s="567"/>
      <c r="CE313" s="567"/>
      <c r="CF313" s="567"/>
      <c r="CG313" s="567"/>
      <c r="CH313" s="567"/>
      <c r="CI313" s="567"/>
      <c r="CJ313" s="567"/>
      <c r="CK313" s="567"/>
      <c r="CL313" s="567"/>
      <c r="CM313" s="567"/>
      <c r="CN313" s="567"/>
      <c r="CO313" s="567"/>
      <c r="CP313" s="567"/>
      <c r="CQ313" s="567"/>
      <c r="CR313" s="567"/>
      <c r="CS313" s="567"/>
      <c r="CT313" s="567"/>
      <c r="CU313" s="567"/>
      <c r="CV313" s="567"/>
      <c r="CW313" s="567"/>
      <c r="CX313" s="567"/>
      <c r="CY313" s="567"/>
      <c r="CZ313" s="567"/>
      <c r="DA313" s="567"/>
      <c r="DB313" s="567"/>
      <c r="DC313" s="567"/>
      <c r="DD313" s="567"/>
      <c r="DE313" s="567"/>
      <c r="DF313" s="567"/>
      <c r="DG313" s="567"/>
      <c r="DH313" s="567"/>
      <c r="DI313" s="567"/>
      <c r="DJ313" s="567"/>
      <c r="DK313" s="567"/>
      <c r="DL313" s="567"/>
      <c r="DM313" s="567"/>
      <c r="DN313" s="567"/>
      <c r="DO313" s="567"/>
      <c r="DP313" s="567"/>
      <c r="DQ313" s="567"/>
      <c r="DR313" s="567"/>
      <c r="DS313" s="567"/>
      <c r="DT313" s="567"/>
      <c r="DU313" s="567"/>
      <c r="DV313" s="567"/>
      <c r="DW313" s="567"/>
      <c r="DX313" s="567"/>
      <c r="DY313" s="567"/>
      <c r="DZ313" s="567"/>
      <c r="EA313" s="567"/>
      <c r="EB313" s="567"/>
      <c r="EC313" s="567"/>
      <c r="ED313" s="567"/>
      <c r="EE313" s="567"/>
      <c r="EF313" s="567"/>
      <c r="EG313" s="567"/>
      <c r="EH313" s="567"/>
      <c r="EI313" s="567"/>
      <c r="EJ313" s="567"/>
      <c r="EK313" s="567"/>
      <c r="EL313" s="567"/>
      <c r="EM313" s="567"/>
      <c r="EN313" s="567"/>
      <c r="EO313" s="567"/>
      <c r="EP313" s="567"/>
      <c r="EQ313" s="567"/>
      <c r="ER313" s="567"/>
      <c r="ES313" s="567"/>
      <c r="ET313" s="567"/>
      <c r="EU313" s="567"/>
      <c r="EV313" s="567"/>
      <c r="EW313" s="567"/>
      <c r="EX313" s="567"/>
      <c r="EY313" s="567"/>
      <c r="EZ313" s="567"/>
      <c r="FA313" s="567"/>
      <c r="FB313" s="567"/>
      <c r="FC313" s="567"/>
      <c r="FD313" s="567"/>
      <c r="FE313" s="567"/>
      <c r="FF313" s="567"/>
      <c r="FG313" s="567"/>
      <c r="FH313" s="567"/>
      <c r="FI313" s="567"/>
      <c r="FJ313" s="567"/>
      <c r="FK313" s="567"/>
      <c r="FL313" s="567"/>
      <c r="FM313" s="567"/>
      <c r="FN313" s="567"/>
      <c r="FO313" s="567"/>
      <c r="FP313" s="567"/>
      <c r="FQ313" s="567"/>
      <c r="FR313" s="567"/>
      <c r="FS313" s="567"/>
      <c r="FT313" s="567"/>
      <c r="FU313" s="567"/>
      <c r="FV313" s="567"/>
      <c r="FW313" s="567"/>
      <c r="FX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  <c r="BW314" s="567"/>
      <c r="BX314" s="567"/>
      <c r="BY314" s="567"/>
      <c r="BZ314" s="567"/>
      <c r="CA314" s="567"/>
      <c r="CB314" s="567"/>
      <c r="CC314" s="567"/>
      <c r="CD314" s="567"/>
      <c r="CE314" s="567"/>
      <c r="CF314" s="567"/>
      <c r="CG314" s="567"/>
      <c r="CH314" s="567"/>
      <c r="CI314" s="567"/>
      <c r="CJ314" s="567"/>
      <c r="CK314" s="567"/>
      <c r="CL314" s="567"/>
      <c r="CM314" s="567"/>
      <c r="CN314" s="567"/>
      <c r="CO314" s="567"/>
      <c r="CP314" s="567"/>
      <c r="CQ314" s="567"/>
      <c r="CR314" s="567"/>
      <c r="CS314" s="567"/>
      <c r="CT314" s="567"/>
      <c r="CU314" s="567"/>
      <c r="CV314" s="567"/>
      <c r="CW314" s="567"/>
      <c r="CX314" s="567"/>
      <c r="CY314" s="567"/>
      <c r="CZ314" s="567"/>
      <c r="DA314" s="567"/>
      <c r="DB314" s="567"/>
      <c r="DC314" s="567"/>
      <c r="DD314" s="567"/>
      <c r="DE314" s="567"/>
      <c r="DF314" s="567"/>
      <c r="DG314" s="567"/>
      <c r="DH314" s="567"/>
      <c r="DI314" s="567"/>
      <c r="DJ314" s="567"/>
      <c r="DK314" s="567"/>
      <c r="DL314" s="567"/>
      <c r="DM314" s="567"/>
      <c r="DN314" s="567"/>
      <c r="DO314" s="567"/>
      <c r="DP314" s="567"/>
      <c r="DQ314" s="567"/>
      <c r="DR314" s="567"/>
      <c r="DS314" s="567"/>
      <c r="DT314" s="567"/>
      <c r="DU314" s="567"/>
      <c r="DV314" s="567"/>
      <c r="DW314" s="567"/>
      <c r="DX314" s="567"/>
      <c r="DY314" s="567"/>
      <c r="DZ314" s="567"/>
      <c r="EA314" s="567"/>
      <c r="EB314" s="567"/>
      <c r="EC314" s="567"/>
      <c r="ED314" s="567"/>
      <c r="EE314" s="567"/>
      <c r="EF314" s="567"/>
      <c r="EG314" s="567"/>
      <c r="EH314" s="567"/>
      <c r="EI314" s="567"/>
      <c r="EJ314" s="567"/>
      <c r="EK314" s="567"/>
      <c r="EL314" s="567"/>
      <c r="EM314" s="567"/>
      <c r="EN314" s="567"/>
      <c r="EO314" s="567"/>
      <c r="EP314" s="567"/>
      <c r="EQ314" s="567"/>
      <c r="ER314" s="567"/>
      <c r="ES314" s="567"/>
      <c r="ET314" s="567"/>
      <c r="EU314" s="567"/>
      <c r="EV314" s="567"/>
      <c r="EW314" s="567"/>
      <c r="EX314" s="567"/>
      <c r="EY314" s="567"/>
      <c r="EZ314" s="567"/>
      <c r="FA314" s="567"/>
      <c r="FB314" s="567"/>
      <c r="FC314" s="567"/>
      <c r="FD314" s="567"/>
      <c r="FE314" s="567"/>
      <c r="FF314" s="567"/>
      <c r="FG314" s="567"/>
      <c r="FH314" s="567"/>
      <c r="FI314" s="567"/>
      <c r="FJ314" s="567"/>
      <c r="FK314" s="567"/>
      <c r="FL314" s="567"/>
      <c r="FM314" s="567"/>
      <c r="FN314" s="567"/>
      <c r="FO314" s="567"/>
      <c r="FP314" s="567"/>
      <c r="FQ314" s="567"/>
      <c r="FR314" s="567"/>
      <c r="FS314" s="567"/>
      <c r="FT314" s="567"/>
      <c r="FU314" s="567"/>
      <c r="FV314" s="567"/>
      <c r="FW314" s="567"/>
      <c r="FX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  <c r="BW315" s="567"/>
      <c r="BX315" s="567"/>
      <c r="BY315" s="567"/>
      <c r="BZ315" s="567"/>
      <c r="CA315" s="567"/>
      <c r="CB315" s="567"/>
      <c r="CC315" s="567"/>
      <c r="CD315" s="567"/>
      <c r="CE315" s="567"/>
      <c r="CF315" s="567"/>
      <c r="CG315" s="567"/>
      <c r="CH315" s="567"/>
      <c r="CI315" s="567"/>
      <c r="CJ315" s="567"/>
      <c r="CK315" s="567"/>
      <c r="CL315" s="567"/>
      <c r="CM315" s="567"/>
      <c r="CN315" s="567"/>
      <c r="CO315" s="567"/>
      <c r="CP315" s="567"/>
      <c r="CQ315" s="567"/>
      <c r="CR315" s="567"/>
      <c r="CS315" s="567"/>
      <c r="CT315" s="567"/>
      <c r="CU315" s="567"/>
      <c r="CV315" s="567"/>
      <c r="CW315" s="567"/>
      <c r="CX315" s="567"/>
      <c r="CY315" s="567"/>
      <c r="CZ315" s="567"/>
      <c r="DA315" s="567"/>
      <c r="DB315" s="567"/>
      <c r="DC315" s="567"/>
      <c r="DD315" s="567"/>
      <c r="DE315" s="567"/>
      <c r="DF315" s="567"/>
      <c r="DG315" s="567"/>
      <c r="DH315" s="567"/>
      <c r="DI315" s="567"/>
      <c r="DJ315" s="567"/>
      <c r="DK315" s="567"/>
      <c r="DL315" s="567"/>
      <c r="DM315" s="567"/>
      <c r="DN315" s="567"/>
      <c r="DO315" s="567"/>
      <c r="DP315" s="567"/>
      <c r="DQ315" s="567"/>
      <c r="DR315" s="567"/>
      <c r="DS315" s="567"/>
      <c r="DT315" s="567"/>
      <c r="DU315" s="567"/>
      <c r="DV315" s="567"/>
      <c r="DW315" s="567"/>
      <c r="DX315" s="567"/>
      <c r="DY315" s="567"/>
      <c r="DZ315" s="567"/>
      <c r="EA315" s="567"/>
      <c r="EB315" s="567"/>
      <c r="EC315" s="567"/>
      <c r="ED315" s="567"/>
      <c r="EE315" s="567"/>
      <c r="EF315" s="567"/>
      <c r="EG315" s="567"/>
      <c r="EH315" s="567"/>
      <c r="EI315" s="567"/>
      <c r="EJ315" s="567"/>
      <c r="EK315" s="567"/>
      <c r="EL315" s="567"/>
      <c r="EM315" s="567"/>
      <c r="EN315" s="567"/>
      <c r="EO315" s="567"/>
      <c r="EP315" s="567"/>
      <c r="EQ315" s="567"/>
      <c r="ER315" s="567"/>
      <c r="ES315" s="567"/>
      <c r="ET315" s="567"/>
      <c r="EU315" s="567"/>
      <c r="EV315" s="567"/>
      <c r="EW315" s="567"/>
      <c r="EX315" s="567"/>
      <c r="EY315" s="567"/>
      <c r="EZ315" s="567"/>
      <c r="FA315" s="567"/>
      <c r="FB315" s="567"/>
      <c r="FC315" s="567"/>
      <c r="FD315" s="567"/>
      <c r="FE315" s="567"/>
      <c r="FF315" s="567"/>
      <c r="FG315" s="567"/>
      <c r="FH315" s="567"/>
      <c r="FI315" s="567"/>
      <c r="FJ315" s="567"/>
      <c r="FK315" s="567"/>
      <c r="FL315" s="567"/>
      <c r="FM315" s="567"/>
      <c r="FN315" s="567"/>
      <c r="FO315" s="567"/>
      <c r="FP315" s="567"/>
      <c r="FQ315" s="567"/>
      <c r="FR315" s="567"/>
      <c r="FS315" s="567"/>
      <c r="FT315" s="567"/>
      <c r="FU315" s="567"/>
      <c r="FV315" s="567"/>
      <c r="FW315" s="567"/>
      <c r="FX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  <c r="BW316" s="567"/>
      <c r="BX316" s="567"/>
      <c r="BY316" s="567"/>
      <c r="BZ316" s="567"/>
      <c r="CA316" s="567"/>
      <c r="CB316" s="567"/>
      <c r="CC316" s="567"/>
      <c r="CD316" s="567"/>
      <c r="CE316" s="567"/>
      <c r="CF316" s="567"/>
      <c r="CG316" s="567"/>
      <c r="CH316" s="567"/>
      <c r="CI316" s="567"/>
      <c r="CJ316" s="567"/>
      <c r="CK316" s="567"/>
      <c r="CL316" s="567"/>
      <c r="CM316" s="567"/>
      <c r="CN316" s="567"/>
      <c r="CO316" s="567"/>
      <c r="CP316" s="567"/>
      <c r="CQ316" s="567"/>
      <c r="CR316" s="567"/>
      <c r="CS316" s="567"/>
      <c r="CT316" s="567"/>
      <c r="CU316" s="567"/>
      <c r="CV316" s="567"/>
      <c r="CW316" s="567"/>
      <c r="CX316" s="567"/>
      <c r="CY316" s="567"/>
      <c r="CZ316" s="567"/>
      <c r="DA316" s="567"/>
      <c r="DB316" s="567"/>
      <c r="DC316" s="567"/>
      <c r="DD316" s="567"/>
      <c r="DE316" s="567"/>
      <c r="DF316" s="567"/>
      <c r="DG316" s="567"/>
      <c r="DH316" s="567"/>
      <c r="DI316" s="567"/>
      <c r="DJ316" s="567"/>
      <c r="DK316" s="567"/>
      <c r="DL316" s="567"/>
      <c r="DM316" s="567"/>
      <c r="DN316" s="567"/>
      <c r="DO316" s="567"/>
      <c r="DP316" s="567"/>
      <c r="DQ316" s="567"/>
      <c r="DR316" s="567"/>
      <c r="DS316" s="567"/>
      <c r="DT316" s="567"/>
      <c r="DU316" s="567"/>
      <c r="DV316" s="567"/>
      <c r="DW316" s="567"/>
      <c r="DX316" s="567"/>
      <c r="DY316" s="567"/>
      <c r="DZ316" s="567"/>
      <c r="EA316" s="567"/>
      <c r="EB316" s="567"/>
      <c r="EC316" s="567"/>
      <c r="ED316" s="567"/>
      <c r="EE316" s="567"/>
      <c r="EF316" s="567"/>
      <c r="EG316" s="567"/>
      <c r="EH316" s="567"/>
      <c r="EI316" s="567"/>
      <c r="EJ316" s="567"/>
      <c r="EK316" s="567"/>
      <c r="EL316" s="567"/>
      <c r="EM316" s="567"/>
      <c r="EN316" s="567"/>
      <c r="EO316" s="567"/>
      <c r="EP316" s="567"/>
      <c r="EQ316" s="567"/>
      <c r="ER316" s="567"/>
      <c r="ES316" s="567"/>
      <c r="ET316" s="567"/>
      <c r="EU316" s="567"/>
      <c r="EV316" s="567"/>
      <c r="EW316" s="567"/>
      <c r="EX316" s="567"/>
      <c r="EY316" s="567"/>
      <c r="EZ316" s="567"/>
      <c r="FA316" s="567"/>
      <c r="FB316" s="567"/>
      <c r="FC316" s="567"/>
      <c r="FD316" s="567"/>
      <c r="FE316" s="567"/>
      <c r="FF316" s="567"/>
      <c r="FG316" s="567"/>
      <c r="FH316" s="567"/>
      <c r="FI316" s="567"/>
      <c r="FJ316" s="567"/>
      <c r="FK316" s="567"/>
      <c r="FL316" s="567"/>
      <c r="FM316" s="567"/>
      <c r="FN316" s="567"/>
      <c r="FO316" s="567"/>
      <c r="FP316" s="567"/>
      <c r="FQ316" s="567"/>
      <c r="FR316" s="567"/>
      <c r="FS316" s="567"/>
      <c r="FT316" s="567"/>
      <c r="FU316" s="567"/>
      <c r="FV316" s="567"/>
      <c r="FW316" s="567"/>
      <c r="FX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  <c r="BW317" s="567"/>
      <c r="BX317" s="567"/>
      <c r="BY317" s="567"/>
      <c r="BZ317" s="567"/>
      <c r="CA317" s="567"/>
      <c r="CB317" s="567"/>
      <c r="CC317" s="567"/>
      <c r="CD317" s="567"/>
      <c r="CE317" s="567"/>
      <c r="CF317" s="567"/>
      <c r="CG317" s="567"/>
      <c r="CH317" s="567"/>
      <c r="CI317" s="567"/>
      <c r="CJ317" s="567"/>
      <c r="CK317" s="567"/>
      <c r="CL317" s="567"/>
      <c r="CM317" s="567"/>
      <c r="CN317" s="567"/>
      <c r="CO317" s="567"/>
      <c r="CP317" s="567"/>
      <c r="CQ317" s="567"/>
      <c r="CR317" s="567"/>
      <c r="CS317" s="567"/>
      <c r="CT317" s="567"/>
      <c r="CU317" s="567"/>
      <c r="CV317" s="567"/>
      <c r="CW317" s="567"/>
      <c r="CX317" s="567"/>
      <c r="CY317" s="567"/>
      <c r="CZ317" s="567"/>
      <c r="DA317" s="567"/>
      <c r="DB317" s="567"/>
      <c r="DC317" s="567"/>
      <c r="DD317" s="567"/>
      <c r="DE317" s="567"/>
      <c r="DF317" s="567"/>
      <c r="DG317" s="567"/>
      <c r="DH317" s="567"/>
      <c r="DI317" s="567"/>
      <c r="DJ317" s="567"/>
      <c r="DK317" s="567"/>
      <c r="DL317" s="567"/>
      <c r="DM317" s="567"/>
      <c r="DN317" s="567"/>
      <c r="DO317" s="567"/>
      <c r="DP317" s="567"/>
      <c r="DQ317" s="567"/>
      <c r="DR317" s="567"/>
      <c r="DS317" s="567"/>
      <c r="DT317" s="567"/>
      <c r="DU317" s="567"/>
      <c r="DV317" s="567"/>
      <c r="DW317" s="567"/>
      <c r="DX317" s="567"/>
      <c r="DY317" s="567"/>
      <c r="DZ317" s="567"/>
      <c r="EA317" s="567"/>
      <c r="EB317" s="567"/>
      <c r="EC317" s="567"/>
      <c r="ED317" s="567"/>
      <c r="EE317" s="567"/>
      <c r="EF317" s="567"/>
      <c r="EG317" s="567"/>
      <c r="EH317" s="567"/>
      <c r="EI317" s="567"/>
      <c r="EJ317" s="567"/>
      <c r="EK317" s="567"/>
      <c r="EL317" s="567"/>
      <c r="EM317" s="567"/>
      <c r="EN317" s="567"/>
      <c r="EO317" s="567"/>
      <c r="EP317" s="567"/>
      <c r="EQ317" s="567"/>
      <c r="ER317" s="567"/>
      <c r="ES317" s="567"/>
      <c r="ET317" s="567"/>
      <c r="EU317" s="567"/>
      <c r="EV317" s="567"/>
      <c r="EW317" s="567"/>
      <c r="EX317" s="567"/>
      <c r="EY317" s="567"/>
      <c r="EZ317" s="567"/>
      <c r="FA317" s="567"/>
      <c r="FB317" s="567"/>
      <c r="FC317" s="567"/>
      <c r="FD317" s="567"/>
      <c r="FE317" s="567"/>
      <c r="FF317" s="567"/>
      <c r="FG317" s="567"/>
      <c r="FH317" s="567"/>
      <c r="FI317" s="567"/>
      <c r="FJ317" s="567"/>
      <c r="FK317" s="567"/>
      <c r="FL317" s="567"/>
      <c r="FM317" s="567"/>
      <c r="FN317" s="567"/>
      <c r="FO317" s="567"/>
      <c r="FP317" s="567"/>
      <c r="FQ317" s="567"/>
      <c r="FR317" s="567"/>
      <c r="FS317" s="567"/>
      <c r="FT317" s="567"/>
      <c r="FU317" s="567"/>
      <c r="FV317" s="567"/>
      <c r="FW317" s="567"/>
      <c r="FX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  <c r="BW318" s="567"/>
      <c r="BX318" s="567"/>
      <c r="BY318" s="567"/>
      <c r="BZ318" s="567"/>
      <c r="CA318" s="567"/>
      <c r="CB318" s="567"/>
      <c r="CC318" s="567"/>
      <c r="CD318" s="567"/>
      <c r="CE318" s="567"/>
      <c r="CF318" s="567"/>
      <c r="CG318" s="567"/>
      <c r="CH318" s="567"/>
      <c r="CI318" s="567"/>
      <c r="CJ318" s="567"/>
      <c r="CK318" s="567"/>
      <c r="CL318" s="567"/>
      <c r="CM318" s="567"/>
      <c r="CN318" s="567"/>
      <c r="CO318" s="567"/>
      <c r="CP318" s="567"/>
      <c r="CQ318" s="567"/>
      <c r="CR318" s="567"/>
      <c r="CS318" s="567"/>
      <c r="CT318" s="567"/>
      <c r="CU318" s="567"/>
      <c r="CV318" s="567"/>
      <c r="CW318" s="567"/>
      <c r="CX318" s="567"/>
      <c r="CY318" s="567"/>
      <c r="CZ318" s="567"/>
      <c r="DA318" s="567"/>
      <c r="DB318" s="567"/>
      <c r="DC318" s="567"/>
      <c r="DD318" s="567"/>
      <c r="DE318" s="567"/>
      <c r="DF318" s="567"/>
      <c r="DG318" s="567"/>
      <c r="DH318" s="567"/>
      <c r="DI318" s="567"/>
      <c r="DJ318" s="567"/>
      <c r="DK318" s="567"/>
      <c r="DL318" s="567"/>
      <c r="DM318" s="567"/>
      <c r="DN318" s="567"/>
      <c r="DO318" s="567"/>
      <c r="DP318" s="567"/>
      <c r="DQ318" s="567"/>
      <c r="DR318" s="567"/>
      <c r="DS318" s="567"/>
      <c r="DT318" s="567"/>
      <c r="DU318" s="567"/>
      <c r="DV318" s="567"/>
      <c r="DW318" s="567"/>
      <c r="DX318" s="567"/>
      <c r="DY318" s="567"/>
      <c r="DZ318" s="567"/>
      <c r="EA318" s="567"/>
      <c r="EB318" s="567"/>
      <c r="EC318" s="567"/>
      <c r="ED318" s="567"/>
      <c r="EE318" s="567"/>
      <c r="EF318" s="567"/>
      <c r="EG318" s="567"/>
      <c r="EH318" s="567"/>
      <c r="EI318" s="567"/>
      <c r="EJ318" s="567"/>
      <c r="EK318" s="567"/>
      <c r="EL318" s="567"/>
      <c r="EM318" s="567"/>
      <c r="EN318" s="567"/>
      <c r="EO318" s="567"/>
      <c r="EP318" s="567"/>
      <c r="EQ318" s="567"/>
      <c r="ER318" s="567"/>
      <c r="ES318" s="567"/>
      <c r="ET318" s="567"/>
      <c r="EU318" s="567"/>
      <c r="EV318" s="567"/>
      <c r="EW318" s="567"/>
      <c r="EX318" s="567"/>
      <c r="EY318" s="567"/>
      <c r="EZ318" s="567"/>
      <c r="FA318" s="567"/>
      <c r="FB318" s="567"/>
      <c r="FC318" s="567"/>
      <c r="FD318" s="567"/>
      <c r="FE318" s="567"/>
      <c r="FF318" s="567"/>
      <c r="FG318" s="567"/>
      <c r="FH318" s="567"/>
      <c r="FI318" s="567"/>
      <c r="FJ318" s="567"/>
      <c r="FK318" s="567"/>
      <c r="FL318" s="567"/>
      <c r="FM318" s="567"/>
      <c r="FN318" s="567"/>
      <c r="FO318" s="567"/>
      <c r="FP318" s="567"/>
      <c r="FQ318" s="567"/>
      <c r="FR318" s="567"/>
      <c r="FS318" s="567"/>
      <c r="FT318" s="567"/>
      <c r="FU318" s="567"/>
      <c r="FV318" s="567"/>
      <c r="FW318" s="567"/>
      <c r="FX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  <c r="BW319" s="567"/>
      <c r="BX319" s="567"/>
      <c r="BY319" s="567"/>
      <c r="BZ319" s="567"/>
      <c r="CA319" s="567"/>
      <c r="CB319" s="567"/>
      <c r="CC319" s="567"/>
      <c r="CD319" s="567"/>
      <c r="CE319" s="567"/>
      <c r="CF319" s="567"/>
      <c r="CG319" s="567"/>
      <c r="CH319" s="567"/>
      <c r="CI319" s="567"/>
      <c r="CJ319" s="567"/>
      <c r="CK319" s="567"/>
      <c r="CL319" s="567"/>
      <c r="CM319" s="567"/>
      <c r="CN319" s="567"/>
      <c r="CO319" s="567"/>
      <c r="CP319" s="567"/>
      <c r="CQ319" s="567"/>
      <c r="CR319" s="567"/>
      <c r="CS319" s="567"/>
      <c r="CT319" s="567"/>
      <c r="CU319" s="567"/>
      <c r="CV319" s="567"/>
      <c r="CW319" s="567"/>
      <c r="CX319" s="567"/>
      <c r="CY319" s="567"/>
      <c r="CZ319" s="567"/>
      <c r="DA319" s="567"/>
      <c r="DB319" s="567"/>
      <c r="DC319" s="567"/>
      <c r="DD319" s="567"/>
      <c r="DE319" s="567"/>
      <c r="DF319" s="567"/>
      <c r="DG319" s="567"/>
      <c r="DH319" s="567"/>
      <c r="DI319" s="567"/>
      <c r="DJ319" s="567"/>
      <c r="DK319" s="567"/>
      <c r="DL319" s="567"/>
      <c r="DM319" s="567"/>
      <c r="DN319" s="567"/>
      <c r="DO319" s="567"/>
      <c r="DP319" s="567"/>
      <c r="DQ319" s="567"/>
      <c r="DR319" s="567"/>
      <c r="DS319" s="567"/>
      <c r="DT319" s="567"/>
      <c r="DU319" s="567"/>
      <c r="DV319" s="567"/>
      <c r="DW319" s="567"/>
      <c r="DX319" s="567"/>
      <c r="DY319" s="567"/>
      <c r="DZ319" s="567"/>
      <c r="EA319" s="567"/>
      <c r="EB319" s="567"/>
      <c r="EC319" s="567"/>
      <c r="ED319" s="567"/>
      <c r="EE319" s="567"/>
      <c r="EF319" s="567"/>
      <c r="EG319" s="567"/>
      <c r="EH319" s="567"/>
      <c r="EI319" s="567"/>
      <c r="EJ319" s="567"/>
      <c r="EK319" s="567"/>
      <c r="EL319" s="567"/>
      <c r="EM319" s="567"/>
      <c r="EN319" s="567"/>
      <c r="EO319" s="567"/>
      <c r="EP319" s="567"/>
      <c r="EQ319" s="567"/>
      <c r="ER319" s="567"/>
      <c r="ES319" s="567"/>
      <c r="ET319" s="567"/>
      <c r="EU319" s="567"/>
      <c r="EV319" s="567"/>
      <c r="EW319" s="567"/>
      <c r="EX319" s="567"/>
      <c r="EY319" s="567"/>
      <c r="EZ319" s="567"/>
      <c r="FA319" s="567"/>
      <c r="FB319" s="567"/>
      <c r="FC319" s="567"/>
      <c r="FD319" s="567"/>
      <c r="FE319" s="567"/>
      <c r="FF319" s="567"/>
      <c r="FG319" s="567"/>
      <c r="FH319" s="567"/>
      <c r="FI319" s="567"/>
      <c r="FJ319" s="567"/>
      <c r="FK319" s="567"/>
      <c r="FL319" s="567"/>
      <c r="FM319" s="567"/>
      <c r="FN319" s="567"/>
      <c r="FO319" s="567"/>
      <c r="FP319" s="567"/>
      <c r="FQ319" s="567"/>
      <c r="FR319" s="567"/>
      <c r="FS319" s="567"/>
      <c r="FT319" s="567"/>
      <c r="FU319" s="567"/>
      <c r="FV319" s="567"/>
      <c r="FW319" s="567"/>
      <c r="FX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  <c r="BW320" s="567"/>
      <c r="BX320" s="567"/>
      <c r="BY320" s="567"/>
      <c r="BZ320" s="567"/>
      <c r="CA320" s="567"/>
      <c r="CB320" s="567"/>
      <c r="CC320" s="567"/>
      <c r="CD320" s="567"/>
      <c r="CE320" s="567"/>
      <c r="CF320" s="567"/>
      <c r="CG320" s="567"/>
      <c r="CH320" s="567"/>
      <c r="CI320" s="567"/>
      <c r="CJ320" s="567"/>
      <c r="CK320" s="567"/>
      <c r="CL320" s="567"/>
      <c r="CM320" s="567"/>
      <c r="CN320" s="567"/>
      <c r="CO320" s="567"/>
      <c r="CP320" s="567"/>
      <c r="CQ320" s="567"/>
      <c r="CR320" s="567"/>
      <c r="CS320" s="567"/>
      <c r="CT320" s="567"/>
      <c r="CU320" s="567"/>
      <c r="CV320" s="567"/>
      <c r="CW320" s="567"/>
      <c r="CX320" s="567"/>
      <c r="CY320" s="567"/>
      <c r="CZ320" s="567"/>
      <c r="DA320" s="567"/>
      <c r="DB320" s="567"/>
      <c r="DC320" s="567"/>
      <c r="DD320" s="567"/>
      <c r="DE320" s="567"/>
      <c r="DF320" s="567"/>
      <c r="DG320" s="567"/>
      <c r="DH320" s="567"/>
      <c r="DI320" s="567"/>
      <c r="DJ320" s="567"/>
      <c r="DK320" s="567"/>
      <c r="DL320" s="567"/>
      <c r="DM320" s="567"/>
      <c r="DN320" s="567"/>
      <c r="DO320" s="567"/>
      <c r="DP320" s="567"/>
      <c r="DQ320" s="567"/>
      <c r="DR320" s="567"/>
      <c r="DS320" s="567"/>
      <c r="DT320" s="567"/>
      <c r="DU320" s="567"/>
      <c r="DV320" s="567"/>
      <c r="DW320" s="567"/>
      <c r="DX320" s="567"/>
      <c r="DY320" s="567"/>
      <c r="DZ320" s="567"/>
      <c r="EA320" s="567"/>
      <c r="EB320" s="567"/>
      <c r="EC320" s="567"/>
      <c r="ED320" s="567"/>
      <c r="EE320" s="567"/>
      <c r="EF320" s="567"/>
      <c r="EG320" s="567"/>
      <c r="EH320" s="567"/>
      <c r="EI320" s="567"/>
      <c r="EJ320" s="567"/>
      <c r="EK320" s="567"/>
      <c r="EL320" s="567"/>
      <c r="EM320" s="567"/>
      <c r="EN320" s="567"/>
      <c r="EO320" s="567"/>
      <c r="EP320" s="567"/>
      <c r="EQ320" s="567"/>
      <c r="ER320" s="567"/>
      <c r="ES320" s="567"/>
      <c r="ET320" s="567"/>
      <c r="EU320" s="567"/>
      <c r="EV320" s="567"/>
      <c r="EW320" s="567"/>
      <c r="EX320" s="567"/>
      <c r="EY320" s="567"/>
      <c r="EZ320" s="567"/>
      <c r="FA320" s="567"/>
      <c r="FB320" s="567"/>
      <c r="FC320" s="567"/>
      <c r="FD320" s="567"/>
      <c r="FE320" s="567"/>
      <c r="FF320" s="567"/>
      <c r="FG320" s="567"/>
      <c r="FH320" s="567"/>
      <c r="FI320" s="567"/>
      <c r="FJ320" s="567"/>
      <c r="FK320" s="567"/>
      <c r="FL320" s="567"/>
      <c r="FM320" s="567"/>
      <c r="FN320" s="567"/>
      <c r="FO320" s="567"/>
      <c r="FP320" s="567"/>
      <c r="FQ320" s="567"/>
      <c r="FR320" s="567"/>
      <c r="FS320" s="567"/>
      <c r="FT320" s="567"/>
      <c r="FU320" s="567"/>
      <c r="FV320" s="567"/>
      <c r="FW320" s="567"/>
      <c r="FX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  <c r="BW321" s="567"/>
      <c r="BX321" s="567"/>
      <c r="BY321" s="567"/>
      <c r="BZ321" s="567"/>
      <c r="CA321" s="567"/>
      <c r="CB321" s="567"/>
      <c r="CC321" s="567"/>
      <c r="CD321" s="567"/>
      <c r="CE321" s="567"/>
      <c r="CF321" s="567"/>
      <c r="CG321" s="567"/>
      <c r="CH321" s="567"/>
      <c r="CI321" s="567"/>
      <c r="CJ321" s="567"/>
      <c r="CK321" s="567"/>
      <c r="CL321" s="567"/>
      <c r="CM321" s="567"/>
      <c r="CN321" s="567"/>
      <c r="CO321" s="567"/>
      <c r="CP321" s="567"/>
      <c r="CQ321" s="567"/>
      <c r="CR321" s="567"/>
      <c r="CS321" s="567"/>
      <c r="CT321" s="567"/>
      <c r="CU321" s="567"/>
      <c r="CV321" s="567"/>
      <c r="CW321" s="567"/>
      <c r="CX321" s="567"/>
      <c r="CY321" s="567"/>
      <c r="CZ321" s="567"/>
      <c r="DA321" s="567"/>
      <c r="DB321" s="567"/>
      <c r="DC321" s="567"/>
      <c r="DD321" s="567"/>
      <c r="DE321" s="567"/>
      <c r="DF321" s="567"/>
      <c r="DG321" s="567"/>
      <c r="DH321" s="567"/>
      <c r="DI321" s="567"/>
      <c r="DJ321" s="567"/>
      <c r="DK321" s="567"/>
      <c r="DL321" s="567"/>
      <c r="DM321" s="567"/>
      <c r="DN321" s="567"/>
      <c r="DO321" s="567"/>
      <c r="DP321" s="567"/>
      <c r="DQ321" s="567"/>
      <c r="DR321" s="567"/>
      <c r="DS321" s="567"/>
      <c r="DT321" s="567"/>
      <c r="DU321" s="567"/>
      <c r="DV321" s="567"/>
      <c r="DW321" s="567"/>
      <c r="DX321" s="567"/>
      <c r="DY321" s="567"/>
      <c r="DZ321" s="567"/>
      <c r="EA321" s="567"/>
      <c r="EB321" s="567"/>
      <c r="EC321" s="567"/>
      <c r="ED321" s="567"/>
      <c r="EE321" s="567"/>
      <c r="EF321" s="567"/>
      <c r="EG321" s="567"/>
      <c r="EH321" s="567"/>
      <c r="EI321" s="567"/>
      <c r="EJ321" s="567"/>
      <c r="EK321" s="567"/>
      <c r="EL321" s="567"/>
      <c r="EM321" s="567"/>
      <c r="EN321" s="567"/>
      <c r="EO321" s="567"/>
      <c r="EP321" s="567"/>
      <c r="EQ321" s="567"/>
      <c r="ER321" s="567"/>
      <c r="ES321" s="567"/>
      <c r="ET321" s="567"/>
      <c r="EU321" s="567"/>
      <c r="EV321" s="567"/>
      <c r="EW321" s="567"/>
      <c r="EX321" s="567"/>
      <c r="EY321" s="567"/>
      <c r="EZ321" s="567"/>
      <c r="FA321" s="567"/>
      <c r="FB321" s="567"/>
      <c r="FC321" s="567"/>
      <c r="FD321" s="567"/>
      <c r="FE321" s="567"/>
      <c r="FF321" s="567"/>
      <c r="FG321" s="567"/>
      <c r="FH321" s="567"/>
      <c r="FI321" s="567"/>
      <c r="FJ321" s="567"/>
      <c r="FK321" s="567"/>
      <c r="FL321" s="567"/>
      <c r="FM321" s="567"/>
      <c r="FN321" s="567"/>
      <c r="FO321" s="567"/>
      <c r="FP321" s="567"/>
      <c r="FQ321" s="567"/>
      <c r="FR321" s="567"/>
      <c r="FS321" s="567"/>
      <c r="FT321" s="567"/>
      <c r="FU321" s="567"/>
      <c r="FV321" s="567"/>
      <c r="FW321" s="567"/>
      <c r="FX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  <c r="BW322" s="567"/>
      <c r="BX322" s="567"/>
      <c r="BY322" s="567"/>
      <c r="BZ322" s="567"/>
      <c r="CA322" s="567"/>
      <c r="CB322" s="567"/>
      <c r="CC322" s="567"/>
      <c r="CD322" s="567"/>
      <c r="CE322" s="567"/>
      <c r="CF322" s="567"/>
      <c r="CG322" s="567"/>
      <c r="CH322" s="567"/>
      <c r="CI322" s="567"/>
      <c r="CJ322" s="567"/>
      <c r="CK322" s="567"/>
      <c r="CL322" s="567"/>
      <c r="CM322" s="567"/>
      <c r="CN322" s="567"/>
      <c r="CO322" s="567"/>
      <c r="CP322" s="567"/>
      <c r="CQ322" s="567"/>
      <c r="CR322" s="567"/>
      <c r="CS322" s="567"/>
      <c r="CT322" s="567"/>
      <c r="CU322" s="567"/>
      <c r="CV322" s="567"/>
      <c r="CW322" s="567"/>
      <c r="CX322" s="567"/>
      <c r="CY322" s="567"/>
      <c r="CZ322" s="567"/>
      <c r="DA322" s="567"/>
      <c r="DB322" s="567"/>
      <c r="DC322" s="567"/>
      <c r="DD322" s="567"/>
      <c r="DE322" s="567"/>
      <c r="DF322" s="567"/>
      <c r="DG322" s="567"/>
      <c r="DH322" s="567"/>
      <c r="DI322" s="567"/>
      <c r="DJ322" s="567"/>
      <c r="DK322" s="567"/>
      <c r="DL322" s="567"/>
      <c r="DM322" s="567"/>
      <c r="DN322" s="567"/>
      <c r="DO322" s="567"/>
      <c r="DP322" s="567"/>
      <c r="DQ322" s="567"/>
      <c r="DR322" s="567"/>
      <c r="DS322" s="567"/>
      <c r="DT322" s="567"/>
      <c r="DU322" s="567"/>
      <c r="DV322" s="567"/>
      <c r="DW322" s="567"/>
      <c r="DX322" s="567"/>
      <c r="DY322" s="567"/>
      <c r="DZ322" s="567"/>
      <c r="EA322" s="567"/>
      <c r="EB322" s="567"/>
      <c r="EC322" s="567"/>
      <c r="ED322" s="567"/>
      <c r="EE322" s="567"/>
      <c r="EF322" s="567"/>
      <c r="EG322" s="567"/>
      <c r="EH322" s="567"/>
      <c r="EI322" s="567"/>
      <c r="EJ322" s="567"/>
      <c r="EK322" s="567"/>
      <c r="EL322" s="567"/>
      <c r="EM322" s="567"/>
      <c r="EN322" s="567"/>
      <c r="EO322" s="567"/>
      <c r="EP322" s="567"/>
      <c r="EQ322" s="567"/>
      <c r="ER322" s="567"/>
      <c r="ES322" s="567"/>
      <c r="ET322" s="567"/>
      <c r="EU322" s="567"/>
      <c r="EV322" s="567"/>
      <c r="EW322" s="567"/>
      <c r="EX322" s="567"/>
      <c r="EY322" s="567"/>
      <c r="EZ322" s="567"/>
      <c r="FA322" s="567"/>
      <c r="FB322" s="567"/>
      <c r="FC322" s="567"/>
      <c r="FD322" s="567"/>
      <c r="FE322" s="567"/>
      <c r="FF322" s="567"/>
      <c r="FG322" s="567"/>
      <c r="FH322" s="567"/>
      <c r="FI322" s="567"/>
      <c r="FJ322" s="567"/>
      <c r="FK322" s="567"/>
      <c r="FL322" s="567"/>
      <c r="FM322" s="567"/>
      <c r="FN322" s="567"/>
      <c r="FO322" s="567"/>
      <c r="FP322" s="567"/>
      <c r="FQ322" s="567"/>
      <c r="FR322" s="567"/>
      <c r="FS322" s="567"/>
      <c r="FT322" s="567"/>
      <c r="FU322" s="567"/>
      <c r="FV322" s="567"/>
      <c r="FW322" s="567"/>
      <c r="FX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  <c r="BW323" s="567"/>
      <c r="BX323" s="567"/>
      <c r="BY323" s="567"/>
      <c r="BZ323" s="567"/>
      <c r="CA323" s="567"/>
      <c r="CB323" s="567"/>
      <c r="CC323" s="567"/>
      <c r="CD323" s="567"/>
      <c r="CE323" s="567"/>
      <c r="CF323" s="567"/>
      <c r="CG323" s="567"/>
      <c r="CH323" s="567"/>
      <c r="CI323" s="567"/>
      <c r="CJ323" s="567"/>
      <c r="CK323" s="567"/>
      <c r="CL323" s="567"/>
      <c r="CM323" s="567"/>
      <c r="CN323" s="567"/>
      <c r="CO323" s="567"/>
      <c r="CP323" s="567"/>
      <c r="CQ323" s="567"/>
      <c r="CR323" s="567"/>
      <c r="CS323" s="567"/>
      <c r="CT323" s="567"/>
      <c r="CU323" s="567"/>
      <c r="CV323" s="567"/>
      <c r="CW323" s="567"/>
      <c r="CX323" s="567"/>
      <c r="CY323" s="567"/>
      <c r="CZ323" s="567"/>
      <c r="DA323" s="567"/>
      <c r="DB323" s="567"/>
      <c r="DC323" s="567"/>
      <c r="DD323" s="567"/>
      <c r="DE323" s="567"/>
      <c r="DF323" s="567"/>
      <c r="DG323" s="567"/>
      <c r="DH323" s="567"/>
      <c r="DI323" s="567"/>
      <c r="DJ323" s="567"/>
      <c r="DK323" s="567"/>
      <c r="DL323" s="567"/>
      <c r="DM323" s="567"/>
      <c r="DN323" s="567"/>
      <c r="DO323" s="567"/>
      <c r="DP323" s="567"/>
      <c r="DQ323" s="567"/>
      <c r="DR323" s="567"/>
      <c r="DS323" s="567"/>
      <c r="DT323" s="567"/>
      <c r="DU323" s="567"/>
      <c r="DV323" s="567"/>
      <c r="DW323" s="567"/>
      <c r="DX323" s="567"/>
      <c r="DY323" s="567"/>
      <c r="DZ323" s="567"/>
      <c r="EA323" s="567"/>
      <c r="EB323" s="567"/>
      <c r="EC323" s="567"/>
      <c r="ED323" s="567"/>
      <c r="EE323" s="567"/>
      <c r="EF323" s="567"/>
      <c r="EG323" s="567"/>
      <c r="EH323" s="567"/>
      <c r="EI323" s="567"/>
      <c r="EJ323" s="567"/>
      <c r="EK323" s="567"/>
      <c r="EL323" s="567"/>
      <c r="EM323" s="567"/>
      <c r="EN323" s="567"/>
      <c r="EO323" s="567"/>
      <c r="EP323" s="567"/>
      <c r="EQ323" s="567"/>
      <c r="ER323" s="567"/>
      <c r="ES323" s="567"/>
      <c r="ET323" s="567"/>
      <c r="EU323" s="567"/>
      <c r="EV323" s="567"/>
      <c r="EW323" s="567"/>
      <c r="EX323" s="567"/>
      <c r="EY323" s="567"/>
      <c r="EZ323" s="567"/>
      <c r="FA323" s="567"/>
      <c r="FB323" s="567"/>
      <c r="FC323" s="567"/>
      <c r="FD323" s="567"/>
      <c r="FE323" s="567"/>
      <c r="FF323" s="567"/>
      <c r="FG323" s="567"/>
      <c r="FH323" s="567"/>
      <c r="FI323" s="567"/>
      <c r="FJ323" s="567"/>
      <c r="FK323" s="567"/>
      <c r="FL323" s="567"/>
      <c r="FM323" s="567"/>
      <c r="FN323" s="567"/>
      <c r="FO323" s="567"/>
      <c r="FP323" s="567"/>
      <c r="FQ323" s="567"/>
      <c r="FR323" s="567"/>
      <c r="FS323" s="567"/>
      <c r="FT323" s="567"/>
      <c r="FU323" s="567"/>
      <c r="FV323" s="567"/>
      <c r="FW323" s="567"/>
      <c r="FX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  <c r="BW324" s="567"/>
      <c r="BX324" s="567"/>
      <c r="BY324" s="567"/>
      <c r="BZ324" s="567"/>
      <c r="CA324" s="567"/>
      <c r="CB324" s="567"/>
      <c r="CC324" s="567"/>
      <c r="CD324" s="567"/>
      <c r="CE324" s="567"/>
      <c r="CF324" s="567"/>
      <c r="CG324" s="567"/>
      <c r="CH324" s="567"/>
      <c r="CI324" s="567"/>
      <c r="CJ324" s="567"/>
      <c r="CK324" s="567"/>
      <c r="CL324" s="567"/>
      <c r="CM324" s="567"/>
      <c r="CN324" s="567"/>
      <c r="CO324" s="567"/>
      <c r="CP324" s="567"/>
      <c r="CQ324" s="567"/>
      <c r="CR324" s="567"/>
      <c r="CS324" s="567"/>
      <c r="CT324" s="567"/>
      <c r="CU324" s="567"/>
      <c r="CV324" s="567"/>
      <c r="CW324" s="567"/>
      <c r="CX324" s="567"/>
      <c r="CY324" s="567"/>
      <c r="CZ324" s="567"/>
      <c r="DA324" s="567"/>
      <c r="DB324" s="567"/>
      <c r="DC324" s="567"/>
      <c r="DD324" s="567"/>
      <c r="DE324" s="567"/>
      <c r="DF324" s="567"/>
      <c r="DG324" s="567"/>
      <c r="DH324" s="567"/>
      <c r="DI324" s="567"/>
      <c r="DJ324" s="567"/>
      <c r="DK324" s="567"/>
      <c r="DL324" s="567"/>
      <c r="DM324" s="567"/>
      <c r="DN324" s="567"/>
      <c r="DO324" s="567"/>
      <c r="DP324" s="567"/>
      <c r="DQ324" s="567"/>
      <c r="DR324" s="567"/>
      <c r="DS324" s="567"/>
      <c r="DT324" s="567"/>
      <c r="DU324" s="567"/>
      <c r="DV324" s="567"/>
      <c r="DW324" s="567"/>
      <c r="DX324" s="567"/>
      <c r="DY324" s="567"/>
      <c r="DZ324" s="567"/>
      <c r="EA324" s="567"/>
      <c r="EB324" s="567"/>
      <c r="EC324" s="567"/>
      <c r="ED324" s="567"/>
      <c r="EE324" s="567"/>
      <c r="EF324" s="567"/>
      <c r="EG324" s="567"/>
      <c r="EH324" s="567"/>
      <c r="EI324" s="567"/>
      <c r="EJ324" s="567"/>
      <c r="EK324" s="567"/>
      <c r="EL324" s="567"/>
      <c r="EM324" s="567"/>
      <c r="EN324" s="567"/>
      <c r="EO324" s="567"/>
      <c r="EP324" s="567"/>
      <c r="EQ324" s="567"/>
      <c r="ER324" s="567"/>
      <c r="ES324" s="567"/>
      <c r="ET324" s="567"/>
      <c r="EU324" s="567"/>
      <c r="EV324" s="567"/>
      <c r="EW324" s="567"/>
      <c r="EX324" s="567"/>
      <c r="EY324" s="567"/>
      <c r="EZ324" s="567"/>
      <c r="FA324" s="567"/>
      <c r="FB324" s="567"/>
      <c r="FC324" s="567"/>
      <c r="FD324" s="567"/>
      <c r="FE324" s="567"/>
      <c r="FF324" s="567"/>
      <c r="FG324" s="567"/>
      <c r="FH324" s="567"/>
      <c r="FI324" s="567"/>
      <c r="FJ324" s="567"/>
      <c r="FK324" s="567"/>
      <c r="FL324" s="567"/>
      <c r="FM324" s="567"/>
      <c r="FN324" s="567"/>
      <c r="FO324" s="567"/>
      <c r="FP324" s="567"/>
      <c r="FQ324" s="567"/>
      <c r="FR324" s="567"/>
      <c r="FS324" s="567"/>
      <c r="FT324" s="567"/>
      <c r="FU324" s="567"/>
      <c r="FV324" s="567"/>
      <c r="FW324" s="567"/>
      <c r="FX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  <c r="BW325" s="567"/>
      <c r="BX325" s="567"/>
      <c r="BY325" s="567"/>
      <c r="BZ325" s="567"/>
      <c r="CA325" s="567"/>
      <c r="CB325" s="567"/>
      <c r="CC325" s="567"/>
      <c r="CD325" s="567"/>
      <c r="CE325" s="567"/>
      <c r="CF325" s="567"/>
      <c r="CG325" s="567"/>
      <c r="CH325" s="567"/>
      <c r="CI325" s="567"/>
      <c r="CJ325" s="567"/>
      <c r="CK325" s="567"/>
      <c r="CL325" s="567"/>
      <c r="CM325" s="567"/>
      <c r="CN325" s="567"/>
      <c r="CO325" s="567"/>
      <c r="CP325" s="567"/>
      <c r="CQ325" s="567"/>
      <c r="CR325" s="567"/>
      <c r="CS325" s="567"/>
      <c r="CT325" s="567"/>
      <c r="CU325" s="567"/>
      <c r="CV325" s="567"/>
      <c r="CW325" s="567"/>
      <c r="CX325" s="567"/>
      <c r="CY325" s="567"/>
      <c r="CZ325" s="567"/>
      <c r="DA325" s="567"/>
      <c r="DB325" s="567"/>
      <c r="DC325" s="567"/>
      <c r="DD325" s="567"/>
      <c r="DE325" s="567"/>
      <c r="DF325" s="567"/>
      <c r="DG325" s="567"/>
      <c r="DH325" s="567"/>
      <c r="DI325" s="567"/>
      <c r="DJ325" s="567"/>
      <c r="DK325" s="567"/>
      <c r="DL325" s="567"/>
      <c r="DM325" s="567"/>
      <c r="DN325" s="567"/>
      <c r="DO325" s="567"/>
      <c r="DP325" s="567"/>
      <c r="DQ325" s="567"/>
      <c r="DR325" s="567"/>
      <c r="DS325" s="567"/>
      <c r="DT325" s="567"/>
      <c r="DU325" s="567"/>
      <c r="DV325" s="567"/>
      <c r="DW325" s="567"/>
      <c r="DX325" s="567"/>
      <c r="DY325" s="567"/>
      <c r="DZ325" s="567"/>
      <c r="EA325" s="567"/>
      <c r="EB325" s="567"/>
      <c r="EC325" s="567"/>
      <c r="ED325" s="567"/>
      <c r="EE325" s="567"/>
      <c r="EF325" s="567"/>
      <c r="EG325" s="567"/>
      <c r="EH325" s="567"/>
      <c r="EI325" s="567"/>
      <c r="EJ325" s="567"/>
      <c r="EK325" s="567"/>
      <c r="EL325" s="567"/>
      <c r="EM325" s="567"/>
      <c r="EN325" s="567"/>
      <c r="EO325" s="567"/>
      <c r="EP325" s="567"/>
      <c r="EQ325" s="567"/>
      <c r="ER325" s="567"/>
      <c r="ES325" s="567"/>
      <c r="ET325" s="567"/>
      <c r="EU325" s="567"/>
      <c r="EV325" s="567"/>
      <c r="EW325" s="567"/>
      <c r="EX325" s="567"/>
      <c r="EY325" s="567"/>
      <c r="EZ325" s="567"/>
      <c r="FA325" s="567"/>
      <c r="FB325" s="567"/>
      <c r="FC325" s="567"/>
      <c r="FD325" s="567"/>
      <c r="FE325" s="567"/>
      <c r="FF325" s="567"/>
      <c r="FG325" s="567"/>
      <c r="FH325" s="567"/>
      <c r="FI325" s="567"/>
      <c r="FJ325" s="567"/>
      <c r="FK325" s="567"/>
      <c r="FL325" s="567"/>
      <c r="FM325" s="567"/>
      <c r="FN325" s="567"/>
      <c r="FO325" s="567"/>
      <c r="FP325" s="567"/>
      <c r="FQ325" s="567"/>
      <c r="FR325" s="567"/>
      <c r="FS325" s="567"/>
      <c r="FT325" s="567"/>
      <c r="FU325" s="567"/>
      <c r="FV325" s="567"/>
      <c r="FW325" s="567"/>
      <c r="FX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  <c r="BW326" s="567"/>
      <c r="BX326" s="567"/>
      <c r="BY326" s="567"/>
      <c r="BZ326" s="567"/>
      <c r="CA326" s="567"/>
      <c r="CB326" s="567"/>
      <c r="CC326" s="567"/>
      <c r="CD326" s="567"/>
      <c r="CE326" s="567"/>
      <c r="CF326" s="567"/>
      <c r="CG326" s="567"/>
      <c r="CH326" s="567"/>
      <c r="CI326" s="567"/>
      <c r="CJ326" s="567"/>
      <c r="CK326" s="567"/>
      <c r="CL326" s="567"/>
      <c r="CM326" s="567"/>
      <c r="CN326" s="567"/>
      <c r="CO326" s="567"/>
      <c r="CP326" s="567"/>
      <c r="CQ326" s="567"/>
      <c r="CR326" s="567"/>
      <c r="CS326" s="567"/>
      <c r="CT326" s="567"/>
      <c r="CU326" s="567"/>
      <c r="CV326" s="567"/>
      <c r="CW326" s="567"/>
      <c r="CX326" s="567"/>
      <c r="CY326" s="567"/>
      <c r="CZ326" s="567"/>
      <c r="DA326" s="567"/>
      <c r="DB326" s="567"/>
      <c r="DC326" s="567"/>
      <c r="DD326" s="567"/>
      <c r="DE326" s="567"/>
      <c r="DF326" s="567"/>
      <c r="DG326" s="567"/>
      <c r="DH326" s="567"/>
      <c r="DI326" s="567"/>
      <c r="DJ326" s="567"/>
      <c r="DK326" s="567"/>
      <c r="DL326" s="567"/>
      <c r="DM326" s="567"/>
      <c r="DN326" s="567"/>
      <c r="DO326" s="567"/>
      <c r="DP326" s="567"/>
      <c r="DQ326" s="567"/>
      <c r="DR326" s="567"/>
      <c r="DS326" s="567"/>
      <c r="DT326" s="567"/>
      <c r="DU326" s="567"/>
      <c r="DV326" s="567"/>
      <c r="DW326" s="567"/>
      <c r="DX326" s="567"/>
      <c r="DY326" s="567"/>
      <c r="DZ326" s="567"/>
      <c r="EA326" s="567"/>
      <c r="EB326" s="567"/>
      <c r="EC326" s="567"/>
      <c r="ED326" s="567"/>
      <c r="EE326" s="567"/>
      <c r="EF326" s="567"/>
      <c r="EG326" s="567"/>
      <c r="EH326" s="567"/>
      <c r="EI326" s="567"/>
      <c r="EJ326" s="567"/>
      <c r="EK326" s="567"/>
      <c r="EL326" s="567"/>
      <c r="EM326" s="567"/>
      <c r="EN326" s="567"/>
      <c r="EO326" s="567"/>
      <c r="EP326" s="567"/>
      <c r="EQ326" s="567"/>
      <c r="ER326" s="567"/>
      <c r="ES326" s="567"/>
      <c r="ET326" s="567"/>
      <c r="EU326" s="567"/>
      <c r="EV326" s="567"/>
      <c r="EW326" s="567"/>
      <c r="EX326" s="567"/>
      <c r="EY326" s="567"/>
      <c r="EZ326" s="567"/>
      <c r="FA326" s="567"/>
      <c r="FB326" s="567"/>
      <c r="FC326" s="567"/>
      <c r="FD326" s="567"/>
      <c r="FE326" s="567"/>
      <c r="FF326" s="567"/>
      <c r="FG326" s="567"/>
      <c r="FH326" s="567"/>
      <c r="FI326" s="567"/>
      <c r="FJ326" s="567"/>
      <c r="FK326" s="567"/>
      <c r="FL326" s="567"/>
      <c r="FM326" s="567"/>
      <c r="FN326" s="567"/>
      <c r="FO326" s="567"/>
      <c r="FP326" s="567"/>
      <c r="FQ326" s="567"/>
      <c r="FR326" s="567"/>
      <c r="FS326" s="567"/>
      <c r="FT326" s="567"/>
      <c r="FU326" s="567"/>
      <c r="FV326" s="567"/>
      <c r="FW326" s="567"/>
      <c r="FX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  <c r="BW327" s="567"/>
      <c r="BX327" s="567"/>
      <c r="BY327" s="567"/>
      <c r="BZ327" s="567"/>
      <c r="CA327" s="567"/>
      <c r="CB327" s="567"/>
      <c r="CC327" s="567"/>
      <c r="CD327" s="567"/>
      <c r="CE327" s="567"/>
      <c r="CF327" s="567"/>
      <c r="CG327" s="567"/>
      <c r="CH327" s="567"/>
      <c r="CI327" s="567"/>
      <c r="CJ327" s="567"/>
      <c r="CK327" s="567"/>
      <c r="CL327" s="567"/>
      <c r="CM327" s="567"/>
      <c r="CN327" s="567"/>
      <c r="CO327" s="567"/>
      <c r="CP327" s="567"/>
      <c r="CQ327" s="567"/>
      <c r="CR327" s="567"/>
      <c r="CS327" s="567"/>
      <c r="CT327" s="567"/>
      <c r="CU327" s="567"/>
      <c r="CV327" s="567"/>
      <c r="CW327" s="567"/>
      <c r="CX327" s="567"/>
      <c r="CY327" s="567"/>
      <c r="CZ327" s="567"/>
      <c r="DA327" s="567"/>
      <c r="DB327" s="567"/>
      <c r="DC327" s="567"/>
      <c r="DD327" s="567"/>
      <c r="DE327" s="567"/>
      <c r="DF327" s="567"/>
      <c r="DG327" s="567"/>
      <c r="DH327" s="567"/>
      <c r="DI327" s="567"/>
      <c r="DJ327" s="567"/>
      <c r="DK327" s="567"/>
      <c r="DL327" s="567"/>
      <c r="DM327" s="567"/>
      <c r="DN327" s="567"/>
      <c r="DO327" s="567"/>
      <c r="DP327" s="567"/>
      <c r="DQ327" s="567"/>
      <c r="DR327" s="567"/>
      <c r="DS327" s="567"/>
      <c r="DT327" s="567"/>
      <c r="DU327" s="567"/>
      <c r="DV327" s="567"/>
      <c r="DW327" s="567"/>
      <c r="DX327" s="567"/>
      <c r="DY327" s="567"/>
      <c r="DZ327" s="567"/>
      <c r="EA327" s="567"/>
      <c r="EB327" s="567"/>
      <c r="EC327" s="567"/>
      <c r="ED327" s="567"/>
      <c r="EE327" s="567"/>
      <c r="EF327" s="567"/>
      <c r="EG327" s="567"/>
      <c r="EH327" s="567"/>
      <c r="EI327" s="567"/>
      <c r="EJ327" s="567"/>
      <c r="EK327" s="567"/>
      <c r="EL327" s="567"/>
      <c r="EM327" s="567"/>
      <c r="EN327" s="567"/>
      <c r="EO327" s="567"/>
      <c r="EP327" s="567"/>
      <c r="EQ327" s="567"/>
      <c r="ER327" s="567"/>
      <c r="ES327" s="567"/>
      <c r="ET327" s="567"/>
      <c r="EU327" s="567"/>
      <c r="EV327" s="567"/>
      <c r="EW327" s="567"/>
      <c r="EX327" s="567"/>
      <c r="EY327" s="567"/>
      <c r="EZ327" s="567"/>
      <c r="FA327" s="567"/>
      <c r="FB327" s="567"/>
      <c r="FC327" s="567"/>
      <c r="FD327" s="567"/>
      <c r="FE327" s="567"/>
      <c r="FF327" s="567"/>
      <c r="FG327" s="567"/>
      <c r="FH327" s="567"/>
      <c r="FI327" s="567"/>
      <c r="FJ327" s="567"/>
      <c r="FK327" s="567"/>
      <c r="FL327" s="567"/>
      <c r="FM327" s="567"/>
      <c r="FN327" s="567"/>
      <c r="FO327" s="567"/>
      <c r="FP327" s="567"/>
      <c r="FQ327" s="567"/>
      <c r="FR327" s="567"/>
      <c r="FS327" s="567"/>
      <c r="FT327" s="567"/>
      <c r="FU327" s="567"/>
      <c r="FV327" s="567"/>
      <c r="FW327" s="567"/>
      <c r="FX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  <c r="BW328" s="567"/>
      <c r="BX328" s="567"/>
      <c r="BY328" s="567"/>
      <c r="BZ328" s="567"/>
      <c r="CA328" s="567"/>
      <c r="CB328" s="567"/>
      <c r="CC328" s="567"/>
      <c r="CD328" s="567"/>
      <c r="CE328" s="567"/>
      <c r="CF328" s="567"/>
      <c r="CG328" s="567"/>
      <c r="CH328" s="567"/>
      <c r="CI328" s="567"/>
      <c r="CJ328" s="567"/>
      <c r="CK328" s="567"/>
      <c r="CL328" s="567"/>
      <c r="CM328" s="567"/>
      <c r="CN328" s="567"/>
      <c r="CO328" s="567"/>
      <c r="CP328" s="567"/>
      <c r="CQ328" s="567"/>
      <c r="CR328" s="567"/>
      <c r="CS328" s="567"/>
      <c r="CT328" s="567"/>
      <c r="CU328" s="567"/>
      <c r="CV328" s="567"/>
      <c r="CW328" s="567"/>
      <c r="CX328" s="567"/>
      <c r="CY328" s="567"/>
      <c r="CZ328" s="567"/>
      <c r="DA328" s="567"/>
      <c r="DB328" s="567"/>
      <c r="DC328" s="567"/>
      <c r="DD328" s="567"/>
      <c r="DE328" s="567"/>
      <c r="DF328" s="567"/>
      <c r="DG328" s="567"/>
      <c r="DH328" s="567"/>
      <c r="DI328" s="567"/>
      <c r="DJ328" s="567"/>
      <c r="DK328" s="567"/>
      <c r="DL328" s="567"/>
      <c r="DM328" s="567"/>
      <c r="DN328" s="567"/>
      <c r="DO328" s="567"/>
      <c r="DP328" s="567"/>
      <c r="DQ328" s="567"/>
      <c r="DR328" s="567"/>
      <c r="DS328" s="567"/>
      <c r="DT328" s="567"/>
      <c r="DU328" s="567"/>
      <c r="DV328" s="567"/>
      <c r="DW328" s="567"/>
      <c r="DX328" s="567"/>
      <c r="DY328" s="567"/>
      <c r="DZ328" s="567"/>
      <c r="EA328" s="567"/>
      <c r="EB328" s="567"/>
      <c r="EC328" s="567"/>
      <c r="ED328" s="567"/>
      <c r="EE328" s="567"/>
      <c r="EF328" s="567"/>
      <c r="EG328" s="567"/>
      <c r="EH328" s="567"/>
      <c r="EI328" s="567"/>
      <c r="EJ328" s="567"/>
      <c r="EK328" s="567"/>
      <c r="EL328" s="567"/>
      <c r="EM328" s="567"/>
      <c r="EN328" s="567"/>
      <c r="EO328" s="567"/>
      <c r="EP328" s="567"/>
      <c r="EQ328" s="567"/>
      <c r="ER328" s="567"/>
      <c r="ES328" s="567"/>
      <c r="ET328" s="567"/>
      <c r="EU328" s="567"/>
      <c r="EV328" s="567"/>
      <c r="EW328" s="567"/>
      <c r="EX328" s="567"/>
      <c r="EY328" s="567"/>
      <c r="EZ328" s="567"/>
      <c r="FA328" s="567"/>
      <c r="FB328" s="567"/>
      <c r="FC328" s="567"/>
      <c r="FD328" s="567"/>
      <c r="FE328" s="567"/>
      <c r="FF328" s="567"/>
      <c r="FG328" s="567"/>
      <c r="FH328" s="567"/>
      <c r="FI328" s="567"/>
      <c r="FJ328" s="567"/>
      <c r="FK328" s="567"/>
      <c r="FL328" s="567"/>
      <c r="FM328" s="567"/>
      <c r="FN328" s="567"/>
      <c r="FO328" s="567"/>
      <c r="FP328" s="567"/>
      <c r="FQ328" s="567"/>
      <c r="FR328" s="567"/>
      <c r="FS328" s="567"/>
      <c r="FT328" s="567"/>
      <c r="FU328" s="567"/>
      <c r="FV328" s="567"/>
      <c r="FW328" s="567"/>
      <c r="FX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  <c r="BW329" s="567"/>
      <c r="BX329" s="567"/>
      <c r="BY329" s="567"/>
      <c r="BZ329" s="567"/>
      <c r="CA329" s="567"/>
      <c r="CB329" s="567"/>
      <c r="CC329" s="567"/>
      <c r="CD329" s="567"/>
      <c r="CE329" s="567"/>
      <c r="CF329" s="567"/>
      <c r="CG329" s="567"/>
      <c r="CH329" s="567"/>
      <c r="CI329" s="567"/>
      <c r="CJ329" s="567"/>
      <c r="CK329" s="567"/>
      <c r="CL329" s="567"/>
      <c r="CM329" s="567"/>
      <c r="CN329" s="567"/>
      <c r="CO329" s="567"/>
      <c r="CP329" s="567"/>
      <c r="CQ329" s="567"/>
      <c r="CR329" s="567"/>
      <c r="CS329" s="567"/>
      <c r="CT329" s="567"/>
      <c r="CU329" s="567"/>
      <c r="CV329" s="567"/>
      <c r="CW329" s="567"/>
      <c r="CX329" s="567"/>
      <c r="CY329" s="567"/>
      <c r="CZ329" s="567"/>
      <c r="DA329" s="567"/>
      <c r="DB329" s="567"/>
      <c r="DC329" s="567"/>
      <c r="DD329" s="567"/>
      <c r="DE329" s="567"/>
      <c r="DF329" s="567"/>
      <c r="DG329" s="567"/>
      <c r="DH329" s="567"/>
      <c r="DI329" s="567"/>
      <c r="DJ329" s="567"/>
      <c r="DK329" s="567"/>
      <c r="DL329" s="567"/>
      <c r="DM329" s="567"/>
      <c r="DN329" s="567"/>
      <c r="DO329" s="567"/>
      <c r="DP329" s="567"/>
      <c r="DQ329" s="567"/>
      <c r="DR329" s="567"/>
      <c r="DS329" s="567"/>
      <c r="DT329" s="567"/>
      <c r="DU329" s="567"/>
      <c r="DV329" s="567"/>
      <c r="DW329" s="567"/>
      <c r="DX329" s="567"/>
      <c r="DY329" s="567"/>
      <c r="DZ329" s="567"/>
      <c r="EA329" s="567"/>
      <c r="EB329" s="567"/>
      <c r="EC329" s="567"/>
      <c r="ED329" s="567"/>
      <c r="EE329" s="567"/>
      <c r="EF329" s="567"/>
      <c r="EG329" s="567"/>
      <c r="EH329" s="567"/>
      <c r="EI329" s="567"/>
      <c r="EJ329" s="567"/>
      <c r="EK329" s="567"/>
      <c r="EL329" s="567"/>
      <c r="EM329" s="567"/>
      <c r="EN329" s="567"/>
      <c r="EO329" s="567"/>
      <c r="EP329" s="567"/>
      <c r="EQ329" s="567"/>
      <c r="ER329" s="567"/>
      <c r="ES329" s="567"/>
      <c r="ET329" s="567"/>
      <c r="EU329" s="567"/>
      <c r="EV329" s="567"/>
      <c r="EW329" s="567"/>
      <c r="EX329" s="567"/>
      <c r="EY329" s="567"/>
      <c r="EZ329" s="567"/>
      <c r="FA329" s="567"/>
      <c r="FB329" s="567"/>
      <c r="FC329" s="567"/>
      <c r="FD329" s="567"/>
      <c r="FE329" s="567"/>
      <c r="FF329" s="567"/>
      <c r="FG329" s="567"/>
      <c r="FH329" s="567"/>
      <c r="FI329" s="567"/>
      <c r="FJ329" s="567"/>
      <c r="FK329" s="567"/>
      <c r="FL329" s="567"/>
      <c r="FM329" s="567"/>
      <c r="FN329" s="567"/>
      <c r="FO329" s="567"/>
      <c r="FP329" s="567"/>
      <c r="FQ329" s="567"/>
      <c r="FR329" s="567"/>
      <c r="FS329" s="567"/>
      <c r="FT329" s="567"/>
      <c r="FU329" s="567"/>
      <c r="FV329" s="567"/>
      <c r="FW329" s="567"/>
      <c r="FX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  <c r="BW330" s="567"/>
      <c r="BX330" s="567"/>
      <c r="BY330" s="567"/>
      <c r="BZ330" s="567"/>
      <c r="CA330" s="567"/>
      <c r="CB330" s="567"/>
      <c r="CC330" s="567"/>
      <c r="CD330" s="567"/>
      <c r="CE330" s="567"/>
      <c r="CF330" s="567"/>
      <c r="CG330" s="567"/>
      <c r="CH330" s="567"/>
      <c r="CI330" s="567"/>
      <c r="CJ330" s="567"/>
      <c r="CK330" s="567"/>
      <c r="CL330" s="567"/>
      <c r="CM330" s="567"/>
      <c r="CN330" s="567"/>
      <c r="CO330" s="567"/>
      <c r="CP330" s="567"/>
      <c r="CQ330" s="567"/>
      <c r="CR330" s="567"/>
      <c r="CS330" s="567"/>
      <c r="CT330" s="567"/>
      <c r="CU330" s="567"/>
      <c r="CV330" s="567"/>
      <c r="CW330" s="567"/>
      <c r="CX330" s="567"/>
      <c r="CY330" s="567"/>
      <c r="CZ330" s="567"/>
      <c r="DA330" s="567"/>
      <c r="DB330" s="567"/>
      <c r="DC330" s="567"/>
      <c r="DD330" s="567"/>
      <c r="DE330" s="567"/>
      <c r="DF330" s="567"/>
      <c r="DG330" s="567"/>
      <c r="DH330" s="567"/>
      <c r="DI330" s="567"/>
      <c r="DJ330" s="567"/>
      <c r="DK330" s="567"/>
      <c r="DL330" s="567"/>
      <c r="DM330" s="567"/>
      <c r="DN330" s="567"/>
      <c r="DO330" s="567"/>
      <c r="DP330" s="567"/>
      <c r="DQ330" s="567"/>
      <c r="DR330" s="567"/>
      <c r="DS330" s="567"/>
      <c r="DT330" s="567"/>
      <c r="DU330" s="567"/>
      <c r="DV330" s="567"/>
      <c r="DW330" s="567"/>
      <c r="DX330" s="567"/>
      <c r="DY330" s="567"/>
      <c r="DZ330" s="567"/>
      <c r="EA330" s="567"/>
      <c r="EB330" s="567"/>
      <c r="EC330" s="567"/>
      <c r="ED330" s="567"/>
      <c r="EE330" s="567"/>
      <c r="EF330" s="567"/>
      <c r="EG330" s="567"/>
      <c r="EH330" s="567"/>
      <c r="EI330" s="567"/>
      <c r="EJ330" s="567"/>
      <c r="EK330" s="567"/>
      <c r="EL330" s="567"/>
      <c r="EM330" s="567"/>
      <c r="EN330" s="567"/>
      <c r="EO330" s="567"/>
      <c r="EP330" s="567"/>
      <c r="EQ330" s="567"/>
      <c r="ER330" s="567"/>
      <c r="ES330" s="567"/>
      <c r="ET330" s="567"/>
      <c r="EU330" s="567"/>
      <c r="EV330" s="567"/>
      <c r="EW330" s="567"/>
      <c r="EX330" s="567"/>
      <c r="EY330" s="567"/>
      <c r="EZ330" s="567"/>
      <c r="FA330" s="567"/>
      <c r="FB330" s="567"/>
      <c r="FC330" s="567"/>
      <c r="FD330" s="567"/>
      <c r="FE330" s="567"/>
      <c r="FF330" s="567"/>
      <c r="FG330" s="567"/>
      <c r="FH330" s="567"/>
      <c r="FI330" s="567"/>
      <c r="FJ330" s="567"/>
      <c r="FK330" s="567"/>
      <c r="FL330" s="567"/>
      <c r="FM330" s="567"/>
      <c r="FN330" s="567"/>
      <c r="FO330" s="567"/>
      <c r="FP330" s="567"/>
      <c r="FQ330" s="567"/>
      <c r="FR330" s="567"/>
      <c r="FS330" s="567"/>
      <c r="FT330" s="567"/>
      <c r="FU330" s="567"/>
      <c r="FV330" s="567"/>
      <c r="FW330" s="567"/>
      <c r="FX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  <c r="BW331" s="567"/>
      <c r="BX331" s="567"/>
      <c r="BY331" s="567"/>
      <c r="BZ331" s="567"/>
      <c r="CA331" s="567"/>
      <c r="CB331" s="567"/>
      <c r="CC331" s="567"/>
      <c r="CD331" s="567"/>
      <c r="CE331" s="567"/>
      <c r="CF331" s="567"/>
      <c r="CG331" s="567"/>
      <c r="CH331" s="567"/>
      <c r="CI331" s="567"/>
      <c r="CJ331" s="567"/>
      <c r="CK331" s="567"/>
      <c r="CL331" s="567"/>
      <c r="CM331" s="567"/>
      <c r="CN331" s="567"/>
      <c r="CO331" s="567"/>
      <c r="CP331" s="567"/>
      <c r="CQ331" s="567"/>
      <c r="CR331" s="567"/>
      <c r="CS331" s="567"/>
      <c r="CT331" s="567"/>
      <c r="CU331" s="567"/>
      <c r="CV331" s="567"/>
      <c r="CW331" s="567"/>
      <c r="CX331" s="567"/>
      <c r="CY331" s="567"/>
      <c r="CZ331" s="567"/>
      <c r="DA331" s="567"/>
      <c r="DB331" s="567"/>
      <c r="DC331" s="567"/>
      <c r="DD331" s="567"/>
      <c r="DE331" s="567"/>
      <c r="DF331" s="567"/>
      <c r="DG331" s="567"/>
      <c r="DH331" s="567"/>
      <c r="DI331" s="567"/>
      <c r="DJ331" s="567"/>
      <c r="DK331" s="567"/>
      <c r="DL331" s="567"/>
      <c r="DM331" s="567"/>
      <c r="DN331" s="567"/>
      <c r="DO331" s="567"/>
      <c r="DP331" s="567"/>
      <c r="DQ331" s="567"/>
      <c r="DR331" s="567"/>
      <c r="DS331" s="567"/>
      <c r="DT331" s="567"/>
      <c r="DU331" s="567"/>
      <c r="DV331" s="567"/>
      <c r="DW331" s="567"/>
      <c r="DX331" s="567"/>
      <c r="DY331" s="567"/>
      <c r="DZ331" s="567"/>
      <c r="EA331" s="567"/>
      <c r="EB331" s="567"/>
      <c r="EC331" s="567"/>
      <c r="ED331" s="567"/>
      <c r="EE331" s="567"/>
      <c r="EF331" s="567"/>
      <c r="EG331" s="567"/>
      <c r="EH331" s="567"/>
      <c r="EI331" s="567"/>
      <c r="EJ331" s="567"/>
      <c r="EK331" s="567"/>
      <c r="EL331" s="567"/>
      <c r="EM331" s="567"/>
      <c r="EN331" s="567"/>
      <c r="EO331" s="567"/>
      <c r="EP331" s="567"/>
      <c r="EQ331" s="567"/>
      <c r="ER331" s="567"/>
      <c r="ES331" s="567"/>
      <c r="ET331" s="567"/>
      <c r="EU331" s="567"/>
      <c r="EV331" s="567"/>
      <c r="EW331" s="567"/>
      <c r="EX331" s="567"/>
      <c r="EY331" s="567"/>
      <c r="EZ331" s="567"/>
      <c r="FA331" s="567"/>
      <c r="FB331" s="567"/>
      <c r="FC331" s="567"/>
      <c r="FD331" s="567"/>
      <c r="FE331" s="567"/>
      <c r="FF331" s="567"/>
      <c r="FG331" s="567"/>
      <c r="FH331" s="567"/>
      <c r="FI331" s="567"/>
      <c r="FJ331" s="567"/>
      <c r="FK331" s="567"/>
      <c r="FL331" s="567"/>
      <c r="FM331" s="567"/>
      <c r="FN331" s="567"/>
      <c r="FO331" s="567"/>
      <c r="FP331" s="567"/>
      <c r="FQ331" s="567"/>
      <c r="FR331" s="567"/>
      <c r="FS331" s="567"/>
      <c r="FT331" s="567"/>
      <c r="FU331" s="567"/>
      <c r="FV331" s="567"/>
      <c r="FW331" s="567"/>
      <c r="FX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  <c r="BW332" s="567"/>
      <c r="BX332" s="567"/>
      <c r="BY332" s="567"/>
      <c r="BZ332" s="567"/>
      <c r="CA332" s="567"/>
      <c r="CB332" s="567"/>
      <c r="CC332" s="567"/>
      <c r="CD332" s="567"/>
      <c r="CE332" s="567"/>
      <c r="CF332" s="567"/>
      <c r="CG332" s="567"/>
      <c r="CH332" s="567"/>
      <c r="CI332" s="567"/>
      <c r="CJ332" s="567"/>
      <c r="CK332" s="567"/>
      <c r="CL332" s="567"/>
      <c r="CM332" s="567"/>
      <c r="CN332" s="567"/>
      <c r="CO332" s="567"/>
      <c r="CP332" s="567"/>
      <c r="CQ332" s="567"/>
      <c r="CR332" s="567"/>
      <c r="CS332" s="567"/>
      <c r="CT332" s="567"/>
      <c r="CU332" s="567"/>
      <c r="CV332" s="567"/>
      <c r="CW332" s="567"/>
      <c r="CX332" s="567"/>
      <c r="CY332" s="567"/>
      <c r="CZ332" s="567"/>
      <c r="DA332" s="567"/>
      <c r="DB332" s="567"/>
      <c r="DC332" s="567"/>
      <c r="DD332" s="567"/>
      <c r="DE332" s="567"/>
      <c r="DF332" s="567"/>
      <c r="DG332" s="567"/>
      <c r="DH332" s="567"/>
      <c r="DI332" s="567"/>
      <c r="DJ332" s="567"/>
      <c r="DK332" s="567"/>
      <c r="DL332" s="567"/>
      <c r="DM332" s="567"/>
      <c r="DN332" s="567"/>
      <c r="DO332" s="567"/>
      <c r="DP332" s="567"/>
      <c r="DQ332" s="567"/>
      <c r="DR332" s="567"/>
      <c r="DS332" s="567"/>
      <c r="DT332" s="567"/>
      <c r="DU332" s="567"/>
      <c r="DV332" s="567"/>
      <c r="DW332" s="567"/>
      <c r="DX332" s="567"/>
      <c r="DY332" s="567"/>
      <c r="DZ332" s="567"/>
      <c r="EA332" s="567"/>
      <c r="EB332" s="567"/>
      <c r="EC332" s="567"/>
      <c r="ED332" s="567"/>
      <c r="EE332" s="567"/>
      <c r="EF332" s="567"/>
      <c r="EG332" s="567"/>
      <c r="EH332" s="567"/>
      <c r="EI332" s="567"/>
      <c r="EJ332" s="567"/>
      <c r="EK332" s="567"/>
      <c r="EL332" s="567"/>
      <c r="EM332" s="567"/>
      <c r="EN332" s="567"/>
      <c r="EO332" s="567"/>
      <c r="EP332" s="567"/>
      <c r="EQ332" s="567"/>
      <c r="ER332" s="567"/>
      <c r="ES332" s="567"/>
      <c r="ET332" s="567"/>
      <c r="EU332" s="567"/>
      <c r="EV332" s="567"/>
      <c r="EW332" s="567"/>
      <c r="EX332" s="567"/>
      <c r="EY332" s="567"/>
      <c r="EZ332" s="567"/>
      <c r="FA332" s="567"/>
      <c r="FB332" s="567"/>
      <c r="FC332" s="567"/>
      <c r="FD332" s="567"/>
      <c r="FE332" s="567"/>
      <c r="FF332" s="567"/>
      <c r="FG332" s="567"/>
      <c r="FH332" s="567"/>
      <c r="FI332" s="567"/>
      <c r="FJ332" s="567"/>
      <c r="FK332" s="567"/>
      <c r="FL332" s="567"/>
      <c r="FM332" s="567"/>
      <c r="FN332" s="567"/>
      <c r="FO332" s="567"/>
      <c r="FP332" s="567"/>
      <c r="FQ332" s="567"/>
      <c r="FR332" s="567"/>
      <c r="FS332" s="567"/>
      <c r="FT332" s="567"/>
      <c r="FU332" s="567"/>
      <c r="FV332" s="567"/>
      <c r="FW332" s="567"/>
      <c r="FX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  <c r="BW333" s="567"/>
      <c r="BX333" s="567"/>
      <c r="BY333" s="567"/>
      <c r="BZ333" s="567"/>
      <c r="CA333" s="567"/>
      <c r="CB333" s="567"/>
      <c r="CC333" s="567"/>
      <c r="CD333" s="567"/>
      <c r="CE333" s="567"/>
      <c r="CF333" s="567"/>
      <c r="CG333" s="567"/>
      <c r="CH333" s="567"/>
      <c r="CI333" s="567"/>
      <c r="CJ333" s="567"/>
      <c r="CK333" s="567"/>
      <c r="CL333" s="567"/>
      <c r="CM333" s="567"/>
      <c r="CN333" s="567"/>
      <c r="CO333" s="567"/>
      <c r="CP333" s="567"/>
      <c r="CQ333" s="567"/>
      <c r="CR333" s="567"/>
      <c r="CS333" s="567"/>
      <c r="CT333" s="567"/>
      <c r="CU333" s="567"/>
      <c r="CV333" s="567"/>
      <c r="CW333" s="567"/>
      <c r="CX333" s="567"/>
      <c r="CY333" s="567"/>
      <c r="CZ333" s="567"/>
      <c r="DA333" s="567"/>
      <c r="DB333" s="567"/>
      <c r="DC333" s="567"/>
      <c r="DD333" s="567"/>
      <c r="DE333" s="567"/>
      <c r="DF333" s="567"/>
      <c r="DG333" s="567"/>
      <c r="DH333" s="567"/>
      <c r="DI333" s="567"/>
      <c r="DJ333" s="567"/>
      <c r="DK333" s="567"/>
      <c r="DL333" s="567"/>
      <c r="DM333" s="567"/>
      <c r="DN333" s="567"/>
      <c r="DO333" s="567"/>
      <c r="DP333" s="567"/>
      <c r="DQ333" s="567"/>
      <c r="DR333" s="567"/>
      <c r="DS333" s="567"/>
      <c r="DT333" s="567"/>
      <c r="DU333" s="567"/>
      <c r="DV333" s="567"/>
      <c r="DW333" s="567"/>
      <c r="DX333" s="567"/>
      <c r="DY333" s="567"/>
      <c r="DZ333" s="567"/>
      <c r="EA333" s="567"/>
      <c r="EB333" s="567"/>
      <c r="EC333" s="567"/>
      <c r="ED333" s="567"/>
      <c r="EE333" s="567"/>
      <c r="EF333" s="567"/>
      <c r="EG333" s="567"/>
      <c r="EH333" s="567"/>
      <c r="EI333" s="567"/>
      <c r="EJ333" s="567"/>
      <c r="EK333" s="567"/>
      <c r="EL333" s="567"/>
      <c r="EM333" s="567"/>
      <c r="EN333" s="567"/>
      <c r="EO333" s="567"/>
      <c r="EP333" s="567"/>
      <c r="EQ333" s="567"/>
      <c r="ER333" s="567"/>
      <c r="ES333" s="567"/>
      <c r="ET333" s="567"/>
      <c r="EU333" s="567"/>
      <c r="EV333" s="567"/>
      <c r="EW333" s="567"/>
      <c r="EX333" s="567"/>
      <c r="EY333" s="567"/>
      <c r="EZ333" s="567"/>
      <c r="FA333" s="567"/>
      <c r="FB333" s="567"/>
      <c r="FC333" s="567"/>
      <c r="FD333" s="567"/>
      <c r="FE333" s="567"/>
      <c r="FF333" s="567"/>
      <c r="FG333" s="567"/>
      <c r="FH333" s="567"/>
      <c r="FI333" s="567"/>
      <c r="FJ333" s="567"/>
      <c r="FK333" s="567"/>
      <c r="FL333" s="567"/>
      <c r="FM333" s="567"/>
      <c r="FN333" s="567"/>
      <c r="FO333" s="567"/>
      <c r="FP333" s="567"/>
      <c r="FQ333" s="567"/>
      <c r="FR333" s="567"/>
      <c r="FS333" s="567"/>
      <c r="FT333" s="567"/>
      <c r="FU333" s="567"/>
      <c r="FV333" s="567"/>
      <c r="FW333" s="567"/>
      <c r="FX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  <c r="BW334" s="567"/>
      <c r="BX334" s="567"/>
      <c r="BY334" s="567"/>
      <c r="BZ334" s="567"/>
      <c r="CA334" s="567"/>
      <c r="CB334" s="567"/>
      <c r="CC334" s="567"/>
      <c r="CD334" s="567"/>
      <c r="CE334" s="567"/>
      <c r="CF334" s="567"/>
      <c r="CG334" s="567"/>
      <c r="CH334" s="567"/>
      <c r="CI334" s="567"/>
      <c r="CJ334" s="567"/>
      <c r="CK334" s="567"/>
      <c r="CL334" s="567"/>
      <c r="CM334" s="567"/>
      <c r="CN334" s="567"/>
      <c r="CO334" s="567"/>
      <c r="CP334" s="567"/>
      <c r="CQ334" s="567"/>
      <c r="CR334" s="567"/>
      <c r="CS334" s="567"/>
      <c r="CT334" s="567"/>
      <c r="CU334" s="567"/>
      <c r="CV334" s="567"/>
      <c r="CW334" s="567"/>
      <c r="CX334" s="567"/>
      <c r="CY334" s="567"/>
      <c r="CZ334" s="567"/>
      <c r="DA334" s="567"/>
      <c r="DB334" s="567"/>
      <c r="DC334" s="567"/>
      <c r="DD334" s="567"/>
      <c r="DE334" s="567"/>
      <c r="DF334" s="567"/>
      <c r="DG334" s="567"/>
      <c r="DH334" s="567"/>
      <c r="DI334" s="567"/>
      <c r="DJ334" s="567"/>
      <c r="DK334" s="567"/>
      <c r="DL334" s="567"/>
      <c r="DM334" s="567"/>
      <c r="DN334" s="567"/>
      <c r="DO334" s="567"/>
      <c r="DP334" s="567"/>
      <c r="DQ334" s="567"/>
      <c r="DR334" s="567"/>
      <c r="DS334" s="567"/>
      <c r="DT334" s="567"/>
      <c r="DU334" s="567"/>
      <c r="DV334" s="567"/>
      <c r="DW334" s="567"/>
      <c r="DX334" s="567"/>
      <c r="DY334" s="567"/>
      <c r="DZ334" s="567"/>
      <c r="EA334" s="567"/>
      <c r="EB334" s="567"/>
      <c r="EC334" s="567"/>
      <c r="ED334" s="567"/>
      <c r="EE334" s="567"/>
      <c r="EF334" s="567"/>
      <c r="EG334" s="567"/>
      <c r="EH334" s="567"/>
      <c r="EI334" s="567"/>
      <c r="EJ334" s="567"/>
      <c r="EK334" s="567"/>
      <c r="EL334" s="567"/>
      <c r="EM334" s="567"/>
      <c r="EN334" s="567"/>
      <c r="EO334" s="567"/>
      <c r="EP334" s="567"/>
      <c r="EQ334" s="567"/>
      <c r="ER334" s="567"/>
      <c r="ES334" s="567"/>
      <c r="ET334" s="567"/>
      <c r="EU334" s="567"/>
      <c r="EV334" s="567"/>
      <c r="EW334" s="567"/>
      <c r="EX334" s="567"/>
      <c r="EY334" s="567"/>
      <c r="EZ334" s="567"/>
      <c r="FA334" s="567"/>
      <c r="FB334" s="567"/>
      <c r="FC334" s="567"/>
      <c r="FD334" s="567"/>
      <c r="FE334" s="567"/>
      <c r="FF334" s="567"/>
      <c r="FG334" s="567"/>
      <c r="FH334" s="567"/>
      <c r="FI334" s="567"/>
      <c r="FJ334" s="567"/>
      <c r="FK334" s="567"/>
      <c r="FL334" s="567"/>
      <c r="FM334" s="567"/>
      <c r="FN334" s="567"/>
      <c r="FO334" s="567"/>
      <c r="FP334" s="567"/>
      <c r="FQ334" s="567"/>
      <c r="FR334" s="567"/>
      <c r="FS334" s="567"/>
      <c r="FT334" s="567"/>
      <c r="FU334" s="567"/>
      <c r="FV334" s="567"/>
      <c r="FW334" s="567"/>
      <c r="FX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  <c r="BW335" s="567"/>
      <c r="BX335" s="567"/>
      <c r="BY335" s="567"/>
      <c r="BZ335" s="567"/>
      <c r="CA335" s="567"/>
      <c r="CB335" s="567"/>
      <c r="CC335" s="567"/>
      <c r="CD335" s="567"/>
      <c r="CE335" s="567"/>
      <c r="CF335" s="567"/>
      <c r="CG335" s="567"/>
      <c r="CH335" s="567"/>
      <c r="CI335" s="567"/>
      <c r="CJ335" s="567"/>
      <c r="CK335" s="567"/>
      <c r="CL335" s="567"/>
      <c r="CM335" s="567"/>
      <c r="CN335" s="567"/>
      <c r="CO335" s="567"/>
      <c r="CP335" s="567"/>
      <c r="CQ335" s="567"/>
      <c r="CR335" s="567"/>
      <c r="CS335" s="567"/>
      <c r="CT335" s="567"/>
      <c r="CU335" s="567"/>
      <c r="CV335" s="567"/>
      <c r="CW335" s="567"/>
      <c r="CX335" s="567"/>
      <c r="CY335" s="567"/>
      <c r="CZ335" s="567"/>
      <c r="DA335" s="567"/>
      <c r="DB335" s="567"/>
      <c r="DC335" s="567"/>
      <c r="DD335" s="567"/>
      <c r="DE335" s="567"/>
      <c r="DF335" s="567"/>
      <c r="DG335" s="567"/>
      <c r="DH335" s="567"/>
      <c r="DI335" s="567"/>
      <c r="DJ335" s="567"/>
      <c r="DK335" s="567"/>
      <c r="DL335" s="567"/>
      <c r="DM335" s="567"/>
      <c r="DN335" s="567"/>
      <c r="DO335" s="567"/>
      <c r="DP335" s="567"/>
      <c r="DQ335" s="567"/>
      <c r="DR335" s="567"/>
      <c r="DS335" s="567"/>
      <c r="DT335" s="567"/>
      <c r="DU335" s="567"/>
      <c r="DV335" s="567"/>
      <c r="DW335" s="567"/>
      <c r="DX335" s="567"/>
      <c r="DY335" s="567"/>
      <c r="DZ335" s="567"/>
      <c r="EA335" s="567"/>
      <c r="EB335" s="567"/>
      <c r="EC335" s="567"/>
      <c r="ED335" s="567"/>
      <c r="EE335" s="567"/>
      <c r="EF335" s="567"/>
      <c r="EG335" s="567"/>
      <c r="EH335" s="567"/>
      <c r="EI335" s="567"/>
      <c r="EJ335" s="567"/>
      <c r="EK335" s="567"/>
      <c r="EL335" s="567"/>
      <c r="EM335" s="567"/>
      <c r="EN335" s="567"/>
      <c r="EO335" s="567"/>
      <c r="EP335" s="567"/>
      <c r="EQ335" s="567"/>
      <c r="ER335" s="567"/>
      <c r="ES335" s="567"/>
      <c r="ET335" s="567"/>
      <c r="EU335" s="567"/>
      <c r="EV335" s="567"/>
      <c r="EW335" s="567"/>
      <c r="EX335" s="567"/>
      <c r="EY335" s="567"/>
      <c r="EZ335" s="567"/>
      <c r="FA335" s="567"/>
      <c r="FB335" s="567"/>
      <c r="FC335" s="567"/>
      <c r="FD335" s="567"/>
      <c r="FE335" s="567"/>
      <c r="FF335" s="567"/>
      <c r="FG335" s="567"/>
      <c r="FH335" s="567"/>
      <c r="FI335" s="567"/>
      <c r="FJ335" s="567"/>
      <c r="FK335" s="567"/>
      <c r="FL335" s="567"/>
      <c r="FM335" s="567"/>
      <c r="FN335" s="567"/>
      <c r="FO335" s="567"/>
      <c r="FP335" s="567"/>
      <c r="FQ335" s="567"/>
      <c r="FR335" s="567"/>
      <c r="FS335" s="567"/>
      <c r="FT335" s="567"/>
      <c r="FU335" s="567"/>
      <c r="FV335" s="567"/>
      <c r="FW335" s="567"/>
      <c r="FX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  <c r="BW336" s="567"/>
      <c r="BX336" s="567"/>
      <c r="BY336" s="567"/>
      <c r="BZ336" s="567"/>
      <c r="CA336" s="567"/>
      <c r="CB336" s="567"/>
      <c r="CC336" s="567"/>
      <c r="CD336" s="567"/>
      <c r="CE336" s="567"/>
      <c r="CF336" s="567"/>
      <c r="CG336" s="567"/>
      <c r="CH336" s="567"/>
      <c r="CI336" s="567"/>
      <c r="CJ336" s="567"/>
      <c r="CK336" s="567"/>
      <c r="CL336" s="567"/>
      <c r="CM336" s="567"/>
      <c r="CN336" s="567"/>
      <c r="CO336" s="567"/>
      <c r="CP336" s="567"/>
      <c r="CQ336" s="567"/>
      <c r="CR336" s="567"/>
      <c r="CS336" s="567"/>
      <c r="CT336" s="567"/>
      <c r="CU336" s="567"/>
      <c r="CV336" s="567"/>
      <c r="CW336" s="567"/>
      <c r="CX336" s="567"/>
      <c r="CY336" s="567"/>
      <c r="CZ336" s="567"/>
      <c r="DA336" s="567"/>
      <c r="DB336" s="567"/>
      <c r="DC336" s="567"/>
      <c r="DD336" s="567"/>
      <c r="DE336" s="567"/>
      <c r="DF336" s="567"/>
      <c r="DG336" s="567"/>
      <c r="DH336" s="567"/>
      <c r="DI336" s="567"/>
      <c r="DJ336" s="567"/>
      <c r="DK336" s="567"/>
      <c r="DL336" s="567"/>
      <c r="DM336" s="567"/>
      <c r="DN336" s="567"/>
      <c r="DO336" s="567"/>
      <c r="DP336" s="567"/>
      <c r="DQ336" s="567"/>
      <c r="DR336" s="567"/>
      <c r="DS336" s="567"/>
      <c r="DT336" s="567"/>
      <c r="DU336" s="567"/>
      <c r="DV336" s="567"/>
      <c r="DW336" s="567"/>
      <c r="DX336" s="567"/>
      <c r="DY336" s="567"/>
      <c r="DZ336" s="567"/>
      <c r="EA336" s="567"/>
      <c r="EB336" s="567"/>
      <c r="EC336" s="567"/>
      <c r="ED336" s="567"/>
      <c r="EE336" s="567"/>
      <c r="EF336" s="567"/>
      <c r="EG336" s="567"/>
      <c r="EH336" s="567"/>
      <c r="EI336" s="567"/>
      <c r="EJ336" s="567"/>
      <c r="EK336" s="567"/>
      <c r="EL336" s="567"/>
      <c r="EM336" s="567"/>
      <c r="EN336" s="567"/>
      <c r="EO336" s="567"/>
      <c r="EP336" s="567"/>
      <c r="EQ336" s="567"/>
      <c r="ER336" s="567"/>
      <c r="ES336" s="567"/>
      <c r="ET336" s="567"/>
      <c r="EU336" s="567"/>
      <c r="EV336" s="567"/>
      <c r="EW336" s="567"/>
      <c r="EX336" s="567"/>
      <c r="EY336" s="567"/>
      <c r="EZ336" s="567"/>
      <c r="FA336" s="567"/>
      <c r="FB336" s="567"/>
      <c r="FC336" s="567"/>
      <c r="FD336" s="567"/>
      <c r="FE336" s="567"/>
      <c r="FF336" s="567"/>
      <c r="FG336" s="567"/>
      <c r="FH336" s="567"/>
      <c r="FI336" s="567"/>
      <c r="FJ336" s="567"/>
      <c r="FK336" s="567"/>
      <c r="FL336" s="567"/>
      <c r="FM336" s="567"/>
      <c r="FN336" s="567"/>
      <c r="FO336" s="567"/>
      <c r="FP336" s="567"/>
      <c r="FQ336" s="567"/>
      <c r="FR336" s="567"/>
      <c r="FS336" s="567"/>
      <c r="FT336" s="567"/>
      <c r="FU336" s="567"/>
      <c r="FV336" s="567"/>
      <c r="FW336" s="567"/>
      <c r="FX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  <c r="BW337" s="567"/>
      <c r="BX337" s="567"/>
      <c r="BY337" s="567"/>
      <c r="BZ337" s="567"/>
      <c r="CA337" s="567"/>
      <c r="CB337" s="567"/>
      <c r="CC337" s="567"/>
      <c r="CD337" s="567"/>
      <c r="CE337" s="567"/>
      <c r="CF337" s="567"/>
      <c r="CG337" s="567"/>
      <c r="CH337" s="567"/>
      <c r="CI337" s="567"/>
      <c r="CJ337" s="567"/>
      <c r="CK337" s="567"/>
      <c r="CL337" s="567"/>
      <c r="CM337" s="567"/>
      <c r="CN337" s="567"/>
      <c r="CO337" s="567"/>
      <c r="CP337" s="567"/>
      <c r="CQ337" s="567"/>
      <c r="CR337" s="567"/>
      <c r="CS337" s="567"/>
      <c r="CT337" s="567"/>
      <c r="CU337" s="567"/>
      <c r="CV337" s="567"/>
      <c r="CW337" s="567"/>
      <c r="CX337" s="567"/>
      <c r="CY337" s="567"/>
      <c r="CZ337" s="567"/>
      <c r="DA337" s="567"/>
      <c r="DB337" s="567"/>
      <c r="DC337" s="567"/>
      <c r="DD337" s="567"/>
      <c r="DE337" s="567"/>
      <c r="DF337" s="567"/>
      <c r="DG337" s="567"/>
      <c r="DH337" s="567"/>
      <c r="DI337" s="567"/>
      <c r="DJ337" s="567"/>
      <c r="DK337" s="567"/>
      <c r="DL337" s="567"/>
      <c r="DM337" s="567"/>
      <c r="DN337" s="567"/>
      <c r="DO337" s="567"/>
      <c r="DP337" s="567"/>
      <c r="DQ337" s="567"/>
      <c r="DR337" s="567"/>
      <c r="DS337" s="567"/>
      <c r="DT337" s="567"/>
      <c r="DU337" s="567"/>
      <c r="DV337" s="567"/>
      <c r="DW337" s="567"/>
      <c r="DX337" s="567"/>
      <c r="DY337" s="567"/>
      <c r="DZ337" s="567"/>
      <c r="EA337" s="567"/>
      <c r="EB337" s="567"/>
      <c r="EC337" s="567"/>
      <c r="ED337" s="567"/>
      <c r="EE337" s="567"/>
      <c r="EF337" s="567"/>
      <c r="EG337" s="567"/>
      <c r="EH337" s="567"/>
      <c r="EI337" s="567"/>
      <c r="EJ337" s="567"/>
      <c r="EK337" s="567"/>
      <c r="EL337" s="567"/>
      <c r="EM337" s="567"/>
      <c r="EN337" s="567"/>
      <c r="EO337" s="567"/>
      <c r="EP337" s="567"/>
      <c r="EQ337" s="567"/>
      <c r="ER337" s="567"/>
      <c r="ES337" s="567"/>
      <c r="ET337" s="567"/>
      <c r="EU337" s="567"/>
      <c r="EV337" s="567"/>
      <c r="EW337" s="567"/>
      <c r="EX337" s="567"/>
      <c r="EY337" s="567"/>
      <c r="EZ337" s="567"/>
      <c r="FA337" s="567"/>
      <c r="FB337" s="567"/>
      <c r="FC337" s="567"/>
      <c r="FD337" s="567"/>
      <c r="FE337" s="567"/>
      <c r="FF337" s="567"/>
      <c r="FG337" s="567"/>
      <c r="FH337" s="567"/>
      <c r="FI337" s="567"/>
      <c r="FJ337" s="567"/>
      <c r="FK337" s="567"/>
      <c r="FL337" s="567"/>
      <c r="FM337" s="567"/>
      <c r="FN337" s="567"/>
      <c r="FO337" s="567"/>
      <c r="FP337" s="567"/>
      <c r="FQ337" s="567"/>
      <c r="FR337" s="567"/>
      <c r="FS337" s="567"/>
      <c r="FT337" s="567"/>
      <c r="FU337" s="567"/>
      <c r="FV337" s="567"/>
      <c r="FW337" s="567"/>
      <c r="FX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  <c r="BW338" s="567"/>
      <c r="BX338" s="567"/>
      <c r="BY338" s="567"/>
      <c r="BZ338" s="567"/>
      <c r="CA338" s="567"/>
      <c r="CB338" s="567"/>
      <c r="CC338" s="567"/>
      <c r="CD338" s="567"/>
      <c r="CE338" s="567"/>
      <c r="CF338" s="567"/>
      <c r="CG338" s="567"/>
      <c r="CH338" s="567"/>
      <c r="CI338" s="567"/>
      <c r="CJ338" s="567"/>
      <c r="CK338" s="567"/>
      <c r="CL338" s="567"/>
      <c r="CM338" s="567"/>
      <c r="CN338" s="567"/>
      <c r="CO338" s="567"/>
      <c r="CP338" s="567"/>
      <c r="CQ338" s="567"/>
      <c r="CR338" s="567"/>
      <c r="CS338" s="567"/>
      <c r="CT338" s="567"/>
      <c r="CU338" s="567"/>
      <c r="CV338" s="567"/>
      <c r="CW338" s="567"/>
      <c r="CX338" s="567"/>
      <c r="CY338" s="567"/>
      <c r="CZ338" s="567"/>
      <c r="DA338" s="567"/>
      <c r="DB338" s="567"/>
      <c r="DC338" s="567"/>
      <c r="DD338" s="567"/>
      <c r="DE338" s="567"/>
      <c r="DF338" s="567"/>
      <c r="DG338" s="567"/>
      <c r="DH338" s="567"/>
      <c r="DI338" s="567"/>
      <c r="DJ338" s="567"/>
      <c r="DK338" s="567"/>
      <c r="DL338" s="567"/>
      <c r="DM338" s="567"/>
      <c r="DN338" s="567"/>
      <c r="DO338" s="567"/>
      <c r="DP338" s="567"/>
      <c r="DQ338" s="567"/>
      <c r="DR338" s="567"/>
      <c r="DS338" s="567"/>
      <c r="DT338" s="567"/>
      <c r="DU338" s="567"/>
      <c r="DV338" s="567"/>
      <c r="DW338" s="567"/>
      <c r="DX338" s="567"/>
      <c r="DY338" s="567"/>
      <c r="DZ338" s="567"/>
      <c r="EA338" s="567"/>
      <c r="EB338" s="567"/>
      <c r="EC338" s="567"/>
      <c r="ED338" s="567"/>
      <c r="EE338" s="567"/>
      <c r="EF338" s="567"/>
      <c r="EG338" s="567"/>
      <c r="EH338" s="567"/>
      <c r="EI338" s="567"/>
      <c r="EJ338" s="567"/>
      <c r="EK338" s="567"/>
      <c r="EL338" s="567"/>
      <c r="EM338" s="567"/>
      <c r="EN338" s="567"/>
      <c r="EO338" s="567"/>
      <c r="EP338" s="567"/>
      <c r="EQ338" s="567"/>
      <c r="ER338" s="567"/>
      <c r="ES338" s="567"/>
      <c r="ET338" s="567"/>
      <c r="EU338" s="567"/>
      <c r="EV338" s="567"/>
      <c r="EW338" s="567"/>
      <c r="EX338" s="567"/>
      <c r="EY338" s="567"/>
      <c r="EZ338" s="567"/>
      <c r="FA338" s="567"/>
      <c r="FB338" s="567"/>
      <c r="FC338" s="567"/>
      <c r="FD338" s="567"/>
      <c r="FE338" s="567"/>
      <c r="FF338" s="567"/>
      <c r="FG338" s="567"/>
      <c r="FH338" s="567"/>
      <c r="FI338" s="567"/>
      <c r="FJ338" s="567"/>
      <c r="FK338" s="567"/>
      <c r="FL338" s="567"/>
      <c r="FM338" s="567"/>
      <c r="FN338" s="567"/>
      <c r="FO338" s="567"/>
      <c r="FP338" s="567"/>
      <c r="FQ338" s="567"/>
      <c r="FR338" s="567"/>
      <c r="FS338" s="567"/>
      <c r="FT338" s="567"/>
      <c r="FU338" s="567"/>
      <c r="FV338" s="567"/>
      <c r="FW338" s="567"/>
      <c r="FX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  <c r="BW339" s="567"/>
      <c r="BX339" s="567"/>
      <c r="BY339" s="567"/>
      <c r="BZ339" s="567"/>
      <c r="CA339" s="567"/>
      <c r="CB339" s="567"/>
      <c r="CC339" s="567"/>
      <c r="CD339" s="567"/>
      <c r="CE339" s="567"/>
      <c r="CF339" s="567"/>
      <c r="CG339" s="567"/>
      <c r="CH339" s="567"/>
      <c r="CI339" s="567"/>
      <c r="CJ339" s="567"/>
      <c r="CK339" s="567"/>
      <c r="CL339" s="567"/>
      <c r="CM339" s="567"/>
      <c r="CN339" s="567"/>
      <c r="CO339" s="567"/>
      <c r="CP339" s="567"/>
      <c r="CQ339" s="567"/>
      <c r="CR339" s="567"/>
      <c r="CS339" s="567"/>
      <c r="CT339" s="567"/>
      <c r="CU339" s="567"/>
      <c r="CV339" s="567"/>
      <c r="CW339" s="567"/>
      <c r="CX339" s="567"/>
      <c r="CY339" s="567"/>
      <c r="CZ339" s="567"/>
      <c r="DA339" s="567"/>
      <c r="DB339" s="567"/>
      <c r="DC339" s="567"/>
      <c r="DD339" s="567"/>
      <c r="DE339" s="567"/>
      <c r="DF339" s="567"/>
      <c r="DG339" s="567"/>
      <c r="DH339" s="567"/>
      <c r="DI339" s="567"/>
      <c r="DJ339" s="567"/>
      <c r="DK339" s="567"/>
      <c r="DL339" s="567"/>
      <c r="DM339" s="567"/>
      <c r="DN339" s="567"/>
      <c r="DO339" s="567"/>
      <c r="DP339" s="567"/>
      <c r="DQ339" s="567"/>
      <c r="DR339" s="567"/>
      <c r="DS339" s="567"/>
      <c r="DT339" s="567"/>
      <c r="DU339" s="567"/>
      <c r="DV339" s="567"/>
      <c r="DW339" s="567"/>
      <c r="DX339" s="567"/>
      <c r="DY339" s="567"/>
      <c r="DZ339" s="567"/>
      <c r="EA339" s="567"/>
      <c r="EB339" s="567"/>
      <c r="EC339" s="567"/>
      <c r="ED339" s="567"/>
      <c r="EE339" s="567"/>
      <c r="EF339" s="567"/>
      <c r="EG339" s="567"/>
      <c r="EH339" s="567"/>
      <c r="EI339" s="567"/>
      <c r="EJ339" s="567"/>
      <c r="EK339" s="567"/>
      <c r="EL339" s="567"/>
      <c r="EM339" s="567"/>
      <c r="EN339" s="567"/>
      <c r="EO339" s="567"/>
      <c r="EP339" s="567"/>
      <c r="EQ339" s="567"/>
      <c r="ER339" s="567"/>
      <c r="ES339" s="567"/>
      <c r="ET339" s="567"/>
      <c r="EU339" s="567"/>
      <c r="EV339" s="567"/>
      <c r="EW339" s="567"/>
      <c r="EX339" s="567"/>
      <c r="EY339" s="567"/>
      <c r="EZ339" s="567"/>
      <c r="FA339" s="567"/>
      <c r="FB339" s="567"/>
      <c r="FC339" s="567"/>
      <c r="FD339" s="567"/>
      <c r="FE339" s="567"/>
      <c r="FF339" s="567"/>
      <c r="FG339" s="567"/>
      <c r="FH339" s="567"/>
      <c r="FI339" s="567"/>
      <c r="FJ339" s="567"/>
      <c r="FK339" s="567"/>
      <c r="FL339" s="567"/>
      <c r="FM339" s="567"/>
      <c r="FN339" s="567"/>
      <c r="FO339" s="567"/>
      <c r="FP339" s="567"/>
      <c r="FQ339" s="567"/>
      <c r="FR339" s="567"/>
      <c r="FS339" s="567"/>
      <c r="FT339" s="567"/>
      <c r="FU339" s="567"/>
      <c r="FV339" s="567"/>
      <c r="FW339" s="567"/>
      <c r="FX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  <c r="BW340" s="567"/>
      <c r="BX340" s="567"/>
      <c r="BY340" s="567"/>
      <c r="BZ340" s="567"/>
      <c r="CA340" s="567"/>
      <c r="CB340" s="567"/>
      <c r="CC340" s="567"/>
      <c r="CD340" s="567"/>
      <c r="CE340" s="567"/>
      <c r="CF340" s="567"/>
      <c r="CG340" s="567"/>
      <c r="CH340" s="567"/>
      <c r="CI340" s="567"/>
      <c r="CJ340" s="567"/>
      <c r="CK340" s="567"/>
      <c r="CL340" s="567"/>
      <c r="CM340" s="567"/>
      <c r="CN340" s="567"/>
      <c r="CO340" s="567"/>
      <c r="CP340" s="567"/>
      <c r="CQ340" s="567"/>
      <c r="CR340" s="567"/>
      <c r="CS340" s="567"/>
      <c r="CT340" s="567"/>
      <c r="CU340" s="567"/>
      <c r="CV340" s="567"/>
      <c r="CW340" s="567"/>
      <c r="CX340" s="567"/>
      <c r="CY340" s="567"/>
      <c r="CZ340" s="567"/>
      <c r="DA340" s="567"/>
      <c r="DB340" s="567"/>
      <c r="DC340" s="567"/>
      <c r="DD340" s="567"/>
      <c r="DE340" s="567"/>
      <c r="DF340" s="567"/>
      <c r="DG340" s="567"/>
      <c r="DH340" s="567"/>
      <c r="DI340" s="567"/>
      <c r="DJ340" s="567"/>
      <c r="DK340" s="567"/>
      <c r="DL340" s="567"/>
      <c r="DM340" s="567"/>
      <c r="DN340" s="567"/>
      <c r="DO340" s="567"/>
      <c r="DP340" s="567"/>
      <c r="DQ340" s="567"/>
      <c r="DR340" s="567"/>
      <c r="DS340" s="567"/>
      <c r="DT340" s="567"/>
      <c r="DU340" s="567"/>
      <c r="DV340" s="567"/>
      <c r="DW340" s="567"/>
      <c r="DX340" s="567"/>
      <c r="DY340" s="567"/>
      <c r="DZ340" s="567"/>
      <c r="EA340" s="567"/>
      <c r="EB340" s="567"/>
      <c r="EC340" s="567"/>
      <c r="ED340" s="567"/>
      <c r="EE340" s="567"/>
      <c r="EF340" s="567"/>
      <c r="EG340" s="567"/>
      <c r="EH340" s="567"/>
      <c r="EI340" s="567"/>
      <c r="EJ340" s="567"/>
      <c r="EK340" s="567"/>
      <c r="EL340" s="567"/>
      <c r="EM340" s="567"/>
      <c r="EN340" s="567"/>
      <c r="EO340" s="567"/>
      <c r="EP340" s="567"/>
      <c r="EQ340" s="567"/>
      <c r="ER340" s="567"/>
      <c r="ES340" s="567"/>
      <c r="ET340" s="567"/>
      <c r="EU340" s="567"/>
      <c r="EV340" s="567"/>
      <c r="EW340" s="567"/>
      <c r="EX340" s="567"/>
      <c r="EY340" s="567"/>
      <c r="EZ340" s="567"/>
      <c r="FA340" s="567"/>
      <c r="FB340" s="567"/>
      <c r="FC340" s="567"/>
      <c r="FD340" s="567"/>
      <c r="FE340" s="567"/>
      <c r="FF340" s="567"/>
      <c r="FG340" s="567"/>
      <c r="FH340" s="567"/>
      <c r="FI340" s="567"/>
      <c r="FJ340" s="567"/>
      <c r="FK340" s="567"/>
      <c r="FL340" s="567"/>
      <c r="FM340" s="567"/>
      <c r="FN340" s="567"/>
      <c r="FO340" s="567"/>
      <c r="FP340" s="567"/>
      <c r="FQ340" s="567"/>
      <c r="FR340" s="567"/>
      <c r="FS340" s="567"/>
      <c r="FT340" s="567"/>
      <c r="FU340" s="567"/>
      <c r="FV340" s="567"/>
      <c r="FW340" s="567"/>
      <c r="FX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  <c r="BW341" s="567"/>
      <c r="BX341" s="567"/>
      <c r="BY341" s="567"/>
      <c r="BZ341" s="567"/>
      <c r="CA341" s="567"/>
      <c r="CB341" s="567"/>
      <c r="CC341" s="567"/>
      <c r="CD341" s="567"/>
      <c r="CE341" s="567"/>
      <c r="CF341" s="567"/>
      <c r="CG341" s="567"/>
      <c r="CH341" s="567"/>
      <c r="CI341" s="567"/>
      <c r="CJ341" s="567"/>
      <c r="CK341" s="567"/>
      <c r="CL341" s="567"/>
      <c r="CM341" s="567"/>
      <c r="CN341" s="567"/>
      <c r="CO341" s="567"/>
      <c r="CP341" s="567"/>
      <c r="CQ341" s="567"/>
      <c r="CR341" s="567"/>
      <c r="CS341" s="567"/>
      <c r="CT341" s="567"/>
      <c r="CU341" s="567"/>
      <c r="CV341" s="567"/>
      <c r="CW341" s="567"/>
      <c r="CX341" s="567"/>
      <c r="CY341" s="567"/>
      <c r="CZ341" s="567"/>
      <c r="DA341" s="567"/>
      <c r="DB341" s="567"/>
      <c r="DC341" s="567"/>
      <c r="DD341" s="567"/>
      <c r="DE341" s="567"/>
      <c r="DF341" s="567"/>
      <c r="DG341" s="567"/>
      <c r="DH341" s="567"/>
      <c r="DI341" s="567"/>
      <c r="DJ341" s="567"/>
      <c r="DK341" s="567"/>
      <c r="DL341" s="567"/>
      <c r="DM341" s="567"/>
      <c r="DN341" s="567"/>
      <c r="DO341" s="567"/>
      <c r="DP341" s="567"/>
      <c r="DQ341" s="567"/>
      <c r="DR341" s="567"/>
      <c r="DS341" s="567"/>
      <c r="DT341" s="567"/>
      <c r="DU341" s="567"/>
      <c r="DV341" s="567"/>
      <c r="DW341" s="567"/>
      <c r="DX341" s="567"/>
      <c r="DY341" s="567"/>
      <c r="DZ341" s="567"/>
      <c r="EA341" s="567"/>
      <c r="EB341" s="567"/>
      <c r="EC341" s="567"/>
      <c r="ED341" s="567"/>
      <c r="EE341" s="567"/>
      <c r="EF341" s="567"/>
      <c r="EG341" s="567"/>
      <c r="EH341" s="567"/>
      <c r="EI341" s="567"/>
      <c r="EJ341" s="567"/>
      <c r="EK341" s="567"/>
      <c r="EL341" s="567"/>
      <c r="EM341" s="567"/>
      <c r="EN341" s="567"/>
      <c r="EO341" s="567"/>
      <c r="EP341" s="567"/>
      <c r="EQ341" s="567"/>
      <c r="ER341" s="567"/>
      <c r="ES341" s="567"/>
      <c r="ET341" s="567"/>
      <c r="EU341" s="567"/>
      <c r="EV341" s="567"/>
      <c r="EW341" s="567"/>
      <c r="EX341" s="567"/>
      <c r="EY341" s="567"/>
      <c r="EZ341" s="567"/>
      <c r="FA341" s="567"/>
      <c r="FB341" s="567"/>
      <c r="FC341" s="567"/>
      <c r="FD341" s="567"/>
      <c r="FE341" s="567"/>
      <c r="FF341" s="567"/>
      <c r="FG341" s="567"/>
      <c r="FH341" s="567"/>
      <c r="FI341" s="567"/>
      <c r="FJ341" s="567"/>
      <c r="FK341" s="567"/>
      <c r="FL341" s="567"/>
      <c r="FM341" s="567"/>
      <c r="FN341" s="567"/>
      <c r="FO341" s="567"/>
      <c r="FP341" s="567"/>
      <c r="FQ341" s="567"/>
      <c r="FR341" s="567"/>
      <c r="FS341" s="567"/>
      <c r="FT341" s="567"/>
      <c r="FU341" s="567"/>
      <c r="FV341" s="567"/>
      <c r="FW341" s="567"/>
      <c r="FX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  <c r="BW342" s="567"/>
      <c r="BX342" s="567"/>
      <c r="BY342" s="567"/>
      <c r="BZ342" s="567"/>
      <c r="CA342" s="567"/>
      <c r="CB342" s="567"/>
      <c r="CC342" s="567"/>
      <c r="CD342" s="567"/>
      <c r="CE342" s="567"/>
      <c r="CF342" s="567"/>
      <c r="CG342" s="567"/>
      <c r="CH342" s="567"/>
      <c r="CI342" s="567"/>
      <c r="CJ342" s="567"/>
      <c r="CK342" s="567"/>
      <c r="CL342" s="567"/>
      <c r="CM342" s="567"/>
      <c r="CN342" s="567"/>
      <c r="CO342" s="567"/>
      <c r="CP342" s="567"/>
      <c r="CQ342" s="567"/>
      <c r="CR342" s="567"/>
      <c r="CS342" s="567"/>
      <c r="CT342" s="567"/>
      <c r="CU342" s="567"/>
      <c r="CV342" s="567"/>
      <c r="CW342" s="567"/>
      <c r="CX342" s="567"/>
      <c r="CY342" s="567"/>
      <c r="CZ342" s="567"/>
      <c r="DA342" s="567"/>
      <c r="DB342" s="567"/>
      <c r="DC342" s="567"/>
      <c r="DD342" s="567"/>
      <c r="DE342" s="567"/>
      <c r="DF342" s="567"/>
      <c r="DG342" s="567"/>
      <c r="DH342" s="567"/>
      <c r="DI342" s="567"/>
      <c r="DJ342" s="567"/>
      <c r="DK342" s="567"/>
      <c r="DL342" s="567"/>
      <c r="DM342" s="567"/>
      <c r="DN342" s="567"/>
      <c r="DO342" s="567"/>
      <c r="DP342" s="567"/>
      <c r="DQ342" s="567"/>
      <c r="DR342" s="567"/>
      <c r="DS342" s="567"/>
      <c r="DT342" s="567"/>
      <c r="DU342" s="567"/>
      <c r="DV342" s="567"/>
      <c r="DW342" s="567"/>
      <c r="DX342" s="567"/>
      <c r="DY342" s="567"/>
      <c r="DZ342" s="567"/>
      <c r="EA342" s="567"/>
      <c r="EB342" s="567"/>
      <c r="EC342" s="567"/>
      <c r="ED342" s="567"/>
      <c r="EE342" s="567"/>
      <c r="EF342" s="567"/>
      <c r="EG342" s="567"/>
      <c r="EH342" s="567"/>
      <c r="EI342" s="567"/>
      <c r="EJ342" s="567"/>
      <c r="EK342" s="567"/>
      <c r="EL342" s="567"/>
      <c r="EM342" s="567"/>
      <c r="EN342" s="567"/>
      <c r="EO342" s="567"/>
      <c r="EP342" s="567"/>
      <c r="EQ342" s="567"/>
      <c r="ER342" s="567"/>
      <c r="ES342" s="567"/>
      <c r="ET342" s="567"/>
      <c r="EU342" s="567"/>
      <c r="EV342" s="567"/>
      <c r="EW342" s="567"/>
      <c r="EX342" s="567"/>
      <c r="EY342" s="567"/>
      <c r="EZ342" s="567"/>
      <c r="FA342" s="567"/>
      <c r="FB342" s="567"/>
      <c r="FC342" s="567"/>
      <c r="FD342" s="567"/>
      <c r="FE342" s="567"/>
      <c r="FF342" s="567"/>
      <c r="FG342" s="567"/>
      <c r="FH342" s="567"/>
      <c r="FI342" s="567"/>
      <c r="FJ342" s="567"/>
      <c r="FK342" s="567"/>
      <c r="FL342" s="567"/>
      <c r="FM342" s="567"/>
      <c r="FN342" s="567"/>
      <c r="FO342" s="567"/>
      <c r="FP342" s="567"/>
      <c r="FQ342" s="567"/>
      <c r="FR342" s="567"/>
      <c r="FS342" s="567"/>
      <c r="FT342" s="567"/>
      <c r="FU342" s="567"/>
      <c r="FV342" s="567"/>
      <c r="FW342" s="567"/>
      <c r="FX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  <c r="BW343" s="567"/>
      <c r="BX343" s="567"/>
      <c r="BY343" s="567"/>
      <c r="BZ343" s="567"/>
      <c r="CA343" s="567"/>
      <c r="CB343" s="567"/>
      <c r="CC343" s="567"/>
      <c r="CD343" s="567"/>
      <c r="CE343" s="567"/>
      <c r="CF343" s="567"/>
      <c r="CG343" s="567"/>
      <c r="CH343" s="567"/>
      <c r="CI343" s="567"/>
      <c r="CJ343" s="567"/>
      <c r="CK343" s="567"/>
      <c r="CL343" s="567"/>
      <c r="CM343" s="567"/>
      <c r="CN343" s="567"/>
      <c r="CO343" s="567"/>
      <c r="CP343" s="567"/>
      <c r="CQ343" s="567"/>
      <c r="CR343" s="567"/>
      <c r="CS343" s="567"/>
      <c r="CT343" s="567"/>
      <c r="CU343" s="567"/>
      <c r="CV343" s="567"/>
      <c r="CW343" s="567"/>
      <c r="CX343" s="567"/>
      <c r="CY343" s="567"/>
      <c r="CZ343" s="567"/>
      <c r="DA343" s="567"/>
      <c r="DB343" s="567"/>
      <c r="DC343" s="567"/>
      <c r="DD343" s="567"/>
      <c r="DE343" s="567"/>
      <c r="DF343" s="567"/>
      <c r="DG343" s="567"/>
      <c r="DH343" s="567"/>
      <c r="DI343" s="567"/>
      <c r="DJ343" s="567"/>
      <c r="DK343" s="567"/>
      <c r="DL343" s="567"/>
      <c r="DM343" s="567"/>
      <c r="DN343" s="567"/>
      <c r="DO343" s="567"/>
      <c r="DP343" s="567"/>
      <c r="DQ343" s="567"/>
      <c r="DR343" s="567"/>
      <c r="DS343" s="567"/>
      <c r="DT343" s="567"/>
      <c r="DU343" s="567"/>
      <c r="DV343" s="567"/>
      <c r="DW343" s="567"/>
      <c r="DX343" s="567"/>
      <c r="DY343" s="567"/>
      <c r="DZ343" s="567"/>
      <c r="EA343" s="567"/>
      <c r="EB343" s="567"/>
      <c r="EC343" s="567"/>
      <c r="ED343" s="567"/>
      <c r="EE343" s="567"/>
      <c r="EF343" s="567"/>
      <c r="EG343" s="567"/>
      <c r="EH343" s="567"/>
      <c r="EI343" s="567"/>
      <c r="EJ343" s="567"/>
      <c r="EK343" s="567"/>
      <c r="EL343" s="567"/>
      <c r="EM343" s="567"/>
      <c r="EN343" s="567"/>
      <c r="EO343" s="567"/>
      <c r="EP343" s="567"/>
      <c r="EQ343" s="567"/>
      <c r="ER343" s="567"/>
      <c r="ES343" s="567"/>
      <c r="ET343" s="567"/>
      <c r="EU343" s="567"/>
      <c r="EV343" s="567"/>
      <c r="EW343" s="567"/>
      <c r="EX343" s="567"/>
      <c r="EY343" s="567"/>
      <c r="EZ343" s="567"/>
      <c r="FA343" s="567"/>
      <c r="FB343" s="567"/>
      <c r="FC343" s="567"/>
      <c r="FD343" s="567"/>
      <c r="FE343" s="567"/>
      <c r="FF343" s="567"/>
      <c r="FG343" s="567"/>
      <c r="FH343" s="567"/>
      <c r="FI343" s="567"/>
      <c r="FJ343" s="567"/>
      <c r="FK343" s="567"/>
      <c r="FL343" s="567"/>
      <c r="FM343" s="567"/>
      <c r="FN343" s="567"/>
      <c r="FO343" s="567"/>
      <c r="FP343" s="567"/>
      <c r="FQ343" s="567"/>
      <c r="FR343" s="567"/>
      <c r="FS343" s="567"/>
      <c r="FT343" s="567"/>
      <c r="FU343" s="567"/>
      <c r="FV343" s="567"/>
      <c r="FW343" s="567"/>
      <c r="FX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  <c r="BW344" s="567"/>
      <c r="BX344" s="567"/>
      <c r="BY344" s="567"/>
      <c r="BZ344" s="567"/>
      <c r="CA344" s="567"/>
      <c r="CB344" s="567"/>
      <c r="CC344" s="567"/>
      <c r="CD344" s="567"/>
      <c r="CE344" s="567"/>
      <c r="CF344" s="567"/>
      <c r="CG344" s="567"/>
      <c r="CH344" s="567"/>
      <c r="CI344" s="567"/>
      <c r="CJ344" s="567"/>
      <c r="CK344" s="567"/>
      <c r="CL344" s="567"/>
      <c r="CM344" s="567"/>
      <c r="CN344" s="567"/>
      <c r="CO344" s="567"/>
      <c r="CP344" s="567"/>
      <c r="CQ344" s="567"/>
      <c r="CR344" s="567"/>
      <c r="CS344" s="567"/>
      <c r="CT344" s="567"/>
      <c r="CU344" s="567"/>
      <c r="CV344" s="567"/>
      <c r="CW344" s="567"/>
      <c r="CX344" s="567"/>
      <c r="CY344" s="567"/>
      <c r="CZ344" s="567"/>
      <c r="DA344" s="567"/>
      <c r="DB344" s="567"/>
      <c r="DC344" s="567"/>
      <c r="DD344" s="567"/>
      <c r="DE344" s="567"/>
      <c r="DF344" s="567"/>
      <c r="DG344" s="567"/>
      <c r="DH344" s="567"/>
      <c r="DI344" s="567"/>
      <c r="DJ344" s="567"/>
      <c r="DK344" s="567"/>
      <c r="DL344" s="567"/>
      <c r="DM344" s="567"/>
      <c r="DN344" s="567"/>
      <c r="DO344" s="567"/>
      <c r="DP344" s="567"/>
      <c r="DQ344" s="567"/>
      <c r="DR344" s="567"/>
      <c r="DS344" s="567"/>
      <c r="DT344" s="567"/>
      <c r="DU344" s="567"/>
      <c r="DV344" s="567"/>
      <c r="DW344" s="567"/>
      <c r="DX344" s="567"/>
      <c r="DY344" s="567"/>
      <c r="DZ344" s="567"/>
      <c r="EA344" s="567"/>
      <c r="EB344" s="567"/>
      <c r="EC344" s="567"/>
      <c r="ED344" s="567"/>
      <c r="EE344" s="567"/>
      <c r="EF344" s="567"/>
      <c r="EG344" s="567"/>
      <c r="EH344" s="567"/>
      <c r="EI344" s="567"/>
      <c r="EJ344" s="567"/>
      <c r="EK344" s="567"/>
      <c r="EL344" s="567"/>
      <c r="EM344" s="567"/>
      <c r="EN344" s="567"/>
      <c r="EO344" s="567"/>
      <c r="EP344" s="567"/>
      <c r="EQ344" s="567"/>
      <c r="ER344" s="567"/>
      <c r="ES344" s="567"/>
      <c r="ET344" s="567"/>
      <c r="EU344" s="567"/>
      <c r="EV344" s="567"/>
      <c r="EW344" s="567"/>
      <c r="EX344" s="567"/>
      <c r="EY344" s="567"/>
      <c r="EZ344" s="567"/>
      <c r="FA344" s="567"/>
      <c r="FB344" s="567"/>
      <c r="FC344" s="567"/>
      <c r="FD344" s="567"/>
      <c r="FE344" s="567"/>
      <c r="FF344" s="567"/>
      <c r="FG344" s="567"/>
      <c r="FH344" s="567"/>
      <c r="FI344" s="567"/>
      <c r="FJ344" s="567"/>
      <c r="FK344" s="567"/>
      <c r="FL344" s="567"/>
      <c r="FM344" s="567"/>
      <c r="FN344" s="567"/>
      <c r="FO344" s="567"/>
      <c r="FP344" s="567"/>
      <c r="FQ344" s="567"/>
      <c r="FR344" s="567"/>
      <c r="FS344" s="567"/>
      <c r="FT344" s="567"/>
      <c r="FU344" s="567"/>
      <c r="FV344" s="567"/>
      <c r="FW344" s="567"/>
      <c r="FX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  <c r="BW345" s="567"/>
      <c r="BX345" s="567"/>
      <c r="BY345" s="567"/>
      <c r="BZ345" s="567"/>
      <c r="CA345" s="567"/>
      <c r="CB345" s="567"/>
      <c r="CC345" s="567"/>
      <c r="CD345" s="567"/>
      <c r="CE345" s="567"/>
      <c r="CF345" s="567"/>
      <c r="CG345" s="567"/>
      <c r="CH345" s="567"/>
      <c r="CI345" s="567"/>
      <c r="CJ345" s="567"/>
      <c r="CK345" s="567"/>
      <c r="CL345" s="567"/>
      <c r="CM345" s="567"/>
      <c r="CN345" s="567"/>
      <c r="CO345" s="567"/>
      <c r="CP345" s="567"/>
      <c r="CQ345" s="567"/>
      <c r="CR345" s="567"/>
      <c r="CS345" s="567"/>
      <c r="CT345" s="567"/>
      <c r="CU345" s="567"/>
      <c r="CV345" s="567"/>
      <c r="CW345" s="567"/>
      <c r="CX345" s="567"/>
      <c r="CY345" s="567"/>
      <c r="CZ345" s="567"/>
      <c r="DA345" s="567"/>
      <c r="DB345" s="567"/>
      <c r="DC345" s="567"/>
      <c r="DD345" s="567"/>
      <c r="DE345" s="567"/>
      <c r="DF345" s="567"/>
      <c r="DG345" s="567"/>
      <c r="DH345" s="567"/>
      <c r="DI345" s="567"/>
      <c r="DJ345" s="567"/>
      <c r="DK345" s="567"/>
      <c r="DL345" s="567"/>
      <c r="DM345" s="567"/>
      <c r="DN345" s="567"/>
      <c r="DO345" s="567"/>
      <c r="DP345" s="567"/>
      <c r="DQ345" s="567"/>
      <c r="DR345" s="567"/>
      <c r="DS345" s="567"/>
      <c r="DT345" s="567"/>
      <c r="DU345" s="567"/>
      <c r="DV345" s="567"/>
      <c r="DW345" s="567"/>
      <c r="DX345" s="567"/>
      <c r="DY345" s="567"/>
      <c r="DZ345" s="567"/>
      <c r="EA345" s="567"/>
      <c r="EB345" s="567"/>
      <c r="EC345" s="567"/>
      <c r="ED345" s="567"/>
      <c r="EE345" s="567"/>
      <c r="EF345" s="567"/>
      <c r="EG345" s="567"/>
      <c r="EH345" s="567"/>
      <c r="EI345" s="567"/>
      <c r="EJ345" s="567"/>
      <c r="EK345" s="567"/>
      <c r="EL345" s="567"/>
      <c r="EM345" s="567"/>
      <c r="EN345" s="567"/>
      <c r="EO345" s="567"/>
      <c r="EP345" s="567"/>
      <c r="EQ345" s="567"/>
      <c r="ER345" s="567"/>
      <c r="ES345" s="567"/>
      <c r="ET345" s="567"/>
      <c r="EU345" s="567"/>
      <c r="EV345" s="567"/>
      <c r="EW345" s="567"/>
      <c r="EX345" s="567"/>
      <c r="EY345" s="567"/>
      <c r="EZ345" s="567"/>
      <c r="FA345" s="567"/>
      <c r="FB345" s="567"/>
      <c r="FC345" s="567"/>
      <c r="FD345" s="567"/>
      <c r="FE345" s="567"/>
      <c r="FF345" s="567"/>
      <c r="FG345" s="567"/>
      <c r="FH345" s="567"/>
      <c r="FI345" s="567"/>
      <c r="FJ345" s="567"/>
      <c r="FK345" s="567"/>
      <c r="FL345" s="567"/>
      <c r="FM345" s="567"/>
      <c r="FN345" s="567"/>
      <c r="FO345" s="567"/>
      <c r="FP345" s="567"/>
      <c r="FQ345" s="567"/>
      <c r="FR345" s="567"/>
      <c r="FS345" s="567"/>
      <c r="FT345" s="567"/>
      <c r="FU345" s="567"/>
      <c r="FV345" s="567"/>
      <c r="FW345" s="567"/>
      <c r="FX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  <c r="BW346" s="567"/>
      <c r="BX346" s="567"/>
      <c r="BY346" s="567"/>
      <c r="BZ346" s="567"/>
      <c r="CA346" s="567"/>
      <c r="CB346" s="567"/>
      <c r="CC346" s="567"/>
      <c r="CD346" s="567"/>
      <c r="CE346" s="567"/>
      <c r="CF346" s="567"/>
      <c r="CG346" s="567"/>
      <c r="CH346" s="567"/>
      <c r="CI346" s="567"/>
      <c r="CJ346" s="567"/>
      <c r="CK346" s="567"/>
      <c r="CL346" s="567"/>
      <c r="CM346" s="567"/>
      <c r="CN346" s="567"/>
      <c r="CO346" s="567"/>
      <c r="CP346" s="567"/>
      <c r="CQ346" s="567"/>
      <c r="CR346" s="567"/>
      <c r="CS346" s="567"/>
      <c r="CT346" s="567"/>
      <c r="CU346" s="567"/>
      <c r="CV346" s="567"/>
      <c r="CW346" s="567"/>
      <c r="CX346" s="567"/>
      <c r="CY346" s="567"/>
      <c r="CZ346" s="567"/>
      <c r="DA346" s="567"/>
      <c r="DB346" s="567"/>
      <c r="DC346" s="567"/>
      <c r="DD346" s="567"/>
      <c r="DE346" s="567"/>
      <c r="DF346" s="567"/>
      <c r="DG346" s="567"/>
      <c r="DH346" s="567"/>
      <c r="DI346" s="567"/>
      <c r="DJ346" s="567"/>
      <c r="DK346" s="567"/>
      <c r="DL346" s="567"/>
      <c r="DM346" s="567"/>
      <c r="DN346" s="567"/>
      <c r="DO346" s="567"/>
      <c r="DP346" s="567"/>
      <c r="DQ346" s="567"/>
      <c r="DR346" s="567"/>
      <c r="DS346" s="567"/>
      <c r="DT346" s="567"/>
      <c r="DU346" s="567"/>
      <c r="DV346" s="567"/>
      <c r="DW346" s="567"/>
      <c r="DX346" s="567"/>
      <c r="DY346" s="567"/>
      <c r="DZ346" s="567"/>
      <c r="EA346" s="567"/>
      <c r="EB346" s="567"/>
      <c r="EC346" s="567"/>
      <c r="ED346" s="567"/>
      <c r="EE346" s="567"/>
      <c r="EF346" s="567"/>
      <c r="EG346" s="567"/>
      <c r="EH346" s="567"/>
      <c r="EI346" s="567"/>
      <c r="EJ346" s="567"/>
      <c r="EK346" s="567"/>
      <c r="EL346" s="567"/>
      <c r="EM346" s="567"/>
      <c r="EN346" s="567"/>
      <c r="EO346" s="567"/>
      <c r="EP346" s="567"/>
      <c r="EQ346" s="567"/>
      <c r="ER346" s="567"/>
      <c r="ES346" s="567"/>
      <c r="ET346" s="567"/>
      <c r="EU346" s="567"/>
      <c r="EV346" s="567"/>
      <c r="EW346" s="567"/>
      <c r="EX346" s="567"/>
      <c r="EY346" s="567"/>
      <c r="EZ346" s="567"/>
      <c r="FA346" s="567"/>
      <c r="FB346" s="567"/>
      <c r="FC346" s="567"/>
      <c r="FD346" s="567"/>
      <c r="FE346" s="567"/>
      <c r="FF346" s="567"/>
      <c r="FG346" s="567"/>
      <c r="FH346" s="567"/>
      <c r="FI346" s="567"/>
      <c r="FJ346" s="567"/>
      <c r="FK346" s="567"/>
      <c r="FL346" s="567"/>
      <c r="FM346" s="567"/>
      <c r="FN346" s="567"/>
      <c r="FO346" s="567"/>
      <c r="FP346" s="567"/>
      <c r="FQ346" s="567"/>
      <c r="FR346" s="567"/>
      <c r="FS346" s="567"/>
      <c r="FT346" s="567"/>
      <c r="FU346" s="567"/>
      <c r="FV346" s="567"/>
      <c r="FW346" s="567"/>
      <c r="FX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  <c r="BW347" s="567"/>
      <c r="BX347" s="567"/>
      <c r="BY347" s="567"/>
      <c r="BZ347" s="567"/>
      <c r="CA347" s="567"/>
      <c r="CB347" s="567"/>
      <c r="CC347" s="567"/>
      <c r="CD347" s="567"/>
      <c r="CE347" s="567"/>
      <c r="CF347" s="567"/>
      <c r="CG347" s="567"/>
      <c r="CH347" s="567"/>
      <c r="CI347" s="567"/>
      <c r="CJ347" s="567"/>
      <c r="CK347" s="567"/>
      <c r="CL347" s="567"/>
      <c r="CM347" s="567"/>
      <c r="CN347" s="567"/>
      <c r="CO347" s="567"/>
      <c r="CP347" s="567"/>
      <c r="CQ347" s="567"/>
      <c r="CR347" s="567"/>
      <c r="CS347" s="567"/>
      <c r="CT347" s="567"/>
      <c r="CU347" s="567"/>
      <c r="CV347" s="567"/>
      <c r="CW347" s="567"/>
      <c r="CX347" s="567"/>
      <c r="CY347" s="567"/>
      <c r="CZ347" s="567"/>
      <c r="DA347" s="567"/>
      <c r="DB347" s="567"/>
      <c r="DC347" s="567"/>
      <c r="DD347" s="567"/>
      <c r="DE347" s="567"/>
      <c r="DF347" s="567"/>
      <c r="DG347" s="567"/>
      <c r="DH347" s="567"/>
      <c r="DI347" s="567"/>
      <c r="DJ347" s="567"/>
      <c r="DK347" s="567"/>
      <c r="DL347" s="567"/>
      <c r="DM347" s="567"/>
      <c r="DN347" s="567"/>
      <c r="DO347" s="567"/>
      <c r="DP347" s="567"/>
      <c r="DQ347" s="567"/>
      <c r="DR347" s="567"/>
      <c r="DS347" s="567"/>
      <c r="DT347" s="567"/>
      <c r="DU347" s="567"/>
      <c r="DV347" s="567"/>
      <c r="DW347" s="567"/>
      <c r="DX347" s="567"/>
      <c r="DY347" s="567"/>
      <c r="DZ347" s="567"/>
      <c r="EA347" s="567"/>
      <c r="EB347" s="567"/>
      <c r="EC347" s="567"/>
      <c r="ED347" s="567"/>
      <c r="EE347" s="567"/>
      <c r="EF347" s="567"/>
      <c r="EG347" s="567"/>
      <c r="EH347" s="567"/>
      <c r="EI347" s="567"/>
      <c r="EJ347" s="567"/>
      <c r="EK347" s="567"/>
      <c r="EL347" s="567"/>
      <c r="EM347" s="567"/>
      <c r="EN347" s="567"/>
      <c r="EO347" s="567"/>
      <c r="EP347" s="567"/>
      <c r="EQ347" s="567"/>
      <c r="ER347" s="567"/>
      <c r="ES347" s="567"/>
      <c r="ET347" s="567"/>
      <c r="EU347" s="567"/>
      <c r="EV347" s="567"/>
      <c r="EW347" s="567"/>
      <c r="EX347" s="567"/>
      <c r="EY347" s="567"/>
      <c r="EZ347" s="567"/>
      <c r="FA347" s="567"/>
      <c r="FB347" s="567"/>
      <c r="FC347" s="567"/>
      <c r="FD347" s="567"/>
      <c r="FE347" s="567"/>
      <c r="FF347" s="567"/>
      <c r="FG347" s="567"/>
      <c r="FH347" s="567"/>
      <c r="FI347" s="567"/>
      <c r="FJ347" s="567"/>
      <c r="FK347" s="567"/>
      <c r="FL347" s="567"/>
      <c r="FM347" s="567"/>
      <c r="FN347" s="567"/>
      <c r="FO347" s="567"/>
      <c r="FP347" s="567"/>
      <c r="FQ347" s="567"/>
      <c r="FR347" s="567"/>
      <c r="FS347" s="567"/>
      <c r="FT347" s="567"/>
      <c r="FU347" s="567"/>
      <c r="FV347" s="567"/>
      <c r="FW347" s="567"/>
      <c r="FX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  <c r="BW348" s="567"/>
      <c r="BX348" s="567"/>
      <c r="BY348" s="567"/>
      <c r="BZ348" s="567"/>
      <c r="CA348" s="567"/>
      <c r="CB348" s="567"/>
      <c r="CC348" s="567"/>
      <c r="CD348" s="567"/>
      <c r="CE348" s="567"/>
      <c r="CF348" s="567"/>
      <c r="CG348" s="567"/>
      <c r="CH348" s="567"/>
      <c r="CI348" s="567"/>
      <c r="CJ348" s="567"/>
      <c r="CK348" s="567"/>
      <c r="CL348" s="567"/>
      <c r="CM348" s="567"/>
      <c r="CN348" s="567"/>
      <c r="CO348" s="567"/>
      <c r="CP348" s="567"/>
      <c r="CQ348" s="567"/>
      <c r="CR348" s="567"/>
      <c r="CS348" s="567"/>
      <c r="CT348" s="567"/>
      <c r="CU348" s="567"/>
      <c r="CV348" s="567"/>
      <c r="CW348" s="567"/>
      <c r="CX348" s="567"/>
      <c r="CY348" s="567"/>
      <c r="CZ348" s="567"/>
      <c r="DA348" s="567"/>
      <c r="DB348" s="567"/>
      <c r="DC348" s="567"/>
      <c r="DD348" s="567"/>
      <c r="DE348" s="567"/>
      <c r="DF348" s="567"/>
      <c r="DG348" s="567"/>
      <c r="DH348" s="567"/>
      <c r="DI348" s="567"/>
      <c r="DJ348" s="567"/>
      <c r="DK348" s="567"/>
      <c r="DL348" s="567"/>
      <c r="DM348" s="567"/>
      <c r="DN348" s="567"/>
      <c r="DO348" s="567"/>
      <c r="DP348" s="567"/>
      <c r="DQ348" s="567"/>
      <c r="DR348" s="567"/>
      <c r="DS348" s="567"/>
      <c r="DT348" s="567"/>
      <c r="DU348" s="567"/>
      <c r="DV348" s="567"/>
      <c r="DW348" s="567"/>
      <c r="DX348" s="567"/>
      <c r="DY348" s="567"/>
      <c r="DZ348" s="567"/>
      <c r="EA348" s="567"/>
      <c r="EB348" s="567"/>
      <c r="EC348" s="567"/>
      <c r="ED348" s="567"/>
      <c r="EE348" s="567"/>
      <c r="EF348" s="567"/>
      <c r="EG348" s="567"/>
      <c r="EH348" s="567"/>
      <c r="EI348" s="567"/>
      <c r="EJ348" s="567"/>
      <c r="EK348" s="567"/>
      <c r="EL348" s="567"/>
      <c r="EM348" s="567"/>
      <c r="EN348" s="567"/>
      <c r="EO348" s="567"/>
      <c r="EP348" s="567"/>
      <c r="EQ348" s="567"/>
      <c r="ER348" s="567"/>
      <c r="ES348" s="567"/>
      <c r="ET348" s="567"/>
      <c r="EU348" s="567"/>
      <c r="EV348" s="567"/>
      <c r="EW348" s="567"/>
      <c r="EX348" s="567"/>
      <c r="EY348" s="567"/>
      <c r="EZ348" s="567"/>
      <c r="FA348" s="567"/>
      <c r="FB348" s="567"/>
      <c r="FC348" s="567"/>
      <c r="FD348" s="567"/>
      <c r="FE348" s="567"/>
      <c r="FF348" s="567"/>
      <c r="FG348" s="567"/>
      <c r="FH348" s="567"/>
      <c r="FI348" s="567"/>
      <c r="FJ348" s="567"/>
      <c r="FK348" s="567"/>
      <c r="FL348" s="567"/>
      <c r="FM348" s="567"/>
      <c r="FN348" s="567"/>
      <c r="FO348" s="567"/>
      <c r="FP348" s="567"/>
      <c r="FQ348" s="567"/>
      <c r="FR348" s="567"/>
      <c r="FS348" s="567"/>
      <c r="FT348" s="567"/>
      <c r="FU348" s="567"/>
      <c r="FV348" s="567"/>
      <c r="FW348" s="567"/>
      <c r="FX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  <c r="BW349" s="567"/>
      <c r="BX349" s="567"/>
      <c r="BY349" s="567"/>
      <c r="BZ349" s="567"/>
      <c r="CA349" s="567"/>
      <c r="CB349" s="567"/>
      <c r="CC349" s="567"/>
      <c r="CD349" s="567"/>
      <c r="CE349" s="567"/>
      <c r="CF349" s="567"/>
      <c r="CG349" s="567"/>
      <c r="CH349" s="567"/>
      <c r="CI349" s="567"/>
      <c r="CJ349" s="567"/>
      <c r="CK349" s="567"/>
      <c r="CL349" s="567"/>
      <c r="CM349" s="567"/>
      <c r="CN349" s="567"/>
      <c r="CO349" s="567"/>
      <c r="CP349" s="567"/>
      <c r="CQ349" s="567"/>
      <c r="CR349" s="567"/>
      <c r="CS349" s="567"/>
      <c r="CT349" s="567"/>
      <c r="CU349" s="567"/>
      <c r="CV349" s="567"/>
      <c r="CW349" s="567"/>
      <c r="CX349" s="567"/>
      <c r="CY349" s="567"/>
      <c r="CZ349" s="567"/>
      <c r="DA349" s="567"/>
      <c r="DB349" s="567"/>
      <c r="DC349" s="567"/>
      <c r="DD349" s="567"/>
      <c r="DE349" s="567"/>
      <c r="DF349" s="567"/>
      <c r="DG349" s="567"/>
      <c r="DH349" s="567"/>
      <c r="DI349" s="567"/>
      <c r="DJ349" s="567"/>
      <c r="DK349" s="567"/>
      <c r="DL349" s="567"/>
      <c r="DM349" s="567"/>
      <c r="DN349" s="567"/>
      <c r="DO349" s="567"/>
      <c r="DP349" s="567"/>
      <c r="DQ349" s="567"/>
      <c r="DR349" s="567"/>
      <c r="DS349" s="567"/>
      <c r="DT349" s="567"/>
      <c r="DU349" s="567"/>
      <c r="DV349" s="567"/>
      <c r="DW349" s="567"/>
      <c r="DX349" s="567"/>
      <c r="DY349" s="567"/>
      <c r="DZ349" s="567"/>
      <c r="EA349" s="567"/>
      <c r="EB349" s="567"/>
      <c r="EC349" s="567"/>
      <c r="ED349" s="567"/>
      <c r="EE349" s="567"/>
      <c r="EF349" s="567"/>
      <c r="EG349" s="567"/>
      <c r="EH349" s="567"/>
      <c r="EI349" s="567"/>
      <c r="EJ349" s="567"/>
      <c r="EK349" s="567"/>
      <c r="EL349" s="567"/>
      <c r="EM349" s="567"/>
      <c r="EN349" s="567"/>
      <c r="EO349" s="567"/>
      <c r="EP349" s="567"/>
      <c r="EQ349" s="567"/>
      <c r="ER349" s="567"/>
      <c r="ES349" s="567"/>
      <c r="ET349" s="567"/>
      <c r="EU349" s="567"/>
      <c r="EV349" s="567"/>
      <c r="EW349" s="567"/>
      <c r="EX349" s="567"/>
      <c r="EY349" s="567"/>
      <c r="EZ349" s="567"/>
      <c r="FA349" s="567"/>
      <c r="FB349" s="567"/>
      <c r="FC349" s="567"/>
      <c r="FD349" s="567"/>
      <c r="FE349" s="567"/>
      <c r="FF349" s="567"/>
      <c r="FG349" s="567"/>
      <c r="FH349" s="567"/>
      <c r="FI349" s="567"/>
      <c r="FJ349" s="567"/>
      <c r="FK349" s="567"/>
      <c r="FL349" s="567"/>
      <c r="FM349" s="567"/>
      <c r="FN349" s="567"/>
      <c r="FO349" s="567"/>
      <c r="FP349" s="567"/>
      <c r="FQ349" s="567"/>
      <c r="FR349" s="567"/>
      <c r="FS349" s="567"/>
      <c r="FT349" s="567"/>
      <c r="FU349" s="567"/>
      <c r="FV349" s="567"/>
      <c r="FW349" s="567"/>
      <c r="FX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  <c r="BW350" s="567"/>
      <c r="BX350" s="567"/>
      <c r="BY350" s="567"/>
      <c r="BZ350" s="567"/>
      <c r="CA350" s="567"/>
      <c r="CB350" s="567"/>
      <c r="CC350" s="567"/>
      <c r="CD350" s="567"/>
      <c r="CE350" s="567"/>
      <c r="CF350" s="567"/>
      <c r="CG350" s="567"/>
      <c r="CH350" s="567"/>
      <c r="CI350" s="567"/>
      <c r="CJ350" s="567"/>
      <c r="CK350" s="567"/>
      <c r="CL350" s="567"/>
      <c r="CM350" s="567"/>
      <c r="CN350" s="567"/>
      <c r="CO350" s="567"/>
      <c r="CP350" s="567"/>
      <c r="CQ350" s="567"/>
      <c r="CR350" s="567"/>
      <c r="CS350" s="567"/>
      <c r="CT350" s="567"/>
      <c r="CU350" s="567"/>
      <c r="CV350" s="567"/>
      <c r="CW350" s="567"/>
      <c r="CX350" s="567"/>
      <c r="CY350" s="567"/>
      <c r="CZ350" s="567"/>
      <c r="DA350" s="567"/>
      <c r="DB350" s="567"/>
      <c r="DC350" s="567"/>
      <c r="DD350" s="567"/>
      <c r="DE350" s="567"/>
      <c r="DF350" s="567"/>
      <c r="DG350" s="567"/>
      <c r="DH350" s="567"/>
      <c r="DI350" s="567"/>
      <c r="DJ350" s="567"/>
      <c r="DK350" s="567"/>
      <c r="DL350" s="567"/>
      <c r="DM350" s="567"/>
      <c r="DN350" s="567"/>
      <c r="DO350" s="567"/>
      <c r="DP350" s="567"/>
      <c r="DQ350" s="567"/>
      <c r="DR350" s="567"/>
      <c r="DS350" s="567"/>
      <c r="DT350" s="567"/>
      <c r="DU350" s="567"/>
      <c r="DV350" s="567"/>
      <c r="DW350" s="567"/>
      <c r="DX350" s="567"/>
      <c r="DY350" s="567"/>
      <c r="DZ350" s="567"/>
      <c r="EA350" s="567"/>
      <c r="EB350" s="567"/>
      <c r="EC350" s="567"/>
      <c r="ED350" s="567"/>
      <c r="EE350" s="567"/>
      <c r="EF350" s="567"/>
      <c r="EG350" s="567"/>
      <c r="EH350" s="567"/>
      <c r="EI350" s="567"/>
      <c r="EJ350" s="567"/>
      <c r="EK350" s="567"/>
      <c r="EL350" s="567"/>
      <c r="EM350" s="567"/>
      <c r="EN350" s="567"/>
      <c r="EO350" s="567"/>
      <c r="EP350" s="567"/>
      <c r="EQ350" s="567"/>
      <c r="ER350" s="567"/>
      <c r="ES350" s="567"/>
      <c r="ET350" s="567"/>
      <c r="EU350" s="567"/>
      <c r="EV350" s="567"/>
      <c r="EW350" s="567"/>
      <c r="EX350" s="567"/>
      <c r="EY350" s="567"/>
      <c r="EZ350" s="567"/>
      <c r="FA350" s="567"/>
      <c r="FB350" s="567"/>
      <c r="FC350" s="567"/>
      <c r="FD350" s="567"/>
      <c r="FE350" s="567"/>
      <c r="FF350" s="567"/>
      <c r="FG350" s="567"/>
      <c r="FH350" s="567"/>
      <c r="FI350" s="567"/>
      <c r="FJ350" s="567"/>
      <c r="FK350" s="567"/>
      <c r="FL350" s="567"/>
      <c r="FM350" s="567"/>
      <c r="FN350" s="567"/>
      <c r="FO350" s="567"/>
      <c r="FP350" s="567"/>
      <c r="FQ350" s="567"/>
      <c r="FR350" s="567"/>
      <c r="FS350" s="567"/>
      <c r="FT350" s="567"/>
      <c r="FU350" s="567"/>
      <c r="FV350" s="567"/>
      <c r="FW350" s="567"/>
      <c r="FX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  <c r="BW351" s="567"/>
      <c r="BX351" s="567"/>
      <c r="BY351" s="567"/>
      <c r="BZ351" s="567"/>
      <c r="CA351" s="567"/>
      <c r="CB351" s="567"/>
      <c r="CC351" s="567"/>
      <c r="CD351" s="567"/>
      <c r="CE351" s="567"/>
      <c r="CF351" s="567"/>
      <c r="CG351" s="567"/>
      <c r="CH351" s="567"/>
      <c r="CI351" s="567"/>
      <c r="CJ351" s="567"/>
      <c r="CK351" s="567"/>
      <c r="CL351" s="567"/>
      <c r="CM351" s="567"/>
      <c r="CN351" s="567"/>
      <c r="CO351" s="567"/>
      <c r="CP351" s="567"/>
      <c r="CQ351" s="567"/>
      <c r="CR351" s="567"/>
      <c r="CS351" s="567"/>
      <c r="CT351" s="567"/>
      <c r="CU351" s="567"/>
      <c r="CV351" s="567"/>
      <c r="CW351" s="567"/>
      <c r="CX351" s="567"/>
      <c r="CY351" s="567"/>
      <c r="CZ351" s="567"/>
      <c r="DA351" s="567"/>
      <c r="DB351" s="567"/>
      <c r="DC351" s="567"/>
      <c r="DD351" s="567"/>
      <c r="DE351" s="567"/>
      <c r="DF351" s="567"/>
      <c r="DG351" s="567"/>
      <c r="DH351" s="567"/>
      <c r="DI351" s="567"/>
      <c r="DJ351" s="567"/>
      <c r="DK351" s="567"/>
      <c r="DL351" s="567"/>
      <c r="DM351" s="567"/>
      <c r="DN351" s="567"/>
      <c r="DO351" s="567"/>
      <c r="DP351" s="567"/>
      <c r="DQ351" s="567"/>
      <c r="DR351" s="567"/>
      <c r="DS351" s="567"/>
      <c r="DT351" s="567"/>
      <c r="DU351" s="567"/>
      <c r="DV351" s="567"/>
      <c r="DW351" s="567"/>
      <c r="DX351" s="567"/>
      <c r="DY351" s="567"/>
      <c r="DZ351" s="567"/>
      <c r="EA351" s="567"/>
      <c r="EB351" s="567"/>
      <c r="EC351" s="567"/>
      <c r="ED351" s="567"/>
      <c r="EE351" s="567"/>
      <c r="EF351" s="567"/>
      <c r="EG351" s="567"/>
      <c r="EH351" s="567"/>
      <c r="EI351" s="567"/>
      <c r="EJ351" s="567"/>
      <c r="EK351" s="567"/>
      <c r="EL351" s="567"/>
      <c r="EM351" s="567"/>
      <c r="EN351" s="567"/>
      <c r="EO351" s="567"/>
      <c r="EP351" s="567"/>
      <c r="EQ351" s="567"/>
      <c r="ER351" s="567"/>
      <c r="ES351" s="567"/>
      <c r="ET351" s="567"/>
      <c r="EU351" s="567"/>
      <c r="EV351" s="567"/>
      <c r="EW351" s="567"/>
      <c r="EX351" s="567"/>
      <c r="EY351" s="567"/>
      <c r="EZ351" s="567"/>
      <c r="FA351" s="567"/>
      <c r="FB351" s="567"/>
      <c r="FC351" s="567"/>
      <c r="FD351" s="567"/>
      <c r="FE351" s="567"/>
      <c r="FF351" s="567"/>
      <c r="FG351" s="567"/>
      <c r="FH351" s="567"/>
      <c r="FI351" s="567"/>
      <c r="FJ351" s="567"/>
      <c r="FK351" s="567"/>
      <c r="FL351" s="567"/>
      <c r="FM351" s="567"/>
      <c r="FN351" s="567"/>
      <c r="FO351" s="567"/>
      <c r="FP351" s="567"/>
      <c r="FQ351" s="567"/>
      <c r="FR351" s="567"/>
      <c r="FS351" s="567"/>
      <c r="FT351" s="567"/>
      <c r="FU351" s="567"/>
      <c r="FV351" s="567"/>
      <c r="FW351" s="567"/>
      <c r="FX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  <c r="BW352" s="567"/>
      <c r="BX352" s="567"/>
      <c r="BY352" s="567"/>
      <c r="BZ352" s="567"/>
      <c r="CA352" s="567"/>
      <c r="CB352" s="567"/>
      <c r="CC352" s="567"/>
      <c r="CD352" s="567"/>
      <c r="CE352" s="567"/>
      <c r="CF352" s="567"/>
      <c r="CG352" s="567"/>
      <c r="CH352" s="567"/>
      <c r="CI352" s="567"/>
      <c r="CJ352" s="567"/>
      <c r="CK352" s="567"/>
      <c r="CL352" s="567"/>
      <c r="CM352" s="567"/>
      <c r="CN352" s="567"/>
      <c r="CO352" s="567"/>
      <c r="CP352" s="567"/>
      <c r="CQ352" s="567"/>
      <c r="CR352" s="567"/>
      <c r="CS352" s="567"/>
      <c r="CT352" s="567"/>
      <c r="CU352" s="567"/>
      <c r="CV352" s="567"/>
      <c r="CW352" s="567"/>
      <c r="CX352" s="567"/>
      <c r="CY352" s="567"/>
      <c r="CZ352" s="567"/>
      <c r="DA352" s="567"/>
      <c r="DB352" s="567"/>
      <c r="DC352" s="567"/>
      <c r="DD352" s="567"/>
      <c r="DE352" s="567"/>
      <c r="DF352" s="567"/>
      <c r="DG352" s="567"/>
      <c r="DH352" s="567"/>
      <c r="DI352" s="567"/>
      <c r="DJ352" s="567"/>
      <c r="DK352" s="567"/>
      <c r="DL352" s="567"/>
      <c r="DM352" s="567"/>
      <c r="DN352" s="567"/>
      <c r="DO352" s="567"/>
      <c r="DP352" s="567"/>
      <c r="DQ352" s="567"/>
      <c r="DR352" s="567"/>
      <c r="DS352" s="567"/>
      <c r="DT352" s="567"/>
      <c r="DU352" s="567"/>
      <c r="DV352" s="567"/>
      <c r="DW352" s="567"/>
      <c r="DX352" s="567"/>
      <c r="DY352" s="567"/>
      <c r="DZ352" s="567"/>
      <c r="EA352" s="567"/>
      <c r="EB352" s="567"/>
      <c r="EC352" s="567"/>
      <c r="ED352" s="567"/>
      <c r="EE352" s="567"/>
      <c r="EF352" s="567"/>
      <c r="EG352" s="567"/>
      <c r="EH352" s="567"/>
      <c r="EI352" s="567"/>
      <c r="EJ352" s="567"/>
      <c r="EK352" s="567"/>
      <c r="EL352" s="567"/>
      <c r="EM352" s="567"/>
      <c r="EN352" s="567"/>
      <c r="EO352" s="567"/>
      <c r="EP352" s="567"/>
      <c r="EQ352" s="567"/>
      <c r="ER352" s="567"/>
      <c r="ES352" s="567"/>
      <c r="ET352" s="567"/>
      <c r="EU352" s="567"/>
      <c r="EV352" s="567"/>
      <c r="EW352" s="567"/>
      <c r="EX352" s="567"/>
      <c r="EY352" s="567"/>
      <c r="EZ352" s="567"/>
      <c r="FA352" s="567"/>
      <c r="FB352" s="567"/>
      <c r="FC352" s="567"/>
      <c r="FD352" s="567"/>
      <c r="FE352" s="567"/>
      <c r="FF352" s="567"/>
      <c r="FG352" s="567"/>
      <c r="FH352" s="567"/>
      <c r="FI352" s="567"/>
      <c r="FJ352" s="567"/>
      <c r="FK352" s="567"/>
      <c r="FL352" s="567"/>
      <c r="FM352" s="567"/>
      <c r="FN352" s="567"/>
      <c r="FO352" s="567"/>
      <c r="FP352" s="567"/>
      <c r="FQ352" s="567"/>
      <c r="FR352" s="567"/>
      <c r="FS352" s="567"/>
      <c r="FT352" s="567"/>
      <c r="FU352" s="567"/>
      <c r="FV352" s="567"/>
      <c r="FW352" s="567"/>
      <c r="FX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  <c r="BW353" s="567"/>
      <c r="BX353" s="567"/>
      <c r="BY353" s="567"/>
      <c r="BZ353" s="567"/>
      <c r="CA353" s="567"/>
      <c r="CB353" s="567"/>
      <c r="CC353" s="567"/>
      <c r="CD353" s="567"/>
      <c r="CE353" s="567"/>
      <c r="CF353" s="567"/>
      <c r="CG353" s="567"/>
      <c r="CH353" s="567"/>
      <c r="CI353" s="567"/>
      <c r="CJ353" s="567"/>
      <c r="CK353" s="567"/>
      <c r="CL353" s="567"/>
      <c r="CM353" s="567"/>
      <c r="CN353" s="567"/>
      <c r="CO353" s="567"/>
      <c r="CP353" s="567"/>
      <c r="CQ353" s="567"/>
      <c r="CR353" s="567"/>
      <c r="CS353" s="567"/>
      <c r="CT353" s="567"/>
      <c r="CU353" s="567"/>
      <c r="CV353" s="567"/>
      <c r="CW353" s="567"/>
      <c r="CX353" s="567"/>
      <c r="CY353" s="567"/>
      <c r="CZ353" s="567"/>
      <c r="DA353" s="567"/>
      <c r="DB353" s="567"/>
      <c r="DC353" s="567"/>
      <c r="DD353" s="567"/>
      <c r="DE353" s="567"/>
      <c r="DF353" s="567"/>
      <c r="DG353" s="567"/>
      <c r="DH353" s="567"/>
      <c r="DI353" s="567"/>
      <c r="DJ353" s="567"/>
      <c r="DK353" s="567"/>
      <c r="DL353" s="567"/>
      <c r="DM353" s="567"/>
      <c r="DN353" s="567"/>
      <c r="DO353" s="567"/>
      <c r="DP353" s="567"/>
      <c r="DQ353" s="567"/>
      <c r="DR353" s="567"/>
      <c r="DS353" s="567"/>
      <c r="DT353" s="567"/>
      <c r="DU353" s="567"/>
      <c r="DV353" s="567"/>
      <c r="DW353" s="567"/>
      <c r="DX353" s="567"/>
      <c r="DY353" s="567"/>
      <c r="DZ353" s="567"/>
      <c r="EA353" s="567"/>
      <c r="EB353" s="567"/>
      <c r="EC353" s="567"/>
      <c r="ED353" s="567"/>
      <c r="EE353" s="567"/>
      <c r="EF353" s="567"/>
      <c r="EG353" s="567"/>
      <c r="EH353" s="567"/>
      <c r="EI353" s="567"/>
      <c r="EJ353" s="567"/>
      <c r="EK353" s="567"/>
      <c r="EL353" s="567"/>
      <c r="EM353" s="567"/>
      <c r="EN353" s="567"/>
      <c r="EO353" s="567"/>
      <c r="EP353" s="567"/>
      <c r="EQ353" s="567"/>
      <c r="ER353" s="567"/>
      <c r="ES353" s="567"/>
      <c r="ET353" s="567"/>
      <c r="EU353" s="567"/>
      <c r="EV353" s="567"/>
      <c r="EW353" s="567"/>
      <c r="EX353" s="567"/>
      <c r="EY353" s="567"/>
      <c r="EZ353" s="567"/>
      <c r="FA353" s="567"/>
      <c r="FB353" s="567"/>
      <c r="FC353" s="567"/>
      <c r="FD353" s="567"/>
      <c r="FE353" s="567"/>
      <c r="FF353" s="567"/>
      <c r="FG353" s="567"/>
      <c r="FH353" s="567"/>
      <c r="FI353" s="567"/>
      <c r="FJ353" s="567"/>
      <c r="FK353" s="567"/>
      <c r="FL353" s="567"/>
      <c r="FM353" s="567"/>
      <c r="FN353" s="567"/>
      <c r="FO353" s="567"/>
      <c r="FP353" s="567"/>
      <c r="FQ353" s="567"/>
      <c r="FR353" s="567"/>
      <c r="FS353" s="567"/>
      <c r="FT353" s="567"/>
      <c r="FU353" s="567"/>
      <c r="FV353" s="567"/>
      <c r="FW353" s="567"/>
      <c r="FX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  <c r="BW354" s="567"/>
      <c r="BX354" s="567"/>
      <c r="BY354" s="567"/>
      <c r="BZ354" s="567"/>
      <c r="CA354" s="567"/>
      <c r="CB354" s="567"/>
      <c r="CC354" s="567"/>
      <c r="CD354" s="567"/>
      <c r="CE354" s="567"/>
      <c r="CF354" s="567"/>
      <c r="CG354" s="567"/>
      <c r="CH354" s="567"/>
      <c r="CI354" s="567"/>
      <c r="CJ354" s="567"/>
      <c r="CK354" s="567"/>
      <c r="CL354" s="567"/>
      <c r="CM354" s="567"/>
      <c r="CN354" s="567"/>
      <c r="CO354" s="567"/>
      <c r="CP354" s="567"/>
      <c r="CQ354" s="567"/>
      <c r="CR354" s="567"/>
      <c r="CS354" s="567"/>
      <c r="CT354" s="567"/>
      <c r="CU354" s="567"/>
      <c r="CV354" s="567"/>
      <c r="CW354" s="567"/>
      <c r="CX354" s="567"/>
      <c r="CY354" s="567"/>
      <c r="CZ354" s="567"/>
      <c r="DA354" s="567"/>
      <c r="DB354" s="567"/>
      <c r="DC354" s="567"/>
      <c r="DD354" s="567"/>
      <c r="DE354" s="567"/>
      <c r="DF354" s="567"/>
      <c r="DG354" s="567"/>
      <c r="DH354" s="567"/>
      <c r="DI354" s="567"/>
      <c r="DJ354" s="567"/>
      <c r="DK354" s="567"/>
      <c r="DL354" s="567"/>
      <c r="DM354" s="567"/>
      <c r="DN354" s="567"/>
      <c r="DO354" s="567"/>
      <c r="DP354" s="567"/>
      <c r="DQ354" s="567"/>
      <c r="DR354" s="567"/>
      <c r="DS354" s="567"/>
      <c r="DT354" s="567"/>
      <c r="DU354" s="567"/>
      <c r="DV354" s="567"/>
      <c r="DW354" s="567"/>
      <c r="DX354" s="567"/>
      <c r="DY354" s="567"/>
      <c r="DZ354" s="567"/>
      <c r="EA354" s="567"/>
      <c r="EB354" s="567"/>
      <c r="EC354" s="567"/>
      <c r="ED354" s="567"/>
      <c r="EE354" s="567"/>
      <c r="EF354" s="567"/>
      <c r="EG354" s="567"/>
      <c r="EH354" s="567"/>
      <c r="EI354" s="567"/>
      <c r="EJ354" s="567"/>
      <c r="EK354" s="567"/>
      <c r="EL354" s="567"/>
      <c r="EM354" s="567"/>
      <c r="EN354" s="567"/>
      <c r="EO354" s="567"/>
      <c r="EP354" s="567"/>
      <c r="EQ354" s="567"/>
      <c r="ER354" s="567"/>
      <c r="ES354" s="567"/>
      <c r="ET354" s="567"/>
      <c r="EU354" s="567"/>
      <c r="EV354" s="567"/>
      <c r="EW354" s="567"/>
      <c r="EX354" s="567"/>
      <c r="EY354" s="567"/>
      <c r="EZ354" s="567"/>
      <c r="FA354" s="567"/>
      <c r="FB354" s="567"/>
      <c r="FC354" s="567"/>
      <c r="FD354" s="567"/>
      <c r="FE354" s="567"/>
      <c r="FF354" s="567"/>
      <c r="FG354" s="567"/>
      <c r="FH354" s="567"/>
      <c r="FI354" s="567"/>
      <c r="FJ354" s="567"/>
      <c r="FK354" s="567"/>
      <c r="FL354" s="567"/>
      <c r="FM354" s="567"/>
      <c r="FN354" s="567"/>
      <c r="FO354" s="567"/>
      <c r="FP354" s="567"/>
      <c r="FQ354" s="567"/>
      <c r="FR354" s="567"/>
      <c r="FS354" s="567"/>
      <c r="FT354" s="567"/>
      <c r="FU354" s="567"/>
      <c r="FV354" s="567"/>
      <c r="FW354" s="567"/>
      <c r="FX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  <c r="BW355" s="567"/>
      <c r="BX355" s="567"/>
      <c r="BY355" s="567"/>
      <c r="BZ355" s="567"/>
      <c r="CA355" s="567"/>
      <c r="CB355" s="567"/>
      <c r="CC355" s="567"/>
      <c r="CD355" s="567"/>
      <c r="CE355" s="567"/>
      <c r="CF355" s="567"/>
      <c r="CG355" s="567"/>
      <c r="CH355" s="567"/>
      <c r="CI355" s="567"/>
      <c r="CJ355" s="567"/>
      <c r="CK355" s="567"/>
      <c r="CL355" s="567"/>
      <c r="CM355" s="567"/>
      <c r="CN355" s="567"/>
      <c r="CO355" s="567"/>
      <c r="CP355" s="567"/>
      <c r="CQ355" s="567"/>
      <c r="CR355" s="567"/>
      <c r="CS355" s="567"/>
      <c r="CT355" s="567"/>
      <c r="CU355" s="567"/>
      <c r="CV355" s="567"/>
      <c r="CW355" s="567"/>
      <c r="CX355" s="567"/>
      <c r="CY355" s="567"/>
      <c r="CZ355" s="567"/>
      <c r="DA355" s="567"/>
      <c r="DB355" s="567"/>
      <c r="DC355" s="567"/>
      <c r="DD355" s="567"/>
      <c r="DE355" s="567"/>
      <c r="DF355" s="567"/>
      <c r="DG355" s="567"/>
      <c r="DH355" s="567"/>
      <c r="DI355" s="567"/>
      <c r="DJ355" s="567"/>
      <c r="DK355" s="567"/>
      <c r="DL355" s="567"/>
      <c r="DM355" s="567"/>
      <c r="DN355" s="567"/>
      <c r="DO355" s="567"/>
      <c r="DP355" s="567"/>
      <c r="DQ355" s="567"/>
      <c r="DR355" s="567"/>
      <c r="DS355" s="567"/>
      <c r="DT355" s="567"/>
      <c r="DU355" s="567"/>
      <c r="DV355" s="567"/>
      <c r="DW355" s="567"/>
      <c r="DX355" s="567"/>
      <c r="DY355" s="567"/>
      <c r="DZ355" s="567"/>
      <c r="EA355" s="567"/>
      <c r="EB355" s="567"/>
      <c r="EC355" s="567"/>
      <c r="ED355" s="567"/>
      <c r="EE355" s="567"/>
      <c r="EF355" s="567"/>
      <c r="EG355" s="567"/>
      <c r="EH355" s="567"/>
      <c r="EI355" s="567"/>
      <c r="EJ355" s="567"/>
      <c r="EK355" s="567"/>
      <c r="EL355" s="567"/>
      <c r="EM355" s="567"/>
      <c r="EN355" s="567"/>
      <c r="EO355" s="567"/>
      <c r="EP355" s="567"/>
      <c r="EQ355" s="567"/>
      <c r="ER355" s="567"/>
      <c r="ES355" s="567"/>
      <c r="ET355" s="567"/>
      <c r="EU355" s="567"/>
      <c r="EV355" s="567"/>
      <c r="EW355" s="567"/>
      <c r="EX355" s="567"/>
      <c r="EY355" s="567"/>
      <c r="EZ355" s="567"/>
      <c r="FA355" s="567"/>
      <c r="FB355" s="567"/>
      <c r="FC355" s="567"/>
      <c r="FD355" s="567"/>
      <c r="FE355" s="567"/>
      <c r="FF355" s="567"/>
      <c r="FG355" s="567"/>
      <c r="FH355" s="567"/>
      <c r="FI355" s="567"/>
      <c r="FJ355" s="567"/>
      <c r="FK355" s="567"/>
      <c r="FL355" s="567"/>
      <c r="FM355" s="567"/>
      <c r="FN355" s="567"/>
      <c r="FO355" s="567"/>
      <c r="FP355" s="567"/>
      <c r="FQ355" s="567"/>
      <c r="FR355" s="567"/>
      <c r="FS355" s="567"/>
      <c r="FT355" s="567"/>
      <c r="FU355" s="567"/>
      <c r="FV355" s="567"/>
      <c r="FW355" s="567"/>
      <c r="FX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  <c r="BW356" s="567"/>
      <c r="BX356" s="567"/>
      <c r="BY356" s="567"/>
      <c r="BZ356" s="567"/>
      <c r="CA356" s="567"/>
      <c r="CB356" s="567"/>
      <c r="CC356" s="567"/>
      <c r="CD356" s="567"/>
      <c r="CE356" s="567"/>
      <c r="CF356" s="567"/>
      <c r="CG356" s="567"/>
      <c r="CH356" s="567"/>
      <c r="CI356" s="567"/>
      <c r="CJ356" s="567"/>
      <c r="CK356" s="567"/>
      <c r="CL356" s="567"/>
      <c r="CM356" s="567"/>
      <c r="CN356" s="567"/>
      <c r="CO356" s="567"/>
      <c r="CP356" s="567"/>
      <c r="CQ356" s="567"/>
      <c r="CR356" s="567"/>
      <c r="CS356" s="567"/>
      <c r="CT356" s="567"/>
      <c r="CU356" s="567"/>
      <c r="CV356" s="567"/>
      <c r="CW356" s="567"/>
      <c r="CX356" s="567"/>
      <c r="CY356" s="567"/>
      <c r="CZ356" s="567"/>
      <c r="DA356" s="567"/>
      <c r="DB356" s="567"/>
      <c r="DC356" s="567"/>
      <c r="DD356" s="567"/>
      <c r="DE356" s="567"/>
      <c r="DF356" s="567"/>
      <c r="DG356" s="567"/>
      <c r="DH356" s="567"/>
      <c r="DI356" s="567"/>
      <c r="DJ356" s="567"/>
      <c r="DK356" s="567"/>
      <c r="DL356" s="567"/>
      <c r="DM356" s="567"/>
      <c r="DN356" s="567"/>
      <c r="DO356" s="567"/>
      <c r="DP356" s="567"/>
      <c r="DQ356" s="567"/>
      <c r="DR356" s="567"/>
      <c r="DS356" s="567"/>
      <c r="DT356" s="567"/>
      <c r="DU356" s="567"/>
      <c r="DV356" s="567"/>
      <c r="DW356" s="567"/>
      <c r="DX356" s="567"/>
      <c r="DY356" s="567"/>
      <c r="DZ356" s="567"/>
      <c r="EA356" s="567"/>
      <c r="EB356" s="567"/>
      <c r="EC356" s="567"/>
      <c r="ED356" s="567"/>
      <c r="EE356" s="567"/>
      <c r="EF356" s="567"/>
      <c r="EG356" s="567"/>
      <c r="EH356" s="567"/>
      <c r="EI356" s="567"/>
      <c r="EJ356" s="567"/>
      <c r="EK356" s="567"/>
      <c r="EL356" s="567"/>
      <c r="EM356" s="567"/>
      <c r="EN356" s="567"/>
      <c r="EO356" s="567"/>
      <c r="EP356" s="567"/>
      <c r="EQ356" s="567"/>
      <c r="ER356" s="567"/>
      <c r="ES356" s="567"/>
      <c r="ET356" s="567"/>
      <c r="EU356" s="567"/>
      <c r="EV356" s="567"/>
      <c r="EW356" s="567"/>
      <c r="EX356" s="567"/>
      <c r="EY356" s="567"/>
      <c r="EZ356" s="567"/>
      <c r="FA356" s="567"/>
      <c r="FB356" s="567"/>
      <c r="FC356" s="567"/>
      <c r="FD356" s="567"/>
      <c r="FE356" s="567"/>
      <c r="FF356" s="567"/>
      <c r="FG356" s="567"/>
      <c r="FH356" s="567"/>
      <c r="FI356" s="567"/>
      <c r="FJ356" s="567"/>
      <c r="FK356" s="567"/>
      <c r="FL356" s="567"/>
      <c r="FM356" s="567"/>
      <c r="FN356" s="567"/>
      <c r="FO356" s="567"/>
      <c r="FP356" s="567"/>
      <c r="FQ356" s="567"/>
      <c r="FR356" s="567"/>
      <c r="FS356" s="567"/>
      <c r="FT356" s="567"/>
      <c r="FU356" s="567"/>
      <c r="FV356" s="567"/>
      <c r="FW356" s="567"/>
      <c r="FX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  <c r="BW357" s="567"/>
      <c r="BX357" s="567"/>
      <c r="BY357" s="567"/>
      <c r="BZ357" s="567"/>
      <c r="CA357" s="567"/>
      <c r="CB357" s="567"/>
      <c r="CC357" s="567"/>
      <c r="CD357" s="567"/>
      <c r="CE357" s="567"/>
      <c r="CF357" s="567"/>
      <c r="CG357" s="567"/>
      <c r="CH357" s="567"/>
      <c r="CI357" s="567"/>
      <c r="CJ357" s="567"/>
      <c r="CK357" s="567"/>
      <c r="CL357" s="567"/>
      <c r="CM357" s="567"/>
      <c r="CN357" s="567"/>
      <c r="CO357" s="567"/>
      <c r="CP357" s="567"/>
      <c r="CQ357" s="567"/>
      <c r="CR357" s="567"/>
      <c r="CS357" s="567"/>
      <c r="CT357" s="567"/>
      <c r="CU357" s="567"/>
      <c r="CV357" s="567"/>
      <c r="CW357" s="567"/>
      <c r="CX357" s="567"/>
      <c r="CY357" s="567"/>
      <c r="CZ357" s="567"/>
      <c r="DA357" s="567"/>
      <c r="DB357" s="567"/>
      <c r="DC357" s="567"/>
      <c r="DD357" s="567"/>
      <c r="DE357" s="567"/>
      <c r="DF357" s="567"/>
      <c r="DG357" s="567"/>
      <c r="DH357" s="567"/>
      <c r="DI357" s="567"/>
      <c r="DJ357" s="567"/>
      <c r="DK357" s="567"/>
      <c r="DL357" s="567"/>
      <c r="DM357" s="567"/>
      <c r="DN357" s="567"/>
      <c r="DO357" s="567"/>
      <c r="DP357" s="567"/>
      <c r="DQ357" s="567"/>
      <c r="DR357" s="567"/>
      <c r="DS357" s="567"/>
      <c r="DT357" s="567"/>
      <c r="DU357" s="567"/>
      <c r="DV357" s="567"/>
      <c r="DW357" s="567"/>
      <c r="DX357" s="567"/>
      <c r="DY357" s="567"/>
      <c r="DZ357" s="567"/>
      <c r="EA357" s="567"/>
      <c r="EB357" s="567"/>
      <c r="EC357" s="567"/>
      <c r="ED357" s="567"/>
      <c r="EE357" s="567"/>
      <c r="EF357" s="567"/>
      <c r="EG357" s="567"/>
      <c r="EH357" s="567"/>
      <c r="EI357" s="567"/>
      <c r="EJ357" s="567"/>
      <c r="EK357" s="567"/>
      <c r="EL357" s="567"/>
      <c r="EM357" s="567"/>
      <c r="EN357" s="567"/>
      <c r="EO357" s="567"/>
      <c r="EP357" s="567"/>
      <c r="EQ357" s="567"/>
      <c r="ER357" s="567"/>
      <c r="ES357" s="567"/>
      <c r="ET357" s="567"/>
      <c r="EU357" s="567"/>
      <c r="EV357" s="567"/>
      <c r="EW357" s="567"/>
      <c r="EX357" s="567"/>
      <c r="EY357" s="567"/>
      <c r="EZ357" s="567"/>
      <c r="FA357" s="567"/>
      <c r="FB357" s="567"/>
      <c r="FC357" s="567"/>
      <c r="FD357" s="567"/>
      <c r="FE357" s="567"/>
      <c r="FF357" s="567"/>
      <c r="FG357" s="567"/>
      <c r="FH357" s="567"/>
      <c r="FI357" s="567"/>
      <c r="FJ357" s="567"/>
      <c r="FK357" s="567"/>
      <c r="FL357" s="567"/>
      <c r="FM357" s="567"/>
      <c r="FN357" s="567"/>
      <c r="FO357" s="567"/>
      <c r="FP357" s="567"/>
      <c r="FQ357" s="567"/>
      <c r="FR357" s="567"/>
      <c r="FS357" s="567"/>
      <c r="FT357" s="567"/>
      <c r="FU357" s="567"/>
      <c r="FV357" s="567"/>
      <c r="FW357" s="567"/>
      <c r="FX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  <c r="BW358" s="567"/>
      <c r="BX358" s="567"/>
      <c r="BY358" s="567"/>
      <c r="BZ358" s="567"/>
      <c r="CA358" s="567"/>
      <c r="CB358" s="567"/>
      <c r="CC358" s="567"/>
      <c r="CD358" s="567"/>
      <c r="CE358" s="567"/>
      <c r="CF358" s="567"/>
      <c r="CG358" s="567"/>
      <c r="CH358" s="567"/>
      <c r="CI358" s="567"/>
      <c r="CJ358" s="567"/>
      <c r="CK358" s="567"/>
      <c r="CL358" s="567"/>
      <c r="CM358" s="567"/>
      <c r="CN358" s="567"/>
      <c r="CO358" s="567"/>
      <c r="CP358" s="567"/>
      <c r="CQ358" s="567"/>
      <c r="CR358" s="567"/>
      <c r="CS358" s="567"/>
      <c r="CT358" s="567"/>
      <c r="CU358" s="567"/>
      <c r="CV358" s="567"/>
      <c r="CW358" s="567"/>
      <c r="CX358" s="567"/>
      <c r="CY358" s="567"/>
      <c r="CZ358" s="567"/>
      <c r="DA358" s="567"/>
      <c r="DB358" s="567"/>
      <c r="DC358" s="567"/>
      <c r="DD358" s="567"/>
      <c r="DE358" s="567"/>
      <c r="DF358" s="567"/>
      <c r="DG358" s="567"/>
      <c r="DH358" s="567"/>
      <c r="DI358" s="567"/>
      <c r="DJ358" s="567"/>
      <c r="DK358" s="567"/>
      <c r="DL358" s="567"/>
      <c r="DM358" s="567"/>
      <c r="DN358" s="567"/>
      <c r="DO358" s="567"/>
      <c r="DP358" s="567"/>
      <c r="DQ358" s="567"/>
      <c r="DR358" s="567"/>
      <c r="DS358" s="567"/>
      <c r="DT358" s="567"/>
      <c r="DU358" s="567"/>
      <c r="DV358" s="567"/>
      <c r="DW358" s="567"/>
      <c r="DX358" s="567"/>
      <c r="DY358" s="567"/>
      <c r="DZ358" s="567"/>
      <c r="EA358" s="567"/>
      <c r="EB358" s="567"/>
      <c r="EC358" s="567"/>
      <c r="ED358" s="567"/>
      <c r="EE358" s="567"/>
      <c r="EF358" s="567"/>
      <c r="EG358" s="567"/>
      <c r="EH358" s="567"/>
      <c r="EI358" s="567"/>
      <c r="EJ358" s="567"/>
      <c r="EK358" s="567"/>
      <c r="EL358" s="567"/>
      <c r="EM358" s="567"/>
      <c r="EN358" s="567"/>
      <c r="EO358" s="567"/>
      <c r="EP358" s="567"/>
      <c r="EQ358" s="567"/>
      <c r="ER358" s="567"/>
      <c r="ES358" s="567"/>
      <c r="ET358" s="567"/>
      <c r="EU358" s="567"/>
      <c r="EV358" s="567"/>
      <c r="EW358" s="567"/>
      <c r="EX358" s="567"/>
      <c r="EY358" s="567"/>
      <c r="EZ358" s="567"/>
      <c r="FA358" s="567"/>
      <c r="FB358" s="567"/>
      <c r="FC358" s="567"/>
      <c r="FD358" s="567"/>
      <c r="FE358" s="567"/>
      <c r="FF358" s="567"/>
      <c r="FG358" s="567"/>
      <c r="FH358" s="567"/>
      <c r="FI358" s="567"/>
      <c r="FJ358" s="567"/>
      <c r="FK358" s="567"/>
      <c r="FL358" s="567"/>
      <c r="FM358" s="567"/>
      <c r="FN358" s="567"/>
      <c r="FO358" s="567"/>
      <c r="FP358" s="567"/>
      <c r="FQ358" s="567"/>
      <c r="FR358" s="567"/>
      <c r="FS358" s="567"/>
      <c r="FT358" s="567"/>
      <c r="FU358" s="567"/>
      <c r="FV358" s="567"/>
      <c r="FW358" s="567"/>
      <c r="FX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  <c r="BW359" s="567"/>
      <c r="BX359" s="567"/>
      <c r="BY359" s="567"/>
      <c r="BZ359" s="567"/>
      <c r="CA359" s="567"/>
      <c r="CB359" s="567"/>
      <c r="CC359" s="567"/>
      <c r="CD359" s="567"/>
      <c r="CE359" s="567"/>
      <c r="CF359" s="567"/>
      <c r="CG359" s="567"/>
      <c r="CH359" s="567"/>
      <c r="CI359" s="567"/>
      <c r="CJ359" s="567"/>
      <c r="CK359" s="567"/>
      <c r="CL359" s="567"/>
      <c r="CM359" s="567"/>
      <c r="CN359" s="567"/>
      <c r="CO359" s="567"/>
      <c r="CP359" s="567"/>
      <c r="CQ359" s="567"/>
      <c r="CR359" s="567"/>
      <c r="CS359" s="567"/>
      <c r="CT359" s="567"/>
      <c r="CU359" s="567"/>
      <c r="CV359" s="567"/>
      <c r="CW359" s="567"/>
      <c r="CX359" s="567"/>
      <c r="CY359" s="567"/>
      <c r="CZ359" s="567"/>
      <c r="DA359" s="567"/>
      <c r="DB359" s="567"/>
      <c r="DC359" s="567"/>
      <c r="DD359" s="567"/>
      <c r="DE359" s="567"/>
      <c r="DF359" s="567"/>
      <c r="DG359" s="567"/>
      <c r="DH359" s="567"/>
      <c r="DI359" s="567"/>
      <c r="DJ359" s="567"/>
      <c r="DK359" s="567"/>
      <c r="DL359" s="567"/>
      <c r="DM359" s="567"/>
      <c r="DN359" s="567"/>
      <c r="DO359" s="567"/>
      <c r="DP359" s="567"/>
      <c r="DQ359" s="567"/>
      <c r="DR359" s="567"/>
      <c r="DS359" s="567"/>
      <c r="DT359" s="567"/>
      <c r="DU359" s="567"/>
      <c r="DV359" s="567"/>
      <c r="DW359" s="567"/>
      <c r="DX359" s="567"/>
      <c r="DY359" s="567"/>
      <c r="DZ359" s="567"/>
      <c r="EA359" s="567"/>
      <c r="EB359" s="567"/>
      <c r="EC359" s="567"/>
      <c r="ED359" s="567"/>
      <c r="EE359" s="567"/>
      <c r="EF359" s="567"/>
      <c r="EG359" s="567"/>
      <c r="EH359" s="567"/>
      <c r="EI359" s="567"/>
      <c r="EJ359" s="567"/>
      <c r="EK359" s="567"/>
      <c r="EL359" s="567"/>
      <c r="EM359" s="567"/>
      <c r="EN359" s="567"/>
      <c r="EO359" s="567"/>
      <c r="EP359" s="567"/>
      <c r="EQ359" s="567"/>
      <c r="ER359" s="567"/>
      <c r="ES359" s="567"/>
      <c r="ET359" s="567"/>
      <c r="EU359" s="567"/>
      <c r="EV359" s="567"/>
      <c r="EW359" s="567"/>
      <c r="EX359" s="567"/>
      <c r="EY359" s="567"/>
      <c r="EZ359" s="567"/>
      <c r="FA359" s="567"/>
      <c r="FB359" s="567"/>
      <c r="FC359" s="567"/>
      <c r="FD359" s="567"/>
      <c r="FE359" s="567"/>
      <c r="FF359" s="567"/>
      <c r="FG359" s="567"/>
      <c r="FH359" s="567"/>
      <c r="FI359" s="567"/>
      <c r="FJ359" s="567"/>
      <c r="FK359" s="567"/>
      <c r="FL359" s="567"/>
      <c r="FM359" s="567"/>
      <c r="FN359" s="567"/>
      <c r="FO359" s="567"/>
      <c r="FP359" s="567"/>
      <c r="FQ359" s="567"/>
      <c r="FR359" s="567"/>
      <c r="FS359" s="567"/>
      <c r="FT359" s="567"/>
      <c r="FU359" s="567"/>
      <c r="FV359" s="567"/>
      <c r="FW359" s="567"/>
      <c r="FX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  <c r="BW360" s="567"/>
      <c r="BX360" s="567"/>
      <c r="BY360" s="567"/>
      <c r="BZ360" s="567"/>
      <c r="CA360" s="567"/>
      <c r="CB360" s="567"/>
      <c r="CC360" s="567"/>
      <c r="CD360" s="567"/>
      <c r="CE360" s="567"/>
      <c r="CF360" s="567"/>
      <c r="CG360" s="567"/>
      <c r="CH360" s="567"/>
      <c r="CI360" s="567"/>
      <c r="CJ360" s="567"/>
      <c r="CK360" s="567"/>
      <c r="CL360" s="567"/>
      <c r="CM360" s="567"/>
      <c r="CN360" s="567"/>
      <c r="CO360" s="567"/>
      <c r="CP360" s="567"/>
      <c r="CQ360" s="567"/>
      <c r="CR360" s="567"/>
      <c r="CS360" s="567"/>
      <c r="CT360" s="567"/>
      <c r="CU360" s="567"/>
      <c r="CV360" s="567"/>
      <c r="CW360" s="567"/>
      <c r="CX360" s="567"/>
      <c r="CY360" s="567"/>
      <c r="CZ360" s="567"/>
      <c r="DA360" s="567"/>
      <c r="DB360" s="567"/>
      <c r="DC360" s="567"/>
      <c r="DD360" s="567"/>
      <c r="DE360" s="567"/>
      <c r="DF360" s="567"/>
      <c r="DG360" s="567"/>
      <c r="DH360" s="567"/>
      <c r="DI360" s="567"/>
      <c r="DJ360" s="567"/>
      <c r="DK360" s="567"/>
      <c r="DL360" s="567"/>
      <c r="DM360" s="567"/>
      <c r="DN360" s="567"/>
      <c r="DO360" s="567"/>
      <c r="DP360" s="567"/>
      <c r="DQ360" s="567"/>
      <c r="DR360" s="567"/>
      <c r="DS360" s="567"/>
      <c r="DT360" s="567"/>
      <c r="DU360" s="567"/>
      <c r="DV360" s="567"/>
      <c r="DW360" s="567"/>
      <c r="DX360" s="567"/>
      <c r="DY360" s="567"/>
      <c r="DZ360" s="567"/>
      <c r="EA360" s="567"/>
      <c r="EB360" s="567"/>
      <c r="EC360" s="567"/>
      <c r="ED360" s="567"/>
      <c r="EE360" s="567"/>
      <c r="EF360" s="567"/>
      <c r="EG360" s="567"/>
      <c r="EH360" s="567"/>
      <c r="EI360" s="567"/>
      <c r="EJ360" s="567"/>
      <c r="EK360" s="567"/>
      <c r="EL360" s="567"/>
      <c r="EM360" s="567"/>
      <c r="EN360" s="567"/>
      <c r="EO360" s="567"/>
      <c r="EP360" s="567"/>
      <c r="EQ360" s="567"/>
      <c r="ER360" s="567"/>
      <c r="ES360" s="567"/>
      <c r="ET360" s="567"/>
      <c r="EU360" s="567"/>
      <c r="EV360" s="567"/>
      <c r="EW360" s="567"/>
      <c r="EX360" s="567"/>
      <c r="EY360" s="567"/>
      <c r="EZ360" s="567"/>
      <c r="FA360" s="567"/>
      <c r="FB360" s="567"/>
      <c r="FC360" s="567"/>
      <c r="FD360" s="567"/>
      <c r="FE360" s="567"/>
      <c r="FF360" s="567"/>
      <c r="FG360" s="567"/>
      <c r="FH360" s="567"/>
      <c r="FI360" s="567"/>
      <c r="FJ360" s="567"/>
      <c r="FK360" s="567"/>
      <c r="FL360" s="567"/>
      <c r="FM360" s="567"/>
      <c r="FN360" s="567"/>
      <c r="FO360" s="567"/>
      <c r="FP360" s="567"/>
      <c r="FQ360" s="567"/>
      <c r="FR360" s="567"/>
      <c r="FS360" s="567"/>
      <c r="FT360" s="567"/>
      <c r="FU360" s="567"/>
      <c r="FV360" s="567"/>
      <c r="FW360" s="567"/>
      <c r="FX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  <c r="BW361" s="567"/>
      <c r="BX361" s="567"/>
      <c r="BY361" s="567"/>
      <c r="BZ361" s="567"/>
      <c r="CA361" s="567"/>
      <c r="CB361" s="567"/>
      <c r="CC361" s="567"/>
      <c r="CD361" s="567"/>
      <c r="CE361" s="567"/>
      <c r="CF361" s="567"/>
      <c r="CG361" s="567"/>
      <c r="CH361" s="567"/>
      <c r="CI361" s="567"/>
      <c r="CJ361" s="567"/>
      <c r="CK361" s="567"/>
      <c r="CL361" s="567"/>
      <c r="CM361" s="567"/>
      <c r="CN361" s="567"/>
      <c r="CO361" s="567"/>
      <c r="CP361" s="567"/>
      <c r="CQ361" s="567"/>
      <c r="CR361" s="567"/>
      <c r="CS361" s="567"/>
      <c r="CT361" s="567"/>
      <c r="CU361" s="567"/>
      <c r="CV361" s="567"/>
      <c r="CW361" s="567"/>
      <c r="CX361" s="567"/>
      <c r="CY361" s="567"/>
      <c r="CZ361" s="567"/>
      <c r="DA361" s="567"/>
      <c r="DB361" s="567"/>
      <c r="DC361" s="567"/>
      <c r="DD361" s="567"/>
      <c r="DE361" s="567"/>
      <c r="DF361" s="567"/>
      <c r="DG361" s="567"/>
      <c r="DH361" s="567"/>
      <c r="DI361" s="567"/>
      <c r="DJ361" s="567"/>
      <c r="DK361" s="567"/>
      <c r="DL361" s="567"/>
      <c r="DM361" s="567"/>
      <c r="DN361" s="567"/>
      <c r="DO361" s="567"/>
      <c r="DP361" s="567"/>
      <c r="DQ361" s="567"/>
      <c r="DR361" s="567"/>
      <c r="DS361" s="567"/>
      <c r="DT361" s="567"/>
      <c r="DU361" s="567"/>
      <c r="DV361" s="567"/>
      <c r="DW361" s="567"/>
      <c r="DX361" s="567"/>
      <c r="DY361" s="567"/>
      <c r="DZ361" s="567"/>
      <c r="EA361" s="567"/>
      <c r="EB361" s="567"/>
      <c r="EC361" s="567"/>
      <c r="ED361" s="567"/>
      <c r="EE361" s="567"/>
      <c r="EF361" s="567"/>
      <c r="EG361" s="567"/>
      <c r="EH361" s="567"/>
      <c r="EI361" s="567"/>
      <c r="EJ361" s="567"/>
      <c r="EK361" s="567"/>
      <c r="EL361" s="567"/>
      <c r="EM361" s="567"/>
      <c r="EN361" s="567"/>
      <c r="EO361" s="567"/>
      <c r="EP361" s="567"/>
      <c r="EQ361" s="567"/>
      <c r="ER361" s="567"/>
      <c r="ES361" s="567"/>
      <c r="ET361" s="567"/>
      <c r="EU361" s="567"/>
      <c r="EV361" s="567"/>
      <c r="EW361" s="567"/>
      <c r="EX361" s="567"/>
      <c r="EY361" s="567"/>
      <c r="EZ361" s="567"/>
      <c r="FA361" s="567"/>
      <c r="FB361" s="567"/>
      <c r="FC361" s="567"/>
      <c r="FD361" s="567"/>
      <c r="FE361" s="567"/>
      <c r="FF361" s="567"/>
      <c r="FG361" s="567"/>
      <c r="FH361" s="567"/>
      <c r="FI361" s="567"/>
      <c r="FJ361" s="567"/>
      <c r="FK361" s="567"/>
      <c r="FL361" s="567"/>
      <c r="FM361" s="567"/>
      <c r="FN361" s="567"/>
      <c r="FO361" s="567"/>
      <c r="FP361" s="567"/>
      <c r="FQ361" s="567"/>
      <c r="FR361" s="567"/>
      <c r="FS361" s="567"/>
      <c r="FT361" s="567"/>
      <c r="FU361" s="567"/>
      <c r="FV361" s="567"/>
      <c r="FW361" s="567"/>
      <c r="FX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  <c r="BW362" s="567"/>
      <c r="BX362" s="567"/>
      <c r="BY362" s="567"/>
      <c r="BZ362" s="567"/>
      <c r="CA362" s="567"/>
      <c r="CB362" s="567"/>
      <c r="CC362" s="567"/>
      <c r="CD362" s="567"/>
      <c r="CE362" s="567"/>
      <c r="CF362" s="567"/>
      <c r="CG362" s="567"/>
      <c r="CH362" s="567"/>
      <c r="CI362" s="567"/>
      <c r="CJ362" s="567"/>
      <c r="CK362" s="567"/>
      <c r="CL362" s="567"/>
      <c r="CM362" s="567"/>
      <c r="CN362" s="567"/>
      <c r="CO362" s="567"/>
      <c r="CP362" s="567"/>
      <c r="CQ362" s="567"/>
      <c r="CR362" s="567"/>
      <c r="CS362" s="567"/>
      <c r="CT362" s="567"/>
      <c r="CU362" s="567"/>
      <c r="CV362" s="567"/>
      <c r="CW362" s="567"/>
      <c r="CX362" s="567"/>
      <c r="CY362" s="567"/>
      <c r="CZ362" s="567"/>
      <c r="DA362" s="567"/>
      <c r="DB362" s="567"/>
      <c r="DC362" s="567"/>
      <c r="DD362" s="567"/>
      <c r="DE362" s="567"/>
      <c r="DF362" s="567"/>
      <c r="DG362" s="567"/>
      <c r="DH362" s="567"/>
      <c r="DI362" s="567"/>
      <c r="DJ362" s="567"/>
      <c r="DK362" s="567"/>
      <c r="DL362" s="567"/>
      <c r="DM362" s="567"/>
      <c r="DN362" s="567"/>
      <c r="DO362" s="567"/>
      <c r="DP362" s="567"/>
      <c r="DQ362" s="567"/>
      <c r="DR362" s="567"/>
      <c r="DS362" s="567"/>
      <c r="DT362" s="567"/>
      <c r="DU362" s="567"/>
      <c r="DV362" s="567"/>
      <c r="DW362" s="567"/>
      <c r="DX362" s="567"/>
      <c r="DY362" s="567"/>
      <c r="DZ362" s="567"/>
      <c r="EA362" s="567"/>
      <c r="EB362" s="567"/>
      <c r="EC362" s="567"/>
      <c r="ED362" s="567"/>
      <c r="EE362" s="567"/>
      <c r="EF362" s="567"/>
      <c r="EG362" s="567"/>
      <c r="EH362" s="567"/>
      <c r="EI362" s="567"/>
      <c r="EJ362" s="567"/>
      <c r="EK362" s="567"/>
      <c r="EL362" s="567"/>
      <c r="EM362" s="567"/>
      <c r="EN362" s="567"/>
      <c r="EO362" s="567"/>
      <c r="EP362" s="567"/>
      <c r="EQ362" s="567"/>
      <c r="ER362" s="567"/>
      <c r="ES362" s="567"/>
      <c r="ET362" s="567"/>
      <c r="EU362" s="567"/>
      <c r="EV362" s="567"/>
      <c r="EW362" s="567"/>
      <c r="EX362" s="567"/>
      <c r="EY362" s="567"/>
      <c r="EZ362" s="567"/>
      <c r="FA362" s="567"/>
      <c r="FB362" s="567"/>
      <c r="FC362" s="567"/>
      <c r="FD362" s="567"/>
      <c r="FE362" s="567"/>
      <c r="FF362" s="567"/>
      <c r="FG362" s="567"/>
      <c r="FH362" s="567"/>
      <c r="FI362" s="567"/>
      <c r="FJ362" s="567"/>
      <c r="FK362" s="567"/>
      <c r="FL362" s="567"/>
      <c r="FM362" s="567"/>
      <c r="FN362" s="567"/>
      <c r="FO362" s="567"/>
      <c r="FP362" s="567"/>
      <c r="FQ362" s="567"/>
      <c r="FR362" s="567"/>
      <c r="FS362" s="567"/>
      <c r="FT362" s="567"/>
      <c r="FU362" s="567"/>
      <c r="FV362" s="567"/>
      <c r="FW362" s="567"/>
      <c r="FX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  <c r="BW363" s="567"/>
      <c r="BX363" s="567"/>
      <c r="BY363" s="567"/>
      <c r="BZ363" s="567"/>
      <c r="CA363" s="567"/>
      <c r="CB363" s="567"/>
      <c r="CC363" s="567"/>
      <c r="CD363" s="567"/>
      <c r="CE363" s="567"/>
      <c r="CF363" s="567"/>
      <c r="CG363" s="567"/>
      <c r="CH363" s="567"/>
      <c r="CI363" s="567"/>
      <c r="CJ363" s="567"/>
      <c r="CK363" s="567"/>
      <c r="CL363" s="567"/>
      <c r="CM363" s="567"/>
      <c r="CN363" s="567"/>
      <c r="CO363" s="567"/>
      <c r="CP363" s="567"/>
      <c r="CQ363" s="567"/>
      <c r="CR363" s="567"/>
      <c r="CS363" s="567"/>
      <c r="CT363" s="567"/>
      <c r="CU363" s="567"/>
      <c r="CV363" s="567"/>
      <c r="CW363" s="567"/>
      <c r="CX363" s="567"/>
      <c r="CY363" s="567"/>
      <c r="CZ363" s="567"/>
      <c r="DA363" s="567"/>
      <c r="DB363" s="567"/>
      <c r="DC363" s="567"/>
      <c r="DD363" s="567"/>
      <c r="DE363" s="567"/>
      <c r="DF363" s="567"/>
      <c r="DG363" s="567"/>
      <c r="DH363" s="567"/>
      <c r="DI363" s="567"/>
      <c r="DJ363" s="567"/>
      <c r="DK363" s="567"/>
      <c r="DL363" s="567"/>
      <c r="DM363" s="567"/>
      <c r="DN363" s="567"/>
      <c r="DO363" s="567"/>
      <c r="DP363" s="567"/>
      <c r="DQ363" s="567"/>
      <c r="DR363" s="567"/>
      <c r="DS363" s="567"/>
      <c r="DT363" s="567"/>
      <c r="DU363" s="567"/>
      <c r="DV363" s="567"/>
      <c r="DW363" s="567"/>
      <c r="DX363" s="567"/>
      <c r="DY363" s="567"/>
      <c r="DZ363" s="567"/>
      <c r="EA363" s="567"/>
      <c r="EB363" s="567"/>
      <c r="EC363" s="567"/>
      <c r="ED363" s="567"/>
      <c r="EE363" s="567"/>
      <c r="EF363" s="567"/>
      <c r="EG363" s="567"/>
      <c r="EH363" s="567"/>
      <c r="EI363" s="567"/>
      <c r="EJ363" s="567"/>
      <c r="EK363" s="567"/>
      <c r="EL363" s="567"/>
      <c r="EM363" s="567"/>
      <c r="EN363" s="567"/>
      <c r="EO363" s="567"/>
      <c r="EP363" s="567"/>
      <c r="EQ363" s="567"/>
      <c r="ER363" s="567"/>
      <c r="ES363" s="567"/>
      <c r="ET363" s="567"/>
      <c r="EU363" s="567"/>
      <c r="EV363" s="567"/>
      <c r="EW363" s="567"/>
      <c r="EX363" s="567"/>
      <c r="EY363" s="567"/>
      <c r="EZ363" s="567"/>
      <c r="FA363" s="567"/>
      <c r="FB363" s="567"/>
      <c r="FC363" s="567"/>
      <c r="FD363" s="567"/>
      <c r="FE363" s="567"/>
      <c r="FF363" s="567"/>
      <c r="FG363" s="567"/>
      <c r="FH363" s="567"/>
      <c r="FI363" s="567"/>
      <c r="FJ363" s="567"/>
      <c r="FK363" s="567"/>
      <c r="FL363" s="567"/>
      <c r="FM363" s="567"/>
      <c r="FN363" s="567"/>
      <c r="FO363" s="567"/>
      <c r="FP363" s="567"/>
      <c r="FQ363" s="567"/>
      <c r="FR363" s="567"/>
      <c r="FS363" s="567"/>
      <c r="FT363" s="567"/>
      <c r="FU363" s="567"/>
      <c r="FV363" s="567"/>
      <c r="FW363" s="567"/>
      <c r="FX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  <c r="BW364" s="567"/>
      <c r="BX364" s="567"/>
      <c r="BY364" s="567"/>
      <c r="BZ364" s="567"/>
      <c r="CA364" s="567"/>
      <c r="CB364" s="567"/>
      <c r="CC364" s="567"/>
      <c r="CD364" s="567"/>
      <c r="CE364" s="567"/>
      <c r="CF364" s="567"/>
      <c r="CG364" s="567"/>
      <c r="CH364" s="567"/>
      <c r="CI364" s="567"/>
      <c r="CJ364" s="567"/>
      <c r="CK364" s="567"/>
      <c r="CL364" s="567"/>
      <c r="CM364" s="567"/>
      <c r="CN364" s="567"/>
      <c r="CO364" s="567"/>
      <c r="CP364" s="567"/>
      <c r="CQ364" s="567"/>
      <c r="CR364" s="567"/>
      <c r="CS364" s="567"/>
      <c r="CT364" s="567"/>
      <c r="CU364" s="567"/>
      <c r="CV364" s="567"/>
      <c r="CW364" s="567"/>
      <c r="CX364" s="567"/>
      <c r="CY364" s="567"/>
      <c r="CZ364" s="567"/>
      <c r="DA364" s="567"/>
      <c r="DB364" s="567"/>
      <c r="DC364" s="567"/>
      <c r="DD364" s="567"/>
      <c r="DE364" s="567"/>
      <c r="DF364" s="567"/>
      <c r="DG364" s="567"/>
      <c r="DH364" s="567"/>
      <c r="DI364" s="567"/>
      <c r="DJ364" s="567"/>
      <c r="DK364" s="567"/>
      <c r="DL364" s="567"/>
      <c r="DM364" s="567"/>
      <c r="DN364" s="567"/>
      <c r="DO364" s="567"/>
      <c r="DP364" s="567"/>
      <c r="DQ364" s="567"/>
      <c r="DR364" s="567"/>
      <c r="DS364" s="567"/>
      <c r="DT364" s="567"/>
      <c r="DU364" s="567"/>
      <c r="DV364" s="567"/>
      <c r="DW364" s="567"/>
      <c r="DX364" s="567"/>
      <c r="DY364" s="567"/>
      <c r="DZ364" s="567"/>
      <c r="EA364" s="567"/>
      <c r="EB364" s="567"/>
      <c r="EC364" s="567"/>
      <c r="ED364" s="567"/>
      <c r="EE364" s="567"/>
      <c r="EF364" s="567"/>
      <c r="EG364" s="567"/>
      <c r="EH364" s="567"/>
      <c r="EI364" s="567"/>
      <c r="EJ364" s="567"/>
      <c r="EK364" s="567"/>
      <c r="EL364" s="567"/>
      <c r="EM364" s="567"/>
      <c r="EN364" s="567"/>
      <c r="EO364" s="567"/>
      <c r="EP364" s="567"/>
      <c r="EQ364" s="567"/>
      <c r="ER364" s="567"/>
      <c r="ES364" s="567"/>
      <c r="ET364" s="567"/>
      <c r="EU364" s="567"/>
      <c r="EV364" s="567"/>
      <c r="EW364" s="567"/>
      <c r="EX364" s="567"/>
      <c r="EY364" s="567"/>
      <c r="EZ364" s="567"/>
      <c r="FA364" s="567"/>
      <c r="FB364" s="567"/>
      <c r="FC364" s="567"/>
      <c r="FD364" s="567"/>
      <c r="FE364" s="567"/>
      <c r="FF364" s="567"/>
      <c r="FG364" s="567"/>
      <c r="FH364" s="567"/>
      <c r="FI364" s="567"/>
      <c r="FJ364" s="567"/>
      <c r="FK364" s="567"/>
      <c r="FL364" s="567"/>
      <c r="FM364" s="567"/>
      <c r="FN364" s="567"/>
      <c r="FO364" s="567"/>
      <c r="FP364" s="567"/>
      <c r="FQ364" s="567"/>
      <c r="FR364" s="567"/>
      <c r="FS364" s="567"/>
      <c r="FT364" s="567"/>
      <c r="FU364" s="567"/>
      <c r="FV364" s="567"/>
      <c r="FW364" s="567"/>
      <c r="FX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  <c r="BW365" s="567"/>
      <c r="BX365" s="567"/>
      <c r="BY365" s="567"/>
      <c r="BZ365" s="567"/>
      <c r="CA365" s="567"/>
      <c r="CB365" s="567"/>
      <c r="CC365" s="567"/>
      <c r="CD365" s="567"/>
      <c r="CE365" s="567"/>
      <c r="CF365" s="567"/>
      <c r="CG365" s="567"/>
      <c r="CH365" s="567"/>
      <c r="CI365" s="567"/>
      <c r="CJ365" s="567"/>
      <c r="CK365" s="567"/>
      <c r="CL365" s="567"/>
      <c r="CM365" s="567"/>
      <c r="CN365" s="567"/>
      <c r="CO365" s="567"/>
      <c r="CP365" s="567"/>
      <c r="CQ365" s="567"/>
      <c r="CR365" s="567"/>
      <c r="CS365" s="567"/>
      <c r="CT365" s="567"/>
      <c r="CU365" s="567"/>
      <c r="CV365" s="567"/>
      <c r="CW365" s="567"/>
      <c r="CX365" s="567"/>
      <c r="CY365" s="567"/>
      <c r="CZ365" s="567"/>
      <c r="DA365" s="567"/>
      <c r="DB365" s="567"/>
      <c r="DC365" s="567"/>
      <c r="DD365" s="567"/>
      <c r="DE365" s="567"/>
      <c r="DF365" s="567"/>
      <c r="DG365" s="567"/>
      <c r="DH365" s="567"/>
      <c r="DI365" s="567"/>
      <c r="DJ365" s="567"/>
      <c r="DK365" s="567"/>
      <c r="DL365" s="567"/>
      <c r="DM365" s="567"/>
      <c r="DN365" s="567"/>
      <c r="DO365" s="567"/>
      <c r="DP365" s="567"/>
      <c r="DQ365" s="567"/>
      <c r="DR365" s="567"/>
      <c r="DS365" s="567"/>
      <c r="DT365" s="567"/>
      <c r="DU365" s="567"/>
      <c r="DV365" s="567"/>
      <c r="DW365" s="567"/>
      <c r="DX365" s="567"/>
      <c r="DY365" s="567"/>
      <c r="DZ365" s="567"/>
      <c r="EA365" s="567"/>
      <c r="EB365" s="567"/>
      <c r="EC365" s="567"/>
      <c r="ED365" s="567"/>
      <c r="EE365" s="567"/>
      <c r="EF365" s="567"/>
      <c r="EG365" s="567"/>
      <c r="EH365" s="567"/>
      <c r="EI365" s="567"/>
      <c r="EJ365" s="567"/>
      <c r="EK365" s="567"/>
      <c r="EL365" s="567"/>
      <c r="EM365" s="567"/>
      <c r="EN365" s="567"/>
      <c r="EO365" s="567"/>
      <c r="EP365" s="567"/>
      <c r="EQ365" s="567"/>
      <c r="ER365" s="567"/>
      <c r="ES365" s="567"/>
      <c r="ET365" s="567"/>
      <c r="EU365" s="567"/>
      <c r="EV365" s="567"/>
      <c r="EW365" s="567"/>
      <c r="EX365" s="567"/>
      <c r="EY365" s="567"/>
      <c r="EZ365" s="567"/>
      <c r="FA365" s="567"/>
      <c r="FB365" s="567"/>
      <c r="FC365" s="567"/>
      <c r="FD365" s="567"/>
      <c r="FE365" s="567"/>
      <c r="FF365" s="567"/>
      <c r="FG365" s="567"/>
      <c r="FH365" s="567"/>
      <c r="FI365" s="567"/>
      <c r="FJ365" s="567"/>
      <c r="FK365" s="567"/>
      <c r="FL365" s="567"/>
      <c r="FM365" s="567"/>
      <c r="FN365" s="567"/>
      <c r="FO365" s="567"/>
      <c r="FP365" s="567"/>
      <c r="FQ365" s="567"/>
      <c r="FR365" s="567"/>
      <c r="FS365" s="567"/>
      <c r="FT365" s="567"/>
      <c r="FU365" s="567"/>
      <c r="FV365" s="567"/>
      <c r="FW365" s="567"/>
      <c r="FX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  <c r="BW366" s="567"/>
      <c r="BX366" s="567"/>
      <c r="BY366" s="567"/>
      <c r="BZ366" s="567"/>
      <c r="CA366" s="567"/>
      <c r="CB366" s="567"/>
      <c r="CC366" s="567"/>
      <c r="CD366" s="567"/>
      <c r="CE366" s="567"/>
      <c r="CF366" s="567"/>
      <c r="CG366" s="567"/>
      <c r="CH366" s="567"/>
      <c r="CI366" s="567"/>
      <c r="CJ366" s="567"/>
      <c r="CK366" s="567"/>
      <c r="CL366" s="567"/>
      <c r="CM366" s="567"/>
      <c r="CN366" s="567"/>
      <c r="CO366" s="567"/>
      <c r="CP366" s="567"/>
      <c r="CQ366" s="567"/>
      <c r="CR366" s="567"/>
      <c r="CS366" s="567"/>
      <c r="CT366" s="567"/>
      <c r="CU366" s="567"/>
      <c r="CV366" s="567"/>
      <c r="CW366" s="567"/>
      <c r="CX366" s="567"/>
      <c r="CY366" s="567"/>
      <c r="CZ366" s="567"/>
      <c r="DA366" s="567"/>
      <c r="DB366" s="567"/>
      <c r="DC366" s="567"/>
      <c r="DD366" s="567"/>
      <c r="DE366" s="567"/>
      <c r="DF366" s="567"/>
      <c r="DG366" s="567"/>
      <c r="DH366" s="567"/>
      <c r="DI366" s="567"/>
      <c r="DJ366" s="567"/>
      <c r="DK366" s="567"/>
      <c r="DL366" s="567"/>
      <c r="DM366" s="567"/>
      <c r="DN366" s="567"/>
      <c r="DO366" s="567"/>
      <c r="DP366" s="567"/>
      <c r="DQ366" s="567"/>
      <c r="DR366" s="567"/>
      <c r="DS366" s="567"/>
      <c r="DT366" s="567"/>
      <c r="DU366" s="567"/>
      <c r="DV366" s="567"/>
      <c r="DW366" s="567"/>
      <c r="DX366" s="567"/>
      <c r="DY366" s="567"/>
      <c r="DZ366" s="567"/>
      <c r="EA366" s="567"/>
      <c r="EB366" s="567"/>
      <c r="EC366" s="567"/>
      <c r="ED366" s="567"/>
      <c r="EE366" s="567"/>
      <c r="EF366" s="567"/>
      <c r="EG366" s="567"/>
      <c r="EH366" s="567"/>
      <c r="EI366" s="567"/>
      <c r="EJ366" s="567"/>
      <c r="EK366" s="567"/>
      <c r="EL366" s="567"/>
      <c r="EM366" s="567"/>
      <c r="EN366" s="567"/>
      <c r="EO366" s="567"/>
      <c r="EP366" s="567"/>
      <c r="EQ366" s="567"/>
      <c r="ER366" s="567"/>
      <c r="ES366" s="567"/>
      <c r="ET366" s="567"/>
      <c r="EU366" s="567"/>
      <c r="EV366" s="567"/>
      <c r="EW366" s="567"/>
      <c r="EX366" s="567"/>
      <c r="EY366" s="567"/>
      <c r="EZ366" s="567"/>
      <c r="FA366" s="567"/>
      <c r="FB366" s="567"/>
      <c r="FC366" s="567"/>
      <c r="FD366" s="567"/>
      <c r="FE366" s="567"/>
      <c r="FF366" s="567"/>
      <c r="FG366" s="567"/>
      <c r="FH366" s="567"/>
      <c r="FI366" s="567"/>
      <c r="FJ366" s="567"/>
      <c r="FK366" s="567"/>
      <c r="FL366" s="567"/>
      <c r="FM366" s="567"/>
      <c r="FN366" s="567"/>
      <c r="FO366" s="567"/>
      <c r="FP366" s="567"/>
      <c r="FQ366" s="567"/>
      <c r="FR366" s="567"/>
      <c r="FS366" s="567"/>
      <c r="FT366" s="567"/>
      <c r="FU366" s="567"/>
      <c r="FV366" s="567"/>
      <c r="FW366" s="567"/>
      <c r="FX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  <c r="BW367" s="567"/>
      <c r="BX367" s="567"/>
      <c r="BY367" s="567"/>
      <c r="BZ367" s="567"/>
      <c r="CA367" s="567"/>
      <c r="CB367" s="567"/>
      <c r="CC367" s="567"/>
      <c r="CD367" s="567"/>
      <c r="CE367" s="567"/>
      <c r="CF367" s="567"/>
      <c r="CG367" s="567"/>
      <c r="CH367" s="567"/>
      <c r="CI367" s="567"/>
      <c r="CJ367" s="567"/>
      <c r="CK367" s="567"/>
      <c r="CL367" s="567"/>
      <c r="CM367" s="567"/>
      <c r="CN367" s="567"/>
      <c r="CO367" s="567"/>
      <c r="CP367" s="567"/>
      <c r="CQ367" s="567"/>
      <c r="CR367" s="567"/>
      <c r="CS367" s="567"/>
      <c r="CT367" s="567"/>
      <c r="CU367" s="567"/>
      <c r="CV367" s="567"/>
      <c r="CW367" s="567"/>
      <c r="CX367" s="567"/>
      <c r="CY367" s="567"/>
      <c r="CZ367" s="567"/>
      <c r="DA367" s="567"/>
      <c r="DB367" s="567"/>
      <c r="DC367" s="567"/>
      <c r="DD367" s="567"/>
      <c r="DE367" s="567"/>
      <c r="DF367" s="567"/>
      <c r="DG367" s="567"/>
      <c r="DH367" s="567"/>
      <c r="DI367" s="567"/>
      <c r="DJ367" s="567"/>
      <c r="DK367" s="567"/>
      <c r="DL367" s="567"/>
      <c r="DM367" s="567"/>
      <c r="DN367" s="567"/>
      <c r="DO367" s="567"/>
      <c r="DP367" s="567"/>
      <c r="DQ367" s="567"/>
      <c r="DR367" s="567"/>
      <c r="DS367" s="567"/>
      <c r="DT367" s="567"/>
      <c r="DU367" s="567"/>
      <c r="DV367" s="567"/>
      <c r="DW367" s="567"/>
      <c r="DX367" s="567"/>
      <c r="DY367" s="567"/>
      <c r="DZ367" s="567"/>
      <c r="EA367" s="567"/>
      <c r="EB367" s="567"/>
      <c r="EC367" s="567"/>
      <c r="ED367" s="567"/>
      <c r="EE367" s="567"/>
      <c r="EF367" s="567"/>
      <c r="EG367" s="567"/>
      <c r="EH367" s="567"/>
      <c r="EI367" s="567"/>
      <c r="EJ367" s="567"/>
      <c r="EK367" s="567"/>
      <c r="EL367" s="567"/>
      <c r="EM367" s="567"/>
      <c r="EN367" s="567"/>
      <c r="EO367" s="567"/>
      <c r="EP367" s="567"/>
      <c r="EQ367" s="567"/>
      <c r="ER367" s="567"/>
      <c r="ES367" s="567"/>
      <c r="ET367" s="567"/>
      <c r="EU367" s="567"/>
      <c r="EV367" s="567"/>
      <c r="EW367" s="567"/>
      <c r="EX367" s="567"/>
      <c r="EY367" s="567"/>
      <c r="EZ367" s="567"/>
      <c r="FA367" s="567"/>
      <c r="FB367" s="567"/>
      <c r="FC367" s="567"/>
      <c r="FD367" s="567"/>
      <c r="FE367" s="567"/>
      <c r="FF367" s="567"/>
      <c r="FG367" s="567"/>
      <c r="FH367" s="567"/>
      <c r="FI367" s="567"/>
      <c r="FJ367" s="567"/>
      <c r="FK367" s="567"/>
      <c r="FL367" s="567"/>
      <c r="FM367" s="567"/>
      <c r="FN367" s="567"/>
      <c r="FO367" s="567"/>
      <c r="FP367" s="567"/>
      <c r="FQ367" s="567"/>
      <c r="FR367" s="567"/>
      <c r="FS367" s="567"/>
      <c r="FT367" s="567"/>
      <c r="FU367" s="567"/>
      <c r="FV367" s="567"/>
      <c r="FW367" s="567"/>
      <c r="FX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  <c r="BW368" s="567"/>
      <c r="BX368" s="567"/>
      <c r="BY368" s="567"/>
      <c r="BZ368" s="567"/>
      <c r="CA368" s="567"/>
      <c r="CB368" s="567"/>
      <c r="CC368" s="567"/>
      <c r="CD368" s="567"/>
      <c r="CE368" s="567"/>
      <c r="CF368" s="567"/>
      <c r="CG368" s="567"/>
      <c r="CH368" s="567"/>
      <c r="CI368" s="567"/>
      <c r="CJ368" s="567"/>
      <c r="CK368" s="567"/>
      <c r="CL368" s="567"/>
      <c r="CM368" s="567"/>
      <c r="CN368" s="567"/>
      <c r="CO368" s="567"/>
      <c r="CP368" s="567"/>
      <c r="CQ368" s="567"/>
      <c r="CR368" s="567"/>
      <c r="CS368" s="567"/>
      <c r="CT368" s="567"/>
      <c r="CU368" s="567"/>
      <c r="CV368" s="567"/>
      <c r="CW368" s="567"/>
      <c r="CX368" s="567"/>
      <c r="CY368" s="567"/>
      <c r="CZ368" s="567"/>
      <c r="DA368" s="567"/>
      <c r="DB368" s="567"/>
      <c r="DC368" s="567"/>
      <c r="DD368" s="567"/>
      <c r="DE368" s="567"/>
      <c r="DF368" s="567"/>
      <c r="DG368" s="567"/>
      <c r="DH368" s="567"/>
      <c r="DI368" s="567"/>
      <c r="DJ368" s="567"/>
      <c r="DK368" s="567"/>
      <c r="DL368" s="567"/>
      <c r="DM368" s="567"/>
      <c r="DN368" s="567"/>
      <c r="DO368" s="567"/>
      <c r="DP368" s="567"/>
      <c r="DQ368" s="567"/>
      <c r="DR368" s="567"/>
      <c r="DS368" s="567"/>
      <c r="DT368" s="567"/>
      <c r="DU368" s="567"/>
      <c r="DV368" s="567"/>
      <c r="DW368" s="567"/>
      <c r="DX368" s="567"/>
      <c r="DY368" s="567"/>
      <c r="DZ368" s="567"/>
      <c r="EA368" s="567"/>
      <c r="EB368" s="567"/>
      <c r="EC368" s="567"/>
      <c r="ED368" s="567"/>
      <c r="EE368" s="567"/>
      <c r="EF368" s="567"/>
      <c r="EG368" s="567"/>
      <c r="EH368" s="567"/>
      <c r="EI368" s="567"/>
      <c r="EJ368" s="567"/>
      <c r="EK368" s="567"/>
      <c r="EL368" s="567"/>
      <c r="EM368" s="567"/>
      <c r="EN368" s="567"/>
      <c r="EO368" s="567"/>
      <c r="EP368" s="567"/>
      <c r="EQ368" s="567"/>
      <c r="ER368" s="567"/>
      <c r="ES368" s="567"/>
      <c r="ET368" s="567"/>
      <c r="EU368" s="567"/>
      <c r="EV368" s="567"/>
      <c r="EW368" s="567"/>
      <c r="EX368" s="567"/>
      <c r="EY368" s="567"/>
      <c r="EZ368" s="567"/>
      <c r="FA368" s="567"/>
      <c r="FB368" s="567"/>
      <c r="FC368" s="567"/>
      <c r="FD368" s="567"/>
      <c r="FE368" s="567"/>
      <c r="FF368" s="567"/>
      <c r="FG368" s="567"/>
      <c r="FH368" s="567"/>
      <c r="FI368" s="567"/>
      <c r="FJ368" s="567"/>
      <c r="FK368" s="567"/>
      <c r="FL368" s="567"/>
      <c r="FM368" s="567"/>
      <c r="FN368" s="567"/>
      <c r="FO368" s="567"/>
      <c r="FP368" s="567"/>
      <c r="FQ368" s="567"/>
      <c r="FR368" s="567"/>
      <c r="FS368" s="567"/>
      <c r="FT368" s="567"/>
      <c r="FU368" s="567"/>
      <c r="FV368" s="567"/>
      <c r="FW368" s="567"/>
      <c r="FX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  <c r="BW369" s="567"/>
      <c r="BX369" s="567"/>
      <c r="BY369" s="567"/>
      <c r="BZ369" s="567"/>
      <c r="CA369" s="567"/>
      <c r="CB369" s="567"/>
      <c r="CC369" s="567"/>
      <c r="CD369" s="567"/>
      <c r="CE369" s="567"/>
      <c r="CF369" s="567"/>
      <c r="CG369" s="567"/>
      <c r="CH369" s="567"/>
      <c r="CI369" s="567"/>
      <c r="CJ369" s="567"/>
      <c r="CK369" s="567"/>
      <c r="CL369" s="567"/>
      <c r="CM369" s="567"/>
      <c r="CN369" s="567"/>
      <c r="CO369" s="567"/>
      <c r="CP369" s="567"/>
      <c r="CQ369" s="567"/>
      <c r="CR369" s="567"/>
      <c r="CS369" s="567"/>
      <c r="CT369" s="567"/>
      <c r="CU369" s="567"/>
      <c r="CV369" s="567"/>
      <c r="CW369" s="567"/>
      <c r="CX369" s="567"/>
      <c r="CY369" s="567"/>
      <c r="CZ369" s="567"/>
      <c r="DA369" s="567"/>
      <c r="DB369" s="567"/>
      <c r="DC369" s="567"/>
      <c r="DD369" s="567"/>
      <c r="DE369" s="567"/>
      <c r="DF369" s="567"/>
      <c r="DG369" s="567"/>
      <c r="DH369" s="567"/>
      <c r="DI369" s="567"/>
      <c r="DJ369" s="567"/>
      <c r="DK369" s="567"/>
      <c r="DL369" s="567"/>
      <c r="DM369" s="567"/>
      <c r="DN369" s="567"/>
      <c r="DO369" s="567"/>
      <c r="DP369" s="567"/>
      <c r="DQ369" s="567"/>
      <c r="DR369" s="567"/>
      <c r="DS369" s="567"/>
      <c r="DT369" s="567"/>
      <c r="DU369" s="567"/>
      <c r="DV369" s="567"/>
      <c r="DW369" s="567"/>
      <c r="DX369" s="567"/>
      <c r="DY369" s="567"/>
      <c r="DZ369" s="567"/>
      <c r="EA369" s="567"/>
      <c r="EB369" s="567"/>
      <c r="EC369" s="567"/>
      <c r="ED369" s="567"/>
      <c r="EE369" s="567"/>
      <c r="EF369" s="567"/>
      <c r="EG369" s="567"/>
      <c r="EH369" s="567"/>
      <c r="EI369" s="567"/>
      <c r="EJ369" s="567"/>
      <c r="EK369" s="567"/>
      <c r="EL369" s="567"/>
      <c r="EM369" s="567"/>
      <c r="EN369" s="567"/>
      <c r="EO369" s="567"/>
      <c r="EP369" s="567"/>
      <c r="EQ369" s="567"/>
      <c r="ER369" s="567"/>
      <c r="ES369" s="567"/>
      <c r="ET369" s="567"/>
      <c r="EU369" s="567"/>
      <c r="EV369" s="567"/>
      <c r="EW369" s="567"/>
      <c r="EX369" s="567"/>
      <c r="EY369" s="567"/>
      <c r="EZ369" s="567"/>
      <c r="FA369" s="567"/>
      <c r="FB369" s="567"/>
      <c r="FC369" s="567"/>
      <c r="FD369" s="567"/>
      <c r="FE369" s="567"/>
      <c r="FF369" s="567"/>
      <c r="FG369" s="567"/>
      <c r="FH369" s="567"/>
      <c r="FI369" s="567"/>
      <c r="FJ369" s="567"/>
      <c r="FK369" s="567"/>
      <c r="FL369" s="567"/>
      <c r="FM369" s="567"/>
      <c r="FN369" s="567"/>
      <c r="FO369" s="567"/>
      <c r="FP369" s="567"/>
      <c r="FQ369" s="567"/>
      <c r="FR369" s="567"/>
      <c r="FS369" s="567"/>
      <c r="FT369" s="567"/>
      <c r="FU369" s="567"/>
      <c r="FV369" s="567"/>
      <c r="FW369" s="567"/>
      <c r="FX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  <c r="BW370" s="567"/>
      <c r="BX370" s="567"/>
      <c r="BY370" s="567"/>
      <c r="BZ370" s="567"/>
      <c r="CA370" s="567"/>
      <c r="CB370" s="567"/>
      <c r="CC370" s="567"/>
      <c r="CD370" s="567"/>
      <c r="CE370" s="567"/>
      <c r="CF370" s="567"/>
      <c r="CG370" s="567"/>
      <c r="CH370" s="567"/>
      <c r="CI370" s="567"/>
      <c r="CJ370" s="567"/>
      <c r="CK370" s="567"/>
      <c r="CL370" s="567"/>
      <c r="CM370" s="567"/>
      <c r="CN370" s="567"/>
      <c r="CO370" s="567"/>
      <c r="CP370" s="567"/>
      <c r="CQ370" s="567"/>
      <c r="CR370" s="567"/>
      <c r="CS370" s="567"/>
      <c r="CT370" s="567"/>
      <c r="CU370" s="567"/>
      <c r="CV370" s="567"/>
      <c r="CW370" s="567"/>
      <c r="CX370" s="567"/>
      <c r="CY370" s="567"/>
      <c r="CZ370" s="567"/>
      <c r="DA370" s="567"/>
      <c r="DB370" s="567"/>
      <c r="DC370" s="567"/>
      <c r="DD370" s="567"/>
      <c r="DE370" s="567"/>
      <c r="DF370" s="567"/>
      <c r="DG370" s="567"/>
      <c r="DH370" s="567"/>
      <c r="DI370" s="567"/>
      <c r="DJ370" s="567"/>
      <c r="DK370" s="567"/>
      <c r="DL370" s="567"/>
      <c r="DM370" s="567"/>
      <c r="DN370" s="567"/>
      <c r="DO370" s="567"/>
      <c r="DP370" s="567"/>
      <c r="DQ370" s="567"/>
      <c r="DR370" s="567"/>
      <c r="DS370" s="567"/>
      <c r="DT370" s="567"/>
      <c r="DU370" s="567"/>
      <c r="DV370" s="567"/>
      <c r="DW370" s="567"/>
      <c r="DX370" s="567"/>
      <c r="DY370" s="567"/>
      <c r="DZ370" s="567"/>
      <c r="EA370" s="567"/>
      <c r="EB370" s="567"/>
      <c r="EC370" s="567"/>
      <c r="ED370" s="567"/>
      <c r="EE370" s="567"/>
      <c r="EF370" s="567"/>
      <c r="EG370" s="567"/>
      <c r="EH370" s="567"/>
      <c r="EI370" s="567"/>
      <c r="EJ370" s="567"/>
      <c r="EK370" s="567"/>
      <c r="EL370" s="567"/>
      <c r="EM370" s="567"/>
      <c r="EN370" s="567"/>
      <c r="EO370" s="567"/>
      <c r="EP370" s="567"/>
      <c r="EQ370" s="567"/>
      <c r="ER370" s="567"/>
      <c r="ES370" s="567"/>
      <c r="ET370" s="567"/>
      <c r="EU370" s="567"/>
      <c r="EV370" s="567"/>
      <c r="EW370" s="567"/>
      <c r="EX370" s="567"/>
      <c r="EY370" s="567"/>
      <c r="EZ370" s="567"/>
      <c r="FA370" s="567"/>
      <c r="FB370" s="567"/>
      <c r="FC370" s="567"/>
      <c r="FD370" s="567"/>
      <c r="FE370" s="567"/>
      <c r="FF370" s="567"/>
      <c r="FG370" s="567"/>
      <c r="FH370" s="567"/>
      <c r="FI370" s="567"/>
      <c r="FJ370" s="567"/>
      <c r="FK370" s="567"/>
      <c r="FL370" s="567"/>
      <c r="FM370" s="567"/>
      <c r="FN370" s="567"/>
      <c r="FO370" s="567"/>
      <c r="FP370" s="567"/>
      <c r="FQ370" s="567"/>
      <c r="FR370" s="567"/>
      <c r="FS370" s="567"/>
      <c r="FT370" s="567"/>
      <c r="FU370" s="567"/>
      <c r="FV370" s="567"/>
      <c r="FW370" s="567"/>
      <c r="FX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  <c r="BW371" s="567"/>
      <c r="BX371" s="567"/>
      <c r="BY371" s="567"/>
      <c r="BZ371" s="567"/>
      <c r="CA371" s="567"/>
      <c r="CB371" s="567"/>
      <c r="CC371" s="567"/>
      <c r="CD371" s="567"/>
      <c r="CE371" s="567"/>
      <c r="CF371" s="567"/>
      <c r="CG371" s="567"/>
      <c r="CH371" s="567"/>
      <c r="CI371" s="567"/>
      <c r="CJ371" s="567"/>
      <c r="CK371" s="567"/>
      <c r="CL371" s="567"/>
      <c r="CM371" s="567"/>
      <c r="CN371" s="567"/>
      <c r="CO371" s="567"/>
      <c r="CP371" s="567"/>
      <c r="CQ371" s="567"/>
      <c r="CR371" s="567"/>
      <c r="CS371" s="567"/>
      <c r="CT371" s="567"/>
      <c r="CU371" s="567"/>
      <c r="CV371" s="567"/>
      <c r="CW371" s="567"/>
      <c r="CX371" s="567"/>
      <c r="CY371" s="567"/>
      <c r="CZ371" s="567"/>
      <c r="DA371" s="567"/>
      <c r="DB371" s="567"/>
      <c r="DC371" s="567"/>
      <c r="DD371" s="567"/>
      <c r="DE371" s="567"/>
      <c r="DF371" s="567"/>
      <c r="DG371" s="567"/>
      <c r="DH371" s="567"/>
      <c r="DI371" s="567"/>
      <c r="DJ371" s="567"/>
      <c r="DK371" s="567"/>
      <c r="DL371" s="567"/>
      <c r="DM371" s="567"/>
      <c r="DN371" s="567"/>
      <c r="DO371" s="567"/>
      <c r="DP371" s="567"/>
      <c r="DQ371" s="567"/>
      <c r="DR371" s="567"/>
      <c r="DS371" s="567"/>
      <c r="DT371" s="567"/>
      <c r="DU371" s="567"/>
      <c r="DV371" s="567"/>
      <c r="DW371" s="567"/>
      <c r="DX371" s="567"/>
      <c r="DY371" s="567"/>
      <c r="DZ371" s="567"/>
      <c r="EA371" s="567"/>
      <c r="EB371" s="567"/>
      <c r="EC371" s="567"/>
      <c r="ED371" s="567"/>
      <c r="EE371" s="567"/>
      <c r="EF371" s="567"/>
      <c r="EG371" s="567"/>
      <c r="EH371" s="567"/>
      <c r="EI371" s="567"/>
      <c r="EJ371" s="567"/>
      <c r="EK371" s="567"/>
      <c r="EL371" s="567"/>
      <c r="EM371" s="567"/>
      <c r="EN371" s="567"/>
      <c r="EO371" s="567"/>
      <c r="EP371" s="567"/>
      <c r="EQ371" s="567"/>
      <c r="ER371" s="567"/>
      <c r="ES371" s="567"/>
      <c r="ET371" s="567"/>
      <c r="EU371" s="567"/>
      <c r="EV371" s="567"/>
      <c r="EW371" s="567"/>
      <c r="EX371" s="567"/>
      <c r="EY371" s="567"/>
      <c r="EZ371" s="567"/>
      <c r="FA371" s="567"/>
      <c r="FB371" s="567"/>
      <c r="FC371" s="567"/>
      <c r="FD371" s="567"/>
      <c r="FE371" s="567"/>
      <c r="FF371" s="567"/>
      <c r="FG371" s="567"/>
      <c r="FH371" s="567"/>
      <c r="FI371" s="567"/>
      <c r="FJ371" s="567"/>
      <c r="FK371" s="567"/>
      <c r="FL371" s="567"/>
      <c r="FM371" s="567"/>
      <c r="FN371" s="567"/>
      <c r="FO371" s="567"/>
      <c r="FP371" s="567"/>
      <c r="FQ371" s="567"/>
      <c r="FR371" s="567"/>
      <c r="FS371" s="567"/>
      <c r="FT371" s="567"/>
      <c r="FU371" s="567"/>
      <c r="FV371" s="567"/>
      <c r="FW371" s="567"/>
      <c r="FX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  <c r="BW372" s="567"/>
      <c r="BX372" s="567"/>
      <c r="BY372" s="567"/>
      <c r="BZ372" s="567"/>
      <c r="CA372" s="567"/>
      <c r="CB372" s="567"/>
      <c r="CC372" s="567"/>
      <c r="CD372" s="567"/>
      <c r="CE372" s="567"/>
      <c r="CF372" s="567"/>
      <c r="CG372" s="567"/>
      <c r="CH372" s="567"/>
      <c r="CI372" s="567"/>
      <c r="CJ372" s="567"/>
      <c r="CK372" s="567"/>
      <c r="CL372" s="567"/>
      <c r="CM372" s="567"/>
      <c r="CN372" s="567"/>
      <c r="CO372" s="567"/>
      <c r="CP372" s="567"/>
      <c r="CQ372" s="567"/>
      <c r="CR372" s="567"/>
      <c r="CS372" s="567"/>
      <c r="CT372" s="567"/>
      <c r="CU372" s="567"/>
      <c r="CV372" s="567"/>
      <c r="CW372" s="567"/>
      <c r="CX372" s="567"/>
      <c r="CY372" s="567"/>
      <c r="CZ372" s="567"/>
      <c r="DA372" s="567"/>
      <c r="DB372" s="567"/>
      <c r="DC372" s="567"/>
      <c r="DD372" s="567"/>
      <c r="DE372" s="567"/>
      <c r="DF372" s="567"/>
      <c r="DG372" s="567"/>
      <c r="DH372" s="567"/>
      <c r="DI372" s="567"/>
      <c r="DJ372" s="567"/>
      <c r="DK372" s="567"/>
      <c r="DL372" s="567"/>
      <c r="DM372" s="567"/>
      <c r="DN372" s="567"/>
      <c r="DO372" s="567"/>
      <c r="DP372" s="567"/>
      <c r="DQ372" s="567"/>
      <c r="DR372" s="567"/>
      <c r="DS372" s="567"/>
      <c r="DT372" s="567"/>
      <c r="DU372" s="567"/>
      <c r="DV372" s="567"/>
      <c r="DW372" s="567"/>
      <c r="DX372" s="567"/>
      <c r="DY372" s="567"/>
      <c r="DZ372" s="567"/>
      <c r="EA372" s="567"/>
      <c r="EB372" s="567"/>
      <c r="EC372" s="567"/>
      <c r="ED372" s="567"/>
      <c r="EE372" s="567"/>
      <c r="EF372" s="567"/>
      <c r="EG372" s="567"/>
      <c r="EH372" s="567"/>
      <c r="EI372" s="567"/>
      <c r="EJ372" s="567"/>
      <c r="EK372" s="567"/>
      <c r="EL372" s="567"/>
      <c r="EM372" s="567"/>
      <c r="EN372" s="567"/>
      <c r="EO372" s="567"/>
      <c r="EP372" s="567"/>
      <c r="EQ372" s="567"/>
      <c r="ER372" s="567"/>
      <c r="ES372" s="567"/>
      <c r="ET372" s="567"/>
      <c r="EU372" s="567"/>
      <c r="EV372" s="567"/>
      <c r="EW372" s="567"/>
      <c r="EX372" s="567"/>
      <c r="EY372" s="567"/>
      <c r="EZ372" s="567"/>
      <c r="FA372" s="567"/>
      <c r="FB372" s="567"/>
      <c r="FC372" s="567"/>
      <c r="FD372" s="567"/>
      <c r="FE372" s="567"/>
      <c r="FF372" s="567"/>
      <c r="FG372" s="567"/>
      <c r="FH372" s="567"/>
      <c r="FI372" s="567"/>
      <c r="FJ372" s="567"/>
      <c r="FK372" s="567"/>
      <c r="FL372" s="567"/>
      <c r="FM372" s="567"/>
      <c r="FN372" s="567"/>
      <c r="FO372" s="567"/>
      <c r="FP372" s="567"/>
      <c r="FQ372" s="567"/>
      <c r="FR372" s="567"/>
      <c r="FS372" s="567"/>
      <c r="FT372" s="567"/>
      <c r="FU372" s="567"/>
      <c r="FV372" s="567"/>
      <c r="FW372" s="567"/>
      <c r="FX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  <c r="BW373" s="567"/>
      <c r="BX373" s="567"/>
      <c r="BY373" s="567"/>
      <c r="BZ373" s="567"/>
      <c r="CA373" s="567"/>
      <c r="CB373" s="567"/>
      <c r="CC373" s="567"/>
      <c r="CD373" s="567"/>
      <c r="CE373" s="567"/>
      <c r="CF373" s="567"/>
      <c r="CG373" s="567"/>
      <c r="CH373" s="567"/>
      <c r="CI373" s="567"/>
      <c r="CJ373" s="567"/>
      <c r="CK373" s="567"/>
      <c r="CL373" s="567"/>
      <c r="CM373" s="567"/>
      <c r="CN373" s="567"/>
      <c r="CO373" s="567"/>
      <c r="CP373" s="567"/>
      <c r="CQ373" s="567"/>
      <c r="CR373" s="567"/>
      <c r="CS373" s="567"/>
      <c r="CT373" s="567"/>
      <c r="CU373" s="567"/>
      <c r="CV373" s="567"/>
      <c r="CW373" s="567"/>
      <c r="CX373" s="567"/>
      <c r="CY373" s="567"/>
      <c r="CZ373" s="567"/>
      <c r="DA373" s="567"/>
      <c r="DB373" s="567"/>
      <c r="DC373" s="567"/>
      <c r="DD373" s="567"/>
      <c r="DE373" s="567"/>
      <c r="DF373" s="567"/>
      <c r="DG373" s="567"/>
      <c r="DH373" s="567"/>
      <c r="DI373" s="567"/>
      <c r="DJ373" s="567"/>
      <c r="DK373" s="567"/>
      <c r="DL373" s="567"/>
      <c r="DM373" s="567"/>
      <c r="DN373" s="567"/>
      <c r="DO373" s="567"/>
      <c r="DP373" s="567"/>
      <c r="DQ373" s="567"/>
      <c r="DR373" s="567"/>
      <c r="DS373" s="567"/>
      <c r="DT373" s="567"/>
      <c r="DU373" s="567"/>
      <c r="DV373" s="567"/>
      <c r="DW373" s="567"/>
      <c r="DX373" s="567"/>
      <c r="DY373" s="567"/>
      <c r="DZ373" s="567"/>
      <c r="EA373" s="567"/>
      <c r="EB373" s="567"/>
      <c r="EC373" s="567"/>
      <c r="ED373" s="567"/>
      <c r="EE373" s="567"/>
      <c r="EF373" s="567"/>
      <c r="EG373" s="567"/>
      <c r="EH373" s="567"/>
      <c r="EI373" s="567"/>
      <c r="EJ373" s="567"/>
      <c r="EK373" s="567"/>
      <c r="EL373" s="567"/>
      <c r="EM373" s="567"/>
      <c r="EN373" s="567"/>
      <c r="EO373" s="567"/>
      <c r="EP373" s="567"/>
      <c r="EQ373" s="567"/>
      <c r="ER373" s="567"/>
      <c r="ES373" s="567"/>
      <c r="ET373" s="567"/>
      <c r="EU373" s="567"/>
      <c r="EV373" s="567"/>
      <c r="EW373" s="567"/>
      <c r="EX373" s="567"/>
      <c r="EY373" s="567"/>
      <c r="EZ373" s="567"/>
      <c r="FA373" s="567"/>
      <c r="FB373" s="567"/>
      <c r="FC373" s="567"/>
      <c r="FD373" s="567"/>
      <c r="FE373" s="567"/>
      <c r="FF373" s="567"/>
      <c r="FG373" s="567"/>
      <c r="FH373" s="567"/>
      <c r="FI373" s="567"/>
      <c r="FJ373" s="567"/>
      <c r="FK373" s="567"/>
      <c r="FL373" s="567"/>
      <c r="FM373" s="567"/>
      <c r="FN373" s="567"/>
      <c r="FO373" s="567"/>
      <c r="FP373" s="567"/>
      <c r="FQ373" s="567"/>
      <c r="FR373" s="567"/>
      <c r="FS373" s="567"/>
      <c r="FT373" s="567"/>
      <c r="FU373" s="567"/>
      <c r="FV373" s="567"/>
      <c r="FW373" s="567"/>
      <c r="FX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  <c r="BW374" s="567"/>
      <c r="BX374" s="567"/>
      <c r="BY374" s="567"/>
      <c r="BZ374" s="567"/>
      <c r="CA374" s="567"/>
      <c r="CB374" s="567"/>
      <c r="CC374" s="567"/>
      <c r="CD374" s="567"/>
      <c r="CE374" s="567"/>
      <c r="CF374" s="567"/>
      <c r="CG374" s="567"/>
      <c r="CH374" s="567"/>
      <c r="CI374" s="567"/>
      <c r="CJ374" s="567"/>
      <c r="CK374" s="567"/>
      <c r="CL374" s="567"/>
      <c r="CM374" s="567"/>
      <c r="CN374" s="567"/>
      <c r="CO374" s="567"/>
      <c r="CP374" s="567"/>
      <c r="CQ374" s="567"/>
      <c r="CR374" s="567"/>
      <c r="CS374" s="567"/>
      <c r="CT374" s="567"/>
      <c r="CU374" s="567"/>
      <c r="CV374" s="567"/>
      <c r="CW374" s="567"/>
      <c r="CX374" s="567"/>
      <c r="CY374" s="567"/>
      <c r="CZ374" s="567"/>
      <c r="DA374" s="567"/>
      <c r="DB374" s="567"/>
      <c r="DC374" s="567"/>
      <c r="DD374" s="567"/>
      <c r="DE374" s="567"/>
      <c r="DF374" s="567"/>
      <c r="DG374" s="567"/>
      <c r="DH374" s="567"/>
      <c r="DI374" s="567"/>
      <c r="DJ374" s="567"/>
      <c r="DK374" s="567"/>
      <c r="DL374" s="567"/>
      <c r="DM374" s="567"/>
      <c r="DN374" s="567"/>
      <c r="DO374" s="567"/>
      <c r="DP374" s="567"/>
      <c r="DQ374" s="567"/>
      <c r="DR374" s="567"/>
      <c r="DS374" s="567"/>
      <c r="DT374" s="567"/>
      <c r="DU374" s="567"/>
      <c r="DV374" s="567"/>
      <c r="DW374" s="567"/>
      <c r="DX374" s="567"/>
      <c r="DY374" s="567"/>
      <c r="DZ374" s="567"/>
      <c r="EA374" s="567"/>
      <c r="EB374" s="567"/>
      <c r="EC374" s="567"/>
      <c r="ED374" s="567"/>
      <c r="EE374" s="567"/>
      <c r="EF374" s="567"/>
      <c r="EG374" s="567"/>
      <c r="EH374" s="567"/>
      <c r="EI374" s="567"/>
      <c r="EJ374" s="567"/>
      <c r="EK374" s="567"/>
      <c r="EL374" s="567"/>
      <c r="EM374" s="567"/>
      <c r="EN374" s="567"/>
      <c r="EO374" s="567"/>
      <c r="EP374" s="567"/>
      <c r="EQ374" s="567"/>
      <c r="ER374" s="567"/>
      <c r="ES374" s="567"/>
      <c r="ET374" s="567"/>
      <c r="EU374" s="567"/>
      <c r="EV374" s="567"/>
      <c r="EW374" s="567"/>
      <c r="EX374" s="567"/>
      <c r="EY374" s="567"/>
      <c r="EZ374" s="567"/>
      <c r="FA374" s="567"/>
      <c r="FB374" s="567"/>
      <c r="FC374" s="567"/>
      <c r="FD374" s="567"/>
      <c r="FE374" s="567"/>
      <c r="FF374" s="567"/>
      <c r="FG374" s="567"/>
      <c r="FH374" s="567"/>
      <c r="FI374" s="567"/>
      <c r="FJ374" s="567"/>
      <c r="FK374" s="567"/>
      <c r="FL374" s="567"/>
      <c r="FM374" s="567"/>
      <c r="FN374" s="567"/>
      <c r="FO374" s="567"/>
      <c r="FP374" s="567"/>
      <c r="FQ374" s="567"/>
      <c r="FR374" s="567"/>
      <c r="FS374" s="567"/>
      <c r="FT374" s="567"/>
      <c r="FU374" s="567"/>
      <c r="FV374" s="567"/>
      <c r="FW374" s="567"/>
      <c r="FX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  <c r="BW375" s="567"/>
      <c r="BX375" s="567"/>
      <c r="BY375" s="567"/>
      <c r="BZ375" s="567"/>
      <c r="CA375" s="567"/>
      <c r="CB375" s="567"/>
      <c r="CC375" s="567"/>
      <c r="CD375" s="567"/>
      <c r="CE375" s="567"/>
      <c r="CF375" s="567"/>
      <c r="CG375" s="567"/>
      <c r="CH375" s="567"/>
      <c r="CI375" s="567"/>
      <c r="CJ375" s="567"/>
      <c r="CK375" s="567"/>
      <c r="CL375" s="567"/>
      <c r="CM375" s="567"/>
      <c r="CN375" s="567"/>
      <c r="CO375" s="567"/>
      <c r="CP375" s="567"/>
      <c r="CQ375" s="567"/>
      <c r="CR375" s="567"/>
      <c r="CS375" s="567"/>
      <c r="CT375" s="567"/>
      <c r="CU375" s="567"/>
      <c r="CV375" s="567"/>
      <c r="CW375" s="567"/>
      <c r="CX375" s="567"/>
      <c r="CY375" s="567"/>
      <c r="CZ375" s="567"/>
      <c r="DA375" s="567"/>
      <c r="DB375" s="567"/>
      <c r="DC375" s="567"/>
      <c r="DD375" s="567"/>
      <c r="DE375" s="567"/>
      <c r="DF375" s="567"/>
      <c r="DG375" s="567"/>
      <c r="DH375" s="567"/>
      <c r="DI375" s="567"/>
      <c r="DJ375" s="567"/>
      <c r="DK375" s="567"/>
      <c r="DL375" s="567"/>
      <c r="DM375" s="567"/>
      <c r="DN375" s="567"/>
      <c r="DO375" s="567"/>
      <c r="DP375" s="567"/>
      <c r="DQ375" s="567"/>
      <c r="DR375" s="567"/>
      <c r="DS375" s="567"/>
      <c r="DT375" s="567"/>
      <c r="DU375" s="567"/>
      <c r="DV375" s="567"/>
      <c r="DW375" s="567"/>
      <c r="DX375" s="567"/>
      <c r="DY375" s="567"/>
      <c r="DZ375" s="567"/>
      <c r="EA375" s="567"/>
      <c r="EB375" s="567"/>
      <c r="EC375" s="567"/>
      <c r="ED375" s="567"/>
      <c r="EE375" s="567"/>
      <c r="EF375" s="567"/>
      <c r="EG375" s="567"/>
      <c r="EH375" s="567"/>
      <c r="EI375" s="567"/>
      <c r="EJ375" s="567"/>
      <c r="EK375" s="567"/>
      <c r="EL375" s="567"/>
      <c r="EM375" s="567"/>
      <c r="EN375" s="567"/>
      <c r="EO375" s="567"/>
      <c r="EP375" s="567"/>
      <c r="EQ375" s="567"/>
      <c r="ER375" s="567"/>
      <c r="ES375" s="567"/>
      <c r="ET375" s="567"/>
      <c r="EU375" s="567"/>
      <c r="EV375" s="567"/>
      <c r="EW375" s="567"/>
      <c r="EX375" s="567"/>
      <c r="EY375" s="567"/>
      <c r="EZ375" s="567"/>
      <c r="FA375" s="567"/>
      <c r="FB375" s="567"/>
      <c r="FC375" s="567"/>
      <c r="FD375" s="567"/>
      <c r="FE375" s="567"/>
      <c r="FF375" s="567"/>
      <c r="FG375" s="567"/>
      <c r="FH375" s="567"/>
      <c r="FI375" s="567"/>
      <c r="FJ375" s="567"/>
      <c r="FK375" s="567"/>
      <c r="FL375" s="567"/>
      <c r="FM375" s="567"/>
      <c r="FN375" s="567"/>
      <c r="FO375" s="567"/>
      <c r="FP375" s="567"/>
      <c r="FQ375" s="567"/>
      <c r="FR375" s="567"/>
      <c r="FS375" s="567"/>
      <c r="FT375" s="567"/>
      <c r="FU375" s="567"/>
      <c r="FV375" s="567"/>
      <c r="FW375" s="567"/>
      <c r="FX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  <c r="BW376" s="567"/>
      <c r="BX376" s="567"/>
      <c r="BY376" s="567"/>
      <c r="BZ376" s="567"/>
      <c r="CA376" s="567"/>
      <c r="CB376" s="567"/>
      <c r="CC376" s="567"/>
      <c r="CD376" s="567"/>
      <c r="CE376" s="567"/>
      <c r="CF376" s="567"/>
      <c r="CG376" s="567"/>
      <c r="CH376" s="567"/>
      <c r="CI376" s="567"/>
      <c r="CJ376" s="567"/>
      <c r="CK376" s="567"/>
      <c r="CL376" s="567"/>
      <c r="CM376" s="567"/>
      <c r="CN376" s="567"/>
      <c r="CO376" s="567"/>
      <c r="CP376" s="567"/>
      <c r="CQ376" s="567"/>
      <c r="CR376" s="567"/>
      <c r="CS376" s="567"/>
      <c r="CT376" s="567"/>
      <c r="CU376" s="567"/>
      <c r="CV376" s="567"/>
      <c r="CW376" s="567"/>
      <c r="CX376" s="567"/>
      <c r="CY376" s="567"/>
      <c r="CZ376" s="567"/>
      <c r="DA376" s="567"/>
      <c r="DB376" s="567"/>
      <c r="DC376" s="567"/>
      <c r="DD376" s="567"/>
      <c r="DE376" s="567"/>
      <c r="DF376" s="567"/>
      <c r="DG376" s="567"/>
      <c r="DH376" s="567"/>
      <c r="DI376" s="567"/>
      <c r="DJ376" s="567"/>
      <c r="DK376" s="567"/>
      <c r="DL376" s="567"/>
      <c r="DM376" s="567"/>
      <c r="DN376" s="567"/>
      <c r="DO376" s="567"/>
      <c r="DP376" s="567"/>
      <c r="DQ376" s="567"/>
      <c r="DR376" s="567"/>
      <c r="DS376" s="567"/>
      <c r="DT376" s="567"/>
      <c r="DU376" s="567"/>
      <c r="DV376" s="567"/>
      <c r="DW376" s="567"/>
      <c r="DX376" s="567"/>
      <c r="DY376" s="567"/>
      <c r="DZ376" s="567"/>
      <c r="EA376" s="567"/>
      <c r="EB376" s="567"/>
      <c r="EC376" s="567"/>
      <c r="ED376" s="567"/>
      <c r="EE376" s="567"/>
      <c r="EF376" s="567"/>
      <c r="EG376" s="567"/>
      <c r="EH376" s="567"/>
      <c r="EI376" s="567"/>
      <c r="EJ376" s="567"/>
      <c r="EK376" s="567"/>
      <c r="EL376" s="567"/>
      <c r="EM376" s="567"/>
      <c r="EN376" s="567"/>
      <c r="EO376" s="567"/>
      <c r="EP376" s="567"/>
      <c r="EQ376" s="567"/>
      <c r="ER376" s="567"/>
      <c r="ES376" s="567"/>
      <c r="ET376" s="567"/>
      <c r="EU376" s="567"/>
      <c r="EV376" s="567"/>
      <c r="EW376" s="567"/>
      <c r="EX376" s="567"/>
      <c r="EY376" s="567"/>
      <c r="EZ376" s="567"/>
      <c r="FA376" s="567"/>
      <c r="FB376" s="567"/>
      <c r="FC376" s="567"/>
      <c r="FD376" s="567"/>
      <c r="FE376" s="567"/>
      <c r="FF376" s="567"/>
      <c r="FG376" s="567"/>
      <c r="FH376" s="567"/>
      <c r="FI376" s="567"/>
      <c r="FJ376" s="567"/>
      <c r="FK376" s="567"/>
      <c r="FL376" s="567"/>
      <c r="FM376" s="567"/>
      <c r="FN376" s="567"/>
      <c r="FO376" s="567"/>
      <c r="FP376" s="567"/>
      <c r="FQ376" s="567"/>
      <c r="FR376" s="567"/>
      <c r="FS376" s="567"/>
      <c r="FT376" s="567"/>
      <c r="FU376" s="567"/>
      <c r="FV376" s="567"/>
      <c r="FW376" s="567"/>
      <c r="FX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  <c r="BW377" s="567"/>
      <c r="BX377" s="567"/>
      <c r="BY377" s="567"/>
      <c r="BZ377" s="567"/>
      <c r="CA377" s="567"/>
      <c r="CB377" s="567"/>
      <c r="CC377" s="567"/>
      <c r="CD377" s="567"/>
      <c r="CE377" s="567"/>
      <c r="CF377" s="567"/>
      <c r="CG377" s="567"/>
      <c r="CH377" s="567"/>
      <c r="CI377" s="567"/>
      <c r="CJ377" s="567"/>
      <c r="CK377" s="567"/>
      <c r="CL377" s="567"/>
      <c r="CM377" s="567"/>
      <c r="CN377" s="567"/>
      <c r="CO377" s="567"/>
      <c r="CP377" s="567"/>
      <c r="CQ377" s="567"/>
      <c r="CR377" s="567"/>
      <c r="CS377" s="567"/>
      <c r="CT377" s="567"/>
      <c r="CU377" s="567"/>
      <c r="CV377" s="567"/>
      <c r="CW377" s="567"/>
      <c r="CX377" s="567"/>
      <c r="CY377" s="567"/>
      <c r="CZ377" s="567"/>
      <c r="DA377" s="567"/>
      <c r="DB377" s="567"/>
      <c r="DC377" s="567"/>
      <c r="DD377" s="567"/>
      <c r="DE377" s="567"/>
      <c r="DF377" s="567"/>
      <c r="DG377" s="567"/>
      <c r="DH377" s="567"/>
      <c r="DI377" s="567"/>
      <c r="DJ377" s="567"/>
      <c r="DK377" s="567"/>
      <c r="DL377" s="567"/>
      <c r="DM377" s="567"/>
      <c r="DN377" s="567"/>
      <c r="DO377" s="567"/>
      <c r="DP377" s="567"/>
      <c r="DQ377" s="567"/>
      <c r="DR377" s="567"/>
      <c r="DS377" s="567"/>
      <c r="DT377" s="567"/>
      <c r="DU377" s="567"/>
      <c r="DV377" s="567"/>
      <c r="DW377" s="567"/>
      <c r="DX377" s="567"/>
      <c r="DY377" s="567"/>
      <c r="DZ377" s="567"/>
      <c r="EA377" s="567"/>
      <c r="EB377" s="567"/>
      <c r="EC377" s="567"/>
      <c r="ED377" s="567"/>
      <c r="EE377" s="567"/>
      <c r="EF377" s="567"/>
      <c r="EG377" s="567"/>
      <c r="EH377" s="567"/>
      <c r="EI377" s="567"/>
      <c r="EJ377" s="567"/>
      <c r="EK377" s="567"/>
      <c r="EL377" s="567"/>
      <c r="EM377" s="567"/>
      <c r="EN377" s="567"/>
      <c r="EO377" s="567"/>
      <c r="EP377" s="567"/>
      <c r="EQ377" s="567"/>
      <c r="ER377" s="567"/>
      <c r="ES377" s="567"/>
      <c r="ET377" s="567"/>
      <c r="EU377" s="567"/>
      <c r="EV377" s="567"/>
      <c r="EW377" s="567"/>
      <c r="EX377" s="567"/>
      <c r="EY377" s="567"/>
      <c r="EZ377" s="567"/>
      <c r="FA377" s="567"/>
      <c r="FB377" s="567"/>
      <c r="FC377" s="567"/>
      <c r="FD377" s="567"/>
      <c r="FE377" s="567"/>
      <c r="FF377" s="567"/>
      <c r="FG377" s="567"/>
      <c r="FH377" s="567"/>
      <c r="FI377" s="567"/>
      <c r="FJ377" s="567"/>
      <c r="FK377" s="567"/>
      <c r="FL377" s="567"/>
      <c r="FM377" s="567"/>
      <c r="FN377" s="567"/>
      <c r="FO377" s="567"/>
      <c r="FP377" s="567"/>
      <c r="FQ377" s="567"/>
      <c r="FR377" s="567"/>
      <c r="FS377" s="567"/>
      <c r="FT377" s="567"/>
      <c r="FU377" s="567"/>
      <c r="FV377" s="567"/>
      <c r="FW377" s="567"/>
      <c r="FX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  <c r="BW378" s="567"/>
      <c r="BX378" s="567"/>
      <c r="BY378" s="567"/>
      <c r="BZ378" s="567"/>
      <c r="CA378" s="567"/>
      <c r="CB378" s="567"/>
      <c r="CC378" s="567"/>
      <c r="CD378" s="567"/>
      <c r="CE378" s="567"/>
      <c r="CF378" s="567"/>
      <c r="CG378" s="567"/>
      <c r="CH378" s="567"/>
      <c r="CI378" s="567"/>
      <c r="CJ378" s="567"/>
      <c r="CK378" s="567"/>
      <c r="CL378" s="567"/>
      <c r="CM378" s="567"/>
      <c r="CN378" s="567"/>
      <c r="CO378" s="567"/>
      <c r="CP378" s="567"/>
      <c r="CQ378" s="567"/>
      <c r="CR378" s="567"/>
      <c r="CS378" s="567"/>
      <c r="CT378" s="567"/>
      <c r="CU378" s="567"/>
      <c r="CV378" s="567"/>
      <c r="CW378" s="567"/>
      <c r="CX378" s="567"/>
      <c r="CY378" s="567"/>
      <c r="CZ378" s="567"/>
      <c r="DA378" s="567"/>
      <c r="DB378" s="567"/>
      <c r="DC378" s="567"/>
      <c r="DD378" s="567"/>
      <c r="DE378" s="567"/>
      <c r="DF378" s="567"/>
      <c r="DG378" s="567"/>
      <c r="DH378" s="567"/>
      <c r="DI378" s="567"/>
      <c r="DJ378" s="567"/>
      <c r="DK378" s="567"/>
      <c r="DL378" s="567"/>
      <c r="DM378" s="567"/>
      <c r="DN378" s="567"/>
      <c r="DO378" s="567"/>
      <c r="DP378" s="567"/>
      <c r="DQ378" s="567"/>
      <c r="DR378" s="567"/>
      <c r="DS378" s="567"/>
      <c r="DT378" s="567"/>
      <c r="DU378" s="567"/>
      <c r="DV378" s="567"/>
      <c r="DW378" s="567"/>
      <c r="DX378" s="567"/>
      <c r="DY378" s="567"/>
      <c r="DZ378" s="567"/>
      <c r="EA378" s="567"/>
      <c r="EB378" s="567"/>
      <c r="EC378" s="567"/>
      <c r="ED378" s="567"/>
      <c r="EE378" s="567"/>
      <c r="EF378" s="567"/>
      <c r="EG378" s="567"/>
      <c r="EH378" s="567"/>
      <c r="EI378" s="567"/>
      <c r="EJ378" s="567"/>
      <c r="EK378" s="567"/>
      <c r="EL378" s="567"/>
      <c r="EM378" s="567"/>
      <c r="EN378" s="567"/>
      <c r="EO378" s="567"/>
      <c r="EP378" s="567"/>
      <c r="EQ378" s="567"/>
      <c r="ER378" s="567"/>
      <c r="ES378" s="567"/>
      <c r="ET378" s="567"/>
      <c r="EU378" s="567"/>
      <c r="EV378" s="567"/>
      <c r="EW378" s="567"/>
      <c r="EX378" s="567"/>
      <c r="EY378" s="567"/>
      <c r="EZ378" s="567"/>
      <c r="FA378" s="567"/>
      <c r="FB378" s="567"/>
      <c r="FC378" s="567"/>
      <c r="FD378" s="567"/>
      <c r="FE378" s="567"/>
      <c r="FF378" s="567"/>
      <c r="FG378" s="567"/>
      <c r="FH378" s="567"/>
      <c r="FI378" s="567"/>
      <c r="FJ378" s="567"/>
      <c r="FK378" s="567"/>
      <c r="FL378" s="567"/>
      <c r="FM378" s="567"/>
      <c r="FN378" s="567"/>
      <c r="FO378" s="567"/>
      <c r="FP378" s="567"/>
      <c r="FQ378" s="567"/>
      <c r="FR378" s="567"/>
      <c r="FS378" s="567"/>
      <c r="FT378" s="567"/>
      <c r="FU378" s="567"/>
      <c r="FV378" s="567"/>
      <c r="FW378" s="567"/>
      <c r="FX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  <c r="BW379" s="567"/>
      <c r="BX379" s="567"/>
      <c r="BY379" s="567"/>
      <c r="BZ379" s="567"/>
      <c r="CA379" s="567"/>
      <c r="CB379" s="567"/>
      <c r="CC379" s="567"/>
      <c r="CD379" s="567"/>
      <c r="CE379" s="567"/>
      <c r="CF379" s="567"/>
      <c r="CG379" s="567"/>
      <c r="CH379" s="567"/>
      <c r="CI379" s="567"/>
      <c r="CJ379" s="567"/>
      <c r="CK379" s="567"/>
      <c r="CL379" s="567"/>
      <c r="CM379" s="567"/>
      <c r="CN379" s="567"/>
      <c r="CO379" s="567"/>
      <c r="CP379" s="567"/>
      <c r="CQ379" s="567"/>
      <c r="CR379" s="567"/>
      <c r="CS379" s="567"/>
      <c r="CT379" s="567"/>
      <c r="CU379" s="567"/>
      <c r="CV379" s="567"/>
      <c r="CW379" s="567"/>
      <c r="CX379" s="567"/>
      <c r="CY379" s="567"/>
      <c r="CZ379" s="567"/>
      <c r="DA379" s="567"/>
      <c r="DB379" s="567"/>
      <c r="DC379" s="567"/>
      <c r="DD379" s="567"/>
      <c r="DE379" s="567"/>
      <c r="DF379" s="567"/>
      <c r="DG379" s="567"/>
      <c r="DH379" s="567"/>
      <c r="DI379" s="567"/>
      <c r="DJ379" s="567"/>
      <c r="DK379" s="567"/>
      <c r="DL379" s="567"/>
      <c r="DM379" s="567"/>
      <c r="DN379" s="567"/>
      <c r="DO379" s="567"/>
      <c r="DP379" s="567"/>
      <c r="DQ379" s="567"/>
      <c r="DR379" s="567"/>
      <c r="DS379" s="567"/>
      <c r="DT379" s="567"/>
      <c r="DU379" s="567"/>
      <c r="DV379" s="567"/>
      <c r="DW379" s="567"/>
      <c r="DX379" s="567"/>
      <c r="DY379" s="567"/>
      <c r="DZ379" s="567"/>
      <c r="EA379" s="567"/>
      <c r="EB379" s="567"/>
      <c r="EC379" s="567"/>
      <c r="ED379" s="567"/>
      <c r="EE379" s="567"/>
      <c r="EF379" s="567"/>
      <c r="EG379" s="567"/>
      <c r="EH379" s="567"/>
      <c r="EI379" s="567"/>
      <c r="EJ379" s="567"/>
      <c r="EK379" s="567"/>
      <c r="EL379" s="567"/>
      <c r="EM379" s="567"/>
      <c r="EN379" s="567"/>
      <c r="EO379" s="567"/>
      <c r="EP379" s="567"/>
      <c r="EQ379" s="567"/>
      <c r="ER379" s="567"/>
      <c r="ES379" s="567"/>
      <c r="ET379" s="567"/>
      <c r="EU379" s="567"/>
      <c r="EV379" s="567"/>
      <c r="EW379" s="567"/>
      <c r="EX379" s="567"/>
      <c r="EY379" s="567"/>
      <c r="EZ379" s="567"/>
      <c r="FA379" s="567"/>
      <c r="FB379" s="567"/>
      <c r="FC379" s="567"/>
      <c r="FD379" s="567"/>
      <c r="FE379" s="567"/>
      <c r="FF379" s="567"/>
      <c r="FG379" s="567"/>
      <c r="FH379" s="567"/>
      <c r="FI379" s="567"/>
      <c r="FJ379" s="567"/>
      <c r="FK379" s="567"/>
      <c r="FL379" s="567"/>
      <c r="FM379" s="567"/>
      <c r="FN379" s="567"/>
      <c r="FO379" s="567"/>
      <c r="FP379" s="567"/>
      <c r="FQ379" s="567"/>
      <c r="FR379" s="567"/>
      <c r="FS379" s="567"/>
      <c r="FT379" s="567"/>
      <c r="FU379" s="567"/>
      <c r="FV379" s="567"/>
      <c r="FW379" s="567"/>
      <c r="FX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  <c r="BW380" s="567"/>
      <c r="BX380" s="567"/>
      <c r="BY380" s="567"/>
      <c r="BZ380" s="567"/>
      <c r="CA380" s="567"/>
      <c r="CB380" s="567"/>
      <c r="CC380" s="567"/>
      <c r="CD380" s="567"/>
      <c r="CE380" s="567"/>
      <c r="CF380" s="567"/>
      <c r="CG380" s="567"/>
      <c r="CH380" s="567"/>
      <c r="CI380" s="567"/>
      <c r="CJ380" s="567"/>
      <c r="CK380" s="567"/>
      <c r="CL380" s="567"/>
      <c r="CM380" s="567"/>
      <c r="CN380" s="567"/>
      <c r="CO380" s="567"/>
      <c r="CP380" s="567"/>
      <c r="CQ380" s="567"/>
      <c r="CR380" s="567"/>
      <c r="CS380" s="567"/>
      <c r="CT380" s="567"/>
      <c r="CU380" s="567"/>
      <c r="CV380" s="567"/>
      <c r="CW380" s="567"/>
      <c r="CX380" s="567"/>
      <c r="CY380" s="567"/>
      <c r="CZ380" s="567"/>
      <c r="DA380" s="567"/>
      <c r="DB380" s="567"/>
      <c r="DC380" s="567"/>
      <c r="DD380" s="567"/>
      <c r="DE380" s="567"/>
      <c r="DF380" s="567"/>
      <c r="DG380" s="567"/>
      <c r="DH380" s="567"/>
      <c r="DI380" s="567"/>
      <c r="DJ380" s="567"/>
      <c r="DK380" s="567"/>
      <c r="DL380" s="567"/>
      <c r="DM380" s="567"/>
      <c r="DN380" s="567"/>
      <c r="DO380" s="567"/>
      <c r="DP380" s="567"/>
      <c r="DQ380" s="567"/>
      <c r="DR380" s="567"/>
      <c r="DS380" s="567"/>
      <c r="DT380" s="567"/>
      <c r="DU380" s="567"/>
      <c r="DV380" s="567"/>
      <c r="DW380" s="567"/>
      <c r="DX380" s="567"/>
      <c r="DY380" s="567"/>
      <c r="DZ380" s="567"/>
      <c r="EA380" s="567"/>
      <c r="EB380" s="567"/>
      <c r="EC380" s="567"/>
      <c r="ED380" s="567"/>
      <c r="EE380" s="567"/>
      <c r="EF380" s="567"/>
      <c r="EG380" s="567"/>
      <c r="EH380" s="567"/>
      <c r="EI380" s="567"/>
      <c r="EJ380" s="567"/>
      <c r="EK380" s="567"/>
      <c r="EL380" s="567"/>
      <c r="EM380" s="567"/>
      <c r="EN380" s="567"/>
      <c r="EO380" s="567"/>
      <c r="EP380" s="567"/>
      <c r="EQ380" s="567"/>
      <c r="ER380" s="567"/>
      <c r="ES380" s="567"/>
      <c r="ET380" s="567"/>
      <c r="EU380" s="567"/>
      <c r="EV380" s="567"/>
      <c r="EW380" s="567"/>
      <c r="EX380" s="567"/>
      <c r="EY380" s="567"/>
      <c r="EZ380" s="567"/>
      <c r="FA380" s="567"/>
      <c r="FB380" s="567"/>
      <c r="FC380" s="567"/>
      <c r="FD380" s="567"/>
      <c r="FE380" s="567"/>
      <c r="FF380" s="567"/>
      <c r="FG380" s="567"/>
      <c r="FH380" s="567"/>
      <c r="FI380" s="567"/>
      <c r="FJ380" s="567"/>
      <c r="FK380" s="567"/>
      <c r="FL380" s="567"/>
      <c r="FM380" s="567"/>
      <c r="FN380" s="567"/>
      <c r="FO380" s="567"/>
      <c r="FP380" s="567"/>
      <c r="FQ380" s="567"/>
      <c r="FR380" s="567"/>
      <c r="FS380" s="567"/>
      <c r="FT380" s="567"/>
      <c r="FU380" s="567"/>
      <c r="FV380" s="567"/>
      <c r="FW380" s="567"/>
      <c r="FX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  <c r="BW381" s="567"/>
      <c r="BX381" s="567"/>
      <c r="BY381" s="567"/>
      <c r="BZ381" s="567"/>
      <c r="CA381" s="567"/>
      <c r="CB381" s="567"/>
      <c r="CC381" s="567"/>
      <c r="CD381" s="567"/>
      <c r="CE381" s="567"/>
      <c r="CF381" s="567"/>
      <c r="CG381" s="567"/>
      <c r="CH381" s="567"/>
      <c r="CI381" s="567"/>
      <c r="CJ381" s="567"/>
      <c r="CK381" s="567"/>
      <c r="CL381" s="567"/>
      <c r="CM381" s="567"/>
      <c r="CN381" s="567"/>
      <c r="CO381" s="567"/>
      <c r="CP381" s="567"/>
      <c r="CQ381" s="567"/>
      <c r="CR381" s="567"/>
      <c r="CS381" s="567"/>
      <c r="CT381" s="567"/>
      <c r="CU381" s="567"/>
      <c r="CV381" s="567"/>
      <c r="CW381" s="567"/>
      <c r="CX381" s="567"/>
      <c r="CY381" s="567"/>
      <c r="CZ381" s="567"/>
      <c r="DA381" s="567"/>
      <c r="DB381" s="567"/>
      <c r="DC381" s="567"/>
      <c r="DD381" s="567"/>
      <c r="DE381" s="567"/>
      <c r="DF381" s="567"/>
      <c r="DG381" s="567"/>
      <c r="DH381" s="567"/>
      <c r="DI381" s="567"/>
      <c r="DJ381" s="567"/>
      <c r="DK381" s="567"/>
      <c r="DL381" s="567"/>
      <c r="DM381" s="567"/>
      <c r="DN381" s="567"/>
      <c r="DO381" s="567"/>
      <c r="DP381" s="567"/>
      <c r="DQ381" s="567"/>
      <c r="DR381" s="567"/>
      <c r="DS381" s="567"/>
      <c r="DT381" s="567"/>
      <c r="DU381" s="567"/>
      <c r="DV381" s="567"/>
      <c r="DW381" s="567"/>
      <c r="DX381" s="567"/>
      <c r="DY381" s="567"/>
      <c r="DZ381" s="567"/>
      <c r="EA381" s="567"/>
      <c r="EB381" s="567"/>
      <c r="EC381" s="567"/>
      <c r="ED381" s="567"/>
      <c r="EE381" s="567"/>
      <c r="EF381" s="567"/>
      <c r="EG381" s="567"/>
      <c r="EH381" s="567"/>
      <c r="EI381" s="567"/>
      <c r="EJ381" s="567"/>
      <c r="EK381" s="567"/>
      <c r="EL381" s="567"/>
      <c r="EM381" s="567"/>
      <c r="EN381" s="567"/>
      <c r="EO381" s="567"/>
      <c r="EP381" s="567"/>
      <c r="EQ381" s="567"/>
      <c r="ER381" s="567"/>
      <c r="ES381" s="567"/>
      <c r="ET381" s="567"/>
      <c r="EU381" s="567"/>
      <c r="EV381" s="567"/>
      <c r="EW381" s="567"/>
      <c r="EX381" s="567"/>
      <c r="EY381" s="567"/>
      <c r="EZ381" s="567"/>
      <c r="FA381" s="567"/>
      <c r="FB381" s="567"/>
      <c r="FC381" s="567"/>
      <c r="FD381" s="567"/>
      <c r="FE381" s="567"/>
      <c r="FF381" s="567"/>
      <c r="FG381" s="567"/>
      <c r="FH381" s="567"/>
      <c r="FI381" s="567"/>
      <c r="FJ381" s="567"/>
      <c r="FK381" s="567"/>
      <c r="FL381" s="567"/>
      <c r="FM381" s="567"/>
      <c r="FN381" s="567"/>
      <c r="FO381" s="567"/>
      <c r="FP381" s="567"/>
      <c r="FQ381" s="567"/>
      <c r="FR381" s="567"/>
      <c r="FS381" s="567"/>
      <c r="FT381" s="567"/>
      <c r="FU381" s="567"/>
      <c r="FV381" s="567"/>
      <c r="FW381" s="567"/>
      <c r="FX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  <c r="BW382" s="567"/>
      <c r="BX382" s="567"/>
      <c r="BY382" s="567"/>
      <c r="BZ382" s="567"/>
      <c r="CA382" s="567"/>
      <c r="CB382" s="567"/>
      <c r="CC382" s="567"/>
      <c r="CD382" s="567"/>
      <c r="CE382" s="567"/>
      <c r="CF382" s="567"/>
      <c r="CG382" s="567"/>
      <c r="CH382" s="567"/>
      <c r="CI382" s="567"/>
      <c r="CJ382" s="567"/>
      <c r="CK382" s="567"/>
      <c r="CL382" s="567"/>
      <c r="CM382" s="567"/>
      <c r="CN382" s="567"/>
      <c r="CO382" s="567"/>
      <c r="CP382" s="567"/>
      <c r="CQ382" s="567"/>
      <c r="CR382" s="567"/>
      <c r="CS382" s="567"/>
      <c r="CT382" s="567"/>
      <c r="CU382" s="567"/>
      <c r="CV382" s="567"/>
      <c r="CW382" s="567"/>
      <c r="CX382" s="567"/>
      <c r="CY382" s="567"/>
      <c r="CZ382" s="567"/>
      <c r="DA382" s="567"/>
      <c r="DB382" s="567"/>
      <c r="DC382" s="567"/>
      <c r="DD382" s="567"/>
      <c r="DE382" s="567"/>
      <c r="DF382" s="567"/>
      <c r="DG382" s="567"/>
      <c r="DH382" s="567"/>
      <c r="DI382" s="567"/>
      <c r="DJ382" s="567"/>
      <c r="DK382" s="567"/>
      <c r="DL382" s="567"/>
      <c r="DM382" s="567"/>
      <c r="DN382" s="567"/>
      <c r="DO382" s="567"/>
      <c r="DP382" s="567"/>
      <c r="DQ382" s="567"/>
      <c r="DR382" s="567"/>
      <c r="DS382" s="567"/>
      <c r="DT382" s="567"/>
      <c r="DU382" s="567"/>
      <c r="DV382" s="567"/>
      <c r="DW382" s="567"/>
      <c r="DX382" s="567"/>
      <c r="DY382" s="567"/>
      <c r="DZ382" s="567"/>
      <c r="EA382" s="567"/>
      <c r="EB382" s="567"/>
      <c r="EC382" s="567"/>
      <c r="ED382" s="567"/>
      <c r="EE382" s="567"/>
      <c r="EF382" s="567"/>
      <c r="EG382" s="567"/>
      <c r="EH382" s="567"/>
      <c r="EI382" s="567"/>
      <c r="EJ382" s="567"/>
      <c r="EK382" s="567"/>
      <c r="EL382" s="567"/>
      <c r="EM382" s="567"/>
      <c r="EN382" s="567"/>
      <c r="EO382" s="567"/>
      <c r="EP382" s="567"/>
      <c r="EQ382" s="567"/>
      <c r="ER382" s="567"/>
      <c r="ES382" s="567"/>
      <c r="ET382" s="567"/>
      <c r="EU382" s="567"/>
      <c r="EV382" s="567"/>
      <c r="EW382" s="567"/>
      <c r="EX382" s="567"/>
      <c r="EY382" s="567"/>
      <c r="EZ382" s="567"/>
      <c r="FA382" s="567"/>
      <c r="FB382" s="567"/>
      <c r="FC382" s="567"/>
      <c r="FD382" s="567"/>
      <c r="FE382" s="567"/>
      <c r="FF382" s="567"/>
      <c r="FG382" s="567"/>
      <c r="FH382" s="567"/>
      <c r="FI382" s="567"/>
      <c r="FJ382" s="567"/>
      <c r="FK382" s="567"/>
      <c r="FL382" s="567"/>
      <c r="FM382" s="567"/>
      <c r="FN382" s="567"/>
      <c r="FO382" s="567"/>
      <c r="FP382" s="567"/>
      <c r="FQ382" s="567"/>
      <c r="FR382" s="567"/>
      <c r="FS382" s="567"/>
      <c r="FT382" s="567"/>
      <c r="FU382" s="567"/>
      <c r="FV382" s="567"/>
      <c r="FW382" s="567"/>
      <c r="FX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  <c r="BW383" s="567"/>
      <c r="BX383" s="567"/>
      <c r="BY383" s="567"/>
      <c r="BZ383" s="567"/>
      <c r="CA383" s="567"/>
      <c r="CB383" s="567"/>
      <c r="CC383" s="567"/>
      <c r="CD383" s="567"/>
      <c r="CE383" s="567"/>
      <c r="CF383" s="567"/>
      <c r="CG383" s="567"/>
      <c r="CH383" s="567"/>
      <c r="CI383" s="567"/>
      <c r="CJ383" s="567"/>
      <c r="CK383" s="567"/>
      <c r="CL383" s="567"/>
      <c r="CM383" s="567"/>
      <c r="CN383" s="567"/>
      <c r="CO383" s="567"/>
      <c r="CP383" s="567"/>
      <c r="CQ383" s="567"/>
      <c r="CR383" s="567"/>
      <c r="CS383" s="567"/>
      <c r="CT383" s="567"/>
      <c r="CU383" s="567"/>
      <c r="CV383" s="567"/>
      <c r="CW383" s="567"/>
      <c r="CX383" s="567"/>
      <c r="CY383" s="567"/>
      <c r="CZ383" s="567"/>
      <c r="DA383" s="567"/>
      <c r="DB383" s="567"/>
      <c r="DC383" s="567"/>
      <c r="DD383" s="567"/>
      <c r="DE383" s="567"/>
      <c r="DF383" s="567"/>
      <c r="DG383" s="567"/>
      <c r="DH383" s="567"/>
      <c r="DI383" s="567"/>
      <c r="DJ383" s="567"/>
      <c r="DK383" s="567"/>
      <c r="DL383" s="567"/>
      <c r="DM383" s="567"/>
      <c r="DN383" s="567"/>
      <c r="DO383" s="567"/>
      <c r="DP383" s="567"/>
      <c r="DQ383" s="567"/>
      <c r="DR383" s="567"/>
      <c r="DS383" s="567"/>
      <c r="DT383" s="567"/>
      <c r="DU383" s="567"/>
      <c r="DV383" s="567"/>
      <c r="DW383" s="567"/>
      <c r="DX383" s="567"/>
      <c r="DY383" s="567"/>
      <c r="DZ383" s="567"/>
      <c r="EA383" s="567"/>
      <c r="EB383" s="567"/>
      <c r="EC383" s="567"/>
      <c r="ED383" s="567"/>
      <c r="EE383" s="567"/>
      <c r="EF383" s="567"/>
      <c r="EG383" s="567"/>
      <c r="EH383" s="567"/>
      <c r="EI383" s="567"/>
      <c r="EJ383" s="567"/>
      <c r="EK383" s="567"/>
      <c r="EL383" s="567"/>
      <c r="EM383" s="567"/>
      <c r="EN383" s="567"/>
      <c r="EO383" s="567"/>
      <c r="EP383" s="567"/>
      <c r="EQ383" s="567"/>
      <c r="ER383" s="567"/>
      <c r="ES383" s="567"/>
      <c r="ET383" s="567"/>
      <c r="EU383" s="567"/>
      <c r="EV383" s="567"/>
      <c r="EW383" s="567"/>
      <c r="EX383" s="567"/>
      <c r="EY383" s="567"/>
      <c r="EZ383" s="567"/>
      <c r="FA383" s="567"/>
      <c r="FB383" s="567"/>
      <c r="FC383" s="567"/>
      <c r="FD383" s="567"/>
      <c r="FE383" s="567"/>
      <c r="FF383" s="567"/>
      <c r="FG383" s="567"/>
      <c r="FH383" s="567"/>
      <c r="FI383" s="567"/>
      <c r="FJ383" s="567"/>
      <c r="FK383" s="567"/>
      <c r="FL383" s="567"/>
      <c r="FM383" s="567"/>
      <c r="FN383" s="567"/>
      <c r="FO383" s="567"/>
      <c r="FP383" s="567"/>
      <c r="FQ383" s="567"/>
      <c r="FR383" s="567"/>
      <c r="FS383" s="567"/>
      <c r="FT383" s="567"/>
      <c r="FU383" s="567"/>
      <c r="FV383" s="567"/>
      <c r="FW383" s="567"/>
      <c r="FX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  <c r="BW384" s="567"/>
      <c r="BX384" s="567"/>
      <c r="BY384" s="567"/>
      <c r="BZ384" s="567"/>
      <c r="CA384" s="567"/>
      <c r="CB384" s="567"/>
      <c r="CC384" s="567"/>
      <c r="CD384" s="567"/>
      <c r="CE384" s="567"/>
      <c r="CF384" s="567"/>
      <c r="CG384" s="567"/>
      <c r="CH384" s="567"/>
      <c r="CI384" s="567"/>
      <c r="CJ384" s="567"/>
      <c r="CK384" s="567"/>
      <c r="CL384" s="567"/>
      <c r="CM384" s="567"/>
      <c r="CN384" s="567"/>
      <c r="CO384" s="567"/>
      <c r="CP384" s="567"/>
      <c r="CQ384" s="567"/>
      <c r="CR384" s="567"/>
      <c r="CS384" s="567"/>
      <c r="CT384" s="567"/>
      <c r="CU384" s="567"/>
      <c r="CV384" s="567"/>
      <c r="CW384" s="567"/>
      <c r="CX384" s="567"/>
      <c r="CY384" s="567"/>
      <c r="CZ384" s="567"/>
      <c r="DA384" s="567"/>
      <c r="DB384" s="567"/>
      <c r="DC384" s="567"/>
      <c r="DD384" s="567"/>
      <c r="DE384" s="567"/>
      <c r="DF384" s="567"/>
      <c r="DG384" s="567"/>
      <c r="DH384" s="567"/>
      <c r="DI384" s="567"/>
      <c r="DJ384" s="567"/>
      <c r="DK384" s="567"/>
      <c r="DL384" s="567"/>
      <c r="DM384" s="567"/>
      <c r="DN384" s="567"/>
      <c r="DO384" s="567"/>
      <c r="DP384" s="567"/>
      <c r="DQ384" s="567"/>
      <c r="DR384" s="567"/>
      <c r="DS384" s="567"/>
      <c r="DT384" s="567"/>
      <c r="DU384" s="567"/>
      <c r="DV384" s="567"/>
      <c r="DW384" s="567"/>
      <c r="DX384" s="567"/>
      <c r="DY384" s="567"/>
      <c r="DZ384" s="567"/>
      <c r="EA384" s="567"/>
      <c r="EB384" s="567"/>
      <c r="EC384" s="567"/>
      <c r="ED384" s="567"/>
      <c r="EE384" s="567"/>
      <c r="EF384" s="567"/>
      <c r="EG384" s="567"/>
      <c r="EH384" s="567"/>
      <c r="EI384" s="567"/>
      <c r="EJ384" s="567"/>
      <c r="EK384" s="567"/>
      <c r="EL384" s="567"/>
      <c r="EM384" s="567"/>
      <c r="EN384" s="567"/>
      <c r="EO384" s="567"/>
      <c r="EP384" s="567"/>
      <c r="EQ384" s="567"/>
      <c r="ER384" s="567"/>
      <c r="ES384" s="567"/>
      <c r="ET384" s="567"/>
      <c r="EU384" s="567"/>
      <c r="EV384" s="567"/>
      <c r="EW384" s="567"/>
      <c r="EX384" s="567"/>
      <c r="EY384" s="567"/>
      <c r="EZ384" s="567"/>
      <c r="FA384" s="567"/>
      <c r="FB384" s="567"/>
      <c r="FC384" s="567"/>
      <c r="FD384" s="567"/>
      <c r="FE384" s="567"/>
      <c r="FF384" s="567"/>
      <c r="FG384" s="567"/>
      <c r="FH384" s="567"/>
      <c r="FI384" s="567"/>
      <c r="FJ384" s="567"/>
      <c r="FK384" s="567"/>
      <c r="FL384" s="567"/>
      <c r="FM384" s="567"/>
      <c r="FN384" s="567"/>
      <c r="FO384" s="567"/>
      <c r="FP384" s="567"/>
      <c r="FQ384" s="567"/>
      <c r="FR384" s="567"/>
      <c r="FS384" s="567"/>
      <c r="FT384" s="567"/>
      <c r="FU384" s="567"/>
      <c r="FV384" s="567"/>
      <c r="FW384" s="567"/>
      <c r="FX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  <c r="CL385" s="567"/>
      <c r="CM385" s="567"/>
      <c r="CN385" s="567"/>
      <c r="CO385" s="567"/>
      <c r="CP385" s="567"/>
      <c r="CQ385" s="567"/>
      <c r="CR385" s="567"/>
      <c r="CS385" s="567"/>
      <c r="CT385" s="567"/>
      <c r="CU385" s="567"/>
      <c r="CV385" s="567"/>
      <c r="CW385" s="567"/>
      <c r="CX385" s="567"/>
      <c r="CY385" s="567"/>
      <c r="CZ385" s="567"/>
      <c r="DA385" s="567"/>
      <c r="DB385" s="567"/>
      <c r="DC385" s="567"/>
      <c r="DD385" s="567"/>
      <c r="DE385" s="567"/>
      <c r="DF385" s="567"/>
      <c r="DG385" s="567"/>
      <c r="DH385" s="567"/>
      <c r="DI385" s="567"/>
      <c r="DJ385" s="567"/>
      <c r="DK385" s="567"/>
      <c r="DL385" s="567"/>
      <c r="DM385" s="567"/>
      <c r="DN385" s="567"/>
      <c r="DO385" s="567"/>
      <c r="DP385" s="567"/>
      <c r="DQ385" s="567"/>
      <c r="DR385" s="567"/>
      <c r="DS385" s="567"/>
      <c r="DT385" s="567"/>
      <c r="DU385" s="567"/>
      <c r="DV385" s="567"/>
      <c r="DW385" s="567"/>
      <c r="DX385" s="567"/>
      <c r="DY385" s="567"/>
      <c r="DZ385" s="567"/>
      <c r="EA385" s="567"/>
      <c r="EB385" s="567"/>
      <c r="EC385" s="567"/>
      <c r="ED385" s="567"/>
      <c r="EE385" s="567"/>
      <c r="EF385" s="567"/>
      <c r="EG385" s="567"/>
      <c r="EH385" s="567"/>
      <c r="EI385" s="567"/>
      <c r="EJ385" s="567"/>
      <c r="EK385" s="567"/>
      <c r="EL385" s="567"/>
      <c r="EM385" s="567"/>
      <c r="EN385" s="567"/>
      <c r="EO385" s="567"/>
      <c r="EP385" s="567"/>
      <c r="EQ385" s="567"/>
      <c r="ER385" s="567"/>
      <c r="ES385" s="567"/>
      <c r="ET385" s="567"/>
      <c r="EU385" s="567"/>
      <c r="EV385" s="567"/>
      <c r="EW385" s="567"/>
      <c r="EX385" s="567"/>
      <c r="EY385" s="567"/>
      <c r="EZ385" s="567"/>
      <c r="FA385" s="567"/>
      <c r="FB385" s="567"/>
      <c r="FC385" s="567"/>
      <c r="FD385" s="567"/>
      <c r="FE385" s="567"/>
      <c r="FF385" s="567"/>
      <c r="FG385" s="567"/>
      <c r="FH385" s="567"/>
      <c r="FI385" s="567"/>
      <c r="FJ385" s="567"/>
      <c r="FK385" s="567"/>
      <c r="FL385" s="567"/>
      <c r="FM385" s="567"/>
      <c r="FN385" s="567"/>
      <c r="FO385" s="567"/>
      <c r="FP385" s="567"/>
      <c r="FQ385" s="567"/>
      <c r="FR385" s="567"/>
      <c r="FS385" s="567"/>
      <c r="FT385" s="567"/>
      <c r="FU385" s="567"/>
      <c r="FV385" s="567"/>
      <c r="FW385" s="567"/>
      <c r="FX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  <c r="CL386" s="567"/>
      <c r="CM386" s="567"/>
      <c r="CN386" s="567"/>
      <c r="CO386" s="567"/>
      <c r="CP386" s="567"/>
      <c r="CQ386" s="567"/>
      <c r="CR386" s="567"/>
      <c r="CS386" s="567"/>
      <c r="CT386" s="567"/>
      <c r="CU386" s="567"/>
      <c r="CV386" s="567"/>
      <c r="CW386" s="567"/>
      <c r="CX386" s="567"/>
      <c r="CY386" s="567"/>
      <c r="CZ386" s="567"/>
      <c r="DA386" s="567"/>
      <c r="DB386" s="567"/>
      <c r="DC386" s="567"/>
      <c r="DD386" s="567"/>
      <c r="DE386" s="567"/>
      <c r="DF386" s="567"/>
      <c r="DG386" s="567"/>
      <c r="DH386" s="567"/>
      <c r="DI386" s="567"/>
      <c r="DJ386" s="567"/>
      <c r="DK386" s="567"/>
      <c r="DL386" s="567"/>
      <c r="DM386" s="567"/>
      <c r="DN386" s="567"/>
      <c r="DO386" s="567"/>
      <c r="DP386" s="567"/>
      <c r="DQ386" s="567"/>
      <c r="DR386" s="567"/>
      <c r="DS386" s="567"/>
      <c r="DT386" s="567"/>
      <c r="DU386" s="567"/>
      <c r="DV386" s="567"/>
      <c r="DW386" s="567"/>
      <c r="DX386" s="567"/>
      <c r="DY386" s="567"/>
      <c r="DZ386" s="567"/>
      <c r="EA386" s="567"/>
      <c r="EB386" s="567"/>
      <c r="EC386" s="567"/>
      <c r="ED386" s="567"/>
      <c r="EE386" s="567"/>
      <c r="EF386" s="567"/>
      <c r="EG386" s="567"/>
      <c r="EH386" s="567"/>
      <c r="EI386" s="567"/>
      <c r="EJ386" s="567"/>
      <c r="EK386" s="567"/>
      <c r="EL386" s="567"/>
      <c r="EM386" s="567"/>
      <c r="EN386" s="567"/>
      <c r="EO386" s="567"/>
      <c r="EP386" s="567"/>
      <c r="EQ386" s="567"/>
      <c r="ER386" s="567"/>
      <c r="ES386" s="567"/>
      <c r="ET386" s="567"/>
      <c r="EU386" s="567"/>
      <c r="EV386" s="567"/>
      <c r="EW386" s="567"/>
      <c r="EX386" s="567"/>
      <c r="EY386" s="567"/>
      <c r="EZ386" s="567"/>
      <c r="FA386" s="567"/>
      <c r="FB386" s="567"/>
      <c r="FC386" s="567"/>
      <c r="FD386" s="567"/>
      <c r="FE386" s="567"/>
      <c r="FF386" s="567"/>
      <c r="FG386" s="567"/>
      <c r="FH386" s="567"/>
      <c r="FI386" s="567"/>
      <c r="FJ386" s="567"/>
      <c r="FK386" s="567"/>
      <c r="FL386" s="567"/>
      <c r="FM386" s="567"/>
      <c r="FN386" s="567"/>
      <c r="FO386" s="567"/>
      <c r="FP386" s="567"/>
      <c r="FQ386" s="567"/>
      <c r="FR386" s="567"/>
      <c r="FS386" s="567"/>
      <c r="FT386" s="567"/>
      <c r="FU386" s="567"/>
      <c r="FV386" s="567"/>
      <c r="FW386" s="567"/>
      <c r="FX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  <c r="CL387" s="567"/>
      <c r="CM387" s="567"/>
      <c r="CN387" s="567"/>
      <c r="CO387" s="567"/>
      <c r="CP387" s="567"/>
      <c r="CQ387" s="567"/>
      <c r="CR387" s="567"/>
      <c r="CS387" s="567"/>
      <c r="CT387" s="567"/>
      <c r="CU387" s="567"/>
      <c r="CV387" s="567"/>
      <c r="CW387" s="567"/>
      <c r="CX387" s="567"/>
      <c r="CY387" s="567"/>
      <c r="CZ387" s="567"/>
      <c r="DA387" s="567"/>
      <c r="DB387" s="567"/>
      <c r="DC387" s="567"/>
      <c r="DD387" s="567"/>
      <c r="DE387" s="567"/>
      <c r="DF387" s="567"/>
      <c r="DG387" s="567"/>
      <c r="DH387" s="567"/>
      <c r="DI387" s="567"/>
      <c r="DJ387" s="567"/>
      <c r="DK387" s="567"/>
      <c r="DL387" s="567"/>
      <c r="DM387" s="567"/>
      <c r="DN387" s="567"/>
      <c r="DO387" s="567"/>
      <c r="DP387" s="567"/>
      <c r="DQ387" s="567"/>
      <c r="DR387" s="567"/>
      <c r="DS387" s="567"/>
      <c r="DT387" s="567"/>
      <c r="DU387" s="567"/>
      <c r="DV387" s="567"/>
      <c r="DW387" s="567"/>
      <c r="DX387" s="567"/>
      <c r="DY387" s="567"/>
      <c r="DZ387" s="567"/>
      <c r="EA387" s="567"/>
      <c r="EB387" s="567"/>
      <c r="EC387" s="567"/>
      <c r="ED387" s="567"/>
      <c r="EE387" s="567"/>
      <c r="EF387" s="567"/>
      <c r="EG387" s="567"/>
      <c r="EH387" s="567"/>
      <c r="EI387" s="567"/>
      <c r="EJ387" s="567"/>
      <c r="EK387" s="567"/>
      <c r="EL387" s="567"/>
      <c r="EM387" s="567"/>
      <c r="EN387" s="567"/>
      <c r="EO387" s="567"/>
      <c r="EP387" s="567"/>
      <c r="EQ387" s="567"/>
      <c r="ER387" s="567"/>
      <c r="ES387" s="567"/>
      <c r="ET387" s="567"/>
      <c r="EU387" s="567"/>
      <c r="EV387" s="567"/>
      <c r="EW387" s="567"/>
      <c r="EX387" s="567"/>
      <c r="EY387" s="567"/>
      <c r="EZ387" s="567"/>
      <c r="FA387" s="567"/>
      <c r="FB387" s="567"/>
      <c r="FC387" s="567"/>
      <c r="FD387" s="567"/>
      <c r="FE387" s="567"/>
      <c r="FF387" s="567"/>
      <c r="FG387" s="567"/>
      <c r="FH387" s="567"/>
      <c r="FI387" s="567"/>
      <c r="FJ387" s="567"/>
      <c r="FK387" s="567"/>
      <c r="FL387" s="567"/>
      <c r="FM387" s="567"/>
      <c r="FN387" s="567"/>
      <c r="FO387" s="567"/>
      <c r="FP387" s="567"/>
      <c r="FQ387" s="567"/>
      <c r="FR387" s="567"/>
      <c r="FS387" s="567"/>
      <c r="FT387" s="567"/>
      <c r="FU387" s="567"/>
      <c r="FV387" s="567"/>
      <c r="FW387" s="567"/>
      <c r="FX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  <c r="CL388" s="567"/>
      <c r="CM388" s="567"/>
      <c r="CN388" s="567"/>
      <c r="CO388" s="567"/>
      <c r="CP388" s="567"/>
      <c r="CQ388" s="567"/>
      <c r="CR388" s="567"/>
      <c r="CS388" s="567"/>
      <c r="CT388" s="567"/>
      <c r="CU388" s="567"/>
      <c r="CV388" s="567"/>
      <c r="CW388" s="567"/>
      <c r="CX388" s="567"/>
      <c r="CY388" s="567"/>
      <c r="CZ388" s="567"/>
      <c r="DA388" s="567"/>
      <c r="DB388" s="567"/>
      <c r="DC388" s="567"/>
      <c r="DD388" s="567"/>
      <c r="DE388" s="567"/>
      <c r="DF388" s="567"/>
      <c r="DG388" s="567"/>
      <c r="DH388" s="567"/>
      <c r="DI388" s="567"/>
      <c r="DJ388" s="567"/>
      <c r="DK388" s="567"/>
      <c r="DL388" s="567"/>
      <c r="DM388" s="567"/>
      <c r="DN388" s="567"/>
      <c r="DO388" s="567"/>
      <c r="DP388" s="567"/>
      <c r="DQ388" s="567"/>
      <c r="DR388" s="567"/>
      <c r="DS388" s="567"/>
      <c r="DT388" s="567"/>
      <c r="DU388" s="567"/>
      <c r="DV388" s="567"/>
      <c r="DW388" s="567"/>
      <c r="DX388" s="567"/>
      <c r="DY388" s="567"/>
      <c r="DZ388" s="567"/>
      <c r="EA388" s="567"/>
      <c r="EB388" s="567"/>
      <c r="EC388" s="567"/>
      <c r="ED388" s="567"/>
      <c r="EE388" s="567"/>
      <c r="EF388" s="567"/>
      <c r="EG388" s="567"/>
      <c r="EH388" s="567"/>
      <c r="EI388" s="567"/>
      <c r="EJ388" s="567"/>
      <c r="EK388" s="567"/>
      <c r="EL388" s="567"/>
      <c r="EM388" s="567"/>
      <c r="EN388" s="567"/>
      <c r="EO388" s="567"/>
      <c r="EP388" s="567"/>
      <c r="EQ388" s="567"/>
      <c r="ER388" s="567"/>
      <c r="ES388" s="567"/>
      <c r="ET388" s="567"/>
      <c r="EU388" s="567"/>
      <c r="EV388" s="567"/>
      <c r="EW388" s="567"/>
      <c r="EX388" s="567"/>
      <c r="EY388" s="567"/>
      <c r="EZ388" s="567"/>
      <c r="FA388" s="567"/>
      <c r="FB388" s="567"/>
      <c r="FC388" s="567"/>
      <c r="FD388" s="567"/>
      <c r="FE388" s="567"/>
      <c r="FF388" s="567"/>
      <c r="FG388" s="567"/>
      <c r="FH388" s="567"/>
      <c r="FI388" s="567"/>
      <c r="FJ388" s="567"/>
      <c r="FK388" s="567"/>
      <c r="FL388" s="567"/>
      <c r="FM388" s="567"/>
      <c r="FN388" s="567"/>
      <c r="FO388" s="567"/>
      <c r="FP388" s="567"/>
      <c r="FQ388" s="567"/>
      <c r="FR388" s="567"/>
      <c r="FS388" s="567"/>
      <c r="FT388" s="567"/>
      <c r="FU388" s="567"/>
      <c r="FV388" s="567"/>
      <c r="FW388" s="567"/>
      <c r="FX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  <c r="CL389" s="567"/>
      <c r="CM389" s="567"/>
      <c r="CN389" s="567"/>
      <c r="CO389" s="567"/>
      <c r="CP389" s="567"/>
      <c r="CQ389" s="567"/>
      <c r="CR389" s="567"/>
      <c r="CS389" s="567"/>
      <c r="CT389" s="567"/>
      <c r="CU389" s="567"/>
      <c r="CV389" s="567"/>
      <c r="CW389" s="567"/>
      <c r="CX389" s="567"/>
      <c r="CY389" s="567"/>
      <c r="CZ389" s="567"/>
      <c r="DA389" s="567"/>
      <c r="DB389" s="567"/>
      <c r="DC389" s="567"/>
      <c r="DD389" s="567"/>
      <c r="DE389" s="567"/>
      <c r="DF389" s="567"/>
      <c r="DG389" s="567"/>
      <c r="DH389" s="567"/>
      <c r="DI389" s="567"/>
      <c r="DJ389" s="567"/>
      <c r="DK389" s="567"/>
      <c r="DL389" s="567"/>
      <c r="DM389" s="567"/>
      <c r="DN389" s="567"/>
      <c r="DO389" s="567"/>
      <c r="DP389" s="567"/>
      <c r="DQ389" s="567"/>
      <c r="DR389" s="567"/>
      <c r="DS389" s="567"/>
      <c r="DT389" s="567"/>
      <c r="DU389" s="567"/>
      <c r="DV389" s="567"/>
      <c r="DW389" s="567"/>
      <c r="DX389" s="567"/>
      <c r="DY389" s="567"/>
      <c r="DZ389" s="567"/>
      <c r="EA389" s="567"/>
      <c r="EB389" s="567"/>
      <c r="EC389" s="567"/>
      <c r="ED389" s="567"/>
      <c r="EE389" s="567"/>
      <c r="EF389" s="567"/>
      <c r="EG389" s="567"/>
      <c r="EH389" s="567"/>
      <c r="EI389" s="567"/>
      <c r="EJ389" s="567"/>
      <c r="EK389" s="567"/>
      <c r="EL389" s="567"/>
      <c r="EM389" s="567"/>
      <c r="EN389" s="567"/>
      <c r="EO389" s="567"/>
      <c r="EP389" s="567"/>
      <c r="EQ389" s="567"/>
      <c r="ER389" s="567"/>
      <c r="ES389" s="567"/>
      <c r="ET389" s="567"/>
      <c r="EU389" s="567"/>
      <c r="EV389" s="567"/>
      <c r="EW389" s="567"/>
      <c r="EX389" s="567"/>
      <c r="EY389" s="567"/>
      <c r="EZ389" s="567"/>
      <c r="FA389" s="567"/>
      <c r="FB389" s="567"/>
      <c r="FC389" s="567"/>
      <c r="FD389" s="567"/>
      <c r="FE389" s="567"/>
      <c r="FF389" s="567"/>
      <c r="FG389" s="567"/>
      <c r="FH389" s="567"/>
      <c r="FI389" s="567"/>
      <c r="FJ389" s="567"/>
      <c r="FK389" s="567"/>
      <c r="FL389" s="567"/>
      <c r="FM389" s="567"/>
      <c r="FN389" s="567"/>
      <c r="FO389" s="567"/>
      <c r="FP389" s="567"/>
      <c r="FQ389" s="567"/>
      <c r="FR389" s="567"/>
      <c r="FS389" s="567"/>
      <c r="FT389" s="567"/>
      <c r="FU389" s="567"/>
      <c r="FV389" s="567"/>
      <c r="FW389" s="567"/>
      <c r="FX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  <c r="CL390" s="567"/>
      <c r="CM390" s="567"/>
      <c r="CN390" s="567"/>
      <c r="CO390" s="567"/>
      <c r="CP390" s="567"/>
      <c r="CQ390" s="567"/>
      <c r="CR390" s="567"/>
      <c r="CS390" s="567"/>
      <c r="CT390" s="567"/>
      <c r="CU390" s="567"/>
      <c r="CV390" s="567"/>
      <c r="CW390" s="567"/>
      <c r="CX390" s="567"/>
      <c r="CY390" s="567"/>
      <c r="CZ390" s="567"/>
      <c r="DA390" s="567"/>
      <c r="DB390" s="567"/>
      <c r="DC390" s="567"/>
      <c r="DD390" s="567"/>
      <c r="DE390" s="567"/>
      <c r="DF390" s="567"/>
      <c r="DG390" s="567"/>
      <c r="DH390" s="567"/>
      <c r="DI390" s="567"/>
      <c r="DJ390" s="567"/>
      <c r="DK390" s="567"/>
      <c r="DL390" s="567"/>
      <c r="DM390" s="567"/>
      <c r="DN390" s="567"/>
      <c r="DO390" s="567"/>
      <c r="DP390" s="567"/>
      <c r="DQ390" s="567"/>
      <c r="DR390" s="567"/>
      <c r="DS390" s="567"/>
      <c r="DT390" s="567"/>
      <c r="DU390" s="567"/>
      <c r="DV390" s="567"/>
      <c r="DW390" s="567"/>
      <c r="DX390" s="567"/>
      <c r="DY390" s="567"/>
      <c r="DZ390" s="567"/>
      <c r="EA390" s="567"/>
      <c r="EB390" s="567"/>
      <c r="EC390" s="567"/>
      <c r="ED390" s="567"/>
      <c r="EE390" s="567"/>
      <c r="EF390" s="567"/>
      <c r="EG390" s="567"/>
      <c r="EH390" s="567"/>
      <c r="EI390" s="567"/>
      <c r="EJ390" s="567"/>
      <c r="EK390" s="567"/>
      <c r="EL390" s="567"/>
      <c r="EM390" s="567"/>
      <c r="EN390" s="567"/>
      <c r="EO390" s="567"/>
      <c r="EP390" s="567"/>
      <c r="EQ390" s="567"/>
      <c r="ER390" s="567"/>
      <c r="ES390" s="567"/>
      <c r="ET390" s="567"/>
      <c r="EU390" s="567"/>
      <c r="EV390" s="567"/>
      <c r="EW390" s="567"/>
      <c r="EX390" s="567"/>
      <c r="EY390" s="567"/>
      <c r="EZ390" s="567"/>
      <c r="FA390" s="567"/>
      <c r="FB390" s="567"/>
      <c r="FC390" s="567"/>
      <c r="FD390" s="567"/>
      <c r="FE390" s="567"/>
      <c r="FF390" s="567"/>
      <c r="FG390" s="567"/>
      <c r="FH390" s="567"/>
      <c r="FI390" s="567"/>
      <c r="FJ390" s="567"/>
      <c r="FK390" s="567"/>
      <c r="FL390" s="567"/>
      <c r="FM390" s="567"/>
      <c r="FN390" s="567"/>
      <c r="FO390" s="567"/>
      <c r="FP390" s="567"/>
      <c r="FQ390" s="567"/>
      <c r="FR390" s="567"/>
      <c r="FS390" s="567"/>
      <c r="FT390" s="567"/>
      <c r="FU390" s="567"/>
      <c r="FV390" s="567"/>
      <c r="FW390" s="567"/>
      <c r="FX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  <c r="CL391" s="567"/>
      <c r="CM391" s="567"/>
      <c r="CN391" s="567"/>
      <c r="CO391" s="567"/>
      <c r="CP391" s="567"/>
      <c r="CQ391" s="567"/>
      <c r="CR391" s="567"/>
      <c r="CS391" s="567"/>
      <c r="CT391" s="567"/>
      <c r="CU391" s="567"/>
      <c r="CV391" s="567"/>
      <c r="CW391" s="567"/>
      <c r="CX391" s="567"/>
      <c r="CY391" s="567"/>
      <c r="CZ391" s="567"/>
      <c r="DA391" s="567"/>
      <c r="DB391" s="567"/>
      <c r="DC391" s="567"/>
      <c r="DD391" s="567"/>
      <c r="DE391" s="567"/>
      <c r="DF391" s="567"/>
      <c r="DG391" s="567"/>
      <c r="DH391" s="567"/>
      <c r="DI391" s="567"/>
      <c r="DJ391" s="567"/>
      <c r="DK391" s="567"/>
      <c r="DL391" s="567"/>
      <c r="DM391" s="567"/>
      <c r="DN391" s="567"/>
      <c r="DO391" s="567"/>
      <c r="DP391" s="567"/>
      <c r="DQ391" s="567"/>
      <c r="DR391" s="567"/>
      <c r="DS391" s="567"/>
      <c r="DT391" s="567"/>
      <c r="DU391" s="567"/>
      <c r="DV391" s="567"/>
      <c r="DW391" s="567"/>
      <c r="DX391" s="567"/>
      <c r="DY391" s="567"/>
      <c r="DZ391" s="567"/>
      <c r="EA391" s="567"/>
      <c r="EB391" s="567"/>
      <c r="EC391" s="567"/>
      <c r="ED391" s="567"/>
      <c r="EE391" s="567"/>
      <c r="EF391" s="567"/>
      <c r="EG391" s="567"/>
      <c r="EH391" s="567"/>
      <c r="EI391" s="567"/>
      <c r="EJ391" s="567"/>
      <c r="EK391" s="567"/>
      <c r="EL391" s="567"/>
      <c r="EM391" s="567"/>
      <c r="EN391" s="567"/>
      <c r="EO391" s="567"/>
      <c r="EP391" s="567"/>
      <c r="EQ391" s="567"/>
      <c r="ER391" s="567"/>
      <c r="ES391" s="567"/>
      <c r="ET391" s="567"/>
      <c r="EU391" s="567"/>
      <c r="EV391" s="567"/>
      <c r="EW391" s="567"/>
      <c r="EX391" s="567"/>
      <c r="EY391" s="567"/>
      <c r="EZ391" s="567"/>
      <c r="FA391" s="567"/>
      <c r="FB391" s="567"/>
      <c r="FC391" s="567"/>
      <c r="FD391" s="567"/>
      <c r="FE391" s="567"/>
      <c r="FF391" s="567"/>
      <c r="FG391" s="567"/>
      <c r="FH391" s="567"/>
      <c r="FI391" s="567"/>
      <c r="FJ391" s="567"/>
      <c r="FK391" s="567"/>
      <c r="FL391" s="567"/>
      <c r="FM391" s="567"/>
      <c r="FN391" s="567"/>
      <c r="FO391" s="567"/>
      <c r="FP391" s="567"/>
      <c r="FQ391" s="567"/>
      <c r="FR391" s="567"/>
      <c r="FS391" s="567"/>
      <c r="FT391" s="567"/>
      <c r="FU391" s="567"/>
      <c r="FV391" s="567"/>
      <c r="FW391" s="567"/>
      <c r="FX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  <c r="CL392" s="567"/>
      <c r="CM392" s="567"/>
      <c r="CN392" s="567"/>
      <c r="CO392" s="567"/>
      <c r="CP392" s="567"/>
      <c r="CQ392" s="567"/>
      <c r="CR392" s="567"/>
      <c r="CS392" s="567"/>
      <c r="CT392" s="567"/>
      <c r="CU392" s="567"/>
      <c r="CV392" s="567"/>
      <c r="CW392" s="567"/>
      <c r="CX392" s="567"/>
      <c r="CY392" s="567"/>
      <c r="CZ392" s="567"/>
      <c r="DA392" s="567"/>
      <c r="DB392" s="567"/>
      <c r="DC392" s="567"/>
      <c r="DD392" s="567"/>
      <c r="DE392" s="567"/>
      <c r="DF392" s="567"/>
      <c r="DG392" s="567"/>
      <c r="DH392" s="567"/>
      <c r="DI392" s="567"/>
      <c r="DJ392" s="567"/>
      <c r="DK392" s="567"/>
      <c r="DL392" s="567"/>
      <c r="DM392" s="567"/>
      <c r="DN392" s="567"/>
      <c r="DO392" s="567"/>
      <c r="DP392" s="567"/>
      <c r="DQ392" s="567"/>
      <c r="DR392" s="567"/>
      <c r="DS392" s="567"/>
      <c r="DT392" s="567"/>
      <c r="DU392" s="567"/>
      <c r="DV392" s="567"/>
      <c r="DW392" s="567"/>
      <c r="DX392" s="567"/>
      <c r="DY392" s="567"/>
      <c r="DZ392" s="567"/>
      <c r="EA392" s="567"/>
      <c r="EB392" s="567"/>
      <c r="EC392" s="567"/>
      <c r="ED392" s="567"/>
      <c r="EE392" s="567"/>
      <c r="EF392" s="567"/>
      <c r="EG392" s="567"/>
      <c r="EH392" s="567"/>
      <c r="EI392" s="567"/>
      <c r="EJ392" s="567"/>
      <c r="EK392" s="567"/>
      <c r="EL392" s="567"/>
      <c r="EM392" s="567"/>
      <c r="EN392" s="567"/>
      <c r="EO392" s="567"/>
      <c r="EP392" s="567"/>
      <c r="EQ392" s="567"/>
      <c r="ER392" s="567"/>
      <c r="ES392" s="567"/>
      <c r="ET392" s="567"/>
      <c r="EU392" s="567"/>
      <c r="EV392" s="567"/>
      <c r="EW392" s="567"/>
      <c r="EX392" s="567"/>
      <c r="EY392" s="567"/>
      <c r="EZ392" s="567"/>
      <c r="FA392" s="567"/>
      <c r="FB392" s="567"/>
      <c r="FC392" s="567"/>
      <c r="FD392" s="567"/>
      <c r="FE392" s="567"/>
      <c r="FF392" s="567"/>
      <c r="FG392" s="567"/>
      <c r="FH392" s="567"/>
      <c r="FI392" s="567"/>
      <c r="FJ392" s="567"/>
      <c r="FK392" s="567"/>
      <c r="FL392" s="567"/>
      <c r="FM392" s="567"/>
      <c r="FN392" s="567"/>
      <c r="FO392" s="567"/>
      <c r="FP392" s="567"/>
      <c r="FQ392" s="567"/>
      <c r="FR392" s="567"/>
      <c r="FS392" s="567"/>
      <c r="FT392" s="567"/>
      <c r="FU392" s="567"/>
      <c r="FV392" s="567"/>
      <c r="FW392" s="567"/>
      <c r="FX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  <c r="CL393" s="567"/>
      <c r="CM393" s="567"/>
      <c r="CN393" s="567"/>
      <c r="CO393" s="567"/>
      <c r="CP393" s="567"/>
      <c r="CQ393" s="567"/>
      <c r="CR393" s="567"/>
      <c r="CS393" s="567"/>
      <c r="CT393" s="567"/>
      <c r="CU393" s="567"/>
      <c r="CV393" s="567"/>
      <c r="CW393" s="567"/>
      <c r="CX393" s="567"/>
      <c r="CY393" s="567"/>
      <c r="CZ393" s="567"/>
      <c r="DA393" s="567"/>
      <c r="DB393" s="567"/>
      <c r="DC393" s="567"/>
      <c r="DD393" s="567"/>
      <c r="DE393" s="567"/>
      <c r="DF393" s="567"/>
      <c r="DG393" s="567"/>
      <c r="DH393" s="567"/>
      <c r="DI393" s="567"/>
      <c r="DJ393" s="567"/>
      <c r="DK393" s="567"/>
      <c r="DL393" s="567"/>
      <c r="DM393" s="567"/>
      <c r="DN393" s="567"/>
      <c r="DO393" s="567"/>
      <c r="DP393" s="567"/>
      <c r="DQ393" s="567"/>
      <c r="DR393" s="567"/>
      <c r="DS393" s="567"/>
      <c r="DT393" s="567"/>
      <c r="DU393" s="567"/>
      <c r="DV393" s="567"/>
      <c r="DW393" s="567"/>
      <c r="DX393" s="567"/>
      <c r="DY393" s="567"/>
      <c r="DZ393" s="567"/>
      <c r="EA393" s="567"/>
      <c r="EB393" s="567"/>
      <c r="EC393" s="567"/>
      <c r="ED393" s="567"/>
      <c r="EE393" s="567"/>
      <c r="EF393" s="567"/>
      <c r="EG393" s="567"/>
      <c r="EH393" s="567"/>
      <c r="EI393" s="567"/>
      <c r="EJ393" s="567"/>
      <c r="EK393" s="567"/>
      <c r="EL393" s="567"/>
      <c r="EM393" s="567"/>
      <c r="EN393" s="567"/>
      <c r="EO393" s="567"/>
      <c r="EP393" s="567"/>
      <c r="EQ393" s="567"/>
      <c r="ER393" s="567"/>
      <c r="ES393" s="567"/>
      <c r="ET393" s="567"/>
      <c r="EU393" s="567"/>
      <c r="EV393" s="567"/>
      <c r="EW393" s="567"/>
      <c r="EX393" s="567"/>
      <c r="EY393" s="567"/>
      <c r="EZ393" s="567"/>
      <c r="FA393" s="567"/>
      <c r="FB393" s="567"/>
      <c r="FC393" s="567"/>
      <c r="FD393" s="567"/>
      <c r="FE393" s="567"/>
      <c r="FF393" s="567"/>
      <c r="FG393" s="567"/>
      <c r="FH393" s="567"/>
      <c r="FI393" s="567"/>
      <c r="FJ393" s="567"/>
      <c r="FK393" s="567"/>
      <c r="FL393" s="567"/>
      <c r="FM393" s="567"/>
      <c r="FN393" s="567"/>
      <c r="FO393" s="567"/>
      <c r="FP393" s="567"/>
      <c r="FQ393" s="567"/>
      <c r="FR393" s="567"/>
      <c r="FS393" s="567"/>
      <c r="FT393" s="567"/>
      <c r="FU393" s="567"/>
      <c r="FV393" s="567"/>
      <c r="FW393" s="567"/>
      <c r="FX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  <c r="CL394" s="567"/>
      <c r="CM394" s="567"/>
      <c r="CN394" s="567"/>
      <c r="CO394" s="567"/>
      <c r="CP394" s="567"/>
      <c r="CQ394" s="567"/>
      <c r="CR394" s="567"/>
      <c r="CS394" s="567"/>
      <c r="CT394" s="567"/>
      <c r="CU394" s="567"/>
      <c r="CV394" s="567"/>
      <c r="CW394" s="567"/>
      <c r="CX394" s="567"/>
      <c r="CY394" s="567"/>
      <c r="CZ394" s="567"/>
      <c r="DA394" s="567"/>
      <c r="DB394" s="567"/>
      <c r="DC394" s="567"/>
      <c r="DD394" s="567"/>
      <c r="DE394" s="567"/>
      <c r="DF394" s="567"/>
      <c r="DG394" s="567"/>
      <c r="DH394" s="567"/>
      <c r="DI394" s="567"/>
      <c r="DJ394" s="567"/>
      <c r="DK394" s="567"/>
      <c r="DL394" s="567"/>
      <c r="DM394" s="567"/>
      <c r="DN394" s="567"/>
      <c r="DO394" s="567"/>
      <c r="DP394" s="567"/>
      <c r="DQ394" s="567"/>
      <c r="DR394" s="567"/>
      <c r="DS394" s="567"/>
      <c r="DT394" s="567"/>
      <c r="DU394" s="567"/>
      <c r="DV394" s="567"/>
      <c r="DW394" s="567"/>
      <c r="DX394" s="567"/>
      <c r="DY394" s="567"/>
      <c r="DZ394" s="567"/>
      <c r="EA394" s="567"/>
      <c r="EB394" s="567"/>
      <c r="EC394" s="567"/>
      <c r="ED394" s="567"/>
      <c r="EE394" s="567"/>
      <c r="EF394" s="567"/>
      <c r="EG394" s="567"/>
      <c r="EH394" s="567"/>
      <c r="EI394" s="567"/>
      <c r="EJ394" s="567"/>
      <c r="EK394" s="567"/>
      <c r="EL394" s="567"/>
      <c r="EM394" s="567"/>
      <c r="EN394" s="567"/>
      <c r="EO394" s="567"/>
      <c r="EP394" s="567"/>
      <c r="EQ394" s="567"/>
      <c r="ER394" s="567"/>
      <c r="ES394" s="567"/>
      <c r="ET394" s="567"/>
      <c r="EU394" s="567"/>
      <c r="EV394" s="567"/>
      <c r="EW394" s="567"/>
      <c r="EX394" s="567"/>
      <c r="EY394" s="567"/>
      <c r="EZ394" s="567"/>
      <c r="FA394" s="567"/>
      <c r="FB394" s="567"/>
      <c r="FC394" s="567"/>
      <c r="FD394" s="567"/>
      <c r="FE394" s="567"/>
      <c r="FF394" s="567"/>
      <c r="FG394" s="567"/>
      <c r="FH394" s="567"/>
      <c r="FI394" s="567"/>
      <c r="FJ394" s="567"/>
      <c r="FK394" s="567"/>
      <c r="FL394" s="567"/>
      <c r="FM394" s="567"/>
      <c r="FN394" s="567"/>
      <c r="FO394" s="567"/>
      <c r="FP394" s="567"/>
      <c r="FQ394" s="567"/>
      <c r="FR394" s="567"/>
      <c r="FS394" s="567"/>
      <c r="FT394" s="567"/>
      <c r="FU394" s="567"/>
      <c r="FV394" s="567"/>
      <c r="FW394" s="567"/>
      <c r="FX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  <c r="CL395" s="567"/>
      <c r="CM395" s="567"/>
      <c r="CN395" s="567"/>
      <c r="CO395" s="567"/>
      <c r="CP395" s="567"/>
      <c r="CQ395" s="567"/>
      <c r="CR395" s="567"/>
      <c r="CS395" s="567"/>
      <c r="CT395" s="567"/>
      <c r="CU395" s="567"/>
      <c r="CV395" s="567"/>
      <c r="CW395" s="567"/>
      <c r="CX395" s="567"/>
      <c r="CY395" s="567"/>
      <c r="CZ395" s="567"/>
      <c r="DA395" s="567"/>
      <c r="DB395" s="567"/>
      <c r="DC395" s="567"/>
      <c r="DD395" s="567"/>
      <c r="DE395" s="567"/>
      <c r="DF395" s="567"/>
      <c r="DG395" s="567"/>
      <c r="DH395" s="567"/>
      <c r="DI395" s="567"/>
      <c r="DJ395" s="567"/>
      <c r="DK395" s="567"/>
      <c r="DL395" s="567"/>
      <c r="DM395" s="567"/>
      <c r="DN395" s="567"/>
      <c r="DO395" s="567"/>
      <c r="DP395" s="567"/>
      <c r="DQ395" s="567"/>
      <c r="DR395" s="567"/>
      <c r="DS395" s="567"/>
      <c r="DT395" s="567"/>
      <c r="DU395" s="567"/>
      <c r="DV395" s="567"/>
      <c r="DW395" s="567"/>
      <c r="DX395" s="567"/>
      <c r="DY395" s="567"/>
      <c r="DZ395" s="567"/>
      <c r="EA395" s="567"/>
      <c r="EB395" s="567"/>
      <c r="EC395" s="567"/>
      <c r="ED395" s="567"/>
      <c r="EE395" s="567"/>
      <c r="EF395" s="567"/>
      <c r="EG395" s="567"/>
      <c r="EH395" s="567"/>
      <c r="EI395" s="567"/>
      <c r="EJ395" s="567"/>
      <c r="EK395" s="567"/>
      <c r="EL395" s="567"/>
      <c r="EM395" s="567"/>
      <c r="EN395" s="567"/>
      <c r="EO395" s="567"/>
      <c r="EP395" s="567"/>
      <c r="EQ395" s="567"/>
      <c r="ER395" s="567"/>
      <c r="ES395" s="567"/>
      <c r="ET395" s="567"/>
      <c r="EU395" s="567"/>
      <c r="EV395" s="567"/>
      <c r="EW395" s="567"/>
      <c r="EX395" s="567"/>
      <c r="EY395" s="567"/>
      <c r="EZ395" s="567"/>
      <c r="FA395" s="567"/>
      <c r="FB395" s="567"/>
      <c r="FC395" s="567"/>
      <c r="FD395" s="567"/>
      <c r="FE395" s="567"/>
      <c r="FF395" s="567"/>
      <c r="FG395" s="567"/>
      <c r="FH395" s="567"/>
      <c r="FI395" s="567"/>
      <c r="FJ395" s="567"/>
      <c r="FK395" s="567"/>
      <c r="FL395" s="567"/>
      <c r="FM395" s="567"/>
      <c r="FN395" s="567"/>
      <c r="FO395" s="567"/>
      <c r="FP395" s="567"/>
      <c r="FQ395" s="567"/>
      <c r="FR395" s="567"/>
      <c r="FS395" s="567"/>
      <c r="FT395" s="567"/>
      <c r="FU395" s="567"/>
      <c r="FV395" s="567"/>
      <c r="FW395" s="567"/>
      <c r="FX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  <c r="CL396" s="567"/>
      <c r="CM396" s="567"/>
      <c r="CN396" s="567"/>
      <c r="CO396" s="567"/>
      <c r="CP396" s="567"/>
      <c r="CQ396" s="567"/>
      <c r="CR396" s="567"/>
      <c r="CS396" s="567"/>
      <c r="CT396" s="567"/>
      <c r="CU396" s="567"/>
      <c r="CV396" s="567"/>
      <c r="CW396" s="567"/>
      <c r="CX396" s="567"/>
      <c r="CY396" s="567"/>
      <c r="CZ396" s="567"/>
      <c r="DA396" s="567"/>
      <c r="DB396" s="567"/>
      <c r="DC396" s="567"/>
      <c r="DD396" s="567"/>
      <c r="DE396" s="567"/>
      <c r="DF396" s="567"/>
      <c r="DG396" s="567"/>
      <c r="DH396" s="567"/>
      <c r="DI396" s="567"/>
      <c r="DJ396" s="567"/>
      <c r="DK396" s="567"/>
      <c r="DL396" s="567"/>
      <c r="DM396" s="567"/>
      <c r="DN396" s="567"/>
      <c r="DO396" s="567"/>
      <c r="DP396" s="567"/>
      <c r="DQ396" s="567"/>
      <c r="DR396" s="567"/>
      <c r="DS396" s="567"/>
      <c r="DT396" s="567"/>
      <c r="DU396" s="567"/>
      <c r="DV396" s="567"/>
      <c r="DW396" s="567"/>
      <c r="DX396" s="567"/>
      <c r="DY396" s="567"/>
      <c r="DZ396" s="567"/>
      <c r="EA396" s="567"/>
      <c r="EB396" s="567"/>
      <c r="EC396" s="567"/>
      <c r="ED396" s="567"/>
      <c r="EE396" s="567"/>
      <c r="EF396" s="567"/>
      <c r="EG396" s="567"/>
      <c r="EH396" s="567"/>
      <c r="EI396" s="567"/>
      <c r="EJ396" s="567"/>
      <c r="EK396" s="567"/>
      <c r="EL396" s="567"/>
      <c r="EM396" s="567"/>
      <c r="EN396" s="567"/>
      <c r="EO396" s="567"/>
      <c r="EP396" s="567"/>
      <c r="EQ396" s="567"/>
      <c r="ER396" s="567"/>
      <c r="ES396" s="567"/>
      <c r="ET396" s="567"/>
      <c r="EU396" s="567"/>
      <c r="EV396" s="567"/>
      <c r="EW396" s="567"/>
      <c r="EX396" s="567"/>
      <c r="EY396" s="567"/>
      <c r="EZ396" s="567"/>
      <c r="FA396" s="567"/>
      <c r="FB396" s="567"/>
      <c r="FC396" s="567"/>
      <c r="FD396" s="567"/>
      <c r="FE396" s="567"/>
      <c r="FF396" s="567"/>
      <c r="FG396" s="567"/>
      <c r="FH396" s="567"/>
      <c r="FI396" s="567"/>
      <c r="FJ396" s="567"/>
      <c r="FK396" s="567"/>
      <c r="FL396" s="567"/>
      <c r="FM396" s="567"/>
      <c r="FN396" s="567"/>
      <c r="FO396" s="567"/>
      <c r="FP396" s="567"/>
      <c r="FQ396" s="567"/>
      <c r="FR396" s="567"/>
      <c r="FS396" s="567"/>
      <c r="FT396" s="567"/>
      <c r="FU396" s="567"/>
      <c r="FV396" s="567"/>
      <c r="FW396" s="567"/>
      <c r="FX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  <c r="CL397" s="567"/>
      <c r="CM397" s="567"/>
      <c r="CN397" s="567"/>
      <c r="CO397" s="567"/>
      <c r="CP397" s="567"/>
      <c r="CQ397" s="567"/>
      <c r="CR397" s="567"/>
      <c r="CS397" s="567"/>
      <c r="CT397" s="567"/>
      <c r="CU397" s="567"/>
      <c r="CV397" s="567"/>
      <c r="CW397" s="567"/>
      <c r="CX397" s="567"/>
      <c r="CY397" s="567"/>
      <c r="CZ397" s="567"/>
      <c r="DA397" s="567"/>
      <c r="DB397" s="567"/>
      <c r="DC397" s="567"/>
      <c r="DD397" s="567"/>
      <c r="DE397" s="567"/>
      <c r="DF397" s="567"/>
      <c r="DG397" s="567"/>
      <c r="DH397" s="567"/>
      <c r="DI397" s="567"/>
      <c r="DJ397" s="567"/>
      <c r="DK397" s="567"/>
      <c r="DL397" s="567"/>
      <c r="DM397" s="567"/>
      <c r="DN397" s="567"/>
      <c r="DO397" s="567"/>
      <c r="DP397" s="567"/>
      <c r="DQ397" s="567"/>
      <c r="DR397" s="567"/>
      <c r="DS397" s="567"/>
      <c r="DT397" s="567"/>
      <c r="DU397" s="567"/>
      <c r="DV397" s="567"/>
      <c r="DW397" s="567"/>
      <c r="DX397" s="567"/>
      <c r="DY397" s="567"/>
      <c r="DZ397" s="567"/>
      <c r="EA397" s="567"/>
      <c r="EB397" s="567"/>
      <c r="EC397" s="567"/>
      <c r="ED397" s="567"/>
      <c r="EE397" s="567"/>
      <c r="EF397" s="567"/>
      <c r="EG397" s="567"/>
      <c r="EH397" s="567"/>
      <c r="EI397" s="567"/>
      <c r="EJ397" s="567"/>
      <c r="EK397" s="567"/>
      <c r="EL397" s="567"/>
      <c r="EM397" s="567"/>
      <c r="EN397" s="567"/>
      <c r="EO397" s="567"/>
      <c r="EP397" s="567"/>
      <c r="EQ397" s="567"/>
      <c r="ER397" s="567"/>
      <c r="ES397" s="567"/>
      <c r="ET397" s="567"/>
      <c r="EU397" s="567"/>
      <c r="EV397" s="567"/>
      <c r="EW397" s="567"/>
      <c r="EX397" s="567"/>
      <c r="EY397" s="567"/>
      <c r="EZ397" s="567"/>
      <c r="FA397" s="567"/>
      <c r="FB397" s="567"/>
      <c r="FC397" s="567"/>
      <c r="FD397" s="567"/>
      <c r="FE397" s="567"/>
      <c r="FF397" s="567"/>
      <c r="FG397" s="567"/>
      <c r="FH397" s="567"/>
      <c r="FI397" s="567"/>
      <c r="FJ397" s="567"/>
      <c r="FK397" s="567"/>
      <c r="FL397" s="567"/>
      <c r="FM397" s="567"/>
      <c r="FN397" s="567"/>
      <c r="FO397" s="567"/>
      <c r="FP397" s="567"/>
      <c r="FQ397" s="567"/>
      <c r="FR397" s="567"/>
      <c r="FS397" s="567"/>
      <c r="FT397" s="567"/>
      <c r="FU397" s="567"/>
      <c r="FV397" s="567"/>
      <c r="FW397" s="567"/>
      <c r="FX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  <c r="CL398" s="567"/>
      <c r="CM398" s="567"/>
      <c r="CN398" s="567"/>
      <c r="CO398" s="567"/>
      <c r="CP398" s="567"/>
      <c r="CQ398" s="567"/>
      <c r="CR398" s="567"/>
      <c r="CS398" s="567"/>
      <c r="CT398" s="567"/>
      <c r="CU398" s="567"/>
      <c r="CV398" s="567"/>
      <c r="CW398" s="567"/>
      <c r="CX398" s="567"/>
      <c r="CY398" s="567"/>
      <c r="CZ398" s="567"/>
      <c r="DA398" s="567"/>
      <c r="DB398" s="567"/>
      <c r="DC398" s="567"/>
      <c r="DD398" s="567"/>
      <c r="DE398" s="567"/>
      <c r="DF398" s="567"/>
      <c r="DG398" s="567"/>
      <c r="DH398" s="567"/>
      <c r="DI398" s="567"/>
      <c r="DJ398" s="567"/>
      <c r="DK398" s="567"/>
      <c r="DL398" s="567"/>
      <c r="DM398" s="567"/>
      <c r="DN398" s="567"/>
      <c r="DO398" s="567"/>
      <c r="DP398" s="567"/>
      <c r="DQ398" s="567"/>
      <c r="DR398" s="567"/>
      <c r="DS398" s="567"/>
      <c r="DT398" s="567"/>
      <c r="DU398" s="567"/>
      <c r="DV398" s="567"/>
      <c r="DW398" s="567"/>
      <c r="DX398" s="567"/>
      <c r="DY398" s="567"/>
      <c r="DZ398" s="567"/>
      <c r="EA398" s="567"/>
      <c r="EB398" s="567"/>
      <c r="EC398" s="567"/>
      <c r="ED398" s="567"/>
      <c r="EE398" s="567"/>
      <c r="EF398" s="567"/>
      <c r="EG398" s="567"/>
      <c r="EH398" s="567"/>
      <c r="EI398" s="567"/>
      <c r="EJ398" s="567"/>
      <c r="EK398" s="567"/>
      <c r="EL398" s="567"/>
      <c r="EM398" s="567"/>
      <c r="EN398" s="567"/>
      <c r="EO398" s="567"/>
      <c r="EP398" s="567"/>
      <c r="EQ398" s="567"/>
      <c r="ER398" s="567"/>
      <c r="ES398" s="567"/>
      <c r="ET398" s="567"/>
      <c r="EU398" s="567"/>
      <c r="EV398" s="567"/>
      <c r="EW398" s="567"/>
      <c r="EX398" s="567"/>
      <c r="EY398" s="567"/>
      <c r="EZ398" s="567"/>
      <c r="FA398" s="567"/>
      <c r="FB398" s="567"/>
      <c r="FC398" s="567"/>
      <c r="FD398" s="567"/>
      <c r="FE398" s="567"/>
      <c r="FF398" s="567"/>
      <c r="FG398" s="567"/>
      <c r="FH398" s="567"/>
      <c r="FI398" s="567"/>
      <c r="FJ398" s="567"/>
      <c r="FK398" s="567"/>
      <c r="FL398" s="567"/>
      <c r="FM398" s="567"/>
      <c r="FN398" s="567"/>
      <c r="FO398" s="567"/>
      <c r="FP398" s="567"/>
      <c r="FQ398" s="567"/>
      <c r="FR398" s="567"/>
      <c r="FS398" s="567"/>
      <c r="FT398" s="567"/>
      <c r="FU398" s="567"/>
      <c r="FV398" s="567"/>
      <c r="FW398" s="567"/>
      <c r="FX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  <c r="CL399" s="567"/>
      <c r="CM399" s="567"/>
      <c r="CN399" s="567"/>
      <c r="CO399" s="567"/>
      <c r="CP399" s="567"/>
      <c r="CQ399" s="567"/>
      <c r="CR399" s="567"/>
      <c r="CS399" s="567"/>
      <c r="CT399" s="567"/>
      <c r="CU399" s="567"/>
      <c r="CV399" s="567"/>
      <c r="CW399" s="567"/>
      <c r="CX399" s="567"/>
      <c r="CY399" s="567"/>
      <c r="CZ399" s="567"/>
      <c r="DA399" s="567"/>
      <c r="DB399" s="567"/>
      <c r="DC399" s="567"/>
      <c r="DD399" s="567"/>
      <c r="DE399" s="567"/>
      <c r="DF399" s="567"/>
      <c r="DG399" s="567"/>
      <c r="DH399" s="567"/>
      <c r="DI399" s="567"/>
      <c r="DJ399" s="567"/>
      <c r="DK399" s="567"/>
      <c r="DL399" s="567"/>
      <c r="DM399" s="567"/>
      <c r="DN399" s="567"/>
      <c r="DO399" s="567"/>
      <c r="DP399" s="567"/>
      <c r="DQ399" s="567"/>
      <c r="DR399" s="567"/>
      <c r="DS399" s="567"/>
      <c r="DT399" s="567"/>
      <c r="DU399" s="567"/>
      <c r="DV399" s="567"/>
      <c r="DW399" s="567"/>
      <c r="DX399" s="567"/>
      <c r="DY399" s="567"/>
      <c r="DZ399" s="567"/>
      <c r="EA399" s="567"/>
      <c r="EB399" s="567"/>
      <c r="EC399" s="567"/>
      <c r="ED399" s="567"/>
      <c r="EE399" s="567"/>
      <c r="EF399" s="567"/>
      <c r="EG399" s="567"/>
      <c r="EH399" s="567"/>
      <c r="EI399" s="567"/>
      <c r="EJ399" s="567"/>
      <c r="EK399" s="567"/>
      <c r="EL399" s="567"/>
      <c r="EM399" s="567"/>
      <c r="EN399" s="567"/>
      <c r="EO399" s="567"/>
      <c r="EP399" s="567"/>
      <c r="EQ399" s="567"/>
      <c r="ER399" s="567"/>
      <c r="ES399" s="567"/>
      <c r="ET399" s="567"/>
      <c r="EU399" s="567"/>
      <c r="EV399" s="567"/>
      <c r="EW399" s="567"/>
      <c r="EX399" s="567"/>
      <c r="EY399" s="567"/>
      <c r="EZ399" s="567"/>
      <c r="FA399" s="567"/>
      <c r="FB399" s="567"/>
      <c r="FC399" s="567"/>
      <c r="FD399" s="567"/>
      <c r="FE399" s="567"/>
      <c r="FF399" s="567"/>
      <c r="FG399" s="567"/>
      <c r="FH399" s="567"/>
      <c r="FI399" s="567"/>
      <c r="FJ399" s="567"/>
      <c r="FK399" s="567"/>
      <c r="FL399" s="567"/>
      <c r="FM399" s="567"/>
      <c r="FN399" s="567"/>
      <c r="FO399" s="567"/>
      <c r="FP399" s="567"/>
      <c r="FQ399" s="567"/>
      <c r="FR399" s="567"/>
      <c r="FS399" s="567"/>
      <c r="FT399" s="567"/>
      <c r="FU399" s="567"/>
      <c r="FV399" s="567"/>
      <c r="FW399" s="567"/>
      <c r="FX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  <c r="CL400" s="567"/>
      <c r="CM400" s="567"/>
      <c r="CN400" s="567"/>
      <c r="CO400" s="567"/>
      <c r="CP400" s="567"/>
      <c r="CQ400" s="567"/>
      <c r="CR400" s="567"/>
      <c r="CS400" s="567"/>
      <c r="CT400" s="567"/>
      <c r="CU400" s="567"/>
      <c r="CV400" s="567"/>
      <c r="CW400" s="567"/>
      <c r="CX400" s="567"/>
      <c r="CY400" s="567"/>
      <c r="CZ400" s="567"/>
      <c r="DA400" s="567"/>
      <c r="DB400" s="567"/>
      <c r="DC400" s="567"/>
      <c r="DD400" s="567"/>
      <c r="DE400" s="567"/>
      <c r="DF400" s="567"/>
      <c r="DG400" s="567"/>
      <c r="DH400" s="567"/>
      <c r="DI400" s="567"/>
      <c r="DJ400" s="567"/>
      <c r="DK400" s="567"/>
      <c r="DL400" s="567"/>
      <c r="DM400" s="567"/>
      <c r="DN400" s="567"/>
      <c r="DO400" s="567"/>
      <c r="DP400" s="567"/>
      <c r="DQ400" s="567"/>
      <c r="DR400" s="567"/>
      <c r="DS400" s="567"/>
      <c r="DT400" s="567"/>
      <c r="DU400" s="567"/>
      <c r="DV400" s="567"/>
      <c r="DW400" s="567"/>
      <c r="DX400" s="567"/>
      <c r="DY400" s="567"/>
      <c r="DZ400" s="567"/>
      <c r="EA400" s="567"/>
      <c r="EB400" s="567"/>
      <c r="EC400" s="567"/>
      <c r="ED400" s="567"/>
      <c r="EE400" s="567"/>
      <c r="EF400" s="567"/>
      <c r="EG400" s="567"/>
      <c r="EH400" s="567"/>
      <c r="EI400" s="567"/>
      <c r="EJ400" s="567"/>
      <c r="EK400" s="567"/>
      <c r="EL400" s="567"/>
      <c r="EM400" s="567"/>
      <c r="EN400" s="567"/>
      <c r="EO400" s="567"/>
      <c r="EP400" s="567"/>
      <c r="EQ400" s="567"/>
      <c r="ER400" s="567"/>
      <c r="ES400" s="567"/>
      <c r="ET400" s="567"/>
      <c r="EU400" s="567"/>
      <c r="EV400" s="567"/>
      <c r="EW400" s="567"/>
      <c r="EX400" s="567"/>
      <c r="EY400" s="567"/>
      <c r="EZ400" s="567"/>
      <c r="FA400" s="567"/>
      <c r="FB400" s="567"/>
      <c r="FC400" s="567"/>
      <c r="FD400" s="567"/>
      <c r="FE400" s="567"/>
      <c r="FF400" s="567"/>
      <c r="FG400" s="567"/>
      <c r="FH400" s="567"/>
      <c r="FI400" s="567"/>
      <c r="FJ400" s="567"/>
      <c r="FK400" s="567"/>
      <c r="FL400" s="567"/>
      <c r="FM400" s="567"/>
      <c r="FN400" s="567"/>
      <c r="FO400" s="567"/>
      <c r="FP400" s="567"/>
      <c r="FQ400" s="567"/>
      <c r="FR400" s="567"/>
      <c r="FS400" s="567"/>
      <c r="FT400" s="567"/>
      <c r="FU400" s="567"/>
      <c r="FV400" s="567"/>
      <c r="FW400" s="567"/>
      <c r="FX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  <c r="CL401" s="567"/>
      <c r="CM401" s="567"/>
      <c r="CN401" s="567"/>
      <c r="CO401" s="567"/>
      <c r="CP401" s="567"/>
      <c r="CQ401" s="567"/>
      <c r="CR401" s="567"/>
      <c r="CS401" s="567"/>
      <c r="CT401" s="567"/>
      <c r="CU401" s="567"/>
      <c r="CV401" s="567"/>
      <c r="CW401" s="567"/>
      <c r="CX401" s="567"/>
      <c r="CY401" s="567"/>
      <c r="CZ401" s="567"/>
      <c r="DA401" s="567"/>
      <c r="DB401" s="567"/>
      <c r="DC401" s="567"/>
      <c r="DD401" s="567"/>
      <c r="DE401" s="567"/>
      <c r="DF401" s="567"/>
      <c r="DG401" s="567"/>
      <c r="DH401" s="567"/>
      <c r="DI401" s="567"/>
      <c r="DJ401" s="567"/>
      <c r="DK401" s="567"/>
      <c r="DL401" s="567"/>
      <c r="DM401" s="567"/>
      <c r="DN401" s="567"/>
      <c r="DO401" s="567"/>
      <c r="DP401" s="567"/>
      <c r="DQ401" s="567"/>
      <c r="DR401" s="567"/>
      <c r="DS401" s="567"/>
      <c r="DT401" s="567"/>
      <c r="DU401" s="567"/>
      <c r="DV401" s="567"/>
      <c r="DW401" s="567"/>
      <c r="DX401" s="567"/>
      <c r="DY401" s="567"/>
      <c r="DZ401" s="567"/>
      <c r="EA401" s="567"/>
      <c r="EB401" s="567"/>
      <c r="EC401" s="567"/>
      <c r="ED401" s="567"/>
      <c r="EE401" s="567"/>
      <c r="EF401" s="567"/>
      <c r="EG401" s="567"/>
      <c r="EH401" s="567"/>
      <c r="EI401" s="567"/>
      <c r="EJ401" s="567"/>
      <c r="EK401" s="567"/>
      <c r="EL401" s="567"/>
      <c r="EM401" s="567"/>
      <c r="EN401" s="567"/>
      <c r="EO401" s="567"/>
      <c r="EP401" s="567"/>
      <c r="EQ401" s="567"/>
      <c r="ER401" s="567"/>
      <c r="ES401" s="567"/>
      <c r="ET401" s="567"/>
      <c r="EU401" s="567"/>
      <c r="EV401" s="567"/>
      <c r="EW401" s="567"/>
      <c r="EX401" s="567"/>
      <c r="EY401" s="567"/>
      <c r="EZ401" s="567"/>
      <c r="FA401" s="567"/>
      <c r="FB401" s="567"/>
      <c r="FC401" s="567"/>
      <c r="FD401" s="567"/>
      <c r="FE401" s="567"/>
      <c r="FF401" s="567"/>
      <c r="FG401" s="567"/>
      <c r="FH401" s="567"/>
      <c r="FI401" s="567"/>
      <c r="FJ401" s="567"/>
      <c r="FK401" s="567"/>
      <c r="FL401" s="567"/>
      <c r="FM401" s="567"/>
      <c r="FN401" s="567"/>
      <c r="FO401" s="567"/>
      <c r="FP401" s="567"/>
      <c r="FQ401" s="567"/>
      <c r="FR401" s="567"/>
      <c r="FS401" s="567"/>
      <c r="FT401" s="567"/>
      <c r="FU401" s="567"/>
      <c r="FV401" s="567"/>
      <c r="FW401" s="567"/>
      <c r="FX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  <c r="CL402" s="567"/>
      <c r="CM402" s="567"/>
      <c r="CN402" s="567"/>
      <c r="CO402" s="567"/>
      <c r="CP402" s="567"/>
      <c r="CQ402" s="567"/>
      <c r="CR402" s="567"/>
      <c r="CS402" s="567"/>
      <c r="CT402" s="567"/>
      <c r="CU402" s="567"/>
      <c r="CV402" s="567"/>
      <c r="CW402" s="567"/>
      <c r="CX402" s="567"/>
      <c r="CY402" s="567"/>
      <c r="CZ402" s="567"/>
      <c r="DA402" s="567"/>
      <c r="DB402" s="567"/>
      <c r="DC402" s="567"/>
      <c r="DD402" s="567"/>
      <c r="DE402" s="567"/>
      <c r="DF402" s="567"/>
      <c r="DG402" s="567"/>
      <c r="DH402" s="567"/>
      <c r="DI402" s="567"/>
      <c r="DJ402" s="567"/>
      <c r="DK402" s="567"/>
      <c r="DL402" s="567"/>
      <c r="DM402" s="567"/>
      <c r="DN402" s="567"/>
      <c r="DO402" s="567"/>
      <c r="DP402" s="567"/>
      <c r="DQ402" s="567"/>
      <c r="DR402" s="567"/>
      <c r="DS402" s="567"/>
      <c r="DT402" s="567"/>
      <c r="DU402" s="567"/>
      <c r="DV402" s="567"/>
      <c r="DW402" s="567"/>
      <c r="DX402" s="567"/>
      <c r="DY402" s="567"/>
      <c r="DZ402" s="567"/>
      <c r="EA402" s="567"/>
      <c r="EB402" s="567"/>
      <c r="EC402" s="567"/>
      <c r="ED402" s="567"/>
      <c r="EE402" s="567"/>
      <c r="EF402" s="567"/>
      <c r="EG402" s="567"/>
      <c r="EH402" s="567"/>
      <c r="EI402" s="567"/>
      <c r="EJ402" s="567"/>
      <c r="EK402" s="567"/>
      <c r="EL402" s="567"/>
      <c r="EM402" s="567"/>
      <c r="EN402" s="567"/>
      <c r="EO402" s="567"/>
      <c r="EP402" s="567"/>
      <c r="EQ402" s="567"/>
      <c r="ER402" s="567"/>
      <c r="ES402" s="567"/>
      <c r="ET402" s="567"/>
      <c r="EU402" s="567"/>
      <c r="EV402" s="567"/>
      <c r="EW402" s="567"/>
      <c r="EX402" s="567"/>
      <c r="EY402" s="567"/>
      <c r="EZ402" s="567"/>
      <c r="FA402" s="567"/>
      <c r="FB402" s="567"/>
      <c r="FC402" s="567"/>
      <c r="FD402" s="567"/>
      <c r="FE402" s="567"/>
      <c r="FF402" s="567"/>
      <c r="FG402" s="567"/>
      <c r="FH402" s="567"/>
      <c r="FI402" s="567"/>
      <c r="FJ402" s="567"/>
      <c r="FK402" s="567"/>
      <c r="FL402" s="567"/>
      <c r="FM402" s="567"/>
      <c r="FN402" s="567"/>
      <c r="FO402" s="567"/>
      <c r="FP402" s="567"/>
      <c r="FQ402" s="567"/>
      <c r="FR402" s="567"/>
      <c r="FS402" s="567"/>
      <c r="FT402" s="567"/>
      <c r="FU402" s="567"/>
      <c r="FV402" s="567"/>
      <c r="FW402" s="567"/>
      <c r="FX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  <c r="CL403" s="567"/>
      <c r="CM403" s="567"/>
      <c r="CN403" s="567"/>
      <c r="CO403" s="567"/>
      <c r="CP403" s="567"/>
      <c r="CQ403" s="567"/>
      <c r="CR403" s="567"/>
      <c r="CS403" s="567"/>
      <c r="CT403" s="567"/>
      <c r="CU403" s="567"/>
      <c r="CV403" s="567"/>
      <c r="CW403" s="567"/>
      <c r="CX403" s="567"/>
      <c r="CY403" s="567"/>
      <c r="CZ403" s="567"/>
      <c r="DA403" s="567"/>
      <c r="DB403" s="567"/>
      <c r="DC403" s="567"/>
      <c r="DD403" s="567"/>
      <c r="DE403" s="567"/>
      <c r="DF403" s="567"/>
      <c r="DG403" s="567"/>
      <c r="DH403" s="567"/>
      <c r="DI403" s="567"/>
      <c r="DJ403" s="567"/>
      <c r="DK403" s="567"/>
      <c r="DL403" s="567"/>
      <c r="DM403" s="567"/>
      <c r="DN403" s="567"/>
      <c r="DO403" s="567"/>
      <c r="DP403" s="567"/>
      <c r="DQ403" s="567"/>
      <c r="DR403" s="567"/>
      <c r="DS403" s="567"/>
      <c r="DT403" s="567"/>
      <c r="DU403" s="567"/>
      <c r="DV403" s="567"/>
      <c r="DW403" s="567"/>
      <c r="DX403" s="567"/>
      <c r="DY403" s="567"/>
      <c r="DZ403" s="567"/>
      <c r="EA403" s="567"/>
      <c r="EB403" s="567"/>
      <c r="EC403" s="567"/>
      <c r="ED403" s="567"/>
      <c r="EE403" s="567"/>
      <c r="EF403" s="567"/>
      <c r="EG403" s="567"/>
      <c r="EH403" s="567"/>
      <c r="EI403" s="567"/>
      <c r="EJ403" s="567"/>
      <c r="EK403" s="567"/>
      <c r="EL403" s="567"/>
      <c r="EM403" s="567"/>
      <c r="EN403" s="567"/>
      <c r="EO403" s="567"/>
      <c r="EP403" s="567"/>
      <c r="EQ403" s="567"/>
      <c r="ER403" s="567"/>
      <c r="ES403" s="567"/>
      <c r="ET403" s="567"/>
      <c r="EU403" s="567"/>
      <c r="EV403" s="567"/>
      <c r="EW403" s="567"/>
      <c r="EX403" s="567"/>
      <c r="EY403" s="567"/>
      <c r="EZ403" s="567"/>
      <c r="FA403" s="567"/>
      <c r="FB403" s="567"/>
      <c r="FC403" s="567"/>
      <c r="FD403" s="567"/>
      <c r="FE403" s="567"/>
      <c r="FF403" s="567"/>
      <c r="FG403" s="567"/>
      <c r="FH403" s="567"/>
      <c r="FI403" s="567"/>
      <c r="FJ403" s="567"/>
      <c r="FK403" s="567"/>
      <c r="FL403" s="567"/>
      <c r="FM403" s="567"/>
      <c r="FN403" s="567"/>
      <c r="FO403" s="567"/>
      <c r="FP403" s="567"/>
      <c r="FQ403" s="567"/>
      <c r="FR403" s="567"/>
      <c r="FS403" s="567"/>
      <c r="FT403" s="567"/>
      <c r="FU403" s="567"/>
      <c r="FV403" s="567"/>
      <c r="FW403" s="567"/>
      <c r="FX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  <c r="CL404" s="567"/>
      <c r="CM404" s="567"/>
      <c r="CN404" s="567"/>
      <c r="CO404" s="567"/>
      <c r="CP404" s="567"/>
      <c r="CQ404" s="567"/>
      <c r="CR404" s="567"/>
      <c r="CS404" s="567"/>
      <c r="CT404" s="567"/>
      <c r="CU404" s="567"/>
      <c r="CV404" s="567"/>
      <c r="CW404" s="567"/>
      <c r="CX404" s="567"/>
      <c r="CY404" s="567"/>
      <c r="CZ404" s="567"/>
      <c r="DA404" s="567"/>
      <c r="DB404" s="567"/>
      <c r="DC404" s="567"/>
      <c r="DD404" s="567"/>
      <c r="DE404" s="567"/>
      <c r="DF404" s="567"/>
      <c r="DG404" s="567"/>
      <c r="DH404" s="567"/>
      <c r="DI404" s="567"/>
      <c r="DJ404" s="567"/>
      <c r="DK404" s="567"/>
      <c r="DL404" s="567"/>
      <c r="DM404" s="567"/>
      <c r="DN404" s="567"/>
      <c r="DO404" s="567"/>
      <c r="DP404" s="567"/>
      <c r="DQ404" s="567"/>
      <c r="DR404" s="567"/>
      <c r="DS404" s="567"/>
      <c r="DT404" s="567"/>
      <c r="DU404" s="567"/>
      <c r="DV404" s="567"/>
      <c r="DW404" s="567"/>
      <c r="DX404" s="567"/>
      <c r="DY404" s="567"/>
      <c r="DZ404" s="567"/>
      <c r="EA404" s="567"/>
      <c r="EB404" s="567"/>
      <c r="EC404" s="567"/>
      <c r="ED404" s="567"/>
      <c r="EE404" s="567"/>
      <c r="EF404" s="567"/>
      <c r="EG404" s="567"/>
      <c r="EH404" s="567"/>
      <c r="EI404" s="567"/>
      <c r="EJ404" s="567"/>
      <c r="EK404" s="567"/>
      <c r="EL404" s="567"/>
      <c r="EM404" s="567"/>
      <c r="EN404" s="567"/>
      <c r="EO404" s="567"/>
      <c r="EP404" s="567"/>
      <c r="EQ404" s="567"/>
      <c r="ER404" s="567"/>
      <c r="ES404" s="567"/>
      <c r="ET404" s="567"/>
      <c r="EU404" s="567"/>
      <c r="EV404" s="567"/>
      <c r="EW404" s="567"/>
      <c r="EX404" s="567"/>
      <c r="EY404" s="567"/>
      <c r="EZ404" s="567"/>
      <c r="FA404" s="567"/>
      <c r="FB404" s="567"/>
      <c r="FC404" s="567"/>
      <c r="FD404" s="567"/>
      <c r="FE404" s="567"/>
      <c r="FF404" s="567"/>
      <c r="FG404" s="567"/>
      <c r="FH404" s="567"/>
      <c r="FI404" s="567"/>
      <c r="FJ404" s="567"/>
      <c r="FK404" s="567"/>
      <c r="FL404" s="567"/>
      <c r="FM404" s="567"/>
      <c r="FN404" s="567"/>
      <c r="FO404" s="567"/>
      <c r="FP404" s="567"/>
      <c r="FQ404" s="567"/>
      <c r="FR404" s="567"/>
      <c r="FS404" s="567"/>
      <c r="FT404" s="567"/>
      <c r="FU404" s="567"/>
      <c r="FV404" s="567"/>
      <c r="FW404" s="567"/>
      <c r="FX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  <c r="CL405" s="567"/>
      <c r="CM405" s="567"/>
      <c r="CN405" s="567"/>
      <c r="CO405" s="567"/>
      <c r="CP405" s="567"/>
      <c r="CQ405" s="567"/>
      <c r="CR405" s="567"/>
      <c r="CS405" s="567"/>
      <c r="CT405" s="567"/>
      <c r="CU405" s="567"/>
      <c r="CV405" s="567"/>
      <c r="CW405" s="567"/>
      <c r="CX405" s="567"/>
      <c r="CY405" s="567"/>
      <c r="CZ405" s="567"/>
      <c r="DA405" s="567"/>
      <c r="DB405" s="567"/>
      <c r="DC405" s="567"/>
      <c r="DD405" s="567"/>
      <c r="DE405" s="567"/>
      <c r="DF405" s="567"/>
      <c r="DG405" s="567"/>
      <c r="DH405" s="567"/>
      <c r="DI405" s="567"/>
      <c r="DJ405" s="567"/>
      <c r="DK405" s="567"/>
      <c r="DL405" s="567"/>
      <c r="DM405" s="567"/>
      <c r="DN405" s="567"/>
      <c r="DO405" s="567"/>
      <c r="DP405" s="567"/>
      <c r="DQ405" s="567"/>
      <c r="DR405" s="567"/>
      <c r="DS405" s="567"/>
      <c r="DT405" s="567"/>
      <c r="DU405" s="567"/>
      <c r="DV405" s="567"/>
      <c r="DW405" s="567"/>
      <c r="DX405" s="567"/>
      <c r="DY405" s="567"/>
      <c r="DZ405" s="567"/>
      <c r="EA405" s="567"/>
      <c r="EB405" s="567"/>
      <c r="EC405" s="567"/>
      <c r="ED405" s="567"/>
      <c r="EE405" s="567"/>
      <c r="EF405" s="567"/>
      <c r="EG405" s="567"/>
      <c r="EH405" s="567"/>
      <c r="EI405" s="567"/>
      <c r="EJ405" s="567"/>
      <c r="EK405" s="567"/>
      <c r="EL405" s="567"/>
      <c r="EM405" s="567"/>
      <c r="EN405" s="567"/>
      <c r="EO405" s="567"/>
      <c r="EP405" s="567"/>
      <c r="EQ405" s="567"/>
      <c r="ER405" s="567"/>
      <c r="ES405" s="567"/>
      <c r="ET405" s="567"/>
      <c r="EU405" s="567"/>
      <c r="EV405" s="567"/>
      <c r="EW405" s="567"/>
      <c r="EX405" s="567"/>
      <c r="EY405" s="567"/>
      <c r="EZ405" s="567"/>
      <c r="FA405" s="567"/>
      <c r="FB405" s="567"/>
      <c r="FC405" s="567"/>
      <c r="FD405" s="567"/>
      <c r="FE405" s="567"/>
      <c r="FF405" s="567"/>
      <c r="FG405" s="567"/>
      <c r="FH405" s="567"/>
      <c r="FI405" s="567"/>
      <c r="FJ405" s="567"/>
      <c r="FK405" s="567"/>
      <c r="FL405" s="567"/>
      <c r="FM405" s="567"/>
      <c r="FN405" s="567"/>
      <c r="FO405" s="567"/>
      <c r="FP405" s="567"/>
      <c r="FQ405" s="567"/>
      <c r="FR405" s="567"/>
      <c r="FS405" s="567"/>
      <c r="FT405" s="567"/>
      <c r="FU405" s="567"/>
      <c r="FV405" s="567"/>
      <c r="FW405" s="567"/>
      <c r="FX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  <c r="CL406" s="567"/>
      <c r="CM406" s="567"/>
      <c r="CN406" s="567"/>
      <c r="CO406" s="567"/>
      <c r="CP406" s="567"/>
      <c r="CQ406" s="567"/>
      <c r="CR406" s="567"/>
      <c r="CS406" s="567"/>
      <c r="CT406" s="567"/>
      <c r="CU406" s="567"/>
      <c r="CV406" s="567"/>
      <c r="CW406" s="567"/>
      <c r="CX406" s="567"/>
      <c r="CY406" s="567"/>
      <c r="CZ406" s="567"/>
      <c r="DA406" s="567"/>
      <c r="DB406" s="567"/>
      <c r="DC406" s="567"/>
      <c r="DD406" s="567"/>
      <c r="DE406" s="567"/>
      <c r="DF406" s="567"/>
      <c r="DG406" s="567"/>
      <c r="DH406" s="567"/>
      <c r="DI406" s="567"/>
      <c r="DJ406" s="567"/>
      <c r="DK406" s="567"/>
      <c r="DL406" s="567"/>
      <c r="DM406" s="567"/>
      <c r="DN406" s="567"/>
      <c r="DO406" s="567"/>
      <c r="DP406" s="567"/>
      <c r="DQ406" s="567"/>
      <c r="DR406" s="567"/>
      <c r="DS406" s="567"/>
      <c r="DT406" s="567"/>
      <c r="DU406" s="567"/>
      <c r="DV406" s="567"/>
      <c r="DW406" s="567"/>
      <c r="DX406" s="567"/>
      <c r="DY406" s="567"/>
      <c r="DZ406" s="567"/>
      <c r="EA406" s="567"/>
      <c r="EB406" s="567"/>
      <c r="EC406" s="567"/>
      <c r="ED406" s="567"/>
      <c r="EE406" s="567"/>
      <c r="EF406" s="567"/>
      <c r="EG406" s="567"/>
      <c r="EH406" s="567"/>
      <c r="EI406" s="567"/>
      <c r="EJ406" s="567"/>
      <c r="EK406" s="567"/>
      <c r="EL406" s="567"/>
      <c r="EM406" s="567"/>
      <c r="EN406" s="567"/>
      <c r="EO406" s="567"/>
      <c r="EP406" s="567"/>
      <c r="EQ406" s="567"/>
      <c r="ER406" s="567"/>
      <c r="ES406" s="567"/>
      <c r="ET406" s="567"/>
      <c r="EU406" s="567"/>
      <c r="EV406" s="567"/>
      <c r="EW406" s="567"/>
      <c r="EX406" s="567"/>
      <c r="EY406" s="567"/>
      <c r="EZ406" s="567"/>
      <c r="FA406" s="567"/>
      <c r="FB406" s="567"/>
      <c r="FC406" s="567"/>
      <c r="FD406" s="567"/>
      <c r="FE406" s="567"/>
      <c r="FF406" s="567"/>
      <c r="FG406" s="567"/>
      <c r="FH406" s="567"/>
      <c r="FI406" s="567"/>
      <c r="FJ406" s="567"/>
      <c r="FK406" s="567"/>
      <c r="FL406" s="567"/>
      <c r="FM406" s="567"/>
      <c r="FN406" s="567"/>
      <c r="FO406" s="567"/>
      <c r="FP406" s="567"/>
      <c r="FQ406" s="567"/>
      <c r="FR406" s="567"/>
      <c r="FS406" s="567"/>
      <c r="FT406" s="567"/>
      <c r="FU406" s="567"/>
      <c r="FV406" s="567"/>
      <c r="FW406" s="567"/>
      <c r="FX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  <c r="CL407" s="567"/>
      <c r="CM407" s="567"/>
      <c r="CN407" s="567"/>
      <c r="CO407" s="567"/>
      <c r="CP407" s="567"/>
      <c r="CQ407" s="567"/>
      <c r="CR407" s="567"/>
      <c r="CS407" s="567"/>
      <c r="CT407" s="567"/>
      <c r="CU407" s="567"/>
      <c r="CV407" s="567"/>
      <c r="CW407" s="567"/>
      <c r="CX407" s="567"/>
      <c r="CY407" s="567"/>
      <c r="CZ407" s="567"/>
      <c r="DA407" s="567"/>
      <c r="DB407" s="567"/>
      <c r="DC407" s="567"/>
      <c r="DD407" s="567"/>
      <c r="DE407" s="567"/>
      <c r="DF407" s="567"/>
      <c r="DG407" s="567"/>
      <c r="DH407" s="567"/>
      <c r="DI407" s="567"/>
      <c r="DJ407" s="567"/>
      <c r="DK407" s="567"/>
      <c r="DL407" s="567"/>
      <c r="DM407" s="567"/>
      <c r="DN407" s="567"/>
      <c r="DO407" s="567"/>
      <c r="DP407" s="567"/>
      <c r="DQ407" s="567"/>
      <c r="DR407" s="567"/>
      <c r="DS407" s="567"/>
      <c r="DT407" s="567"/>
      <c r="DU407" s="567"/>
      <c r="DV407" s="567"/>
      <c r="DW407" s="567"/>
      <c r="DX407" s="567"/>
      <c r="DY407" s="567"/>
      <c r="DZ407" s="567"/>
      <c r="EA407" s="567"/>
      <c r="EB407" s="567"/>
      <c r="EC407" s="567"/>
      <c r="ED407" s="567"/>
      <c r="EE407" s="567"/>
      <c r="EF407" s="567"/>
      <c r="EG407" s="567"/>
      <c r="EH407" s="567"/>
      <c r="EI407" s="567"/>
      <c r="EJ407" s="567"/>
      <c r="EK407" s="567"/>
      <c r="EL407" s="567"/>
      <c r="EM407" s="567"/>
      <c r="EN407" s="567"/>
      <c r="EO407" s="567"/>
      <c r="EP407" s="567"/>
      <c r="EQ407" s="567"/>
      <c r="ER407" s="567"/>
      <c r="ES407" s="567"/>
      <c r="ET407" s="567"/>
      <c r="EU407" s="567"/>
      <c r="EV407" s="567"/>
      <c r="EW407" s="567"/>
      <c r="EX407" s="567"/>
      <c r="EY407" s="567"/>
      <c r="EZ407" s="567"/>
      <c r="FA407" s="567"/>
      <c r="FB407" s="567"/>
      <c r="FC407" s="567"/>
      <c r="FD407" s="567"/>
      <c r="FE407" s="567"/>
      <c r="FF407" s="567"/>
      <c r="FG407" s="567"/>
      <c r="FH407" s="567"/>
      <c r="FI407" s="567"/>
      <c r="FJ407" s="567"/>
      <c r="FK407" s="567"/>
      <c r="FL407" s="567"/>
      <c r="FM407" s="567"/>
      <c r="FN407" s="567"/>
      <c r="FO407" s="567"/>
      <c r="FP407" s="567"/>
      <c r="FQ407" s="567"/>
      <c r="FR407" s="567"/>
      <c r="FS407" s="567"/>
      <c r="FT407" s="567"/>
      <c r="FU407" s="567"/>
      <c r="FV407" s="567"/>
      <c r="FW407" s="567"/>
      <c r="FX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  <c r="CL408" s="567"/>
      <c r="CM408" s="567"/>
      <c r="CN408" s="567"/>
      <c r="CO408" s="567"/>
      <c r="CP408" s="567"/>
      <c r="CQ408" s="567"/>
      <c r="CR408" s="567"/>
      <c r="CS408" s="567"/>
      <c r="CT408" s="567"/>
      <c r="CU408" s="567"/>
      <c r="CV408" s="567"/>
      <c r="CW408" s="567"/>
      <c r="CX408" s="567"/>
      <c r="CY408" s="567"/>
      <c r="CZ408" s="567"/>
      <c r="DA408" s="567"/>
      <c r="DB408" s="567"/>
      <c r="DC408" s="567"/>
      <c r="DD408" s="567"/>
      <c r="DE408" s="567"/>
      <c r="DF408" s="567"/>
      <c r="DG408" s="567"/>
      <c r="DH408" s="567"/>
      <c r="DI408" s="567"/>
      <c r="DJ408" s="567"/>
      <c r="DK408" s="567"/>
      <c r="DL408" s="567"/>
      <c r="DM408" s="567"/>
      <c r="DN408" s="567"/>
      <c r="DO408" s="567"/>
      <c r="DP408" s="567"/>
      <c r="DQ408" s="567"/>
      <c r="DR408" s="567"/>
      <c r="DS408" s="567"/>
      <c r="DT408" s="567"/>
      <c r="DU408" s="567"/>
      <c r="DV408" s="567"/>
      <c r="DW408" s="567"/>
      <c r="DX408" s="567"/>
      <c r="DY408" s="567"/>
      <c r="DZ408" s="567"/>
      <c r="EA408" s="567"/>
      <c r="EB408" s="567"/>
      <c r="EC408" s="567"/>
      <c r="ED408" s="567"/>
      <c r="EE408" s="567"/>
      <c r="EF408" s="567"/>
      <c r="EG408" s="567"/>
      <c r="EH408" s="567"/>
      <c r="EI408" s="567"/>
      <c r="EJ408" s="567"/>
      <c r="EK408" s="567"/>
      <c r="EL408" s="567"/>
      <c r="EM408" s="567"/>
      <c r="EN408" s="567"/>
      <c r="EO408" s="567"/>
      <c r="EP408" s="567"/>
      <c r="EQ408" s="567"/>
      <c r="ER408" s="567"/>
      <c r="ES408" s="567"/>
      <c r="ET408" s="567"/>
      <c r="EU408" s="567"/>
      <c r="EV408" s="567"/>
      <c r="EW408" s="567"/>
      <c r="EX408" s="567"/>
      <c r="EY408" s="567"/>
      <c r="EZ408" s="567"/>
      <c r="FA408" s="567"/>
      <c r="FB408" s="567"/>
      <c r="FC408" s="567"/>
      <c r="FD408" s="567"/>
      <c r="FE408" s="567"/>
      <c r="FF408" s="567"/>
      <c r="FG408" s="567"/>
      <c r="FH408" s="567"/>
      <c r="FI408" s="567"/>
      <c r="FJ408" s="567"/>
      <c r="FK408" s="567"/>
      <c r="FL408" s="567"/>
      <c r="FM408" s="567"/>
      <c r="FN408" s="567"/>
      <c r="FO408" s="567"/>
      <c r="FP408" s="567"/>
      <c r="FQ408" s="567"/>
      <c r="FR408" s="567"/>
      <c r="FS408" s="567"/>
      <c r="FT408" s="567"/>
      <c r="FU408" s="567"/>
      <c r="FV408" s="567"/>
      <c r="FW408" s="567"/>
      <c r="FX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  <c r="CL409" s="567"/>
      <c r="CM409" s="567"/>
      <c r="CN409" s="567"/>
      <c r="CO409" s="567"/>
      <c r="CP409" s="567"/>
      <c r="CQ409" s="567"/>
      <c r="CR409" s="567"/>
      <c r="CS409" s="567"/>
      <c r="CT409" s="567"/>
      <c r="CU409" s="567"/>
      <c r="CV409" s="567"/>
      <c r="CW409" s="567"/>
      <c r="CX409" s="567"/>
      <c r="CY409" s="567"/>
      <c r="CZ409" s="567"/>
      <c r="DA409" s="567"/>
      <c r="DB409" s="567"/>
      <c r="DC409" s="567"/>
      <c r="DD409" s="567"/>
      <c r="DE409" s="567"/>
      <c r="DF409" s="567"/>
      <c r="DG409" s="567"/>
      <c r="DH409" s="567"/>
      <c r="DI409" s="567"/>
      <c r="DJ409" s="567"/>
      <c r="DK409" s="567"/>
      <c r="DL409" s="567"/>
      <c r="DM409" s="567"/>
      <c r="DN409" s="567"/>
      <c r="DO409" s="567"/>
      <c r="DP409" s="567"/>
      <c r="DQ409" s="567"/>
      <c r="DR409" s="567"/>
      <c r="DS409" s="567"/>
      <c r="DT409" s="567"/>
      <c r="DU409" s="567"/>
      <c r="DV409" s="567"/>
      <c r="DW409" s="567"/>
      <c r="DX409" s="567"/>
      <c r="DY409" s="567"/>
      <c r="DZ409" s="567"/>
      <c r="EA409" s="567"/>
      <c r="EB409" s="567"/>
      <c r="EC409" s="567"/>
      <c r="ED409" s="567"/>
      <c r="EE409" s="567"/>
      <c r="EF409" s="567"/>
      <c r="EG409" s="567"/>
      <c r="EH409" s="567"/>
      <c r="EI409" s="567"/>
      <c r="EJ409" s="567"/>
      <c r="EK409" s="567"/>
      <c r="EL409" s="567"/>
      <c r="EM409" s="567"/>
      <c r="EN409" s="567"/>
      <c r="EO409" s="567"/>
      <c r="EP409" s="567"/>
      <c r="EQ409" s="567"/>
      <c r="ER409" s="567"/>
      <c r="ES409" s="567"/>
      <c r="ET409" s="567"/>
      <c r="EU409" s="567"/>
      <c r="EV409" s="567"/>
      <c r="EW409" s="567"/>
      <c r="EX409" s="567"/>
      <c r="EY409" s="567"/>
      <c r="EZ409" s="567"/>
      <c r="FA409" s="567"/>
      <c r="FB409" s="567"/>
      <c r="FC409" s="567"/>
      <c r="FD409" s="567"/>
      <c r="FE409" s="567"/>
      <c r="FF409" s="567"/>
      <c r="FG409" s="567"/>
      <c r="FH409" s="567"/>
      <c r="FI409" s="567"/>
      <c r="FJ409" s="567"/>
      <c r="FK409" s="567"/>
      <c r="FL409" s="567"/>
      <c r="FM409" s="567"/>
      <c r="FN409" s="567"/>
      <c r="FO409" s="567"/>
      <c r="FP409" s="567"/>
      <c r="FQ409" s="567"/>
      <c r="FR409" s="567"/>
      <c r="FS409" s="567"/>
      <c r="FT409" s="567"/>
      <c r="FU409" s="567"/>
      <c r="FV409" s="567"/>
      <c r="FW409" s="567"/>
      <c r="FX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  <c r="CL410" s="567"/>
      <c r="CM410" s="567"/>
      <c r="CN410" s="567"/>
      <c r="CO410" s="567"/>
      <c r="CP410" s="567"/>
      <c r="CQ410" s="567"/>
      <c r="CR410" s="567"/>
      <c r="CS410" s="567"/>
      <c r="CT410" s="567"/>
      <c r="CU410" s="567"/>
      <c r="CV410" s="567"/>
      <c r="CW410" s="567"/>
      <c r="CX410" s="567"/>
      <c r="CY410" s="567"/>
      <c r="CZ410" s="567"/>
      <c r="DA410" s="567"/>
      <c r="DB410" s="567"/>
      <c r="DC410" s="567"/>
      <c r="DD410" s="567"/>
      <c r="DE410" s="567"/>
      <c r="DF410" s="567"/>
      <c r="DG410" s="567"/>
      <c r="DH410" s="567"/>
      <c r="DI410" s="567"/>
      <c r="DJ410" s="567"/>
      <c r="DK410" s="567"/>
      <c r="DL410" s="567"/>
      <c r="DM410" s="567"/>
      <c r="DN410" s="567"/>
      <c r="DO410" s="567"/>
      <c r="DP410" s="567"/>
      <c r="DQ410" s="567"/>
      <c r="DR410" s="567"/>
      <c r="DS410" s="567"/>
      <c r="DT410" s="567"/>
      <c r="DU410" s="567"/>
      <c r="DV410" s="567"/>
      <c r="DW410" s="567"/>
      <c r="DX410" s="567"/>
      <c r="DY410" s="567"/>
      <c r="DZ410" s="567"/>
      <c r="EA410" s="567"/>
      <c r="EB410" s="567"/>
      <c r="EC410" s="567"/>
      <c r="ED410" s="567"/>
      <c r="EE410" s="567"/>
      <c r="EF410" s="567"/>
      <c r="EG410" s="567"/>
      <c r="EH410" s="567"/>
      <c r="EI410" s="567"/>
      <c r="EJ410" s="567"/>
      <c r="EK410" s="567"/>
      <c r="EL410" s="567"/>
      <c r="EM410" s="567"/>
      <c r="EN410" s="567"/>
      <c r="EO410" s="567"/>
      <c r="EP410" s="567"/>
      <c r="EQ410" s="567"/>
      <c r="ER410" s="567"/>
      <c r="ES410" s="567"/>
      <c r="ET410" s="567"/>
      <c r="EU410" s="567"/>
      <c r="EV410" s="567"/>
      <c r="EW410" s="567"/>
      <c r="EX410" s="567"/>
      <c r="EY410" s="567"/>
      <c r="EZ410" s="567"/>
      <c r="FA410" s="567"/>
      <c r="FB410" s="567"/>
      <c r="FC410" s="567"/>
      <c r="FD410" s="567"/>
      <c r="FE410" s="567"/>
      <c r="FF410" s="567"/>
      <c r="FG410" s="567"/>
      <c r="FH410" s="567"/>
      <c r="FI410" s="567"/>
      <c r="FJ410" s="567"/>
      <c r="FK410" s="567"/>
      <c r="FL410" s="567"/>
      <c r="FM410" s="567"/>
      <c r="FN410" s="567"/>
      <c r="FO410" s="567"/>
      <c r="FP410" s="567"/>
      <c r="FQ410" s="567"/>
      <c r="FR410" s="567"/>
      <c r="FS410" s="567"/>
      <c r="FT410" s="567"/>
      <c r="FU410" s="567"/>
      <c r="FV410" s="567"/>
      <c r="FW410" s="567"/>
      <c r="FX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  <c r="CL411" s="567"/>
      <c r="CM411" s="567"/>
      <c r="CN411" s="567"/>
      <c r="CO411" s="567"/>
      <c r="CP411" s="567"/>
      <c r="CQ411" s="567"/>
      <c r="CR411" s="567"/>
      <c r="CS411" s="567"/>
      <c r="CT411" s="567"/>
      <c r="CU411" s="567"/>
      <c r="CV411" s="567"/>
      <c r="CW411" s="567"/>
      <c r="CX411" s="567"/>
      <c r="CY411" s="567"/>
      <c r="CZ411" s="567"/>
      <c r="DA411" s="567"/>
      <c r="DB411" s="567"/>
      <c r="DC411" s="567"/>
      <c r="DD411" s="567"/>
      <c r="DE411" s="567"/>
      <c r="DF411" s="567"/>
      <c r="DG411" s="567"/>
      <c r="DH411" s="567"/>
      <c r="DI411" s="567"/>
      <c r="DJ411" s="567"/>
      <c r="DK411" s="567"/>
      <c r="DL411" s="567"/>
      <c r="DM411" s="567"/>
      <c r="DN411" s="567"/>
      <c r="DO411" s="567"/>
      <c r="DP411" s="567"/>
      <c r="DQ411" s="567"/>
      <c r="DR411" s="567"/>
      <c r="DS411" s="567"/>
      <c r="DT411" s="567"/>
      <c r="DU411" s="567"/>
      <c r="DV411" s="567"/>
      <c r="DW411" s="567"/>
      <c r="DX411" s="567"/>
      <c r="DY411" s="567"/>
      <c r="DZ411" s="567"/>
      <c r="EA411" s="567"/>
      <c r="EB411" s="567"/>
      <c r="EC411" s="567"/>
      <c r="ED411" s="567"/>
      <c r="EE411" s="567"/>
      <c r="EF411" s="567"/>
      <c r="EG411" s="567"/>
      <c r="EH411" s="567"/>
      <c r="EI411" s="567"/>
      <c r="EJ411" s="567"/>
      <c r="EK411" s="567"/>
      <c r="EL411" s="567"/>
      <c r="EM411" s="567"/>
      <c r="EN411" s="567"/>
      <c r="EO411" s="567"/>
      <c r="EP411" s="567"/>
      <c r="EQ411" s="567"/>
      <c r="ER411" s="567"/>
      <c r="ES411" s="567"/>
      <c r="ET411" s="567"/>
      <c r="EU411" s="567"/>
      <c r="EV411" s="567"/>
      <c r="EW411" s="567"/>
      <c r="EX411" s="567"/>
      <c r="EY411" s="567"/>
      <c r="EZ411" s="567"/>
      <c r="FA411" s="567"/>
      <c r="FB411" s="567"/>
      <c r="FC411" s="567"/>
      <c r="FD411" s="567"/>
      <c r="FE411" s="567"/>
      <c r="FF411" s="567"/>
      <c r="FG411" s="567"/>
      <c r="FH411" s="567"/>
      <c r="FI411" s="567"/>
      <c r="FJ411" s="567"/>
      <c r="FK411" s="567"/>
      <c r="FL411" s="567"/>
      <c r="FM411" s="567"/>
      <c r="FN411" s="567"/>
      <c r="FO411" s="567"/>
      <c r="FP411" s="567"/>
      <c r="FQ411" s="567"/>
      <c r="FR411" s="567"/>
      <c r="FS411" s="567"/>
      <c r="FT411" s="567"/>
      <c r="FU411" s="567"/>
      <c r="FV411" s="567"/>
      <c r="FW411" s="567"/>
      <c r="FX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  <c r="CL412" s="567"/>
      <c r="CM412" s="567"/>
      <c r="CN412" s="567"/>
      <c r="CO412" s="567"/>
      <c r="CP412" s="567"/>
      <c r="CQ412" s="567"/>
      <c r="CR412" s="567"/>
      <c r="CS412" s="567"/>
      <c r="CT412" s="567"/>
      <c r="CU412" s="567"/>
      <c r="CV412" s="567"/>
      <c r="CW412" s="567"/>
      <c r="CX412" s="567"/>
      <c r="CY412" s="567"/>
      <c r="CZ412" s="567"/>
      <c r="DA412" s="567"/>
      <c r="DB412" s="567"/>
      <c r="DC412" s="567"/>
      <c r="DD412" s="567"/>
      <c r="DE412" s="567"/>
      <c r="DF412" s="567"/>
      <c r="DG412" s="567"/>
      <c r="DH412" s="567"/>
      <c r="DI412" s="567"/>
      <c r="DJ412" s="567"/>
      <c r="DK412" s="567"/>
      <c r="DL412" s="567"/>
      <c r="DM412" s="567"/>
      <c r="DN412" s="567"/>
      <c r="DO412" s="567"/>
      <c r="DP412" s="567"/>
      <c r="DQ412" s="567"/>
      <c r="DR412" s="567"/>
      <c r="DS412" s="567"/>
      <c r="DT412" s="567"/>
      <c r="DU412" s="567"/>
      <c r="DV412" s="567"/>
      <c r="DW412" s="567"/>
      <c r="DX412" s="567"/>
      <c r="DY412" s="567"/>
      <c r="DZ412" s="567"/>
      <c r="EA412" s="567"/>
      <c r="EB412" s="567"/>
      <c r="EC412" s="567"/>
      <c r="ED412" s="567"/>
      <c r="EE412" s="567"/>
      <c r="EF412" s="567"/>
      <c r="EG412" s="567"/>
      <c r="EH412" s="567"/>
      <c r="EI412" s="567"/>
      <c r="EJ412" s="567"/>
      <c r="EK412" s="567"/>
      <c r="EL412" s="567"/>
      <c r="EM412" s="567"/>
      <c r="EN412" s="567"/>
      <c r="EO412" s="567"/>
      <c r="EP412" s="567"/>
      <c r="EQ412" s="567"/>
      <c r="ER412" s="567"/>
      <c r="ES412" s="567"/>
      <c r="ET412" s="567"/>
      <c r="EU412" s="567"/>
      <c r="EV412" s="567"/>
      <c r="EW412" s="567"/>
      <c r="EX412" s="567"/>
      <c r="EY412" s="567"/>
      <c r="EZ412" s="567"/>
      <c r="FA412" s="567"/>
      <c r="FB412" s="567"/>
      <c r="FC412" s="567"/>
      <c r="FD412" s="567"/>
      <c r="FE412" s="567"/>
      <c r="FF412" s="567"/>
      <c r="FG412" s="567"/>
      <c r="FH412" s="567"/>
      <c r="FI412" s="567"/>
      <c r="FJ412" s="567"/>
      <c r="FK412" s="567"/>
      <c r="FL412" s="567"/>
      <c r="FM412" s="567"/>
      <c r="FN412" s="567"/>
      <c r="FO412" s="567"/>
      <c r="FP412" s="567"/>
      <c r="FQ412" s="567"/>
      <c r="FR412" s="567"/>
      <c r="FS412" s="567"/>
      <c r="FT412" s="567"/>
      <c r="FU412" s="567"/>
      <c r="FV412" s="567"/>
      <c r="FW412" s="567"/>
      <c r="FX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  <c r="CL413" s="567"/>
      <c r="CM413" s="567"/>
      <c r="CN413" s="567"/>
      <c r="CO413" s="567"/>
      <c r="CP413" s="567"/>
      <c r="CQ413" s="567"/>
      <c r="CR413" s="567"/>
      <c r="CS413" s="567"/>
      <c r="CT413" s="567"/>
      <c r="CU413" s="567"/>
      <c r="CV413" s="567"/>
      <c r="CW413" s="567"/>
      <c r="CX413" s="567"/>
      <c r="CY413" s="567"/>
      <c r="CZ413" s="567"/>
      <c r="DA413" s="567"/>
      <c r="DB413" s="567"/>
      <c r="DC413" s="567"/>
      <c r="DD413" s="567"/>
      <c r="DE413" s="567"/>
      <c r="DF413" s="567"/>
      <c r="DG413" s="567"/>
      <c r="DH413" s="567"/>
      <c r="DI413" s="567"/>
      <c r="DJ413" s="567"/>
      <c r="DK413" s="567"/>
      <c r="DL413" s="567"/>
      <c r="DM413" s="567"/>
      <c r="DN413" s="567"/>
      <c r="DO413" s="567"/>
      <c r="DP413" s="567"/>
      <c r="DQ413" s="567"/>
      <c r="DR413" s="567"/>
      <c r="DS413" s="567"/>
      <c r="DT413" s="567"/>
      <c r="DU413" s="567"/>
      <c r="DV413" s="567"/>
      <c r="DW413" s="567"/>
      <c r="DX413" s="567"/>
      <c r="DY413" s="567"/>
      <c r="DZ413" s="567"/>
      <c r="EA413" s="567"/>
      <c r="EB413" s="567"/>
      <c r="EC413" s="567"/>
      <c r="ED413" s="567"/>
      <c r="EE413" s="567"/>
      <c r="EF413" s="567"/>
      <c r="EG413" s="567"/>
      <c r="EH413" s="567"/>
      <c r="EI413" s="567"/>
      <c r="EJ413" s="567"/>
      <c r="EK413" s="567"/>
      <c r="EL413" s="567"/>
      <c r="EM413" s="567"/>
      <c r="EN413" s="567"/>
      <c r="EO413" s="567"/>
      <c r="EP413" s="567"/>
      <c r="EQ413" s="567"/>
      <c r="ER413" s="567"/>
      <c r="ES413" s="567"/>
      <c r="ET413" s="567"/>
      <c r="EU413" s="567"/>
      <c r="EV413" s="567"/>
      <c r="EW413" s="567"/>
      <c r="EX413" s="567"/>
      <c r="EY413" s="567"/>
      <c r="EZ413" s="567"/>
      <c r="FA413" s="567"/>
      <c r="FB413" s="567"/>
      <c r="FC413" s="567"/>
      <c r="FD413" s="567"/>
      <c r="FE413" s="567"/>
      <c r="FF413" s="567"/>
      <c r="FG413" s="567"/>
      <c r="FH413" s="567"/>
      <c r="FI413" s="567"/>
      <c r="FJ413" s="567"/>
      <c r="FK413" s="567"/>
      <c r="FL413" s="567"/>
      <c r="FM413" s="567"/>
      <c r="FN413" s="567"/>
      <c r="FO413" s="567"/>
      <c r="FP413" s="567"/>
      <c r="FQ413" s="567"/>
      <c r="FR413" s="567"/>
      <c r="FS413" s="567"/>
      <c r="FT413" s="567"/>
      <c r="FU413" s="567"/>
      <c r="FV413" s="567"/>
      <c r="FW413" s="567"/>
      <c r="FX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  <c r="CL414" s="567"/>
      <c r="CM414" s="567"/>
      <c r="CN414" s="567"/>
      <c r="CO414" s="567"/>
      <c r="CP414" s="567"/>
      <c r="CQ414" s="567"/>
      <c r="CR414" s="567"/>
      <c r="CS414" s="567"/>
      <c r="CT414" s="567"/>
      <c r="CU414" s="567"/>
      <c r="CV414" s="567"/>
      <c r="CW414" s="567"/>
      <c r="CX414" s="567"/>
      <c r="CY414" s="567"/>
      <c r="CZ414" s="567"/>
      <c r="DA414" s="567"/>
      <c r="DB414" s="567"/>
      <c r="DC414" s="567"/>
      <c r="DD414" s="567"/>
      <c r="DE414" s="567"/>
      <c r="DF414" s="567"/>
      <c r="DG414" s="567"/>
      <c r="DH414" s="567"/>
      <c r="DI414" s="567"/>
      <c r="DJ414" s="567"/>
      <c r="DK414" s="567"/>
      <c r="DL414" s="567"/>
      <c r="DM414" s="567"/>
      <c r="DN414" s="567"/>
      <c r="DO414" s="567"/>
      <c r="DP414" s="567"/>
      <c r="DQ414" s="567"/>
      <c r="DR414" s="567"/>
      <c r="DS414" s="567"/>
      <c r="DT414" s="567"/>
      <c r="DU414" s="567"/>
      <c r="DV414" s="567"/>
      <c r="DW414" s="567"/>
      <c r="DX414" s="567"/>
      <c r="DY414" s="567"/>
      <c r="DZ414" s="567"/>
      <c r="EA414" s="567"/>
      <c r="EB414" s="567"/>
      <c r="EC414" s="567"/>
      <c r="ED414" s="567"/>
      <c r="EE414" s="567"/>
      <c r="EF414" s="567"/>
      <c r="EG414" s="567"/>
      <c r="EH414" s="567"/>
      <c r="EI414" s="567"/>
      <c r="EJ414" s="567"/>
      <c r="EK414" s="567"/>
      <c r="EL414" s="567"/>
      <c r="EM414" s="567"/>
      <c r="EN414" s="567"/>
      <c r="EO414" s="567"/>
      <c r="EP414" s="567"/>
      <c r="EQ414" s="567"/>
      <c r="ER414" s="567"/>
      <c r="ES414" s="567"/>
      <c r="ET414" s="567"/>
      <c r="EU414" s="567"/>
      <c r="EV414" s="567"/>
      <c r="EW414" s="567"/>
      <c r="EX414" s="567"/>
      <c r="EY414" s="567"/>
      <c r="EZ414" s="567"/>
      <c r="FA414" s="567"/>
      <c r="FB414" s="567"/>
      <c r="FC414" s="567"/>
      <c r="FD414" s="567"/>
      <c r="FE414" s="567"/>
      <c r="FF414" s="567"/>
      <c r="FG414" s="567"/>
      <c r="FH414" s="567"/>
      <c r="FI414" s="567"/>
      <c r="FJ414" s="567"/>
      <c r="FK414" s="567"/>
      <c r="FL414" s="567"/>
      <c r="FM414" s="567"/>
      <c r="FN414" s="567"/>
      <c r="FO414" s="567"/>
      <c r="FP414" s="567"/>
      <c r="FQ414" s="567"/>
      <c r="FR414" s="567"/>
      <c r="FS414" s="567"/>
      <c r="FT414" s="567"/>
      <c r="FU414" s="567"/>
      <c r="FV414" s="567"/>
      <c r="FW414" s="567"/>
      <c r="FX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  <c r="CL415" s="567"/>
      <c r="CM415" s="567"/>
      <c r="CN415" s="567"/>
      <c r="CO415" s="567"/>
      <c r="CP415" s="567"/>
      <c r="CQ415" s="567"/>
      <c r="CR415" s="567"/>
      <c r="CS415" s="567"/>
      <c r="CT415" s="567"/>
      <c r="CU415" s="567"/>
      <c r="CV415" s="567"/>
      <c r="CW415" s="567"/>
      <c r="CX415" s="567"/>
      <c r="CY415" s="567"/>
      <c r="CZ415" s="567"/>
      <c r="DA415" s="567"/>
      <c r="DB415" s="567"/>
      <c r="DC415" s="567"/>
      <c r="DD415" s="567"/>
      <c r="DE415" s="567"/>
      <c r="DF415" s="567"/>
      <c r="DG415" s="567"/>
      <c r="DH415" s="567"/>
      <c r="DI415" s="567"/>
      <c r="DJ415" s="567"/>
      <c r="DK415" s="567"/>
      <c r="DL415" s="567"/>
      <c r="DM415" s="567"/>
      <c r="DN415" s="567"/>
      <c r="DO415" s="567"/>
      <c r="DP415" s="567"/>
      <c r="DQ415" s="567"/>
      <c r="DR415" s="567"/>
      <c r="DS415" s="567"/>
      <c r="DT415" s="567"/>
      <c r="DU415" s="567"/>
      <c r="DV415" s="567"/>
      <c r="DW415" s="567"/>
      <c r="DX415" s="567"/>
      <c r="DY415" s="567"/>
      <c r="DZ415" s="567"/>
      <c r="EA415" s="567"/>
      <c r="EB415" s="567"/>
      <c r="EC415" s="567"/>
      <c r="ED415" s="567"/>
      <c r="EE415" s="567"/>
      <c r="EF415" s="567"/>
      <c r="EG415" s="567"/>
      <c r="EH415" s="567"/>
      <c r="EI415" s="567"/>
      <c r="EJ415" s="567"/>
      <c r="EK415" s="567"/>
      <c r="EL415" s="567"/>
      <c r="EM415" s="567"/>
      <c r="EN415" s="567"/>
      <c r="EO415" s="567"/>
      <c r="EP415" s="567"/>
      <c r="EQ415" s="567"/>
      <c r="ER415" s="567"/>
      <c r="ES415" s="567"/>
      <c r="ET415" s="567"/>
      <c r="EU415" s="567"/>
      <c r="EV415" s="567"/>
      <c r="EW415" s="567"/>
      <c r="EX415" s="567"/>
      <c r="EY415" s="567"/>
      <c r="EZ415" s="567"/>
      <c r="FA415" s="567"/>
      <c r="FB415" s="567"/>
      <c r="FC415" s="567"/>
      <c r="FD415" s="567"/>
      <c r="FE415" s="567"/>
      <c r="FF415" s="567"/>
      <c r="FG415" s="567"/>
      <c r="FH415" s="567"/>
      <c r="FI415" s="567"/>
      <c r="FJ415" s="567"/>
      <c r="FK415" s="567"/>
      <c r="FL415" s="567"/>
      <c r="FM415" s="567"/>
      <c r="FN415" s="567"/>
      <c r="FO415" s="567"/>
      <c r="FP415" s="567"/>
      <c r="FQ415" s="567"/>
      <c r="FR415" s="567"/>
      <c r="FS415" s="567"/>
      <c r="FT415" s="567"/>
      <c r="FU415" s="567"/>
      <c r="FV415" s="567"/>
      <c r="FW415" s="567"/>
      <c r="FX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  <c r="CL416" s="567"/>
      <c r="CM416" s="567"/>
      <c r="CN416" s="567"/>
      <c r="CO416" s="567"/>
      <c r="CP416" s="567"/>
      <c r="CQ416" s="567"/>
      <c r="CR416" s="567"/>
      <c r="CS416" s="567"/>
      <c r="CT416" s="567"/>
      <c r="CU416" s="567"/>
      <c r="CV416" s="567"/>
      <c r="CW416" s="567"/>
      <c r="CX416" s="567"/>
      <c r="CY416" s="567"/>
      <c r="CZ416" s="567"/>
      <c r="DA416" s="567"/>
      <c r="DB416" s="567"/>
      <c r="DC416" s="567"/>
      <c r="DD416" s="567"/>
      <c r="DE416" s="567"/>
      <c r="DF416" s="567"/>
      <c r="DG416" s="567"/>
      <c r="DH416" s="567"/>
      <c r="DI416" s="567"/>
      <c r="DJ416" s="567"/>
      <c r="DK416" s="567"/>
      <c r="DL416" s="567"/>
      <c r="DM416" s="567"/>
      <c r="DN416" s="567"/>
      <c r="DO416" s="567"/>
      <c r="DP416" s="567"/>
      <c r="DQ416" s="567"/>
      <c r="DR416" s="567"/>
      <c r="DS416" s="567"/>
      <c r="DT416" s="567"/>
      <c r="DU416" s="567"/>
      <c r="DV416" s="567"/>
      <c r="DW416" s="567"/>
      <c r="DX416" s="567"/>
      <c r="DY416" s="567"/>
      <c r="DZ416" s="567"/>
      <c r="EA416" s="567"/>
      <c r="EB416" s="567"/>
      <c r="EC416" s="567"/>
      <c r="ED416" s="567"/>
      <c r="EE416" s="567"/>
      <c r="EF416" s="567"/>
      <c r="EG416" s="567"/>
      <c r="EH416" s="567"/>
      <c r="EI416" s="567"/>
      <c r="EJ416" s="567"/>
      <c r="EK416" s="567"/>
      <c r="EL416" s="567"/>
      <c r="EM416" s="567"/>
      <c r="EN416" s="567"/>
      <c r="EO416" s="567"/>
      <c r="EP416" s="567"/>
      <c r="EQ416" s="567"/>
      <c r="ER416" s="567"/>
      <c r="ES416" s="567"/>
      <c r="ET416" s="567"/>
      <c r="EU416" s="567"/>
      <c r="EV416" s="567"/>
      <c r="EW416" s="567"/>
      <c r="EX416" s="567"/>
      <c r="EY416" s="567"/>
      <c r="EZ416" s="567"/>
      <c r="FA416" s="567"/>
      <c r="FB416" s="567"/>
      <c r="FC416" s="567"/>
      <c r="FD416" s="567"/>
      <c r="FE416" s="567"/>
      <c r="FF416" s="567"/>
      <c r="FG416" s="567"/>
      <c r="FH416" s="567"/>
      <c r="FI416" s="567"/>
      <c r="FJ416" s="567"/>
      <c r="FK416" s="567"/>
      <c r="FL416" s="567"/>
      <c r="FM416" s="567"/>
      <c r="FN416" s="567"/>
      <c r="FO416" s="567"/>
      <c r="FP416" s="567"/>
      <c r="FQ416" s="567"/>
      <c r="FR416" s="567"/>
      <c r="FS416" s="567"/>
      <c r="FT416" s="567"/>
      <c r="FU416" s="567"/>
      <c r="FV416" s="567"/>
      <c r="FW416" s="567"/>
      <c r="FX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  <c r="CL417" s="567"/>
      <c r="CM417" s="567"/>
      <c r="CN417" s="567"/>
      <c r="CO417" s="567"/>
      <c r="CP417" s="567"/>
      <c r="CQ417" s="567"/>
      <c r="CR417" s="567"/>
      <c r="CS417" s="567"/>
      <c r="CT417" s="567"/>
      <c r="CU417" s="567"/>
      <c r="CV417" s="567"/>
      <c r="CW417" s="567"/>
      <c r="CX417" s="567"/>
      <c r="CY417" s="567"/>
      <c r="CZ417" s="567"/>
      <c r="DA417" s="567"/>
      <c r="DB417" s="567"/>
      <c r="DC417" s="567"/>
      <c r="DD417" s="567"/>
      <c r="DE417" s="567"/>
      <c r="DF417" s="567"/>
      <c r="DG417" s="567"/>
      <c r="DH417" s="567"/>
      <c r="DI417" s="567"/>
      <c r="DJ417" s="567"/>
      <c r="DK417" s="567"/>
      <c r="DL417" s="567"/>
      <c r="DM417" s="567"/>
      <c r="DN417" s="567"/>
      <c r="DO417" s="567"/>
      <c r="DP417" s="567"/>
      <c r="DQ417" s="567"/>
      <c r="DR417" s="567"/>
      <c r="DS417" s="567"/>
      <c r="DT417" s="567"/>
      <c r="DU417" s="567"/>
      <c r="DV417" s="567"/>
      <c r="DW417" s="567"/>
      <c r="DX417" s="567"/>
      <c r="DY417" s="567"/>
      <c r="DZ417" s="567"/>
      <c r="EA417" s="567"/>
      <c r="EB417" s="567"/>
      <c r="EC417" s="567"/>
      <c r="ED417" s="567"/>
      <c r="EE417" s="567"/>
      <c r="EF417" s="567"/>
      <c r="EG417" s="567"/>
      <c r="EH417" s="567"/>
      <c r="EI417" s="567"/>
      <c r="EJ417" s="567"/>
      <c r="EK417" s="567"/>
      <c r="EL417" s="567"/>
      <c r="EM417" s="567"/>
      <c r="EN417" s="567"/>
      <c r="EO417" s="567"/>
      <c r="EP417" s="567"/>
      <c r="EQ417" s="567"/>
      <c r="ER417" s="567"/>
      <c r="ES417" s="567"/>
      <c r="ET417" s="567"/>
      <c r="EU417" s="567"/>
      <c r="EV417" s="567"/>
      <c r="EW417" s="567"/>
      <c r="EX417" s="567"/>
      <c r="EY417" s="567"/>
      <c r="EZ417" s="567"/>
      <c r="FA417" s="567"/>
      <c r="FB417" s="567"/>
      <c r="FC417" s="567"/>
      <c r="FD417" s="567"/>
      <c r="FE417" s="567"/>
      <c r="FF417" s="567"/>
      <c r="FG417" s="567"/>
      <c r="FH417" s="567"/>
      <c r="FI417" s="567"/>
      <c r="FJ417" s="567"/>
      <c r="FK417" s="567"/>
      <c r="FL417" s="567"/>
      <c r="FM417" s="567"/>
      <c r="FN417" s="567"/>
      <c r="FO417" s="567"/>
      <c r="FP417" s="567"/>
      <c r="FQ417" s="567"/>
      <c r="FR417" s="567"/>
      <c r="FS417" s="567"/>
      <c r="FT417" s="567"/>
      <c r="FU417" s="567"/>
      <c r="FV417" s="567"/>
      <c r="FW417" s="567"/>
      <c r="FX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  <c r="CL418" s="567"/>
      <c r="CM418" s="567"/>
      <c r="CN418" s="567"/>
      <c r="CO418" s="567"/>
      <c r="CP418" s="567"/>
      <c r="CQ418" s="567"/>
      <c r="CR418" s="567"/>
      <c r="CS418" s="567"/>
      <c r="CT418" s="567"/>
      <c r="CU418" s="567"/>
      <c r="CV418" s="567"/>
      <c r="CW418" s="567"/>
      <c r="CX418" s="567"/>
      <c r="CY418" s="567"/>
      <c r="CZ418" s="567"/>
      <c r="DA418" s="567"/>
      <c r="DB418" s="567"/>
      <c r="DC418" s="567"/>
      <c r="DD418" s="567"/>
      <c r="DE418" s="567"/>
      <c r="DF418" s="567"/>
      <c r="DG418" s="567"/>
      <c r="DH418" s="567"/>
      <c r="DI418" s="567"/>
      <c r="DJ418" s="567"/>
      <c r="DK418" s="567"/>
      <c r="DL418" s="567"/>
      <c r="DM418" s="567"/>
      <c r="DN418" s="567"/>
      <c r="DO418" s="567"/>
      <c r="DP418" s="567"/>
      <c r="DQ418" s="567"/>
      <c r="DR418" s="567"/>
      <c r="DS418" s="567"/>
      <c r="DT418" s="567"/>
      <c r="DU418" s="567"/>
      <c r="DV418" s="567"/>
      <c r="DW418" s="567"/>
      <c r="DX418" s="567"/>
      <c r="DY418" s="567"/>
      <c r="DZ418" s="567"/>
      <c r="EA418" s="567"/>
      <c r="EB418" s="567"/>
      <c r="EC418" s="567"/>
      <c r="ED418" s="567"/>
      <c r="EE418" s="567"/>
      <c r="EF418" s="567"/>
      <c r="EG418" s="567"/>
      <c r="EH418" s="567"/>
      <c r="EI418" s="567"/>
      <c r="EJ418" s="567"/>
      <c r="EK418" s="567"/>
      <c r="EL418" s="567"/>
      <c r="EM418" s="567"/>
      <c r="EN418" s="567"/>
      <c r="EO418" s="567"/>
      <c r="EP418" s="567"/>
      <c r="EQ418" s="567"/>
      <c r="ER418" s="567"/>
      <c r="ES418" s="567"/>
      <c r="ET418" s="567"/>
      <c r="EU418" s="567"/>
      <c r="EV418" s="567"/>
      <c r="EW418" s="567"/>
      <c r="EX418" s="567"/>
      <c r="EY418" s="567"/>
      <c r="EZ418" s="567"/>
      <c r="FA418" s="567"/>
      <c r="FB418" s="567"/>
      <c r="FC418" s="567"/>
      <c r="FD418" s="567"/>
      <c r="FE418" s="567"/>
      <c r="FF418" s="567"/>
      <c r="FG418" s="567"/>
      <c r="FH418" s="567"/>
      <c r="FI418" s="567"/>
      <c r="FJ418" s="567"/>
      <c r="FK418" s="567"/>
      <c r="FL418" s="567"/>
      <c r="FM418" s="567"/>
      <c r="FN418" s="567"/>
      <c r="FO418" s="567"/>
      <c r="FP418" s="567"/>
      <c r="FQ418" s="567"/>
      <c r="FR418" s="567"/>
      <c r="FS418" s="567"/>
      <c r="FT418" s="567"/>
      <c r="FU418" s="567"/>
      <c r="FV418" s="567"/>
      <c r="FW418" s="567"/>
      <c r="FX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  <c r="BW419" s="567"/>
      <c r="BX419" s="567"/>
      <c r="BY419" s="567"/>
      <c r="BZ419" s="567"/>
      <c r="CA419" s="567"/>
      <c r="CB419" s="567"/>
      <c r="CC419" s="567"/>
      <c r="CD419" s="567"/>
      <c r="CE419" s="567"/>
      <c r="CF419" s="567"/>
      <c r="CG419" s="567"/>
      <c r="CH419" s="567"/>
      <c r="CI419" s="567"/>
      <c r="CJ419" s="567"/>
      <c r="CK419" s="567"/>
      <c r="CL419" s="567"/>
      <c r="CM419" s="567"/>
      <c r="CN419" s="567"/>
      <c r="CO419" s="567"/>
      <c r="CP419" s="567"/>
      <c r="CQ419" s="567"/>
      <c r="CR419" s="567"/>
      <c r="CS419" s="567"/>
      <c r="CT419" s="567"/>
      <c r="CU419" s="567"/>
      <c r="CV419" s="567"/>
      <c r="CW419" s="567"/>
      <c r="CX419" s="567"/>
      <c r="CY419" s="567"/>
      <c r="CZ419" s="567"/>
      <c r="DA419" s="567"/>
      <c r="DB419" s="567"/>
      <c r="DC419" s="567"/>
      <c r="DD419" s="567"/>
      <c r="DE419" s="567"/>
      <c r="DF419" s="567"/>
      <c r="DG419" s="567"/>
      <c r="DH419" s="567"/>
      <c r="DI419" s="567"/>
      <c r="DJ419" s="567"/>
      <c r="DK419" s="567"/>
      <c r="DL419" s="567"/>
      <c r="DM419" s="567"/>
      <c r="DN419" s="567"/>
      <c r="DO419" s="567"/>
      <c r="DP419" s="567"/>
      <c r="DQ419" s="567"/>
      <c r="DR419" s="567"/>
      <c r="DS419" s="567"/>
      <c r="DT419" s="567"/>
      <c r="DU419" s="567"/>
      <c r="DV419" s="567"/>
      <c r="DW419" s="567"/>
      <c r="DX419" s="567"/>
      <c r="DY419" s="567"/>
      <c r="DZ419" s="567"/>
      <c r="EA419" s="567"/>
      <c r="EB419" s="567"/>
      <c r="EC419" s="567"/>
      <c r="ED419" s="567"/>
      <c r="EE419" s="567"/>
      <c r="EF419" s="567"/>
      <c r="EG419" s="567"/>
      <c r="EH419" s="567"/>
      <c r="EI419" s="567"/>
      <c r="EJ419" s="567"/>
      <c r="EK419" s="567"/>
      <c r="EL419" s="567"/>
      <c r="EM419" s="567"/>
      <c r="EN419" s="567"/>
      <c r="EO419" s="567"/>
      <c r="EP419" s="567"/>
      <c r="EQ419" s="567"/>
      <c r="ER419" s="567"/>
      <c r="ES419" s="567"/>
      <c r="ET419" s="567"/>
      <c r="EU419" s="567"/>
      <c r="EV419" s="567"/>
      <c r="EW419" s="567"/>
      <c r="EX419" s="567"/>
      <c r="EY419" s="567"/>
      <c r="EZ419" s="567"/>
      <c r="FA419" s="567"/>
      <c r="FB419" s="567"/>
      <c r="FC419" s="567"/>
      <c r="FD419" s="567"/>
      <c r="FE419" s="567"/>
      <c r="FF419" s="567"/>
      <c r="FG419" s="567"/>
      <c r="FH419" s="567"/>
      <c r="FI419" s="567"/>
      <c r="FJ419" s="567"/>
      <c r="FK419" s="567"/>
      <c r="FL419" s="567"/>
      <c r="FM419" s="567"/>
      <c r="FN419" s="567"/>
      <c r="FO419" s="567"/>
      <c r="FP419" s="567"/>
      <c r="FQ419" s="567"/>
      <c r="FR419" s="567"/>
      <c r="FS419" s="567"/>
      <c r="FT419" s="567"/>
      <c r="FU419" s="567"/>
      <c r="FV419" s="567"/>
      <c r="FW419" s="567"/>
      <c r="FX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  <c r="BW420" s="567"/>
      <c r="BX420" s="567"/>
      <c r="BY420" s="567"/>
      <c r="BZ420" s="567"/>
      <c r="CA420" s="567"/>
      <c r="CB420" s="567"/>
      <c r="CC420" s="567"/>
      <c r="CD420" s="567"/>
      <c r="CE420" s="567"/>
      <c r="CF420" s="567"/>
      <c r="CG420" s="567"/>
      <c r="CH420" s="567"/>
      <c r="CI420" s="567"/>
      <c r="CJ420" s="567"/>
      <c r="CK420" s="567"/>
      <c r="CL420" s="567"/>
      <c r="CM420" s="567"/>
      <c r="CN420" s="567"/>
      <c r="CO420" s="567"/>
      <c r="CP420" s="567"/>
      <c r="CQ420" s="567"/>
      <c r="CR420" s="567"/>
      <c r="CS420" s="567"/>
      <c r="CT420" s="567"/>
      <c r="CU420" s="567"/>
      <c r="CV420" s="567"/>
      <c r="CW420" s="567"/>
      <c r="CX420" s="567"/>
      <c r="CY420" s="567"/>
      <c r="CZ420" s="567"/>
      <c r="DA420" s="567"/>
      <c r="DB420" s="567"/>
      <c r="DC420" s="567"/>
      <c r="DD420" s="567"/>
      <c r="DE420" s="567"/>
      <c r="DF420" s="567"/>
      <c r="DG420" s="567"/>
      <c r="DH420" s="567"/>
      <c r="DI420" s="567"/>
      <c r="DJ420" s="567"/>
      <c r="DK420" s="567"/>
      <c r="DL420" s="567"/>
      <c r="DM420" s="567"/>
      <c r="DN420" s="567"/>
      <c r="DO420" s="567"/>
      <c r="DP420" s="567"/>
      <c r="DQ420" s="567"/>
      <c r="DR420" s="567"/>
      <c r="DS420" s="567"/>
      <c r="DT420" s="567"/>
      <c r="DU420" s="567"/>
      <c r="DV420" s="567"/>
      <c r="DW420" s="567"/>
      <c r="DX420" s="567"/>
      <c r="DY420" s="567"/>
      <c r="DZ420" s="567"/>
      <c r="EA420" s="567"/>
      <c r="EB420" s="567"/>
      <c r="EC420" s="567"/>
      <c r="ED420" s="567"/>
      <c r="EE420" s="567"/>
      <c r="EF420" s="567"/>
      <c r="EG420" s="567"/>
      <c r="EH420" s="567"/>
      <c r="EI420" s="567"/>
      <c r="EJ420" s="567"/>
      <c r="EK420" s="567"/>
      <c r="EL420" s="567"/>
      <c r="EM420" s="567"/>
      <c r="EN420" s="567"/>
      <c r="EO420" s="567"/>
      <c r="EP420" s="567"/>
      <c r="EQ420" s="567"/>
      <c r="ER420" s="567"/>
      <c r="ES420" s="567"/>
      <c r="ET420" s="567"/>
      <c r="EU420" s="567"/>
      <c r="EV420" s="567"/>
      <c r="EW420" s="567"/>
      <c r="EX420" s="567"/>
      <c r="EY420" s="567"/>
      <c r="EZ420" s="567"/>
      <c r="FA420" s="567"/>
      <c r="FB420" s="567"/>
      <c r="FC420" s="567"/>
      <c r="FD420" s="567"/>
      <c r="FE420" s="567"/>
      <c r="FF420" s="567"/>
      <c r="FG420" s="567"/>
      <c r="FH420" s="567"/>
      <c r="FI420" s="567"/>
      <c r="FJ420" s="567"/>
      <c r="FK420" s="567"/>
      <c r="FL420" s="567"/>
      <c r="FM420" s="567"/>
      <c r="FN420" s="567"/>
      <c r="FO420" s="567"/>
      <c r="FP420" s="567"/>
      <c r="FQ420" s="567"/>
      <c r="FR420" s="567"/>
      <c r="FS420" s="567"/>
      <c r="FT420" s="567"/>
      <c r="FU420" s="567"/>
      <c r="FV420" s="567"/>
      <c r="FW420" s="567"/>
      <c r="FX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  <c r="BW421" s="567"/>
      <c r="BX421" s="567"/>
      <c r="BY421" s="567"/>
      <c r="BZ421" s="567"/>
      <c r="CA421" s="567"/>
      <c r="CB421" s="567"/>
      <c r="CC421" s="567"/>
      <c r="CD421" s="567"/>
      <c r="CE421" s="567"/>
      <c r="CF421" s="567"/>
      <c r="CG421" s="567"/>
      <c r="CH421" s="567"/>
      <c r="CI421" s="567"/>
      <c r="CJ421" s="567"/>
      <c r="CK421" s="567"/>
      <c r="CL421" s="567"/>
      <c r="CM421" s="567"/>
      <c r="CN421" s="567"/>
      <c r="CO421" s="567"/>
      <c r="CP421" s="567"/>
      <c r="CQ421" s="567"/>
      <c r="CR421" s="567"/>
      <c r="CS421" s="567"/>
      <c r="CT421" s="567"/>
      <c r="CU421" s="567"/>
      <c r="CV421" s="567"/>
      <c r="CW421" s="567"/>
      <c r="CX421" s="567"/>
      <c r="CY421" s="567"/>
      <c r="CZ421" s="567"/>
      <c r="DA421" s="567"/>
      <c r="DB421" s="567"/>
      <c r="DC421" s="567"/>
      <c r="DD421" s="567"/>
      <c r="DE421" s="567"/>
      <c r="DF421" s="567"/>
      <c r="DG421" s="567"/>
      <c r="DH421" s="567"/>
      <c r="DI421" s="567"/>
      <c r="DJ421" s="567"/>
      <c r="DK421" s="567"/>
      <c r="DL421" s="567"/>
      <c r="DM421" s="567"/>
      <c r="DN421" s="567"/>
      <c r="DO421" s="567"/>
      <c r="DP421" s="567"/>
      <c r="DQ421" s="567"/>
      <c r="DR421" s="567"/>
      <c r="DS421" s="567"/>
      <c r="DT421" s="567"/>
      <c r="DU421" s="567"/>
      <c r="DV421" s="567"/>
      <c r="DW421" s="567"/>
      <c r="DX421" s="567"/>
      <c r="DY421" s="567"/>
      <c r="DZ421" s="567"/>
      <c r="EA421" s="567"/>
      <c r="EB421" s="567"/>
      <c r="EC421" s="567"/>
      <c r="ED421" s="567"/>
      <c r="EE421" s="567"/>
      <c r="EF421" s="567"/>
      <c r="EG421" s="567"/>
      <c r="EH421" s="567"/>
      <c r="EI421" s="567"/>
      <c r="EJ421" s="567"/>
      <c r="EK421" s="567"/>
      <c r="EL421" s="567"/>
      <c r="EM421" s="567"/>
      <c r="EN421" s="567"/>
      <c r="EO421" s="567"/>
      <c r="EP421" s="567"/>
      <c r="EQ421" s="567"/>
      <c r="ER421" s="567"/>
      <c r="ES421" s="567"/>
      <c r="ET421" s="567"/>
      <c r="EU421" s="567"/>
      <c r="EV421" s="567"/>
      <c r="EW421" s="567"/>
      <c r="EX421" s="567"/>
      <c r="EY421" s="567"/>
      <c r="EZ421" s="567"/>
      <c r="FA421" s="567"/>
      <c r="FB421" s="567"/>
      <c r="FC421" s="567"/>
      <c r="FD421" s="567"/>
      <c r="FE421" s="567"/>
      <c r="FF421" s="567"/>
      <c r="FG421" s="567"/>
      <c r="FH421" s="567"/>
      <c r="FI421" s="567"/>
      <c r="FJ421" s="567"/>
      <c r="FK421" s="567"/>
      <c r="FL421" s="567"/>
      <c r="FM421" s="567"/>
      <c r="FN421" s="567"/>
      <c r="FO421" s="567"/>
      <c r="FP421" s="567"/>
      <c r="FQ421" s="567"/>
      <c r="FR421" s="567"/>
      <c r="FS421" s="567"/>
      <c r="FT421" s="567"/>
      <c r="FU421" s="567"/>
      <c r="FV421" s="567"/>
      <c r="FW421" s="567"/>
      <c r="FX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  <c r="BW422" s="567"/>
      <c r="BX422" s="567"/>
      <c r="BY422" s="567"/>
      <c r="BZ422" s="567"/>
      <c r="CA422" s="567"/>
      <c r="CB422" s="567"/>
      <c r="CC422" s="567"/>
      <c r="CD422" s="567"/>
      <c r="CE422" s="567"/>
      <c r="CF422" s="567"/>
      <c r="CG422" s="567"/>
      <c r="CH422" s="567"/>
      <c r="CI422" s="567"/>
      <c r="CJ422" s="567"/>
      <c r="CK422" s="567"/>
      <c r="CL422" s="567"/>
      <c r="CM422" s="567"/>
      <c r="CN422" s="567"/>
      <c r="CO422" s="567"/>
      <c r="CP422" s="567"/>
      <c r="CQ422" s="567"/>
      <c r="CR422" s="567"/>
      <c r="CS422" s="567"/>
      <c r="CT422" s="567"/>
      <c r="CU422" s="567"/>
      <c r="CV422" s="567"/>
      <c r="CW422" s="567"/>
      <c r="CX422" s="567"/>
      <c r="CY422" s="567"/>
      <c r="CZ422" s="567"/>
      <c r="DA422" s="567"/>
      <c r="DB422" s="567"/>
      <c r="DC422" s="567"/>
      <c r="DD422" s="567"/>
      <c r="DE422" s="567"/>
      <c r="DF422" s="567"/>
      <c r="DG422" s="567"/>
      <c r="DH422" s="567"/>
      <c r="DI422" s="567"/>
      <c r="DJ422" s="567"/>
      <c r="DK422" s="567"/>
      <c r="DL422" s="567"/>
      <c r="DM422" s="567"/>
      <c r="DN422" s="567"/>
      <c r="DO422" s="567"/>
      <c r="DP422" s="567"/>
      <c r="DQ422" s="567"/>
      <c r="DR422" s="567"/>
      <c r="DS422" s="567"/>
      <c r="DT422" s="567"/>
      <c r="DU422" s="567"/>
      <c r="DV422" s="567"/>
      <c r="DW422" s="567"/>
      <c r="DX422" s="567"/>
      <c r="DY422" s="567"/>
      <c r="DZ422" s="567"/>
      <c r="EA422" s="567"/>
      <c r="EB422" s="567"/>
      <c r="EC422" s="567"/>
      <c r="ED422" s="567"/>
      <c r="EE422" s="567"/>
      <c r="EF422" s="567"/>
      <c r="EG422" s="567"/>
      <c r="EH422" s="567"/>
      <c r="EI422" s="567"/>
      <c r="EJ422" s="567"/>
      <c r="EK422" s="567"/>
      <c r="EL422" s="567"/>
      <c r="EM422" s="567"/>
      <c r="EN422" s="567"/>
      <c r="EO422" s="567"/>
      <c r="EP422" s="567"/>
      <c r="EQ422" s="567"/>
      <c r="ER422" s="567"/>
      <c r="ES422" s="567"/>
      <c r="ET422" s="567"/>
      <c r="EU422" s="567"/>
      <c r="EV422" s="567"/>
      <c r="EW422" s="567"/>
      <c r="EX422" s="567"/>
      <c r="EY422" s="567"/>
      <c r="EZ422" s="567"/>
      <c r="FA422" s="567"/>
      <c r="FB422" s="567"/>
      <c r="FC422" s="567"/>
      <c r="FD422" s="567"/>
      <c r="FE422" s="567"/>
      <c r="FF422" s="567"/>
      <c r="FG422" s="567"/>
      <c r="FH422" s="567"/>
      <c r="FI422" s="567"/>
      <c r="FJ422" s="567"/>
      <c r="FK422" s="567"/>
      <c r="FL422" s="567"/>
      <c r="FM422" s="567"/>
      <c r="FN422" s="567"/>
      <c r="FO422" s="567"/>
      <c r="FP422" s="567"/>
      <c r="FQ422" s="567"/>
      <c r="FR422" s="567"/>
      <c r="FS422" s="567"/>
      <c r="FT422" s="567"/>
      <c r="FU422" s="567"/>
      <c r="FV422" s="567"/>
      <c r="FW422" s="567"/>
      <c r="FX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  <c r="BW423" s="567"/>
      <c r="BX423" s="567"/>
      <c r="BY423" s="567"/>
      <c r="BZ423" s="567"/>
      <c r="CA423" s="567"/>
      <c r="CB423" s="567"/>
      <c r="CC423" s="567"/>
      <c r="CD423" s="567"/>
      <c r="CE423" s="567"/>
      <c r="CF423" s="567"/>
      <c r="CG423" s="567"/>
      <c r="CH423" s="567"/>
      <c r="CI423" s="567"/>
      <c r="CJ423" s="567"/>
      <c r="CK423" s="567"/>
      <c r="CL423" s="567"/>
      <c r="CM423" s="567"/>
      <c r="CN423" s="567"/>
      <c r="CO423" s="567"/>
      <c r="CP423" s="567"/>
      <c r="CQ423" s="567"/>
      <c r="CR423" s="567"/>
      <c r="CS423" s="567"/>
      <c r="CT423" s="567"/>
      <c r="CU423" s="567"/>
      <c r="CV423" s="567"/>
      <c r="CW423" s="567"/>
      <c r="CX423" s="567"/>
      <c r="CY423" s="567"/>
      <c r="CZ423" s="567"/>
      <c r="DA423" s="567"/>
      <c r="DB423" s="567"/>
      <c r="DC423" s="567"/>
      <c r="DD423" s="567"/>
      <c r="DE423" s="567"/>
      <c r="DF423" s="567"/>
      <c r="DG423" s="567"/>
      <c r="DH423" s="567"/>
      <c r="DI423" s="567"/>
      <c r="DJ423" s="567"/>
      <c r="DK423" s="567"/>
      <c r="DL423" s="567"/>
      <c r="DM423" s="567"/>
      <c r="DN423" s="567"/>
      <c r="DO423" s="567"/>
      <c r="DP423" s="567"/>
      <c r="DQ423" s="567"/>
      <c r="DR423" s="567"/>
      <c r="DS423" s="567"/>
      <c r="DT423" s="567"/>
      <c r="DU423" s="567"/>
      <c r="DV423" s="567"/>
      <c r="DW423" s="567"/>
      <c r="DX423" s="567"/>
      <c r="DY423" s="567"/>
      <c r="DZ423" s="567"/>
      <c r="EA423" s="567"/>
      <c r="EB423" s="567"/>
      <c r="EC423" s="567"/>
      <c r="ED423" s="567"/>
      <c r="EE423" s="567"/>
      <c r="EF423" s="567"/>
      <c r="EG423" s="567"/>
      <c r="EH423" s="567"/>
      <c r="EI423" s="567"/>
      <c r="EJ423" s="567"/>
      <c r="EK423" s="567"/>
      <c r="EL423" s="567"/>
      <c r="EM423" s="567"/>
      <c r="EN423" s="567"/>
      <c r="EO423" s="567"/>
      <c r="EP423" s="567"/>
      <c r="EQ423" s="567"/>
      <c r="ER423" s="567"/>
      <c r="ES423" s="567"/>
      <c r="ET423" s="567"/>
      <c r="EU423" s="567"/>
      <c r="EV423" s="567"/>
      <c r="EW423" s="567"/>
      <c r="EX423" s="567"/>
      <c r="EY423" s="567"/>
      <c r="EZ423" s="567"/>
      <c r="FA423" s="567"/>
      <c r="FB423" s="567"/>
      <c r="FC423" s="567"/>
      <c r="FD423" s="567"/>
      <c r="FE423" s="567"/>
      <c r="FF423" s="567"/>
      <c r="FG423" s="567"/>
      <c r="FH423" s="567"/>
      <c r="FI423" s="567"/>
      <c r="FJ423" s="567"/>
      <c r="FK423" s="567"/>
      <c r="FL423" s="567"/>
      <c r="FM423" s="567"/>
      <c r="FN423" s="567"/>
      <c r="FO423" s="567"/>
      <c r="FP423" s="567"/>
      <c r="FQ423" s="567"/>
      <c r="FR423" s="567"/>
      <c r="FS423" s="567"/>
      <c r="FT423" s="567"/>
      <c r="FU423" s="567"/>
      <c r="FV423" s="567"/>
      <c r="FW423" s="567"/>
      <c r="FX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  <c r="BW424" s="567"/>
      <c r="BX424" s="567"/>
      <c r="BY424" s="567"/>
      <c r="BZ424" s="567"/>
      <c r="CA424" s="567"/>
      <c r="CB424" s="567"/>
      <c r="CC424" s="567"/>
      <c r="CD424" s="567"/>
      <c r="CE424" s="567"/>
      <c r="CF424" s="567"/>
      <c r="CG424" s="567"/>
      <c r="CH424" s="567"/>
      <c r="CI424" s="567"/>
      <c r="CJ424" s="567"/>
      <c r="CK424" s="567"/>
      <c r="CL424" s="567"/>
      <c r="CM424" s="567"/>
      <c r="CN424" s="567"/>
      <c r="CO424" s="567"/>
      <c r="CP424" s="567"/>
      <c r="CQ424" s="567"/>
      <c r="CR424" s="567"/>
      <c r="CS424" s="567"/>
      <c r="CT424" s="567"/>
      <c r="CU424" s="567"/>
      <c r="CV424" s="567"/>
      <c r="CW424" s="567"/>
      <c r="CX424" s="567"/>
      <c r="CY424" s="567"/>
      <c r="CZ424" s="567"/>
      <c r="DA424" s="567"/>
      <c r="DB424" s="567"/>
      <c r="DC424" s="567"/>
      <c r="DD424" s="567"/>
      <c r="DE424" s="567"/>
      <c r="DF424" s="567"/>
      <c r="DG424" s="567"/>
      <c r="DH424" s="567"/>
      <c r="DI424" s="567"/>
      <c r="DJ424" s="567"/>
      <c r="DK424" s="567"/>
      <c r="DL424" s="567"/>
      <c r="DM424" s="567"/>
      <c r="DN424" s="567"/>
      <c r="DO424" s="567"/>
      <c r="DP424" s="567"/>
      <c r="DQ424" s="567"/>
      <c r="DR424" s="567"/>
      <c r="DS424" s="567"/>
      <c r="DT424" s="567"/>
      <c r="DU424" s="567"/>
      <c r="DV424" s="567"/>
      <c r="DW424" s="567"/>
      <c r="DX424" s="567"/>
      <c r="DY424" s="567"/>
      <c r="DZ424" s="567"/>
      <c r="EA424" s="567"/>
      <c r="EB424" s="567"/>
      <c r="EC424" s="567"/>
      <c r="ED424" s="567"/>
      <c r="EE424" s="567"/>
      <c r="EF424" s="567"/>
      <c r="EG424" s="567"/>
      <c r="EH424" s="567"/>
      <c r="EI424" s="567"/>
      <c r="EJ424" s="567"/>
      <c r="EK424" s="567"/>
      <c r="EL424" s="567"/>
      <c r="EM424" s="567"/>
      <c r="EN424" s="567"/>
      <c r="EO424" s="567"/>
      <c r="EP424" s="567"/>
      <c r="EQ424" s="567"/>
      <c r="ER424" s="567"/>
      <c r="ES424" s="567"/>
      <c r="ET424" s="567"/>
      <c r="EU424" s="567"/>
      <c r="EV424" s="567"/>
      <c r="EW424" s="567"/>
      <c r="EX424" s="567"/>
      <c r="EY424" s="567"/>
      <c r="EZ424" s="567"/>
      <c r="FA424" s="567"/>
      <c r="FB424" s="567"/>
      <c r="FC424" s="567"/>
      <c r="FD424" s="567"/>
      <c r="FE424" s="567"/>
      <c r="FF424" s="567"/>
      <c r="FG424" s="567"/>
      <c r="FH424" s="567"/>
      <c r="FI424" s="567"/>
      <c r="FJ424" s="567"/>
      <c r="FK424" s="567"/>
      <c r="FL424" s="567"/>
      <c r="FM424" s="567"/>
      <c r="FN424" s="567"/>
      <c r="FO424" s="567"/>
      <c r="FP424" s="567"/>
      <c r="FQ424" s="567"/>
      <c r="FR424" s="567"/>
      <c r="FS424" s="567"/>
      <c r="FT424" s="567"/>
      <c r="FU424" s="567"/>
      <c r="FV424" s="567"/>
      <c r="FW424" s="567"/>
      <c r="FX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  <c r="BW425" s="567"/>
      <c r="BX425" s="567"/>
      <c r="BY425" s="567"/>
      <c r="BZ425" s="567"/>
      <c r="CA425" s="567"/>
      <c r="CB425" s="567"/>
      <c r="CC425" s="567"/>
      <c r="CD425" s="567"/>
      <c r="CE425" s="567"/>
      <c r="CF425" s="567"/>
      <c r="CG425" s="567"/>
      <c r="CH425" s="567"/>
      <c r="CI425" s="567"/>
      <c r="CJ425" s="567"/>
      <c r="CK425" s="567"/>
      <c r="CL425" s="567"/>
      <c r="CM425" s="567"/>
      <c r="CN425" s="567"/>
      <c r="CO425" s="567"/>
      <c r="CP425" s="567"/>
      <c r="CQ425" s="567"/>
      <c r="CR425" s="567"/>
      <c r="CS425" s="567"/>
      <c r="CT425" s="567"/>
      <c r="CU425" s="567"/>
      <c r="CV425" s="567"/>
      <c r="CW425" s="567"/>
      <c r="CX425" s="567"/>
      <c r="CY425" s="567"/>
      <c r="CZ425" s="567"/>
      <c r="DA425" s="567"/>
      <c r="DB425" s="567"/>
      <c r="DC425" s="567"/>
      <c r="DD425" s="567"/>
      <c r="DE425" s="567"/>
      <c r="DF425" s="567"/>
      <c r="DG425" s="567"/>
      <c r="DH425" s="567"/>
      <c r="DI425" s="567"/>
      <c r="DJ425" s="567"/>
      <c r="DK425" s="567"/>
      <c r="DL425" s="567"/>
      <c r="DM425" s="567"/>
      <c r="DN425" s="567"/>
      <c r="DO425" s="567"/>
      <c r="DP425" s="567"/>
      <c r="DQ425" s="567"/>
      <c r="DR425" s="567"/>
      <c r="DS425" s="567"/>
      <c r="DT425" s="567"/>
      <c r="DU425" s="567"/>
      <c r="DV425" s="567"/>
      <c r="DW425" s="567"/>
      <c r="DX425" s="567"/>
      <c r="DY425" s="567"/>
      <c r="DZ425" s="567"/>
      <c r="EA425" s="567"/>
      <c r="EB425" s="567"/>
      <c r="EC425" s="567"/>
      <c r="ED425" s="567"/>
      <c r="EE425" s="567"/>
      <c r="EF425" s="567"/>
      <c r="EG425" s="567"/>
      <c r="EH425" s="567"/>
      <c r="EI425" s="567"/>
      <c r="EJ425" s="567"/>
      <c r="EK425" s="567"/>
      <c r="EL425" s="567"/>
      <c r="EM425" s="567"/>
      <c r="EN425" s="567"/>
      <c r="EO425" s="567"/>
      <c r="EP425" s="567"/>
      <c r="EQ425" s="567"/>
      <c r="ER425" s="567"/>
      <c r="ES425" s="567"/>
      <c r="ET425" s="567"/>
      <c r="EU425" s="567"/>
      <c r="EV425" s="567"/>
      <c r="EW425" s="567"/>
      <c r="EX425" s="567"/>
      <c r="EY425" s="567"/>
      <c r="EZ425" s="567"/>
      <c r="FA425" s="567"/>
      <c r="FB425" s="567"/>
      <c r="FC425" s="567"/>
      <c r="FD425" s="567"/>
      <c r="FE425" s="567"/>
      <c r="FF425" s="567"/>
      <c r="FG425" s="567"/>
      <c r="FH425" s="567"/>
      <c r="FI425" s="567"/>
      <c r="FJ425" s="567"/>
      <c r="FK425" s="567"/>
      <c r="FL425" s="567"/>
      <c r="FM425" s="567"/>
      <c r="FN425" s="567"/>
      <c r="FO425" s="567"/>
      <c r="FP425" s="567"/>
      <c r="FQ425" s="567"/>
      <c r="FR425" s="567"/>
      <c r="FS425" s="567"/>
      <c r="FT425" s="567"/>
      <c r="FU425" s="567"/>
      <c r="FV425" s="567"/>
      <c r="FW425" s="567"/>
      <c r="FX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  <c r="BW426" s="567"/>
      <c r="BX426" s="567"/>
      <c r="BY426" s="567"/>
      <c r="BZ426" s="567"/>
      <c r="CA426" s="567"/>
      <c r="CB426" s="567"/>
      <c r="CC426" s="567"/>
      <c r="CD426" s="567"/>
      <c r="CE426" s="567"/>
      <c r="CF426" s="567"/>
      <c r="CG426" s="567"/>
      <c r="CH426" s="567"/>
      <c r="CI426" s="567"/>
      <c r="CJ426" s="567"/>
      <c r="CK426" s="567"/>
      <c r="CL426" s="567"/>
      <c r="CM426" s="567"/>
      <c r="CN426" s="567"/>
      <c r="CO426" s="567"/>
      <c r="CP426" s="567"/>
      <c r="CQ426" s="567"/>
      <c r="CR426" s="567"/>
      <c r="CS426" s="567"/>
      <c r="CT426" s="567"/>
      <c r="CU426" s="567"/>
      <c r="CV426" s="567"/>
      <c r="CW426" s="567"/>
      <c r="CX426" s="567"/>
      <c r="CY426" s="567"/>
      <c r="CZ426" s="567"/>
      <c r="DA426" s="567"/>
      <c r="DB426" s="567"/>
      <c r="DC426" s="567"/>
      <c r="DD426" s="567"/>
      <c r="DE426" s="567"/>
      <c r="DF426" s="567"/>
      <c r="DG426" s="567"/>
      <c r="DH426" s="567"/>
      <c r="DI426" s="567"/>
      <c r="DJ426" s="567"/>
      <c r="DK426" s="567"/>
      <c r="DL426" s="567"/>
      <c r="DM426" s="567"/>
      <c r="DN426" s="567"/>
      <c r="DO426" s="567"/>
      <c r="DP426" s="567"/>
      <c r="DQ426" s="567"/>
      <c r="DR426" s="567"/>
      <c r="DS426" s="567"/>
      <c r="DT426" s="567"/>
      <c r="DU426" s="567"/>
      <c r="DV426" s="567"/>
      <c r="DW426" s="567"/>
      <c r="DX426" s="567"/>
      <c r="DY426" s="567"/>
      <c r="DZ426" s="567"/>
      <c r="EA426" s="567"/>
      <c r="EB426" s="567"/>
      <c r="EC426" s="567"/>
      <c r="ED426" s="567"/>
      <c r="EE426" s="567"/>
      <c r="EF426" s="567"/>
      <c r="EG426" s="567"/>
      <c r="EH426" s="567"/>
      <c r="EI426" s="567"/>
      <c r="EJ426" s="567"/>
      <c r="EK426" s="567"/>
      <c r="EL426" s="567"/>
      <c r="EM426" s="567"/>
      <c r="EN426" s="567"/>
      <c r="EO426" s="567"/>
      <c r="EP426" s="567"/>
      <c r="EQ426" s="567"/>
      <c r="ER426" s="567"/>
      <c r="ES426" s="567"/>
      <c r="ET426" s="567"/>
      <c r="EU426" s="567"/>
      <c r="EV426" s="567"/>
      <c r="EW426" s="567"/>
      <c r="EX426" s="567"/>
      <c r="EY426" s="567"/>
      <c r="EZ426" s="567"/>
      <c r="FA426" s="567"/>
      <c r="FB426" s="567"/>
      <c r="FC426" s="567"/>
      <c r="FD426" s="567"/>
      <c r="FE426" s="567"/>
      <c r="FF426" s="567"/>
      <c r="FG426" s="567"/>
      <c r="FH426" s="567"/>
      <c r="FI426" s="567"/>
      <c r="FJ426" s="567"/>
      <c r="FK426" s="567"/>
      <c r="FL426" s="567"/>
      <c r="FM426" s="567"/>
      <c r="FN426" s="567"/>
      <c r="FO426" s="567"/>
      <c r="FP426" s="567"/>
      <c r="FQ426" s="567"/>
      <c r="FR426" s="567"/>
      <c r="FS426" s="567"/>
      <c r="FT426" s="567"/>
      <c r="FU426" s="567"/>
      <c r="FV426" s="567"/>
      <c r="FW426" s="567"/>
      <c r="FX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  <c r="BW427" s="567"/>
      <c r="BX427" s="567"/>
      <c r="BY427" s="567"/>
      <c r="BZ427" s="567"/>
      <c r="CA427" s="567"/>
      <c r="CB427" s="567"/>
      <c r="CC427" s="567"/>
      <c r="CD427" s="567"/>
      <c r="CE427" s="567"/>
      <c r="CF427" s="567"/>
      <c r="CG427" s="567"/>
      <c r="CH427" s="567"/>
      <c r="CI427" s="567"/>
      <c r="CJ427" s="567"/>
      <c r="CK427" s="567"/>
      <c r="CL427" s="567"/>
      <c r="CM427" s="567"/>
      <c r="CN427" s="567"/>
      <c r="CO427" s="567"/>
      <c r="CP427" s="567"/>
      <c r="CQ427" s="567"/>
      <c r="CR427" s="567"/>
      <c r="CS427" s="567"/>
      <c r="CT427" s="567"/>
      <c r="CU427" s="567"/>
      <c r="CV427" s="567"/>
      <c r="CW427" s="567"/>
      <c r="CX427" s="567"/>
      <c r="CY427" s="567"/>
      <c r="CZ427" s="567"/>
      <c r="DA427" s="567"/>
      <c r="DB427" s="567"/>
      <c r="DC427" s="567"/>
      <c r="DD427" s="567"/>
      <c r="DE427" s="567"/>
      <c r="DF427" s="567"/>
      <c r="DG427" s="567"/>
      <c r="DH427" s="567"/>
      <c r="DI427" s="567"/>
      <c r="DJ427" s="567"/>
      <c r="DK427" s="567"/>
      <c r="DL427" s="567"/>
      <c r="DM427" s="567"/>
      <c r="DN427" s="567"/>
      <c r="DO427" s="567"/>
      <c r="DP427" s="567"/>
      <c r="DQ427" s="567"/>
      <c r="DR427" s="567"/>
      <c r="DS427" s="567"/>
      <c r="DT427" s="567"/>
      <c r="DU427" s="567"/>
      <c r="DV427" s="567"/>
      <c r="DW427" s="567"/>
      <c r="DX427" s="567"/>
      <c r="DY427" s="567"/>
      <c r="DZ427" s="567"/>
      <c r="EA427" s="567"/>
      <c r="EB427" s="567"/>
      <c r="EC427" s="567"/>
      <c r="ED427" s="567"/>
      <c r="EE427" s="567"/>
      <c r="EF427" s="567"/>
      <c r="EG427" s="567"/>
      <c r="EH427" s="567"/>
      <c r="EI427" s="567"/>
      <c r="EJ427" s="567"/>
      <c r="EK427" s="567"/>
      <c r="EL427" s="567"/>
      <c r="EM427" s="567"/>
      <c r="EN427" s="567"/>
      <c r="EO427" s="567"/>
      <c r="EP427" s="567"/>
      <c r="EQ427" s="567"/>
      <c r="ER427" s="567"/>
      <c r="ES427" s="567"/>
      <c r="ET427" s="567"/>
      <c r="EU427" s="567"/>
      <c r="EV427" s="567"/>
      <c r="EW427" s="567"/>
      <c r="EX427" s="567"/>
      <c r="EY427" s="567"/>
      <c r="EZ427" s="567"/>
      <c r="FA427" s="567"/>
      <c r="FB427" s="567"/>
      <c r="FC427" s="567"/>
      <c r="FD427" s="567"/>
      <c r="FE427" s="567"/>
      <c r="FF427" s="567"/>
      <c r="FG427" s="567"/>
      <c r="FH427" s="567"/>
      <c r="FI427" s="567"/>
      <c r="FJ427" s="567"/>
      <c r="FK427" s="567"/>
      <c r="FL427" s="567"/>
      <c r="FM427" s="567"/>
      <c r="FN427" s="567"/>
      <c r="FO427" s="567"/>
      <c r="FP427" s="567"/>
      <c r="FQ427" s="567"/>
      <c r="FR427" s="567"/>
      <c r="FS427" s="567"/>
      <c r="FT427" s="567"/>
      <c r="FU427" s="567"/>
      <c r="FV427" s="567"/>
      <c r="FW427" s="567"/>
      <c r="FX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  <c r="BW428" s="567"/>
      <c r="BX428" s="567"/>
      <c r="BY428" s="567"/>
      <c r="BZ428" s="567"/>
      <c r="CA428" s="567"/>
      <c r="CB428" s="567"/>
      <c r="CC428" s="567"/>
      <c r="CD428" s="567"/>
      <c r="CE428" s="567"/>
      <c r="CF428" s="567"/>
      <c r="CG428" s="567"/>
      <c r="CH428" s="567"/>
      <c r="CI428" s="567"/>
      <c r="CJ428" s="567"/>
      <c r="CK428" s="567"/>
      <c r="CL428" s="567"/>
      <c r="CM428" s="567"/>
      <c r="CN428" s="567"/>
      <c r="CO428" s="567"/>
      <c r="CP428" s="567"/>
      <c r="CQ428" s="567"/>
      <c r="CR428" s="567"/>
      <c r="CS428" s="567"/>
      <c r="CT428" s="567"/>
      <c r="CU428" s="567"/>
      <c r="CV428" s="567"/>
      <c r="CW428" s="567"/>
      <c r="CX428" s="567"/>
      <c r="CY428" s="567"/>
      <c r="CZ428" s="567"/>
      <c r="DA428" s="567"/>
      <c r="DB428" s="567"/>
      <c r="DC428" s="567"/>
      <c r="DD428" s="567"/>
      <c r="DE428" s="567"/>
      <c r="DF428" s="567"/>
      <c r="DG428" s="567"/>
      <c r="DH428" s="567"/>
      <c r="DI428" s="567"/>
      <c r="DJ428" s="567"/>
      <c r="DK428" s="567"/>
      <c r="DL428" s="567"/>
      <c r="DM428" s="567"/>
      <c r="DN428" s="567"/>
      <c r="DO428" s="567"/>
      <c r="DP428" s="567"/>
      <c r="DQ428" s="567"/>
      <c r="DR428" s="567"/>
      <c r="DS428" s="567"/>
      <c r="DT428" s="567"/>
      <c r="DU428" s="567"/>
      <c r="DV428" s="567"/>
      <c r="DW428" s="567"/>
      <c r="DX428" s="567"/>
      <c r="DY428" s="567"/>
      <c r="DZ428" s="567"/>
      <c r="EA428" s="567"/>
      <c r="EB428" s="567"/>
      <c r="EC428" s="567"/>
      <c r="ED428" s="567"/>
      <c r="EE428" s="567"/>
      <c r="EF428" s="567"/>
      <c r="EG428" s="567"/>
      <c r="EH428" s="567"/>
      <c r="EI428" s="567"/>
      <c r="EJ428" s="567"/>
      <c r="EK428" s="567"/>
      <c r="EL428" s="567"/>
      <c r="EM428" s="567"/>
      <c r="EN428" s="567"/>
      <c r="EO428" s="567"/>
      <c r="EP428" s="567"/>
      <c r="EQ428" s="567"/>
      <c r="ER428" s="567"/>
      <c r="ES428" s="567"/>
      <c r="ET428" s="567"/>
      <c r="EU428" s="567"/>
      <c r="EV428" s="567"/>
      <c r="EW428" s="567"/>
      <c r="EX428" s="567"/>
      <c r="EY428" s="567"/>
      <c r="EZ428" s="567"/>
      <c r="FA428" s="567"/>
      <c r="FB428" s="567"/>
      <c r="FC428" s="567"/>
      <c r="FD428" s="567"/>
      <c r="FE428" s="567"/>
      <c r="FF428" s="567"/>
      <c r="FG428" s="567"/>
      <c r="FH428" s="567"/>
      <c r="FI428" s="567"/>
      <c r="FJ428" s="567"/>
      <c r="FK428" s="567"/>
      <c r="FL428" s="567"/>
      <c r="FM428" s="567"/>
      <c r="FN428" s="567"/>
      <c r="FO428" s="567"/>
      <c r="FP428" s="567"/>
      <c r="FQ428" s="567"/>
      <c r="FR428" s="567"/>
      <c r="FS428" s="567"/>
      <c r="FT428" s="567"/>
      <c r="FU428" s="567"/>
      <c r="FV428" s="567"/>
      <c r="FW428" s="567"/>
      <c r="FX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  <c r="BW429" s="567"/>
      <c r="BX429" s="567"/>
      <c r="BY429" s="567"/>
      <c r="BZ429" s="567"/>
      <c r="CA429" s="567"/>
      <c r="CB429" s="567"/>
      <c r="CC429" s="567"/>
      <c r="CD429" s="567"/>
      <c r="CE429" s="567"/>
      <c r="CF429" s="567"/>
      <c r="CG429" s="567"/>
      <c r="CH429" s="567"/>
      <c r="CI429" s="567"/>
      <c r="CJ429" s="567"/>
      <c r="CK429" s="567"/>
      <c r="CL429" s="567"/>
      <c r="CM429" s="567"/>
      <c r="CN429" s="567"/>
      <c r="CO429" s="567"/>
      <c r="CP429" s="567"/>
      <c r="CQ429" s="567"/>
      <c r="CR429" s="567"/>
      <c r="CS429" s="567"/>
      <c r="CT429" s="567"/>
      <c r="CU429" s="567"/>
      <c r="CV429" s="567"/>
      <c r="CW429" s="567"/>
      <c r="CX429" s="567"/>
      <c r="CY429" s="567"/>
      <c r="CZ429" s="567"/>
      <c r="DA429" s="567"/>
      <c r="DB429" s="567"/>
      <c r="DC429" s="567"/>
      <c r="DD429" s="567"/>
      <c r="DE429" s="567"/>
      <c r="DF429" s="567"/>
      <c r="DG429" s="567"/>
      <c r="DH429" s="567"/>
      <c r="DI429" s="567"/>
      <c r="DJ429" s="567"/>
      <c r="DK429" s="567"/>
      <c r="DL429" s="567"/>
      <c r="DM429" s="567"/>
      <c r="DN429" s="567"/>
      <c r="DO429" s="567"/>
      <c r="DP429" s="567"/>
      <c r="DQ429" s="567"/>
      <c r="DR429" s="567"/>
      <c r="DS429" s="567"/>
      <c r="DT429" s="567"/>
      <c r="DU429" s="567"/>
      <c r="DV429" s="567"/>
      <c r="DW429" s="567"/>
      <c r="DX429" s="567"/>
      <c r="DY429" s="567"/>
      <c r="DZ429" s="567"/>
      <c r="EA429" s="567"/>
      <c r="EB429" s="567"/>
      <c r="EC429" s="567"/>
      <c r="ED429" s="567"/>
      <c r="EE429" s="567"/>
      <c r="EF429" s="567"/>
      <c r="EG429" s="567"/>
      <c r="EH429" s="567"/>
      <c r="EI429" s="567"/>
      <c r="EJ429" s="567"/>
      <c r="EK429" s="567"/>
      <c r="EL429" s="567"/>
      <c r="EM429" s="567"/>
      <c r="EN429" s="567"/>
      <c r="EO429" s="567"/>
      <c r="EP429" s="567"/>
      <c r="EQ429" s="567"/>
      <c r="ER429" s="567"/>
      <c r="ES429" s="567"/>
      <c r="ET429" s="567"/>
      <c r="EU429" s="567"/>
      <c r="EV429" s="567"/>
      <c r="EW429" s="567"/>
      <c r="EX429" s="567"/>
      <c r="EY429" s="567"/>
      <c r="EZ429" s="567"/>
      <c r="FA429" s="567"/>
      <c r="FB429" s="567"/>
      <c r="FC429" s="567"/>
      <c r="FD429" s="567"/>
      <c r="FE429" s="567"/>
      <c r="FF429" s="567"/>
      <c r="FG429" s="567"/>
      <c r="FH429" s="567"/>
      <c r="FI429" s="567"/>
      <c r="FJ429" s="567"/>
      <c r="FK429" s="567"/>
      <c r="FL429" s="567"/>
      <c r="FM429" s="567"/>
      <c r="FN429" s="567"/>
      <c r="FO429" s="567"/>
      <c r="FP429" s="567"/>
      <c r="FQ429" s="567"/>
      <c r="FR429" s="567"/>
      <c r="FS429" s="567"/>
      <c r="FT429" s="567"/>
      <c r="FU429" s="567"/>
      <c r="FV429" s="567"/>
      <c r="FW429" s="567"/>
      <c r="FX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  <c r="BW430" s="567"/>
      <c r="BX430" s="567"/>
      <c r="BY430" s="567"/>
      <c r="BZ430" s="567"/>
      <c r="CA430" s="567"/>
      <c r="CB430" s="567"/>
      <c r="CC430" s="567"/>
      <c r="CD430" s="567"/>
      <c r="CE430" s="567"/>
      <c r="CF430" s="567"/>
      <c r="CG430" s="567"/>
      <c r="CH430" s="567"/>
      <c r="CI430" s="567"/>
      <c r="CJ430" s="567"/>
      <c r="CK430" s="567"/>
      <c r="CL430" s="567"/>
      <c r="CM430" s="567"/>
      <c r="CN430" s="567"/>
      <c r="CO430" s="567"/>
      <c r="CP430" s="567"/>
      <c r="CQ430" s="567"/>
      <c r="CR430" s="567"/>
      <c r="CS430" s="567"/>
      <c r="CT430" s="567"/>
      <c r="CU430" s="567"/>
      <c r="CV430" s="567"/>
      <c r="CW430" s="567"/>
      <c r="CX430" s="567"/>
      <c r="CY430" s="567"/>
      <c r="CZ430" s="567"/>
      <c r="DA430" s="567"/>
      <c r="DB430" s="567"/>
      <c r="DC430" s="567"/>
      <c r="DD430" s="567"/>
      <c r="DE430" s="567"/>
      <c r="DF430" s="567"/>
      <c r="DG430" s="567"/>
      <c r="DH430" s="567"/>
      <c r="DI430" s="567"/>
      <c r="DJ430" s="567"/>
      <c r="DK430" s="567"/>
      <c r="DL430" s="567"/>
      <c r="DM430" s="567"/>
      <c r="DN430" s="567"/>
      <c r="DO430" s="567"/>
      <c r="DP430" s="567"/>
      <c r="DQ430" s="567"/>
      <c r="DR430" s="567"/>
      <c r="DS430" s="567"/>
      <c r="DT430" s="567"/>
      <c r="DU430" s="567"/>
      <c r="DV430" s="567"/>
      <c r="DW430" s="567"/>
      <c r="DX430" s="567"/>
      <c r="DY430" s="567"/>
      <c r="DZ430" s="567"/>
      <c r="EA430" s="567"/>
      <c r="EB430" s="567"/>
      <c r="EC430" s="567"/>
      <c r="ED430" s="567"/>
      <c r="EE430" s="567"/>
      <c r="EF430" s="567"/>
      <c r="EG430" s="567"/>
      <c r="EH430" s="567"/>
      <c r="EI430" s="567"/>
      <c r="EJ430" s="567"/>
      <c r="EK430" s="567"/>
      <c r="EL430" s="567"/>
      <c r="EM430" s="567"/>
      <c r="EN430" s="567"/>
      <c r="EO430" s="567"/>
      <c r="EP430" s="567"/>
      <c r="EQ430" s="567"/>
      <c r="ER430" s="567"/>
      <c r="ES430" s="567"/>
      <c r="ET430" s="567"/>
      <c r="EU430" s="567"/>
      <c r="EV430" s="567"/>
      <c r="EW430" s="567"/>
      <c r="EX430" s="567"/>
      <c r="EY430" s="567"/>
      <c r="EZ430" s="567"/>
      <c r="FA430" s="567"/>
      <c r="FB430" s="567"/>
      <c r="FC430" s="567"/>
      <c r="FD430" s="567"/>
      <c r="FE430" s="567"/>
      <c r="FF430" s="567"/>
      <c r="FG430" s="567"/>
      <c r="FH430" s="567"/>
      <c r="FI430" s="567"/>
      <c r="FJ430" s="567"/>
      <c r="FK430" s="567"/>
      <c r="FL430" s="567"/>
      <c r="FM430" s="567"/>
      <c r="FN430" s="567"/>
      <c r="FO430" s="567"/>
      <c r="FP430" s="567"/>
      <c r="FQ430" s="567"/>
      <c r="FR430" s="567"/>
      <c r="FS430" s="567"/>
      <c r="FT430" s="567"/>
      <c r="FU430" s="567"/>
      <c r="FV430" s="567"/>
      <c r="FW430" s="567"/>
      <c r="FX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  <c r="BW431" s="567"/>
      <c r="BX431" s="567"/>
      <c r="BY431" s="567"/>
      <c r="BZ431" s="567"/>
      <c r="CA431" s="567"/>
      <c r="CB431" s="567"/>
      <c r="CC431" s="567"/>
      <c r="CD431" s="567"/>
      <c r="CE431" s="567"/>
      <c r="CF431" s="567"/>
      <c r="CG431" s="567"/>
      <c r="CH431" s="567"/>
      <c r="CI431" s="567"/>
      <c r="CJ431" s="567"/>
      <c r="CK431" s="567"/>
      <c r="CL431" s="567"/>
      <c r="CM431" s="567"/>
      <c r="CN431" s="567"/>
      <c r="CO431" s="567"/>
      <c r="CP431" s="567"/>
      <c r="CQ431" s="567"/>
      <c r="CR431" s="567"/>
      <c r="CS431" s="567"/>
      <c r="CT431" s="567"/>
      <c r="CU431" s="567"/>
      <c r="CV431" s="567"/>
      <c r="CW431" s="567"/>
      <c r="CX431" s="567"/>
      <c r="CY431" s="567"/>
      <c r="CZ431" s="567"/>
      <c r="DA431" s="567"/>
      <c r="DB431" s="567"/>
      <c r="DC431" s="567"/>
      <c r="DD431" s="567"/>
      <c r="DE431" s="567"/>
      <c r="DF431" s="567"/>
      <c r="DG431" s="567"/>
      <c r="DH431" s="567"/>
      <c r="DI431" s="567"/>
      <c r="DJ431" s="567"/>
      <c r="DK431" s="567"/>
      <c r="DL431" s="567"/>
      <c r="DM431" s="567"/>
      <c r="DN431" s="567"/>
      <c r="DO431" s="567"/>
      <c r="DP431" s="567"/>
      <c r="DQ431" s="567"/>
      <c r="DR431" s="567"/>
      <c r="DS431" s="567"/>
      <c r="DT431" s="567"/>
      <c r="DU431" s="567"/>
      <c r="DV431" s="567"/>
      <c r="DW431" s="567"/>
      <c r="DX431" s="567"/>
      <c r="DY431" s="567"/>
      <c r="DZ431" s="567"/>
      <c r="EA431" s="567"/>
      <c r="EB431" s="567"/>
      <c r="EC431" s="567"/>
      <c r="ED431" s="567"/>
      <c r="EE431" s="567"/>
      <c r="EF431" s="567"/>
      <c r="EG431" s="567"/>
      <c r="EH431" s="567"/>
      <c r="EI431" s="567"/>
      <c r="EJ431" s="567"/>
      <c r="EK431" s="567"/>
      <c r="EL431" s="567"/>
      <c r="EM431" s="567"/>
      <c r="EN431" s="567"/>
      <c r="EO431" s="567"/>
      <c r="EP431" s="567"/>
      <c r="EQ431" s="567"/>
      <c r="ER431" s="567"/>
      <c r="ES431" s="567"/>
      <c r="ET431" s="567"/>
      <c r="EU431" s="567"/>
      <c r="EV431" s="567"/>
      <c r="EW431" s="567"/>
      <c r="EX431" s="567"/>
      <c r="EY431" s="567"/>
      <c r="EZ431" s="567"/>
      <c r="FA431" s="567"/>
      <c r="FB431" s="567"/>
      <c r="FC431" s="567"/>
      <c r="FD431" s="567"/>
      <c r="FE431" s="567"/>
      <c r="FF431" s="567"/>
      <c r="FG431" s="567"/>
      <c r="FH431" s="567"/>
      <c r="FI431" s="567"/>
      <c r="FJ431" s="567"/>
      <c r="FK431" s="567"/>
      <c r="FL431" s="567"/>
      <c r="FM431" s="567"/>
      <c r="FN431" s="567"/>
      <c r="FO431" s="567"/>
      <c r="FP431" s="567"/>
      <c r="FQ431" s="567"/>
      <c r="FR431" s="567"/>
      <c r="FS431" s="567"/>
      <c r="FT431" s="567"/>
      <c r="FU431" s="567"/>
      <c r="FV431" s="567"/>
      <c r="FW431" s="567"/>
      <c r="FX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  <c r="BW432" s="567"/>
      <c r="BX432" s="567"/>
      <c r="BY432" s="567"/>
      <c r="BZ432" s="567"/>
      <c r="CA432" s="567"/>
      <c r="CB432" s="567"/>
      <c r="CC432" s="567"/>
      <c r="CD432" s="567"/>
      <c r="CE432" s="567"/>
      <c r="CF432" s="567"/>
      <c r="CG432" s="567"/>
      <c r="CH432" s="567"/>
      <c r="CI432" s="567"/>
      <c r="CJ432" s="567"/>
      <c r="CK432" s="567"/>
      <c r="CL432" s="567"/>
      <c r="CM432" s="567"/>
      <c r="CN432" s="567"/>
      <c r="CO432" s="567"/>
      <c r="CP432" s="567"/>
      <c r="CQ432" s="567"/>
      <c r="CR432" s="567"/>
      <c r="CS432" s="567"/>
      <c r="CT432" s="567"/>
      <c r="CU432" s="567"/>
      <c r="CV432" s="567"/>
      <c r="CW432" s="567"/>
      <c r="CX432" s="567"/>
      <c r="CY432" s="567"/>
      <c r="CZ432" s="567"/>
      <c r="DA432" s="567"/>
      <c r="DB432" s="567"/>
      <c r="DC432" s="567"/>
      <c r="DD432" s="567"/>
      <c r="DE432" s="567"/>
      <c r="DF432" s="567"/>
      <c r="DG432" s="567"/>
      <c r="DH432" s="567"/>
      <c r="DI432" s="567"/>
      <c r="DJ432" s="567"/>
      <c r="DK432" s="567"/>
      <c r="DL432" s="567"/>
      <c r="DM432" s="567"/>
      <c r="DN432" s="567"/>
      <c r="DO432" s="567"/>
      <c r="DP432" s="567"/>
      <c r="DQ432" s="567"/>
      <c r="DR432" s="567"/>
      <c r="DS432" s="567"/>
      <c r="DT432" s="567"/>
      <c r="DU432" s="567"/>
      <c r="DV432" s="567"/>
      <c r="DW432" s="567"/>
      <c r="DX432" s="567"/>
      <c r="DY432" s="567"/>
      <c r="DZ432" s="567"/>
      <c r="EA432" s="567"/>
      <c r="EB432" s="567"/>
      <c r="EC432" s="567"/>
      <c r="ED432" s="567"/>
      <c r="EE432" s="567"/>
      <c r="EF432" s="567"/>
      <c r="EG432" s="567"/>
      <c r="EH432" s="567"/>
      <c r="EI432" s="567"/>
      <c r="EJ432" s="567"/>
      <c r="EK432" s="567"/>
      <c r="EL432" s="567"/>
      <c r="EM432" s="567"/>
      <c r="EN432" s="567"/>
      <c r="EO432" s="567"/>
      <c r="EP432" s="567"/>
      <c r="EQ432" s="567"/>
      <c r="ER432" s="567"/>
      <c r="ES432" s="567"/>
      <c r="ET432" s="567"/>
      <c r="EU432" s="567"/>
      <c r="EV432" s="567"/>
      <c r="EW432" s="567"/>
      <c r="EX432" s="567"/>
      <c r="EY432" s="567"/>
      <c r="EZ432" s="567"/>
      <c r="FA432" s="567"/>
      <c r="FB432" s="567"/>
      <c r="FC432" s="567"/>
      <c r="FD432" s="567"/>
      <c r="FE432" s="567"/>
      <c r="FF432" s="567"/>
      <c r="FG432" s="567"/>
      <c r="FH432" s="567"/>
      <c r="FI432" s="567"/>
      <c r="FJ432" s="567"/>
      <c r="FK432" s="567"/>
      <c r="FL432" s="567"/>
      <c r="FM432" s="567"/>
      <c r="FN432" s="567"/>
      <c r="FO432" s="567"/>
      <c r="FP432" s="567"/>
      <c r="FQ432" s="567"/>
      <c r="FR432" s="567"/>
      <c r="FS432" s="567"/>
      <c r="FT432" s="567"/>
      <c r="FU432" s="567"/>
      <c r="FV432" s="567"/>
      <c r="FW432" s="567"/>
      <c r="FX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  <c r="BW433" s="567"/>
      <c r="BX433" s="567"/>
      <c r="BY433" s="567"/>
      <c r="BZ433" s="567"/>
      <c r="CA433" s="567"/>
      <c r="CB433" s="567"/>
      <c r="CC433" s="567"/>
      <c r="CD433" s="567"/>
      <c r="CE433" s="567"/>
      <c r="CF433" s="567"/>
      <c r="CG433" s="567"/>
      <c r="CH433" s="567"/>
      <c r="CI433" s="567"/>
      <c r="CJ433" s="567"/>
      <c r="CK433" s="567"/>
      <c r="CL433" s="567"/>
      <c r="CM433" s="567"/>
      <c r="CN433" s="567"/>
      <c r="CO433" s="567"/>
      <c r="CP433" s="567"/>
      <c r="CQ433" s="567"/>
      <c r="CR433" s="567"/>
      <c r="CS433" s="567"/>
      <c r="CT433" s="567"/>
      <c r="CU433" s="567"/>
      <c r="CV433" s="567"/>
      <c r="CW433" s="567"/>
      <c r="CX433" s="567"/>
      <c r="CY433" s="567"/>
      <c r="CZ433" s="567"/>
      <c r="DA433" s="567"/>
      <c r="DB433" s="567"/>
      <c r="DC433" s="567"/>
      <c r="DD433" s="567"/>
      <c r="DE433" s="567"/>
      <c r="DF433" s="567"/>
      <c r="DG433" s="567"/>
      <c r="DH433" s="567"/>
      <c r="DI433" s="567"/>
      <c r="DJ433" s="567"/>
      <c r="DK433" s="567"/>
      <c r="DL433" s="567"/>
      <c r="DM433" s="567"/>
      <c r="DN433" s="567"/>
      <c r="DO433" s="567"/>
      <c r="DP433" s="567"/>
      <c r="DQ433" s="567"/>
      <c r="DR433" s="567"/>
      <c r="DS433" s="567"/>
      <c r="DT433" s="567"/>
      <c r="DU433" s="567"/>
      <c r="DV433" s="567"/>
      <c r="DW433" s="567"/>
      <c r="DX433" s="567"/>
      <c r="DY433" s="567"/>
      <c r="DZ433" s="567"/>
      <c r="EA433" s="567"/>
      <c r="EB433" s="567"/>
      <c r="EC433" s="567"/>
      <c r="ED433" s="567"/>
      <c r="EE433" s="567"/>
      <c r="EF433" s="567"/>
      <c r="EG433" s="567"/>
      <c r="EH433" s="567"/>
      <c r="EI433" s="567"/>
      <c r="EJ433" s="567"/>
      <c r="EK433" s="567"/>
      <c r="EL433" s="567"/>
      <c r="EM433" s="567"/>
      <c r="EN433" s="567"/>
      <c r="EO433" s="567"/>
      <c r="EP433" s="567"/>
      <c r="EQ433" s="567"/>
      <c r="ER433" s="567"/>
      <c r="ES433" s="567"/>
      <c r="ET433" s="567"/>
      <c r="EU433" s="567"/>
      <c r="EV433" s="567"/>
      <c r="EW433" s="567"/>
      <c r="EX433" s="567"/>
      <c r="EY433" s="567"/>
      <c r="EZ433" s="567"/>
      <c r="FA433" s="567"/>
      <c r="FB433" s="567"/>
      <c r="FC433" s="567"/>
      <c r="FD433" s="567"/>
      <c r="FE433" s="567"/>
      <c r="FF433" s="567"/>
      <c r="FG433" s="567"/>
      <c r="FH433" s="567"/>
      <c r="FI433" s="567"/>
      <c r="FJ433" s="567"/>
      <c r="FK433" s="567"/>
      <c r="FL433" s="567"/>
      <c r="FM433" s="567"/>
      <c r="FN433" s="567"/>
      <c r="FO433" s="567"/>
      <c r="FP433" s="567"/>
      <c r="FQ433" s="567"/>
      <c r="FR433" s="567"/>
      <c r="FS433" s="567"/>
      <c r="FT433" s="567"/>
      <c r="FU433" s="567"/>
      <c r="FV433" s="567"/>
      <c r="FW433" s="567"/>
      <c r="FX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  <c r="BW434" s="567"/>
      <c r="BX434" s="567"/>
      <c r="BY434" s="567"/>
      <c r="BZ434" s="567"/>
      <c r="CA434" s="567"/>
      <c r="CB434" s="567"/>
      <c r="CC434" s="567"/>
      <c r="CD434" s="567"/>
      <c r="CE434" s="567"/>
      <c r="CF434" s="567"/>
      <c r="CG434" s="567"/>
      <c r="CH434" s="567"/>
      <c r="CI434" s="567"/>
      <c r="CJ434" s="567"/>
      <c r="CK434" s="567"/>
      <c r="CL434" s="567"/>
      <c r="CM434" s="567"/>
      <c r="CN434" s="567"/>
      <c r="CO434" s="567"/>
      <c r="CP434" s="567"/>
      <c r="CQ434" s="567"/>
      <c r="CR434" s="567"/>
      <c r="CS434" s="567"/>
      <c r="CT434" s="567"/>
      <c r="CU434" s="567"/>
      <c r="CV434" s="567"/>
      <c r="CW434" s="567"/>
      <c r="CX434" s="567"/>
      <c r="CY434" s="567"/>
      <c r="CZ434" s="567"/>
      <c r="DA434" s="567"/>
      <c r="DB434" s="567"/>
      <c r="DC434" s="567"/>
      <c r="DD434" s="567"/>
      <c r="DE434" s="567"/>
      <c r="DF434" s="567"/>
      <c r="DG434" s="567"/>
      <c r="DH434" s="567"/>
      <c r="DI434" s="567"/>
      <c r="DJ434" s="567"/>
      <c r="DK434" s="567"/>
      <c r="DL434" s="567"/>
      <c r="DM434" s="567"/>
      <c r="DN434" s="567"/>
      <c r="DO434" s="567"/>
      <c r="DP434" s="567"/>
      <c r="DQ434" s="567"/>
      <c r="DR434" s="567"/>
      <c r="DS434" s="567"/>
      <c r="DT434" s="567"/>
      <c r="DU434" s="567"/>
      <c r="DV434" s="567"/>
      <c r="DW434" s="567"/>
      <c r="DX434" s="567"/>
      <c r="DY434" s="567"/>
      <c r="DZ434" s="567"/>
      <c r="EA434" s="567"/>
      <c r="EB434" s="567"/>
      <c r="EC434" s="567"/>
      <c r="ED434" s="567"/>
      <c r="EE434" s="567"/>
      <c r="EF434" s="567"/>
      <c r="EG434" s="567"/>
      <c r="EH434" s="567"/>
      <c r="EI434" s="567"/>
      <c r="EJ434" s="567"/>
      <c r="EK434" s="567"/>
      <c r="EL434" s="567"/>
      <c r="EM434" s="567"/>
      <c r="EN434" s="567"/>
      <c r="EO434" s="567"/>
      <c r="EP434" s="567"/>
      <c r="EQ434" s="567"/>
      <c r="ER434" s="567"/>
      <c r="ES434" s="567"/>
      <c r="ET434" s="567"/>
      <c r="EU434" s="567"/>
      <c r="EV434" s="567"/>
      <c r="EW434" s="567"/>
      <c r="EX434" s="567"/>
      <c r="EY434" s="567"/>
      <c r="EZ434" s="567"/>
      <c r="FA434" s="567"/>
      <c r="FB434" s="567"/>
      <c r="FC434" s="567"/>
      <c r="FD434" s="567"/>
      <c r="FE434" s="567"/>
      <c r="FF434" s="567"/>
      <c r="FG434" s="567"/>
      <c r="FH434" s="567"/>
      <c r="FI434" s="567"/>
      <c r="FJ434" s="567"/>
      <c r="FK434" s="567"/>
      <c r="FL434" s="567"/>
      <c r="FM434" s="567"/>
      <c r="FN434" s="567"/>
      <c r="FO434" s="567"/>
      <c r="FP434" s="567"/>
      <c r="FQ434" s="567"/>
      <c r="FR434" s="567"/>
      <c r="FS434" s="567"/>
      <c r="FT434" s="567"/>
      <c r="FU434" s="567"/>
      <c r="FV434" s="567"/>
      <c r="FW434" s="567"/>
      <c r="FX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  <c r="BW435" s="567"/>
      <c r="BX435" s="567"/>
      <c r="BY435" s="567"/>
      <c r="BZ435" s="567"/>
      <c r="CA435" s="567"/>
      <c r="CB435" s="567"/>
      <c r="CC435" s="567"/>
      <c r="CD435" s="567"/>
      <c r="CE435" s="567"/>
      <c r="CF435" s="567"/>
      <c r="CG435" s="567"/>
      <c r="CH435" s="567"/>
      <c r="CI435" s="567"/>
      <c r="CJ435" s="567"/>
      <c r="CK435" s="567"/>
      <c r="CL435" s="567"/>
      <c r="CM435" s="567"/>
      <c r="CN435" s="567"/>
      <c r="CO435" s="567"/>
      <c r="CP435" s="567"/>
      <c r="CQ435" s="567"/>
      <c r="CR435" s="567"/>
      <c r="CS435" s="567"/>
      <c r="CT435" s="567"/>
      <c r="CU435" s="567"/>
      <c r="CV435" s="567"/>
      <c r="CW435" s="567"/>
      <c r="CX435" s="567"/>
      <c r="CY435" s="567"/>
      <c r="CZ435" s="567"/>
      <c r="DA435" s="567"/>
      <c r="DB435" s="567"/>
      <c r="DC435" s="567"/>
      <c r="DD435" s="567"/>
      <c r="DE435" s="567"/>
      <c r="DF435" s="567"/>
      <c r="DG435" s="567"/>
      <c r="DH435" s="567"/>
      <c r="DI435" s="567"/>
      <c r="DJ435" s="567"/>
      <c r="DK435" s="567"/>
      <c r="DL435" s="567"/>
      <c r="DM435" s="567"/>
      <c r="DN435" s="567"/>
      <c r="DO435" s="567"/>
      <c r="DP435" s="567"/>
      <c r="DQ435" s="567"/>
      <c r="DR435" s="567"/>
      <c r="DS435" s="567"/>
      <c r="DT435" s="567"/>
      <c r="DU435" s="567"/>
      <c r="DV435" s="567"/>
      <c r="DW435" s="567"/>
      <c r="DX435" s="567"/>
      <c r="DY435" s="567"/>
      <c r="DZ435" s="567"/>
      <c r="EA435" s="567"/>
      <c r="EB435" s="567"/>
      <c r="EC435" s="567"/>
      <c r="ED435" s="567"/>
      <c r="EE435" s="567"/>
      <c r="EF435" s="567"/>
      <c r="EG435" s="567"/>
      <c r="EH435" s="567"/>
      <c r="EI435" s="567"/>
      <c r="EJ435" s="567"/>
      <c r="EK435" s="567"/>
      <c r="EL435" s="567"/>
      <c r="EM435" s="567"/>
      <c r="EN435" s="567"/>
      <c r="EO435" s="567"/>
      <c r="EP435" s="567"/>
      <c r="EQ435" s="567"/>
      <c r="ER435" s="567"/>
      <c r="ES435" s="567"/>
      <c r="ET435" s="567"/>
      <c r="EU435" s="567"/>
      <c r="EV435" s="567"/>
      <c r="EW435" s="567"/>
      <c r="EX435" s="567"/>
      <c r="EY435" s="567"/>
      <c r="EZ435" s="567"/>
      <c r="FA435" s="567"/>
      <c r="FB435" s="567"/>
      <c r="FC435" s="567"/>
      <c r="FD435" s="567"/>
      <c r="FE435" s="567"/>
      <c r="FF435" s="567"/>
      <c r="FG435" s="567"/>
      <c r="FH435" s="567"/>
      <c r="FI435" s="567"/>
      <c r="FJ435" s="567"/>
      <c r="FK435" s="567"/>
      <c r="FL435" s="567"/>
      <c r="FM435" s="567"/>
      <c r="FN435" s="567"/>
      <c r="FO435" s="567"/>
      <c r="FP435" s="567"/>
      <c r="FQ435" s="567"/>
      <c r="FR435" s="567"/>
      <c r="FS435" s="567"/>
      <c r="FT435" s="567"/>
      <c r="FU435" s="567"/>
      <c r="FV435" s="567"/>
      <c r="FW435" s="567"/>
      <c r="FX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  <c r="BW436" s="567"/>
      <c r="BX436" s="567"/>
      <c r="BY436" s="567"/>
      <c r="BZ436" s="567"/>
      <c r="CA436" s="567"/>
      <c r="CB436" s="567"/>
      <c r="CC436" s="567"/>
      <c r="CD436" s="567"/>
      <c r="CE436" s="567"/>
      <c r="CF436" s="567"/>
      <c r="CG436" s="567"/>
      <c r="CH436" s="567"/>
      <c r="CI436" s="567"/>
      <c r="CJ436" s="567"/>
      <c r="CK436" s="567"/>
      <c r="CL436" s="567"/>
      <c r="CM436" s="567"/>
      <c r="CN436" s="567"/>
      <c r="CO436" s="567"/>
      <c r="CP436" s="567"/>
      <c r="CQ436" s="567"/>
      <c r="CR436" s="567"/>
      <c r="CS436" s="567"/>
      <c r="CT436" s="567"/>
      <c r="CU436" s="567"/>
      <c r="CV436" s="567"/>
      <c r="CW436" s="567"/>
      <c r="CX436" s="567"/>
      <c r="CY436" s="567"/>
      <c r="CZ436" s="567"/>
      <c r="DA436" s="567"/>
      <c r="DB436" s="567"/>
      <c r="DC436" s="567"/>
      <c r="DD436" s="567"/>
      <c r="DE436" s="567"/>
      <c r="DF436" s="567"/>
      <c r="DG436" s="567"/>
      <c r="DH436" s="567"/>
      <c r="DI436" s="567"/>
      <c r="DJ436" s="567"/>
      <c r="DK436" s="567"/>
      <c r="DL436" s="567"/>
      <c r="DM436" s="567"/>
      <c r="DN436" s="567"/>
      <c r="DO436" s="567"/>
      <c r="DP436" s="567"/>
      <c r="DQ436" s="567"/>
      <c r="DR436" s="567"/>
      <c r="DS436" s="567"/>
      <c r="DT436" s="567"/>
      <c r="DU436" s="567"/>
      <c r="DV436" s="567"/>
      <c r="DW436" s="567"/>
      <c r="DX436" s="567"/>
      <c r="DY436" s="567"/>
      <c r="DZ436" s="567"/>
      <c r="EA436" s="567"/>
      <c r="EB436" s="567"/>
      <c r="EC436" s="567"/>
      <c r="ED436" s="567"/>
      <c r="EE436" s="567"/>
      <c r="EF436" s="567"/>
      <c r="EG436" s="567"/>
      <c r="EH436" s="567"/>
      <c r="EI436" s="567"/>
      <c r="EJ436" s="567"/>
      <c r="EK436" s="567"/>
      <c r="EL436" s="567"/>
      <c r="EM436" s="567"/>
      <c r="EN436" s="567"/>
      <c r="EO436" s="567"/>
      <c r="EP436" s="567"/>
      <c r="EQ436" s="567"/>
      <c r="ER436" s="567"/>
      <c r="ES436" s="567"/>
      <c r="ET436" s="567"/>
      <c r="EU436" s="567"/>
      <c r="EV436" s="567"/>
      <c r="EW436" s="567"/>
      <c r="EX436" s="567"/>
      <c r="EY436" s="567"/>
      <c r="EZ436" s="567"/>
      <c r="FA436" s="567"/>
      <c r="FB436" s="567"/>
      <c r="FC436" s="567"/>
      <c r="FD436" s="567"/>
      <c r="FE436" s="567"/>
      <c r="FF436" s="567"/>
      <c r="FG436" s="567"/>
      <c r="FH436" s="567"/>
      <c r="FI436" s="567"/>
      <c r="FJ436" s="567"/>
      <c r="FK436" s="567"/>
      <c r="FL436" s="567"/>
      <c r="FM436" s="567"/>
      <c r="FN436" s="567"/>
      <c r="FO436" s="567"/>
      <c r="FP436" s="567"/>
      <c r="FQ436" s="567"/>
      <c r="FR436" s="567"/>
      <c r="FS436" s="567"/>
      <c r="FT436" s="567"/>
      <c r="FU436" s="567"/>
      <c r="FV436" s="567"/>
      <c r="FW436" s="567"/>
      <c r="FX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  <c r="BW437" s="567"/>
      <c r="BX437" s="567"/>
      <c r="BY437" s="567"/>
      <c r="BZ437" s="567"/>
      <c r="CA437" s="567"/>
      <c r="CB437" s="567"/>
      <c r="CC437" s="567"/>
      <c r="CD437" s="567"/>
      <c r="CE437" s="567"/>
      <c r="CF437" s="567"/>
      <c r="CG437" s="567"/>
      <c r="CH437" s="567"/>
      <c r="CI437" s="567"/>
      <c r="CJ437" s="567"/>
      <c r="CK437" s="567"/>
      <c r="CL437" s="567"/>
      <c r="CM437" s="567"/>
      <c r="CN437" s="567"/>
      <c r="CO437" s="567"/>
      <c r="CP437" s="567"/>
      <c r="CQ437" s="567"/>
      <c r="CR437" s="567"/>
      <c r="CS437" s="567"/>
      <c r="CT437" s="567"/>
      <c r="CU437" s="567"/>
      <c r="CV437" s="567"/>
      <c r="CW437" s="567"/>
      <c r="CX437" s="567"/>
      <c r="CY437" s="567"/>
      <c r="CZ437" s="567"/>
      <c r="DA437" s="567"/>
      <c r="DB437" s="567"/>
      <c r="DC437" s="567"/>
      <c r="DD437" s="567"/>
      <c r="DE437" s="567"/>
      <c r="DF437" s="567"/>
      <c r="DG437" s="567"/>
      <c r="DH437" s="567"/>
      <c r="DI437" s="567"/>
      <c r="DJ437" s="567"/>
      <c r="DK437" s="567"/>
      <c r="DL437" s="567"/>
      <c r="DM437" s="567"/>
      <c r="DN437" s="567"/>
      <c r="DO437" s="567"/>
      <c r="DP437" s="567"/>
      <c r="DQ437" s="567"/>
      <c r="DR437" s="567"/>
      <c r="DS437" s="567"/>
      <c r="DT437" s="567"/>
      <c r="DU437" s="567"/>
      <c r="DV437" s="567"/>
      <c r="DW437" s="567"/>
      <c r="DX437" s="567"/>
      <c r="DY437" s="567"/>
      <c r="DZ437" s="567"/>
      <c r="EA437" s="567"/>
      <c r="EB437" s="567"/>
      <c r="EC437" s="567"/>
      <c r="ED437" s="567"/>
      <c r="EE437" s="567"/>
      <c r="EF437" s="567"/>
      <c r="EG437" s="567"/>
      <c r="EH437" s="567"/>
      <c r="EI437" s="567"/>
      <c r="EJ437" s="567"/>
      <c r="EK437" s="567"/>
      <c r="EL437" s="567"/>
      <c r="EM437" s="567"/>
      <c r="EN437" s="567"/>
      <c r="EO437" s="567"/>
      <c r="EP437" s="567"/>
      <c r="EQ437" s="567"/>
      <c r="ER437" s="567"/>
      <c r="ES437" s="567"/>
      <c r="ET437" s="567"/>
      <c r="EU437" s="567"/>
      <c r="EV437" s="567"/>
      <c r="EW437" s="567"/>
      <c r="EX437" s="567"/>
      <c r="EY437" s="567"/>
      <c r="EZ437" s="567"/>
      <c r="FA437" s="567"/>
      <c r="FB437" s="567"/>
      <c r="FC437" s="567"/>
      <c r="FD437" s="567"/>
      <c r="FE437" s="567"/>
      <c r="FF437" s="567"/>
      <c r="FG437" s="567"/>
      <c r="FH437" s="567"/>
      <c r="FI437" s="567"/>
      <c r="FJ437" s="567"/>
      <c r="FK437" s="567"/>
      <c r="FL437" s="567"/>
      <c r="FM437" s="567"/>
      <c r="FN437" s="567"/>
      <c r="FO437" s="567"/>
      <c r="FP437" s="567"/>
      <c r="FQ437" s="567"/>
      <c r="FR437" s="567"/>
      <c r="FS437" s="567"/>
      <c r="FT437" s="567"/>
      <c r="FU437" s="567"/>
      <c r="FV437" s="567"/>
      <c r="FW437" s="567"/>
      <c r="FX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  <c r="BW438" s="567"/>
      <c r="BX438" s="567"/>
      <c r="BY438" s="567"/>
      <c r="BZ438" s="567"/>
      <c r="CA438" s="567"/>
      <c r="CB438" s="567"/>
      <c r="CC438" s="567"/>
      <c r="CD438" s="567"/>
      <c r="CE438" s="567"/>
      <c r="CF438" s="567"/>
      <c r="CG438" s="567"/>
      <c r="CH438" s="567"/>
      <c r="CI438" s="567"/>
      <c r="CJ438" s="567"/>
      <c r="CK438" s="567"/>
      <c r="CL438" s="567"/>
      <c r="CM438" s="567"/>
      <c r="CN438" s="567"/>
      <c r="CO438" s="567"/>
      <c r="CP438" s="567"/>
      <c r="CQ438" s="567"/>
      <c r="CR438" s="567"/>
      <c r="CS438" s="567"/>
      <c r="CT438" s="567"/>
      <c r="CU438" s="567"/>
      <c r="CV438" s="567"/>
      <c r="CW438" s="567"/>
      <c r="CX438" s="567"/>
      <c r="CY438" s="567"/>
      <c r="CZ438" s="567"/>
      <c r="DA438" s="567"/>
      <c r="DB438" s="567"/>
      <c r="DC438" s="567"/>
      <c r="DD438" s="567"/>
      <c r="DE438" s="567"/>
      <c r="DF438" s="567"/>
      <c r="DG438" s="567"/>
      <c r="DH438" s="567"/>
      <c r="DI438" s="567"/>
      <c r="DJ438" s="567"/>
      <c r="DK438" s="567"/>
      <c r="DL438" s="567"/>
      <c r="DM438" s="567"/>
      <c r="DN438" s="567"/>
      <c r="DO438" s="567"/>
      <c r="DP438" s="567"/>
      <c r="DQ438" s="567"/>
      <c r="DR438" s="567"/>
      <c r="DS438" s="567"/>
      <c r="DT438" s="567"/>
      <c r="DU438" s="567"/>
      <c r="DV438" s="567"/>
      <c r="DW438" s="567"/>
      <c r="DX438" s="567"/>
      <c r="DY438" s="567"/>
      <c r="DZ438" s="567"/>
      <c r="EA438" s="567"/>
      <c r="EB438" s="567"/>
      <c r="EC438" s="567"/>
      <c r="ED438" s="567"/>
      <c r="EE438" s="567"/>
      <c r="EF438" s="567"/>
      <c r="EG438" s="567"/>
      <c r="EH438" s="567"/>
      <c r="EI438" s="567"/>
      <c r="EJ438" s="567"/>
      <c r="EK438" s="567"/>
      <c r="EL438" s="567"/>
      <c r="EM438" s="567"/>
      <c r="EN438" s="567"/>
      <c r="EO438" s="567"/>
      <c r="EP438" s="567"/>
      <c r="EQ438" s="567"/>
      <c r="ER438" s="567"/>
      <c r="ES438" s="567"/>
      <c r="ET438" s="567"/>
      <c r="EU438" s="567"/>
      <c r="EV438" s="567"/>
      <c r="EW438" s="567"/>
      <c r="EX438" s="567"/>
      <c r="EY438" s="567"/>
      <c r="EZ438" s="567"/>
      <c r="FA438" s="567"/>
      <c r="FB438" s="567"/>
      <c r="FC438" s="567"/>
      <c r="FD438" s="567"/>
      <c r="FE438" s="567"/>
      <c r="FF438" s="567"/>
      <c r="FG438" s="567"/>
      <c r="FH438" s="567"/>
      <c r="FI438" s="567"/>
      <c r="FJ438" s="567"/>
      <c r="FK438" s="567"/>
      <c r="FL438" s="567"/>
      <c r="FM438" s="567"/>
      <c r="FN438" s="567"/>
      <c r="FO438" s="567"/>
      <c r="FP438" s="567"/>
      <c r="FQ438" s="567"/>
      <c r="FR438" s="567"/>
      <c r="FS438" s="567"/>
      <c r="FT438" s="567"/>
      <c r="FU438" s="567"/>
      <c r="FV438" s="567"/>
      <c r="FW438" s="567"/>
      <c r="FX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  <c r="BW439" s="567"/>
      <c r="BX439" s="567"/>
      <c r="BY439" s="567"/>
      <c r="BZ439" s="567"/>
      <c r="CA439" s="567"/>
      <c r="CB439" s="567"/>
      <c r="CC439" s="567"/>
      <c r="CD439" s="567"/>
      <c r="CE439" s="567"/>
      <c r="CF439" s="567"/>
      <c r="CG439" s="567"/>
      <c r="CH439" s="567"/>
      <c r="CI439" s="567"/>
      <c r="CJ439" s="567"/>
      <c r="CK439" s="567"/>
      <c r="CL439" s="567"/>
      <c r="CM439" s="567"/>
      <c r="CN439" s="567"/>
      <c r="CO439" s="567"/>
      <c r="CP439" s="567"/>
      <c r="CQ439" s="567"/>
      <c r="CR439" s="567"/>
      <c r="CS439" s="567"/>
      <c r="CT439" s="567"/>
      <c r="CU439" s="567"/>
      <c r="CV439" s="567"/>
      <c r="CW439" s="567"/>
      <c r="CX439" s="567"/>
      <c r="CY439" s="567"/>
      <c r="CZ439" s="567"/>
      <c r="DA439" s="567"/>
      <c r="DB439" s="567"/>
      <c r="DC439" s="567"/>
      <c r="DD439" s="567"/>
      <c r="DE439" s="567"/>
      <c r="DF439" s="567"/>
      <c r="DG439" s="567"/>
      <c r="DH439" s="567"/>
      <c r="DI439" s="567"/>
      <c r="DJ439" s="567"/>
      <c r="DK439" s="567"/>
      <c r="DL439" s="567"/>
      <c r="DM439" s="567"/>
      <c r="DN439" s="567"/>
      <c r="DO439" s="567"/>
      <c r="DP439" s="567"/>
      <c r="DQ439" s="567"/>
      <c r="DR439" s="567"/>
      <c r="DS439" s="567"/>
      <c r="DT439" s="567"/>
      <c r="DU439" s="567"/>
      <c r="DV439" s="567"/>
      <c r="DW439" s="567"/>
      <c r="DX439" s="567"/>
      <c r="DY439" s="567"/>
      <c r="DZ439" s="567"/>
      <c r="EA439" s="567"/>
      <c r="EB439" s="567"/>
      <c r="EC439" s="567"/>
      <c r="ED439" s="567"/>
      <c r="EE439" s="567"/>
      <c r="EF439" s="567"/>
      <c r="EG439" s="567"/>
      <c r="EH439" s="567"/>
      <c r="EI439" s="567"/>
      <c r="EJ439" s="567"/>
      <c r="EK439" s="567"/>
      <c r="EL439" s="567"/>
      <c r="EM439" s="567"/>
      <c r="EN439" s="567"/>
      <c r="EO439" s="567"/>
      <c r="EP439" s="567"/>
      <c r="EQ439" s="567"/>
      <c r="ER439" s="567"/>
      <c r="ES439" s="567"/>
      <c r="ET439" s="567"/>
      <c r="EU439" s="567"/>
      <c r="EV439" s="567"/>
      <c r="EW439" s="567"/>
      <c r="EX439" s="567"/>
      <c r="EY439" s="567"/>
      <c r="EZ439" s="567"/>
      <c r="FA439" s="567"/>
      <c r="FB439" s="567"/>
      <c r="FC439" s="567"/>
      <c r="FD439" s="567"/>
      <c r="FE439" s="567"/>
      <c r="FF439" s="567"/>
      <c r="FG439" s="567"/>
      <c r="FH439" s="567"/>
      <c r="FI439" s="567"/>
      <c r="FJ439" s="567"/>
      <c r="FK439" s="567"/>
      <c r="FL439" s="567"/>
      <c r="FM439" s="567"/>
      <c r="FN439" s="567"/>
      <c r="FO439" s="567"/>
      <c r="FP439" s="567"/>
      <c r="FQ439" s="567"/>
      <c r="FR439" s="567"/>
      <c r="FS439" s="567"/>
      <c r="FT439" s="567"/>
      <c r="FU439" s="567"/>
      <c r="FV439" s="567"/>
      <c r="FW439" s="567"/>
      <c r="FX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  <c r="BW440" s="567"/>
      <c r="BX440" s="567"/>
      <c r="BY440" s="567"/>
      <c r="BZ440" s="567"/>
      <c r="CA440" s="567"/>
      <c r="CB440" s="567"/>
      <c r="CC440" s="567"/>
      <c r="CD440" s="567"/>
      <c r="CE440" s="567"/>
      <c r="CF440" s="567"/>
      <c r="CG440" s="567"/>
      <c r="CH440" s="567"/>
      <c r="CI440" s="567"/>
      <c r="CJ440" s="567"/>
      <c r="CK440" s="567"/>
      <c r="CL440" s="567"/>
      <c r="CM440" s="567"/>
      <c r="CN440" s="567"/>
      <c r="CO440" s="567"/>
      <c r="CP440" s="567"/>
      <c r="CQ440" s="567"/>
      <c r="CR440" s="567"/>
      <c r="CS440" s="567"/>
      <c r="CT440" s="567"/>
      <c r="CU440" s="567"/>
      <c r="CV440" s="567"/>
      <c r="CW440" s="567"/>
      <c r="CX440" s="567"/>
      <c r="CY440" s="567"/>
      <c r="CZ440" s="567"/>
      <c r="DA440" s="567"/>
      <c r="DB440" s="567"/>
      <c r="DC440" s="567"/>
      <c r="DD440" s="567"/>
      <c r="DE440" s="567"/>
      <c r="DF440" s="567"/>
      <c r="DG440" s="567"/>
      <c r="DH440" s="567"/>
      <c r="DI440" s="567"/>
      <c r="DJ440" s="567"/>
      <c r="DK440" s="567"/>
      <c r="DL440" s="567"/>
      <c r="DM440" s="567"/>
      <c r="DN440" s="567"/>
      <c r="DO440" s="567"/>
      <c r="DP440" s="567"/>
      <c r="DQ440" s="567"/>
      <c r="DR440" s="567"/>
      <c r="DS440" s="567"/>
      <c r="DT440" s="567"/>
      <c r="DU440" s="567"/>
      <c r="DV440" s="567"/>
      <c r="DW440" s="567"/>
      <c r="DX440" s="567"/>
      <c r="DY440" s="567"/>
      <c r="DZ440" s="567"/>
      <c r="EA440" s="567"/>
      <c r="EB440" s="567"/>
      <c r="EC440" s="567"/>
      <c r="ED440" s="567"/>
      <c r="EE440" s="567"/>
      <c r="EF440" s="567"/>
      <c r="EG440" s="567"/>
      <c r="EH440" s="567"/>
      <c r="EI440" s="567"/>
      <c r="EJ440" s="567"/>
      <c r="EK440" s="567"/>
      <c r="EL440" s="567"/>
      <c r="EM440" s="567"/>
      <c r="EN440" s="567"/>
      <c r="EO440" s="567"/>
      <c r="EP440" s="567"/>
      <c r="EQ440" s="567"/>
      <c r="ER440" s="567"/>
      <c r="ES440" s="567"/>
      <c r="ET440" s="567"/>
      <c r="EU440" s="567"/>
      <c r="EV440" s="567"/>
      <c r="EW440" s="567"/>
      <c r="EX440" s="567"/>
      <c r="EY440" s="567"/>
      <c r="EZ440" s="567"/>
      <c r="FA440" s="567"/>
      <c r="FB440" s="567"/>
      <c r="FC440" s="567"/>
      <c r="FD440" s="567"/>
      <c r="FE440" s="567"/>
      <c r="FF440" s="567"/>
      <c r="FG440" s="567"/>
      <c r="FH440" s="567"/>
      <c r="FI440" s="567"/>
      <c r="FJ440" s="567"/>
      <c r="FK440" s="567"/>
      <c r="FL440" s="567"/>
      <c r="FM440" s="567"/>
      <c r="FN440" s="567"/>
      <c r="FO440" s="567"/>
      <c r="FP440" s="567"/>
      <c r="FQ440" s="567"/>
      <c r="FR440" s="567"/>
      <c r="FS440" s="567"/>
      <c r="FT440" s="567"/>
      <c r="FU440" s="567"/>
      <c r="FV440" s="567"/>
      <c r="FW440" s="567"/>
      <c r="FX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  <c r="BW441" s="567"/>
      <c r="BX441" s="567"/>
      <c r="BY441" s="567"/>
      <c r="BZ441" s="567"/>
      <c r="CA441" s="567"/>
      <c r="CB441" s="567"/>
      <c r="CC441" s="567"/>
      <c r="CD441" s="567"/>
      <c r="CE441" s="567"/>
      <c r="CF441" s="567"/>
      <c r="CG441" s="567"/>
      <c r="CH441" s="567"/>
      <c r="CI441" s="567"/>
      <c r="CJ441" s="567"/>
      <c r="CK441" s="567"/>
      <c r="CL441" s="567"/>
      <c r="CM441" s="567"/>
      <c r="CN441" s="567"/>
      <c r="CO441" s="567"/>
      <c r="CP441" s="567"/>
      <c r="CQ441" s="567"/>
      <c r="CR441" s="567"/>
      <c r="CS441" s="567"/>
      <c r="CT441" s="567"/>
      <c r="CU441" s="567"/>
      <c r="CV441" s="567"/>
      <c r="CW441" s="567"/>
      <c r="CX441" s="567"/>
      <c r="CY441" s="567"/>
      <c r="CZ441" s="567"/>
      <c r="DA441" s="567"/>
      <c r="DB441" s="567"/>
      <c r="DC441" s="567"/>
      <c r="DD441" s="567"/>
      <c r="DE441" s="567"/>
      <c r="DF441" s="567"/>
      <c r="DG441" s="567"/>
      <c r="DH441" s="567"/>
      <c r="DI441" s="567"/>
      <c r="DJ441" s="567"/>
      <c r="DK441" s="567"/>
      <c r="DL441" s="567"/>
      <c r="DM441" s="567"/>
      <c r="DN441" s="567"/>
      <c r="DO441" s="567"/>
      <c r="DP441" s="567"/>
      <c r="DQ441" s="567"/>
      <c r="DR441" s="567"/>
      <c r="DS441" s="567"/>
      <c r="DT441" s="567"/>
      <c r="DU441" s="567"/>
      <c r="DV441" s="567"/>
      <c r="DW441" s="567"/>
      <c r="DX441" s="567"/>
      <c r="DY441" s="567"/>
      <c r="DZ441" s="567"/>
      <c r="EA441" s="567"/>
      <c r="EB441" s="567"/>
      <c r="EC441" s="567"/>
      <c r="ED441" s="567"/>
      <c r="EE441" s="567"/>
      <c r="EF441" s="567"/>
      <c r="EG441" s="567"/>
      <c r="EH441" s="567"/>
      <c r="EI441" s="567"/>
      <c r="EJ441" s="567"/>
      <c r="EK441" s="567"/>
      <c r="EL441" s="567"/>
      <c r="EM441" s="567"/>
      <c r="EN441" s="567"/>
      <c r="EO441" s="567"/>
      <c r="EP441" s="567"/>
      <c r="EQ441" s="567"/>
      <c r="ER441" s="567"/>
      <c r="ES441" s="567"/>
      <c r="ET441" s="567"/>
      <c r="EU441" s="567"/>
      <c r="EV441" s="567"/>
      <c r="EW441" s="567"/>
      <c r="EX441" s="567"/>
      <c r="EY441" s="567"/>
      <c r="EZ441" s="567"/>
      <c r="FA441" s="567"/>
      <c r="FB441" s="567"/>
      <c r="FC441" s="567"/>
      <c r="FD441" s="567"/>
      <c r="FE441" s="567"/>
      <c r="FF441" s="567"/>
      <c r="FG441" s="567"/>
      <c r="FH441" s="567"/>
      <c r="FI441" s="567"/>
      <c r="FJ441" s="567"/>
      <c r="FK441" s="567"/>
      <c r="FL441" s="567"/>
      <c r="FM441" s="567"/>
      <c r="FN441" s="567"/>
      <c r="FO441" s="567"/>
      <c r="FP441" s="567"/>
      <c r="FQ441" s="567"/>
      <c r="FR441" s="567"/>
      <c r="FS441" s="567"/>
      <c r="FT441" s="567"/>
      <c r="FU441" s="567"/>
      <c r="FV441" s="567"/>
      <c r="FW441" s="567"/>
      <c r="FX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  <c r="BW442" s="567"/>
      <c r="BX442" s="567"/>
      <c r="BY442" s="567"/>
      <c r="BZ442" s="567"/>
      <c r="CA442" s="567"/>
      <c r="CB442" s="567"/>
      <c r="CC442" s="567"/>
      <c r="CD442" s="567"/>
      <c r="CE442" s="567"/>
      <c r="CF442" s="567"/>
      <c r="CG442" s="567"/>
      <c r="CH442" s="567"/>
      <c r="CI442" s="567"/>
      <c r="CJ442" s="567"/>
      <c r="CK442" s="567"/>
      <c r="CL442" s="567"/>
      <c r="CM442" s="567"/>
      <c r="CN442" s="567"/>
      <c r="CO442" s="567"/>
      <c r="CP442" s="567"/>
      <c r="CQ442" s="567"/>
      <c r="CR442" s="567"/>
      <c r="CS442" s="567"/>
      <c r="CT442" s="567"/>
      <c r="CU442" s="567"/>
      <c r="CV442" s="567"/>
      <c r="CW442" s="567"/>
      <c r="CX442" s="567"/>
      <c r="CY442" s="567"/>
      <c r="CZ442" s="567"/>
      <c r="DA442" s="567"/>
      <c r="DB442" s="567"/>
      <c r="DC442" s="567"/>
      <c r="DD442" s="567"/>
      <c r="DE442" s="567"/>
      <c r="DF442" s="567"/>
      <c r="DG442" s="567"/>
      <c r="DH442" s="567"/>
      <c r="DI442" s="567"/>
      <c r="DJ442" s="567"/>
      <c r="DK442" s="567"/>
      <c r="DL442" s="567"/>
      <c r="DM442" s="567"/>
      <c r="DN442" s="567"/>
      <c r="DO442" s="567"/>
      <c r="DP442" s="567"/>
      <c r="DQ442" s="567"/>
      <c r="DR442" s="567"/>
      <c r="DS442" s="567"/>
      <c r="DT442" s="567"/>
      <c r="DU442" s="567"/>
      <c r="DV442" s="567"/>
      <c r="DW442" s="567"/>
      <c r="DX442" s="567"/>
      <c r="DY442" s="567"/>
      <c r="DZ442" s="567"/>
      <c r="EA442" s="567"/>
      <c r="EB442" s="567"/>
      <c r="EC442" s="567"/>
      <c r="ED442" s="567"/>
      <c r="EE442" s="567"/>
      <c r="EF442" s="567"/>
      <c r="EG442" s="567"/>
      <c r="EH442" s="567"/>
      <c r="EI442" s="567"/>
      <c r="EJ442" s="567"/>
      <c r="EK442" s="567"/>
      <c r="EL442" s="567"/>
      <c r="EM442" s="567"/>
      <c r="EN442" s="567"/>
      <c r="EO442" s="567"/>
      <c r="EP442" s="567"/>
      <c r="EQ442" s="567"/>
      <c r="ER442" s="567"/>
      <c r="ES442" s="567"/>
      <c r="ET442" s="567"/>
      <c r="EU442" s="567"/>
      <c r="EV442" s="567"/>
      <c r="EW442" s="567"/>
      <c r="EX442" s="567"/>
      <c r="EY442" s="567"/>
      <c r="EZ442" s="567"/>
      <c r="FA442" s="567"/>
      <c r="FB442" s="567"/>
      <c r="FC442" s="567"/>
      <c r="FD442" s="567"/>
      <c r="FE442" s="567"/>
      <c r="FF442" s="567"/>
      <c r="FG442" s="567"/>
      <c r="FH442" s="567"/>
      <c r="FI442" s="567"/>
      <c r="FJ442" s="567"/>
      <c r="FK442" s="567"/>
      <c r="FL442" s="567"/>
      <c r="FM442" s="567"/>
      <c r="FN442" s="567"/>
      <c r="FO442" s="567"/>
      <c r="FP442" s="567"/>
      <c r="FQ442" s="567"/>
      <c r="FR442" s="567"/>
      <c r="FS442" s="567"/>
      <c r="FT442" s="567"/>
      <c r="FU442" s="567"/>
      <c r="FV442" s="567"/>
      <c r="FW442" s="567"/>
      <c r="FX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  <c r="BW443" s="567"/>
      <c r="BX443" s="567"/>
      <c r="BY443" s="567"/>
      <c r="BZ443" s="567"/>
      <c r="CA443" s="567"/>
      <c r="CB443" s="567"/>
      <c r="CC443" s="567"/>
      <c r="CD443" s="567"/>
      <c r="CE443" s="567"/>
      <c r="CF443" s="567"/>
      <c r="CG443" s="567"/>
      <c r="CH443" s="567"/>
      <c r="CI443" s="567"/>
      <c r="CJ443" s="567"/>
      <c r="CK443" s="567"/>
      <c r="CL443" s="567"/>
      <c r="CM443" s="567"/>
      <c r="CN443" s="567"/>
      <c r="CO443" s="567"/>
      <c r="CP443" s="567"/>
      <c r="CQ443" s="567"/>
      <c r="CR443" s="567"/>
      <c r="CS443" s="567"/>
      <c r="CT443" s="567"/>
      <c r="CU443" s="567"/>
      <c r="CV443" s="567"/>
      <c r="CW443" s="567"/>
      <c r="CX443" s="567"/>
      <c r="CY443" s="567"/>
      <c r="CZ443" s="567"/>
      <c r="DA443" s="567"/>
      <c r="DB443" s="567"/>
      <c r="DC443" s="567"/>
      <c r="DD443" s="567"/>
      <c r="DE443" s="567"/>
      <c r="DF443" s="567"/>
      <c r="DG443" s="567"/>
      <c r="DH443" s="567"/>
      <c r="DI443" s="567"/>
      <c r="DJ443" s="567"/>
      <c r="DK443" s="567"/>
      <c r="DL443" s="567"/>
      <c r="DM443" s="567"/>
      <c r="DN443" s="567"/>
      <c r="DO443" s="567"/>
      <c r="DP443" s="567"/>
      <c r="DQ443" s="567"/>
      <c r="DR443" s="567"/>
      <c r="DS443" s="567"/>
      <c r="DT443" s="567"/>
      <c r="DU443" s="567"/>
      <c r="DV443" s="567"/>
      <c r="DW443" s="567"/>
      <c r="DX443" s="567"/>
      <c r="DY443" s="567"/>
      <c r="DZ443" s="567"/>
      <c r="EA443" s="567"/>
      <c r="EB443" s="567"/>
      <c r="EC443" s="567"/>
      <c r="ED443" s="567"/>
      <c r="EE443" s="567"/>
      <c r="EF443" s="567"/>
      <c r="EG443" s="567"/>
      <c r="EH443" s="567"/>
      <c r="EI443" s="567"/>
      <c r="EJ443" s="567"/>
      <c r="EK443" s="567"/>
      <c r="EL443" s="567"/>
      <c r="EM443" s="567"/>
      <c r="EN443" s="567"/>
      <c r="EO443" s="567"/>
      <c r="EP443" s="567"/>
      <c r="EQ443" s="567"/>
      <c r="ER443" s="567"/>
      <c r="ES443" s="567"/>
      <c r="ET443" s="567"/>
      <c r="EU443" s="567"/>
      <c r="EV443" s="567"/>
      <c r="EW443" s="567"/>
      <c r="EX443" s="567"/>
      <c r="EY443" s="567"/>
      <c r="EZ443" s="567"/>
      <c r="FA443" s="567"/>
      <c r="FB443" s="567"/>
      <c r="FC443" s="567"/>
      <c r="FD443" s="567"/>
      <c r="FE443" s="567"/>
      <c r="FF443" s="567"/>
      <c r="FG443" s="567"/>
      <c r="FH443" s="567"/>
      <c r="FI443" s="567"/>
      <c r="FJ443" s="567"/>
      <c r="FK443" s="567"/>
      <c r="FL443" s="567"/>
      <c r="FM443" s="567"/>
      <c r="FN443" s="567"/>
      <c r="FO443" s="567"/>
      <c r="FP443" s="567"/>
      <c r="FQ443" s="567"/>
      <c r="FR443" s="567"/>
      <c r="FS443" s="567"/>
      <c r="FT443" s="567"/>
      <c r="FU443" s="567"/>
      <c r="FV443" s="567"/>
      <c r="FW443" s="567"/>
      <c r="FX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  <c r="BW444" s="567"/>
      <c r="BX444" s="567"/>
      <c r="BY444" s="567"/>
      <c r="BZ444" s="567"/>
      <c r="CA444" s="567"/>
      <c r="CB444" s="567"/>
      <c r="CC444" s="567"/>
      <c r="CD444" s="567"/>
      <c r="CE444" s="567"/>
      <c r="CF444" s="567"/>
      <c r="CG444" s="567"/>
      <c r="CH444" s="567"/>
      <c r="CI444" s="567"/>
      <c r="CJ444" s="567"/>
      <c r="CK444" s="567"/>
      <c r="CL444" s="567"/>
      <c r="CM444" s="567"/>
      <c r="CN444" s="567"/>
      <c r="CO444" s="567"/>
      <c r="CP444" s="567"/>
      <c r="CQ444" s="567"/>
      <c r="CR444" s="567"/>
      <c r="CS444" s="567"/>
      <c r="CT444" s="567"/>
      <c r="CU444" s="567"/>
      <c r="CV444" s="567"/>
      <c r="CW444" s="567"/>
      <c r="CX444" s="567"/>
      <c r="CY444" s="567"/>
      <c r="CZ444" s="567"/>
      <c r="DA444" s="567"/>
      <c r="DB444" s="567"/>
      <c r="DC444" s="567"/>
      <c r="DD444" s="567"/>
      <c r="DE444" s="567"/>
      <c r="DF444" s="567"/>
      <c r="DG444" s="567"/>
      <c r="DH444" s="567"/>
      <c r="DI444" s="567"/>
      <c r="DJ444" s="567"/>
      <c r="DK444" s="567"/>
      <c r="DL444" s="567"/>
      <c r="DM444" s="567"/>
      <c r="DN444" s="567"/>
      <c r="DO444" s="567"/>
      <c r="DP444" s="567"/>
      <c r="DQ444" s="567"/>
      <c r="DR444" s="567"/>
      <c r="DS444" s="567"/>
      <c r="DT444" s="567"/>
      <c r="DU444" s="567"/>
      <c r="DV444" s="567"/>
      <c r="DW444" s="567"/>
      <c r="DX444" s="567"/>
      <c r="DY444" s="567"/>
      <c r="DZ444" s="567"/>
      <c r="EA444" s="567"/>
      <c r="EB444" s="567"/>
      <c r="EC444" s="567"/>
      <c r="ED444" s="567"/>
      <c r="EE444" s="567"/>
      <c r="EF444" s="567"/>
      <c r="EG444" s="567"/>
      <c r="EH444" s="567"/>
      <c r="EI444" s="567"/>
      <c r="EJ444" s="567"/>
      <c r="EK444" s="567"/>
      <c r="EL444" s="567"/>
      <c r="EM444" s="567"/>
      <c r="EN444" s="567"/>
      <c r="EO444" s="567"/>
      <c r="EP444" s="567"/>
      <c r="EQ444" s="567"/>
      <c r="ER444" s="567"/>
      <c r="ES444" s="567"/>
      <c r="ET444" s="567"/>
      <c r="EU444" s="567"/>
      <c r="EV444" s="567"/>
      <c r="EW444" s="567"/>
      <c r="EX444" s="567"/>
      <c r="EY444" s="567"/>
      <c r="EZ444" s="567"/>
      <c r="FA444" s="567"/>
      <c r="FB444" s="567"/>
      <c r="FC444" s="567"/>
      <c r="FD444" s="567"/>
      <c r="FE444" s="567"/>
      <c r="FF444" s="567"/>
      <c r="FG444" s="567"/>
      <c r="FH444" s="567"/>
      <c r="FI444" s="567"/>
      <c r="FJ444" s="567"/>
      <c r="FK444" s="567"/>
      <c r="FL444" s="567"/>
      <c r="FM444" s="567"/>
      <c r="FN444" s="567"/>
      <c r="FO444" s="567"/>
      <c r="FP444" s="567"/>
      <c r="FQ444" s="567"/>
      <c r="FR444" s="567"/>
      <c r="FS444" s="567"/>
      <c r="FT444" s="567"/>
      <c r="FU444" s="567"/>
      <c r="FV444" s="567"/>
      <c r="FW444" s="567"/>
      <c r="FX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  <c r="BW445" s="567"/>
      <c r="BX445" s="567"/>
      <c r="BY445" s="567"/>
      <c r="BZ445" s="567"/>
      <c r="CA445" s="567"/>
      <c r="CB445" s="567"/>
      <c r="CC445" s="567"/>
      <c r="CD445" s="567"/>
      <c r="CE445" s="567"/>
      <c r="CF445" s="567"/>
      <c r="CG445" s="567"/>
      <c r="CH445" s="567"/>
      <c r="CI445" s="567"/>
      <c r="CJ445" s="567"/>
      <c r="CK445" s="567"/>
      <c r="CL445" s="567"/>
      <c r="CM445" s="567"/>
      <c r="CN445" s="567"/>
      <c r="CO445" s="567"/>
      <c r="CP445" s="567"/>
      <c r="CQ445" s="567"/>
      <c r="CR445" s="567"/>
      <c r="CS445" s="567"/>
      <c r="CT445" s="567"/>
      <c r="CU445" s="567"/>
      <c r="CV445" s="567"/>
      <c r="CW445" s="567"/>
      <c r="CX445" s="567"/>
      <c r="CY445" s="567"/>
      <c r="CZ445" s="567"/>
      <c r="DA445" s="567"/>
      <c r="DB445" s="567"/>
      <c r="DC445" s="567"/>
      <c r="DD445" s="567"/>
      <c r="DE445" s="567"/>
      <c r="DF445" s="567"/>
      <c r="DG445" s="567"/>
      <c r="DH445" s="567"/>
      <c r="DI445" s="567"/>
      <c r="DJ445" s="567"/>
      <c r="DK445" s="567"/>
      <c r="DL445" s="567"/>
      <c r="DM445" s="567"/>
      <c r="DN445" s="567"/>
      <c r="DO445" s="567"/>
      <c r="DP445" s="567"/>
      <c r="DQ445" s="567"/>
      <c r="DR445" s="567"/>
      <c r="DS445" s="567"/>
      <c r="DT445" s="567"/>
      <c r="DU445" s="567"/>
      <c r="DV445" s="567"/>
      <c r="DW445" s="567"/>
      <c r="DX445" s="567"/>
      <c r="DY445" s="567"/>
      <c r="DZ445" s="567"/>
      <c r="EA445" s="567"/>
      <c r="EB445" s="567"/>
      <c r="EC445" s="567"/>
      <c r="ED445" s="567"/>
      <c r="EE445" s="567"/>
      <c r="EF445" s="567"/>
      <c r="EG445" s="567"/>
      <c r="EH445" s="567"/>
      <c r="EI445" s="567"/>
      <c r="EJ445" s="567"/>
      <c r="EK445" s="567"/>
      <c r="EL445" s="567"/>
      <c r="EM445" s="567"/>
      <c r="EN445" s="567"/>
      <c r="EO445" s="567"/>
      <c r="EP445" s="567"/>
      <c r="EQ445" s="567"/>
      <c r="ER445" s="567"/>
      <c r="ES445" s="567"/>
      <c r="ET445" s="567"/>
      <c r="EU445" s="567"/>
      <c r="EV445" s="567"/>
      <c r="EW445" s="567"/>
      <c r="EX445" s="567"/>
      <c r="EY445" s="567"/>
      <c r="EZ445" s="567"/>
      <c r="FA445" s="567"/>
      <c r="FB445" s="567"/>
      <c r="FC445" s="567"/>
      <c r="FD445" s="567"/>
      <c r="FE445" s="567"/>
      <c r="FF445" s="567"/>
      <c r="FG445" s="567"/>
      <c r="FH445" s="567"/>
      <c r="FI445" s="567"/>
      <c r="FJ445" s="567"/>
      <c r="FK445" s="567"/>
      <c r="FL445" s="567"/>
      <c r="FM445" s="567"/>
      <c r="FN445" s="567"/>
      <c r="FO445" s="567"/>
      <c r="FP445" s="567"/>
      <c r="FQ445" s="567"/>
      <c r="FR445" s="567"/>
      <c r="FS445" s="567"/>
      <c r="FT445" s="567"/>
      <c r="FU445" s="567"/>
      <c r="FV445" s="567"/>
      <c r="FW445" s="567"/>
      <c r="FX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  <c r="BW446" s="567"/>
      <c r="BX446" s="567"/>
      <c r="BY446" s="567"/>
      <c r="BZ446" s="567"/>
      <c r="CA446" s="567"/>
      <c r="CB446" s="567"/>
      <c r="CC446" s="567"/>
      <c r="CD446" s="567"/>
      <c r="CE446" s="567"/>
      <c r="CF446" s="567"/>
      <c r="CG446" s="567"/>
      <c r="CH446" s="567"/>
      <c r="CI446" s="567"/>
      <c r="CJ446" s="567"/>
      <c r="CK446" s="567"/>
      <c r="CL446" s="567"/>
      <c r="CM446" s="567"/>
      <c r="CN446" s="567"/>
      <c r="CO446" s="567"/>
      <c r="CP446" s="567"/>
      <c r="CQ446" s="567"/>
      <c r="CR446" s="567"/>
      <c r="CS446" s="567"/>
      <c r="CT446" s="567"/>
      <c r="CU446" s="567"/>
      <c r="CV446" s="567"/>
      <c r="CW446" s="567"/>
      <c r="CX446" s="567"/>
      <c r="CY446" s="567"/>
      <c r="CZ446" s="567"/>
      <c r="DA446" s="567"/>
      <c r="DB446" s="567"/>
      <c r="DC446" s="567"/>
      <c r="DD446" s="567"/>
      <c r="DE446" s="567"/>
      <c r="DF446" s="567"/>
      <c r="DG446" s="567"/>
      <c r="DH446" s="567"/>
      <c r="DI446" s="567"/>
      <c r="DJ446" s="567"/>
      <c r="DK446" s="567"/>
      <c r="DL446" s="567"/>
      <c r="DM446" s="567"/>
      <c r="DN446" s="567"/>
      <c r="DO446" s="567"/>
      <c r="DP446" s="567"/>
      <c r="DQ446" s="567"/>
      <c r="DR446" s="567"/>
      <c r="DS446" s="567"/>
      <c r="DT446" s="567"/>
      <c r="DU446" s="567"/>
      <c r="DV446" s="567"/>
      <c r="DW446" s="567"/>
      <c r="DX446" s="567"/>
      <c r="DY446" s="567"/>
      <c r="DZ446" s="567"/>
      <c r="EA446" s="567"/>
      <c r="EB446" s="567"/>
      <c r="EC446" s="567"/>
      <c r="ED446" s="567"/>
      <c r="EE446" s="567"/>
      <c r="EF446" s="567"/>
      <c r="EG446" s="567"/>
      <c r="EH446" s="567"/>
      <c r="EI446" s="567"/>
      <c r="EJ446" s="567"/>
      <c r="EK446" s="567"/>
      <c r="EL446" s="567"/>
      <c r="EM446" s="567"/>
      <c r="EN446" s="567"/>
      <c r="EO446" s="567"/>
      <c r="EP446" s="567"/>
      <c r="EQ446" s="567"/>
      <c r="ER446" s="567"/>
      <c r="ES446" s="567"/>
      <c r="ET446" s="567"/>
      <c r="EU446" s="567"/>
      <c r="EV446" s="567"/>
      <c r="EW446" s="567"/>
      <c r="EX446" s="567"/>
      <c r="EY446" s="567"/>
      <c r="EZ446" s="567"/>
      <c r="FA446" s="567"/>
      <c r="FB446" s="567"/>
      <c r="FC446" s="567"/>
      <c r="FD446" s="567"/>
      <c r="FE446" s="567"/>
      <c r="FF446" s="567"/>
      <c r="FG446" s="567"/>
      <c r="FH446" s="567"/>
      <c r="FI446" s="567"/>
      <c r="FJ446" s="567"/>
      <c r="FK446" s="567"/>
      <c r="FL446" s="567"/>
      <c r="FM446" s="567"/>
      <c r="FN446" s="567"/>
      <c r="FO446" s="567"/>
      <c r="FP446" s="567"/>
      <c r="FQ446" s="567"/>
      <c r="FR446" s="567"/>
      <c r="FS446" s="567"/>
      <c r="FT446" s="567"/>
      <c r="FU446" s="567"/>
      <c r="FV446" s="567"/>
      <c r="FW446" s="567"/>
      <c r="FX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  <c r="BW447" s="567"/>
      <c r="BX447" s="567"/>
      <c r="BY447" s="567"/>
      <c r="BZ447" s="567"/>
      <c r="CA447" s="567"/>
      <c r="CB447" s="567"/>
      <c r="CC447" s="567"/>
      <c r="CD447" s="567"/>
      <c r="CE447" s="567"/>
      <c r="CF447" s="567"/>
      <c r="CG447" s="567"/>
      <c r="CH447" s="567"/>
      <c r="CI447" s="567"/>
      <c r="CJ447" s="567"/>
      <c r="CK447" s="567"/>
      <c r="CL447" s="567"/>
      <c r="CM447" s="567"/>
      <c r="CN447" s="567"/>
      <c r="CO447" s="567"/>
      <c r="CP447" s="567"/>
      <c r="CQ447" s="567"/>
      <c r="CR447" s="567"/>
      <c r="CS447" s="567"/>
      <c r="CT447" s="567"/>
      <c r="CU447" s="567"/>
      <c r="CV447" s="567"/>
      <c r="CW447" s="567"/>
      <c r="CX447" s="567"/>
      <c r="CY447" s="567"/>
      <c r="CZ447" s="567"/>
      <c r="DA447" s="567"/>
      <c r="DB447" s="567"/>
      <c r="DC447" s="567"/>
      <c r="DD447" s="567"/>
      <c r="DE447" s="567"/>
      <c r="DF447" s="567"/>
      <c r="DG447" s="567"/>
      <c r="DH447" s="567"/>
      <c r="DI447" s="567"/>
      <c r="DJ447" s="567"/>
      <c r="DK447" s="567"/>
      <c r="DL447" s="567"/>
      <c r="DM447" s="567"/>
      <c r="DN447" s="567"/>
      <c r="DO447" s="567"/>
      <c r="DP447" s="567"/>
      <c r="DQ447" s="567"/>
      <c r="DR447" s="567"/>
      <c r="DS447" s="567"/>
      <c r="DT447" s="567"/>
      <c r="DU447" s="567"/>
      <c r="DV447" s="567"/>
      <c r="DW447" s="567"/>
      <c r="DX447" s="567"/>
      <c r="DY447" s="567"/>
      <c r="DZ447" s="567"/>
      <c r="EA447" s="567"/>
      <c r="EB447" s="567"/>
      <c r="EC447" s="567"/>
      <c r="ED447" s="567"/>
      <c r="EE447" s="567"/>
      <c r="EF447" s="567"/>
      <c r="EG447" s="567"/>
      <c r="EH447" s="567"/>
      <c r="EI447" s="567"/>
      <c r="EJ447" s="567"/>
      <c r="EK447" s="567"/>
      <c r="EL447" s="567"/>
      <c r="EM447" s="567"/>
      <c r="EN447" s="567"/>
      <c r="EO447" s="567"/>
      <c r="EP447" s="567"/>
      <c r="EQ447" s="567"/>
      <c r="ER447" s="567"/>
      <c r="ES447" s="567"/>
      <c r="ET447" s="567"/>
      <c r="EU447" s="567"/>
      <c r="EV447" s="567"/>
      <c r="EW447" s="567"/>
      <c r="EX447" s="567"/>
      <c r="EY447" s="567"/>
      <c r="EZ447" s="567"/>
      <c r="FA447" s="567"/>
      <c r="FB447" s="567"/>
      <c r="FC447" s="567"/>
      <c r="FD447" s="567"/>
      <c r="FE447" s="567"/>
      <c r="FF447" s="567"/>
      <c r="FG447" s="567"/>
      <c r="FH447" s="567"/>
      <c r="FI447" s="567"/>
      <c r="FJ447" s="567"/>
      <c r="FK447" s="567"/>
      <c r="FL447" s="567"/>
      <c r="FM447" s="567"/>
      <c r="FN447" s="567"/>
      <c r="FO447" s="567"/>
      <c r="FP447" s="567"/>
      <c r="FQ447" s="567"/>
      <c r="FR447" s="567"/>
      <c r="FS447" s="567"/>
      <c r="FT447" s="567"/>
      <c r="FU447" s="567"/>
      <c r="FV447" s="567"/>
      <c r="FW447" s="567"/>
      <c r="FX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  <c r="BW448" s="567"/>
      <c r="BX448" s="567"/>
      <c r="BY448" s="567"/>
      <c r="BZ448" s="567"/>
      <c r="CA448" s="567"/>
      <c r="CB448" s="567"/>
      <c r="CC448" s="567"/>
      <c r="CD448" s="567"/>
      <c r="CE448" s="567"/>
      <c r="CF448" s="567"/>
      <c r="CG448" s="567"/>
      <c r="CH448" s="567"/>
      <c r="CI448" s="567"/>
      <c r="CJ448" s="567"/>
      <c r="CK448" s="567"/>
      <c r="CL448" s="567"/>
      <c r="CM448" s="567"/>
      <c r="CN448" s="567"/>
      <c r="CO448" s="567"/>
      <c r="CP448" s="567"/>
      <c r="CQ448" s="567"/>
      <c r="CR448" s="567"/>
      <c r="CS448" s="567"/>
      <c r="CT448" s="567"/>
      <c r="CU448" s="567"/>
      <c r="CV448" s="567"/>
      <c r="CW448" s="567"/>
      <c r="CX448" s="567"/>
      <c r="CY448" s="567"/>
      <c r="CZ448" s="567"/>
      <c r="DA448" s="567"/>
      <c r="DB448" s="567"/>
      <c r="DC448" s="567"/>
      <c r="DD448" s="567"/>
      <c r="DE448" s="567"/>
      <c r="DF448" s="567"/>
      <c r="DG448" s="567"/>
      <c r="DH448" s="567"/>
      <c r="DI448" s="567"/>
      <c r="DJ448" s="567"/>
      <c r="DK448" s="567"/>
      <c r="DL448" s="567"/>
      <c r="DM448" s="567"/>
      <c r="DN448" s="567"/>
      <c r="DO448" s="567"/>
      <c r="DP448" s="567"/>
      <c r="DQ448" s="567"/>
      <c r="DR448" s="567"/>
      <c r="DS448" s="567"/>
      <c r="DT448" s="567"/>
      <c r="DU448" s="567"/>
      <c r="DV448" s="567"/>
      <c r="DW448" s="567"/>
      <c r="DX448" s="567"/>
      <c r="DY448" s="567"/>
      <c r="DZ448" s="567"/>
      <c r="EA448" s="567"/>
      <c r="EB448" s="567"/>
      <c r="EC448" s="567"/>
      <c r="ED448" s="567"/>
      <c r="EE448" s="567"/>
      <c r="EF448" s="567"/>
      <c r="EG448" s="567"/>
      <c r="EH448" s="567"/>
      <c r="EI448" s="567"/>
      <c r="EJ448" s="567"/>
      <c r="EK448" s="567"/>
      <c r="EL448" s="567"/>
      <c r="EM448" s="567"/>
      <c r="EN448" s="567"/>
      <c r="EO448" s="567"/>
      <c r="EP448" s="567"/>
      <c r="EQ448" s="567"/>
      <c r="ER448" s="567"/>
      <c r="ES448" s="567"/>
      <c r="ET448" s="567"/>
      <c r="EU448" s="567"/>
      <c r="EV448" s="567"/>
      <c r="EW448" s="567"/>
      <c r="EX448" s="567"/>
      <c r="EY448" s="567"/>
      <c r="EZ448" s="567"/>
      <c r="FA448" s="567"/>
      <c r="FB448" s="567"/>
      <c r="FC448" s="567"/>
      <c r="FD448" s="567"/>
      <c r="FE448" s="567"/>
      <c r="FF448" s="567"/>
      <c r="FG448" s="567"/>
      <c r="FH448" s="567"/>
      <c r="FI448" s="567"/>
      <c r="FJ448" s="567"/>
      <c r="FK448" s="567"/>
      <c r="FL448" s="567"/>
      <c r="FM448" s="567"/>
      <c r="FN448" s="567"/>
      <c r="FO448" s="567"/>
      <c r="FP448" s="567"/>
      <c r="FQ448" s="567"/>
      <c r="FR448" s="567"/>
      <c r="FS448" s="567"/>
      <c r="FT448" s="567"/>
      <c r="FU448" s="567"/>
      <c r="FV448" s="567"/>
      <c r="FW448" s="567"/>
      <c r="FX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  <c r="BW449" s="567"/>
      <c r="BX449" s="567"/>
      <c r="BY449" s="567"/>
      <c r="BZ449" s="567"/>
      <c r="CA449" s="567"/>
      <c r="CB449" s="567"/>
      <c r="CC449" s="567"/>
      <c r="CD449" s="567"/>
      <c r="CE449" s="567"/>
      <c r="CF449" s="567"/>
      <c r="CG449" s="567"/>
      <c r="CH449" s="567"/>
      <c r="CI449" s="567"/>
      <c r="CJ449" s="567"/>
      <c r="CK449" s="567"/>
      <c r="CL449" s="567"/>
      <c r="CM449" s="567"/>
      <c r="CN449" s="567"/>
      <c r="CO449" s="567"/>
      <c r="CP449" s="567"/>
      <c r="CQ449" s="567"/>
      <c r="CR449" s="567"/>
      <c r="CS449" s="567"/>
      <c r="CT449" s="567"/>
      <c r="CU449" s="567"/>
      <c r="CV449" s="567"/>
      <c r="CW449" s="567"/>
      <c r="CX449" s="567"/>
      <c r="CY449" s="567"/>
      <c r="CZ449" s="567"/>
      <c r="DA449" s="567"/>
      <c r="DB449" s="567"/>
      <c r="DC449" s="567"/>
      <c r="DD449" s="567"/>
      <c r="DE449" s="567"/>
      <c r="DF449" s="567"/>
      <c r="DG449" s="567"/>
      <c r="DH449" s="567"/>
      <c r="DI449" s="567"/>
      <c r="DJ449" s="567"/>
      <c r="DK449" s="567"/>
      <c r="DL449" s="567"/>
      <c r="DM449" s="567"/>
      <c r="DN449" s="567"/>
      <c r="DO449" s="567"/>
      <c r="DP449" s="567"/>
      <c r="DQ449" s="567"/>
      <c r="DR449" s="567"/>
      <c r="DS449" s="567"/>
      <c r="DT449" s="567"/>
      <c r="DU449" s="567"/>
      <c r="DV449" s="567"/>
      <c r="DW449" s="567"/>
      <c r="DX449" s="567"/>
      <c r="DY449" s="567"/>
      <c r="DZ449" s="567"/>
      <c r="EA449" s="567"/>
      <c r="EB449" s="567"/>
      <c r="EC449" s="567"/>
      <c r="ED449" s="567"/>
      <c r="EE449" s="567"/>
      <c r="EF449" s="567"/>
      <c r="EG449" s="567"/>
      <c r="EH449" s="567"/>
      <c r="EI449" s="567"/>
      <c r="EJ449" s="567"/>
      <c r="EK449" s="567"/>
      <c r="EL449" s="567"/>
      <c r="EM449" s="567"/>
      <c r="EN449" s="567"/>
      <c r="EO449" s="567"/>
      <c r="EP449" s="567"/>
      <c r="EQ449" s="567"/>
      <c r="ER449" s="567"/>
      <c r="ES449" s="567"/>
      <c r="ET449" s="567"/>
      <c r="EU449" s="567"/>
      <c r="EV449" s="567"/>
      <c r="EW449" s="567"/>
      <c r="EX449" s="567"/>
      <c r="EY449" s="567"/>
      <c r="EZ449" s="567"/>
      <c r="FA449" s="567"/>
      <c r="FB449" s="567"/>
      <c r="FC449" s="567"/>
      <c r="FD449" s="567"/>
      <c r="FE449" s="567"/>
      <c r="FF449" s="567"/>
      <c r="FG449" s="567"/>
      <c r="FH449" s="567"/>
      <c r="FI449" s="567"/>
      <c r="FJ449" s="567"/>
      <c r="FK449" s="567"/>
      <c r="FL449" s="567"/>
      <c r="FM449" s="567"/>
      <c r="FN449" s="567"/>
      <c r="FO449" s="567"/>
      <c r="FP449" s="567"/>
      <c r="FQ449" s="567"/>
      <c r="FR449" s="567"/>
      <c r="FS449" s="567"/>
      <c r="FT449" s="567"/>
      <c r="FU449" s="567"/>
      <c r="FV449" s="567"/>
      <c r="FW449" s="567"/>
      <c r="FX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  <c r="BW450" s="567"/>
      <c r="BX450" s="567"/>
      <c r="BY450" s="567"/>
      <c r="BZ450" s="567"/>
      <c r="CA450" s="567"/>
      <c r="CB450" s="567"/>
      <c r="CC450" s="567"/>
      <c r="CD450" s="567"/>
      <c r="CE450" s="567"/>
      <c r="CF450" s="567"/>
      <c r="CG450" s="567"/>
      <c r="CH450" s="567"/>
      <c r="CI450" s="567"/>
      <c r="CJ450" s="567"/>
      <c r="CK450" s="567"/>
      <c r="CL450" s="567"/>
      <c r="CM450" s="567"/>
      <c r="CN450" s="567"/>
      <c r="CO450" s="567"/>
      <c r="CP450" s="567"/>
      <c r="CQ450" s="567"/>
      <c r="CR450" s="567"/>
      <c r="CS450" s="567"/>
      <c r="CT450" s="567"/>
      <c r="CU450" s="567"/>
      <c r="CV450" s="567"/>
      <c r="CW450" s="567"/>
      <c r="CX450" s="567"/>
      <c r="CY450" s="567"/>
      <c r="CZ450" s="567"/>
      <c r="DA450" s="567"/>
      <c r="DB450" s="567"/>
      <c r="DC450" s="567"/>
      <c r="DD450" s="567"/>
      <c r="DE450" s="567"/>
      <c r="DF450" s="567"/>
      <c r="DG450" s="567"/>
      <c r="DH450" s="567"/>
      <c r="DI450" s="567"/>
      <c r="DJ450" s="567"/>
      <c r="DK450" s="567"/>
      <c r="DL450" s="567"/>
      <c r="DM450" s="567"/>
      <c r="DN450" s="567"/>
      <c r="DO450" s="567"/>
      <c r="DP450" s="567"/>
      <c r="DQ450" s="567"/>
      <c r="DR450" s="567"/>
      <c r="DS450" s="567"/>
      <c r="DT450" s="567"/>
      <c r="DU450" s="567"/>
      <c r="DV450" s="567"/>
      <c r="DW450" s="567"/>
      <c r="DX450" s="567"/>
      <c r="DY450" s="567"/>
      <c r="DZ450" s="567"/>
      <c r="EA450" s="567"/>
      <c r="EB450" s="567"/>
      <c r="EC450" s="567"/>
      <c r="ED450" s="567"/>
      <c r="EE450" s="567"/>
      <c r="EF450" s="567"/>
      <c r="EG450" s="567"/>
      <c r="EH450" s="567"/>
      <c r="EI450" s="567"/>
      <c r="EJ450" s="567"/>
      <c r="EK450" s="567"/>
      <c r="EL450" s="567"/>
      <c r="EM450" s="567"/>
      <c r="EN450" s="567"/>
      <c r="EO450" s="567"/>
      <c r="EP450" s="567"/>
      <c r="EQ450" s="567"/>
      <c r="ER450" s="567"/>
      <c r="ES450" s="567"/>
      <c r="ET450" s="567"/>
      <c r="EU450" s="567"/>
      <c r="EV450" s="567"/>
      <c r="EW450" s="567"/>
      <c r="EX450" s="567"/>
      <c r="EY450" s="567"/>
      <c r="EZ450" s="567"/>
      <c r="FA450" s="567"/>
      <c r="FB450" s="567"/>
      <c r="FC450" s="567"/>
      <c r="FD450" s="567"/>
      <c r="FE450" s="567"/>
      <c r="FF450" s="567"/>
      <c r="FG450" s="567"/>
      <c r="FH450" s="567"/>
      <c r="FI450" s="567"/>
      <c r="FJ450" s="567"/>
      <c r="FK450" s="567"/>
      <c r="FL450" s="567"/>
      <c r="FM450" s="567"/>
      <c r="FN450" s="567"/>
      <c r="FO450" s="567"/>
      <c r="FP450" s="567"/>
      <c r="FQ450" s="567"/>
      <c r="FR450" s="567"/>
      <c r="FS450" s="567"/>
      <c r="FT450" s="567"/>
      <c r="FU450" s="567"/>
      <c r="FV450" s="567"/>
      <c r="FW450" s="567"/>
      <c r="FX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  <c r="BW451" s="567"/>
      <c r="BX451" s="567"/>
      <c r="BY451" s="567"/>
      <c r="BZ451" s="567"/>
      <c r="CA451" s="567"/>
      <c r="CB451" s="567"/>
      <c r="CC451" s="567"/>
      <c r="CD451" s="567"/>
      <c r="CE451" s="567"/>
      <c r="CF451" s="567"/>
      <c r="CG451" s="567"/>
      <c r="CH451" s="567"/>
      <c r="CI451" s="567"/>
      <c r="CJ451" s="567"/>
      <c r="CK451" s="567"/>
      <c r="CL451" s="567"/>
      <c r="CM451" s="567"/>
      <c r="CN451" s="567"/>
      <c r="CO451" s="567"/>
      <c r="CP451" s="567"/>
      <c r="CQ451" s="567"/>
      <c r="CR451" s="567"/>
      <c r="CS451" s="567"/>
      <c r="CT451" s="567"/>
      <c r="CU451" s="567"/>
      <c r="CV451" s="567"/>
      <c r="CW451" s="567"/>
      <c r="CX451" s="567"/>
      <c r="CY451" s="567"/>
      <c r="CZ451" s="567"/>
      <c r="DA451" s="567"/>
      <c r="DB451" s="567"/>
      <c r="DC451" s="567"/>
      <c r="DD451" s="567"/>
      <c r="DE451" s="567"/>
      <c r="DF451" s="567"/>
      <c r="DG451" s="567"/>
      <c r="DH451" s="567"/>
      <c r="DI451" s="567"/>
      <c r="DJ451" s="567"/>
      <c r="DK451" s="567"/>
      <c r="DL451" s="567"/>
      <c r="DM451" s="567"/>
      <c r="DN451" s="567"/>
      <c r="DO451" s="567"/>
      <c r="DP451" s="567"/>
      <c r="DQ451" s="567"/>
      <c r="DR451" s="567"/>
      <c r="DS451" s="567"/>
      <c r="DT451" s="567"/>
      <c r="DU451" s="567"/>
      <c r="DV451" s="567"/>
      <c r="DW451" s="567"/>
      <c r="DX451" s="567"/>
      <c r="DY451" s="567"/>
      <c r="DZ451" s="567"/>
      <c r="EA451" s="567"/>
      <c r="EB451" s="567"/>
      <c r="EC451" s="567"/>
      <c r="ED451" s="567"/>
      <c r="EE451" s="567"/>
      <c r="EF451" s="567"/>
      <c r="EG451" s="567"/>
      <c r="EH451" s="567"/>
      <c r="EI451" s="567"/>
      <c r="EJ451" s="567"/>
      <c r="EK451" s="567"/>
      <c r="EL451" s="567"/>
      <c r="EM451" s="567"/>
      <c r="EN451" s="567"/>
      <c r="EO451" s="567"/>
      <c r="EP451" s="567"/>
      <c r="EQ451" s="567"/>
      <c r="ER451" s="567"/>
      <c r="ES451" s="567"/>
      <c r="ET451" s="567"/>
      <c r="EU451" s="567"/>
      <c r="EV451" s="567"/>
      <c r="EW451" s="567"/>
      <c r="EX451" s="567"/>
      <c r="EY451" s="567"/>
      <c r="EZ451" s="567"/>
      <c r="FA451" s="567"/>
      <c r="FB451" s="567"/>
      <c r="FC451" s="567"/>
      <c r="FD451" s="567"/>
      <c r="FE451" s="567"/>
      <c r="FF451" s="567"/>
      <c r="FG451" s="567"/>
      <c r="FH451" s="567"/>
      <c r="FI451" s="567"/>
      <c r="FJ451" s="567"/>
      <c r="FK451" s="567"/>
      <c r="FL451" s="567"/>
      <c r="FM451" s="567"/>
      <c r="FN451" s="567"/>
      <c r="FO451" s="567"/>
      <c r="FP451" s="567"/>
      <c r="FQ451" s="567"/>
      <c r="FR451" s="567"/>
      <c r="FS451" s="567"/>
      <c r="FT451" s="567"/>
      <c r="FU451" s="567"/>
      <c r="FV451" s="567"/>
      <c r="FW451" s="567"/>
      <c r="FX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  <c r="BW452" s="567"/>
      <c r="BX452" s="567"/>
      <c r="BY452" s="567"/>
      <c r="BZ452" s="567"/>
      <c r="CA452" s="567"/>
      <c r="CB452" s="567"/>
      <c r="CC452" s="567"/>
      <c r="CD452" s="567"/>
      <c r="CE452" s="567"/>
      <c r="CF452" s="567"/>
      <c r="CG452" s="567"/>
      <c r="CH452" s="567"/>
      <c r="CI452" s="567"/>
      <c r="CJ452" s="567"/>
      <c r="CK452" s="567"/>
      <c r="CL452" s="567"/>
      <c r="CM452" s="567"/>
      <c r="CN452" s="567"/>
      <c r="CO452" s="567"/>
      <c r="CP452" s="567"/>
      <c r="CQ452" s="567"/>
      <c r="CR452" s="567"/>
      <c r="CS452" s="567"/>
      <c r="CT452" s="567"/>
      <c r="CU452" s="567"/>
      <c r="CV452" s="567"/>
      <c r="CW452" s="567"/>
      <c r="CX452" s="567"/>
      <c r="CY452" s="567"/>
      <c r="CZ452" s="567"/>
      <c r="DA452" s="567"/>
      <c r="DB452" s="567"/>
      <c r="DC452" s="567"/>
      <c r="DD452" s="567"/>
      <c r="DE452" s="567"/>
      <c r="DF452" s="567"/>
      <c r="DG452" s="567"/>
      <c r="DH452" s="567"/>
      <c r="DI452" s="567"/>
      <c r="DJ452" s="567"/>
      <c r="DK452" s="567"/>
      <c r="DL452" s="567"/>
      <c r="DM452" s="567"/>
      <c r="DN452" s="567"/>
      <c r="DO452" s="567"/>
      <c r="DP452" s="567"/>
      <c r="DQ452" s="567"/>
      <c r="DR452" s="567"/>
      <c r="DS452" s="567"/>
      <c r="DT452" s="567"/>
      <c r="DU452" s="567"/>
      <c r="DV452" s="567"/>
      <c r="DW452" s="567"/>
      <c r="DX452" s="567"/>
      <c r="DY452" s="567"/>
      <c r="DZ452" s="567"/>
      <c r="EA452" s="567"/>
      <c r="EB452" s="567"/>
      <c r="EC452" s="567"/>
      <c r="ED452" s="567"/>
      <c r="EE452" s="567"/>
      <c r="EF452" s="567"/>
      <c r="EG452" s="567"/>
      <c r="EH452" s="567"/>
      <c r="EI452" s="567"/>
      <c r="EJ452" s="567"/>
      <c r="EK452" s="567"/>
      <c r="EL452" s="567"/>
      <c r="EM452" s="567"/>
      <c r="EN452" s="567"/>
      <c r="EO452" s="567"/>
      <c r="EP452" s="567"/>
      <c r="EQ452" s="567"/>
      <c r="ER452" s="567"/>
      <c r="ES452" s="567"/>
      <c r="ET452" s="567"/>
      <c r="EU452" s="567"/>
      <c r="EV452" s="567"/>
      <c r="EW452" s="567"/>
      <c r="EX452" s="567"/>
      <c r="EY452" s="567"/>
      <c r="EZ452" s="567"/>
      <c r="FA452" s="567"/>
      <c r="FB452" s="567"/>
      <c r="FC452" s="567"/>
      <c r="FD452" s="567"/>
      <c r="FE452" s="567"/>
      <c r="FF452" s="567"/>
      <c r="FG452" s="567"/>
      <c r="FH452" s="567"/>
      <c r="FI452" s="567"/>
      <c r="FJ452" s="567"/>
      <c r="FK452" s="567"/>
      <c r="FL452" s="567"/>
      <c r="FM452" s="567"/>
      <c r="FN452" s="567"/>
      <c r="FO452" s="567"/>
      <c r="FP452" s="567"/>
      <c r="FQ452" s="567"/>
      <c r="FR452" s="567"/>
      <c r="FS452" s="567"/>
      <c r="FT452" s="567"/>
      <c r="FU452" s="567"/>
      <c r="FV452" s="567"/>
      <c r="FW452" s="567"/>
      <c r="FX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  <c r="BW453" s="567"/>
      <c r="BX453" s="567"/>
      <c r="BY453" s="567"/>
      <c r="BZ453" s="567"/>
      <c r="CA453" s="567"/>
      <c r="CB453" s="567"/>
      <c r="CC453" s="567"/>
      <c r="CD453" s="567"/>
      <c r="CE453" s="567"/>
      <c r="CF453" s="567"/>
      <c r="CG453" s="567"/>
      <c r="CH453" s="567"/>
      <c r="CI453" s="567"/>
      <c r="CJ453" s="567"/>
      <c r="CK453" s="567"/>
      <c r="CL453" s="567"/>
      <c r="CM453" s="567"/>
      <c r="CN453" s="567"/>
      <c r="CO453" s="567"/>
      <c r="CP453" s="567"/>
      <c r="CQ453" s="567"/>
      <c r="CR453" s="567"/>
      <c r="CS453" s="567"/>
      <c r="CT453" s="567"/>
      <c r="CU453" s="567"/>
      <c r="CV453" s="567"/>
      <c r="CW453" s="567"/>
      <c r="CX453" s="567"/>
      <c r="CY453" s="567"/>
      <c r="CZ453" s="567"/>
      <c r="DA453" s="567"/>
      <c r="DB453" s="567"/>
      <c r="DC453" s="567"/>
      <c r="DD453" s="567"/>
      <c r="DE453" s="567"/>
      <c r="DF453" s="567"/>
      <c r="DG453" s="567"/>
      <c r="DH453" s="567"/>
      <c r="DI453" s="567"/>
      <c r="DJ453" s="567"/>
      <c r="DK453" s="567"/>
      <c r="DL453" s="567"/>
      <c r="DM453" s="567"/>
      <c r="DN453" s="567"/>
      <c r="DO453" s="567"/>
      <c r="DP453" s="567"/>
      <c r="DQ453" s="567"/>
      <c r="DR453" s="567"/>
      <c r="DS453" s="567"/>
      <c r="DT453" s="567"/>
      <c r="DU453" s="567"/>
      <c r="DV453" s="567"/>
      <c r="DW453" s="567"/>
      <c r="DX453" s="567"/>
      <c r="DY453" s="567"/>
      <c r="DZ453" s="567"/>
      <c r="EA453" s="567"/>
      <c r="EB453" s="567"/>
      <c r="EC453" s="567"/>
      <c r="ED453" s="567"/>
      <c r="EE453" s="567"/>
      <c r="EF453" s="567"/>
      <c r="EG453" s="567"/>
      <c r="EH453" s="567"/>
      <c r="EI453" s="567"/>
      <c r="EJ453" s="567"/>
      <c r="EK453" s="567"/>
      <c r="EL453" s="567"/>
      <c r="EM453" s="567"/>
      <c r="EN453" s="567"/>
      <c r="EO453" s="567"/>
      <c r="EP453" s="567"/>
      <c r="EQ453" s="567"/>
      <c r="ER453" s="567"/>
      <c r="ES453" s="567"/>
      <c r="ET453" s="567"/>
      <c r="EU453" s="567"/>
      <c r="EV453" s="567"/>
      <c r="EW453" s="567"/>
      <c r="EX453" s="567"/>
      <c r="EY453" s="567"/>
      <c r="EZ453" s="567"/>
      <c r="FA453" s="567"/>
      <c r="FB453" s="567"/>
      <c r="FC453" s="567"/>
      <c r="FD453" s="567"/>
      <c r="FE453" s="567"/>
      <c r="FF453" s="567"/>
      <c r="FG453" s="567"/>
      <c r="FH453" s="567"/>
      <c r="FI453" s="567"/>
      <c r="FJ453" s="567"/>
      <c r="FK453" s="567"/>
      <c r="FL453" s="567"/>
      <c r="FM453" s="567"/>
      <c r="FN453" s="567"/>
      <c r="FO453" s="567"/>
      <c r="FP453" s="567"/>
      <c r="FQ453" s="567"/>
      <c r="FR453" s="567"/>
      <c r="FS453" s="567"/>
      <c r="FT453" s="567"/>
      <c r="FU453" s="567"/>
      <c r="FV453" s="567"/>
      <c r="FW453" s="567"/>
      <c r="FX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  <c r="BW454" s="567"/>
      <c r="BX454" s="567"/>
      <c r="BY454" s="567"/>
      <c r="BZ454" s="567"/>
      <c r="CA454" s="567"/>
      <c r="CB454" s="567"/>
      <c r="CC454" s="567"/>
      <c r="CD454" s="567"/>
      <c r="CE454" s="567"/>
      <c r="CF454" s="567"/>
      <c r="CG454" s="567"/>
      <c r="CH454" s="567"/>
      <c r="CI454" s="567"/>
      <c r="CJ454" s="567"/>
      <c r="CK454" s="567"/>
      <c r="CL454" s="567"/>
      <c r="CM454" s="567"/>
      <c r="CN454" s="567"/>
      <c r="CO454" s="567"/>
      <c r="CP454" s="567"/>
      <c r="CQ454" s="567"/>
      <c r="CR454" s="567"/>
      <c r="CS454" s="567"/>
      <c r="CT454" s="567"/>
      <c r="CU454" s="567"/>
      <c r="CV454" s="567"/>
      <c r="CW454" s="567"/>
      <c r="CX454" s="567"/>
      <c r="CY454" s="567"/>
      <c r="CZ454" s="567"/>
      <c r="DA454" s="567"/>
      <c r="DB454" s="567"/>
      <c r="DC454" s="567"/>
      <c r="DD454" s="567"/>
      <c r="DE454" s="567"/>
      <c r="DF454" s="567"/>
      <c r="DG454" s="567"/>
      <c r="DH454" s="567"/>
      <c r="DI454" s="567"/>
      <c r="DJ454" s="567"/>
      <c r="DK454" s="567"/>
      <c r="DL454" s="567"/>
      <c r="DM454" s="567"/>
      <c r="DN454" s="567"/>
      <c r="DO454" s="567"/>
      <c r="DP454" s="567"/>
      <c r="DQ454" s="567"/>
      <c r="DR454" s="567"/>
      <c r="DS454" s="567"/>
      <c r="DT454" s="567"/>
      <c r="DU454" s="567"/>
      <c r="DV454" s="567"/>
      <c r="DW454" s="567"/>
      <c r="DX454" s="567"/>
      <c r="DY454" s="567"/>
      <c r="DZ454" s="567"/>
      <c r="EA454" s="567"/>
      <c r="EB454" s="567"/>
      <c r="EC454" s="567"/>
      <c r="ED454" s="567"/>
      <c r="EE454" s="567"/>
      <c r="EF454" s="567"/>
      <c r="EG454" s="567"/>
      <c r="EH454" s="567"/>
      <c r="EI454" s="567"/>
      <c r="EJ454" s="567"/>
      <c r="EK454" s="567"/>
      <c r="EL454" s="567"/>
      <c r="EM454" s="567"/>
      <c r="EN454" s="567"/>
      <c r="EO454" s="567"/>
      <c r="EP454" s="567"/>
      <c r="EQ454" s="567"/>
      <c r="ER454" s="567"/>
      <c r="ES454" s="567"/>
      <c r="ET454" s="567"/>
      <c r="EU454" s="567"/>
      <c r="EV454" s="567"/>
      <c r="EW454" s="567"/>
      <c r="EX454" s="567"/>
      <c r="EY454" s="567"/>
      <c r="EZ454" s="567"/>
      <c r="FA454" s="567"/>
      <c r="FB454" s="567"/>
      <c r="FC454" s="567"/>
      <c r="FD454" s="567"/>
      <c r="FE454" s="567"/>
      <c r="FF454" s="567"/>
      <c r="FG454" s="567"/>
      <c r="FH454" s="567"/>
      <c r="FI454" s="567"/>
      <c r="FJ454" s="567"/>
      <c r="FK454" s="567"/>
      <c r="FL454" s="567"/>
      <c r="FM454" s="567"/>
      <c r="FN454" s="567"/>
      <c r="FO454" s="567"/>
      <c r="FP454" s="567"/>
      <c r="FQ454" s="567"/>
      <c r="FR454" s="567"/>
      <c r="FS454" s="567"/>
      <c r="FT454" s="567"/>
      <c r="FU454" s="567"/>
      <c r="FV454" s="567"/>
      <c r="FW454" s="567"/>
      <c r="FX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  <c r="BW455" s="567"/>
      <c r="BX455" s="567"/>
      <c r="BY455" s="567"/>
      <c r="BZ455" s="567"/>
      <c r="CA455" s="567"/>
      <c r="CB455" s="567"/>
      <c r="CC455" s="567"/>
      <c r="CD455" s="567"/>
      <c r="CE455" s="567"/>
      <c r="CF455" s="567"/>
      <c r="CG455" s="567"/>
      <c r="CH455" s="567"/>
      <c r="CI455" s="567"/>
      <c r="CJ455" s="567"/>
      <c r="CK455" s="567"/>
      <c r="CL455" s="567"/>
      <c r="CM455" s="567"/>
      <c r="CN455" s="567"/>
      <c r="CO455" s="567"/>
      <c r="CP455" s="567"/>
      <c r="CQ455" s="567"/>
      <c r="CR455" s="567"/>
      <c r="CS455" s="567"/>
      <c r="CT455" s="567"/>
      <c r="CU455" s="567"/>
      <c r="CV455" s="567"/>
      <c r="CW455" s="567"/>
      <c r="CX455" s="567"/>
      <c r="CY455" s="567"/>
      <c r="CZ455" s="567"/>
      <c r="DA455" s="567"/>
      <c r="DB455" s="567"/>
      <c r="DC455" s="567"/>
      <c r="DD455" s="567"/>
      <c r="DE455" s="567"/>
      <c r="DF455" s="567"/>
      <c r="DG455" s="567"/>
      <c r="DH455" s="567"/>
      <c r="DI455" s="567"/>
      <c r="DJ455" s="567"/>
      <c r="DK455" s="567"/>
      <c r="DL455" s="567"/>
      <c r="DM455" s="567"/>
      <c r="DN455" s="567"/>
      <c r="DO455" s="567"/>
      <c r="DP455" s="567"/>
      <c r="DQ455" s="567"/>
      <c r="DR455" s="567"/>
      <c r="DS455" s="567"/>
      <c r="DT455" s="567"/>
      <c r="DU455" s="567"/>
      <c r="DV455" s="567"/>
      <c r="DW455" s="567"/>
      <c r="DX455" s="567"/>
      <c r="DY455" s="567"/>
      <c r="DZ455" s="567"/>
      <c r="EA455" s="567"/>
      <c r="EB455" s="567"/>
      <c r="EC455" s="567"/>
      <c r="ED455" s="567"/>
      <c r="EE455" s="567"/>
      <c r="EF455" s="567"/>
      <c r="EG455" s="567"/>
      <c r="EH455" s="567"/>
      <c r="EI455" s="567"/>
      <c r="EJ455" s="567"/>
      <c r="EK455" s="567"/>
      <c r="EL455" s="567"/>
      <c r="EM455" s="567"/>
      <c r="EN455" s="567"/>
      <c r="EO455" s="567"/>
      <c r="EP455" s="567"/>
      <c r="EQ455" s="567"/>
      <c r="ER455" s="567"/>
      <c r="ES455" s="567"/>
      <c r="ET455" s="567"/>
      <c r="EU455" s="567"/>
      <c r="EV455" s="567"/>
      <c r="EW455" s="567"/>
      <c r="EX455" s="567"/>
      <c r="EY455" s="567"/>
      <c r="EZ455" s="567"/>
      <c r="FA455" s="567"/>
      <c r="FB455" s="567"/>
      <c r="FC455" s="567"/>
      <c r="FD455" s="567"/>
      <c r="FE455" s="567"/>
      <c r="FF455" s="567"/>
      <c r="FG455" s="567"/>
      <c r="FH455" s="567"/>
      <c r="FI455" s="567"/>
      <c r="FJ455" s="567"/>
      <c r="FK455" s="567"/>
      <c r="FL455" s="567"/>
      <c r="FM455" s="567"/>
      <c r="FN455" s="567"/>
      <c r="FO455" s="567"/>
      <c r="FP455" s="567"/>
      <c r="FQ455" s="567"/>
      <c r="FR455" s="567"/>
      <c r="FS455" s="567"/>
      <c r="FT455" s="567"/>
      <c r="FU455" s="567"/>
      <c r="FV455" s="567"/>
      <c r="FW455" s="567"/>
      <c r="FX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  <c r="BW456" s="567"/>
      <c r="BX456" s="567"/>
      <c r="BY456" s="567"/>
      <c r="BZ456" s="567"/>
      <c r="CA456" s="567"/>
      <c r="CB456" s="567"/>
      <c r="CC456" s="567"/>
      <c r="CD456" s="567"/>
      <c r="CE456" s="567"/>
      <c r="CF456" s="567"/>
      <c r="CG456" s="567"/>
      <c r="CH456" s="567"/>
      <c r="CI456" s="567"/>
      <c r="CJ456" s="567"/>
      <c r="CK456" s="567"/>
      <c r="CL456" s="567"/>
      <c r="CM456" s="567"/>
      <c r="CN456" s="567"/>
      <c r="CO456" s="567"/>
      <c r="CP456" s="567"/>
      <c r="CQ456" s="567"/>
      <c r="CR456" s="567"/>
      <c r="CS456" s="567"/>
      <c r="CT456" s="567"/>
      <c r="CU456" s="567"/>
      <c r="CV456" s="567"/>
      <c r="CW456" s="567"/>
      <c r="CX456" s="567"/>
      <c r="CY456" s="567"/>
      <c r="CZ456" s="567"/>
      <c r="DA456" s="567"/>
      <c r="DB456" s="567"/>
      <c r="DC456" s="567"/>
      <c r="DD456" s="567"/>
      <c r="DE456" s="567"/>
      <c r="DF456" s="567"/>
      <c r="DG456" s="567"/>
      <c r="DH456" s="567"/>
      <c r="DI456" s="567"/>
      <c r="DJ456" s="567"/>
      <c r="DK456" s="567"/>
      <c r="DL456" s="567"/>
      <c r="DM456" s="567"/>
      <c r="DN456" s="567"/>
      <c r="DO456" s="567"/>
      <c r="DP456" s="567"/>
      <c r="DQ456" s="567"/>
      <c r="DR456" s="567"/>
      <c r="DS456" s="567"/>
      <c r="DT456" s="567"/>
      <c r="DU456" s="567"/>
      <c r="DV456" s="567"/>
      <c r="DW456" s="567"/>
      <c r="DX456" s="567"/>
      <c r="DY456" s="567"/>
      <c r="DZ456" s="567"/>
      <c r="EA456" s="567"/>
      <c r="EB456" s="567"/>
      <c r="EC456" s="567"/>
      <c r="ED456" s="567"/>
      <c r="EE456" s="567"/>
      <c r="EF456" s="567"/>
      <c r="EG456" s="567"/>
      <c r="EH456" s="567"/>
      <c r="EI456" s="567"/>
      <c r="EJ456" s="567"/>
      <c r="EK456" s="567"/>
      <c r="EL456" s="567"/>
      <c r="EM456" s="567"/>
      <c r="EN456" s="567"/>
      <c r="EO456" s="567"/>
      <c r="EP456" s="567"/>
      <c r="EQ456" s="567"/>
      <c r="ER456" s="567"/>
      <c r="ES456" s="567"/>
      <c r="ET456" s="567"/>
      <c r="EU456" s="567"/>
      <c r="EV456" s="567"/>
      <c r="EW456" s="567"/>
      <c r="EX456" s="567"/>
      <c r="EY456" s="567"/>
      <c r="EZ456" s="567"/>
      <c r="FA456" s="567"/>
      <c r="FB456" s="567"/>
      <c r="FC456" s="567"/>
      <c r="FD456" s="567"/>
      <c r="FE456" s="567"/>
      <c r="FF456" s="567"/>
      <c r="FG456" s="567"/>
      <c r="FH456" s="567"/>
      <c r="FI456" s="567"/>
      <c r="FJ456" s="567"/>
      <c r="FK456" s="567"/>
      <c r="FL456" s="567"/>
      <c r="FM456" s="567"/>
      <c r="FN456" s="567"/>
      <c r="FO456" s="567"/>
      <c r="FP456" s="567"/>
      <c r="FQ456" s="567"/>
      <c r="FR456" s="567"/>
      <c r="FS456" s="567"/>
      <c r="FT456" s="567"/>
      <c r="FU456" s="567"/>
      <c r="FV456" s="567"/>
      <c r="FW456" s="567"/>
      <c r="FX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  <c r="BW457" s="567"/>
      <c r="BX457" s="567"/>
      <c r="BY457" s="567"/>
      <c r="BZ457" s="567"/>
      <c r="CA457" s="567"/>
      <c r="CB457" s="567"/>
      <c r="CC457" s="567"/>
      <c r="CD457" s="567"/>
      <c r="CE457" s="567"/>
      <c r="CF457" s="567"/>
      <c r="CG457" s="567"/>
      <c r="CH457" s="567"/>
      <c r="CI457" s="567"/>
      <c r="CJ457" s="567"/>
      <c r="CK457" s="567"/>
      <c r="CL457" s="567"/>
      <c r="CM457" s="567"/>
      <c r="CN457" s="567"/>
      <c r="CO457" s="567"/>
      <c r="CP457" s="567"/>
      <c r="CQ457" s="567"/>
      <c r="CR457" s="567"/>
      <c r="CS457" s="567"/>
      <c r="CT457" s="567"/>
      <c r="CU457" s="567"/>
      <c r="CV457" s="567"/>
      <c r="CW457" s="567"/>
      <c r="CX457" s="567"/>
      <c r="CY457" s="567"/>
      <c r="CZ457" s="567"/>
      <c r="DA457" s="567"/>
      <c r="DB457" s="567"/>
      <c r="DC457" s="567"/>
      <c r="DD457" s="567"/>
      <c r="DE457" s="567"/>
      <c r="DF457" s="567"/>
      <c r="DG457" s="567"/>
      <c r="DH457" s="567"/>
      <c r="DI457" s="567"/>
      <c r="DJ457" s="567"/>
      <c r="DK457" s="567"/>
      <c r="DL457" s="567"/>
      <c r="DM457" s="567"/>
      <c r="DN457" s="567"/>
      <c r="DO457" s="567"/>
      <c r="DP457" s="567"/>
      <c r="DQ457" s="567"/>
      <c r="DR457" s="567"/>
      <c r="DS457" s="567"/>
      <c r="DT457" s="567"/>
      <c r="DU457" s="567"/>
      <c r="DV457" s="567"/>
      <c r="DW457" s="567"/>
      <c r="DX457" s="567"/>
      <c r="DY457" s="567"/>
      <c r="DZ457" s="567"/>
      <c r="EA457" s="567"/>
      <c r="EB457" s="567"/>
      <c r="EC457" s="567"/>
      <c r="ED457" s="567"/>
      <c r="EE457" s="567"/>
      <c r="EF457" s="567"/>
      <c r="EG457" s="567"/>
      <c r="EH457" s="567"/>
      <c r="EI457" s="567"/>
      <c r="EJ457" s="567"/>
      <c r="EK457" s="567"/>
      <c r="EL457" s="567"/>
      <c r="EM457" s="567"/>
      <c r="EN457" s="567"/>
      <c r="EO457" s="567"/>
      <c r="EP457" s="567"/>
      <c r="EQ457" s="567"/>
      <c r="ER457" s="567"/>
      <c r="ES457" s="567"/>
      <c r="ET457" s="567"/>
      <c r="EU457" s="567"/>
      <c r="EV457" s="567"/>
      <c r="EW457" s="567"/>
      <c r="EX457" s="567"/>
      <c r="EY457" s="567"/>
      <c r="EZ457" s="567"/>
      <c r="FA457" s="567"/>
      <c r="FB457" s="567"/>
      <c r="FC457" s="567"/>
      <c r="FD457" s="567"/>
      <c r="FE457" s="567"/>
      <c r="FF457" s="567"/>
      <c r="FG457" s="567"/>
      <c r="FH457" s="567"/>
      <c r="FI457" s="567"/>
      <c r="FJ457" s="567"/>
      <c r="FK457" s="567"/>
      <c r="FL457" s="567"/>
      <c r="FM457" s="567"/>
      <c r="FN457" s="567"/>
      <c r="FO457" s="567"/>
      <c r="FP457" s="567"/>
      <c r="FQ457" s="567"/>
      <c r="FR457" s="567"/>
      <c r="FS457" s="567"/>
      <c r="FT457" s="567"/>
      <c r="FU457" s="567"/>
      <c r="FV457" s="567"/>
      <c r="FW457" s="567"/>
      <c r="FX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  <c r="BW458" s="567"/>
      <c r="BX458" s="567"/>
      <c r="BY458" s="567"/>
      <c r="BZ458" s="567"/>
      <c r="CA458" s="567"/>
      <c r="CB458" s="567"/>
      <c r="CC458" s="567"/>
      <c r="CD458" s="567"/>
      <c r="CE458" s="567"/>
      <c r="CF458" s="567"/>
      <c r="CG458" s="567"/>
      <c r="CH458" s="567"/>
      <c r="CI458" s="567"/>
      <c r="CJ458" s="567"/>
      <c r="CK458" s="567"/>
      <c r="CL458" s="567"/>
      <c r="CM458" s="567"/>
      <c r="CN458" s="567"/>
      <c r="CO458" s="567"/>
      <c r="CP458" s="567"/>
      <c r="CQ458" s="567"/>
      <c r="CR458" s="567"/>
      <c r="CS458" s="567"/>
      <c r="CT458" s="567"/>
      <c r="CU458" s="567"/>
      <c r="CV458" s="567"/>
      <c r="CW458" s="567"/>
      <c r="CX458" s="567"/>
      <c r="CY458" s="567"/>
      <c r="CZ458" s="567"/>
      <c r="DA458" s="567"/>
      <c r="DB458" s="567"/>
      <c r="DC458" s="567"/>
      <c r="DD458" s="567"/>
      <c r="DE458" s="567"/>
      <c r="DF458" s="567"/>
      <c r="DG458" s="567"/>
      <c r="DH458" s="567"/>
      <c r="DI458" s="567"/>
      <c r="DJ458" s="567"/>
      <c r="DK458" s="567"/>
      <c r="DL458" s="567"/>
      <c r="DM458" s="567"/>
      <c r="DN458" s="567"/>
      <c r="DO458" s="567"/>
      <c r="DP458" s="567"/>
      <c r="DQ458" s="567"/>
      <c r="DR458" s="567"/>
      <c r="DS458" s="567"/>
      <c r="DT458" s="567"/>
      <c r="DU458" s="567"/>
      <c r="DV458" s="567"/>
      <c r="DW458" s="567"/>
      <c r="DX458" s="567"/>
      <c r="DY458" s="567"/>
      <c r="DZ458" s="567"/>
      <c r="EA458" s="567"/>
      <c r="EB458" s="567"/>
      <c r="EC458" s="567"/>
      <c r="ED458" s="567"/>
      <c r="EE458" s="567"/>
      <c r="EF458" s="567"/>
      <c r="EG458" s="567"/>
      <c r="EH458" s="567"/>
      <c r="EI458" s="567"/>
      <c r="EJ458" s="567"/>
      <c r="EK458" s="567"/>
      <c r="EL458" s="567"/>
      <c r="EM458" s="567"/>
      <c r="EN458" s="567"/>
      <c r="EO458" s="567"/>
      <c r="EP458" s="567"/>
      <c r="EQ458" s="567"/>
      <c r="ER458" s="567"/>
      <c r="ES458" s="567"/>
      <c r="ET458" s="567"/>
      <c r="EU458" s="567"/>
      <c r="EV458" s="567"/>
      <c r="EW458" s="567"/>
      <c r="EX458" s="567"/>
      <c r="EY458" s="567"/>
      <c r="EZ458" s="567"/>
      <c r="FA458" s="567"/>
      <c r="FB458" s="567"/>
      <c r="FC458" s="567"/>
      <c r="FD458" s="567"/>
      <c r="FE458" s="567"/>
      <c r="FF458" s="567"/>
      <c r="FG458" s="567"/>
      <c r="FH458" s="567"/>
      <c r="FI458" s="567"/>
      <c r="FJ458" s="567"/>
      <c r="FK458" s="567"/>
      <c r="FL458" s="567"/>
      <c r="FM458" s="567"/>
      <c r="FN458" s="567"/>
      <c r="FO458" s="567"/>
      <c r="FP458" s="567"/>
      <c r="FQ458" s="567"/>
      <c r="FR458" s="567"/>
      <c r="FS458" s="567"/>
      <c r="FT458" s="567"/>
      <c r="FU458" s="567"/>
      <c r="FV458" s="567"/>
      <c r="FW458" s="567"/>
      <c r="FX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  <c r="BW459" s="567"/>
      <c r="BX459" s="567"/>
      <c r="BY459" s="567"/>
      <c r="BZ459" s="567"/>
      <c r="CA459" s="567"/>
      <c r="CB459" s="567"/>
      <c r="CC459" s="567"/>
      <c r="CD459" s="567"/>
      <c r="CE459" s="567"/>
      <c r="CF459" s="567"/>
      <c r="CG459" s="567"/>
      <c r="CH459" s="567"/>
      <c r="CI459" s="567"/>
      <c r="CJ459" s="567"/>
      <c r="CK459" s="567"/>
      <c r="CL459" s="567"/>
      <c r="CM459" s="567"/>
      <c r="CN459" s="567"/>
      <c r="CO459" s="567"/>
      <c r="CP459" s="567"/>
      <c r="CQ459" s="567"/>
      <c r="CR459" s="567"/>
      <c r="CS459" s="567"/>
      <c r="CT459" s="567"/>
      <c r="CU459" s="567"/>
      <c r="CV459" s="567"/>
      <c r="CW459" s="567"/>
      <c r="CX459" s="567"/>
      <c r="CY459" s="567"/>
      <c r="CZ459" s="567"/>
      <c r="DA459" s="567"/>
      <c r="DB459" s="567"/>
      <c r="DC459" s="567"/>
      <c r="DD459" s="567"/>
      <c r="DE459" s="567"/>
      <c r="DF459" s="567"/>
      <c r="DG459" s="567"/>
      <c r="DH459" s="567"/>
      <c r="DI459" s="567"/>
      <c r="DJ459" s="567"/>
      <c r="DK459" s="567"/>
      <c r="DL459" s="567"/>
      <c r="DM459" s="567"/>
      <c r="DN459" s="567"/>
      <c r="DO459" s="567"/>
      <c r="DP459" s="567"/>
      <c r="DQ459" s="567"/>
      <c r="DR459" s="567"/>
      <c r="DS459" s="567"/>
      <c r="DT459" s="567"/>
      <c r="DU459" s="567"/>
      <c r="DV459" s="567"/>
      <c r="DW459" s="567"/>
      <c r="DX459" s="567"/>
      <c r="DY459" s="567"/>
      <c r="DZ459" s="567"/>
      <c r="EA459" s="567"/>
      <c r="EB459" s="567"/>
      <c r="EC459" s="567"/>
      <c r="ED459" s="567"/>
      <c r="EE459" s="567"/>
      <c r="EF459" s="567"/>
      <c r="EG459" s="567"/>
      <c r="EH459" s="567"/>
      <c r="EI459" s="567"/>
      <c r="EJ459" s="567"/>
      <c r="EK459" s="567"/>
      <c r="EL459" s="567"/>
      <c r="EM459" s="567"/>
      <c r="EN459" s="567"/>
      <c r="EO459" s="567"/>
      <c r="EP459" s="567"/>
      <c r="EQ459" s="567"/>
      <c r="ER459" s="567"/>
      <c r="ES459" s="567"/>
      <c r="ET459" s="567"/>
      <c r="EU459" s="567"/>
      <c r="EV459" s="567"/>
      <c r="EW459" s="567"/>
      <c r="EX459" s="567"/>
      <c r="EY459" s="567"/>
      <c r="EZ459" s="567"/>
      <c r="FA459" s="567"/>
      <c r="FB459" s="567"/>
      <c r="FC459" s="567"/>
      <c r="FD459" s="567"/>
      <c r="FE459" s="567"/>
      <c r="FF459" s="567"/>
      <c r="FG459" s="567"/>
      <c r="FH459" s="567"/>
      <c r="FI459" s="567"/>
      <c r="FJ459" s="567"/>
      <c r="FK459" s="567"/>
      <c r="FL459" s="567"/>
      <c r="FM459" s="567"/>
      <c r="FN459" s="567"/>
      <c r="FO459" s="567"/>
      <c r="FP459" s="567"/>
      <c r="FQ459" s="567"/>
      <c r="FR459" s="567"/>
      <c r="FS459" s="567"/>
      <c r="FT459" s="567"/>
      <c r="FU459" s="567"/>
      <c r="FV459" s="567"/>
      <c r="FW459" s="567"/>
      <c r="FX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  <c r="BW460" s="567"/>
      <c r="BX460" s="567"/>
      <c r="BY460" s="567"/>
      <c r="BZ460" s="567"/>
      <c r="CA460" s="567"/>
      <c r="CB460" s="567"/>
      <c r="CC460" s="567"/>
      <c r="CD460" s="567"/>
      <c r="CE460" s="567"/>
      <c r="CF460" s="567"/>
      <c r="CG460" s="567"/>
      <c r="CH460" s="567"/>
      <c r="CI460" s="567"/>
      <c r="CJ460" s="567"/>
      <c r="CK460" s="567"/>
      <c r="CL460" s="567"/>
      <c r="CM460" s="567"/>
      <c r="CN460" s="567"/>
      <c r="CO460" s="567"/>
      <c r="CP460" s="567"/>
      <c r="CQ460" s="567"/>
      <c r="CR460" s="567"/>
      <c r="CS460" s="567"/>
      <c r="CT460" s="567"/>
      <c r="CU460" s="567"/>
      <c r="CV460" s="567"/>
      <c r="CW460" s="567"/>
      <c r="CX460" s="567"/>
      <c r="CY460" s="567"/>
      <c r="CZ460" s="567"/>
      <c r="DA460" s="567"/>
      <c r="DB460" s="567"/>
      <c r="DC460" s="567"/>
      <c r="DD460" s="567"/>
      <c r="DE460" s="567"/>
      <c r="DF460" s="567"/>
      <c r="DG460" s="567"/>
      <c r="DH460" s="567"/>
      <c r="DI460" s="567"/>
      <c r="DJ460" s="567"/>
      <c r="DK460" s="567"/>
      <c r="DL460" s="567"/>
      <c r="DM460" s="567"/>
      <c r="DN460" s="567"/>
      <c r="DO460" s="567"/>
      <c r="DP460" s="567"/>
      <c r="DQ460" s="567"/>
      <c r="DR460" s="567"/>
      <c r="DS460" s="567"/>
      <c r="DT460" s="567"/>
      <c r="DU460" s="567"/>
      <c r="DV460" s="567"/>
      <c r="DW460" s="567"/>
      <c r="DX460" s="567"/>
      <c r="DY460" s="567"/>
      <c r="DZ460" s="567"/>
      <c r="EA460" s="567"/>
      <c r="EB460" s="567"/>
      <c r="EC460" s="567"/>
      <c r="ED460" s="567"/>
      <c r="EE460" s="567"/>
      <c r="EF460" s="567"/>
      <c r="EG460" s="567"/>
      <c r="EH460" s="567"/>
      <c r="EI460" s="567"/>
      <c r="EJ460" s="567"/>
      <c r="EK460" s="567"/>
      <c r="EL460" s="567"/>
      <c r="EM460" s="567"/>
      <c r="EN460" s="567"/>
      <c r="EO460" s="567"/>
      <c r="EP460" s="567"/>
      <c r="EQ460" s="567"/>
      <c r="ER460" s="567"/>
      <c r="ES460" s="567"/>
      <c r="ET460" s="567"/>
      <c r="EU460" s="567"/>
      <c r="EV460" s="567"/>
      <c r="EW460" s="567"/>
      <c r="EX460" s="567"/>
      <c r="EY460" s="567"/>
      <c r="EZ460" s="567"/>
      <c r="FA460" s="567"/>
      <c r="FB460" s="567"/>
      <c r="FC460" s="567"/>
      <c r="FD460" s="567"/>
      <c r="FE460" s="567"/>
      <c r="FF460" s="567"/>
      <c r="FG460" s="567"/>
      <c r="FH460" s="567"/>
      <c r="FI460" s="567"/>
      <c r="FJ460" s="567"/>
      <c r="FK460" s="567"/>
      <c r="FL460" s="567"/>
      <c r="FM460" s="567"/>
      <c r="FN460" s="567"/>
      <c r="FO460" s="567"/>
      <c r="FP460" s="567"/>
      <c r="FQ460" s="567"/>
      <c r="FR460" s="567"/>
      <c r="FS460" s="567"/>
      <c r="FT460" s="567"/>
      <c r="FU460" s="567"/>
      <c r="FV460" s="567"/>
      <c r="FW460" s="567"/>
      <c r="FX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  <c r="BW461" s="567"/>
      <c r="BX461" s="567"/>
      <c r="BY461" s="567"/>
      <c r="BZ461" s="567"/>
      <c r="CA461" s="567"/>
      <c r="CB461" s="567"/>
      <c r="CC461" s="567"/>
      <c r="CD461" s="567"/>
      <c r="CE461" s="567"/>
      <c r="CF461" s="567"/>
      <c r="CG461" s="567"/>
      <c r="CH461" s="567"/>
      <c r="CI461" s="567"/>
      <c r="CJ461" s="567"/>
      <c r="CK461" s="567"/>
      <c r="CL461" s="567"/>
      <c r="CM461" s="567"/>
      <c r="CN461" s="567"/>
      <c r="CO461" s="567"/>
      <c r="CP461" s="567"/>
      <c r="CQ461" s="567"/>
      <c r="CR461" s="567"/>
      <c r="CS461" s="567"/>
      <c r="CT461" s="567"/>
      <c r="CU461" s="567"/>
      <c r="CV461" s="567"/>
      <c r="CW461" s="567"/>
      <c r="CX461" s="567"/>
      <c r="CY461" s="567"/>
      <c r="CZ461" s="567"/>
      <c r="DA461" s="567"/>
      <c r="DB461" s="567"/>
      <c r="DC461" s="567"/>
      <c r="DD461" s="567"/>
      <c r="DE461" s="567"/>
      <c r="DF461" s="567"/>
      <c r="DG461" s="567"/>
      <c r="DH461" s="567"/>
      <c r="DI461" s="567"/>
      <c r="DJ461" s="567"/>
      <c r="DK461" s="567"/>
      <c r="DL461" s="567"/>
      <c r="DM461" s="567"/>
      <c r="DN461" s="567"/>
      <c r="DO461" s="567"/>
      <c r="DP461" s="567"/>
      <c r="DQ461" s="567"/>
      <c r="DR461" s="567"/>
      <c r="DS461" s="567"/>
      <c r="DT461" s="567"/>
      <c r="DU461" s="567"/>
      <c r="DV461" s="567"/>
      <c r="DW461" s="567"/>
      <c r="DX461" s="567"/>
      <c r="DY461" s="567"/>
      <c r="DZ461" s="567"/>
      <c r="EA461" s="567"/>
      <c r="EB461" s="567"/>
      <c r="EC461" s="567"/>
      <c r="ED461" s="567"/>
      <c r="EE461" s="567"/>
      <c r="EF461" s="567"/>
      <c r="EG461" s="567"/>
      <c r="EH461" s="567"/>
      <c r="EI461" s="567"/>
      <c r="EJ461" s="567"/>
      <c r="EK461" s="567"/>
      <c r="EL461" s="567"/>
      <c r="EM461" s="567"/>
      <c r="EN461" s="567"/>
      <c r="EO461" s="567"/>
      <c r="EP461" s="567"/>
      <c r="EQ461" s="567"/>
      <c r="ER461" s="567"/>
      <c r="ES461" s="567"/>
      <c r="ET461" s="567"/>
      <c r="EU461" s="567"/>
      <c r="EV461" s="567"/>
      <c r="EW461" s="567"/>
      <c r="EX461" s="567"/>
      <c r="EY461" s="567"/>
      <c r="EZ461" s="567"/>
      <c r="FA461" s="567"/>
      <c r="FB461" s="567"/>
      <c r="FC461" s="567"/>
      <c r="FD461" s="567"/>
      <c r="FE461" s="567"/>
      <c r="FF461" s="567"/>
      <c r="FG461" s="567"/>
      <c r="FH461" s="567"/>
      <c r="FI461" s="567"/>
      <c r="FJ461" s="567"/>
      <c r="FK461" s="567"/>
      <c r="FL461" s="567"/>
      <c r="FM461" s="567"/>
      <c r="FN461" s="567"/>
      <c r="FO461" s="567"/>
      <c r="FP461" s="567"/>
      <c r="FQ461" s="567"/>
      <c r="FR461" s="567"/>
      <c r="FS461" s="567"/>
      <c r="FT461" s="567"/>
      <c r="FU461" s="567"/>
      <c r="FV461" s="567"/>
      <c r="FW461" s="567"/>
      <c r="FX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  <c r="BW462" s="567"/>
      <c r="BX462" s="567"/>
      <c r="BY462" s="567"/>
      <c r="BZ462" s="567"/>
      <c r="CA462" s="567"/>
      <c r="CB462" s="567"/>
      <c r="CC462" s="567"/>
      <c r="CD462" s="567"/>
      <c r="CE462" s="567"/>
      <c r="CF462" s="567"/>
      <c r="CG462" s="567"/>
      <c r="CH462" s="567"/>
      <c r="CI462" s="567"/>
      <c r="CJ462" s="567"/>
      <c r="CK462" s="567"/>
      <c r="CL462" s="567"/>
      <c r="CM462" s="567"/>
      <c r="CN462" s="567"/>
      <c r="CO462" s="567"/>
      <c r="CP462" s="567"/>
      <c r="CQ462" s="567"/>
      <c r="CR462" s="567"/>
      <c r="CS462" s="567"/>
      <c r="CT462" s="567"/>
      <c r="CU462" s="567"/>
      <c r="CV462" s="567"/>
      <c r="CW462" s="567"/>
      <c r="CX462" s="567"/>
      <c r="CY462" s="567"/>
      <c r="CZ462" s="567"/>
      <c r="DA462" s="567"/>
      <c r="DB462" s="567"/>
      <c r="DC462" s="567"/>
      <c r="DD462" s="567"/>
      <c r="DE462" s="567"/>
      <c r="DF462" s="567"/>
      <c r="DG462" s="567"/>
      <c r="DH462" s="567"/>
      <c r="DI462" s="567"/>
      <c r="DJ462" s="567"/>
      <c r="DK462" s="567"/>
      <c r="DL462" s="567"/>
      <c r="DM462" s="567"/>
      <c r="DN462" s="567"/>
      <c r="DO462" s="567"/>
      <c r="DP462" s="567"/>
      <c r="DQ462" s="567"/>
      <c r="DR462" s="567"/>
      <c r="DS462" s="567"/>
      <c r="DT462" s="567"/>
      <c r="DU462" s="567"/>
      <c r="DV462" s="567"/>
      <c r="DW462" s="567"/>
      <c r="DX462" s="567"/>
      <c r="DY462" s="567"/>
      <c r="DZ462" s="567"/>
      <c r="EA462" s="567"/>
      <c r="EB462" s="567"/>
      <c r="EC462" s="567"/>
      <c r="ED462" s="567"/>
      <c r="EE462" s="567"/>
      <c r="EF462" s="567"/>
      <c r="EG462" s="567"/>
      <c r="EH462" s="567"/>
      <c r="EI462" s="567"/>
      <c r="EJ462" s="567"/>
      <c r="EK462" s="567"/>
      <c r="EL462" s="567"/>
      <c r="EM462" s="567"/>
      <c r="EN462" s="567"/>
      <c r="EO462" s="567"/>
      <c r="EP462" s="567"/>
      <c r="EQ462" s="567"/>
      <c r="ER462" s="567"/>
      <c r="ES462" s="567"/>
      <c r="ET462" s="567"/>
      <c r="EU462" s="567"/>
      <c r="EV462" s="567"/>
      <c r="EW462" s="567"/>
      <c r="EX462" s="567"/>
      <c r="EY462" s="567"/>
      <c r="EZ462" s="567"/>
      <c r="FA462" s="567"/>
      <c r="FB462" s="567"/>
      <c r="FC462" s="567"/>
      <c r="FD462" s="567"/>
      <c r="FE462" s="567"/>
      <c r="FF462" s="567"/>
      <c r="FG462" s="567"/>
      <c r="FH462" s="567"/>
      <c r="FI462" s="567"/>
      <c r="FJ462" s="567"/>
      <c r="FK462" s="567"/>
      <c r="FL462" s="567"/>
      <c r="FM462" s="567"/>
      <c r="FN462" s="567"/>
      <c r="FO462" s="567"/>
      <c r="FP462" s="567"/>
      <c r="FQ462" s="567"/>
      <c r="FR462" s="567"/>
      <c r="FS462" s="567"/>
      <c r="FT462" s="567"/>
      <c r="FU462" s="567"/>
      <c r="FV462" s="567"/>
      <c r="FW462" s="567"/>
      <c r="FX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  <c r="BW463" s="567"/>
      <c r="BX463" s="567"/>
      <c r="BY463" s="567"/>
      <c r="BZ463" s="567"/>
      <c r="CA463" s="567"/>
      <c r="CB463" s="567"/>
      <c r="CC463" s="567"/>
      <c r="CD463" s="567"/>
      <c r="CE463" s="567"/>
      <c r="CF463" s="567"/>
      <c r="CG463" s="567"/>
      <c r="CH463" s="567"/>
      <c r="CI463" s="567"/>
      <c r="CJ463" s="567"/>
      <c r="CK463" s="567"/>
      <c r="CL463" s="567"/>
      <c r="CM463" s="567"/>
      <c r="CN463" s="567"/>
      <c r="CO463" s="567"/>
      <c r="CP463" s="567"/>
      <c r="CQ463" s="567"/>
      <c r="CR463" s="567"/>
      <c r="CS463" s="567"/>
      <c r="CT463" s="567"/>
      <c r="CU463" s="567"/>
      <c r="CV463" s="567"/>
      <c r="CW463" s="567"/>
      <c r="CX463" s="567"/>
      <c r="CY463" s="567"/>
      <c r="CZ463" s="567"/>
      <c r="DA463" s="567"/>
      <c r="DB463" s="567"/>
      <c r="DC463" s="567"/>
      <c r="DD463" s="567"/>
      <c r="DE463" s="567"/>
      <c r="DF463" s="567"/>
      <c r="DG463" s="567"/>
      <c r="DH463" s="567"/>
      <c r="DI463" s="567"/>
      <c r="DJ463" s="567"/>
      <c r="DK463" s="567"/>
      <c r="DL463" s="567"/>
      <c r="DM463" s="567"/>
      <c r="DN463" s="567"/>
      <c r="DO463" s="567"/>
      <c r="DP463" s="567"/>
      <c r="DQ463" s="567"/>
      <c r="DR463" s="567"/>
      <c r="DS463" s="567"/>
      <c r="DT463" s="567"/>
      <c r="DU463" s="567"/>
      <c r="DV463" s="567"/>
      <c r="DW463" s="567"/>
      <c r="DX463" s="567"/>
      <c r="DY463" s="567"/>
      <c r="DZ463" s="567"/>
      <c r="EA463" s="567"/>
      <c r="EB463" s="567"/>
      <c r="EC463" s="567"/>
      <c r="ED463" s="567"/>
      <c r="EE463" s="567"/>
      <c r="EF463" s="567"/>
      <c r="EG463" s="567"/>
      <c r="EH463" s="567"/>
      <c r="EI463" s="567"/>
      <c r="EJ463" s="567"/>
      <c r="EK463" s="567"/>
      <c r="EL463" s="567"/>
      <c r="EM463" s="567"/>
      <c r="EN463" s="567"/>
      <c r="EO463" s="567"/>
      <c r="EP463" s="567"/>
      <c r="EQ463" s="567"/>
      <c r="ER463" s="567"/>
      <c r="ES463" s="567"/>
      <c r="ET463" s="567"/>
      <c r="EU463" s="567"/>
      <c r="EV463" s="567"/>
      <c r="EW463" s="567"/>
      <c r="EX463" s="567"/>
      <c r="EY463" s="567"/>
      <c r="EZ463" s="567"/>
      <c r="FA463" s="567"/>
      <c r="FB463" s="567"/>
      <c r="FC463" s="567"/>
      <c r="FD463" s="567"/>
      <c r="FE463" s="567"/>
      <c r="FF463" s="567"/>
      <c r="FG463" s="567"/>
      <c r="FH463" s="567"/>
      <c r="FI463" s="567"/>
      <c r="FJ463" s="567"/>
      <c r="FK463" s="567"/>
      <c r="FL463" s="567"/>
      <c r="FM463" s="567"/>
      <c r="FN463" s="567"/>
      <c r="FO463" s="567"/>
      <c r="FP463" s="567"/>
      <c r="FQ463" s="567"/>
      <c r="FR463" s="567"/>
      <c r="FS463" s="567"/>
      <c r="FT463" s="567"/>
      <c r="FU463" s="567"/>
      <c r="FV463" s="567"/>
      <c r="FW463" s="567"/>
      <c r="FX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  <c r="BW464" s="567"/>
      <c r="BX464" s="567"/>
      <c r="BY464" s="567"/>
      <c r="BZ464" s="567"/>
      <c r="CA464" s="567"/>
      <c r="CB464" s="567"/>
      <c r="CC464" s="567"/>
      <c r="CD464" s="567"/>
      <c r="CE464" s="567"/>
      <c r="CF464" s="567"/>
      <c r="CG464" s="567"/>
      <c r="CH464" s="567"/>
      <c r="CI464" s="567"/>
      <c r="CJ464" s="567"/>
      <c r="CK464" s="567"/>
      <c r="CL464" s="567"/>
      <c r="CM464" s="567"/>
      <c r="CN464" s="567"/>
      <c r="CO464" s="567"/>
      <c r="CP464" s="567"/>
      <c r="CQ464" s="567"/>
      <c r="CR464" s="567"/>
      <c r="CS464" s="567"/>
      <c r="CT464" s="567"/>
      <c r="CU464" s="567"/>
      <c r="CV464" s="567"/>
      <c r="CW464" s="567"/>
      <c r="CX464" s="567"/>
      <c r="CY464" s="567"/>
      <c r="CZ464" s="567"/>
      <c r="DA464" s="567"/>
      <c r="DB464" s="567"/>
      <c r="DC464" s="567"/>
      <c r="DD464" s="567"/>
      <c r="DE464" s="567"/>
      <c r="DF464" s="567"/>
      <c r="DG464" s="567"/>
      <c r="DH464" s="567"/>
      <c r="DI464" s="567"/>
      <c r="DJ464" s="567"/>
      <c r="DK464" s="567"/>
      <c r="DL464" s="567"/>
      <c r="DM464" s="567"/>
      <c r="DN464" s="567"/>
      <c r="DO464" s="567"/>
      <c r="DP464" s="567"/>
      <c r="DQ464" s="567"/>
      <c r="DR464" s="567"/>
      <c r="DS464" s="567"/>
      <c r="DT464" s="567"/>
      <c r="DU464" s="567"/>
      <c r="DV464" s="567"/>
      <c r="DW464" s="567"/>
      <c r="DX464" s="567"/>
      <c r="DY464" s="567"/>
      <c r="DZ464" s="567"/>
      <c r="EA464" s="567"/>
      <c r="EB464" s="567"/>
      <c r="EC464" s="567"/>
      <c r="ED464" s="567"/>
      <c r="EE464" s="567"/>
      <c r="EF464" s="567"/>
      <c r="EG464" s="567"/>
      <c r="EH464" s="567"/>
      <c r="EI464" s="567"/>
      <c r="EJ464" s="567"/>
      <c r="EK464" s="567"/>
      <c r="EL464" s="567"/>
      <c r="EM464" s="567"/>
      <c r="EN464" s="567"/>
      <c r="EO464" s="567"/>
      <c r="EP464" s="567"/>
      <c r="EQ464" s="567"/>
      <c r="ER464" s="567"/>
      <c r="ES464" s="567"/>
      <c r="ET464" s="567"/>
      <c r="EU464" s="567"/>
      <c r="EV464" s="567"/>
      <c r="EW464" s="567"/>
      <c r="EX464" s="567"/>
      <c r="EY464" s="567"/>
      <c r="EZ464" s="567"/>
      <c r="FA464" s="567"/>
      <c r="FB464" s="567"/>
      <c r="FC464" s="567"/>
      <c r="FD464" s="567"/>
      <c r="FE464" s="567"/>
      <c r="FF464" s="567"/>
      <c r="FG464" s="567"/>
      <c r="FH464" s="567"/>
      <c r="FI464" s="567"/>
      <c r="FJ464" s="567"/>
      <c r="FK464" s="567"/>
      <c r="FL464" s="567"/>
      <c r="FM464" s="567"/>
      <c r="FN464" s="567"/>
      <c r="FO464" s="567"/>
      <c r="FP464" s="567"/>
      <c r="FQ464" s="567"/>
      <c r="FR464" s="567"/>
      <c r="FS464" s="567"/>
      <c r="FT464" s="567"/>
      <c r="FU464" s="567"/>
      <c r="FV464" s="567"/>
      <c r="FW464" s="567"/>
      <c r="FX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  <c r="BW465" s="567"/>
      <c r="BX465" s="567"/>
      <c r="BY465" s="567"/>
      <c r="BZ465" s="567"/>
      <c r="CA465" s="567"/>
      <c r="CB465" s="567"/>
      <c r="CC465" s="567"/>
      <c r="CD465" s="567"/>
      <c r="CE465" s="567"/>
      <c r="CF465" s="567"/>
      <c r="CG465" s="567"/>
      <c r="CH465" s="567"/>
      <c r="CI465" s="567"/>
      <c r="CJ465" s="567"/>
      <c r="CK465" s="567"/>
      <c r="CL465" s="567"/>
      <c r="CM465" s="567"/>
      <c r="CN465" s="567"/>
      <c r="CO465" s="567"/>
      <c r="CP465" s="567"/>
      <c r="CQ465" s="567"/>
      <c r="CR465" s="567"/>
      <c r="CS465" s="567"/>
      <c r="CT465" s="567"/>
      <c r="CU465" s="567"/>
      <c r="CV465" s="567"/>
      <c r="CW465" s="567"/>
      <c r="CX465" s="567"/>
      <c r="CY465" s="567"/>
      <c r="CZ465" s="567"/>
      <c r="DA465" s="567"/>
      <c r="DB465" s="567"/>
      <c r="DC465" s="567"/>
      <c r="DD465" s="567"/>
      <c r="DE465" s="567"/>
      <c r="DF465" s="567"/>
      <c r="DG465" s="567"/>
      <c r="DH465" s="567"/>
      <c r="DI465" s="567"/>
      <c r="DJ465" s="567"/>
      <c r="DK465" s="567"/>
      <c r="DL465" s="567"/>
      <c r="DM465" s="567"/>
      <c r="DN465" s="567"/>
      <c r="DO465" s="567"/>
      <c r="DP465" s="567"/>
      <c r="DQ465" s="567"/>
      <c r="DR465" s="567"/>
      <c r="DS465" s="567"/>
      <c r="DT465" s="567"/>
      <c r="DU465" s="567"/>
      <c r="DV465" s="567"/>
      <c r="DW465" s="567"/>
      <c r="DX465" s="567"/>
      <c r="DY465" s="567"/>
      <c r="DZ465" s="567"/>
      <c r="EA465" s="567"/>
      <c r="EB465" s="567"/>
      <c r="EC465" s="567"/>
      <c r="ED465" s="567"/>
      <c r="EE465" s="567"/>
      <c r="EF465" s="567"/>
      <c r="EG465" s="567"/>
      <c r="EH465" s="567"/>
      <c r="EI465" s="567"/>
      <c r="EJ465" s="567"/>
      <c r="EK465" s="567"/>
      <c r="EL465" s="567"/>
      <c r="EM465" s="567"/>
      <c r="EN465" s="567"/>
      <c r="EO465" s="567"/>
      <c r="EP465" s="567"/>
      <c r="EQ465" s="567"/>
      <c r="ER465" s="567"/>
      <c r="ES465" s="567"/>
      <c r="ET465" s="567"/>
      <c r="EU465" s="567"/>
      <c r="EV465" s="567"/>
      <c r="EW465" s="567"/>
      <c r="EX465" s="567"/>
      <c r="EY465" s="567"/>
      <c r="EZ465" s="567"/>
      <c r="FA465" s="567"/>
      <c r="FB465" s="567"/>
      <c r="FC465" s="567"/>
      <c r="FD465" s="567"/>
      <c r="FE465" s="567"/>
      <c r="FF465" s="567"/>
      <c r="FG465" s="567"/>
      <c r="FH465" s="567"/>
      <c r="FI465" s="567"/>
      <c r="FJ465" s="567"/>
      <c r="FK465" s="567"/>
      <c r="FL465" s="567"/>
      <c r="FM465" s="567"/>
      <c r="FN465" s="567"/>
      <c r="FO465" s="567"/>
      <c r="FP465" s="567"/>
      <c r="FQ465" s="567"/>
      <c r="FR465" s="567"/>
      <c r="FS465" s="567"/>
      <c r="FT465" s="567"/>
      <c r="FU465" s="567"/>
      <c r="FV465" s="567"/>
      <c r="FW465" s="567"/>
      <c r="FX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  <c r="BW466" s="567"/>
      <c r="BX466" s="567"/>
      <c r="BY466" s="567"/>
      <c r="BZ466" s="567"/>
      <c r="CA466" s="567"/>
      <c r="CB466" s="567"/>
      <c r="CC466" s="567"/>
      <c r="CD466" s="567"/>
      <c r="CE466" s="567"/>
      <c r="CF466" s="567"/>
      <c r="CG466" s="567"/>
      <c r="CH466" s="567"/>
      <c r="CI466" s="567"/>
      <c r="CJ466" s="567"/>
      <c r="CK466" s="567"/>
      <c r="CL466" s="567"/>
      <c r="CM466" s="567"/>
      <c r="CN466" s="567"/>
      <c r="CO466" s="567"/>
      <c r="CP466" s="567"/>
      <c r="CQ466" s="567"/>
      <c r="CR466" s="567"/>
      <c r="CS466" s="567"/>
      <c r="CT466" s="567"/>
      <c r="CU466" s="567"/>
      <c r="CV466" s="567"/>
      <c r="CW466" s="567"/>
      <c r="CX466" s="567"/>
      <c r="CY466" s="567"/>
      <c r="CZ466" s="567"/>
      <c r="DA466" s="567"/>
      <c r="DB466" s="567"/>
      <c r="DC466" s="567"/>
      <c r="DD466" s="567"/>
      <c r="DE466" s="567"/>
      <c r="DF466" s="567"/>
      <c r="DG466" s="567"/>
      <c r="DH466" s="567"/>
      <c r="DI466" s="567"/>
      <c r="DJ466" s="567"/>
      <c r="DK466" s="567"/>
      <c r="DL466" s="567"/>
      <c r="DM466" s="567"/>
      <c r="DN466" s="567"/>
      <c r="DO466" s="567"/>
      <c r="DP466" s="567"/>
      <c r="DQ466" s="567"/>
      <c r="DR466" s="567"/>
      <c r="DS466" s="567"/>
      <c r="DT466" s="567"/>
      <c r="DU466" s="567"/>
      <c r="DV466" s="567"/>
      <c r="DW466" s="567"/>
      <c r="DX466" s="567"/>
      <c r="DY466" s="567"/>
      <c r="DZ466" s="567"/>
      <c r="EA466" s="567"/>
      <c r="EB466" s="567"/>
      <c r="EC466" s="567"/>
      <c r="ED466" s="567"/>
      <c r="EE466" s="567"/>
      <c r="EF466" s="567"/>
      <c r="EG466" s="567"/>
      <c r="EH466" s="567"/>
      <c r="EI466" s="567"/>
      <c r="EJ466" s="567"/>
      <c r="EK466" s="567"/>
      <c r="EL466" s="567"/>
      <c r="EM466" s="567"/>
      <c r="EN466" s="567"/>
      <c r="EO466" s="567"/>
      <c r="EP466" s="567"/>
      <c r="EQ466" s="567"/>
      <c r="ER466" s="567"/>
      <c r="ES466" s="567"/>
      <c r="ET466" s="567"/>
      <c r="EU466" s="567"/>
      <c r="EV466" s="567"/>
      <c r="EW466" s="567"/>
      <c r="EX466" s="567"/>
      <c r="EY466" s="567"/>
      <c r="EZ466" s="567"/>
      <c r="FA466" s="567"/>
      <c r="FB466" s="567"/>
      <c r="FC466" s="567"/>
      <c r="FD466" s="567"/>
      <c r="FE466" s="567"/>
      <c r="FF466" s="567"/>
      <c r="FG466" s="567"/>
      <c r="FH466" s="567"/>
      <c r="FI466" s="567"/>
      <c r="FJ466" s="567"/>
      <c r="FK466" s="567"/>
      <c r="FL466" s="567"/>
      <c r="FM466" s="567"/>
      <c r="FN466" s="567"/>
      <c r="FO466" s="567"/>
      <c r="FP466" s="567"/>
      <c r="FQ466" s="567"/>
      <c r="FR466" s="567"/>
      <c r="FS466" s="567"/>
      <c r="FT466" s="567"/>
      <c r="FU466" s="567"/>
      <c r="FV466" s="567"/>
      <c r="FW466" s="567"/>
      <c r="FX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  <c r="BW467" s="567"/>
      <c r="BX467" s="567"/>
      <c r="BY467" s="567"/>
      <c r="BZ467" s="567"/>
      <c r="CA467" s="567"/>
      <c r="CB467" s="567"/>
      <c r="CC467" s="567"/>
      <c r="CD467" s="567"/>
      <c r="CE467" s="567"/>
      <c r="CF467" s="567"/>
      <c r="CG467" s="567"/>
      <c r="CH467" s="567"/>
      <c r="CI467" s="567"/>
      <c r="CJ467" s="567"/>
      <c r="CK467" s="567"/>
      <c r="CL467" s="567"/>
      <c r="CM467" s="567"/>
      <c r="CN467" s="567"/>
      <c r="CO467" s="567"/>
      <c r="CP467" s="567"/>
      <c r="CQ467" s="567"/>
      <c r="CR467" s="567"/>
      <c r="CS467" s="567"/>
      <c r="CT467" s="567"/>
      <c r="CU467" s="567"/>
      <c r="CV467" s="567"/>
      <c r="CW467" s="567"/>
      <c r="CX467" s="567"/>
      <c r="CY467" s="567"/>
      <c r="CZ467" s="567"/>
      <c r="DA467" s="567"/>
      <c r="DB467" s="567"/>
      <c r="DC467" s="567"/>
      <c r="DD467" s="567"/>
      <c r="DE467" s="567"/>
      <c r="DF467" s="567"/>
      <c r="DG467" s="567"/>
      <c r="DH467" s="567"/>
      <c r="DI467" s="567"/>
      <c r="DJ467" s="567"/>
      <c r="DK467" s="567"/>
      <c r="DL467" s="567"/>
      <c r="DM467" s="567"/>
      <c r="DN467" s="567"/>
      <c r="DO467" s="567"/>
      <c r="DP467" s="567"/>
      <c r="DQ467" s="567"/>
      <c r="DR467" s="567"/>
      <c r="DS467" s="567"/>
      <c r="DT467" s="567"/>
      <c r="DU467" s="567"/>
      <c r="DV467" s="567"/>
      <c r="DW467" s="567"/>
      <c r="DX467" s="567"/>
      <c r="DY467" s="567"/>
      <c r="DZ467" s="567"/>
      <c r="EA467" s="567"/>
      <c r="EB467" s="567"/>
      <c r="EC467" s="567"/>
      <c r="ED467" s="567"/>
      <c r="EE467" s="567"/>
      <c r="EF467" s="567"/>
      <c r="EG467" s="567"/>
      <c r="EH467" s="567"/>
      <c r="EI467" s="567"/>
      <c r="EJ467" s="567"/>
      <c r="EK467" s="567"/>
      <c r="EL467" s="567"/>
      <c r="EM467" s="567"/>
      <c r="EN467" s="567"/>
      <c r="EO467" s="567"/>
      <c r="EP467" s="567"/>
      <c r="EQ467" s="567"/>
      <c r="ER467" s="567"/>
      <c r="ES467" s="567"/>
      <c r="ET467" s="567"/>
      <c r="EU467" s="567"/>
      <c r="EV467" s="567"/>
      <c r="EW467" s="567"/>
      <c r="EX467" s="567"/>
      <c r="EY467" s="567"/>
      <c r="EZ467" s="567"/>
      <c r="FA467" s="567"/>
      <c r="FB467" s="567"/>
      <c r="FC467" s="567"/>
      <c r="FD467" s="567"/>
      <c r="FE467" s="567"/>
      <c r="FF467" s="567"/>
      <c r="FG467" s="567"/>
      <c r="FH467" s="567"/>
      <c r="FI467" s="567"/>
      <c r="FJ467" s="567"/>
      <c r="FK467" s="567"/>
      <c r="FL467" s="567"/>
      <c r="FM467" s="567"/>
      <c r="FN467" s="567"/>
      <c r="FO467" s="567"/>
      <c r="FP467" s="567"/>
      <c r="FQ467" s="567"/>
      <c r="FR467" s="567"/>
      <c r="FS467" s="567"/>
      <c r="FT467" s="567"/>
      <c r="FU467" s="567"/>
      <c r="FV467" s="567"/>
      <c r="FW467" s="567"/>
      <c r="FX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  <c r="BW468" s="567"/>
      <c r="BX468" s="567"/>
      <c r="BY468" s="567"/>
      <c r="BZ468" s="567"/>
      <c r="CA468" s="567"/>
      <c r="CB468" s="567"/>
      <c r="CC468" s="567"/>
      <c r="CD468" s="567"/>
      <c r="CE468" s="567"/>
      <c r="CF468" s="567"/>
      <c r="CG468" s="567"/>
      <c r="CH468" s="567"/>
      <c r="CI468" s="567"/>
      <c r="CJ468" s="567"/>
      <c r="CK468" s="567"/>
      <c r="CL468" s="567"/>
      <c r="CM468" s="567"/>
      <c r="CN468" s="567"/>
      <c r="CO468" s="567"/>
      <c r="CP468" s="567"/>
      <c r="CQ468" s="567"/>
      <c r="CR468" s="567"/>
      <c r="CS468" s="567"/>
      <c r="CT468" s="567"/>
      <c r="CU468" s="567"/>
      <c r="CV468" s="567"/>
      <c r="CW468" s="567"/>
      <c r="CX468" s="567"/>
      <c r="CY468" s="567"/>
      <c r="CZ468" s="567"/>
      <c r="DA468" s="567"/>
      <c r="DB468" s="567"/>
      <c r="DC468" s="567"/>
      <c r="DD468" s="567"/>
      <c r="DE468" s="567"/>
      <c r="DF468" s="567"/>
      <c r="DG468" s="567"/>
      <c r="DH468" s="567"/>
      <c r="DI468" s="567"/>
      <c r="DJ468" s="567"/>
      <c r="DK468" s="567"/>
      <c r="DL468" s="567"/>
      <c r="DM468" s="567"/>
      <c r="DN468" s="567"/>
      <c r="DO468" s="567"/>
      <c r="DP468" s="567"/>
      <c r="DQ468" s="567"/>
      <c r="DR468" s="567"/>
      <c r="DS468" s="567"/>
      <c r="DT468" s="567"/>
      <c r="DU468" s="567"/>
      <c r="DV468" s="567"/>
      <c r="DW468" s="567"/>
      <c r="DX468" s="567"/>
      <c r="DY468" s="567"/>
      <c r="DZ468" s="567"/>
      <c r="EA468" s="567"/>
      <c r="EB468" s="567"/>
      <c r="EC468" s="567"/>
      <c r="ED468" s="567"/>
      <c r="EE468" s="567"/>
      <c r="EF468" s="567"/>
      <c r="EG468" s="567"/>
      <c r="EH468" s="567"/>
      <c r="EI468" s="567"/>
      <c r="EJ468" s="567"/>
      <c r="EK468" s="567"/>
      <c r="EL468" s="567"/>
      <c r="EM468" s="567"/>
      <c r="EN468" s="567"/>
      <c r="EO468" s="567"/>
      <c r="EP468" s="567"/>
      <c r="EQ468" s="567"/>
      <c r="ER468" s="567"/>
      <c r="ES468" s="567"/>
      <c r="ET468" s="567"/>
      <c r="EU468" s="567"/>
      <c r="EV468" s="567"/>
      <c r="EW468" s="567"/>
      <c r="EX468" s="567"/>
      <c r="EY468" s="567"/>
      <c r="EZ468" s="567"/>
      <c r="FA468" s="567"/>
      <c r="FB468" s="567"/>
      <c r="FC468" s="567"/>
      <c r="FD468" s="567"/>
      <c r="FE468" s="567"/>
      <c r="FF468" s="567"/>
      <c r="FG468" s="567"/>
      <c r="FH468" s="567"/>
      <c r="FI468" s="567"/>
      <c r="FJ468" s="567"/>
      <c r="FK468" s="567"/>
      <c r="FL468" s="567"/>
      <c r="FM468" s="567"/>
      <c r="FN468" s="567"/>
      <c r="FO468" s="567"/>
      <c r="FP468" s="567"/>
      <c r="FQ468" s="567"/>
      <c r="FR468" s="567"/>
      <c r="FS468" s="567"/>
      <c r="FT468" s="567"/>
      <c r="FU468" s="567"/>
      <c r="FV468" s="567"/>
      <c r="FW468" s="567"/>
      <c r="FX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  <c r="BW469" s="567"/>
      <c r="BX469" s="567"/>
      <c r="BY469" s="567"/>
      <c r="BZ469" s="567"/>
      <c r="CA469" s="567"/>
      <c r="CB469" s="567"/>
      <c r="CC469" s="567"/>
      <c r="CD469" s="567"/>
      <c r="CE469" s="567"/>
      <c r="CF469" s="567"/>
      <c r="CG469" s="567"/>
      <c r="CH469" s="567"/>
      <c r="CI469" s="567"/>
      <c r="CJ469" s="567"/>
      <c r="CK469" s="567"/>
      <c r="CL469" s="567"/>
      <c r="CM469" s="567"/>
      <c r="CN469" s="567"/>
      <c r="CO469" s="567"/>
      <c r="CP469" s="567"/>
      <c r="CQ469" s="567"/>
      <c r="CR469" s="567"/>
      <c r="CS469" s="567"/>
      <c r="CT469" s="567"/>
      <c r="CU469" s="567"/>
      <c r="CV469" s="567"/>
      <c r="CW469" s="567"/>
      <c r="CX469" s="567"/>
      <c r="CY469" s="567"/>
      <c r="CZ469" s="567"/>
      <c r="DA469" s="567"/>
      <c r="DB469" s="567"/>
      <c r="DC469" s="567"/>
      <c r="DD469" s="567"/>
      <c r="DE469" s="567"/>
      <c r="DF469" s="567"/>
      <c r="DG469" s="567"/>
      <c r="DH469" s="567"/>
      <c r="DI469" s="567"/>
      <c r="DJ469" s="567"/>
      <c r="DK469" s="567"/>
      <c r="DL469" s="567"/>
      <c r="DM469" s="567"/>
      <c r="DN469" s="567"/>
      <c r="DO469" s="567"/>
      <c r="DP469" s="567"/>
      <c r="DQ469" s="567"/>
      <c r="DR469" s="567"/>
      <c r="DS469" s="567"/>
      <c r="DT469" s="567"/>
      <c r="DU469" s="567"/>
      <c r="DV469" s="567"/>
      <c r="DW469" s="567"/>
      <c r="DX469" s="567"/>
      <c r="DY469" s="567"/>
      <c r="DZ469" s="567"/>
      <c r="EA469" s="567"/>
      <c r="EB469" s="567"/>
      <c r="EC469" s="567"/>
      <c r="ED469" s="567"/>
      <c r="EE469" s="567"/>
      <c r="EF469" s="567"/>
      <c r="EG469" s="567"/>
      <c r="EH469" s="567"/>
      <c r="EI469" s="567"/>
      <c r="EJ469" s="567"/>
      <c r="EK469" s="567"/>
      <c r="EL469" s="567"/>
      <c r="EM469" s="567"/>
      <c r="EN469" s="567"/>
      <c r="EO469" s="567"/>
      <c r="EP469" s="567"/>
      <c r="EQ469" s="567"/>
      <c r="ER469" s="567"/>
      <c r="ES469" s="567"/>
      <c r="ET469" s="567"/>
      <c r="EU469" s="567"/>
      <c r="EV469" s="567"/>
      <c r="EW469" s="567"/>
      <c r="EX469" s="567"/>
      <c r="EY469" s="567"/>
      <c r="EZ469" s="567"/>
      <c r="FA469" s="567"/>
      <c r="FB469" s="567"/>
      <c r="FC469" s="567"/>
      <c r="FD469" s="567"/>
      <c r="FE469" s="567"/>
      <c r="FF469" s="567"/>
      <c r="FG469" s="567"/>
      <c r="FH469" s="567"/>
      <c r="FI469" s="567"/>
      <c r="FJ469" s="567"/>
      <c r="FK469" s="567"/>
      <c r="FL469" s="567"/>
      <c r="FM469" s="567"/>
      <c r="FN469" s="567"/>
      <c r="FO469" s="567"/>
      <c r="FP469" s="567"/>
      <c r="FQ469" s="567"/>
      <c r="FR469" s="567"/>
      <c r="FS469" s="567"/>
      <c r="FT469" s="567"/>
      <c r="FU469" s="567"/>
      <c r="FV469" s="567"/>
      <c r="FW469" s="567"/>
      <c r="FX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  <c r="BW470" s="567"/>
      <c r="BX470" s="567"/>
      <c r="BY470" s="567"/>
      <c r="BZ470" s="567"/>
      <c r="CA470" s="567"/>
      <c r="CB470" s="567"/>
      <c r="CC470" s="567"/>
      <c r="CD470" s="567"/>
      <c r="CE470" s="567"/>
      <c r="CF470" s="567"/>
      <c r="CG470" s="567"/>
      <c r="CH470" s="567"/>
      <c r="CI470" s="567"/>
      <c r="CJ470" s="567"/>
      <c r="CK470" s="567"/>
      <c r="CL470" s="567"/>
      <c r="CM470" s="567"/>
      <c r="CN470" s="567"/>
      <c r="CO470" s="567"/>
      <c r="CP470" s="567"/>
      <c r="CQ470" s="567"/>
      <c r="CR470" s="567"/>
      <c r="CS470" s="567"/>
      <c r="CT470" s="567"/>
      <c r="CU470" s="567"/>
      <c r="CV470" s="567"/>
      <c r="CW470" s="567"/>
      <c r="CX470" s="567"/>
      <c r="CY470" s="567"/>
      <c r="CZ470" s="567"/>
      <c r="DA470" s="567"/>
      <c r="DB470" s="567"/>
      <c r="DC470" s="567"/>
      <c r="DD470" s="567"/>
      <c r="DE470" s="567"/>
      <c r="DF470" s="567"/>
      <c r="DG470" s="567"/>
      <c r="DH470" s="567"/>
      <c r="DI470" s="567"/>
      <c r="DJ470" s="567"/>
      <c r="DK470" s="567"/>
      <c r="DL470" s="567"/>
      <c r="DM470" s="567"/>
      <c r="DN470" s="567"/>
      <c r="DO470" s="567"/>
      <c r="DP470" s="567"/>
      <c r="DQ470" s="567"/>
      <c r="DR470" s="567"/>
      <c r="DS470" s="567"/>
      <c r="DT470" s="567"/>
      <c r="DU470" s="567"/>
      <c r="DV470" s="567"/>
      <c r="DW470" s="567"/>
      <c r="DX470" s="567"/>
      <c r="DY470" s="567"/>
      <c r="DZ470" s="567"/>
      <c r="EA470" s="567"/>
      <c r="EB470" s="567"/>
      <c r="EC470" s="567"/>
      <c r="ED470" s="567"/>
      <c r="EE470" s="567"/>
      <c r="EF470" s="567"/>
      <c r="EG470" s="567"/>
      <c r="EH470" s="567"/>
      <c r="EI470" s="567"/>
      <c r="EJ470" s="567"/>
      <c r="EK470" s="567"/>
      <c r="EL470" s="567"/>
      <c r="EM470" s="567"/>
      <c r="EN470" s="567"/>
      <c r="EO470" s="567"/>
      <c r="EP470" s="567"/>
      <c r="EQ470" s="567"/>
      <c r="ER470" s="567"/>
      <c r="ES470" s="567"/>
      <c r="ET470" s="567"/>
      <c r="EU470" s="567"/>
      <c r="EV470" s="567"/>
      <c r="EW470" s="567"/>
      <c r="EX470" s="567"/>
      <c r="EY470" s="567"/>
      <c r="EZ470" s="567"/>
      <c r="FA470" s="567"/>
      <c r="FB470" s="567"/>
      <c r="FC470" s="567"/>
      <c r="FD470" s="567"/>
      <c r="FE470" s="567"/>
      <c r="FF470" s="567"/>
      <c r="FG470" s="567"/>
      <c r="FH470" s="567"/>
      <c r="FI470" s="567"/>
      <c r="FJ470" s="567"/>
      <c r="FK470" s="567"/>
      <c r="FL470" s="567"/>
      <c r="FM470" s="567"/>
      <c r="FN470" s="567"/>
      <c r="FO470" s="567"/>
      <c r="FP470" s="567"/>
      <c r="FQ470" s="567"/>
      <c r="FR470" s="567"/>
      <c r="FS470" s="567"/>
      <c r="FT470" s="567"/>
      <c r="FU470" s="567"/>
      <c r="FV470" s="567"/>
      <c r="FW470" s="567"/>
      <c r="FX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  <c r="BW471" s="567"/>
      <c r="BX471" s="567"/>
      <c r="BY471" s="567"/>
      <c r="BZ471" s="567"/>
      <c r="CA471" s="567"/>
      <c r="CB471" s="567"/>
      <c r="CC471" s="567"/>
      <c r="CD471" s="567"/>
      <c r="CE471" s="567"/>
      <c r="CF471" s="567"/>
      <c r="CG471" s="567"/>
      <c r="CH471" s="567"/>
      <c r="CI471" s="567"/>
      <c r="CJ471" s="567"/>
      <c r="CK471" s="567"/>
      <c r="CL471" s="567"/>
      <c r="CM471" s="567"/>
      <c r="CN471" s="567"/>
      <c r="CO471" s="567"/>
      <c r="CP471" s="567"/>
      <c r="CQ471" s="567"/>
      <c r="CR471" s="567"/>
      <c r="CS471" s="567"/>
      <c r="CT471" s="567"/>
      <c r="CU471" s="567"/>
      <c r="CV471" s="567"/>
      <c r="CW471" s="567"/>
      <c r="CX471" s="567"/>
      <c r="CY471" s="567"/>
      <c r="CZ471" s="567"/>
      <c r="DA471" s="567"/>
      <c r="DB471" s="567"/>
      <c r="DC471" s="567"/>
      <c r="DD471" s="567"/>
      <c r="DE471" s="567"/>
      <c r="DF471" s="567"/>
      <c r="DG471" s="567"/>
      <c r="DH471" s="567"/>
      <c r="DI471" s="567"/>
      <c r="DJ471" s="567"/>
      <c r="DK471" s="567"/>
      <c r="DL471" s="567"/>
      <c r="DM471" s="567"/>
      <c r="DN471" s="567"/>
      <c r="DO471" s="567"/>
      <c r="DP471" s="567"/>
      <c r="DQ471" s="567"/>
      <c r="DR471" s="567"/>
      <c r="DS471" s="567"/>
      <c r="DT471" s="567"/>
      <c r="DU471" s="567"/>
      <c r="DV471" s="567"/>
      <c r="DW471" s="567"/>
      <c r="DX471" s="567"/>
      <c r="DY471" s="567"/>
      <c r="DZ471" s="567"/>
      <c r="EA471" s="567"/>
      <c r="EB471" s="567"/>
      <c r="EC471" s="567"/>
      <c r="ED471" s="567"/>
      <c r="EE471" s="567"/>
      <c r="EF471" s="567"/>
      <c r="EG471" s="567"/>
      <c r="EH471" s="567"/>
      <c r="EI471" s="567"/>
      <c r="EJ471" s="567"/>
      <c r="EK471" s="567"/>
      <c r="EL471" s="567"/>
      <c r="EM471" s="567"/>
      <c r="EN471" s="567"/>
      <c r="EO471" s="567"/>
      <c r="EP471" s="567"/>
      <c r="EQ471" s="567"/>
      <c r="ER471" s="567"/>
      <c r="ES471" s="567"/>
      <c r="ET471" s="567"/>
      <c r="EU471" s="567"/>
      <c r="EV471" s="567"/>
      <c r="EW471" s="567"/>
      <c r="EX471" s="567"/>
      <c r="EY471" s="567"/>
      <c r="EZ471" s="567"/>
      <c r="FA471" s="567"/>
      <c r="FB471" s="567"/>
      <c r="FC471" s="567"/>
      <c r="FD471" s="567"/>
      <c r="FE471" s="567"/>
      <c r="FF471" s="567"/>
      <c r="FG471" s="567"/>
      <c r="FH471" s="567"/>
      <c r="FI471" s="567"/>
      <c r="FJ471" s="567"/>
      <c r="FK471" s="567"/>
      <c r="FL471" s="567"/>
      <c r="FM471" s="567"/>
      <c r="FN471" s="567"/>
      <c r="FO471" s="567"/>
      <c r="FP471" s="567"/>
      <c r="FQ471" s="567"/>
      <c r="FR471" s="567"/>
      <c r="FS471" s="567"/>
      <c r="FT471" s="567"/>
      <c r="FU471" s="567"/>
      <c r="FV471" s="567"/>
      <c r="FW471" s="567"/>
      <c r="FX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  <c r="BW472" s="567"/>
      <c r="BX472" s="567"/>
      <c r="BY472" s="567"/>
      <c r="BZ472" s="567"/>
      <c r="CA472" s="567"/>
      <c r="CB472" s="567"/>
      <c r="CC472" s="567"/>
      <c r="CD472" s="567"/>
      <c r="CE472" s="567"/>
      <c r="CF472" s="567"/>
      <c r="CG472" s="567"/>
      <c r="CH472" s="567"/>
      <c r="CI472" s="567"/>
      <c r="CJ472" s="567"/>
      <c r="CK472" s="567"/>
      <c r="CL472" s="567"/>
      <c r="CM472" s="567"/>
      <c r="CN472" s="567"/>
      <c r="CO472" s="567"/>
      <c r="CP472" s="567"/>
      <c r="CQ472" s="567"/>
      <c r="CR472" s="567"/>
      <c r="CS472" s="567"/>
      <c r="CT472" s="567"/>
      <c r="CU472" s="567"/>
      <c r="CV472" s="567"/>
      <c r="CW472" s="567"/>
      <c r="CX472" s="567"/>
      <c r="CY472" s="567"/>
      <c r="CZ472" s="567"/>
      <c r="DA472" s="567"/>
      <c r="DB472" s="567"/>
      <c r="DC472" s="567"/>
      <c r="DD472" s="567"/>
      <c r="DE472" s="567"/>
      <c r="DF472" s="567"/>
      <c r="DG472" s="567"/>
      <c r="DH472" s="567"/>
      <c r="DI472" s="567"/>
      <c r="DJ472" s="567"/>
      <c r="DK472" s="567"/>
      <c r="DL472" s="567"/>
      <c r="DM472" s="567"/>
      <c r="DN472" s="567"/>
      <c r="DO472" s="567"/>
      <c r="DP472" s="567"/>
      <c r="DQ472" s="567"/>
      <c r="DR472" s="567"/>
      <c r="DS472" s="567"/>
      <c r="DT472" s="567"/>
      <c r="DU472" s="567"/>
      <c r="DV472" s="567"/>
      <c r="DW472" s="567"/>
      <c r="DX472" s="567"/>
      <c r="DY472" s="567"/>
      <c r="DZ472" s="567"/>
      <c r="EA472" s="567"/>
      <c r="EB472" s="567"/>
      <c r="EC472" s="567"/>
      <c r="ED472" s="567"/>
      <c r="EE472" s="567"/>
      <c r="EF472" s="567"/>
      <c r="EG472" s="567"/>
      <c r="EH472" s="567"/>
      <c r="EI472" s="567"/>
      <c r="EJ472" s="567"/>
      <c r="EK472" s="567"/>
      <c r="EL472" s="567"/>
      <c r="EM472" s="567"/>
      <c r="EN472" s="567"/>
      <c r="EO472" s="567"/>
      <c r="EP472" s="567"/>
      <c r="EQ472" s="567"/>
      <c r="ER472" s="567"/>
      <c r="ES472" s="567"/>
      <c r="ET472" s="567"/>
      <c r="EU472" s="567"/>
      <c r="EV472" s="567"/>
      <c r="EW472" s="567"/>
      <c r="EX472" s="567"/>
      <c r="EY472" s="567"/>
      <c r="EZ472" s="567"/>
      <c r="FA472" s="567"/>
      <c r="FB472" s="567"/>
      <c r="FC472" s="567"/>
      <c r="FD472" s="567"/>
      <c r="FE472" s="567"/>
      <c r="FF472" s="567"/>
      <c r="FG472" s="567"/>
      <c r="FH472" s="567"/>
      <c r="FI472" s="567"/>
      <c r="FJ472" s="567"/>
      <c r="FK472" s="567"/>
      <c r="FL472" s="567"/>
      <c r="FM472" s="567"/>
      <c r="FN472" s="567"/>
      <c r="FO472" s="567"/>
      <c r="FP472" s="567"/>
      <c r="FQ472" s="567"/>
      <c r="FR472" s="567"/>
      <c r="FS472" s="567"/>
      <c r="FT472" s="567"/>
      <c r="FU472" s="567"/>
      <c r="FV472" s="567"/>
      <c r="FW472" s="567"/>
      <c r="FX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  <c r="BW473" s="567"/>
      <c r="BX473" s="567"/>
      <c r="BY473" s="567"/>
      <c r="BZ473" s="567"/>
      <c r="CA473" s="567"/>
      <c r="CB473" s="567"/>
      <c r="CC473" s="567"/>
      <c r="CD473" s="567"/>
      <c r="CE473" s="567"/>
      <c r="CF473" s="567"/>
      <c r="CG473" s="567"/>
      <c r="CH473" s="567"/>
      <c r="CI473" s="567"/>
      <c r="CJ473" s="567"/>
      <c r="CK473" s="567"/>
      <c r="CL473" s="567"/>
      <c r="CM473" s="567"/>
      <c r="CN473" s="567"/>
      <c r="CO473" s="567"/>
      <c r="CP473" s="567"/>
      <c r="CQ473" s="567"/>
      <c r="CR473" s="567"/>
      <c r="CS473" s="567"/>
      <c r="CT473" s="567"/>
      <c r="CU473" s="567"/>
      <c r="CV473" s="567"/>
      <c r="CW473" s="567"/>
      <c r="CX473" s="567"/>
      <c r="CY473" s="567"/>
      <c r="CZ473" s="567"/>
      <c r="DA473" s="567"/>
      <c r="DB473" s="567"/>
      <c r="DC473" s="567"/>
      <c r="DD473" s="567"/>
      <c r="DE473" s="567"/>
      <c r="DF473" s="567"/>
      <c r="DG473" s="567"/>
      <c r="DH473" s="567"/>
      <c r="DI473" s="567"/>
      <c r="DJ473" s="567"/>
      <c r="DK473" s="567"/>
      <c r="DL473" s="567"/>
      <c r="DM473" s="567"/>
      <c r="DN473" s="567"/>
      <c r="DO473" s="567"/>
      <c r="DP473" s="567"/>
      <c r="DQ473" s="567"/>
      <c r="DR473" s="567"/>
      <c r="DS473" s="567"/>
      <c r="DT473" s="567"/>
      <c r="DU473" s="567"/>
      <c r="DV473" s="567"/>
      <c r="DW473" s="567"/>
      <c r="DX473" s="567"/>
      <c r="DY473" s="567"/>
      <c r="DZ473" s="567"/>
      <c r="EA473" s="567"/>
      <c r="EB473" s="567"/>
      <c r="EC473" s="567"/>
      <c r="ED473" s="567"/>
      <c r="EE473" s="567"/>
      <c r="EF473" s="567"/>
      <c r="EG473" s="567"/>
      <c r="EH473" s="567"/>
      <c r="EI473" s="567"/>
      <c r="EJ473" s="567"/>
      <c r="EK473" s="567"/>
      <c r="EL473" s="567"/>
      <c r="EM473" s="567"/>
      <c r="EN473" s="567"/>
      <c r="EO473" s="567"/>
      <c r="EP473" s="567"/>
      <c r="EQ473" s="567"/>
      <c r="ER473" s="567"/>
      <c r="ES473" s="567"/>
      <c r="ET473" s="567"/>
      <c r="EU473" s="567"/>
      <c r="EV473" s="567"/>
      <c r="EW473" s="567"/>
      <c r="EX473" s="567"/>
      <c r="EY473" s="567"/>
      <c r="EZ473" s="567"/>
      <c r="FA473" s="567"/>
      <c r="FB473" s="567"/>
      <c r="FC473" s="567"/>
      <c r="FD473" s="567"/>
      <c r="FE473" s="567"/>
      <c r="FF473" s="567"/>
      <c r="FG473" s="567"/>
      <c r="FH473" s="567"/>
      <c r="FI473" s="567"/>
      <c r="FJ473" s="567"/>
      <c r="FK473" s="567"/>
      <c r="FL473" s="567"/>
      <c r="FM473" s="567"/>
      <c r="FN473" s="567"/>
      <c r="FO473" s="567"/>
      <c r="FP473" s="567"/>
      <c r="FQ473" s="567"/>
      <c r="FR473" s="567"/>
      <c r="FS473" s="567"/>
      <c r="FT473" s="567"/>
      <c r="FU473" s="567"/>
      <c r="FV473" s="567"/>
      <c r="FW473" s="567"/>
      <c r="FX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  <c r="BW474" s="567"/>
      <c r="BX474" s="567"/>
      <c r="BY474" s="567"/>
      <c r="BZ474" s="567"/>
      <c r="CA474" s="567"/>
      <c r="CB474" s="567"/>
      <c r="CC474" s="567"/>
      <c r="CD474" s="567"/>
      <c r="CE474" s="567"/>
      <c r="CF474" s="567"/>
      <c r="CG474" s="567"/>
      <c r="CH474" s="567"/>
      <c r="CI474" s="567"/>
      <c r="CJ474" s="567"/>
      <c r="CK474" s="567"/>
      <c r="CL474" s="567"/>
      <c r="CM474" s="567"/>
      <c r="CN474" s="567"/>
      <c r="CO474" s="567"/>
      <c r="CP474" s="567"/>
      <c r="CQ474" s="567"/>
      <c r="CR474" s="567"/>
      <c r="CS474" s="567"/>
      <c r="CT474" s="567"/>
      <c r="CU474" s="567"/>
      <c r="CV474" s="567"/>
      <c r="CW474" s="567"/>
      <c r="CX474" s="567"/>
      <c r="CY474" s="567"/>
      <c r="CZ474" s="567"/>
      <c r="DA474" s="567"/>
      <c r="DB474" s="567"/>
      <c r="DC474" s="567"/>
      <c r="DD474" s="567"/>
      <c r="DE474" s="567"/>
      <c r="DF474" s="567"/>
      <c r="DG474" s="567"/>
      <c r="DH474" s="567"/>
      <c r="DI474" s="567"/>
      <c r="DJ474" s="567"/>
      <c r="DK474" s="567"/>
      <c r="DL474" s="567"/>
      <c r="DM474" s="567"/>
      <c r="DN474" s="567"/>
      <c r="DO474" s="567"/>
      <c r="DP474" s="567"/>
      <c r="DQ474" s="567"/>
      <c r="DR474" s="567"/>
      <c r="DS474" s="567"/>
      <c r="DT474" s="567"/>
      <c r="DU474" s="567"/>
      <c r="DV474" s="567"/>
      <c r="DW474" s="567"/>
      <c r="DX474" s="567"/>
      <c r="DY474" s="567"/>
      <c r="DZ474" s="567"/>
      <c r="EA474" s="567"/>
      <c r="EB474" s="567"/>
      <c r="EC474" s="567"/>
      <c r="ED474" s="567"/>
      <c r="EE474" s="567"/>
      <c r="EF474" s="567"/>
      <c r="EG474" s="567"/>
      <c r="EH474" s="567"/>
      <c r="EI474" s="567"/>
      <c r="EJ474" s="567"/>
      <c r="EK474" s="567"/>
      <c r="EL474" s="567"/>
      <c r="EM474" s="567"/>
      <c r="EN474" s="567"/>
      <c r="EO474" s="567"/>
      <c r="EP474" s="567"/>
      <c r="EQ474" s="567"/>
      <c r="ER474" s="567"/>
      <c r="ES474" s="567"/>
      <c r="ET474" s="567"/>
      <c r="EU474" s="567"/>
      <c r="EV474" s="567"/>
      <c r="EW474" s="567"/>
      <c r="EX474" s="567"/>
      <c r="EY474" s="567"/>
      <c r="EZ474" s="567"/>
      <c r="FA474" s="567"/>
      <c r="FB474" s="567"/>
      <c r="FC474" s="567"/>
      <c r="FD474" s="567"/>
      <c r="FE474" s="567"/>
      <c r="FF474" s="567"/>
      <c r="FG474" s="567"/>
      <c r="FH474" s="567"/>
      <c r="FI474" s="567"/>
      <c r="FJ474" s="567"/>
      <c r="FK474" s="567"/>
      <c r="FL474" s="567"/>
      <c r="FM474" s="567"/>
      <c r="FN474" s="567"/>
      <c r="FO474" s="567"/>
      <c r="FP474" s="567"/>
      <c r="FQ474" s="567"/>
      <c r="FR474" s="567"/>
      <c r="FS474" s="567"/>
      <c r="FT474" s="567"/>
      <c r="FU474" s="567"/>
      <c r="FV474" s="567"/>
      <c r="FW474" s="567"/>
      <c r="FX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  <c r="BW475" s="567"/>
      <c r="BX475" s="567"/>
      <c r="BY475" s="567"/>
      <c r="BZ475" s="567"/>
      <c r="CA475" s="567"/>
      <c r="CB475" s="567"/>
      <c r="CC475" s="567"/>
      <c r="CD475" s="567"/>
      <c r="CE475" s="567"/>
      <c r="CF475" s="567"/>
      <c r="CG475" s="567"/>
      <c r="CH475" s="567"/>
      <c r="CI475" s="567"/>
      <c r="CJ475" s="567"/>
      <c r="CK475" s="567"/>
      <c r="CL475" s="567"/>
      <c r="CM475" s="567"/>
      <c r="CN475" s="567"/>
      <c r="CO475" s="567"/>
      <c r="CP475" s="567"/>
      <c r="CQ475" s="567"/>
      <c r="CR475" s="567"/>
      <c r="CS475" s="567"/>
      <c r="CT475" s="567"/>
      <c r="CU475" s="567"/>
      <c r="CV475" s="567"/>
      <c r="CW475" s="567"/>
      <c r="CX475" s="567"/>
      <c r="CY475" s="567"/>
      <c r="CZ475" s="567"/>
      <c r="DA475" s="567"/>
      <c r="DB475" s="567"/>
      <c r="DC475" s="567"/>
      <c r="DD475" s="567"/>
      <c r="DE475" s="567"/>
      <c r="DF475" s="567"/>
      <c r="DG475" s="567"/>
      <c r="DH475" s="567"/>
      <c r="DI475" s="567"/>
      <c r="DJ475" s="567"/>
      <c r="DK475" s="567"/>
      <c r="DL475" s="567"/>
      <c r="DM475" s="567"/>
      <c r="DN475" s="567"/>
      <c r="DO475" s="567"/>
      <c r="DP475" s="567"/>
      <c r="DQ475" s="567"/>
      <c r="DR475" s="567"/>
      <c r="DS475" s="567"/>
      <c r="DT475" s="567"/>
      <c r="DU475" s="567"/>
      <c r="DV475" s="567"/>
      <c r="DW475" s="567"/>
      <c r="DX475" s="567"/>
      <c r="DY475" s="567"/>
      <c r="DZ475" s="567"/>
      <c r="EA475" s="567"/>
      <c r="EB475" s="567"/>
      <c r="EC475" s="567"/>
      <c r="ED475" s="567"/>
      <c r="EE475" s="567"/>
      <c r="EF475" s="567"/>
      <c r="EG475" s="567"/>
      <c r="EH475" s="567"/>
      <c r="EI475" s="567"/>
      <c r="EJ475" s="567"/>
      <c r="EK475" s="567"/>
      <c r="EL475" s="567"/>
      <c r="EM475" s="567"/>
      <c r="EN475" s="567"/>
      <c r="EO475" s="567"/>
      <c r="EP475" s="567"/>
      <c r="EQ475" s="567"/>
      <c r="ER475" s="567"/>
      <c r="ES475" s="567"/>
      <c r="ET475" s="567"/>
      <c r="EU475" s="567"/>
      <c r="EV475" s="567"/>
      <c r="EW475" s="567"/>
      <c r="EX475" s="567"/>
      <c r="EY475" s="567"/>
      <c r="EZ475" s="567"/>
      <c r="FA475" s="567"/>
      <c r="FB475" s="567"/>
      <c r="FC475" s="567"/>
      <c r="FD475" s="567"/>
      <c r="FE475" s="567"/>
      <c r="FF475" s="567"/>
      <c r="FG475" s="567"/>
      <c r="FH475" s="567"/>
      <c r="FI475" s="567"/>
      <c r="FJ475" s="567"/>
      <c r="FK475" s="567"/>
      <c r="FL475" s="567"/>
      <c r="FM475" s="567"/>
      <c r="FN475" s="567"/>
      <c r="FO475" s="567"/>
      <c r="FP475" s="567"/>
      <c r="FQ475" s="567"/>
      <c r="FR475" s="567"/>
      <c r="FS475" s="567"/>
      <c r="FT475" s="567"/>
      <c r="FU475" s="567"/>
      <c r="FV475" s="567"/>
      <c r="FW475" s="567"/>
      <c r="FX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  <c r="BW476" s="567"/>
      <c r="BX476" s="567"/>
      <c r="BY476" s="567"/>
      <c r="BZ476" s="567"/>
      <c r="CA476" s="567"/>
      <c r="CB476" s="567"/>
      <c r="CC476" s="567"/>
      <c r="CD476" s="567"/>
      <c r="CE476" s="567"/>
      <c r="CF476" s="567"/>
      <c r="CG476" s="567"/>
      <c r="CH476" s="567"/>
      <c r="CI476" s="567"/>
      <c r="CJ476" s="567"/>
      <c r="CK476" s="567"/>
      <c r="CL476" s="567"/>
      <c r="CM476" s="567"/>
      <c r="CN476" s="567"/>
      <c r="CO476" s="567"/>
      <c r="CP476" s="567"/>
      <c r="CQ476" s="567"/>
      <c r="CR476" s="567"/>
      <c r="CS476" s="567"/>
      <c r="CT476" s="567"/>
      <c r="CU476" s="567"/>
      <c r="CV476" s="567"/>
      <c r="CW476" s="567"/>
      <c r="CX476" s="567"/>
      <c r="CY476" s="567"/>
      <c r="CZ476" s="567"/>
      <c r="DA476" s="567"/>
      <c r="DB476" s="567"/>
      <c r="DC476" s="567"/>
      <c r="DD476" s="567"/>
      <c r="DE476" s="567"/>
      <c r="DF476" s="567"/>
      <c r="DG476" s="567"/>
      <c r="DH476" s="567"/>
      <c r="DI476" s="567"/>
      <c r="DJ476" s="567"/>
      <c r="DK476" s="567"/>
      <c r="DL476" s="567"/>
      <c r="DM476" s="567"/>
      <c r="DN476" s="567"/>
      <c r="DO476" s="567"/>
      <c r="DP476" s="567"/>
      <c r="DQ476" s="567"/>
      <c r="DR476" s="567"/>
      <c r="DS476" s="567"/>
      <c r="DT476" s="567"/>
      <c r="DU476" s="567"/>
      <c r="DV476" s="567"/>
      <c r="DW476" s="567"/>
      <c r="DX476" s="567"/>
      <c r="DY476" s="567"/>
      <c r="DZ476" s="567"/>
      <c r="EA476" s="567"/>
      <c r="EB476" s="567"/>
      <c r="EC476" s="567"/>
      <c r="ED476" s="567"/>
      <c r="EE476" s="567"/>
      <c r="EF476" s="567"/>
      <c r="EG476" s="567"/>
      <c r="EH476" s="567"/>
      <c r="EI476" s="567"/>
      <c r="EJ476" s="567"/>
      <c r="EK476" s="567"/>
      <c r="EL476" s="567"/>
      <c r="EM476" s="567"/>
      <c r="EN476" s="567"/>
      <c r="EO476" s="567"/>
      <c r="EP476" s="567"/>
      <c r="EQ476" s="567"/>
      <c r="ER476" s="567"/>
      <c r="ES476" s="567"/>
      <c r="ET476" s="567"/>
      <c r="EU476" s="567"/>
      <c r="EV476" s="567"/>
      <c r="EW476" s="567"/>
      <c r="EX476" s="567"/>
      <c r="EY476" s="567"/>
      <c r="EZ476" s="567"/>
      <c r="FA476" s="567"/>
      <c r="FB476" s="567"/>
      <c r="FC476" s="567"/>
      <c r="FD476" s="567"/>
      <c r="FE476" s="567"/>
      <c r="FF476" s="567"/>
      <c r="FG476" s="567"/>
      <c r="FH476" s="567"/>
      <c r="FI476" s="567"/>
      <c r="FJ476" s="567"/>
      <c r="FK476" s="567"/>
      <c r="FL476" s="567"/>
      <c r="FM476" s="567"/>
      <c r="FN476" s="567"/>
      <c r="FO476" s="567"/>
      <c r="FP476" s="567"/>
      <c r="FQ476" s="567"/>
      <c r="FR476" s="567"/>
      <c r="FS476" s="567"/>
      <c r="FT476" s="567"/>
      <c r="FU476" s="567"/>
      <c r="FV476" s="567"/>
      <c r="FW476" s="567"/>
      <c r="FX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  <c r="BW477" s="567"/>
      <c r="BX477" s="567"/>
      <c r="BY477" s="567"/>
      <c r="BZ477" s="567"/>
      <c r="CA477" s="567"/>
      <c r="CB477" s="567"/>
      <c r="CC477" s="567"/>
      <c r="CD477" s="567"/>
      <c r="CE477" s="567"/>
      <c r="CF477" s="567"/>
      <c r="CG477" s="567"/>
      <c r="CH477" s="567"/>
      <c r="CI477" s="567"/>
      <c r="CJ477" s="567"/>
      <c r="CK477" s="567"/>
      <c r="CL477" s="567"/>
      <c r="CM477" s="567"/>
      <c r="CN477" s="567"/>
      <c r="CO477" s="567"/>
      <c r="CP477" s="567"/>
      <c r="CQ477" s="567"/>
      <c r="CR477" s="567"/>
      <c r="CS477" s="567"/>
      <c r="CT477" s="567"/>
      <c r="CU477" s="567"/>
      <c r="CV477" s="567"/>
      <c r="CW477" s="567"/>
      <c r="CX477" s="567"/>
      <c r="CY477" s="567"/>
      <c r="CZ477" s="567"/>
      <c r="DA477" s="567"/>
      <c r="DB477" s="567"/>
      <c r="DC477" s="567"/>
      <c r="DD477" s="567"/>
      <c r="DE477" s="567"/>
      <c r="DF477" s="567"/>
      <c r="DG477" s="567"/>
      <c r="DH477" s="567"/>
      <c r="DI477" s="567"/>
      <c r="DJ477" s="567"/>
      <c r="DK477" s="567"/>
      <c r="DL477" s="567"/>
      <c r="DM477" s="567"/>
      <c r="DN477" s="567"/>
      <c r="DO477" s="567"/>
      <c r="DP477" s="567"/>
      <c r="DQ477" s="567"/>
      <c r="DR477" s="567"/>
      <c r="DS477" s="567"/>
      <c r="DT477" s="567"/>
      <c r="DU477" s="567"/>
      <c r="DV477" s="567"/>
      <c r="DW477" s="567"/>
      <c r="DX477" s="567"/>
      <c r="DY477" s="567"/>
      <c r="DZ477" s="567"/>
      <c r="EA477" s="567"/>
      <c r="EB477" s="567"/>
      <c r="EC477" s="567"/>
      <c r="ED477" s="567"/>
      <c r="EE477" s="567"/>
      <c r="EF477" s="567"/>
      <c r="EG477" s="567"/>
      <c r="EH477" s="567"/>
      <c r="EI477" s="567"/>
      <c r="EJ477" s="567"/>
      <c r="EK477" s="567"/>
      <c r="EL477" s="567"/>
      <c r="EM477" s="567"/>
      <c r="EN477" s="567"/>
      <c r="EO477" s="567"/>
      <c r="EP477" s="567"/>
      <c r="EQ477" s="567"/>
      <c r="ER477" s="567"/>
      <c r="ES477" s="567"/>
      <c r="ET477" s="567"/>
      <c r="EU477" s="567"/>
      <c r="EV477" s="567"/>
      <c r="EW477" s="567"/>
      <c r="EX477" s="567"/>
      <c r="EY477" s="567"/>
      <c r="EZ477" s="567"/>
      <c r="FA477" s="567"/>
      <c r="FB477" s="567"/>
      <c r="FC477" s="567"/>
      <c r="FD477" s="567"/>
      <c r="FE477" s="567"/>
      <c r="FF477" s="567"/>
      <c r="FG477" s="567"/>
      <c r="FH477" s="567"/>
      <c r="FI477" s="567"/>
      <c r="FJ477" s="567"/>
      <c r="FK477" s="567"/>
      <c r="FL477" s="567"/>
      <c r="FM477" s="567"/>
      <c r="FN477" s="567"/>
      <c r="FO477" s="567"/>
      <c r="FP477" s="567"/>
      <c r="FQ477" s="567"/>
      <c r="FR477" s="567"/>
      <c r="FS477" s="567"/>
      <c r="FT477" s="567"/>
      <c r="FU477" s="567"/>
      <c r="FV477" s="567"/>
      <c r="FW477" s="567"/>
      <c r="FX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  <c r="BW478" s="567"/>
      <c r="BX478" s="567"/>
      <c r="BY478" s="567"/>
      <c r="BZ478" s="567"/>
      <c r="CA478" s="567"/>
      <c r="CB478" s="567"/>
      <c r="CC478" s="567"/>
      <c r="CD478" s="567"/>
      <c r="CE478" s="567"/>
      <c r="CF478" s="567"/>
      <c r="CG478" s="567"/>
      <c r="CH478" s="567"/>
      <c r="CI478" s="567"/>
      <c r="CJ478" s="567"/>
      <c r="CK478" s="567"/>
      <c r="CL478" s="567"/>
      <c r="CM478" s="567"/>
      <c r="CN478" s="567"/>
      <c r="CO478" s="567"/>
      <c r="CP478" s="567"/>
      <c r="CQ478" s="567"/>
      <c r="CR478" s="567"/>
      <c r="CS478" s="567"/>
      <c r="CT478" s="567"/>
      <c r="CU478" s="567"/>
      <c r="CV478" s="567"/>
      <c r="CW478" s="567"/>
      <c r="CX478" s="567"/>
      <c r="CY478" s="567"/>
      <c r="CZ478" s="567"/>
      <c r="DA478" s="567"/>
      <c r="DB478" s="567"/>
      <c r="DC478" s="567"/>
      <c r="DD478" s="567"/>
      <c r="DE478" s="567"/>
      <c r="DF478" s="567"/>
      <c r="DG478" s="567"/>
      <c r="DH478" s="567"/>
      <c r="DI478" s="567"/>
      <c r="DJ478" s="567"/>
      <c r="DK478" s="567"/>
      <c r="DL478" s="567"/>
      <c r="DM478" s="567"/>
      <c r="DN478" s="567"/>
      <c r="DO478" s="567"/>
      <c r="DP478" s="567"/>
      <c r="DQ478" s="567"/>
      <c r="DR478" s="567"/>
      <c r="DS478" s="567"/>
      <c r="DT478" s="567"/>
      <c r="DU478" s="567"/>
      <c r="DV478" s="567"/>
      <c r="DW478" s="567"/>
      <c r="DX478" s="567"/>
      <c r="DY478" s="567"/>
      <c r="DZ478" s="567"/>
      <c r="EA478" s="567"/>
      <c r="EB478" s="567"/>
      <c r="EC478" s="567"/>
      <c r="ED478" s="567"/>
      <c r="EE478" s="567"/>
      <c r="EF478" s="567"/>
      <c r="EG478" s="567"/>
      <c r="EH478" s="567"/>
      <c r="EI478" s="567"/>
      <c r="EJ478" s="567"/>
      <c r="EK478" s="567"/>
      <c r="EL478" s="567"/>
      <c r="EM478" s="567"/>
      <c r="EN478" s="567"/>
      <c r="EO478" s="567"/>
      <c r="EP478" s="567"/>
      <c r="EQ478" s="567"/>
      <c r="ER478" s="567"/>
      <c r="ES478" s="567"/>
      <c r="ET478" s="567"/>
      <c r="EU478" s="567"/>
      <c r="EV478" s="567"/>
      <c r="EW478" s="567"/>
      <c r="EX478" s="567"/>
      <c r="EY478" s="567"/>
      <c r="EZ478" s="567"/>
      <c r="FA478" s="567"/>
      <c r="FB478" s="567"/>
      <c r="FC478" s="567"/>
      <c r="FD478" s="567"/>
      <c r="FE478" s="567"/>
      <c r="FF478" s="567"/>
      <c r="FG478" s="567"/>
      <c r="FH478" s="567"/>
      <c r="FI478" s="567"/>
      <c r="FJ478" s="567"/>
      <c r="FK478" s="567"/>
      <c r="FL478" s="567"/>
      <c r="FM478" s="567"/>
      <c r="FN478" s="567"/>
      <c r="FO478" s="567"/>
      <c r="FP478" s="567"/>
      <c r="FQ478" s="567"/>
      <c r="FR478" s="567"/>
      <c r="FS478" s="567"/>
      <c r="FT478" s="567"/>
      <c r="FU478" s="567"/>
      <c r="FV478" s="567"/>
      <c r="FW478" s="567"/>
      <c r="FX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  <c r="BW479" s="567"/>
      <c r="BX479" s="567"/>
      <c r="BY479" s="567"/>
      <c r="BZ479" s="567"/>
      <c r="CA479" s="567"/>
      <c r="CB479" s="567"/>
      <c r="CC479" s="567"/>
      <c r="CD479" s="567"/>
      <c r="CE479" s="567"/>
      <c r="CF479" s="567"/>
      <c r="CG479" s="567"/>
      <c r="CH479" s="567"/>
      <c r="CI479" s="567"/>
      <c r="CJ479" s="567"/>
      <c r="CK479" s="567"/>
      <c r="CL479" s="567"/>
      <c r="CM479" s="567"/>
      <c r="CN479" s="567"/>
      <c r="CO479" s="567"/>
      <c r="CP479" s="567"/>
      <c r="CQ479" s="567"/>
      <c r="CR479" s="567"/>
      <c r="CS479" s="567"/>
      <c r="CT479" s="567"/>
      <c r="CU479" s="567"/>
      <c r="CV479" s="567"/>
      <c r="CW479" s="567"/>
      <c r="CX479" s="567"/>
      <c r="CY479" s="567"/>
      <c r="CZ479" s="567"/>
      <c r="DA479" s="567"/>
      <c r="DB479" s="567"/>
      <c r="DC479" s="567"/>
      <c r="DD479" s="567"/>
      <c r="DE479" s="567"/>
      <c r="DF479" s="567"/>
      <c r="DG479" s="567"/>
      <c r="DH479" s="567"/>
      <c r="DI479" s="567"/>
      <c r="DJ479" s="567"/>
      <c r="DK479" s="567"/>
      <c r="DL479" s="567"/>
      <c r="DM479" s="567"/>
      <c r="DN479" s="567"/>
      <c r="DO479" s="567"/>
      <c r="DP479" s="567"/>
      <c r="DQ479" s="567"/>
      <c r="DR479" s="567"/>
      <c r="DS479" s="567"/>
      <c r="DT479" s="567"/>
      <c r="DU479" s="567"/>
      <c r="DV479" s="567"/>
      <c r="DW479" s="567"/>
      <c r="DX479" s="567"/>
      <c r="DY479" s="567"/>
      <c r="DZ479" s="567"/>
      <c r="EA479" s="567"/>
      <c r="EB479" s="567"/>
      <c r="EC479" s="567"/>
      <c r="ED479" s="567"/>
      <c r="EE479" s="567"/>
      <c r="EF479" s="567"/>
      <c r="EG479" s="567"/>
      <c r="EH479" s="567"/>
      <c r="EI479" s="567"/>
      <c r="EJ479" s="567"/>
      <c r="EK479" s="567"/>
      <c r="EL479" s="567"/>
      <c r="EM479" s="567"/>
      <c r="EN479" s="567"/>
      <c r="EO479" s="567"/>
      <c r="EP479" s="567"/>
      <c r="EQ479" s="567"/>
      <c r="ER479" s="567"/>
      <c r="ES479" s="567"/>
      <c r="ET479" s="567"/>
      <c r="EU479" s="567"/>
      <c r="EV479" s="567"/>
      <c r="EW479" s="567"/>
      <c r="EX479" s="567"/>
      <c r="EY479" s="567"/>
      <c r="EZ479" s="567"/>
      <c r="FA479" s="567"/>
      <c r="FB479" s="567"/>
      <c r="FC479" s="567"/>
      <c r="FD479" s="567"/>
      <c r="FE479" s="567"/>
      <c r="FF479" s="567"/>
      <c r="FG479" s="567"/>
      <c r="FH479" s="567"/>
      <c r="FI479" s="567"/>
      <c r="FJ479" s="567"/>
      <c r="FK479" s="567"/>
      <c r="FL479" s="567"/>
      <c r="FM479" s="567"/>
      <c r="FN479" s="567"/>
      <c r="FO479" s="567"/>
      <c r="FP479" s="567"/>
      <c r="FQ479" s="567"/>
      <c r="FR479" s="567"/>
      <c r="FS479" s="567"/>
      <c r="FT479" s="567"/>
      <c r="FU479" s="567"/>
      <c r="FV479" s="567"/>
      <c r="FW479" s="567"/>
      <c r="FX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  <c r="BW480" s="567"/>
      <c r="BX480" s="567"/>
      <c r="BY480" s="567"/>
      <c r="BZ480" s="567"/>
      <c r="CA480" s="567"/>
      <c r="CB480" s="567"/>
      <c r="CC480" s="567"/>
      <c r="CD480" s="567"/>
      <c r="CE480" s="567"/>
      <c r="CF480" s="567"/>
      <c r="CG480" s="567"/>
      <c r="CH480" s="567"/>
      <c r="CI480" s="567"/>
      <c r="CJ480" s="567"/>
      <c r="CK480" s="567"/>
      <c r="CL480" s="567"/>
      <c r="CM480" s="567"/>
      <c r="CN480" s="567"/>
      <c r="CO480" s="567"/>
      <c r="CP480" s="567"/>
      <c r="CQ480" s="567"/>
      <c r="CR480" s="567"/>
      <c r="CS480" s="567"/>
      <c r="CT480" s="567"/>
      <c r="CU480" s="567"/>
      <c r="CV480" s="567"/>
      <c r="CW480" s="567"/>
      <c r="CX480" s="567"/>
      <c r="CY480" s="567"/>
      <c r="CZ480" s="567"/>
      <c r="DA480" s="567"/>
      <c r="DB480" s="567"/>
      <c r="DC480" s="567"/>
      <c r="DD480" s="567"/>
      <c r="DE480" s="567"/>
      <c r="DF480" s="567"/>
      <c r="DG480" s="567"/>
      <c r="DH480" s="567"/>
      <c r="DI480" s="567"/>
      <c r="DJ480" s="567"/>
      <c r="DK480" s="567"/>
      <c r="DL480" s="567"/>
      <c r="DM480" s="567"/>
      <c r="DN480" s="567"/>
      <c r="DO480" s="567"/>
      <c r="DP480" s="567"/>
      <c r="DQ480" s="567"/>
      <c r="DR480" s="567"/>
      <c r="DS480" s="567"/>
      <c r="DT480" s="567"/>
      <c r="DU480" s="567"/>
      <c r="DV480" s="567"/>
      <c r="DW480" s="567"/>
      <c r="DX480" s="567"/>
      <c r="DY480" s="567"/>
      <c r="DZ480" s="567"/>
      <c r="EA480" s="567"/>
      <c r="EB480" s="567"/>
      <c r="EC480" s="567"/>
      <c r="ED480" s="567"/>
      <c r="EE480" s="567"/>
      <c r="EF480" s="567"/>
      <c r="EG480" s="567"/>
      <c r="EH480" s="567"/>
      <c r="EI480" s="567"/>
      <c r="EJ480" s="567"/>
      <c r="EK480" s="567"/>
      <c r="EL480" s="567"/>
      <c r="EM480" s="567"/>
      <c r="EN480" s="567"/>
      <c r="EO480" s="567"/>
      <c r="EP480" s="567"/>
      <c r="EQ480" s="567"/>
      <c r="ER480" s="567"/>
      <c r="ES480" s="567"/>
      <c r="ET480" s="567"/>
      <c r="EU480" s="567"/>
      <c r="EV480" s="567"/>
      <c r="EW480" s="567"/>
      <c r="EX480" s="567"/>
      <c r="EY480" s="567"/>
      <c r="EZ480" s="567"/>
      <c r="FA480" s="567"/>
      <c r="FB480" s="567"/>
      <c r="FC480" s="567"/>
      <c r="FD480" s="567"/>
      <c r="FE480" s="567"/>
      <c r="FF480" s="567"/>
      <c r="FG480" s="567"/>
      <c r="FH480" s="567"/>
      <c r="FI480" s="567"/>
      <c r="FJ480" s="567"/>
      <c r="FK480" s="567"/>
      <c r="FL480" s="567"/>
      <c r="FM480" s="567"/>
      <c r="FN480" s="567"/>
      <c r="FO480" s="567"/>
      <c r="FP480" s="567"/>
      <c r="FQ480" s="567"/>
      <c r="FR480" s="567"/>
      <c r="FS480" s="567"/>
      <c r="FT480" s="567"/>
      <c r="FU480" s="567"/>
      <c r="FV480" s="567"/>
      <c r="FW480" s="567"/>
      <c r="FX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  <c r="BW481" s="567"/>
      <c r="BX481" s="567"/>
      <c r="BY481" s="567"/>
      <c r="BZ481" s="567"/>
      <c r="CA481" s="567"/>
      <c r="CB481" s="567"/>
      <c r="CC481" s="567"/>
      <c r="CD481" s="567"/>
      <c r="CE481" s="567"/>
      <c r="CF481" s="567"/>
      <c r="CG481" s="567"/>
      <c r="CH481" s="567"/>
      <c r="CI481" s="567"/>
      <c r="CJ481" s="567"/>
      <c r="CK481" s="567"/>
      <c r="CL481" s="567"/>
      <c r="CM481" s="567"/>
      <c r="CN481" s="567"/>
      <c r="CO481" s="567"/>
      <c r="CP481" s="567"/>
      <c r="CQ481" s="567"/>
      <c r="CR481" s="567"/>
      <c r="CS481" s="567"/>
      <c r="CT481" s="567"/>
      <c r="CU481" s="567"/>
      <c r="CV481" s="567"/>
      <c r="CW481" s="567"/>
      <c r="CX481" s="567"/>
      <c r="CY481" s="567"/>
      <c r="CZ481" s="567"/>
      <c r="DA481" s="567"/>
      <c r="DB481" s="567"/>
      <c r="DC481" s="567"/>
      <c r="DD481" s="567"/>
      <c r="DE481" s="567"/>
      <c r="DF481" s="567"/>
      <c r="DG481" s="567"/>
      <c r="DH481" s="567"/>
      <c r="DI481" s="567"/>
      <c r="DJ481" s="567"/>
      <c r="DK481" s="567"/>
      <c r="DL481" s="567"/>
      <c r="DM481" s="567"/>
      <c r="DN481" s="567"/>
      <c r="DO481" s="567"/>
      <c r="DP481" s="567"/>
      <c r="DQ481" s="567"/>
      <c r="DR481" s="567"/>
      <c r="DS481" s="567"/>
      <c r="DT481" s="567"/>
      <c r="DU481" s="567"/>
      <c r="DV481" s="567"/>
      <c r="DW481" s="567"/>
      <c r="DX481" s="567"/>
      <c r="DY481" s="567"/>
      <c r="DZ481" s="567"/>
      <c r="EA481" s="567"/>
      <c r="EB481" s="567"/>
      <c r="EC481" s="567"/>
      <c r="ED481" s="567"/>
      <c r="EE481" s="567"/>
      <c r="EF481" s="567"/>
      <c r="EG481" s="567"/>
      <c r="EH481" s="567"/>
      <c r="EI481" s="567"/>
      <c r="EJ481" s="567"/>
      <c r="EK481" s="567"/>
      <c r="EL481" s="567"/>
      <c r="EM481" s="567"/>
      <c r="EN481" s="567"/>
      <c r="EO481" s="567"/>
      <c r="EP481" s="567"/>
      <c r="EQ481" s="567"/>
      <c r="ER481" s="567"/>
      <c r="ES481" s="567"/>
      <c r="ET481" s="567"/>
      <c r="EU481" s="567"/>
      <c r="EV481" s="567"/>
      <c r="EW481" s="567"/>
      <c r="EX481" s="567"/>
      <c r="EY481" s="567"/>
      <c r="EZ481" s="567"/>
      <c r="FA481" s="567"/>
      <c r="FB481" s="567"/>
      <c r="FC481" s="567"/>
      <c r="FD481" s="567"/>
      <c r="FE481" s="567"/>
      <c r="FF481" s="567"/>
      <c r="FG481" s="567"/>
      <c r="FH481" s="567"/>
      <c r="FI481" s="567"/>
      <c r="FJ481" s="567"/>
      <c r="FK481" s="567"/>
      <c r="FL481" s="567"/>
      <c r="FM481" s="567"/>
      <c r="FN481" s="567"/>
      <c r="FO481" s="567"/>
      <c r="FP481" s="567"/>
      <c r="FQ481" s="567"/>
      <c r="FR481" s="567"/>
      <c r="FS481" s="567"/>
      <c r="FT481" s="567"/>
      <c r="FU481" s="567"/>
      <c r="FV481" s="567"/>
      <c r="FW481" s="567"/>
      <c r="FX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  <c r="BW482" s="567"/>
      <c r="BX482" s="567"/>
      <c r="BY482" s="567"/>
      <c r="BZ482" s="567"/>
      <c r="CA482" s="567"/>
      <c r="CB482" s="567"/>
      <c r="CC482" s="567"/>
      <c r="CD482" s="567"/>
      <c r="CE482" s="567"/>
      <c r="CF482" s="567"/>
      <c r="CG482" s="567"/>
      <c r="CH482" s="567"/>
      <c r="CI482" s="567"/>
      <c r="CJ482" s="567"/>
      <c r="CK482" s="567"/>
      <c r="CL482" s="567"/>
      <c r="CM482" s="567"/>
      <c r="CN482" s="567"/>
      <c r="CO482" s="567"/>
      <c r="CP482" s="567"/>
      <c r="CQ482" s="567"/>
      <c r="CR482" s="567"/>
      <c r="CS482" s="567"/>
      <c r="CT482" s="567"/>
      <c r="CU482" s="567"/>
      <c r="CV482" s="567"/>
      <c r="CW482" s="567"/>
      <c r="CX482" s="567"/>
      <c r="CY482" s="567"/>
      <c r="CZ482" s="567"/>
      <c r="DA482" s="567"/>
      <c r="DB482" s="567"/>
      <c r="DC482" s="567"/>
      <c r="DD482" s="567"/>
      <c r="DE482" s="567"/>
      <c r="DF482" s="567"/>
      <c r="DG482" s="567"/>
      <c r="DH482" s="567"/>
      <c r="DI482" s="567"/>
      <c r="DJ482" s="567"/>
      <c r="DK482" s="567"/>
      <c r="DL482" s="567"/>
      <c r="DM482" s="567"/>
      <c r="DN482" s="567"/>
      <c r="DO482" s="567"/>
      <c r="DP482" s="567"/>
      <c r="DQ482" s="567"/>
      <c r="DR482" s="567"/>
      <c r="DS482" s="567"/>
      <c r="DT482" s="567"/>
      <c r="DU482" s="567"/>
      <c r="DV482" s="567"/>
      <c r="DW482" s="567"/>
      <c r="DX482" s="567"/>
      <c r="DY482" s="567"/>
      <c r="DZ482" s="567"/>
      <c r="EA482" s="567"/>
      <c r="EB482" s="567"/>
      <c r="EC482" s="567"/>
      <c r="ED482" s="567"/>
      <c r="EE482" s="567"/>
      <c r="EF482" s="567"/>
      <c r="EG482" s="567"/>
      <c r="EH482" s="567"/>
      <c r="EI482" s="567"/>
      <c r="EJ482" s="567"/>
      <c r="EK482" s="567"/>
      <c r="EL482" s="567"/>
      <c r="EM482" s="567"/>
      <c r="EN482" s="567"/>
      <c r="EO482" s="567"/>
      <c r="EP482" s="567"/>
      <c r="EQ482" s="567"/>
      <c r="ER482" s="567"/>
      <c r="ES482" s="567"/>
      <c r="ET482" s="567"/>
      <c r="EU482" s="567"/>
      <c r="EV482" s="567"/>
      <c r="EW482" s="567"/>
      <c r="EX482" s="567"/>
      <c r="EY482" s="567"/>
      <c r="EZ482" s="567"/>
      <c r="FA482" s="567"/>
      <c r="FB482" s="567"/>
      <c r="FC482" s="567"/>
      <c r="FD482" s="567"/>
      <c r="FE482" s="567"/>
      <c r="FF482" s="567"/>
      <c r="FG482" s="567"/>
      <c r="FH482" s="567"/>
      <c r="FI482" s="567"/>
      <c r="FJ482" s="567"/>
      <c r="FK482" s="567"/>
      <c r="FL482" s="567"/>
      <c r="FM482" s="567"/>
      <c r="FN482" s="567"/>
      <c r="FO482" s="567"/>
      <c r="FP482" s="567"/>
      <c r="FQ482" s="567"/>
      <c r="FR482" s="567"/>
      <c r="FS482" s="567"/>
      <c r="FT482" s="567"/>
      <c r="FU482" s="567"/>
      <c r="FV482" s="567"/>
      <c r="FW482" s="567"/>
      <c r="FX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  <c r="BW483" s="567"/>
      <c r="BX483" s="567"/>
      <c r="BY483" s="567"/>
      <c r="BZ483" s="567"/>
      <c r="CA483" s="567"/>
      <c r="CB483" s="567"/>
      <c r="CC483" s="567"/>
      <c r="CD483" s="567"/>
      <c r="CE483" s="567"/>
      <c r="CF483" s="567"/>
      <c r="CG483" s="567"/>
      <c r="CH483" s="567"/>
      <c r="CI483" s="567"/>
      <c r="CJ483" s="567"/>
      <c r="CK483" s="567"/>
      <c r="CL483" s="567"/>
      <c r="CM483" s="567"/>
      <c r="CN483" s="567"/>
      <c r="CO483" s="567"/>
      <c r="CP483" s="567"/>
      <c r="CQ483" s="567"/>
      <c r="CR483" s="567"/>
      <c r="CS483" s="567"/>
      <c r="CT483" s="567"/>
      <c r="CU483" s="567"/>
      <c r="CV483" s="567"/>
      <c r="CW483" s="567"/>
      <c r="CX483" s="567"/>
      <c r="CY483" s="567"/>
      <c r="CZ483" s="567"/>
      <c r="DA483" s="567"/>
      <c r="DB483" s="567"/>
      <c r="DC483" s="567"/>
      <c r="DD483" s="567"/>
      <c r="DE483" s="567"/>
      <c r="DF483" s="567"/>
      <c r="DG483" s="567"/>
      <c r="DH483" s="567"/>
      <c r="DI483" s="567"/>
      <c r="DJ483" s="567"/>
      <c r="DK483" s="567"/>
      <c r="DL483" s="567"/>
      <c r="DM483" s="567"/>
      <c r="DN483" s="567"/>
      <c r="DO483" s="567"/>
      <c r="DP483" s="567"/>
      <c r="DQ483" s="567"/>
      <c r="DR483" s="567"/>
      <c r="DS483" s="567"/>
      <c r="DT483" s="567"/>
      <c r="DU483" s="567"/>
      <c r="DV483" s="567"/>
      <c r="DW483" s="567"/>
      <c r="DX483" s="567"/>
      <c r="DY483" s="567"/>
      <c r="DZ483" s="567"/>
      <c r="EA483" s="567"/>
      <c r="EB483" s="567"/>
      <c r="EC483" s="567"/>
      <c r="ED483" s="567"/>
      <c r="EE483" s="567"/>
      <c r="EF483" s="567"/>
      <c r="EG483" s="567"/>
      <c r="EH483" s="567"/>
      <c r="EI483" s="567"/>
      <c r="EJ483" s="567"/>
      <c r="EK483" s="567"/>
      <c r="EL483" s="567"/>
      <c r="EM483" s="567"/>
      <c r="EN483" s="567"/>
      <c r="EO483" s="567"/>
      <c r="EP483" s="567"/>
      <c r="EQ483" s="567"/>
      <c r="ER483" s="567"/>
      <c r="ES483" s="567"/>
      <c r="ET483" s="567"/>
      <c r="EU483" s="567"/>
      <c r="EV483" s="567"/>
      <c r="EW483" s="567"/>
      <c r="EX483" s="567"/>
      <c r="EY483" s="567"/>
      <c r="EZ483" s="567"/>
      <c r="FA483" s="567"/>
      <c r="FB483" s="567"/>
      <c r="FC483" s="567"/>
      <c r="FD483" s="567"/>
      <c r="FE483" s="567"/>
      <c r="FF483" s="567"/>
      <c r="FG483" s="567"/>
      <c r="FH483" s="567"/>
      <c r="FI483" s="567"/>
      <c r="FJ483" s="567"/>
      <c r="FK483" s="567"/>
      <c r="FL483" s="567"/>
      <c r="FM483" s="567"/>
      <c r="FN483" s="567"/>
      <c r="FO483" s="567"/>
      <c r="FP483" s="567"/>
      <c r="FQ483" s="567"/>
      <c r="FR483" s="567"/>
      <c r="FS483" s="567"/>
      <c r="FT483" s="567"/>
      <c r="FU483" s="567"/>
      <c r="FV483" s="567"/>
      <c r="FW483" s="567"/>
      <c r="FX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  <c r="BW484" s="567"/>
      <c r="BX484" s="567"/>
      <c r="BY484" s="567"/>
      <c r="BZ484" s="567"/>
      <c r="CA484" s="567"/>
      <c r="CB484" s="567"/>
      <c r="CC484" s="567"/>
      <c r="CD484" s="567"/>
      <c r="CE484" s="567"/>
      <c r="CF484" s="567"/>
      <c r="CG484" s="567"/>
      <c r="CH484" s="567"/>
      <c r="CI484" s="567"/>
      <c r="CJ484" s="567"/>
      <c r="CK484" s="567"/>
      <c r="CL484" s="567"/>
      <c r="CM484" s="567"/>
      <c r="CN484" s="567"/>
      <c r="CO484" s="567"/>
      <c r="CP484" s="567"/>
      <c r="CQ484" s="567"/>
      <c r="CR484" s="567"/>
      <c r="CS484" s="567"/>
      <c r="CT484" s="567"/>
      <c r="CU484" s="567"/>
      <c r="CV484" s="567"/>
      <c r="CW484" s="567"/>
      <c r="CX484" s="567"/>
      <c r="CY484" s="567"/>
      <c r="CZ484" s="567"/>
      <c r="DA484" s="567"/>
      <c r="DB484" s="567"/>
      <c r="DC484" s="567"/>
      <c r="DD484" s="567"/>
      <c r="DE484" s="567"/>
      <c r="DF484" s="567"/>
      <c r="DG484" s="567"/>
      <c r="DH484" s="567"/>
      <c r="DI484" s="567"/>
      <c r="DJ484" s="567"/>
      <c r="DK484" s="567"/>
      <c r="DL484" s="567"/>
      <c r="DM484" s="567"/>
      <c r="DN484" s="567"/>
      <c r="DO484" s="567"/>
      <c r="DP484" s="567"/>
      <c r="DQ484" s="567"/>
      <c r="DR484" s="567"/>
      <c r="DS484" s="567"/>
      <c r="DT484" s="567"/>
      <c r="DU484" s="567"/>
      <c r="DV484" s="567"/>
      <c r="DW484" s="567"/>
      <c r="DX484" s="567"/>
      <c r="DY484" s="567"/>
      <c r="DZ484" s="567"/>
      <c r="EA484" s="567"/>
      <c r="EB484" s="567"/>
      <c r="EC484" s="567"/>
      <c r="ED484" s="567"/>
      <c r="EE484" s="567"/>
      <c r="EF484" s="567"/>
      <c r="EG484" s="567"/>
      <c r="EH484" s="567"/>
      <c r="EI484" s="567"/>
      <c r="EJ484" s="567"/>
      <c r="EK484" s="567"/>
      <c r="EL484" s="567"/>
      <c r="EM484" s="567"/>
      <c r="EN484" s="567"/>
      <c r="EO484" s="567"/>
      <c r="EP484" s="567"/>
      <c r="EQ484" s="567"/>
      <c r="ER484" s="567"/>
      <c r="ES484" s="567"/>
      <c r="ET484" s="567"/>
      <c r="EU484" s="567"/>
      <c r="EV484" s="567"/>
      <c r="EW484" s="567"/>
      <c r="EX484" s="567"/>
      <c r="EY484" s="567"/>
      <c r="EZ484" s="567"/>
      <c r="FA484" s="567"/>
      <c r="FB484" s="567"/>
      <c r="FC484" s="567"/>
      <c r="FD484" s="567"/>
      <c r="FE484" s="567"/>
      <c r="FF484" s="567"/>
      <c r="FG484" s="567"/>
      <c r="FH484" s="567"/>
      <c r="FI484" s="567"/>
      <c r="FJ484" s="567"/>
      <c r="FK484" s="567"/>
      <c r="FL484" s="567"/>
      <c r="FM484" s="567"/>
      <c r="FN484" s="567"/>
      <c r="FO484" s="567"/>
      <c r="FP484" s="567"/>
      <c r="FQ484" s="567"/>
      <c r="FR484" s="567"/>
      <c r="FS484" s="567"/>
      <c r="FT484" s="567"/>
      <c r="FU484" s="567"/>
      <c r="FV484" s="567"/>
      <c r="FW484" s="567"/>
      <c r="FX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  <c r="BW485" s="567"/>
      <c r="BX485" s="567"/>
      <c r="BY485" s="567"/>
      <c r="BZ485" s="567"/>
      <c r="CA485" s="567"/>
      <c r="CB485" s="567"/>
      <c r="CC485" s="567"/>
      <c r="CD485" s="567"/>
      <c r="CE485" s="567"/>
      <c r="CF485" s="567"/>
      <c r="CG485" s="567"/>
      <c r="CH485" s="567"/>
      <c r="CI485" s="567"/>
      <c r="CJ485" s="567"/>
      <c r="CK485" s="567"/>
      <c r="CL485" s="567"/>
      <c r="CM485" s="567"/>
      <c r="CN485" s="567"/>
      <c r="CO485" s="567"/>
      <c r="CP485" s="567"/>
      <c r="CQ485" s="567"/>
      <c r="CR485" s="567"/>
      <c r="CS485" s="567"/>
      <c r="CT485" s="567"/>
      <c r="CU485" s="567"/>
      <c r="CV485" s="567"/>
      <c r="CW485" s="567"/>
      <c r="CX485" s="567"/>
      <c r="CY485" s="567"/>
      <c r="CZ485" s="567"/>
      <c r="DA485" s="567"/>
      <c r="DB485" s="567"/>
      <c r="DC485" s="567"/>
      <c r="DD485" s="567"/>
      <c r="DE485" s="567"/>
      <c r="DF485" s="567"/>
      <c r="DG485" s="567"/>
      <c r="DH485" s="567"/>
      <c r="DI485" s="567"/>
      <c r="DJ485" s="567"/>
      <c r="DK485" s="567"/>
      <c r="DL485" s="567"/>
      <c r="DM485" s="567"/>
      <c r="DN485" s="567"/>
      <c r="DO485" s="567"/>
      <c r="DP485" s="567"/>
      <c r="DQ485" s="567"/>
      <c r="DR485" s="567"/>
      <c r="DS485" s="567"/>
      <c r="DT485" s="567"/>
      <c r="DU485" s="567"/>
      <c r="DV485" s="567"/>
      <c r="DW485" s="567"/>
      <c r="DX485" s="567"/>
      <c r="DY485" s="567"/>
      <c r="DZ485" s="567"/>
      <c r="EA485" s="567"/>
      <c r="EB485" s="567"/>
      <c r="EC485" s="567"/>
      <c r="ED485" s="567"/>
      <c r="EE485" s="567"/>
      <c r="EF485" s="567"/>
      <c r="EG485" s="567"/>
      <c r="EH485" s="567"/>
      <c r="EI485" s="567"/>
      <c r="EJ485" s="567"/>
      <c r="EK485" s="567"/>
      <c r="EL485" s="567"/>
      <c r="EM485" s="567"/>
      <c r="EN485" s="567"/>
      <c r="EO485" s="567"/>
      <c r="EP485" s="567"/>
      <c r="EQ485" s="567"/>
      <c r="ER485" s="567"/>
      <c r="ES485" s="567"/>
      <c r="ET485" s="567"/>
      <c r="EU485" s="567"/>
      <c r="EV485" s="567"/>
      <c r="EW485" s="567"/>
      <c r="EX485" s="567"/>
      <c r="EY485" s="567"/>
      <c r="EZ485" s="567"/>
      <c r="FA485" s="567"/>
      <c r="FB485" s="567"/>
      <c r="FC485" s="567"/>
      <c r="FD485" s="567"/>
      <c r="FE485" s="567"/>
      <c r="FF485" s="567"/>
      <c r="FG485" s="567"/>
      <c r="FH485" s="567"/>
      <c r="FI485" s="567"/>
      <c r="FJ485" s="567"/>
      <c r="FK485" s="567"/>
      <c r="FL485" s="567"/>
      <c r="FM485" s="567"/>
      <c r="FN485" s="567"/>
      <c r="FO485" s="567"/>
      <c r="FP485" s="567"/>
      <c r="FQ485" s="567"/>
      <c r="FR485" s="567"/>
      <c r="FS485" s="567"/>
      <c r="FT485" s="567"/>
      <c r="FU485" s="567"/>
      <c r="FV485" s="567"/>
      <c r="FW485" s="567"/>
      <c r="FX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  <c r="BW486" s="567"/>
      <c r="BX486" s="567"/>
      <c r="BY486" s="567"/>
      <c r="BZ486" s="567"/>
      <c r="CA486" s="567"/>
      <c r="CB486" s="567"/>
      <c r="CC486" s="567"/>
      <c r="CD486" s="567"/>
      <c r="CE486" s="567"/>
      <c r="CF486" s="567"/>
      <c r="CG486" s="567"/>
      <c r="CH486" s="567"/>
      <c r="CI486" s="567"/>
      <c r="CJ486" s="567"/>
      <c r="CK486" s="567"/>
      <c r="CL486" s="567"/>
      <c r="CM486" s="567"/>
      <c r="CN486" s="567"/>
      <c r="CO486" s="567"/>
      <c r="CP486" s="567"/>
      <c r="CQ486" s="567"/>
      <c r="CR486" s="567"/>
      <c r="CS486" s="567"/>
      <c r="CT486" s="567"/>
      <c r="CU486" s="567"/>
      <c r="CV486" s="567"/>
      <c r="CW486" s="567"/>
      <c r="CX486" s="567"/>
      <c r="CY486" s="567"/>
      <c r="CZ486" s="567"/>
      <c r="DA486" s="567"/>
      <c r="DB486" s="567"/>
      <c r="DC486" s="567"/>
      <c r="DD486" s="567"/>
      <c r="DE486" s="567"/>
      <c r="DF486" s="567"/>
      <c r="DG486" s="567"/>
      <c r="DH486" s="567"/>
      <c r="DI486" s="567"/>
      <c r="DJ486" s="567"/>
      <c r="DK486" s="567"/>
      <c r="DL486" s="567"/>
      <c r="DM486" s="567"/>
      <c r="DN486" s="567"/>
      <c r="DO486" s="567"/>
      <c r="DP486" s="567"/>
      <c r="DQ486" s="567"/>
      <c r="DR486" s="567"/>
      <c r="DS486" s="567"/>
      <c r="DT486" s="567"/>
      <c r="DU486" s="567"/>
      <c r="DV486" s="567"/>
      <c r="DW486" s="567"/>
      <c r="DX486" s="567"/>
      <c r="DY486" s="567"/>
      <c r="DZ486" s="567"/>
      <c r="EA486" s="567"/>
      <c r="EB486" s="567"/>
      <c r="EC486" s="567"/>
      <c r="ED486" s="567"/>
      <c r="EE486" s="567"/>
      <c r="EF486" s="567"/>
      <c r="EG486" s="567"/>
      <c r="EH486" s="567"/>
      <c r="EI486" s="567"/>
      <c r="EJ486" s="567"/>
      <c r="EK486" s="567"/>
      <c r="EL486" s="567"/>
      <c r="EM486" s="567"/>
      <c r="EN486" s="567"/>
      <c r="EO486" s="567"/>
      <c r="EP486" s="567"/>
      <c r="EQ486" s="567"/>
      <c r="ER486" s="567"/>
      <c r="ES486" s="567"/>
      <c r="ET486" s="567"/>
      <c r="EU486" s="567"/>
      <c r="EV486" s="567"/>
      <c r="EW486" s="567"/>
      <c r="EX486" s="567"/>
      <c r="EY486" s="567"/>
      <c r="EZ486" s="567"/>
      <c r="FA486" s="567"/>
      <c r="FB486" s="567"/>
      <c r="FC486" s="567"/>
      <c r="FD486" s="567"/>
      <c r="FE486" s="567"/>
      <c r="FF486" s="567"/>
      <c r="FG486" s="567"/>
      <c r="FH486" s="567"/>
      <c r="FI486" s="567"/>
      <c r="FJ486" s="567"/>
      <c r="FK486" s="567"/>
      <c r="FL486" s="567"/>
      <c r="FM486" s="567"/>
      <c r="FN486" s="567"/>
      <c r="FO486" s="567"/>
      <c r="FP486" s="567"/>
      <c r="FQ486" s="567"/>
      <c r="FR486" s="567"/>
      <c r="FS486" s="567"/>
      <c r="FT486" s="567"/>
      <c r="FU486" s="567"/>
      <c r="FV486" s="567"/>
      <c r="FW486" s="567"/>
      <c r="FX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  <c r="BW487" s="567"/>
      <c r="BX487" s="567"/>
      <c r="BY487" s="567"/>
      <c r="BZ487" s="567"/>
      <c r="CA487" s="567"/>
      <c r="CB487" s="567"/>
      <c r="CC487" s="567"/>
      <c r="CD487" s="567"/>
      <c r="CE487" s="567"/>
      <c r="CF487" s="567"/>
      <c r="CG487" s="567"/>
      <c r="CH487" s="567"/>
      <c r="CI487" s="567"/>
      <c r="CJ487" s="567"/>
      <c r="CK487" s="567"/>
      <c r="CL487" s="567"/>
      <c r="CM487" s="567"/>
      <c r="CN487" s="567"/>
      <c r="CO487" s="567"/>
      <c r="CP487" s="567"/>
      <c r="CQ487" s="567"/>
      <c r="CR487" s="567"/>
      <c r="CS487" s="567"/>
      <c r="CT487" s="567"/>
      <c r="CU487" s="567"/>
      <c r="CV487" s="567"/>
      <c r="CW487" s="567"/>
      <c r="CX487" s="567"/>
      <c r="CY487" s="567"/>
      <c r="CZ487" s="567"/>
      <c r="DA487" s="567"/>
      <c r="DB487" s="567"/>
      <c r="DC487" s="567"/>
      <c r="DD487" s="567"/>
      <c r="DE487" s="567"/>
      <c r="DF487" s="567"/>
      <c r="DG487" s="567"/>
      <c r="DH487" s="567"/>
      <c r="DI487" s="567"/>
      <c r="DJ487" s="567"/>
      <c r="DK487" s="567"/>
      <c r="DL487" s="567"/>
      <c r="DM487" s="567"/>
      <c r="DN487" s="567"/>
      <c r="DO487" s="567"/>
      <c r="DP487" s="567"/>
      <c r="DQ487" s="567"/>
      <c r="DR487" s="567"/>
      <c r="DS487" s="567"/>
      <c r="DT487" s="567"/>
      <c r="DU487" s="567"/>
      <c r="DV487" s="567"/>
      <c r="DW487" s="567"/>
      <c r="DX487" s="567"/>
      <c r="DY487" s="567"/>
      <c r="DZ487" s="567"/>
      <c r="EA487" s="567"/>
      <c r="EB487" s="567"/>
      <c r="EC487" s="567"/>
      <c r="ED487" s="567"/>
      <c r="EE487" s="567"/>
      <c r="EF487" s="567"/>
      <c r="EG487" s="567"/>
      <c r="EH487" s="567"/>
      <c r="EI487" s="567"/>
      <c r="EJ487" s="567"/>
      <c r="EK487" s="567"/>
      <c r="EL487" s="567"/>
      <c r="EM487" s="567"/>
      <c r="EN487" s="567"/>
      <c r="EO487" s="567"/>
      <c r="EP487" s="567"/>
      <c r="EQ487" s="567"/>
      <c r="ER487" s="567"/>
      <c r="ES487" s="567"/>
      <c r="ET487" s="567"/>
      <c r="EU487" s="567"/>
      <c r="EV487" s="567"/>
      <c r="EW487" s="567"/>
      <c r="EX487" s="567"/>
      <c r="EY487" s="567"/>
      <c r="EZ487" s="567"/>
      <c r="FA487" s="567"/>
      <c r="FB487" s="567"/>
      <c r="FC487" s="567"/>
      <c r="FD487" s="567"/>
      <c r="FE487" s="567"/>
      <c r="FF487" s="567"/>
      <c r="FG487" s="567"/>
      <c r="FH487" s="567"/>
      <c r="FI487" s="567"/>
      <c r="FJ487" s="567"/>
      <c r="FK487" s="567"/>
      <c r="FL487" s="567"/>
      <c r="FM487" s="567"/>
      <c r="FN487" s="567"/>
      <c r="FO487" s="567"/>
      <c r="FP487" s="567"/>
      <c r="FQ487" s="567"/>
      <c r="FR487" s="567"/>
      <c r="FS487" s="567"/>
      <c r="FT487" s="567"/>
      <c r="FU487" s="567"/>
      <c r="FV487" s="567"/>
      <c r="FW487" s="567"/>
      <c r="FX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  <c r="BW488" s="567"/>
      <c r="BX488" s="567"/>
      <c r="BY488" s="567"/>
      <c r="BZ488" s="567"/>
      <c r="CA488" s="567"/>
      <c r="CB488" s="567"/>
      <c r="CC488" s="567"/>
      <c r="CD488" s="567"/>
      <c r="CE488" s="567"/>
      <c r="CF488" s="567"/>
      <c r="CG488" s="567"/>
      <c r="CH488" s="567"/>
      <c r="CI488" s="567"/>
      <c r="CJ488" s="567"/>
      <c r="CK488" s="567"/>
      <c r="CL488" s="567"/>
      <c r="CM488" s="567"/>
      <c r="CN488" s="567"/>
      <c r="CO488" s="567"/>
      <c r="CP488" s="567"/>
      <c r="CQ488" s="567"/>
      <c r="CR488" s="567"/>
      <c r="CS488" s="567"/>
      <c r="CT488" s="567"/>
      <c r="CU488" s="567"/>
      <c r="CV488" s="567"/>
      <c r="CW488" s="567"/>
      <c r="CX488" s="567"/>
      <c r="CY488" s="567"/>
      <c r="CZ488" s="567"/>
      <c r="DA488" s="567"/>
      <c r="DB488" s="567"/>
      <c r="DC488" s="567"/>
      <c r="DD488" s="567"/>
      <c r="DE488" s="567"/>
      <c r="DF488" s="567"/>
      <c r="DG488" s="567"/>
      <c r="DH488" s="567"/>
      <c r="DI488" s="567"/>
      <c r="DJ488" s="567"/>
      <c r="DK488" s="567"/>
      <c r="DL488" s="567"/>
      <c r="DM488" s="567"/>
      <c r="DN488" s="567"/>
      <c r="DO488" s="567"/>
      <c r="DP488" s="567"/>
      <c r="DQ488" s="567"/>
      <c r="DR488" s="567"/>
      <c r="DS488" s="567"/>
      <c r="DT488" s="567"/>
      <c r="DU488" s="567"/>
      <c r="DV488" s="567"/>
      <c r="DW488" s="567"/>
      <c r="DX488" s="567"/>
      <c r="DY488" s="567"/>
      <c r="DZ488" s="567"/>
      <c r="EA488" s="567"/>
      <c r="EB488" s="567"/>
      <c r="EC488" s="567"/>
      <c r="ED488" s="567"/>
      <c r="EE488" s="567"/>
      <c r="EF488" s="567"/>
      <c r="EG488" s="567"/>
      <c r="EH488" s="567"/>
      <c r="EI488" s="567"/>
      <c r="EJ488" s="567"/>
      <c r="EK488" s="567"/>
      <c r="EL488" s="567"/>
      <c r="EM488" s="567"/>
      <c r="EN488" s="567"/>
      <c r="EO488" s="567"/>
      <c r="EP488" s="567"/>
      <c r="EQ488" s="567"/>
      <c r="ER488" s="567"/>
      <c r="ES488" s="567"/>
      <c r="ET488" s="567"/>
      <c r="EU488" s="567"/>
      <c r="EV488" s="567"/>
      <c r="EW488" s="567"/>
      <c r="EX488" s="567"/>
      <c r="EY488" s="567"/>
      <c r="EZ488" s="567"/>
      <c r="FA488" s="567"/>
      <c r="FB488" s="567"/>
      <c r="FC488" s="567"/>
      <c r="FD488" s="567"/>
      <c r="FE488" s="567"/>
      <c r="FF488" s="567"/>
      <c r="FG488" s="567"/>
      <c r="FH488" s="567"/>
      <c r="FI488" s="567"/>
      <c r="FJ488" s="567"/>
      <c r="FK488" s="567"/>
      <c r="FL488" s="567"/>
      <c r="FM488" s="567"/>
      <c r="FN488" s="567"/>
      <c r="FO488" s="567"/>
      <c r="FP488" s="567"/>
      <c r="FQ488" s="567"/>
      <c r="FR488" s="567"/>
      <c r="FS488" s="567"/>
      <c r="FT488" s="567"/>
      <c r="FU488" s="567"/>
      <c r="FV488" s="567"/>
      <c r="FW488" s="567"/>
      <c r="FX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  <c r="BW489" s="567"/>
      <c r="BX489" s="567"/>
      <c r="BY489" s="567"/>
      <c r="BZ489" s="567"/>
      <c r="CA489" s="567"/>
      <c r="CB489" s="567"/>
      <c r="CC489" s="567"/>
      <c r="CD489" s="567"/>
      <c r="CE489" s="567"/>
      <c r="CF489" s="567"/>
      <c r="CG489" s="567"/>
      <c r="CH489" s="567"/>
      <c r="CI489" s="567"/>
      <c r="CJ489" s="567"/>
      <c r="CK489" s="567"/>
      <c r="CL489" s="567"/>
      <c r="CM489" s="567"/>
      <c r="CN489" s="567"/>
      <c r="CO489" s="567"/>
      <c r="CP489" s="567"/>
      <c r="CQ489" s="567"/>
      <c r="CR489" s="567"/>
      <c r="CS489" s="567"/>
      <c r="CT489" s="567"/>
      <c r="CU489" s="567"/>
      <c r="CV489" s="567"/>
      <c r="CW489" s="567"/>
      <c r="CX489" s="567"/>
      <c r="CY489" s="567"/>
      <c r="CZ489" s="567"/>
      <c r="DA489" s="567"/>
      <c r="DB489" s="567"/>
      <c r="DC489" s="567"/>
      <c r="DD489" s="567"/>
      <c r="DE489" s="567"/>
      <c r="DF489" s="567"/>
      <c r="DG489" s="567"/>
      <c r="DH489" s="567"/>
      <c r="DI489" s="567"/>
      <c r="DJ489" s="567"/>
      <c r="DK489" s="567"/>
      <c r="DL489" s="567"/>
      <c r="DM489" s="567"/>
      <c r="DN489" s="567"/>
      <c r="DO489" s="567"/>
      <c r="DP489" s="567"/>
      <c r="DQ489" s="567"/>
      <c r="DR489" s="567"/>
      <c r="DS489" s="567"/>
      <c r="DT489" s="567"/>
      <c r="DU489" s="567"/>
      <c r="DV489" s="567"/>
      <c r="DW489" s="567"/>
      <c r="DX489" s="567"/>
      <c r="DY489" s="567"/>
      <c r="DZ489" s="567"/>
      <c r="EA489" s="567"/>
      <c r="EB489" s="567"/>
      <c r="EC489" s="567"/>
      <c r="ED489" s="567"/>
      <c r="EE489" s="567"/>
      <c r="EF489" s="567"/>
      <c r="EG489" s="567"/>
      <c r="EH489" s="567"/>
      <c r="EI489" s="567"/>
      <c r="EJ489" s="567"/>
      <c r="EK489" s="567"/>
      <c r="EL489" s="567"/>
      <c r="EM489" s="567"/>
      <c r="EN489" s="567"/>
      <c r="EO489" s="567"/>
      <c r="EP489" s="567"/>
      <c r="EQ489" s="567"/>
      <c r="ER489" s="567"/>
      <c r="ES489" s="567"/>
      <c r="ET489" s="567"/>
      <c r="EU489" s="567"/>
      <c r="EV489" s="567"/>
      <c r="EW489" s="567"/>
      <c r="EX489" s="567"/>
      <c r="EY489" s="567"/>
      <c r="EZ489" s="567"/>
      <c r="FA489" s="567"/>
      <c r="FB489" s="567"/>
      <c r="FC489" s="567"/>
      <c r="FD489" s="567"/>
      <c r="FE489" s="567"/>
      <c r="FF489" s="567"/>
      <c r="FG489" s="567"/>
      <c r="FH489" s="567"/>
      <c r="FI489" s="567"/>
      <c r="FJ489" s="567"/>
      <c r="FK489" s="567"/>
      <c r="FL489" s="567"/>
      <c r="FM489" s="567"/>
      <c r="FN489" s="567"/>
      <c r="FO489" s="567"/>
      <c r="FP489" s="567"/>
      <c r="FQ489" s="567"/>
      <c r="FR489" s="567"/>
      <c r="FS489" s="567"/>
      <c r="FT489" s="567"/>
      <c r="FU489" s="567"/>
      <c r="FV489" s="567"/>
      <c r="FW489" s="567"/>
      <c r="FX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  <c r="BW490" s="567"/>
      <c r="BX490" s="567"/>
      <c r="BY490" s="567"/>
      <c r="BZ490" s="567"/>
      <c r="CA490" s="567"/>
      <c r="CB490" s="567"/>
      <c r="CC490" s="567"/>
      <c r="CD490" s="567"/>
      <c r="CE490" s="567"/>
      <c r="CF490" s="567"/>
      <c r="CG490" s="567"/>
      <c r="CH490" s="567"/>
      <c r="CI490" s="567"/>
      <c r="CJ490" s="567"/>
      <c r="CK490" s="567"/>
      <c r="CL490" s="567"/>
      <c r="CM490" s="567"/>
      <c r="CN490" s="567"/>
      <c r="CO490" s="567"/>
      <c r="CP490" s="567"/>
      <c r="CQ490" s="567"/>
      <c r="CR490" s="567"/>
      <c r="CS490" s="567"/>
      <c r="CT490" s="567"/>
      <c r="CU490" s="567"/>
      <c r="CV490" s="567"/>
      <c r="CW490" s="567"/>
      <c r="CX490" s="567"/>
      <c r="CY490" s="567"/>
      <c r="CZ490" s="567"/>
      <c r="DA490" s="567"/>
      <c r="DB490" s="567"/>
      <c r="DC490" s="567"/>
      <c r="DD490" s="567"/>
      <c r="DE490" s="567"/>
      <c r="DF490" s="567"/>
      <c r="DG490" s="567"/>
      <c r="DH490" s="567"/>
      <c r="DI490" s="567"/>
      <c r="DJ490" s="567"/>
      <c r="DK490" s="567"/>
      <c r="DL490" s="567"/>
      <c r="DM490" s="567"/>
      <c r="DN490" s="567"/>
      <c r="DO490" s="567"/>
      <c r="DP490" s="567"/>
      <c r="DQ490" s="567"/>
      <c r="DR490" s="567"/>
      <c r="DS490" s="567"/>
      <c r="DT490" s="567"/>
      <c r="DU490" s="567"/>
      <c r="DV490" s="567"/>
      <c r="DW490" s="567"/>
      <c r="DX490" s="567"/>
      <c r="DY490" s="567"/>
      <c r="DZ490" s="567"/>
      <c r="EA490" s="567"/>
      <c r="EB490" s="567"/>
      <c r="EC490" s="567"/>
      <c r="ED490" s="567"/>
      <c r="EE490" s="567"/>
      <c r="EF490" s="567"/>
      <c r="EG490" s="567"/>
      <c r="EH490" s="567"/>
      <c r="EI490" s="567"/>
      <c r="EJ490" s="567"/>
      <c r="EK490" s="567"/>
      <c r="EL490" s="567"/>
      <c r="EM490" s="567"/>
      <c r="EN490" s="567"/>
      <c r="EO490" s="567"/>
      <c r="EP490" s="567"/>
      <c r="EQ490" s="567"/>
      <c r="ER490" s="567"/>
      <c r="ES490" s="567"/>
      <c r="ET490" s="567"/>
      <c r="EU490" s="567"/>
      <c r="EV490" s="567"/>
      <c r="EW490" s="567"/>
      <c r="EX490" s="567"/>
      <c r="EY490" s="567"/>
      <c r="EZ490" s="567"/>
      <c r="FA490" s="567"/>
      <c r="FB490" s="567"/>
      <c r="FC490" s="567"/>
      <c r="FD490" s="567"/>
      <c r="FE490" s="567"/>
      <c r="FF490" s="567"/>
      <c r="FG490" s="567"/>
      <c r="FH490" s="567"/>
      <c r="FI490" s="567"/>
      <c r="FJ490" s="567"/>
      <c r="FK490" s="567"/>
      <c r="FL490" s="567"/>
      <c r="FM490" s="567"/>
      <c r="FN490" s="567"/>
      <c r="FO490" s="567"/>
      <c r="FP490" s="567"/>
      <c r="FQ490" s="567"/>
      <c r="FR490" s="567"/>
      <c r="FS490" s="567"/>
      <c r="FT490" s="567"/>
      <c r="FU490" s="567"/>
      <c r="FV490" s="567"/>
      <c r="FW490" s="567"/>
      <c r="FX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  <c r="BW491" s="567"/>
      <c r="BX491" s="567"/>
      <c r="BY491" s="567"/>
      <c r="BZ491" s="567"/>
      <c r="CA491" s="567"/>
      <c r="CB491" s="567"/>
      <c r="CC491" s="567"/>
      <c r="CD491" s="567"/>
      <c r="CE491" s="567"/>
      <c r="CF491" s="567"/>
      <c r="CG491" s="567"/>
      <c r="CH491" s="567"/>
      <c r="CI491" s="567"/>
      <c r="CJ491" s="567"/>
      <c r="CK491" s="567"/>
      <c r="CL491" s="567"/>
      <c r="CM491" s="567"/>
      <c r="CN491" s="567"/>
      <c r="CO491" s="567"/>
      <c r="CP491" s="567"/>
      <c r="CQ491" s="567"/>
      <c r="CR491" s="567"/>
      <c r="CS491" s="567"/>
      <c r="CT491" s="567"/>
      <c r="CU491" s="567"/>
      <c r="CV491" s="567"/>
      <c r="CW491" s="567"/>
      <c r="CX491" s="567"/>
      <c r="CY491" s="567"/>
      <c r="CZ491" s="567"/>
      <c r="DA491" s="567"/>
      <c r="DB491" s="567"/>
      <c r="DC491" s="567"/>
      <c r="DD491" s="567"/>
      <c r="DE491" s="567"/>
      <c r="DF491" s="567"/>
      <c r="DG491" s="567"/>
      <c r="DH491" s="567"/>
      <c r="DI491" s="567"/>
      <c r="DJ491" s="567"/>
      <c r="DK491" s="567"/>
      <c r="DL491" s="567"/>
      <c r="DM491" s="567"/>
      <c r="DN491" s="567"/>
      <c r="DO491" s="567"/>
      <c r="DP491" s="567"/>
      <c r="DQ491" s="567"/>
      <c r="DR491" s="567"/>
      <c r="DS491" s="567"/>
      <c r="DT491" s="567"/>
      <c r="DU491" s="567"/>
      <c r="DV491" s="567"/>
      <c r="DW491" s="567"/>
      <c r="DX491" s="567"/>
      <c r="DY491" s="567"/>
      <c r="DZ491" s="567"/>
      <c r="EA491" s="567"/>
      <c r="EB491" s="567"/>
      <c r="EC491" s="567"/>
      <c r="ED491" s="567"/>
      <c r="EE491" s="567"/>
      <c r="EF491" s="567"/>
      <c r="EG491" s="567"/>
      <c r="EH491" s="567"/>
      <c r="EI491" s="567"/>
      <c r="EJ491" s="567"/>
      <c r="EK491" s="567"/>
      <c r="EL491" s="567"/>
      <c r="EM491" s="567"/>
      <c r="EN491" s="567"/>
      <c r="EO491" s="567"/>
      <c r="EP491" s="567"/>
      <c r="EQ491" s="567"/>
      <c r="ER491" s="567"/>
      <c r="ES491" s="567"/>
      <c r="ET491" s="567"/>
      <c r="EU491" s="567"/>
      <c r="EV491" s="567"/>
      <c r="EW491" s="567"/>
      <c r="EX491" s="567"/>
      <c r="EY491" s="567"/>
      <c r="EZ491" s="567"/>
      <c r="FA491" s="567"/>
      <c r="FB491" s="567"/>
      <c r="FC491" s="567"/>
      <c r="FD491" s="567"/>
      <c r="FE491" s="567"/>
      <c r="FF491" s="567"/>
      <c r="FG491" s="567"/>
      <c r="FH491" s="567"/>
      <c r="FI491" s="567"/>
      <c r="FJ491" s="567"/>
      <c r="FK491" s="567"/>
      <c r="FL491" s="567"/>
      <c r="FM491" s="567"/>
      <c r="FN491" s="567"/>
      <c r="FO491" s="567"/>
      <c r="FP491" s="567"/>
      <c r="FQ491" s="567"/>
      <c r="FR491" s="567"/>
      <c r="FS491" s="567"/>
      <c r="FT491" s="567"/>
      <c r="FU491" s="567"/>
      <c r="FV491" s="567"/>
      <c r="FW491" s="567"/>
      <c r="FX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  <c r="BW492" s="567"/>
      <c r="BX492" s="567"/>
      <c r="BY492" s="567"/>
      <c r="BZ492" s="567"/>
      <c r="CA492" s="567"/>
      <c r="CB492" s="567"/>
      <c r="CC492" s="567"/>
      <c r="CD492" s="567"/>
      <c r="CE492" s="567"/>
      <c r="CF492" s="567"/>
      <c r="CG492" s="567"/>
      <c r="CH492" s="567"/>
      <c r="CI492" s="567"/>
      <c r="CJ492" s="567"/>
      <c r="CK492" s="567"/>
      <c r="CL492" s="567"/>
      <c r="CM492" s="567"/>
      <c r="CN492" s="567"/>
      <c r="CO492" s="567"/>
      <c r="CP492" s="567"/>
      <c r="CQ492" s="567"/>
      <c r="CR492" s="567"/>
      <c r="CS492" s="567"/>
      <c r="CT492" s="567"/>
      <c r="CU492" s="567"/>
      <c r="CV492" s="567"/>
      <c r="CW492" s="567"/>
      <c r="CX492" s="567"/>
      <c r="CY492" s="567"/>
      <c r="CZ492" s="567"/>
      <c r="DA492" s="567"/>
      <c r="DB492" s="567"/>
      <c r="DC492" s="567"/>
      <c r="DD492" s="567"/>
      <c r="DE492" s="567"/>
      <c r="DF492" s="567"/>
      <c r="DG492" s="567"/>
      <c r="DH492" s="567"/>
      <c r="DI492" s="567"/>
      <c r="DJ492" s="567"/>
      <c r="DK492" s="567"/>
      <c r="DL492" s="567"/>
      <c r="DM492" s="567"/>
      <c r="DN492" s="567"/>
      <c r="DO492" s="567"/>
      <c r="DP492" s="567"/>
      <c r="DQ492" s="567"/>
      <c r="DR492" s="567"/>
      <c r="DS492" s="567"/>
      <c r="DT492" s="567"/>
      <c r="DU492" s="567"/>
      <c r="DV492" s="567"/>
      <c r="DW492" s="567"/>
      <c r="DX492" s="567"/>
      <c r="DY492" s="567"/>
      <c r="DZ492" s="567"/>
      <c r="EA492" s="567"/>
      <c r="EB492" s="567"/>
      <c r="EC492" s="567"/>
      <c r="ED492" s="567"/>
      <c r="EE492" s="567"/>
      <c r="EF492" s="567"/>
      <c r="EG492" s="567"/>
      <c r="EH492" s="567"/>
      <c r="EI492" s="567"/>
      <c r="EJ492" s="567"/>
      <c r="EK492" s="567"/>
      <c r="EL492" s="567"/>
      <c r="EM492" s="567"/>
      <c r="EN492" s="567"/>
      <c r="EO492" s="567"/>
      <c r="EP492" s="567"/>
      <c r="EQ492" s="567"/>
      <c r="ER492" s="567"/>
      <c r="ES492" s="567"/>
      <c r="ET492" s="567"/>
      <c r="EU492" s="567"/>
      <c r="EV492" s="567"/>
      <c r="EW492" s="567"/>
      <c r="EX492" s="567"/>
      <c r="EY492" s="567"/>
      <c r="EZ492" s="567"/>
      <c r="FA492" s="567"/>
      <c r="FB492" s="567"/>
      <c r="FC492" s="567"/>
      <c r="FD492" s="567"/>
      <c r="FE492" s="567"/>
      <c r="FF492" s="567"/>
      <c r="FG492" s="567"/>
      <c r="FH492" s="567"/>
      <c r="FI492" s="567"/>
      <c r="FJ492" s="567"/>
      <c r="FK492" s="567"/>
      <c r="FL492" s="567"/>
      <c r="FM492" s="567"/>
      <c r="FN492" s="567"/>
      <c r="FO492" s="567"/>
      <c r="FP492" s="567"/>
      <c r="FQ492" s="567"/>
      <c r="FR492" s="567"/>
      <c r="FS492" s="567"/>
      <c r="FT492" s="567"/>
      <c r="FU492" s="567"/>
      <c r="FV492" s="567"/>
      <c r="FW492" s="567"/>
      <c r="FX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  <c r="BW493" s="567"/>
      <c r="BX493" s="567"/>
      <c r="BY493" s="567"/>
      <c r="BZ493" s="567"/>
      <c r="CA493" s="567"/>
      <c r="CB493" s="567"/>
      <c r="CC493" s="567"/>
      <c r="CD493" s="567"/>
      <c r="CE493" s="567"/>
      <c r="CF493" s="567"/>
      <c r="CG493" s="567"/>
      <c r="CH493" s="567"/>
      <c r="CI493" s="567"/>
      <c r="CJ493" s="567"/>
      <c r="CK493" s="567"/>
      <c r="CL493" s="567"/>
      <c r="CM493" s="567"/>
      <c r="CN493" s="567"/>
      <c r="CO493" s="567"/>
      <c r="CP493" s="567"/>
      <c r="CQ493" s="567"/>
      <c r="CR493" s="567"/>
      <c r="CS493" s="567"/>
      <c r="CT493" s="567"/>
      <c r="CU493" s="567"/>
      <c r="CV493" s="567"/>
      <c r="CW493" s="567"/>
      <c r="CX493" s="567"/>
      <c r="CY493" s="567"/>
      <c r="CZ493" s="567"/>
      <c r="DA493" s="567"/>
      <c r="DB493" s="567"/>
      <c r="DC493" s="567"/>
      <c r="DD493" s="567"/>
      <c r="DE493" s="567"/>
      <c r="DF493" s="567"/>
      <c r="DG493" s="567"/>
      <c r="DH493" s="567"/>
      <c r="DI493" s="567"/>
      <c r="DJ493" s="567"/>
      <c r="DK493" s="567"/>
      <c r="DL493" s="567"/>
      <c r="DM493" s="567"/>
      <c r="DN493" s="567"/>
      <c r="DO493" s="567"/>
      <c r="DP493" s="567"/>
      <c r="DQ493" s="567"/>
      <c r="DR493" s="567"/>
      <c r="DS493" s="567"/>
      <c r="DT493" s="567"/>
      <c r="DU493" s="567"/>
      <c r="DV493" s="567"/>
      <c r="DW493" s="567"/>
      <c r="DX493" s="567"/>
      <c r="DY493" s="567"/>
      <c r="DZ493" s="567"/>
      <c r="EA493" s="567"/>
      <c r="EB493" s="567"/>
      <c r="EC493" s="567"/>
      <c r="ED493" s="567"/>
      <c r="EE493" s="567"/>
      <c r="EF493" s="567"/>
      <c r="EG493" s="567"/>
      <c r="EH493" s="567"/>
      <c r="EI493" s="567"/>
      <c r="EJ493" s="567"/>
      <c r="EK493" s="567"/>
      <c r="EL493" s="567"/>
      <c r="EM493" s="567"/>
      <c r="EN493" s="567"/>
      <c r="EO493" s="567"/>
      <c r="EP493" s="567"/>
      <c r="EQ493" s="567"/>
      <c r="ER493" s="567"/>
      <c r="ES493" s="567"/>
      <c r="ET493" s="567"/>
      <c r="EU493" s="567"/>
      <c r="EV493" s="567"/>
      <c r="EW493" s="567"/>
      <c r="EX493" s="567"/>
      <c r="EY493" s="567"/>
      <c r="EZ493" s="567"/>
      <c r="FA493" s="567"/>
      <c r="FB493" s="567"/>
      <c r="FC493" s="567"/>
      <c r="FD493" s="567"/>
      <c r="FE493" s="567"/>
      <c r="FF493" s="567"/>
      <c r="FG493" s="567"/>
      <c r="FH493" s="567"/>
      <c r="FI493" s="567"/>
      <c r="FJ493" s="567"/>
      <c r="FK493" s="567"/>
      <c r="FL493" s="567"/>
      <c r="FM493" s="567"/>
      <c r="FN493" s="567"/>
      <c r="FO493" s="567"/>
      <c r="FP493" s="567"/>
      <c r="FQ493" s="567"/>
      <c r="FR493" s="567"/>
      <c r="FS493" s="567"/>
      <c r="FT493" s="567"/>
      <c r="FU493" s="567"/>
      <c r="FV493" s="567"/>
      <c r="FW493" s="567"/>
      <c r="FX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  <c r="BW494" s="567"/>
      <c r="BX494" s="567"/>
      <c r="BY494" s="567"/>
      <c r="BZ494" s="567"/>
      <c r="CA494" s="567"/>
      <c r="CB494" s="567"/>
      <c r="CC494" s="567"/>
      <c r="CD494" s="567"/>
      <c r="CE494" s="567"/>
      <c r="CF494" s="567"/>
      <c r="CG494" s="567"/>
      <c r="CH494" s="567"/>
      <c r="CI494" s="567"/>
      <c r="CJ494" s="567"/>
      <c r="CK494" s="567"/>
      <c r="CL494" s="567"/>
      <c r="CM494" s="567"/>
      <c r="CN494" s="567"/>
      <c r="CO494" s="567"/>
      <c r="CP494" s="567"/>
      <c r="CQ494" s="567"/>
      <c r="CR494" s="567"/>
      <c r="CS494" s="567"/>
      <c r="CT494" s="567"/>
      <c r="CU494" s="567"/>
      <c r="CV494" s="567"/>
      <c r="CW494" s="567"/>
      <c r="CX494" s="567"/>
      <c r="CY494" s="567"/>
      <c r="CZ494" s="567"/>
      <c r="DA494" s="567"/>
      <c r="DB494" s="567"/>
      <c r="DC494" s="567"/>
      <c r="DD494" s="567"/>
      <c r="DE494" s="567"/>
      <c r="DF494" s="567"/>
      <c r="DG494" s="567"/>
      <c r="DH494" s="567"/>
      <c r="DI494" s="567"/>
      <c r="DJ494" s="567"/>
      <c r="DK494" s="567"/>
      <c r="DL494" s="567"/>
      <c r="DM494" s="567"/>
      <c r="DN494" s="567"/>
      <c r="DO494" s="567"/>
      <c r="DP494" s="567"/>
      <c r="DQ494" s="567"/>
      <c r="DR494" s="567"/>
      <c r="DS494" s="567"/>
      <c r="DT494" s="567"/>
      <c r="DU494" s="567"/>
      <c r="DV494" s="567"/>
      <c r="DW494" s="567"/>
      <c r="DX494" s="567"/>
      <c r="DY494" s="567"/>
      <c r="DZ494" s="567"/>
      <c r="EA494" s="567"/>
      <c r="EB494" s="567"/>
      <c r="EC494" s="567"/>
      <c r="ED494" s="567"/>
      <c r="EE494" s="567"/>
      <c r="EF494" s="567"/>
      <c r="EG494" s="567"/>
      <c r="EH494" s="567"/>
      <c r="EI494" s="567"/>
      <c r="EJ494" s="567"/>
      <c r="EK494" s="567"/>
      <c r="EL494" s="567"/>
      <c r="EM494" s="567"/>
      <c r="EN494" s="567"/>
      <c r="EO494" s="567"/>
      <c r="EP494" s="567"/>
      <c r="EQ494" s="567"/>
      <c r="ER494" s="567"/>
      <c r="ES494" s="567"/>
      <c r="ET494" s="567"/>
      <c r="EU494" s="567"/>
      <c r="EV494" s="567"/>
      <c r="EW494" s="567"/>
      <c r="EX494" s="567"/>
      <c r="EY494" s="567"/>
      <c r="EZ494" s="567"/>
      <c r="FA494" s="567"/>
      <c r="FB494" s="567"/>
      <c r="FC494" s="567"/>
      <c r="FD494" s="567"/>
      <c r="FE494" s="567"/>
      <c r="FF494" s="567"/>
      <c r="FG494" s="567"/>
      <c r="FH494" s="567"/>
      <c r="FI494" s="567"/>
      <c r="FJ494" s="567"/>
      <c r="FK494" s="567"/>
      <c r="FL494" s="567"/>
      <c r="FM494" s="567"/>
      <c r="FN494" s="567"/>
      <c r="FO494" s="567"/>
      <c r="FP494" s="567"/>
      <c r="FQ494" s="567"/>
      <c r="FR494" s="567"/>
      <c r="FS494" s="567"/>
      <c r="FT494" s="567"/>
      <c r="FU494" s="567"/>
      <c r="FV494" s="567"/>
      <c r="FW494" s="567"/>
      <c r="FX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  <c r="BW495" s="567"/>
      <c r="BX495" s="567"/>
      <c r="BY495" s="567"/>
      <c r="BZ495" s="567"/>
      <c r="CA495" s="567"/>
      <c r="CB495" s="567"/>
      <c r="CC495" s="567"/>
      <c r="CD495" s="567"/>
      <c r="CE495" s="567"/>
      <c r="CF495" s="567"/>
      <c r="CG495" s="567"/>
      <c r="CH495" s="567"/>
      <c r="CI495" s="567"/>
      <c r="CJ495" s="567"/>
      <c r="CK495" s="567"/>
      <c r="CL495" s="567"/>
      <c r="CM495" s="567"/>
      <c r="CN495" s="567"/>
      <c r="CO495" s="567"/>
      <c r="CP495" s="567"/>
      <c r="CQ495" s="567"/>
      <c r="CR495" s="567"/>
      <c r="CS495" s="567"/>
      <c r="CT495" s="567"/>
      <c r="CU495" s="567"/>
      <c r="CV495" s="567"/>
      <c r="CW495" s="567"/>
      <c r="CX495" s="567"/>
      <c r="CY495" s="567"/>
      <c r="CZ495" s="567"/>
      <c r="DA495" s="567"/>
      <c r="DB495" s="567"/>
      <c r="DC495" s="567"/>
      <c r="DD495" s="567"/>
      <c r="DE495" s="567"/>
      <c r="DF495" s="567"/>
      <c r="DG495" s="567"/>
      <c r="DH495" s="567"/>
      <c r="DI495" s="567"/>
      <c r="DJ495" s="567"/>
      <c r="DK495" s="567"/>
      <c r="DL495" s="567"/>
      <c r="DM495" s="567"/>
      <c r="DN495" s="567"/>
      <c r="DO495" s="567"/>
      <c r="DP495" s="567"/>
      <c r="DQ495" s="567"/>
      <c r="DR495" s="567"/>
      <c r="DS495" s="567"/>
      <c r="DT495" s="567"/>
      <c r="DU495" s="567"/>
      <c r="DV495" s="567"/>
      <c r="DW495" s="567"/>
      <c r="DX495" s="567"/>
      <c r="DY495" s="567"/>
      <c r="DZ495" s="567"/>
      <c r="EA495" s="567"/>
      <c r="EB495" s="567"/>
      <c r="EC495" s="567"/>
      <c r="ED495" s="567"/>
      <c r="EE495" s="567"/>
      <c r="EF495" s="567"/>
      <c r="EG495" s="567"/>
      <c r="EH495" s="567"/>
      <c r="EI495" s="567"/>
      <c r="EJ495" s="567"/>
      <c r="EK495" s="567"/>
      <c r="EL495" s="567"/>
      <c r="EM495" s="567"/>
      <c r="EN495" s="567"/>
      <c r="EO495" s="567"/>
      <c r="EP495" s="567"/>
      <c r="EQ495" s="567"/>
      <c r="ER495" s="567"/>
      <c r="ES495" s="567"/>
      <c r="ET495" s="567"/>
      <c r="EU495" s="567"/>
      <c r="EV495" s="567"/>
      <c r="EW495" s="567"/>
      <c r="EX495" s="567"/>
      <c r="EY495" s="567"/>
      <c r="EZ495" s="567"/>
      <c r="FA495" s="567"/>
      <c r="FB495" s="567"/>
      <c r="FC495" s="567"/>
      <c r="FD495" s="567"/>
      <c r="FE495" s="567"/>
      <c r="FF495" s="567"/>
      <c r="FG495" s="567"/>
      <c r="FH495" s="567"/>
      <c r="FI495" s="567"/>
      <c r="FJ495" s="567"/>
      <c r="FK495" s="567"/>
      <c r="FL495" s="567"/>
      <c r="FM495" s="567"/>
      <c r="FN495" s="567"/>
      <c r="FO495" s="567"/>
      <c r="FP495" s="567"/>
      <c r="FQ495" s="567"/>
      <c r="FR495" s="567"/>
      <c r="FS495" s="567"/>
      <c r="FT495" s="567"/>
      <c r="FU495" s="567"/>
      <c r="FV495" s="567"/>
      <c r="FW495" s="567"/>
      <c r="FX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  <c r="BW496" s="567"/>
      <c r="BX496" s="567"/>
      <c r="BY496" s="567"/>
      <c r="BZ496" s="567"/>
      <c r="CA496" s="567"/>
      <c r="CB496" s="567"/>
      <c r="CC496" s="567"/>
      <c r="CD496" s="567"/>
      <c r="CE496" s="567"/>
      <c r="CF496" s="567"/>
      <c r="CG496" s="567"/>
      <c r="CH496" s="567"/>
      <c r="CI496" s="567"/>
      <c r="CJ496" s="567"/>
      <c r="CK496" s="567"/>
      <c r="CL496" s="567"/>
      <c r="CM496" s="567"/>
      <c r="CN496" s="567"/>
      <c r="CO496" s="567"/>
      <c r="CP496" s="567"/>
      <c r="CQ496" s="567"/>
      <c r="CR496" s="567"/>
      <c r="CS496" s="567"/>
      <c r="CT496" s="567"/>
      <c r="CU496" s="567"/>
      <c r="CV496" s="567"/>
      <c r="CW496" s="567"/>
      <c r="CX496" s="567"/>
      <c r="CY496" s="567"/>
      <c r="CZ496" s="567"/>
      <c r="DA496" s="567"/>
      <c r="DB496" s="567"/>
      <c r="DC496" s="567"/>
      <c r="DD496" s="567"/>
      <c r="DE496" s="567"/>
      <c r="DF496" s="567"/>
      <c r="DG496" s="567"/>
      <c r="DH496" s="567"/>
      <c r="DI496" s="567"/>
      <c r="DJ496" s="567"/>
      <c r="DK496" s="567"/>
      <c r="DL496" s="567"/>
      <c r="DM496" s="567"/>
      <c r="DN496" s="567"/>
      <c r="DO496" s="567"/>
      <c r="DP496" s="567"/>
      <c r="DQ496" s="567"/>
      <c r="DR496" s="567"/>
      <c r="DS496" s="567"/>
      <c r="DT496" s="567"/>
      <c r="DU496" s="567"/>
      <c r="DV496" s="567"/>
      <c r="DW496" s="567"/>
      <c r="DX496" s="567"/>
      <c r="DY496" s="567"/>
      <c r="DZ496" s="567"/>
      <c r="EA496" s="567"/>
      <c r="EB496" s="567"/>
      <c r="EC496" s="567"/>
      <c r="ED496" s="567"/>
      <c r="EE496" s="567"/>
      <c r="EF496" s="567"/>
      <c r="EG496" s="567"/>
      <c r="EH496" s="567"/>
      <c r="EI496" s="567"/>
      <c r="EJ496" s="567"/>
      <c r="EK496" s="567"/>
      <c r="EL496" s="567"/>
      <c r="EM496" s="567"/>
      <c r="EN496" s="567"/>
      <c r="EO496" s="567"/>
      <c r="EP496" s="567"/>
      <c r="EQ496" s="567"/>
      <c r="ER496" s="567"/>
      <c r="ES496" s="567"/>
      <c r="ET496" s="567"/>
      <c r="EU496" s="567"/>
      <c r="EV496" s="567"/>
      <c r="EW496" s="567"/>
      <c r="EX496" s="567"/>
      <c r="EY496" s="567"/>
      <c r="EZ496" s="567"/>
      <c r="FA496" s="567"/>
      <c r="FB496" s="567"/>
      <c r="FC496" s="567"/>
      <c r="FD496" s="567"/>
      <c r="FE496" s="567"/>
      <c r="FF496" s="567"/>
      <c r="FG496" s="567"/>
      <c r="FH496" s="567"/>
      <c r="FI496" s="567"/>
      <c r="FJ496" s="567"/>
      <c r="FK496" s="567"/>
      <c r="FL496" s="567"/>
      <c r="FM496" s="567"/>
      <c r="FN496" s="567"/>
      <c r="FO496" s="567"/>
      <c r="FP496" s="567"/>
      <c r="FQ496" s="567"/>
      <c r="FR496" s="567"/>
      <c r="FS496" s="567"/>
      <c r="FT496" s="567"/>
      <c r="FU496" s="567"/>
      <c r="FV496" s="567"/>
      <c r="FW496" s="567"/>
      <c r="FX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  <c r="BW497" s="567"/>
      <c r="BX497" s="567"/>
      <c r="BY497" s="567"/>
      <c r="BZ497" s="567"/>
      <c r="CA497" s="567"/>
      <c r="CB497" s="567"/>
      <c r="CC497" s="567"/>
      <c r="CD497" s="567"/>
      <c r="CE497" s="567"/>
      <c r="CF497" s="567"/>
      <c r="CG497" s="567"/>
      <c r="CH497" s="567"/>
      <c r="CI497" s="567"/>
      <c r="CJ497" s="567"/>
      <c r="CK497" s="567"/>
      <c r="CL497" s="567"/>
      <c r="CM497" s="567"/>
      <c r="CN497" s="567"/>
      <c r="CO497" s="567"/>
      <c r="CP497" s="567"/>
      <c r="CQ497" s="567"/>
      <c r="CR497" s="567"/>
      <c r="CS497" s="567"/>
      <c r="CT497" s="567"/>
      <c r="CU497" s="567"/>
      <c r="CV497" s="567"/>
      <c r="CW497" s="567"/>
      <c r="CX497" s="567"/>
      <c r="CY497" s="567"/>
      <c r="CZ497" s="567"/>
      <c r="DA497" s="567"/>
      <c r="DB497" s="567"/>
      <c r="DC497" s="567"/>
      <c r="DD497" s="567"/>
      <c r="DE497" s="567"/>
      <c r="DF497" s="567"/>
      <c r="DG497" s="567"/>
      <c r="DH497" s="567"/>
      <c r="DI497" s="567"/>
      <c r="DJ497" s="567"/>
      <c r="DK497" s="567"/>
      <c r="DL497" s="567"/>
      <c r="DM497" s="567"/>
      <c r="DN497" s="567"/>
      <c r="DO497" s="567"/>
      <c r="DP497" s="567"/>
      <c r="DQ497" s="567"/>
      <c r="DR497" s="567"/>
      <c r="DS497" s="567"/>
      <c r="DT497" s="567"/>
      <c r="DU497" s="567"/>
      <c r="DV497" s="567"/>
      <c r="DW497" s="567"/>
      <c r="DX497" s="567"/>
      <c r="DY497" s="567"/>
      <c r="DZ497" s="567"/>
      <c r="EA497" s="567"/>
      <c r="EB497" s="567"/>
      <c r="EC497" s="567"/>
      <c r="ED497" s="567"/>
      <c r="EE497" s="567"/>
      <c r="EF497" s="567"/>
      <c r="EG497" s="567"/>
      <c r="EH497" s="567"/>
      <c r="EI497" s="567"/>
      <c r="EJ497" s="567"/>
      <c r="EK497" s="567"/>
      <c r="EL497" s="567"/>
      <c r="EM497" s="567"/>
      <c r="EN497" s="567"/>
      <c r="EO497" s="567"/>
      <c r="EP497" s="567"/>
      <c r="EQ497" s="567"/>
      <c r="ER497" s="567"/>
      <c r="ES497" s="567"/>
      <c r="ET497" s="567"/>
      <c r="EU497" s="567"/>
      <c r="EV497" s="567"/>
      <c r="EW497" s="567"/>
      <c r="EX497" s="567"/>
      <c r="EY497" s="567"/>
      <c r="EZ497" s="567"/>
      <c r="FA497" s="567"/>
      <c r="FB497" s="567"/>
      <c r="FC497" s="567"/>
      <c r="FD497" s="567"/>
      <c r="FE497" s="567"/>
      <c r="FF497" s="567"/>
      <c r="FG497" s="567"/>
      <c r="FH497" s="567"/>
      <c r="FI497" s="567"/>
      <c r="FJ497" s="567"/>
      <c r="FK497" s="567"/>
      <c r="FL497" s="567"/>
      <c r="FM497" s="567"/>
      <c r="FN497" s="567"/>
      <c r="FO497" s="567"/>
      <c r="FP497" s="567"/>
      <c r="FQ497" s="567"/>
      <c r="FR497" s="567"/>
      <c r="FS497" s="567"/>
      <c r="FT497" s="567"/>
      <c r="FU497" s="567"/>
      <c r="FV497" s="567"/>
      <c r="FW497" s="567"/>
      <c r="FX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  <c r="BW498" s="567"/>
      <c r="BX498" s="567"/>
      <c r="BY498" s="567"/>
      <c r="BZ498" s="567"/>
      <c r="CA498" s="567"/>
      <c r="CB498" s="567"/>
      <c r="CC498" s="567"/>
      <c r="CD498" s="567"/>
      <c r="CE498" s="567"/>
      <c r="CF498" s="567"/>
      <c r="CG498" s="567"/>
      <c r="CH498" s="567"/>
      <c r="CI498" s="567"/>
      <c r="CJ498" s="567"/>
      <c r="CK498" s="567"/>
      <c r="CL498" s="567"/>
      <c r="CM498" s="567"/>
      <c r="CN498" s="567"/>
      <c r="CO498" s="567"/>
      <c r="CP498" s="567"/>
      <c r="CQ498" s="567"/>
      <c r="CR498" s="567"/>
      <c r="CS498" s="567"/>
      <c r="CT498" s="567"/>
      <c r="CU498" s="567"/>
      <c r="CV498" s="567"/>
      <c r="CW498" s="567"/>
      <c r="CX498" s="567"/>
      <c r="CY498" s="567"/>
      <c r="CZ498" s="567"/>
      <c r="DA498" s="567"/>
      <c r="DB498" s="567"/>
      <c r="DC498" s="567"/>
      <c r="DD498" s="567"/>
      <c r="DE498" s="567"/>
      <c r="DF498" s="567"/>
      <c r="DG498" s="567"/>
      <c r="DH498" s="567"/>
      <c r="DI498" s="567"/>
      <c r="DJ498" s="567"/>
      <c r="DK498" s="567"/>
      <c r="DL498" s="567"/>
      <c r="DM498" s="567"/>
      <c r="DN498" s="567"/>
      <c r="DO498" s="567"/>
      <c r="DP498" s="567"/>
      <c r="DQ498" s="567"/>
      <c r="DR498" s="567"/>
      <c r="DS498" s="567"/>
      <c r="DT498" s="567"/>
      <c r="DU498" s="567"/>
      <c r="DV498" s="567"/>
      <c r="DW498" s="567"/>
      <c r="DX498" s="567"/>
      <c r="DY498" s="567"/>
      <c r="DZ498" s="567"/>
      <c r="EA498" s="567"/>
      <c r="EB498" s="567"/>
      <c r="EC498" s="567"/>
      <c r="ED498" s="567"/>
      <c r="EE498" s="567"/>
      <c r="EF498" s="567"/>
      <c r="EG498" s="567"/>
      <c r="EH498" s="567"/>
      <c r="EI498" s="567"/>
      <c r="EJ498" s="567"/>
      <c r="EK498" s="567"/>
      <c r="EL498" s="567"/>
      <c r="EM498" s="567"/>
      <c r="EN498" s="567"/>
      <c r="EO498" s="567"/>
      <c r="EP498" s="567"/>
      <c r="EQ498" s="567"/>
      <c r="ER498" s="567"/>
      <c r="ES498" s="567"/>
      <c r="ET498" s="567"/>
      <c r="EU498" s="567"/>
      <c r="EV498" s="567"/>
      <c r="EW498" s="567"/>
      <c r="EX498" s="567"/>
      <c r="EY498" s="567"/>
      <c r="EZ498" s="567"/>
      <c r="FA498" s="567"/>
      <c r="FB498" s="567"/>
      <c r="FC498" s="567"/>
      <c r="FD498" s="567"/>
      <c r="FE498" s="567"/>
      <c r="FF498" s="567"/>
      <c r="FG498" s="567"/>
      <c r="FH498" s="567"/>
      <c r="FI498" s="567"/>
      <c r="FJ498" s="567"/>
      <c r="FK498" s="567"/>
      <c r="FL498" s="567"/>
      <c r="FM498" s="567"/>
      <c r="FN498" s="567"/>
      <c r="FO498" s="567"/>
      <c r="FP498" s="567"/>
      <c r="FQ498" s="567"/>
      <c r="FR498" s="567"/>
      <c r="FS498" s="567"/>
      <c r="FT498" s="567"/>
      <c r="FU498" s="567"/>
      <c r="FV498" s="567"/>
      <c r="FW498" s="567"/>
      <c r="FX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  <c r="BW499" s="567"/>
      <c r="BX499" s="567"/>
      <c r="BY499" s="567"/>
      <c r="BZ499" s="567"/>
      <c r="CA499" s="567"/>
      <c r="CB499" s="567"/>
      <c r="CC499" s="567"/>
      <c r="CD499" s="567"/>
      <c r="CE499" s="567"/>
      <c r="CF499" s="567"/>
      <c r="CG499" s="567"/>
      <c r="CH499" s="567"/>
      <c r="CI499" s="567"/>
      <c r="CJ499" s="567"/>
      <c r="CK499" s="567"/>
      <c r="CL499" s="567"/>
      <c r="CM499" s="567"/>
      <c r="CN499" s="567"/>
      <c r="CO499" s="567"/>
      <c r="CP499" s="567"/>
      <c r="CQ499" s="567"/>
      <c r="CR499" s="567"/>
      <c r="CS499" s="567"/>
      <c r="CT499" s="567"/>
      <c r="CU499" s="567"/>
      <c r="CV499" s="567"/>
      <c r="CW499" s="567"/>
      <c r="CX499" s="567"/>
      <c r="CY499" s="567"/>
      <c r="CZ499" s="567"/>
      <c r="DA499" s="567"/>
      <c r="DB499" s="567"/>
      <c r="DC499" s="567"/>
      <c r="DD499" s="567"/>
      <c r="DE499" s="567"/>
      <c r="DF499" s="567"/>
      <c r="DG499" s="567"/>
      <c r="DH499" s="567"/>
      <c r="DI499" s="567"/>
      <c r="DJ499" s="567"/>
      <c r="DK499" s="567"/>
      <c r="DL499" s="567"/>
      <c r="DM499" s="567"/>
      <c r="DN499" s="567"/>
      <c r="DO499" s="567"/>
      <c r="DP499" s="567"/>
      <c r="DQ499" s="567"/>
      <c r="DR499" s="567"/>
      <c r="DS499" s="567"/>
      <c r="DT499" s="567"/>
      <c r="DU499" s="567"/>
      <c r="DV499" s="567"/>
      <c r="DW499" s="567"/>
      <c r="DX499" s="567"/>
      <c r="DY499" s="567"/>
      <c r="DZ499" s="567"/>
      <c r="EA499" s="567"/>
      <c r="EB499" s="567"/>
      <c r="EC499" s="567"/>
      <c r="ED499" s="567"/>
      <c r="EE499" s="567"/>
      <c r="EF499" s="567"/>
      <c r="EG499" s="567"/>
      <c r="EH499" s="567"/>
      <c r="EI499" s="567"/>
      <c r="EJ499" s="567"/>
      <c r="EK499" s="567"/>
      <c r="EL499" s="567"/>
      <c r="EM499" s="567"/>
      <c r="EN499" s="567"/>
      <c r="EO499" s="567"/>
      <c r="EP499" s="567"/>
      <c r="EQ499" s="567"/>
      <c r="ER499" s="567"/>
      <c r="ES499" s="567"/>
      <c r="ET499" s="567"/>
      <c r="EU499" s="567"/>
      <c r="EV499" s="567"/>
      <c r="EW499" s="567"/>
      <c r="EX499" s="567"/>
      <c r="EY499" s="567"/>
      <c r="EZ499" s="567"/>
      <c r="FA499" s="567"/>
      <c r="FB499" s="567"/>
      <c r="FC499" s="567"/>
      <c r="FD499" s="567"/>
      <c r="FE499" s="567"/>
      <c r="FF499" s="567"/>
      <c r="FG499" s="567"/>
      <c r="FH499" s="567"/>
      <c r="FI499" s="567"/>
      <c r="FJ499" s="567"/>
      <c r="FK499" s="567"/>
      <c r="FL499" s="567"/>
      <c r="FM499" s="567"/>
      <c r="FN499" s="567"/>
      <c r="FO499" s="567"/>
      <c r="FP499" s="567"/>
      <c r="FQ499" s="567"/>
      <c r="FR499" s="567"/>
      <c r="FS499" s="567"/>
      <c r="FT499" s="567"/>
      <c r="FU499" s="567"/>
      <c r="FV499" s="567"/>
      <c r="FW499" s="567"/>
      <c r="FX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  <c r="BW500" s="567"/>
      <c r="BX500" s="567"/>
      <c r="BY500" s="567"/>
      <c r="BZ500" s="567"/>
      <c r="CA500" s="567"/>
      <c r="CB500" s="567"/>
      <c r="CC500" s="567"/>
      <c r="CD500" s="567"/>
      <c r="CE500" s="567"/>
      <c r="CF500" s="567"/>
      <c r="CG500" s="567"/>
      <c r="CH500" s="567"/>
      <c r="CI500" s="567"/>
      <c r="CJ500" s="567"/>
      <c r="CK500" s="567"/>
      <c r="CL500" s="567"/>
      <c r="CM500" s="567"/>
      <c r="CN500" s="567"/>
      <c r="CO500" s="567"/>
      <c r="CP500" s="567"/>
      <c r="CQ500" s="567"/>
      <c r="CR500" s="567"/>
      <c r="CS500" s="567"/>
      <c r="CT500" s="567"/>
      <c r="CU500" s="567"/>
      <c r="CV500" s="567"/>
      <c r="CW500" s="567"/>
      <c r="CX500" s="567"/>
      <c r="CY500" s="567"/>
      <c r="CZ500" s="567"/>
      <c r="DA500" s="567"/>
      <c r="DB500" s="567"/>
      <c r="DC500" s="567"/>
      <c r="DD500" s="567"/>
      <c r="DE500" s="567"/>
      <c r="DF500" s="567"/>
      <c r="DG500" s="567"/>
      <c r="DH500" s="567"/>
      <c r="DI500" s="567"/>
      <c r="DJ500" s="567"/>
      <c r="DK500" s="567"/>
      <c r="DL500" s="567"/>
      <c r="DM500" s="567"/>
      <c r="DN500" s="567"/>
      <c r="DO500" s="567"/>
      <c r="DP500" s="567"/>
      <c r="DQ500" s="567"/>
      <c r="DR500" s="567"/>
      <c r="DS500" s="567"/>
      <c r="DT500" s="567"/>
      <c r="DU500" s="567"/>
      <c r="DV500" s="567"/>
      <c r="DW500" s="567"/>
      <c r="DX500" s="567"/>
      <c r="DY500" s="567"/>
      <c r="DZ500" s="567"/>
      <c r="EA500" s="567"/>
      <c r="EB500" s="567"/>
      <c r="EC500" s="567"/>
      <c r="ED500" s="567"/>
      <c r="EE500" s="567"/>
      <c r="EF500" s="567"/>
      <c r="EG500" s="567"/>
      <c r="EH500" s="567"/>
      <c r="EI500" s="567"/>
      <c r="EJ500" s="567"/>
      <c r="EK500" s="567"/>
      <c r="EL500" s="567"/>
      <c r="EM500" s="567"/>
      <c r="EN500" s="567"/>
      <c r="EO500" s="567"/>
      <c r="EP500" s="567"/>
      <c r="EQ500" s="567"/>
      <c r="ER500" s="567"/>
      <c r="ES500" s="567"/>
      <c r="ET500" s="567"/>
      <c r="EU500" s="567"/>
      <c r="EV500" s="567"/>
      <c r="EW500" s="567"/>
      <c r="EX500" s="567"/>
      <c r="EY500" s="567"/>
      <c r="EZ500" s="567"/>
      <c r="FA500" s="567"/>
      <c r="FB500" s="567"/>
      <c r="FC500" s="567"/>
      <c r="FD500" s="567"/>
      <c r="FE500" s="567"/>
      <c r="FF500" s="567"/>
      <c r="FG500" s="567"/>
      <c r="FH500" s="567"/>
      <c r="FI500" s="567"/>
      <c r="FJ500" s="567"/>
      <c r="FK500" s="567"/>
      <c r="FL500" s="567"/>
      <c r="FM500" s="567"/>
      <c r="FN500" s="567"/>
      <c r="FO500" s="567"/>
      <c r="FP500" s="567"/>
      <c r="FQ500" s="567"/>
      <c r="FR500" s="567"/>
      <c r="FS500" s="567"/>
      <c r="FT500" s="567"/>
      <c r="FU500" s="567"/>
      <c r="FV500" s="567"/>
      <c r="FW500" s="567"/>
      <c r="FX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  <c r="BW501" s="567"/>
      <c r="BX501" s="567"/>
      <c r="BY501" s="567"/>
      <c r="BZ501" s="567"/>
      <c r="CA501" s="567"/>
      <c r="CB501" s="567"/>
      <c r="CC501" s="567"/>
      <c r="CD501" s="567"/>
      <c r="CE501" s="567"/>
      <c r="CF501" s="567"/>
      <c r="CG501" s="567"/>
      <c r="CH501" s="567"/>
      <c r="CI501" s="567"/>
      <c r="CJ501" s="567"/>
      <c r="CK501" s="567"/>
      <c r="CL501" s="567"/>
      <c r="CM501" s="567"/>
      <c r="CN501" s="567"/>
      <c r="CO501" s="567"/>
      <c r="CP501" s="567"/>
      <c r="CQ501" s="567"/>
      <c r="CR501" s="567"/>
      <c r="CS501" s="567"/>
      <c r="CT501" s="567"/>
      <c r="CU501" s="567"/>
      <c r="CV501" s="567"/>
      <c r="CW501" s="567"/>
      <c r="CX501" s="567"/>
      <c r="CY501" s="567"/>
      <c r="CZ501" s="567"/>
      <c r="DA501" s="567"/>
      <c r="DB501" s="567"/>
      <c r="DC501" s="567"/>
      <c r="DD501" s="567"/>
      <c r="DE501" s="567"/>
      <c r="DF501" s="567"/>
      <c r="DG501" s="567"/>
      <c r="DH501" s="567"/>
      <c r="DI501" s="567"/>
      <c r="DJ501" s="567"/>
      <c r="DK501" s="567"/>
      <c r="DL501" s="567"/>
      <c r="DM501" s="567"/>
      <c r="DN501" s="567"/>
      <c r="DO501" s="567"/>
      <c r="DP501" s="567"/>
      <c r="DQ501" s="567"/>
      <c r="DR501" s="567"/>
      <c r="DS501" s="567"/>
      <c r="DT501" s="567"/>
      <c r="DU501" s="567"/>
      <c r="DV501" s="567"/>
      <c r="DW501" s="567"/>
      <c r="DX501" s="567"/>
      <c r="DY501" s="567"/>
      <c r="DZ501" s="567"/>
      <c r="EA501" s="567"/>
      <c r="EB501" s="567"/>
      <c r="EC501" s="567"/>
      <c r="ED501" s="567"/>
      <c r="EE501" s="567"/>
      <c r="EF501" s="567"/>
      <c r="EG501" s="567"/>
      <c r="EH501" s="567"/>
      <c r="EI501" s="567"/>
      <c r="EJ501" s="567"/>
      <c r="EK501" s="567"/>
      <c r="EL501" s="567"/>
      <c r="EM501" s="567"/>
      <c r="EN501" s="567"/>
      <c r="EO501" s="567"/>
      <c r="EP501" s="567"/>
      <c r="EQ501" s="567"/>
      <c r="ER501" s="567"/>
      <c r="ES501" s="567"/>
      <c r="ET501" s="567"/>
      <c r="EU501" s="567"/>
      <c r="EV501" s="567"/>
      <c r="EW501" s="567"/>
      <c r="EX501" s="567"/>
      <c r="EY501" s="567"/>
      <c r="EZ501" s="567"/>
      <c r="FA501" s="567"/>
      <c r="FB501" s="567"/>
      <c r="FC501" s="567"/>
      <c r="FD501" s="567"/>
      <c r="FE501" s="567"/>
      <c r="FF501" s="567"/>
      <c r="FG501" s="567"/>
      <c r="FH501" s="567"/>
      <c r="FI501" s="567"/>
      <c r="FJ501" s="567"/>
      <c r="FK501" s="567"/>
      <c r="FL501" s="567"/>
      <c r="FM501" s="567"/>
      <c r="FN501" s="567"/>
      <c r="FO501" s="567"/>
      <c r="FP501" s="567"/>
      <c r="FQ501" s="567"/>
      <c r="FR501" s="567"/>
      <c r="FS501" s="567"/>
      <c r="FT501" s="567"/>
      <c r="FU501" s="567"/>
      <c r="FV501" s="567"/>
      <c r="FW501" s="567"/>
      <c r="FX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  <c r="BW502" s="567"/>
      <c r="BX502" s="567"/>
      <c r="BY502" s="567"/>
      <c r="BZ502" s="567"/>
      <c r="CA502" s="567"/>
      <c r="CB502" s="567"/>
      <c r="CC502" s="567"/>
      <c r="CD502" s="567"/>
      <c r="CE502" s="567"/>
      <c r="CF502" s="567"/>
      <c r="CG502" s="567"/>
      <c r="CH502" s="567"/>
      <c r="CI502" s="567"/>
      <c r="CJ502" s="567"/>
      <c r="CK502" s="567"/>
      <c r="CL502" s="567"/>
      <c r="CM502" s="567"/>
      <c r="CN502" s="567"/>
      <c r="CO502" s="567"/>
      <c r="CP502" s="567"/>
      <c r="CQ502" s="567"/>
      <c r="CR502" s="567"/>
      <c r="CS502" s="567"/>
      <c r="CT502" s="567"/>
      <c r="CU502" s="567"/>
      <c r="CV502" s="567"/>
      <c r="CW502" s="567"/>
      <c r="CX502" s="567"/>
      <c r="CY502" s="567"/>
      <c r="CZ502" s="567"/>
      <c r="DA502" s="567"/>
      <c r="DB502" s="567"/>
      <c r="DC502" s="567"/>
      <c r="DD502" s="567"/>
      <c r="DE502" s="567"/>
      <c r="DF502" s="567"/>
      <c r="DG502" s="567"/>
      <c r="DH502" s="567"/>
      <c r="DI502" s="567"/>
      <c r="DJ502" s="567"/>
      <c r="DK502" s="567"/>
      <c r="DL502" s="567"/>
      <c r="DM502" s="567"/>
      <c r="DN502" s="567"/>
      <c r="DO502" s="567"/>
      <c r="DP502" s="567"/>
      <c r="DQ502" s="567"/>
      <c r="DR502" s="567"/>
      <c r="DS502" s="567"/>
      <c r="DT502" s="567"/>
      <c r="DU502" s="567"/>
      <c r="DV502" s="567"/>
      <c r="DW502" s="567"/>
      <c r="DX502" s="567"/>
      <c r="DY502" s="567"/>
      <c r="DZ502" s="567"/>
      <c r="EA502" s="567"/>
      <c r="EB502" s="567"/>
      <c r="EC502" s="567"/>
      <c r="ED502" s="567"/>
      <c r="EE502" s="567"/>
      <c r="EF502" s="567"/>
      <c r="EG502" s="567"/>
      <c r="EH502" s="567"/>
      <c r="EI502" s="567"/>
      <c r="EJ502" s="567"/>
      <c r="EK502" s="567"/>
      <c r="EL502" s="567"/>
      <c r="EM502" s="567"/>
      <c r="EN502" s="567"/>
      <c r="EO502" s="567"/>
      <c r="EP502" s="567"/>
      <c r="EQ502" s="567"/>
      <c r="ER502" s="567"/>
      <c r="ES502" s="567"/>
      <c r="ET502" s="567"/>
      <c r="EU502" s="567"/>
      <c r="EV502" s="567"/>
      <c r="EW502" s="567"/>
      <c r="EX502" s="567"/>
      <c r="EY502" s="567"/>
      <c r="EZ502" s="567"/>
      <c r="FA502" s="567"/>
      <c r="FB502" s="567"/>
      <c r="FC502" s="567"/>
      <c r="FD502" s="567"/>
      <c r="FE502" s="567"/>
      <c r="FF502" s="567"/>
      <c r="FG502" s="567"/>
      <c r="FH502" s="567"/>
      <c r="FI502" s="567"/>
      <c r="FJ502" s="567"/>
      <c r="FK502" s="567"/>
      <c r="FL502" s="567"/>
      <c r="FM502" s="567"/>
      <c r="FN502" s="567"/>
      <c r="FO502" s="567"/>
      <c r="FP502" s="567"/>
      <c r="FQ502" s="567"/>
      <c r="FR502" s="567"/>
      <c r="FS502" s="567"/>
      <c r="FT502" s="567"/>
      <c r="FU502" s="567"/>
      <c r="FV502" s="567"/>
      <c r="FW502" s="567"/>
      <c r="FX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  <c r="BW503" s="567"/>
      <c r="BX503" s="567"/>
      <c r="BY503" s="567"/>
      <c r="BZ503" s="567"/>
      <c r="CA503" s="567"/>
      <c r="CB503" s="567"/>
      <c r="CC503" s="567"/>
      <c r="CD503" s="567"/>
      <c r="CE503" s="567"/>
      <c r="CF503" s="567"/>
      <c r="CG503" s="567"/>
      <c r="CH503" s="567"/>
      <c r="CI503" s="567"/>
      <c r="CJ503" s="567"/>
      <c r="CK503" s="567"/>
      <c r="CL503" s="567"/>
      <c r="CM503" s="567"/>
      <c r="CN503" s="567"/>
      <c r="CO503" s="567"/>
      <c r="CP503" s="567"/>
      <c r="CQ503" s="567"/>
      <c r="CR503" s="567"/>
      <c r="CS503" s="567"/>
      <c r="CT503" s="567"/>
      <c r="CU503" s="567"/>
      <c r="CV503" s="567"/>
      <c r="CW503" s="567"/>
      <c r="CX503" s="567"/>
      <c r="CY503" s="567"/>
      <c r="CZ503" s="567"/>
      <c r="DA503" s="567"/>
      <c r="DB503" s="567"/>
      <c r="DC503" s="567"/>
      <c r="DD503" s="567"/>
      <c r="DE503" s="567"/>
      <c r="DF503" s="567"/>
      <c r="DG503" s="567"/>
      <c r="DH503" s="567"/>
      <c r="DI503" s="567"/>
      <c r="DJ503" s="567"/>
      <c r="DK503" s="567"/>
      <c r="DL503" s="567"/>
      <c r="DM503" s="567"/>
      <c r="DN503" s="567"/>
      <c r="DO503" s="567"/>
      <c r="DP503" s="567"/>
      <c r="DQ503" s="567"/>
      <c r="DR503" s="567"/>
      <c r="DS503" s="567"/>
      <c r="DT503" s="567"/>
      <c r="DU503" s="567"/>
      <c r="DV503" s="567"/>
      <c r="DW503" s="567"/>
      <c r="DX503" s="567"/>
      <c r="DY503" s="567"/>
      <c r="DZ503" s="567"/>
      <c r="EA503" s="567"/>
      <c r="EB503" s="567"/>
      <c r="EC503" s="567"/>
      <c r="ED503" s="567"/>
      <c r="EE503" s="567"/>
      <c r="EF503" s="567"/>
      <c r="EG503" s="567"/>
      <c r="EH503" s="567"/>
      <c r="EI503" s="567"/>
      <c r="EJ503" s="567"/>
      <c r="EK503" s="567"/>
      <c r="EL503" s="567"/>
      <c r="EM503" s="567"/>
      <c r="EN503" s="567"/>
      <c r="EO503" s="567"/>
      <c r="EP503" s="567"/>
      <c r="EQ503" s="567"/>
      <c r="ER503" s="567"/>
      <c r="ES503" s="567"/>
      <c r="ET503" s="567"/>
      <c r="EU503" s="567"/>
      <c r="EV503" s="567"/>
      <c r="EW503" s="567"/>
      <c r="EX503" s="567"/>
      <c r="EY503" s="567"/>
      <c r="EZ503" s="567"/>
      <c r="FA503" s="567"/>
      <c r="FB503" s="567"/>
      <c r="FC503" s="567"/>
      <c r="FD503" s="567"/>
      <c r="FE503" s="567"/>
      <c r="FF503" s="567"/>
      <c r="FG503" s="567"/>
      <c r="FH503" s="567"/>
      <c r="FI503" s="567"/>
      <c r="FJ503" s="567"/>
      <c r="FK503" s="567"/>
      <c r="FL503" s="567"/>
      <c r="FM503" s="567"/>
      <c r="FN503" s="567"/>
      <c r="FO503" s="567"/>
      <c r="FP503" s="567"/>
      <c r="FQ503" s="567"/>
      <c r="FR503" s="567"/>
      <c r="FS503" s="567"/>
      <c r="FT503" s="567"/>
      <c r="FU503" s="567"/>
      <c r="FV503" s="567"/>
      <c r="FW503" s="567"/>
      <c r="FX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  <c r="BW504" s="567"/>
      <c r="BX504" s="567"/>
      <c r="BY504" s="567"/>
      <c r="BZ504" s="567"/>
      <c r="CA504" s="567"/>
      <c r="CB504" s="567"/>
      <c r="CC504" s="567"/>
      <c r="CD504" s="567"/>
      <c r="CE504" s="567"/>
      <c r="CF504" s="567"/>
      <c r="CG504" s="567"/>
      <c r="CH504" s="567"/>
      <c r="CI504" s="567"/>
      <c r="CJ504" s="567"/>
      <c r="CK504" s="567"/>
      <c r="CL504" s="567"/>
      <c r="CM504" s="567"/>
      <c r="CN504" s="567"/>
      <c r="CO504" s="567"/>
      <c r="CP504" s="567"/>
      <c r="CQ504" s="567"/>
      <c r="CR504" s="567"/>
      <c r="CS504" s="567"/>
      <c r="CT504" s="567"/>
      <c r="CU504" s="567"/>
      <c r="CV504" s="567"/>
      <c r="CW504" s="567"/>
      <c r="CX504" s="567"/>
      <c r="CY504" s="567"/>
      <c r="CZ504" s="567"/>
      <c r="DA504" s="567"/>
      <c r="DB504" s="567"/>
      <c r="DC504" s="567"/>
      <c r="DD504" s="567"/>
      <c r="DE504" s="567"/>
      <c r="DF504" s="567"/>
      <c r="DG504" s="567"/>
      <c r="DH504" s="567"/>
      <c r="DI504" s="567"/>
      <c r="DJ504" s="567"/>
      <c r="DK504" s="567"/>
      <c r="DL504" s="567"/>
      <c r="DM504" s="567"/>
      <c r="DN504" s="567"/>
      <c r="DO504" s="567"/>
      <c r="DP504" s="567"/>
      <c r="DQ504" s="567"/>
      <c r="DR504" s="567"/>
      <c r="DS504" s="567"/>
      <c r="DT504" s="567"/>
      <c r="DU504" s="567"/>
      <c r="DV504" s="567"/>
      <c r="DW504" s="567"/>
      <c r="DX504" s="567"/>
      <c r="DY504" s="567"/>
      <c r="DZ504" s="567"/>
      <c r="EA504" s="567"/>
      <c r="EB504" s="567"/>
      <c r="EC504" s="567"/>
      <c r="ED504" s="567"/>
      <c r="EE504" s="567"/>
      <c r="EF504" s="567"/>
      <c r="EG504" s="567"/>
      <c r="EH504" s="567"/>
      <c r="EI504" s="567"/>
      <c r="EJ504" s="567"/>
      <c r="EK504" s="567"/>
      <c r="EL504" s="567"/>
      <c r="EM504" s="567"/>
      <c r="EN504" s="567"/>
      <c r="EO504" s="567"/>
      <c r="EP504" s="567"/>
      <c r="EQ504" s="567"/>
      <c r="ER504" s="567"/>
      <c r="ES504" s="567"/>
      <c r="ET504" s="567"/>
      <c r="EU504" s="567"/>
      <c r="EV504" s="567"/>
      <c r="EW504" s="567"/>
      <c r="EX504" s="567"/>
      <c r="EY504" s="567"/>
      <c r="EZ504" s="567"/>
      <c r="FA504" s="567"/>
      <c r="FB504" s="567"/>
      <c r="FC504" s="567"/>
      <c r="FD504" s="567"/>
      <c r="FE504" s="567"/>
      <c r="FF504" s="567"/>
      <c r="FG504" s="567"/>
      <c r="FH504" s="567"/>
      <c r="FI504" s="567"/>
      <c r="FJ504" s="567"/>
      <c r="FK504" s="567"/>
      <c r="FL504" s="567"/>
      <c r="FM504" s="567"/>
      <c r="FN504" s="567"/>
      <c r="FO504" s="567"/>
      <c r="FP504" s="567"/>
      <c r="FQ504" s="567"/>
      <c r="FR504" s="567"/>
      <c r="FS504" s="567"/>
      <c r="FT504" s="567"/>
      <c r="FU504" s="567"/>
      <c r="FV504" s="567"/>
      <c r="FW504" s="567"/>
      <c r="FX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  <c r="BW505" s="567"/>
      <c r="BX505" s="567"/>
      <c r="BY505" s="567"/>
      <c r="BZ505" s="567"/>
      <c r="CA505" s="567"/>
      <c r="CB505" s="567"/>
      <c r="CC505" s="567"/>
      <c r="CD505" s="567"/>
      <c r="CE505" s="567"/>
      <c r="CF505" s="567"/>
      <c r="CG505" s="567"/>
      <c r="CH505" s="567"/>
      <c r="CI505" s="567"/>
      <c r="CJ505" s="567"/>
      <c r="CK505" s="567"/>
      <c r="CL505" s="567"/>
      <c r="CM505" s="567"/>
      <c r="CN505" s="567"/>
      <c r="CO505" s="567"/>
      <c r="CP505" s="567"/>
      <c r="CQ505" s="567"/>
      <c r="CR505" s="567"/>
      <c r="CS505" s="567"/>
      <c r="CT505" s="567"/>
      <c r="CU505" s="567"/>
      <c r="CV505" s="567"/>
      <c r="CW505" s="567"/>
      <c r="CX505" s="567"/>
      <c r="CY505" s="567"/>
      <c r="CZ505" s="567"/>
      <c r="DA505" s="567"/>
      <c r="DB505" s="567"/>
      <c r="DC505" s="567"/>
      <c r="DD505" s="567"/>
      <c r="DE505" s="567"/>
      <c r="DF505" s="567"/>
      <c r="DG505" s="567"/>
      <c r="DH505" s="567"/>
      <c r="DI505" s="567"/>
      <c r="DJ505" s="567"/>
      <c r="DK505" s="567"/>
      <c r="DL505" s="567"/>
      <c r="DM505" s="567"/>
      <c r="DN505" s="567"/>
      <c r="DO505" s="567"/>
      <c r="DP505" s="567"/>
      <c r="DQ505" s="567"/>
      <c r="DR505" s="567"/>
      <c r="DS505" s="567"/>
      <c r="DT505" s="567"/>
      <c r="DU505" s="567"/>
      <c r="DV505" s="567"/>
      <c r="DW505" s="567"/>
      <c r="DX505" s="567"/>
      <c r="DY505" s="567"/>
      <c r="DZ505" s="567"/>
      <c r="EA505" s="567"/>
      <c r="EB505" s="567"/>
      <c r="EC505" s="567"/>
      <c r="ED505" s="567"/>
      <c r="EE505" s="567"/>
      <c r="EF505" s="567"/>
      <c r="EG505" s="567"/>
      <c r="EH505" s="567"/>
      <c r="EI505" s="567"/>
      <c r="EJ505" s="567"/>
      <c r="EK505" s="567"/>
      <c r="EL505" s="567"/>
      <c r="EM505" s="567"/>
      <c r="EN505" s="567"/>
      <c r="EO505" s="567"/>
      <c r="EP505" s="567"/>
      <c r="EQ505" s="567"/>
      <c r="ER505" s="567"/>
      <c r="ES505" s="567"/>
      <c r="ET505" s="567"/>
      <c r="EU505" s="567"/>
      <c r="EV505" s="567"/>
      <c r="EW505" s="567"/>
      <c r="EX505" s="567"/>
      <c r="EY505" s="567"/>
      <c r="EZ505" s="567"/>
      <c r="FA505" s="567"/>
      <c r="FB505" s="567"/>
      <c r="FC505" s="567"/>
      <c r="FD505" s="567"/>
      <c r="FE505" s="567"/>
      <c r="FF505" s="567"/>
      <c r="FG505" s="567"/>
      <c r="FH505" s="567"/>
      <c r="FI505" s="567"/>
      <c r="FJ505" s="567"/>
      <c r="FK505" s="567"/>
      <c r="FL505" s="567"/>
      <c r="FM505" s="567"/>
      <c r="FN505" s="567"/>
      <c r="FO505" s="567"/>
      <c r="FP505" s="567"/>
      <c r="FQ505" s="567"/>
      <c r="FR505" s="567"/>
      <c r="FS505" s="567"/>
      <c r="FT505" s="567"/>
      <c r="FU505" s="567"/>
      <c r="FV505" s="567"/>
      <c r="FW505" s="567"/>
      <c r="FX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  <c r="BW506" s="567"/>
      <c r="BX506" s="567"/>
      <c r="BY506" s="567"/>
      <c r="BZ506" s="567"/>
      <c r="CA506" s="567"/>
      <c r="CB506" s="567"/>
      <c r="CC506" s="567"/>
      <c r="CD506" s="567"/>
      <c r="CE506" s="567"/>
      <c r="CF506" s="567"/>
      <c r="CG506" s="567"/>
      <c r="CH506" s="567"/>
      <c r="CI506" s="567"/>
      <c r="CJ506" s="567"/>
      <c r="CK506" s="567"/>
      <c r="CL506" s="567"/>
      <c r="CM506" s="567"/>
      <c r="CN506" s="567"/>
      <c r="CO506" s="567"/>
      <c r="CP506" s="567"/>
      <c r="CQ506" s="567"/>
      <c r="CR506" s="567"/>
      <c r="CS506" s="567"/>
      <c r="CT506" s="567"/>
      <c r="CU506" s="567"/>
      <c r="CV506" s="567"/>
      <c r="CW506" s="567"/>
      <c r="CX506" s="567"/>
      <c r="CY506" s="567"/>
      <c r="CZ506" s="567"/>
      <c r="DA506" s="567"/>
      <c r="DB506" s="567"/>
      <c r="DC506" s="567"/>
      <c r="DD506" s="567"/>
      <c r="DE506" s="567"/>
      <c r="DF506" s="567"/>
      <c r="DG506" s="567"/>
      <c r="DH506" s="567"/>
      <c r="DI506" s="567"/>
      <c r="DJ506" s="567"/>
      <c r="DK506" s="567"/>
      <c r="DL506" s="567"/>
      <c r="DM506" s="567"/>
      <c r="DN506" s="567"/>
      <c r="DO506" s="567"/>
      <c r="DP506" s="567"/>
      <c r="DQ506" s="567"/>
      <c r="DR506" s="567"/>
      <c r="DS506" s="567"/>
      <c r="DT506" s="567"/>
      <c r="DU506" s="567"/>
      <c r="DV506" s="567"/>
      <c r="DW506" s="567"/>
      <c r="DX506" s="567"/>
      <c r="DY506" s="567"/>
      <c r="DZ506" s="567"/>
      <c r="EA506" s="567"/>
      <c r="EB506" s="567"/>
      <c r="EC506" s="567"/>
      <c r="ED506" s="567"/>
      <c r="EE506" s="567"/>
      <c r="EF506" s="567"/>
      <c r="EG506" s="567"/>
      <c r="EH506" s="567"/>
      <c r="EI506" s="567"/>
      <c r="EJ506" s="567"/>
      <c r="EK506" s="567"/>
      <c r="EL506" s="567"/>
      <c r="EM506" s="567"/>
      <c r="EN506" s="567"/>
      <c r="EO506" s="567"/>
      <c r="EP506" s="567"/>
      <c r="EQ506" s="567"/>
      <c r="ER506" s="567"/>
      <c r="ES506" s="567"/>
      <c r="ET506" s="567"/>
      <c r="EU506" s="567"/>
      <c r="EV506" s="567"/>
      <c r="EW506" s="567"/>
      <c r="EX506" s="567"/>
      <c r="EY506" s="567"/>
      <c r="EZ506" s="567"/>
      <c r="FA506" s="567"/>
      <c r="FB506" s="567"/>
      <c r="FC506" s="567"/>
      <c r="FD506" s="567"/>
      <c r="FE506" s="567"/>
      <c r="FF506" s="567"/>
      <c r="FG506" s="567"/>
      <c r="FH506" s="567"/>
      <c r="FI506" s="567"/>
      <c r="FJ506" s="567"/>
      <c r="FK506" s="567"/>
      <c r="FL506" s="567"/>
      <c r="FM506" s="567"/>
      <c r="FN506" s="567"/>
      <c r="FO506" s="567"/>
      <c r="FP506" s="567"/>
      <c r="FQ506" s="567"/>
      <c r="FR506" s="567"/>
      <c r="FS506" s="567"/>
      <c r="FT506" s="567"/>
      <c r="FU506" s="567"/>
      <c r="FV506" s="567"/>
      <c r="FW506" s="567"/>
      <c r="FX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  <c r="BW507" s="567"/>
      <c r="BX507" s="567"/>
      <c r="BY507" s="567"/>
      <c r="BZ507" s="567"/>
      <c r="CA507" s="567"/>
      <c r="CB507" s="567"/>
      <c r="CC507" s="567"/>
      <c r="CD507" s="567"/>
      <c r="CE507" s="567"/>
      <c r="CF507" s="567"/>
      <c r="CG507" s="567"/>
      <c r="CH507" s="567"/>
      <c r="CI507" s="567"/>
      <c r="CJ507" s="567"/>
      <c r="CK507" s="567"/>
      <c r="CL507" s="567"/>
      <c r="CM507" s="567"/>
      <c r="CN507" s="567"/>
      <c r="CO507" s="567"/>
      <c r="CP507" s="567"/>
      <c r="CQ507" s="567"/>
      <c r="CR507" s="567"/>
      <c r="CS507" s="567"/>
      <c r="CT507" s="567"/>
      <c r="CU507" s="567"/>
      <c r="CV507" s="567"/>
      <c r="CW507" s="567"/>
      <c r="CX507" s="567"/>
      <c r="CY507" s="567"/>
      <c r="CZ507" s="567"/>
      <c r="DA507" s="567"/>
      <c r="DB507" s="567"/>
      <c r="DC507" s="567"/>
      <c r="DD507" s="567"/>
      <c r="DE507" s="567"/>
      <c r="DF507" s="567"/>
      <c r="DG507" s="567"/>
      <c r="DH507" s="567"/>
      <c r="DI507" s="567"/>
      <c r="DJ507" s="567"/>
      <c r="DK507" s="567"/>
      <c r="DL507" s="567"/>
      <c r="DM507" s="567"/>
      <c r="DN507" s="567"/>
      <c r="DO507" s="567"/>
      <c r="DP507" s="567"/>
      <c r="DQ507" s="567"/>
      <c r="DR507" s="567"/>
      <c r="DS507" s="567"/>
      <c r="DT507" s="567"/>
      <c r="DU507" s="567"/>
      <c r="DV507" s="567"/>
      <c r="DW507" s="567"/>
      <c r="DX507" s="567"/>
      <c r="DY507" s="567"/>
      <c r="DZ507" s="567"/>
      <c r="EA507" s="567"/>
      <c r="EB507" s="567"/>
      <c r="EC507" s="567"/>
      <c r="ED507" s="567"/>
      <c r="EE507" s="567"/>
      <c r="EF507" s="567"/>
      <c r="EG507" s="567"/>
      <c r="EH507" s="567"/>
      <c r="EI507" s="567"/>
      <c r="EJ507" s="567"/>
      <c r="EK507" s="567"/>
      <c r="EL507" s="567"/>
      <c r="EM507" s="567"/>
      <c r="EN507" s="567"/>
      <c r="EO507" s="567"/>
      <c r="EP507" s="567"/>
      <c r="EQ507" s="567"/>
      <c r="ER507" s="567"/>
      <c r="ES507" s="567"/>
      <c r="ET507" s="567"/>
      <c r="EU507" s="567"/>
      <c r="EV507" s="567"/>
      <c r="EW507" s="567"/>
      <c r="EX507" s="567"/>
      <c r="EY507" s="567"/>
      <c r="EZ507" s="567"/>
      <c r="FA507" s="567"/>
      <c r="FB507" s="567"/>
      <c r="FC507" s="567"/>
      <c r="FD507" s="567"/>
      <c r="FE507" s="567"/>
      <c r="FF507" s="567"/>
      <c r="FG507" s="567"/>
      <c r="FH507" s="567"/>
      <c r="FI507" s="567"/>
      <c r="FJ507" s="567"/>
      <c r="FK507" s="567"/>
      <c r="FL507" s="567"/>
      <c r="FM507" s="567"/>
      <c r="FN507" s="567"/>
      <c r="FO507" s="567"/>
      <c r="FP507" s="567"/>
      <c r="FQ507" s="567"/>
      <c r="FR507" s="567"/>
      <c r="FS507" s="567"/>
      <c r="FT507" s="567"/>
      <c r="FU507" s="567"/>
      <c r="FV507" s="567"/>
      <c r="FW507" s="567"/>
      <c r="FX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  <c r="BW508" s="567"/>
      <c r="BX508" s="567"/>
      <c r="BY508" s="567"/>
      <c r="BZ508" s="567"/>
      <c r="CA508" s="567"/>
      <c r="CB508" s="567"/>
      <c r="CC508" s="567"/>
      <c r="CD508" s="567"/>
      <c r="CE508" s="567"/>
      <c r="CF508" s="567"/>
      <c r="CG508" s="567"/>
      <c r="CH508" s="567"/>
      <c r="CI508" s="567"/>
      <c r="CJ508" s="567"/>
      <c r="CK508" s="567"/>
      <c r="CL508" s="567"/>
      <c r="CM508" s="567"/>
      <c r="CN508" s="567"/>
      <c r="CO508" s="567"/>
      <c r="CP508" s="567"/>
      <c r="CQ508" s="567"/>
      <c r="CR508" s="567"/>
      <c r="CS508" s="567"/>
      <c r="CT508" s="567"/>
      <c r="CU508" s="567"/>
      <c r="CV508" s="567"/>
      <c r="CW508" s="567"/>
      <c r="CX508" s="567"/>
      <c r="CY508" s="567"/>
      <c r="CZ508" s="567"/>
      <c r="DA508" s="567"/>
      <c r="DB508" s="567"/>
      <c r="DC508" s="567"/>
      <c r="DD508" s="567"/>
      <c r="DE508" s="567"/>
      <c r="DF508" s="567"/>
      <c r="DG508" s="567"/>
      <c r="DH508" s="567"/>
      <c r="DI508" s="567"/>
      <c r="DJ508" s="567"/>
      <c r="DK508" s="567"/>
      <c r="DL508" s="567"/>
      <c r="DM508" s="567"/>
      <c r="DN508" s="567"/>
      <c r="DO508" s="567"/>
      <c r="DP508" s="567"/>
      <c r="DQ508" s="567"/>
      <c r="DR508" s="567"/>
      <c r="DS508" s="567"/>
      <c r="DT508" s="567"/>
      <c r="DU508" s="567"/>
      <c r="DV508" s="567"/>
      <c r="DW508" s="567"/>
      <c r="DX508" s="567"/>
      <c r="DY508" s="567"/>
      <c r="DZ508" s="567"/>
      <c r="EA508" s="567"/>
      <c r="EB508" s="567"/>
      <c r="EC508" s="567"/>
      <c r="ED508" s="567"/>
      <c r="EE508" s="567"/>
      <c r="EF508" s="567"/>
      <c r="EG508" s="567"/>
      <c r="EH508" s="567"/>
      <c r="EI508" s="567"/>
      <c r="EJ508" s="567"/>
      <c r="EK508" s="567"/>
      <c r="EL508" s="567"/>
      <c r="EM508" s="567"/>
      <c r="EN508" s="567"/>
      <c r="EO508" s="567"/>
      <c r="EP508" s="567"/>
      <c r="EQ508" s="567"/>
      <c r="ER508" s="567"/>
      <c r="ES508" s="567"/>
      <c r="ET508" s="567"/>
      <c r="EU508" s="567"/>
      <c r="EV508" s="567"/>
      <c r="EW508" s="567"/>
      <c r="EX508" s="567"/>
      <c r="EY508" s="567"/>
      <c r="EZ508" s="567"/>
      <c r="FA508" s="567"/>
      <c r="FB508" s="567"/>
      <c r="FC508" s="567"/>
      <c r="FD508" s="567"/>
      <c r="FE508" s="567"/>
      <c r="FF508" s="567"/>
      <c r="FG508" s="567"/>
      <c r="FH508" s="567"/>
      <c r="FI508" s="567"/>
      <c r="FJ508" s="567"/>
      <c r="FK508" s="567"/>
      <c r="FL508" s="567"/>
      <c r="FM508" s="567"/>
      <c r="FN508" s="567"/>
      <c r="FO508" s="567"/>
      <c r="FP508" s="567"/>
      <c r="FQ508" s="567"/>
      <c r="FR508" s="567"/>
      <c r="FS508" s="567"/>
      <c r="FT508" s="567"/>
      <c r="FU508" s="567"/>
      <c r="FV508" s="567"/>
      <c r="FW508" s="567"/>
      <c r="FX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  <c r="BW509" s="567"/>
      <c r="BX509" s="567"/>
      <c r="BY509" s="567"/>
      <c r="BZ509" s="567"/>
      <c r="CA509" s="567"/>
      <c r="CB509" s="567"/>
      <c r="CC509" s="567"/>
      <c r="CD509" s="567"/>
      <c r="CE509" s="567"/>
      <c r="CF509" s="567"/>
      <c r="CG509" s="567"/>
      <c r="CH509" s="567"/>
      <c r="CI509" s="567"/>
      <c r="CJ509" s="567"/>
      <c r="CK509" s="567"/>
      <c r="CL509" s="567"/>
      <c r="CM509" s="567"/>
      <c r="CN509" s="567"/>
      <c r="CO509" s="567"/>
      <c r="CP509" s="567"/>
      <c r="CQ509" s="567"/>
      <c r="CR509" s="567"/>
      <c r="CS509" s="567"/>
      <c r="CT509" s="567"/>
      <c r="CU509" s="567"/>
      <c r="CV509" s="567"/>
      <c r="CW509" s="567"/>
      <c r="CX509" s="567"/>
      <c r="CY509" s="567"/>
      <c r="CZ509" s="567"/>
      <c r="DA509" s="567"/>
      <c r="DB509" s="567"/>
      <c r="DC509" s="567"/>
      <c r="DD509" s="567"/>
      <c r="DE509" s="567"/>
      <c r="DF509" s="567"/>
      <c r="DG509" s="567"/>
      <c r="DH509" s="567"/>
      <c r="DI509" s="567"/>
      <c r="DJ509" s="567"/>
      <c r="DK509" s="567"/>
      <c r="DL509" s="567"/>
      <c r="DM509" s="567"/>
      <c r="DN509" s="567"/>
      <c r="DO509" s="567"/>
      <c r="DP509" s="567"/>
      <c r="DQ509" s="567"/>
      <c r="DR509" s="567"/>
      <c r="DS509" s="567"/>
      <c r="DT509" s="567"/>
      <c r="DU509" s="567"/>
      <c r="DV509" s="567"/>
      <c r="DW509" s="567"/>
      <c r="DX509" s="567"/>
      <c r="DY509" s="567"/>
      <c r="DZ509" s="567"/>
      <c r="EA509" s="567"/>
      <c r="EB509" s="567"/>
      <c r="EC509" s="567"/>
      <c r="ED509" s="567"/>
      <c r="EE509" s="567"/>
      <c r="EF509" s="567"/>
      <c r="EG509" s="567"/>
      <c r="EH509" s="567"/>
      <c r="EI509" s="567"/>
      <c r="EJ509" s="567"/>
      <c r="EK509" s="567"/>
      <c r="EL509" s="567"/>
      <c r="EM509" s="567"/>
      <c r="EN509" s="567"/>
      <c r="EO509" s="567"/>
      <c r="EP509" s="567"/>
      <c r="EQ509" s="567"/>
      <c r="ER509" s="567"/>
      <c r="ES509" s="567"/>
      <c r="ET509" s="567"/>
      <c r="EU509" s="567"/>
      <c r="EV509" s="567"/>
      <c r="EW509" s="567"/>
      <c r="EX509" s="567"/>
      <c r="EY509" s="567"/>
      <c r="EZ509" s="567"/>
      <c r="FA509" s="567"/>
      <c r="FB509" s="567"/>
      <c r="FC509" s="567"/>
      <c r="FD509" s="567"/>
      <c r="FE509" s="567"/>
      <c r="FF509" s="567"/>
      <c r="FG509" s="567"/>
      <c r="FH509" s="567"/>
      <c r="FI509" s="567"/>
      <c r="FJ509" s="567"/>
      <c r="FK509" s="567"/>
      <c r="FL509" s="567"/>
      <c r="FM509" s="567"/>
      <c r="FN509" s="567"/>
      <c r="FO509" s="567"/>
      <c r="FP509" s="567"/>
      <c r="FQ509" s="567"/>
      <c r="FR509" s="567"/>
      <c r="FS509" s="567"/>
      <c r="FT509" s="567"/>
      <c r="FU509" s="567"/>
      <c r="FV509" s="567"/>
      <c r="FW509" s="567"/>
      <c r="FX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  <c r="BW510" s="567"/>
      <c r="BX510" s="567"/>
      <c r="BY510" s="567"/>
      <c r="BZ510" s="567"/>
      <c r="CA510" s="567"/>
      <c r="CB510" s="567"/>
      <c r="CC510" s="567"/>
      <c r="CD510" s="567"/>
      <c r="CE510" s="567"/>
      <c r="CF510" s="567"/>
      <c r="CG510" s="567"/>
      <c r="CH510" s="567"/>
      <c r="CI510" s="567"/>
      <c r="CJ510" s="567"/>
      <c r="CK510" s="567"/>
      <c r="CL510" s="567"/>
      <c r="CM510" s="567"/>
      <c r="CN510" s="567"/>
      <c r="CO510" s="567"/>
      <c r="CP510" s="567"/>
      <c r="CQ510" s="567"/>
      <c r="CR510" s="567"/>
      <c r="CS510" s="567"/>
      <c r="CT510" s="567"/>
      <c r="CU510" s="567"/>
      <c r="CV510" s="567"/>
      <c r="CW510" s="567"/>
      <c r="CX510" s="567"/>
      <c r="CY510" s="567"/>
      <c r="CZ510" s="567"/>
      <c r="DA510" s="567"/>
      <c r="DB510" s="567"/>
      <c r="DC510" s="567"/>
      <c r="DD510" s="567"/>
      <c r="DE510" s="567"/>
      <c r="DF510" s="567"/>
      <c r="DG510" s="567"/>
      <c r="DH510" s="567"/>
      <c r="DI510" s="567"/>
      <c r="DJ510" s="567"/>
      <c r="DK510" s="567"/>
      <c r="DL510" s="567"/>
      <c r="DM510" s="567"/>
      <c r="DN510" s="567"/>
      <c r="DO510" s="567"/>
      <c r="DP510" s="567"/>
      <c r="DQ510" s="567"/>
      <c r="DR510" s="567"/>
      <c r="DS510" s="567"/>
      <c r="DT510" s="567"/>
      <c r="DU510" s="567"/>
      <c r="DV510" s="567"/>
      <c r="DW510" s="567"/>
      <c r="DX510" s="567"/>
      <c r="DY510" s="567"/>
      <c r="DZ510" s="567"/>
      <c r="EA510" s="567"/>
      <c r="EB510" s="567"/>
      <c r="EC510" s="567"/>
      <c r="ED510" s="567"/>
      <c r="EE510" s="567"/>
      <c r="EF510" s="567"/>
      <c r="EG510" s="567"/>
      <c r="EH510" s="567"/>
      <c r="EI510" s="567"/>
      <c r="EJ510" s="567"/>
      <c r="EK510" s="567"/>
      <c r="EL510" s="567"/>
      <c r="EM510" s="567"/>
      <c r="EN510" s="567"/>
      <c r="EO510" s="567"/>
      <c r="EP510" s="567"/>
      <c r="EQ510" s="567"/>
      <c r="ER510" s="567"/>
      <c r="ES510" s="567"/>
      <c r="ET510" s="567"/>
      <c r="EU510" s="567"/>
      <c r="EV510" s="567"/>
      <c r="EW510" s="567"/>
      <c r="EX510" s="567"/>
      <c r="EY510" s="567"/>
      <c r="EZ510" s="567"/>
      <c r="FA510" s="567"/>
      <c r="FB510" s="567"/>
      <c r="FC510" s="567"/>
      <c r="FD510" s="567"/>
      <c r="FE510" s="567"/>
      <c r="FF510" s="567"/>
      <c r="FG510" s="567"/>
      <c r="FH510" s="567"/>
      <c r="FI510" s="567"/>
      <c r="FJ510" s="567"/>
      <c r="FK510" s="567"/>
      <c r="FL510" s="567"/>
      <c r="FM510" s="567"/>
      <c r="FN510" s="567"/>
      <c r="FO510" s="567"/>
      <c r="FP510" s="567"/>
      <c r="FQ510" s="567"/>
      <c r="FR510" s="567"/>
      <c r="FS510" s="567"/>
      <c r="FT510" s="567"/>
      <c r="FU510" s="567"/>
      <c r="FV510" s="567"/>
      <c r="FW510" s="567"/>
      <c r="FX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  <c r="BW511" s="567"/>
      <c r="BX511" s="567"/>
      <c r="BY511" s="567"/>
      <c r="BZ511" s="567"/>
      <c r="CA511" s="567"/>
      <c r="CB511" s="567"/>
      <c r="CC511" s="567"/>
      <c r="CD511" s="567"/>
      <c r="CE511" s="567"/>
      <c r="CF511" s="567"/>
      <c r="CG511" s="567"/>
      <c r="CH511" s="567"/>
      <c r="CI511" s="567"/>
      <c r="CJ511" s="567"/>
      <c r="CK511" s="567"/>
      <c r="CL511" s="567"/>
      <c r="CM511" s="567"/>
      <c r="CN511" s="567"/>
      <c r="CO511" s="567"/>
      <c r="CP511" s="567"/>
      <c r="CQ511" s="567"/>
      <c r="CR511" s="567"/>
      <c r="CS511" s="567"/>
      <c r="CT511" s="567"/>
      <c r="CU511" s="567"/>
      <c r="CV511" s="567"/>
      <c r="CW511" s="567"/>
      <c r="CX511" s="567"/>
      <c r="CY511" s="567"/>
      <c r="CZ511" s="567"/>
      <c r="DA511" s="567"/>
      <c r="DB511" s="567"/>
      <c r="DC511" s="567"/>
      <c r="DD511" s="567"/>
      <c r="DE511" s="567"/>
      <c r="DF511" s="567"/>
      <c r="DG511" s="567"/>
      <c r="DH511" s="567"/>
      <c r="DI511" s="567"/>
      <c r="DJ511" s="567"/>
      <c r="DK511" s="567"/>
      <c r="DL511" s="567"/>
      <c r="DM511" s="567"/>
      <c r="DN511" s="567"/>
      <c r="DO511" s="567"/>
      <c r="DP511" s="567"/>
      <c r="DQ511" s="567"/>
      <c r="DR511" s="567"/>
      <c r="DS511" s="567"/>
      <c r="DT511" s="567"/>
      <c r="DU511" s="567"/>
      <c r="DV511" s="567"/>
      <c r="DW511" s="567"/>
      <c r="DX511" s="567"/>
      <c r="DY511" s="567"/>
      <c r="DZ511" s="567"/>
      <c r="EA511" s="567"/>
      <c r="EB511" s="567"/>
      <c r="EC511" s="567"/>
      <c r="ED511" s="567"/>
      <c r="EE511" s="567"/>
      <c r="EF511" s="567"/>
      <c r="EG511" s="567"/>
      <c r="EH511" s="567"/>
      <c r="EI511" s="567"/>
      <c r="EJ511" s="567"/>
      <c r="EK511" s="567"/>
      <c r="EL511" s="567"/>
      <c r="EM511" s="567"/>
      <c r="EN511" s="567"/>
      <c r="EO511" s="567"/>
      <c r="EP511" s="567"/>
      <c r="EQ511" s="567"/>
      <c r="ER511" s="567"/>
      <c r="ES511" s="567"/>
      <c r="ET511" s="567"/>
      <c r="EU511" s="567"/>
      <c r="EV511" s="567"/>
      <c r="EW511" s="567"/>
      <c r="EX511" s="567"/>
      <c r="EY511" s="567"/>
      <c r="EZ511" s="567"/>
      <c r="FA511" s="567"/>
      <c r="FB511" s="567"/>
      <c r="FC511" s="567"/>
      <c r="FD511" s="567"/>
      <c r="FE511" s="567"/>
      <c r="FF511" s="567"/>
      <c r="FG511" s="567"/>
      <c r="FH511" s="567"/>
      <c r="FI511" s="567"/>
      <c r="FJ511" s="567"/>
      <c r="FK511" s="567"/>
      <c r="FL511" s="567"/>
      <c r="FM511" s="567"/>
      <c r="FN511" s="567"/>
      <c r="FO511" s="567"/>
      <c r="FP511" s="567"/>
      <c r="FQ511" s="567"/>
      <c r="FR511" s="567"/>
      <c r="FS511" s="567"/>
      <c r="FT511" s="567"/>
      <c r="FU511" s="567"/>
      <c r="FV511" s="567"/>
      <c r="FW511" s="567"/>
      <c r="FX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  <c r="BW512" s="567"/>
      <c r="BX512" s="567"/>
      <c r="BY512" s="567"/>
      <c r="BZ512" s="567"/>
      <c r="CA512" s="567"/>
      <c r="CB512" s="567"/>
      <c r="CC512" s="567"/>
      <c r="CD512" s="567"/>
      <c r="CE512" s="567"/>
      <c r="CF512" s="567"/>
      <c r="CG512" s="567"/>
      <c r="CH512" s="567"/>
      <c r="CI512" s="567"/>
      <c r="CJ512" s="567"/>
      <c r="CK512" s="567"/>
      <c r="CL512" s="567"/>
      <c r="CM512" s="567"/>
      <c r="CN512" s="567"/>
      <c r="CO512" s="567"/>
      <c r="CP512" s="567"/>
      <c r="CQ512" s="567"/>
      <c r="CR512" s="567"/>
      <c r="CS512" s="567"/>
      <c r="CT512" s="567"/>
      <c r="CU512" s="567"/>
      <c r="CV512" s="567"/>
      <c r="CW512" s="567"/>
      <c r="CX512" s="567"/>
      <c r="CY512" s="567"/>
      <c r="CZ512" s="567"/>
      <c r="DA512" s="567"/>
      <c r="DB512" s="567"/>
      <c r="DC512" s="567"/>
      <c r="DD512" s="567"/>
      <c r="DE512" s="567"/>
      <c r="DF512" s="567"/>
      <c r="DG512" s="567"/>
      <c r="DH512" s="567"/>
      <c r="DI512" s="567"/>
      <c r="DJ512" s="567"/>
      <c r="DK512" s="567"/>
      <c r="DL512" s="567"/>
      <c r="DM512" s="567"/>
      <c r="DN512" s="567"/>
      <c r="DO512" s="567"/>
      <c r="DP512" s="567"/>
      <c r="DQ512" s="567"/>
      <c r="DR512" s="567"/>
      <c r="DS512" s="567"/>
      <c r="DT512" s="567"/>
      <c r="DU512" s="567"/>
      <c r="DV512" s="567"/>
      <c r="DW512" s="567"/>
      <c r="DX512" s="567"/>
      <c r="DY512" s="567"/>
      <c r="DZ512" s="567"/>
      <c r="EA512" s="567"/>
      <c r="EB512" s="567"/>
      <c r="EC512" s="567"/>
      <c r="ED512" s="567"/>
      <c r="EE512" s="567"/>
      <c r="EF512" s="567"/>
      <c r="EG512" s="567"/>
      <c r="EH512" s="567"/>
      <c r="EI512" s="567"/>
      <c r="EJ512" s="567"/>
      <c r="EK512" s="567"/>
      <c r="EL512" s="567"/>
      <c r="EM512" s="567"/>
      <c r="EN512" s="567"/>
      <c r="EO512" s="567"/>
      <c r="EP512" s="567"/>
      <c r="EQ512" s="567"/>
      <c r="ER512" s="567"/>
      <c r="ES512" s="567"/>
      <c r="ET512" s="567"/>
      <c r="EU512" s="567"/>
      <c r="EV512" s="567"/>
      <c r="EW512" s="567"/>
      <c r="EX512" s="567"/>
      <c r="EY512" s="567"/>
      <c r="EZ512" s="567"/>
      <c r="FA512" s="567"/>
      <c r="FB512" s="567"/>
      <c r="FC512" s="567"/>
      <c r="FD512" s="567"/>
      <c r="FE512" s="567"/>
      <c r="FF512" s="567"/>
      <c r="FG512" s="567"/>
      <c r="FH512" s="567"/>
      <c r="FI512" s="567"/>
      <c r="FJ512" s="567"/>
      <c r="FK512" s="567"/>
      <c r="FL512" s="567"/>
      <c r="FM512" s="567"/>
      <c r="FN512" s="567"/>
      <c r="FO512" s="567"/>
      <c r="FP512" s="567"/>
      <c r="FQ512" s="567"/>
      <c r="FR512" s="567"/>
      <c r="FS512" s="567"/>
      <c r="FT512" s="567"/>
      <c r="FU512" s="567"/>
      <c r="FV512" s="567"/>
      <c r="FW512" s="567"/>
      <c r="FX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  <c r="BW513" s="567"/>
      <c r="BX513" s="567"/>
      <c r="BY513" s="567"/>
      <c r="BZ513" s="567"/>
      <c r="CA513" s="567"/>
      <c r="CB513" s="567"/>
      <c r="CC513" s="567"/>
      <c r="CD513" s="567"/>
      <c r="CE513" s="567"/>
      <c r="CF513" s="567"/>
      <c r="CG513" s="567"/>
      <c r="CH513" s="567"/>
      <c r="CI513" s="567"/>
      <c r="CJ513" s="567"/>
      <c r="CK513" s="567"/>
      <c r="CL513" s="567"/>
      <c r="CM513" s="567"/>
      <c r="CN513" s="567"/>
      <c r="CO513" s="567"/>
      <c r="CP513" s="567"/>
      <c r="CQ513" s="567"/>
      <c r="CR513" s="567"/>
      <c r="CS513" s="567"/>
      <c r="CT513" s="567"/>
      <c r="CU513" s="567"/>
      <c r="CV513" s="567"/>
      <c r="CW513" s="567"/>
      <c r="CX513" s="567"/>
      <c r="CY513" s="567"/>
      <c r="CZ513" s="567"/>
      <c r="DA513" s="567"/>
      <c r="DB513" s="567"/>
      <c r="DC513" s="567"/>
      <c r="DD513" s="567"/>
      <c r="DE513" s="567"/>
      <c r="DF513" s="567"/>
      <c r="DG513" s="567"/>
      <c r="DH513" s="567"/>
      <c r="DI513" s="567"/>
      <c r="DJ513" s="567"/>
      <c r="DK513" s="567"/>
      <c r="DL513" s="567"/>
      <c r="DM513" s="567"/>
      <c r="DN513" s="567"/>
      <c r="DO513" s="567"/>
      <c r="DP513" s="567"/>
      <c r="DQ513" s="567"/>
      <c r="DR513" s="567"/>
      <c r="DS513" s="567"/>
      <c r="DT513" s="567"/>
      <c r="DU513" s="567"/>
      <c r="DV513" s="567"/>
      <c r="DW513" s="567"/>
      <c r="DX513" s="567"/>
      <c r="DY513" s="567"/>
      <c r="DZ513" s="567"/>
      <c r="EA513" s="567"/>
      <c r="EB513" s="567"/>
      <c r="EC513" s="567"/>
      <c r="ED513" s="567"/>
      <c r="EE513" s="567"/>
      <c r="EF513" s="567"/>
      <c r="EG513" s="567"/>
      <c r="EH513" s="567"/>
      <c r="EI513" s="567"/>
      <c r="EJ513" s="567"/>
      <c r="EK513" s="567"/>
      <c r="EL513" s="567"/>
      <c r="EM513" s="567"/>
      <c r="EN513" s="567"/>
      <c r="EO513" s="567"/>
      <c r="EP513" s="567"/>
      <c r="EQ513" s="567"/>
      <c r="ER513" s="567"/>
      <c r="ES513" s="567"/>
      <c r="ET513" s="567"/>
      <c r="EU513" s="567"/>
      <c r="EV513" s="567"/>
      <c r="EW513" s="567"/>
      <c r="EX513" s="567"/>
      <c r="EY513" s="567"/>
      <c r="EZ513" s="567"/>
      <c r="FA513" s="567"/>
      <c r="FB513" s="567"/>
      <c r="FC513" s="567"/>
      <c r="FD513" s="567"/>
      <c r="FE513" s="567"/>
      <c r="FF513" s="567"/>
      <c r="FG513" s="567"/>
      <c r="FH513" s="567"/>
      <c r="FI513" s="567"/>
      <c r="FJ513" s="567"/>
      <c r="FK513" s="567"/>
      <c r="FL513" s="567"/>
      <c r="FM513" s="567"/>
      <c r="FN513" s="567"/>
      <c r="FO513" s="567"/>
      <c r="FP513" s="567"/>
      <c r="FQ513" s="567"/>
      <c r="FR513" s="567"/>
      <c r="FS513" s="567"/>
      <c r="FT513" s="567"/>
      <c r="FU513" s="567"/>
      <c r="FV513" s="567"/>
      <c r="FW513" s="567"/>
      <c r="FX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  <c r="BW514" s="567"/>
      <c r="BX514" s="567"/>
      <c r="BY514" s="567"/>
      <c r="BZ514" s="567"/>
      <c r="CA514" s="567"/>
      <c r="CB514" s="567"/>
      <c r="CC514" s="567"/>
      <c r="CD514" s="567"/>
      <c r="CE514" s="567"/>
      <c r="CF514" s="567"/>
      <c r="CG514" s="567"/>
      <c r="CH514" s="567"/>
      <c r="CI514" s="567"/>
      <c r="CJ514" s="567"/>
      <c r="CK514" s="567"/>
      <c r="CL514" s="567"/>
      <c r="CM514" s="567"/>
      <c r="CN514" s="567"/>
      <c r="CO514" s="567"/>
      <c r="CP514" s="567"/>
      <c r="CQ514" s="567"/>
      <c r="CR514" s="567"/>
      <c r="CS514" s="567"/>
      <c r="CT514" s="567"/>
      <c r="CU514" s="567"/>
      <c r="CV514" s="567"/>
      <c r="CW514" s="567"/>
      <c r="CX514" s="567"/>
      <c r="CY514" s="567"/>
      <c r="CZ514" s="567"/>
      <c r="DA514" s="567"/>
      <c r="DB514" s="567"/>
      <c r="DC514" s="567"/>
      <c r="DD514" s="567"/>
      <c r="DE514" s="567"/>
      <c r="DF514" s="567"/>
      <c r="DG514" s="567"/>
      <c r="DH514" s="567"/>
      <c r="DI514" s="567"/>
      <c r="DJ514" s="567"/>
      <c r="DK514" s="567"/>
      <c r="DL514" s="567"/>
      <c r="DM514" s="567"/>
      <c r="DN514" s="567"/>
      <c r="DO514" s="567"/>
      <c r="DP514" s="567"/>
      <c r="DQ514" s="567"/>
      <c r="DR514" s="567"/>
      <c r="DS514" s="567"/>
      <c r="DT514" s="567"/>
      <c r="DU514" s="567"/>
      <c r="DV514" s="567"/>
      <c r="DW514" s="567"/>
      <c r="DX514" s="567"/>
      <c r="DY514" s="567"/>
      <c r="DZ514" s="567"/>
      <c r="EA514" s="567"/>
      <c r="EB514" s="567"/>
      <c r="EC514" s="567"/>
      <c r="ED514" s="567"/>
      <c r="EE514" s="567"/>
      <c r="EF514" s="567"/>
      <c r="EG514" s="567"/>
      <c r="EH514" s="567"/>
      <c r="EI514" s="567"/>
      <c r="EJ514" s="567"/>
      <c r="EK514" s="567"/>
      <c r="EL514" s="567"/>
      <c r="EM514" s="567"/>
      <c r="EN514" s="567"/>
      <c r="EO514" s="567"/>
      <c r="EP514" s="567"/>
      <c r="EQ514" s="567"/>
      <c r="ER514" s="567"/>
      <c r="ES514" s="567"/>
      <c r="ET514" s="567"/>
      <c r="EU514" s="567"/>
      <c r="EV514" s="567"/>
      <c r="EW514" s="567"/>
      <c r="EX514" s="567"/>
      <c r="EY514" s="567"/>
      <c r="EZ514" s="567"/>
      <c r="FA514" s="567"/>
      <c r="FB514" s="567"/>
      <c r="FC514" s="567"/>
      <c r="FD514" s="567"/>
      <c r="FE514" s="567"/>
      <c r="FF514" s="567"/>
      <c r="FG514" s="567"/>
      <c r="FH514" s="567"/>
      <c r="FI514" s="567"/>
      <c r="FJ514" s="567"/>
      <c r="FK514" s="567"/>
      <c r="FL514" s="567"/>
      <c r="FM514" s="567"/>
      <c r="FN514" s="567"/>
      <c r="FO514" s="567"/>
      <c r="FP514" s="567"/>
      <c r="FQ514" s="567"/>
      <c r="FR514" s="567"/>
      <c r="FS514" s="567"/>
      <c r="FT514" s="567"/>
      <c r="FU514" s="567"/>
      <c r="FV514" s="567"/>
      <c r="FW514" s="567"/>
      <c r="FX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  <c r="BW515" s="567"/>
      <c r="BX515" s="567"/>
      <c r="BY515" s="567"/>
      <c r="BZ515" s="567"/>
      <c r="CA515" s="567"/>
      <c r="CB515" s="567"/>
      <c r="CC515" s="567"/>
      <c r="CD515" s="567"/>
      <c r="CE515" s="567"/>
      <c r="CF515" s="567"/>
      <c r="CG515" s="567"/>
      <c r="CH515" s="567"/>
      <c r="CI515" s="567"/>
      <c r="CJ515" s="567"/>
      <c r="CK515" s="567"/>
      <c r="CL515" s="567"/>
      <c r="CM515" s="567"/>
      <c r="CN515" s="567"/>
      <c r="CO515" s="567"/>
      <c r="CP515" s="567"/>
      <c r="CQ515" s="567"/>
      <c r="CR515" s="567"/>
      <c r="CS515" s="567"/>
      <c r="CT515" s="567"/>
      <c r="CU515" s="567"/>
      <c r="CV515" s="567"/>
      <c r="CW515" s="567"/>
      <c r="CX515" s="567"/>
      <c r="CY515" s="567"/>
      <c r="CZ515" s="567"/>
      <c r="DA515" s="567"/>
      <c r="DB515" s="567"/>
      <c r="DC515" s="567"/>
      <c r="DD515" s="567"/>
      <c r="DE515" s="567"/>
      <c r="DF515" s="567"/>
      <c r="DG515" s="567"/>
      <c r="DH515" s="567"/>
      <c r="DI515" s="567"/>
      <c r="DJ515" s="567"/>
      <c r="DK515" s="567"/>
      <c r="DL515" s="567"/>
      <c r="DM515" s="567"/>
      <c r="DN515" s="567"/>
      <c r="DO515" s="567"/>
      <c r="DP515" s="567"/>
      <c r="DQ515" s="567"/>
      <c r="DR515" s="567"/>
      <c r="DS515" s="567"/>
      <c r="DT515" s="567"/>
      <c r="DU515" s="567"/>
      <c r="DV515" s="567"/>
      <c r="DW515" s="567"/>
      <c r="DX515" s="567"/>
      <c r="DY515" s="567"/>
      <c r="DZ515" s="567"/>
      <c r="EA515" s="567"/>
      <c r="EB515" s="567"/>
      <c r="EC515" s="567"/>
      <c r="ED515" s="567"/>
      <c r="EE515" s="567"/>
      <c r="EF515" s="567"/>
      <c r="EG515" s="567"/>
      <c r="EH515" s="567"/>
      <c r="EI515" s="567"/>
      <c r="EJ515" s="567"/>
      <c r="EK515" s="567"/>
      <c r="EL515" s="567"/>
      <c r="EM515" s="567"/>
      <c r="EN515" s="567"/>
      <c r="EO515" s="567"/>
      <c r="EP515" s="567"/>
      <c r="EQ515" s="567"/>
      <c r="ER515" s="567"/>
      <c r="ES515" s="567"/>
      <c r="ET515" s="567"/>
      <c r="EU515" s="567"/>
      <c r="EV515" s="567"/>
      <c r="EW515" s="567"/>
      <c r="EX515" s="567"/>
      <c r="EY515" s="567"/>
      <c r="EZ515" s="567"/>
      <c r="FA515" s="567"/>
      <c r="FB515" s="567"/>
      <c r="FC515" s="567"/>
      <c r="FD515" s="567"/>
      <c r="FE515" s="567"/>
      <c r="FF515" s="567"/>
      <c r="FG515" s="567"/>
      <c r="FH515" s="567"/>
      <c r="FI515" s="567"/>
      <c r="FJ515" s="567"/>
      <c r="FK515" s="567"/>
      <c r="FL515" s="567"/>
      <c r="FM515" s="567"/>
      <c r="FN515" s="567"/>
      <c r="FO515" s="567"/>
      <c r="FP515" s="567"/>
      <c r="FQ515" s="567"/>
      <c r="FR515" s="567"/>
      <c r="FS515" s="567"/>
      <c r="FT515" s="567"/>
      <c r="FU515" s="567"/>
      <c r="FV515" s="567"/>
      <c r="FW515" s="567"/>
      <c r="FX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  <c r="BW516" s="567"/>
      <c r="BX516" s="567"/>
      <c r="BY516" s="567"/>
      <c r="BZ516" s="567"/>
      <c r="CA516" s="567"/>
      <c r="CB516" s="567"/>
      <c r="CC516" s="567"/>
      <c r="CD516" s="567"/>
      <c r="CE516" s="567"/>
      <c r="CF516" s="567"/>
      <c r="CG516" s="567"/>
      <c r="CH516" s="567"/>
      <c r="CI516" s="567"/>
      <c r="CJ516" s="567"/>
      <c r="CK516" s="567"/>
      <c r="CL516" s="567"/>
      <c r="CM516" s="567"/>
      <c r="CN516" s="567"/>
      <c r="CO516" s="567"/>
      <c r="CP516" s="567"/>
      <c r="CQ516" s="567"/>
      <c r="CR516" s="567"/>
      <c r="CS516" s="567"/>
      <c r="CT516" s="567"/>
      <c r="CU516" s="567"/>
      <c r="CV516" s="567"/>
      <c r="CW516" s="567"/>
      <c r="CX516" s="567"/>
      <c r="CY516" s="567"/>
      <c r="CZ516" s="567"/>
      <c r="DA516" s="567"/>
      <c r="DB516" s="567"/>
      <c r="DC516" s="567"/>
      <c r="DD516" s="567"/>
      <c r="DE516" s="567"/>
      <c r="DF516" s="567"/>
      <c r="DG516" s="567"/>
      <c r="DH516" s="567"/>
      <c r="DI516" s="567"/>
      <c r="DJ516" s="567"/>
      <c r="DK516" s="567"/>
      <c r="DL516" s="567"/>
      <c r="DM516" s="567"/>
      <c r="DN516" s="567"/>
      <c r="DO516" s="567"/>
      <c r="DP516" s="567"/>
      <c r="DQ516" s="567"/>
      <c r="DR516" s="567"/>
      <c r="DS516" s="567"/>
      <c r="DT516" s="567"/>
      <c r="DU516" s="567"/>
      <c r="DV516" s="567"/>
      <c r="DW516" s="567"/>
      <c r="DX516" s="567"/>
      <c r="DY516" s="567"/>
      <c r="DZ516" s="567"/>
      <c r="EA516" s="567"/>
      <c r="EB516" s="567"/>
      <c r="EC516" s="567"/>
      <c r="ED516" s="567"/>
      <c r="EE516" s="567"/>
      <c r="EF516" s="567"/>
      <c r="EG516" s="567"/>
      <c r="EH516" s="567"/>
      <c r="EI516" s="567"/>
      <c r="EJ516" s="567"/>
      <c r="EK516" s="567"/>
      <c r="EL516" s="567"/>
      <c r="EM516" s="567"/>
      <c r="EN516" s="567"/>
      <c r="EO516" s="567"/>
      <c r="EP516" s="567"/>
      <c r="EQ516" s="567"/>
      <c r="ER516" s="567"/>
      <c r="ES516" s="567"/>
      <c r="ET516" s="567"/>
      <c r="EU516" s="567"/>
      <c r="EV516" s="567"/>
      <c r="EW516" s="567"/>
      <c r="EX516" s="567"/>
      <c r="EY516" s="567"/>
      <c r="EZ516" s="567"/>
      <c r="FA516" s="567"/>
      <c r="FB516" s="567"/>
      <c r="FC516" s="567"/>
      <c r="FD516" s="567"/>
      <c r="FE516" s="567"/>
      <c r="FF516" s="567"/>
      <c r="FG516" s="567"/>
      <c r="FH516" s="567"/>
      <c r="FI516" s="567"/>
      <c r="FJ516" s="567"/>
      <c r="FK516" s="567"/>
      <c r="FL516" s="567"/>
      <c r="FM516" s="567"/>
      <c r="FN516" s="567"/>
      <c r="FO516" s="567"/>
      <c r="FP516" s="567"/>
      <c r="FQ516" s="567"/>
      <c r="FR516" s="567"/>
      <c r="FS516" s="567"/>
      <c r="FT516" s="567"/>
      <c r="FU516" s="567"/>
      <c r="FV516" s="567"/>
      <c r="FW516" s="567"/>
      <c r="FX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  <c r="BW517" s="567"/>
      <c r="BX517" s="567"/>
      <c r="BY517" s="567"/>
      <c r="BZ517" s="567"/>
      <c r="CA517" s="567"/>
      <c r="CB517" s="567"/>
      <c r="CC517" s="567"/>
      <c r="CD517" s="567"/>
      <c r="CE517" s="567"/>
      <c r="CF517" s="567"/>
      <c r="CG517" s="567"/>
      <c r="CH517" s="567"/>
      <c r="CI517" s="567"/>
      <c r="CJ517" s="567"/>
      <c r="CK517" s="567"/>
      <c r="CL517" s="567"/>
      <c r="CM517" s="567"/>
      <c r="CN517" s="567"/>
      <c r="CO517" s="567"/>
      <c r="CP517" s="567"/>
      <c r="CQ517" s="567"/>
      <c r="CR517" s="567"/>
      <c r="CS517" s="567"/>
      <c r="CT517" s="567"/>
      <c r="CU517" s="567"/>
      <c r="CV517" s="567"/>
      <c r="CW517" s="567"/>
      <c r="CX517" s="567"/>
      <c r="CY517" s="567"/>
      <c r="CZ517" s="567"/>
      <c r="DA517" s="567"/>
      <c r="DB517" s="567"/>
      <c r="DC517" s="567"/>
      <c r="DD517" s="567"/>
      <c r="DE517" s="567"/>
      <c r="DF517" s="567"/>
      <c r="DG517" s="567"/>
      <c r="DH517" s="567"/>
      <c r="DI517" s="567"/>
      <c r="DJ517" s="567"/>
      <c r="DK517" s="567"/>
      <c r="DL517" s="567"/>
      <c r="DM517" s="567"/>
      <c r="DN517" s="567"/>
      <c r="DO517" s="567"/>
      <c r="DP517" s="567"/>
      <c r="DQ517" s="567"/>
      <c r="DR517" s="567"/>
      <c r="DS517" s="567"/>
      <c r="DT517" s="567"/>
      <c r="DU517" s="567"/>
      <c r="DV517" s="567"/>
      <c r="DW517" s="567"/>
      <c r="DX517" s="567"/>
      <c r="DY517" s="567"/>
      <c r="DZ517" s="567"/>
      <c r="EA517" s="567"/>
      <c r="EB517" s="567"/>
      <c r="EC517" s="567"/>
      <c r="ED517" s="567"/>
      <c r="EE517" s="567"/>
      <c r="EF517" s="567"/>
      <c r="EG517" s="567"/>
      <c r="EH517" s="567"/>
      <c r="EI517" s="567"/>
      <c r="EJ517" s="567"/>
      <c r="EK517" s="567"/>
      <c r="EL517" s="567"/>
      <c r="EM517" s="567"/>
      <c r="EN517" s="567"/>
      <c r="EO517" s="567"/>
      <c r="EP517" s="567"/>
      <c r="EQ517" s="567"/>
      <c r="ER517" s="567"/>
      <c r="ES517" s="567"/>
      <c r="ET517" s="567"/>
      <c r="EU517" s="567"/>
      <c r="EV517" s="567"/>
      <c r="EW517" s="567"/>
      <c r="EX517" s="567"/>
      <c r="EY517" s="567"/>
      <c r="EZ517" s="567"/>
      <c r="FA517" s="567"/>
      <c r="FB517" s="567"/>
      <c r="FC517" s="567"/>
      <c r="FD517" s="567"/>
      <c r="FE517" s="567"/>
      <c r="FF517" s="567"/>
      <c r="FG517" s="567"/>
      <c r="FH517" s="567"/>
      <c r="FI517" s="567"/>
      <c r="FJ517" s="567"/>
      <c r="FK517" s="567"/>
      <c r="FL517" s="567"/>
      <c r="FM517" s="567"/>
      <c r="FN517" s="567"/>
      <c r="FO517" s="567"/>
      <c r="FP517" s="567"/>
      <c r="FQ517" s="567"/>
      <c r="FR517" s="567"/>
      <c r="FS517" s="567"/>
      <c r="FT517" s="567"/>
      <c r="FU517" s="567"/>
      <c r="FV517" s="567"/>
      <c r="FW517" s="567"/>
      <c r="FX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  <c r="BW518" s="567"/>
      <c r="BX518" s="567"/>
      <c r="BY518" s="567"/>
      <c r="BZ518" s="567"/>
      <c r="CA518" s="567"/>
      <c r="CB518" s="567"/>
      <c r="CC518" s="567"/>
      <c r="CD518" s="567"/>
      <c r="CE518" s="567"/>
      <c r="CF518" s="567"/>
      <c r="CG518" s="567"/>
      <c r="CH518" s="567"/>
      <c r="CI518" s="567"/>
      <c r="CJ518" s="567"/>
      <c r="CK518" s="567"/>
      <c r="CL518" s="567"/>
      <c r="CM518" s="567"/>
      <c r="CN518" s="567"/>
      <c r="CO518" s="567"/>
      <c r="CP518" s="567"/>
      <c r="CQ518" s="567"/>
      <c r="CR518" s="567"/>
      <c r="CS518" s="567"/>
      <c r="CT518" s="567"/>
      <c r="CU518" s="567"/>
      <c r="CV518" s="567"/>
      <c r="CW518" s="567"/>
      <c r="CX518" s="567"/>
      <c r="CY518" s="567"/>
      <c r="CZ518" s="567"/>
      <c r="DA518" s="567"/>
      <c r="DB518" s="567"/>
      <c r="DC518" s="567"/>
      <c r="DD518" s="567"/>
      <c r="DE518" s="567"/>
      <c r="DF518" s="567"/>
      <c r="DG518" s="567"/>
      <c r="DH518" s="567"/>
      <c r="DI518" s="567"/>
      <c r="DJ518" s="567"/>
      <c r="DK518" s="567"/>
      <c r="DL518" s="567"/>
      <c r="DM518" s="567"/>
      <c r="DN518" s="567"/>
      <c r="DO518" s="567"/>
      <c r="DP518" s="567"/>
      <c r="DQ518" s="567"/>
      <c r="DR518" s="567"/>
      <c r="DS518" s="567"/>
      <c r="DT518" s="567"/>
      <c r="DU518" s="567"/>
      <c r="DV518" s="567"/>
      <c r="DW518" s="567"/>
      <c r="DX518" s="567"/>
      <c r="DY518" s="567"/>
      <c r="DZ518" s="567"/>
      <c r="EA518" s="567"/>
      <c r="EB518" s="567"/>
      <c r="EC518" s="567"/>
      <c r="ED518" s="567"/>
      <c r="EE518" s="567"/>
      <c r="EF518" s="567"/>
      <c r="EG518" s="567"/>
      <c r="EH518" s="567"/>
      <c r="EI518" s="567"/>
      <c r="EJ518" s="567"/>
      <c r="EK518" s="567"/>
      <c r="EL518" s="567"/>
      <c r="EM518" s="567"/>
      <c r="EN518" s="567"/>
      <c r="EO518" s="567"/>
      <c r="EP518" s="567"/>
      <c r="EQ518" s="567"/>
      <c r="ER518" s="567"/>
      <c r="ES518" s="567"/>
      <c r="ET518" s="567"/>
      <c r="EU518" s="567"/>
      <c r="EV518" s="567"/>
      <c r="EW518" s="567"/>
      <c r="EX518" s="567"/>
      <c r="EY518" s="567"/>
      <c r="EZ518" s="567"/>
      <c r="FA518" s="567"/>
      <c r="FB518" s="567"/>
      <c r="FC518" s="567"/>
      <c r="FD518" s="567"/>
      <c r="FE518" s="567"/>
      <c r="FF518" s="567"/>
      <c r="FG518" s="567"/>
      <c r="FH518" s="567"/>
      <c r="FI518" s="567"/>
      <c r="FJ518" s="567"/>
      <c r="FK518" s="567"/>
      <c r="FL518" s="567"/>
      <c r="FM518" s="567"/>
      <c r="FN518" s="567"/>
      <c r="FO518" s="567"/>
      <c r="FP518" s="567"/>
      <c r="FQ518" s="567"/>
      <c r="FR518" s="567"/>
      <c r="FS518" s="567"/>
      <c r="FT518" s="567"/>
      <c r="FU518" s="567"/>
      <c r="FV518" s="567"/>
      <c r="FW518" s="567"/>
      <c r="FX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  <c r="BW519" s="567"/>
      <c r="BX519" s="567"/>
      <c r="BY519" s="567"/>
      <c r="BZ519" s="567"/>
      <c r="CA519" s="567"/>
      <c r="CB519" s="567"/>
      <c r="CC519" s="567"/>
      <c r="CD519" s="567"/>
      <c r="CE519" s="567"/>
      <c r="CF519" s="567"/>
      <c r="CG519" s="567"/>
      <c r="CH519" s="567"/>
      <c r="CI519" s="567"/>
      <c r="CJ519" s="567"/>
      <c r="CK519" s="567"/>
      <c r="CL519" s="567"/>
      <c r="CM519" s="567"/>
      <c r="CN519" s="567"/>
      <c r="CO519" s="567"/>
      <c r="CP519" s="567"/>
      <c r="CQ519" s="567"/>
      <c r="CR519" s="567"/>
      <c r="CS519" s="567"/>
      <c r="CT519" s="567"/>
      <c r="CU519" s="567"/>
      <c r="CV519" s="567"/>
      <c r="CW519" s="567"/>
      <c r="CX519" s="567"/>
      <c r="CY519" s="567"/>
      <c r="CZ519" s="567"/>
      <c r="DA519" s="567"/>
      <c r="DB519" s="567"/>
      <c r="DC519" s="567"/>
      <c r="DD519" s="567"/>
      <c r="DE519" s="567"/>
      <c r="DF519" s="567"/>
      <c r="DG519" s="567"/>
      <c r="DH519" s="567"/>
      <c r="DI519" s="567"/>
      <c r="DJ519" s="567"/>
      <c r="DK519" s="567"/>
      <c r="DL519" s="567"/>
      <c r="DM519" s="567"/>
      <c r="DN519" s="567"/>
      <c r="DO519" s="567"/>
      <c r="DP519" s="567"/>
      <c r="DQ519" s="567"/>
      <c r="DR519" s="567"/>
      <c r="DS519" s="567"/>
      <c r="DT519" s="567"/>
      <c r="DU519" s="567"/>
      <c r="DV519" s="567"/>
      <c r="DW519" s="567"/>
      <c r="DX519" s="567"/>
      <c r="DY519" s="567"/>
      <c r="DZ519" s="567"/>
      <c r="EA519" s="567"/>
      <c r="EB519" s="567"/>
      <c r="EC519" s="567"/>
      <c r="ED519" s="567"/>
      <c r="EE519" s="567"/>
      <c r="EF519" s="567"/>
      <c r="EG519" s="567"/>
      <c r="EH519" s="567"/>
      <c r="EI519" s="567"/>
      <c r="EJ519" s="567"/>
      <c r="EK519" s="567"/>
      <c r="EL519" s="567"/>
      <c r="EM519" s="567"/>
      <c r="EN519" s="567"/>
      <c r="EO519" s="567"/>
      <c r="EP519" s="567"/>
      <c r="EQ519" s="567"/>
      <c r="ER519" s="567"/>
      <c r="ES519" s="567"/>
      <c r="ET519" s="567"/>
      <c r="EU519" s="567"/>
      <c r="EV519" s="567"/>
      <c r="EW519" s="567"/>
      <c r="EX519" s="567"/>
      <c r="EY519" s="567"/>
      <c r="EZ519" s="567"/>
      <c r="FA519" s="567"/>
      <c r="FB519" s="567"/>
      <c r="FC519" s="567"/>
      <c r="FD519" s="567"/>
      <c r="FE519" s="567"/>
      <c r="FF519" s="567"/>
      <c r="FG519" s="567"/>
      <c r="FH519" s="567"/>
      <c r="FI519" s="567"/>
      <c r="FJ519" s="567"/>
      <c r="FK519" s="567"/>
      <c r="FL519" s="567"/>
      <c r="FM519" s="567"/>
      <c r="FN519" s="567"/>
      <c r="FO519" s="567"/>
      <c r="FP519" s="567"/>
      <c r="FQ519" s="567"/>
      <c r="FR519" s="567"/>
      <c r="FS519" s="567"/>
      <c r="FT519" s="567"/>
      <c r="FU519" s="567"/>
      <c r="FV519" s="567"/>
      <c r="FW519" s="567"/>
      <c r="FX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  <c r="BW520" s="567"/>
      <c r="BX520" s="567"/>
      <c r="BY520" s="567"/>
      <c r="BZ520" s="567"/>
      <c r="CA520" s="567"/>
      <c r="CB520" s="567"/>
      <c r="CC520" s="567"/>
      <c r="CD520" s="567"/>
      <c r="CE520" s="567"/>
      <c r="CF520" s="567"/>
      <c r="CG520" s="567"/>
      <c r="CH520" s="567"/>
      <c r="CI520" s="567"/>
      <c r="CJ520" s="567"/>
      <c r="CK520" s="567"/>
      <c r="CL520" s="567"/>
      <c r="CM520" s="567"/>
      <c r="CN520" s="567"/>
      <c r="CO520" s="567"/>
      <c r="CP520" s="567"/>
      <c r="CQ520" s="567"/>
      <c r="CR520" s="567"/>
      <c r="CS520" s="567"/>
      <c r="CT520" s="567"/>
      <c r="CU520" s="567"/>
      <c r="CV520" s="567"/>
      <c r="CW520" s="567"/>
      <c r="CX520" s="567"/>
      <c r="CY520" s="567"/>
      <c r="CZ520" s="567"/>
      <c r="DA520" s="567"/>
      <c r="DB520" s="567"/>
      <c r="DC520" s="567"/>
      <c r="DD520" s="567"/>
      <c r="DE520" s="567"/>
      <c r="DF520" s="567"/>
      <c r="DG520" s="567"/>
      <c r="DH520" s="567"/>
      <c r="DI520" s="567"/>
      <c r="DJ520" s="567"/>
      <c r="DK520" s="567"/>
      <c r="DL520" s="567"/>
      <c r="DM520" s="567"/>
      <c r="DN520" s="567"/>
      <c r="DO520" s="567"/>
      <c r="DP520" s="567"/>
      <c r="DQ520" s="567"/>
      <c r="DR520" s="567"/>
      <c r="DS520" s="567"/>
      <c r="DT520" s="567"/>
      <c r="DU520" s="567"/>
      <c r="DV520" s="567"/>
      <c r="DW520" s="567"/>
      <c r="DX520" s="567"/>
      <c r="DY520" s="567"/>
      <c r="DZ520" s="567"/>
      <c r="EA520" s="567"/>
      <c r="EB520" s="567"/>
      <c r="EC520" s="567"/>
      <c r="ED520" s="567"/>
      <c r="EE520" s="567"/>
      <c r="EF520" s="567"/>
      <c r="EG520" s="567"/>
      <c r="EH520" s="567"/>
      <c r="EI520" s="567"/>
      <c r="EJ520" s="567"/>
      <c r="EK520" s="567"/>
      <c r="EL520" s="567"/>
      <c r="EM520" s="567"/>
      <c r="EN520" s="567"/>
      <c r="EO520" s="567"/>
      <c r="EP520" s="567"/>
      <c r="EQ520" s="567"/>
      <c r="ER520" s="567"/>
      <c r="ES520" s="567"/>
      <c r="ET520" s="567"/>
      <c r="EU520" s="567"/>
      <c r="EV520" s="567"/>
      <c r="EW520" s="567"/>
      <c r="EX520" s="567"/>
      <c r="EY520" s="567"/>
      <c r="EZ520" s="567"/>
      <c r="FA520" s="567"/>
      <c r="FB520" s="567"/>
      <c r="FC520" s="567"/>
      <c r="FD520" s="567"/>
      <c r="FE520" s="567"/>
      <c r="FF520" s="567"/>
      <c r="FG520" s="567"/>
      <c r="FH520" s="567"/>
      <c r="FI520" s="567"/>
      <c r="FJ520" s="567"/>
      <c r="FK520" s="567"/>
      <c r="FL520" s="567"/>
      <c r="FM520" s="567"/>
      <c r="FN520" s="567"/>
      <c r="FO520" s="567"/>
      <c r="FP520" s="567"/>
      <c r="FQ520" s="567"/>
      <c r="FR520" s="567"/>
      <c r="FS520" s="567"/>
      <c r="FT520" s="567"/>
      <c r="FU520" s="567"/>
      <c r="FV520" s="567"/>
      <c r="FW520" s="567"/>
      <c r="FX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  <c r="BW521" s="567"/>
      <c r="BX521" s="567"/>
      <c r="BY521" s="567"/>
      <c r="BZ521" s="567"/>
      <c r="CA521" s="567"/>
      <c r="CB521" s="567"/>
      <c r="CC521" s="567"/>
      <c r="CD521" s="567"/>
      <c r="CE521" s="567"/>
      <c r="CF521" s="567"/>
      <c r="CG521" s="567"/>
      <c r="CH521" s="567"/>
      <c r="CI521" s="567"/>
      <c r="CJ521" s="567"/>
      <c r="CK521" s="567"/>
      <c r="CL521" s="567"/>
      <c r="CM521" s="567"/>
      <c r="CN521" s="567"/>
      <c r="CO521" s="567"/>
      <c r="CP521" s="567"/>
      <c r="CQ521" s="567"/>
      <c r="CR521" s="567"/>
      <c r="CS521" s="567"/>
      <c r="CT521" s="567"/>
      <c r="CU521" s="567"/>
      <c r="CV521" s="567"/>
      <c r="CW521" s="567"/>
      <c r="CX521" s="567"/>
      <c r="CY521" s="567"/>
      <c r="CZ521" s="567"/>
      <c r="DA521" s="567"/>
      <c r="DB521" s="567"/>
      <c r="DC521" s="567"/>
      <c r="DD521" s="567"/>
      <c r="DE521" s="567"/>
      <c r="DF521" s="567"/>
      <c r="DG521" s="567"/>
      <c r="DH521" s="567"/>
      <c r="DI521" s="567"/>
      <c r="DJ521" s="567"/>
      <c r="DK521" s="567"/>
      <c r="DL521" s="567"/>
      <c r="DM521" s="567"/>
      <c r="DN521" s="567"/>
      <c r="DO521" s="567"/>
      <c r="DP521" s="567"/>
      <c r="DQ521" s="567"/>
      <c r="DR521" s="567"/>
      <c r="DS521" s="567"/>
      <c r="DT521" s="567"/>
      <c r="DU521" s="567"/>
      <c r="DV521" s="567"/>
      <c r="DW521" s="567"/>
      <c r="DX521" s="567"/>
      <c r="DY521" s="567"/>
      <c r="DZ521" s="567"/>
      <c r="EA521" s="567"/>
      <c r="EB521" s="567"/>
      <c r="EC521" s="567"/>
      <c r="ED521" s="567"/>
      <c r="EE521" s="567"/>
      <c r="EF521" s="567"/>
      <c r="EG521" s="567"/>
      <c r="EH521" s="567"/>
      <c r="EI521" s="567"/>
      <c r="EJ521" s="567"/>
      <c r="EK521" s="567"/>
      <c r="EL521" s="567"/>
      <c r="EM521" s="567"/>
      <c r="EN521" s="567"/>
      <c r="EO521" s="567"/>
      <c r="EP521" s="567"/>
      <c r="EQ521" s="567"/>
      <c r="ER521" s="567"/>
      <c r="ES521" s="567"/>
      <c r="ET521" s="567"/>
      <c r="EU521" s="567"/>
      <c r="EV521" s="567"/>
      <c r="EW521" s="567"/>
      <c r="EX521" s="567"/>
      <c r="EY521" s="567"/>
      <c r="EZ521" s="567"/>
      <c r="FA521" s="567"/>
      <c r="FB521" s="567"/>
      <c r="FC521" s="567"/>
      <c r="FD521" s="567"/>
      <c r="FE521" s="567"/>
      <c r="FF521" s="567"/>
      <c r="FG521" s="567"/>
      <c r="FH521" s="567"/>
      <c r="FI521" s="567"/>
      <c r="FJ521" s="567"/>
      <c r="FK521" s="567"/>
      <c r="FL521" s="567"/>
      <c r="FM521" s="567"/>
      <c r="FN521" s="567"/>
      <c r="FO521" s="567"/>
      <c r="FP521" s="567"/>
      <c r="FQ521" s="567"/>
      <c r="FR521" s="567"/>
      <c r="FS521" s="567"/>
      <c r="FT521" s="567"/>
      <c r="FU521" s="567"/>
      <c r="FV521" s="567"/>
      <c r="FW521" s="567"/>
      <c r="FX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  <c r="BW522" s="567"/>
      <c r="BX522" s="567"/>
      <c r="BY522" s="567"/>
      <c r="BZ522" s="567"/>
      <c r="CA522" s="567"/>
      <c r="CB522" s="567"/>
      <c r="CC522" s="567"/>
      <c r="CD522" s="567"/>
      <c r="CE522" s="567"/>
      <c r="CF522" s="567"/>
      <c r="CG522" s="567"/>
      <c r="CH522" s="567"/>
      <c r="CI522" s="567"/>
      <c r="CJ522" s="567"/>
      <c r="CK522" s="567"/>
      <c r="CL522" s="567"/>
      <c r="CM522" s="567"/>
      <c r="CN522" s="567"/>
      <c r="CO522" s="567"/>
      <c r="CP522" s="567"/>
      <c r="CQ522" s="567"/>
      <c r="CR522" s="567"/>
      <c r="CS522" s="567"/>
      <c r="CT522" s="567"/>
      <c r="CU522" s="567"/>
      <c r="CV522" s="567"/>
      <c r="CW522" s="567"/>
      <c r="CX522" s="567"/>
      <c r="CY522" s="567"/>
      <c r="CZ522" s="567"/>
      <c r="DA522" s="567"/>
      <c r="DB522" s="567"/>
      <c r="DC522" s="567"/>
      <c r="DD522" s="567"/>
      <c r="DE522" s="567"/>
      <c r="DF522" s="567"/>
      <c r="DG522" s="567"/>
      <c r="DH522" s="567"/>
      <c r="DI522" s="567"/>
      <c r="DJ522" s="567"/>
      <c r="DK522" s="567"/>
      <c r="DL522" s="567"/>
      <c r="DM522" s="567"/>
      <c r="DN522" s="567"/>
      <c r="DO522" s="567"/>
      <c r="DP522" s="567"/>
      <c r="DQ522" s="567"/>
      <c r="DR522" s="567"/>
      <c r="DS522" s="567"/>
      <c r="DT522" s="567"/>
      <c r="DU522" s="567"/>
      <c r="DV522" s="567"/>
      <c r="DW522" s="567"/>
      <c r="DX522" s="567"/>
      <c r="DY522" s="567"/>
      <c r="DZ522" s="567"/>
      <c r="EA522" s="567"/>
      <c r="EB522" s="567"/>
      <c r="EC522" s="567"/>
      <c r="ED522" s="567"/>
      <c r="EE522" s="567"/>
      <c r="EF522" s="567"/>
      <c r="EG522" s="567"/>
      <c r="EH522" s="567"/>
      <c r="EI522" s="567"/>
      <c r="EJ522" s="567"/>
      <c r="EK522" s="567"/>
      <c r="EL522" s="567"/>
      <c r="EM522" s="567"/>
      <c r="EN522" s="567"/>
      <c r="EO522" s="567"/>
      <c r="EP522" s="567"/>
      <c r="EQ522" s="567"/>
      <c r="ER522" s="567"/>
      <c r="ES522" s="567"/>
      <c r="ET522" s="567"/>
      <c r="EU522" s="567"/>
      <c r="EV522" s="567"/>
      <c r="EW522" s="567"/>
      <c r="EX522" s="567"/>
      <c r="EY522" s="567"/>
      <c r="EZ522" s="567"/>
      <c r="FA522" s="567"/>
      <c r="FB522" s="567"/>
      <c r="FC522" s="567"/>
      <c r="FD522" s="567"/>
      <c r="FE522" s="567"/>
      <c r="FF522" s="567"/>
      <c r="FG522" s="567"/>
      <c r="FH522" s="567"/>
      <c r="FI522" s="567"/>
      <c r="FJ522" s="567"/>
      <c r="FK522" s="567"/>
      <c r="FL522" s="567"/>
      <c r="FM522" s="567"/>
      <c r="FN522" s="567"/>
      <c r="FO522" s="567"/>
      <c r="FP522" s="567"/>
      <c r="FQ522" s="567"/>
      <c r="FR522" s="567"/>
      <c r="FS522" s="567"/>
      <c r="FT522" s="567"/>
      <c r="FU522" s="567"/>
      <c r="FV522" s="567"/>
      <c r="FW522" s="567"/>
      <c r="FX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  <c r="BW523" s="567"/>
      <c r="BX523" s="567"/>
      <c r="BY523" s="567"/>
      <c r="BZ523" s="567"/>
      <c r="CA523" s="567"/>
      <c r="CB523" s="567"/>
      <c r="CC523" s="567"/>
      <c r="CD523" s="567"/>
      <c r="CE523" s="567"/>
      <c r="CF523" s="567"/>
      <c r="CG523" s="567"/>
      <c r="CH523" s="567"/>
      <c r="CI523" s="567"/>
      <c r="CJ523" s="567"/>
      <c r="CK523" s="567"/>
      <c r="CL523" s="567"/>
      <c r="CM523" s="567"/>
      <c r="CN523" s="567"/>
      <c r="CO523" s="567"/>
      <c r="CP523" s="567"/>
      <c r="CQ523" s="567"/>
      <c r="CR523" s="567"/>
      <c r="CS523" s="567"/>
      <c r="CT523" s="567"/>
      <c r="CU523" s="567"/>
      <c r="CV523" s="567"/>
      <c r="CW523" s="567"/>
      <c r="CX523" s="567"/>
      <c r="CY523" s="567"/>
      <c r="CZ523" s="567"/>
      <c r="DA523" s="567"/>
      <c r="DB523" s="567"/>
      <c r="DC523" s="567"/>
      <c r="DD523" s="567"/>
      <c r="DE523" s="567"/>
      <c r="DF523" s="567"/>
      <c r="DG523" s="567"/>
      <c r="DH523" s="567"/>
      <c r="DI523" s="567"/>
      <c r="DJ523" s="567"/>
      <c r="DK523" s="567"/>
      <c r="DL523" s="567"/>
      <c r="DM523" s="567"/>
      <c r="DN523" s="567"/>
      <c r="DO523" s="567"/>
      <c r="DP523" s="567"/>
      <c r="DQ523" s="567"/>
      <c r="DR523" s="567"/>
      <c r="DS523" s="567"/>
      <c r="DT523" s="567"/>
      <c r="DU523" s="567"/>
      <c r="DV523" s="567"/>
      <c r="DW523" s="567"/>
      <c r="DX523" s="567"/>
      <c r="DY523" s="567"/>
      <c r="DZ523" s="567"/>
      <c r="EA523" s="567"/>
      <c r="EB523" s="567"/>
      <c r="EC523" s="567"/>
      <c r="ED523" s="567"/>
      <c r="EE523" s="567"/>
      <c r="EF523" s="567"/>
      <c r="EG523" s="567"/>
      <c r="EH523" s="567"/>
      <c r="EI523" s="567"/>
      <c r="EJ523" s="567"/>
      <c r="EK523" s="567"/>
      <c r="EL523" s="567"/>
      <c r="EM523" s="567"/>
      <c r="EN523" s="567"/>
      <c r="EO523" s="567"/>
      <c r="EP523" s="567"/>
      <c r="EQ523" s="567"/>
      <c r="ER523" s="567"/>
      <c r="ES523" s="567"/>
      <c r="ET523" s="567"/>
      <c r="EU523" s="567"/>
      <c r="EV523" s="567"/>
      <c r="EW523" s="567"/>
      <c r="EX523" s="567"/>
      <c r="EY523" s="567"/>
      <c r="EZ523" s="567"/>
      <c r="FA523" s="567"/>
      <c r="FB523" s="567"/>
      <c r="FC523" s="567"/>
      <c r="FD523" s="567"/>
      <c r="FE523" s="567"/>
      <c r="FF523" s="567"/>
      <c r="FG523" s="567"/>
      <c r="FH523" s="567"/>
      <c r="FI523" s="567"/>
      <c r="FJ523" s="567"/>
      <c r="FK523" s="567"/>
      <c r="FL523" s="567"/>
      <c r="FM523" s="567"/>
      <c r="FN523" s="567"/>
      <c r="FO523" s="567"/>
      <c r="FP523" s="567"/>
      <c r="FQ523" s="567"/>
      <c r="FR523" s="567"/>
      <c r="FS523" s="567"/>
      <c r="FT523" s="567"/>
      <c r="FU523" s="567"/>
      <c r="FV523" s="567"/>
      <c r="FW523" s="567"/>
      <c r="FX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  <c r="BW524" s="567"/>
      <c r="BX524" s="567"/>
      <c r="BY524" s="567"/>
      <c r="BZ524" s="567"/>
      <c r="CA524" s="567"/>
      <c r="CB524" s="567"/>
      <c r="CC524" s="567"/>
      <c r="CD524" s="567"/>
      <c r="CE524" s="567"/>
      <c r="CF524" s="567"/>
      <c r="CG524" s="567"/>
      <c r="CH524" s="567"/>
      <c r="CI524" s="567"/>
      <c r="CJ524" s="567"/>
      <c r="CK524" s="567"/>
      <c r="CL524" s="567"/>
      <c r="CM524" s="567"/>
      <c r="CN524" s="567"/>
      <c r="CO524" s="567"/>
      <c r="CP524" s="567"/>
      <c r="CQ524" s="567"/>
      <c r="CR524" s="567"/>
      <c r="CS524" s="567"/>
      <c r="CT524" s="567"/>
      <c r="CU524" s="567"/>
      <c r="CV524" s="567"/>
      <c r="CW524" s="567"/>
      <c r="CX524" s="567"/>
      <c r="CY524" s="567"/>
      <c r="CZ524" s="567"/>
      <c r="DA524" s="567"/>
      <c r="DB524" s="567"/>
      <c r="DC524" s="567"/>
      <c r="DD524" s="567"/>
      <c r="DE524" s="567"/>
      <c r="DF524" s="567"/>
      <c r="DG524" s="567"/>
      <c r="DH524" s="567"/>
      <c r="DI524" s="567"/>
      <c r="DJ524" s="567"/>
      <c r="DK524" s="567"/>
      <c r="DL524" s="567"/>
      <c r="DM524" s="567"/>
      <c r="DN524" s="567"/>
      <c r="DO524" s="567"/>
      <c r="DP524" s="567"/>
      <c r="DQ524" s="567"/>
      <c r="DR524" s="567"/>
      <c r="DS524" s="567"/>
      <c r="DT524" s="567"/>
      <c r="DU524" s="567"/>
      <c r="DV524" s="567"/>
      <c r="DW524" s="567"/>
      <c r="DX524" s="567"/>
      <c r="DY524" s="567"/>
      <c r="DZ524" s="567"/>
      <c r="EA524" s="567"/>
      <c r="EB524" s="567"/>
      <c r="EC524" s="567"/>
      <c r="ED524" s="567"/>
      <c r="EE524" s="567"/>
      <c r="EF524" s="567"/>
      <c r="EG524" s="567"/>
      <c r="EH524" s="567"/>
      <c r="EI524" s="567"/>
      <c r="EJ524" s="567"/>
      <c r="EK524" s="567"/>
      <c r="EL524" s="567"/>
      <c r="EM524" s="567"/>
      <c r="EN524" s="567"/>
      <c r="EO524" s="567"/>
      <c r="EP524" s="567"/>
      <c r="EQ524" s="567"/>
      <c r="ER524" s="567"/>
      <c r="ES524" s="567"/>
      <c r="ET524" s="567"/>
      <c r="EU524" s="567"/>
      <c r="EV524" s="567"/>
      <c r="EW524" s="567"/>
      <c r="EX524" s="567"/>
      <c r="EY524" s="567"/>
      <c r="EZ524" s="567"/>
      <c r="FA524" s="567"/>
      <c r="FB524" s="567"/>
      <c r="FC524" s="567"/>
      <c r="FD524" s="567"/>
      <c r="FE524" s="567"/>
      <c r="FF524" s="567"/>
      <c r="FG524" s="567"/>
      <c r="FH524" s="567"/>
      <c r="FI524" s="567"/>
      <c r="FJ524" s="567"/>
      <c r="FK524" s="567"/>
      <c r="FL524" s="567"/>
      <c r="FM524" s="567"/>
      <c r="FN524" s="567"/>
      <c r="FO524" s="567"/>
      <c r="FP524" s="567"/>
      <c r="FQ524" s="567"/>
      <c r="FR524" s="567"/>
      <c r="FS524" s="567"/>
      <c r="FT524" s="567"/>
      <c r="FU524" s="567"/>
      <c r="FV524" s="567"/>
      <c r="FW524" s="567"/>
      <c r="FX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  <c r="BW525" s="567"/>
      <c r="BX525" s="567"/>
      <c r="BY525" s="567"/>
      <c r="BZ525" s="567"/>
      <c r="CA525" s="567"/>
      <c r="CB525" s="567"/>
      <c r="CC525" s="567"/>
      <c r="CD525" s="567"/>
      <c r="CE525" s="567"/>
      <c r="CF525" s="567"/>
      <c r="CG525" s="567"/>
      <c r="CH525" s="567"/>
      <c r="CI525" s="567"/>
      <c r="CJ525" s="567"/>
      <c r="CK525" s="567"/>
      <c r="CL525" s="567"/>
      <c r="CM525" s="567"/>
      <c r="CN525" s="567"/>
      <c r="CO525" s="567"/>
      <c r="CP525" s="567"/>
      <c r="CQ525" s="567"/>
      <c r="CR525" s="567"/>
      <c r="CS525" s="567"/>
      <c r="CT525" s="567"/>
      <c r="CU525" s="567"/>
      <c r="CV525" s="567"/>
      <c r="CW525" s="567"/>
      <c r="CX525" s="567"/>
      <c r="CY525" s="567"/>
      <c r="CZ525" s="567"/>
      <c r="DA525" s="567"/>
      <c r="DB525" s="567"/>
      <c r="DC525" s="567"/>
      <c r="DD525" s="567"/>
      <c r="DE525" s="567"/>
      <c r="DF525" s="567"/>
      <c r="DG525" s="567"/>
      <c r="DH525" s="567"/>
      <c r="DI525" s="567"/>
      <c r="DJ525" s="567"/>
      <c r="DK525" s="567"/>
      <c r="DL525" s="567"/>
      <c r="DM525" s="567"/>
      <c r="DN525" s="567"/>
      <c r="DO525" s="567"/>
      <c r="DP525" s="567"/>
      <c r="DQ525" s="567"/>
      <c r="DR525" s="567"/>
      <c r="DS525" s="567"/>
      <c r="DT525" s="567"/>
      <c r="DU525" s="567"/>
      <c r="DV525" s="567"/>
      <c r="DW525" s="567"/>
      <c r="DX525" s="567"/>
      <c r="DY525" s="567"/>
      <c r="DZ525" s="567"/>
      <c r="EA525" s="567"/>
      <c r="EB525" s="567"/>
      <c r="EC525" s="567"/>
      <c r="ED525" s="567"/>
      <c r="EE525" s="567"/>
      <c r="EF525" s="567"/>
      <c r="EG525" s="567"/>
      <c r="EH525" s="567"/>
      <c r="EI525" s="567"/>
      <c r="EJ525" s="567"/>
      <c r="EK525" s="567"/>
      <c r="EL525" s="567"/>
      <c r="EM525" s="567"/>
      <c r="EN525" s="567"/>
      <c r="EO525" s="567"/>
      <c r="EP525" s="567"/>
      <c r="EQ525" s="567"/>
      <c r="ER525" s="567"/>
      <c r="ES525" s="567"/>
      <c r="ET525" s="567"/>
      <c r="EU525" s="567"/>
      <c r="EV525" s="567"/>
      <c r="EW525" s="567"/>
      <c r="EX525" s="567"/>
      <c r="EY525" s="567"/>
      <c r="EZ525" s="567"/>
      <c r="FA525" s="567"/>
      <c r="FB525" s="567"/>
      <c r="FC525" s="567"/>
      <c r="FD525" s="567"/>
      <c r="FE525" s="567"/>
      <c r="FF525" s="567"/>
      <c r="FG525" s="567"/>
      <c r="FH525" s="567"/>
      <c r="FI525" s="567"/>
      <c r="FJ525" s="567"/>
      <c r="FK525" s="567"/>
      <c r="FL525" s="567"/>
      <c r="FM525" s="567"/>
      <c r="FN525" s="567"/>
      <c r="FO525" s="567"/>
      <c r="FP525" s="567"/>
      <c r="FQ525" s="567"/>
      <c r="FR525" s="567"/>
      <c r="FS525" s="567"/>
      <c r="FT525" s="567"/>
      <c r="FU525" s="567"/>
      <c r="FV525" s="567"/>
      <c r="FW525" s="567"/>
      <c r="FX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  <c r="BW526" s="567"/>
      <c r="BX526" s="567"/>
      <c r="BY526" s="567"/>
      <c r="BZ526" s="567"/>
      <c r="CA526" s="567"/>
      <c r="CB526" s="567"/>
      <c r="CC526" s="567"/>
      <c r="CD526" s="567"/>
      <c r="CE526" s="567"/>
      <c r="CF526" s="567"/>
      <c r="CG526" s="567"/>
      <c r="CH526" s="567"/>
      <c r="CI526" s="567"/>
      <c r="CJ526" s="567"/>
      <c r="CK526" s="567"/>
      <c r="CL526" s="567"/>
      <c r="CM526" s="567"/>
      <c r="CN526" s="567"/>
      <c r="CO526" s="567"/>
      <c r="CP526" s="567"/>
      <c r="CQ526" s="567"/>
      <c r="CR526" s="567"/>
      <c r="CS526" s="567"/>
      <c r="CT526" s="567"/>
      <c r="CU526" s="567"/>
      <c r="CV526" s="567"/>
      <c r="CW526" s="567"/>
      <c r="CX526" s="567"/>
      <c r="CY526" s="567"/>
      <c r="CZ526" s="567"/>
      <c r="DA526" s="567"/>
      <c r="DB526" s="567"/>
      <c r="DC526" s="567"/>
      <c r="DD526" s="567"/>
      <c r="DE526" s="567"/>
      <c r="DF526" s="567"/>
      <c r="DG526" s="567"/>
      <c r="DH526" s="567"/>
      <c r="DI526" s="567"/>
      <c r="DJ526" s="567"/>
      <c r="DK526" s="567"/>
      <c r="DL526" s="567"/>
      <c r="DM526" s="567"/>
      <c r="DN526" s="567"/>
      <c r="DO526" s="567"/>
      <c r="DP526" s="567"/>
      <c r="DQ526" s="567"/>
      <c r="DR526" s="567"/>
      <c r="DS526" s="567"/>
      <c r="DT526" s="567"/>
      <c r="DU526" s="567"/>
      <c r="DV526" s="567"/>
      <c r="DW526" s="567"/>
      <c r="DX526" s="567"/>
      <c r="DY526" s="567"/>
      <c r="DZ526" s="567"/>
      <c r="EA526" s="567"/>
      <c r="EB526" s="567"/>
      <c r="EC526" s="567"/>
      <c r="ED526" s="567"/>
      <c r="EE526" s="567"/>
      <c r="EF526" s="567"/>
      <c r="EG526" s="567"/>
      <c r="EH526" s="567"/>
      <c r="EI526" s="567"/>
      <c r="EJ526" s="567"/>
      <c r="EK526" s="567"/>
      <c r="EL526" s="567"/>
      <c r="EM526" s="567"/>
      <c r="EN526" s="567"/>
      <c r="EO526" s="567"/>
      <c r="EP526" s="567"/>
      <c r="EQ526" s="567"/>
      <c r="ER526" s="567"/>
      <c r="ES526" s="567"/>
      <c r="ET526" s="567"/>
      <c r="EU526" s="567"/>
      <c r="EV526" s="567"/>
      <c r="EW526" s="567"/>
      <c r="EX526" s="567"/>
      <c r="EY526" s="567"/>
      <c r="EZ526" s="567"/>
      <c r="FA526" s="567"/>
      <c r="FB526" s="567"/>
      <c r="FC526" s="567"/>
      <c r="FD526" s="567"/>
      <c r="FE526" s="567"/>
      <c r="FF526" s="567"/>
      <c r="FG526" s="567"/>
      <c r="FH526" s="567"/>
      <c r="FI526" s="567"/>
      <c r="FJ526" s="567"/>
      <c r="FK526" s="567"/>
      <c r="FL526" s="567"/>
      <c r="FM526" s="567"/>
      <c r="FN526" s="567"/>
      <c r="FO526" s="567"/>
      <c r="FP526" s="567"/>
      <c r="FQ526" s="567"/>
      <c r="FR526" s="567"/>
      <c r="FS526" s="567"/>
      <c r="FT526" s="567"/>
      <c r="FU526" s="567"/>
      <c r="FV526" s="567"/>
      <c r="FW526" s="567"/>
      <c r="FX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  <c r="BW527" s="567"/>
      <c r="BX527" s="567"/>
      <c r="BY527" s="567"/>
      <c r="BZ527" s="567"/>
      <c r="CA527" s="567"/>
      <c r="CB527" s="567"/>
      <c r="CC527" s="567"/>
      <c r="CD527" s="567"/>
      <c r="CE527" s="567"/>
      <c r="CF527" s="567"/>
      <c r="CG527" s="567"/>
      <c r="CH527" s="567"/>
      <c r="CI527" s="567"/>
      <c r="CJ527" s="567"/>
      <c r="CK527" s="567"/>
      <c r="CL527" s="567"/>
      <c r="CM527" s="567"/>
      <c r="CN527" s="567"/>
      <c r="CO527" s="567"/>
      <c r="CP527" s="567"/>
      <c r="CQ527" s="567"/>
      <c r="CR527" s="567"/>
      <c r="CS527" s="567"/>
      <c r="CT527" s="567"/>
      <c r="CU527" s="567"/>
      <c r="CV527" s="567"/>
      <c r="CW527" s="567"/>
      <c r="CX527" s="567"/>
      <c r="CY527" s="567"/>
      <c r="CZ527" s="567"/>
      <c r="DA527" s="567"/>
      <c r="DB527" s="567"/>
      <c r="DC527" s="567"/>
      <c r="DD527" s="567"/>
      <c r="DE527" s="567"/>
      <c r="DF527" s="567"/>
      <c r="DG527" s="567"/>
      <c r="DH527" s="567"/>
      <c r="DI527" s="567"/>
      <c r="DJ527" s="567"/>
      <c r="DK527" s="567"/>
      <c r="DL527" s="567"/>
      <c r="DM527" s="567"/>
      <c r="DN527" s="567"/>
      <c r="DO527" s="567"/>
      <c r="DP527" s="567"/>
      <c r="DQ527" s="567"/>
      <c r="DR527" s="567"/>
      <c r="DS527" s="567"/>
      <c r="DT527" s="567"/>
      <c r="DU527" s="567"/>
      <c r="DV527" s="567"/>
      <c r="DW527" s="567"/>
      <c r="DX527" s="567"/>
      <c r="DY527" s="567"/>
      <c r="DZ527" s="567"/>
      <c r="EA527" s="567"/>
      <c r="EB527" s="567"/>
      <c r="EC527" s="567"/>
      <c r="ED527" s="567"/>
      <c r="EE527" s="567"/>
      <c r="EF527" s="567"/>
      <c r="EG527" s="567"/>
      <c r="EH527" s="567"/>
      <c r="EI527" s="567"/>
      <c r="EJ527" s="567"/>
      <c r="EK527" s="567"/>
      <c r="EL527" s="567"/>
      <c r="EM527" s="567"/>
      <c r="EN527" s="567"/>
      <c r="EO527" s="567"/>
      <c r="EP527" s="567"/>
      <c r="EQ527" s="567"/>
      <c r="ER527" s="567"/>
      <c r="ES527" s="567"/>
      <c r="ET527" s="567"/>
      <c r="EU527" s="567"/>
      <c r="EV527" s="567"/>
      <c r="EW527" s="567"/>
      <c r="EX527" s="567"/>
      <c r="EY527" s="567"/>
      <c r="EZ527" s="567"/>
      <c r="FA527" s="567"/>
      <c r="FB527" s="567"/>
      <c r="FC527" s="567"/>
      <c r="FD527" s="567"/>
      <c r="FE527" s="567"/>
      <c r="FF527" s="567"/>
      <c r="FG527" s="567"/>
      <c r="FH527" s="567"/>
      <c r="FI527" s="567"/>
      <c r="FJ527" s="567"/>
      <c r="FK527" s="567"/>
      <c r="FL527" s="567"/>
      <c r="FM527" s="567"/>
      <c r="FN527" s="567"/>
      <c r="FO527" s="567"/>
      <c r="FP527" s="567"/>
      <c r="FQ527" s="567"/>
      <c r="FR527" s="567"/>
      <c r="FS527" s="567"/>
      <c r="FT527" s="567"/>
      <c r="FU527" s="567"/>
      <c r="FV527" s="567"/>
      <c r="FW527" s="567"/>
      <c r="FX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  <c r="BW528" s="567"/>
      <c r="BX528" s="567"/>
      <c r="BY528" s="567"/>
      <c r="BZ528" s="567"/>
      <c r="CA528" s="567"/>
      <c r="CB528" s="567"/>
      <c r="CC528" s="567"/>
      <c r="CD528" s="567"/>
      <c r="CE528" s="567"/>
      <c r="CF528" s="567"/>
      <c r="CG528" s="567"/>
      <c r="CH528" s="567"/>
      <c r="CI528" s="567"/>
      <c r="CJ528" s="567"/>
      <c r="CK528" s="567"/>
      <c r="CL528" s="567"/>
      <c r="CM528" s="567"/>
      <c r="CN528" s="567"/>
      <c r="CO528" s="567"/>
      <c r="CP528" s="567"/>
      <c r="CQ528" s="567"/>
      <c r="CR528" s="567"/>
      <c r="CS528" s="567"/>
      <c r="CT528" s="567"/>
      <c r="CU528" s="567"/>
      <c r="CV528" s="567"/>
      <c r="CW528" s="567"/>
      <c r="CX528" s="567"/>
      <c r="CY528" s="567"/>
      <c r="CZ528" s="567"/>
      <c r="DA528" s="567"/>
      <c r="DB528" s="567"/>
      <c r="DC528" s="567"/>
      <c r="DD528" s="567"/>
      <c r="DE528" s="567"/>
      <c r="DF528" s="567"/>
      <c r="DG528" s="567"/>
      <c r="DH528" s="567"/>
      <c r="DI528" s="567"/>
      <c r="DJ528" s="567"/>
      <c r="DK528" s="567"/>
      <c r="DL528" s="567"/>
      <c r="DM528" s="567"/>
      <c r="DN528" s="567"/>
      <c r="DO528" s="567"/>
      <c r="DP528" s="567"/>
      <c r="DQ528" s="567"/>
      <c r="DR528" s="567"/>
      <c r="DS528" s="567"/>
      <c r="DT528" s="567"/>
      <c r="DU528" s="567"/>
      <c r="DV528" s="567"/>
      <c r="DW528" s="567"/>
      <c r="DX528" s="567"/>
      <c r="DY528" s="567"/>
      <c r="DZ528" s="567"/>
      <c r="EA528" s="567"/>
      <c r="EB528" s="567"/>
      <c r="EC528" s="567"/>
      <c r="ED528" s="567"/>
      <c r="EE528" s="567"/>
      <c r="EF528" s="567"/>
      <c r="EG528" s="567"/>
      <c r="EH528" s="567"/>
      <c r="EI528" s="567"/>
      <c r="EJ528" s="567"/>
      <c r="EK528" s="567"/>
      <c r="EL528" s="567"/>
      <c r="EM528" s="567"/>
      <c r="EN528" s="567"/>
      <c r="EO528" s="567"/>
      <c r="EP528" s="567"/>
      <c r="EQ528" s="567"/>
      <c r="ER528" s="567"/>
      <c r="ES528" s="567"/>
      <c r="ET528" s="567"/>
      <c r="EU528" s="567"/>
      <c r="EV528" s="567"/>
      <c r="EW528" s="567"/>
      <c r="EX528" s="567"/>
      <c r="EY528" s="567"/>
      <c r="EZ528" s="567"/>
      <c r="FA528" s="567"/>
      <c r="FB528" s="567"/>
      <c r="FC528" s="567"/>
      <c r="FD528" s="567"/>
      <c r="FE528" s="567"/>
      <c r="FF528" s="567"/>
      <c r="FG528" s="567"/>
      <c r="FH528" s="567"/>
      <c r="FI528" s="567"/>
      <c r="FJ528" s="567"/>
      <c r="FK528" s="567"/>
      <c r="FL528" s="567"/>
      <c r="FM528" s="567"/>
      <c r="FN528" s="567"/>
      <c r="FO528" s="567"/>
      <c r="FP528" s="567"/>
      <c r="FQ528" s="567"/>
      <c r="FR528" s="567"/>
      <c r="FS528" s="567"/>
      <c r="FT528" s="567"/>
      <c r="FU528" s="567"/>
      <c r="FV528" s="567"/>
      <c r="FW528" s="567"/>
      <c r="FX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  <c r="BW529" s="567"/>
      <c r="BX529" s="567"/>
      <c r="BY529" s="567"/>
      <c r="BZ529" s="567"/>
      <c r="CA529" s="567"/>
      <c r="CB529" s="567"/>
      <c r="CC529" s="567"/>
      <c r="CD529" s="567"/>
      <c r="CE529" s="567"/>
      <c r="CF529" s="567"/>
      <c r="CG529" s="567"/>
      <c r="CH529" s="567"/>
      <c r="CI529" s="567"/>
      <c r="CJ529" s="567"/>
      <c r="CK529" s="567"/>
      <c r="CL529" s="567"/>
      <c r="CM529" s="567"/>
      <c r="CN529" s="567"/>
      <c r="CO529" s="567"/>
      <c r="CP529" s="567"/>
      <c r="CQ529" s="567"/>
      <c r="CR529" s="567"/>
      <c r="CS529" s="567"/>
      <c r="CT529" s="567"/>
      <c r="CU529" s="567"/>
      <c r="CV529" s="567"/>
      <c r="CW529" s="567"/>
      <c r="CX529" s="567"/>
      <c r="CY529" s="567"/>
      <c r="CZ529" s="567"/>
      <c r="DA529" s="567"/>
      <c r="DB529" s="567"/>
      <c r="DC529" s="567"/>
      <c r="DD529" s="567"/>
      <c r="DE529" s="567"/>
      <c r="DF529" s="567"/>
      <c r="DG529" s="567"/>
      <c r="DH529" s="567"/>
      <c r="DI529" s="567"/>
      <c r="DJ529" s="567"/>
      <c r="DK529" s="567"/>
      <c r="DL529" s="567"/>
      <c r="DM529" s="567"/>
      <c r="DN529" s="567"/>
      <c r="DO529" s="567"/>
      <c r="DP529" s="567"/>
      <c r="DQ529" s="567"/>
      <c r="DR529" s="567"/>
      <c r="DS529" s="567"/>
      <c r="DT529" s="567"/>
      <c r="DU529" s="567"/>
      <c r="DV529" s="567"/>
      <c r="DW529" s="567"/>
      <c r="DX529" s="567"/>
      <c r="DY529" s="567"/>
      <c r="DZ529" s="567"/>
      <c r="EA529" s="567"/>
      <c r="EB529" s="567"/>
      <c r="EC529" s="567"/>
      <c r="ED529" s="567"/>
      <c r="EE529" s="567"/>
      <c r="EF529" s="567"/>
      <c r="EG529" s="567"/>
      <c r="EH529" s="567"/>
      <c r="EI529" s="567"/>
      <c r="EJ529" s="567"/>
      <c r="EK529" s="567"/>
      <c r="EL529" s="567"/>
      <c r="EM529" s="567"/>
      <c r="EN529" s="567"/>
      <c r="EO529" s="567"/>
      <c r="EP529" s="567"/>
      <c r="EQ529" s="567"/>
      <c r="ER529" s="567"/>
      <c r="ES529" s="567"/>
      <c r="ET529" s="567"/>
      <c r="EU529" s="567"/>
      <c r="EV529" s="567"/>
      <c r="EW529" s="567"/>
      <c r="EX529" s="567"/>
      <c r="EY529" s="567"/>
      <c r="EZ529" s="567"/>
      <c r="FA529" s="567"/>
      <c r="FB529" s="567"/>
      <c r="FC529" s="567"/>
      <c r="FD529" s="567"/>
      <c r="FE529" s="567"/>
      <c r="FF529" s="567"/>
      <c r="FG529" s="567"/>
      <c r="FH529" s="567"/>
      <c r="FI529" s="567"/>
      <c r="FJ529" s="567"/>
      <c r="FK529" s="567"/>
      <c r="FL529" s="567"/>
      <c r="FM529" s="567"/>
      <c r="FN529" s="567"/>
      <c r="FO529" s="567"/>
      <c r="FP529" s="567"/>
      <c r="FQ529" s="567"/>
      <c r="FR529" s="567"/>
      <c r="FS529" s="567"/>
      <c r="FT529" s="567"/>
      <c r="FU529" s="567"/>
      <c r="FV529" s="567"/>
      <c r="FW529" s="567"/>
      <c r="FX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  <c r="BW530" s="567"/>
      <c r="BX530" s="567"/>
      <c r="BY530" s="567"/>
      <c r="BZ530" s="567"/>
      <c r="CA530" s="567"/>
      <c r="CB530" s="567"/>
      <c r="CC530" s="567"/>
      <c r="CD530" s="567"/>
      <c r="CE530" s="567"/>
      <c r="CF530" s="567"/>
      <c r="CG530" s="567"/>
      <c r="CH530" s="567"/>
      <c r="CI530" s="567"/>
      <c r="CJ530" s="567"/>
      <c r="CK530" s="567"/>
      <c r="CL530" s="567"/>
      <c r="CM530" s="567"/>
      <c r="CN530" s="567"/>
      <c r="CO530" s="567"/>
      <c r="CP530" s="567"/>
      <c r="CQ530" s="567"/>
      <c r="CR530" s="567"/>
      <c r="CS530" s="567"/>
      <c r="CT530" s="567"/>
      <c r="CU530" s="567"/>
      <c r="CV530" s="567"/>
      <c r="CW530" s="567"/>
      <c r="CX530" s="567"/>
      <c r="CY530" s="567"/>
      <c r="CZ530" s="567"/>
      <c r="DA530" s="567"/>
      <c r="DB530" s="567"/>
      <c r="DC530" s="567"/>
      <c r="DD530" s="567"/>
      <c r="DE530" s="567"/>
      <c r="DF530" s="567"/>
      <c r="DG530" s="567"/>
      <c r="DH530" s="567"/>
      <c r="DI530" s="567"/>
      <c r="DJ530" s="567"/>
      <c r="DK530" s="567"/>
      <c r="DL530" s="567"/>
      <c r="DM530" s="567"/>
      <c r="DN530" s="567"/>
      <c r="DO530" s="567"/>
      <c r="DP530" s="567"/>
      <c r="DQ530" s="567"/>
      <c r="DR530" s="567"/>
      <c r="DS530" s="567"/>
      <c r="DT530" s="567"/>
      <c r="DU530" s="567"/>
      <c r="DV530" s="567"/>
      <c r="DW530" s="567"/>
      <c r="DX530" s="567"/>
      <c r="DY530" s="567"/>
      <c r="DZ530" s="567"/>
      <c r="EA530" s="567"/>
      <c r="EB530" s="567"/>
      <c r="EC530" s="567"/>
      <c r="ED530" s="567"/>
      <c r="EE530" s="567"/>
      <c r="EF530" s="567"/>
      <c r="EG530" s="567"/>
      <c r="EH530" s="567"/>
      <c r="EI530" s="567"/>
      <c r="EJ530" s="567"/>
      <c r="EK530" s="567"/>
      <c r="EL530" s="567"/>
      <c r="EM530" s="567"/>
      <c r="EN530" s="567"/>
      <c r="EO530" s="567"/>
      <c r="EP530" s="567"/>
      <c r="EQ530" s="567"/>
      <c r="ER530" s="567"/>
      <c r="ES530" s="567"/>
      <c r="ET530" s="567"/>
      <c r="EU530" s="567"/>
      <c r="EV530" s="567"/>
      <c r="EW530" s="567"/>
      <c r="EX530" s="567"/>
      <c r="EY530" s="567"/>
      <c r="EZ530" s="567"/>
      <c r="FA530" s="567"/>
      <c r="FB530" s="567"/>
      <c r="FC530" s="567"/>
      <c r="FD530" s="567"/>
      <c r="FE530" s="567"/>
      <c r="FF530" s="567"/>
      <c r="FG530" s="567"/>
      <c r="FH530" s="567"/>
      <c r="FI530" s="567"/>
      <c r="FJ530" s="567"/>
      <c r="FK530" s="567"/>
      <c r="FL530" s="567"/>
      <c r="FM530" s="567"/>
      <c r="FN530" s="567"/>
      <c r="FO530" s="567"/>
      <c r="FP530" s="567"/>
      <c r="FQ530" s="567"/>
      <c r="FR530" s="567"/>
      <c r="FS530" s="567"/>
      <c r="FT530" s="567"/>
      <c r="FU530" s="567"/>
      <c r="FV530" s="567"/>
      <c r="FW530" s="567"/>
      <c r="FX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  <c r="BW531" s="567"/>
      <c r="BX531" s="567"/>
      <c r="BY531" s="567"/>
      <c r="BZ531" s="567"/>
      <c r="CA531" s="567"/>
      <c r="CB531" s="567"/>
      <c r="CC531" s="567"/>
      <c r="CD531" s="567"/>
      <c r="CE531" s="567"/>
      <c r="CF531" s="567"/>
      <c r="CG531" s="567"/>
      <c r="CH531" s="567"/>
      <c r="CI531" s="567"/>
      <c r="CJ531" s="567"/>
      <c r="CK531" s="567"/>
      <c r="CL531" s="567"/>
      <c r="CM531" s="567"/>
      <c r="CN531" s="567"/>
      <c r="CO531" s="567"/>
      <c r="CP531" s="567"/>
      <c r="CQ531" s="567"/>
      <c r="CR531" s="567"/>
      <c r="CS531" s="567"/>
      <c r="CT531" s="567"/>
      <c r="CU531" s="567"/>
      <c r="CV531" s="567"/>
      <c r="CW531" s="567"/>
      <c r="CX531" s="567"/>
      <c r="CY531" s="567"/>
      <c r="CZ531" s="567"/>
      <c r="DA531" s="567"/>
      <c r="DB531" s="567"/>
      <c r="DC531" s="567"/>
      <c r="DD531" s="567"/>
      <c r="DE531" s="567"/>
      <c r="DF531" s="567"/>
      <c r="DG531" s="567"/>
      <c r="DH531" s="567"/>
      <c r="DI531" s="567"/>
      <c r="DJ531" s="567"/>
      <c r="DK531" s="567"/>
      <c r="DL531" s="567"/>
      <c r="DM531" s="567"/>
      <c r="DN531" s="567"/>
      <c r="DO531" s="567"/>
      <c r="DP531" s="567"/>
      <c r="DQ531" s="567"/>
      <c r="DR531" s="567"/>
      <c r="DS531" s="567"/>
      <c r="DT531" s="567"/>
      <c r="DU531" s="567"/>
      <c r="DV531" s="567"/>
      <c r="DW531" s="567"/>
      <c r="DX531" s="567"/>
      <c r="DY531" s="567"/>
      <c r="DZ531" s="567"/>
      <c r="EA531" s="567"/>
      <c r="EB531" s="567"/>
      <c r="EC531" s="567"/>
      <c r="ED531" s="567"/>
      <c r="EE531" s="567"/>
      <c r="EF531" s="567"/>
      <c r="EG531" s="567"/>
      <c r="EH531" s="567"/>
      <c r="EI531" s="567"/>
      <c r="EJ531" s="567"/>
      <c r="EK531" s="567"/>
      <c r="EL531" s="567"/>
      <c r="EM531" s="567"/>
      <c r="EN531" s="567"/>
      <c r="EO531" s="567"/>
      <c r="EP531" s="567"/>
      <c r="EQ531" s="567"/>
      <c r="ER531" s="567"/>
      <c r="ES531" s="567"/>
      <c r="ET531" s="567"/>
      <c r="EU531" s="567"/>
      <c r="EV531" s="567"/>
      <c r="EW531" s="567"/>
      <c r="EX531" s="567"/>
      <c r="EY531" s="567"/>
      <c r="EZ531" s="567"/>
      <c r="FA531" s="567"/>
      <c r="FB531" s="567"/>
      <c r="FC531" s="567"/>
      <c r="FD531" s="567"/>
      <c r="FE531" s="567"/>
      <c r="FF531" s="567"/>
      <c r="FG531" s="567"/>
      <c r="FH531" s="567"/>
      <c r="FI531" s="567"/>
      <c r="FJ531" s="567"/>
      <c r="FK531" s="567"/>
      <c r="FL531" s="567"/>
      <c r="FM531" s="567"/>
      <c r="FN531" s="567"/>
      <c r="FO531" s="567"/>
      <c r="FP531" s="567"/>
      <c r="FQ531" s="567"/>
      <c r="FR531" s="567"/>
      <c r="FS531" s="567"/>
      <c r="FT531" s="567"/>
      <c r="FU531" s="567"/>
      <c r="FV531" s="567"/>
      <c r="FW531" s="567"/>
      <c r="FX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  <c r="BW532" s="567"/>
      <c r="BX532" s="567"/>
      <c r="BY532" s="567"/>
      <c r="BZ532" s="567"/>
      <c r="CA532" s="567"/>
      <c r="CB532" s="567"/>
      <c r="CC532" s="567"/>
      <c r="CD532" s="567"/>
      <c r="CE532" s="567"/>
      <c r="CF532" s="567"/>
      <c r="CG532" s="567"/>
      <c r="CH532" s="567"/>
      <c r="CI532" s="567"/>
      <c r="CJ532" s="567"/>
      <c r="CK532" s="567"/>
      <c r="CL532" s="567"/>
      <c r="CM532" s="567"/>
      <c r="CN532" s="567"/>
      <c r="CO532" s="567"/>
      <c r="CP532" s="567"/>
      <c r="CQ532" s="567"/>
      <c r="CR532" s="567"/>
      <c r="CS532" s="567"/>
      <c r="CT532" s="567"/>
      <c r="CU532" s="567"/>
      <c r="CV532" s="567"/>
      <c r="CW532" s="567"/>
      <c r="CX532" s="567"/>
      <c r="CY532" s="567"/>
      <c r="CZ532" s="567"/>
      <c r="DA532" s="567"/>
      <c r="DB532" s="567"/>
      <c r="DC532" s="567"/>
      <c r="DD532" s="567"/>
      <c r="DE532" s="567"/>
      <c r="DF532" s="567"/>
      <c r="DG532" s="567"/>
      <c r="DH532" s="567"/>
      <c r="DI532" s="567"/>
      <c r="DJ532" s="567"/>
      <c r="DK532" s="567"/>
      <c r="DL532" s="567"/>
      <c r="DM532" s="567"/>
      <c r="DN532" s="567"/>
      <c r="DO532" s="567"/>
      <c r="DP532" s="567"/>
      <c r="DQ532" s="567"/>
      <c r="DR532" s="567"/>
      <c r="DS532" s="567"/>
      <c r="DT532" s="567"/>
      <c r="DU532" s="567"/>
      <c r="DV532" s="567"/>
      <c r="DW532" s="567"/>
      <c r="DX532" s="567"/>
      <c r="DY532" s="567"/>
      <c r="DZ532" s="567"/>
      <c r="EA532" s="567"/>
      <c r="EB532" s="567"/>
      <c r="EC532" s="567"/>
      <c r="ED532" s="567"/>
      <c r="EE532" s="567"/>
      <c r="EF532" s="567"/>
      <c r="EG532" s="567"/>
      <c r="EH532" s="567"/>
      <c r="EI532" s="567"/>
      <c r="EJ532" s="567"/>
      <c r="EK532" s="567"/>
      <c r="EL532" s="567"/>
      <c r="EM532" s="567"/>
      <c r="EN532" s="567"/>
      <c r="EO532" s="567"/>
      <c r="EP532" s="567"/>
      <c r="EQ532" s="567"/>
      <c r="ER532" s="567"/>
      <c r="ES532" s="567"/>
      <c r="ET532" s="567"/>
      <c r="EU532" s="567"/>
      <c r="EV532" s="567"/>
      <c r="EW532" s="567"/>
      <c r="EX532" s="567"/>
      <c r="EY532" s="567"/>
      <c r="EZ532" s="567"/>
      <c r="FA532" s="567"/>
      <c r="FB532" s="567"/>
      <c r="FC532" s="567"/>
      <c r="FD532" s="567"/>
      <c r="FE532" s="567"/>
      <c r="FF532" s="567"/>
      <c r="FG532" s="567"/>
      <c r="FH532" s="567"/>
      <c r="FI532" s="567"/>
      <c r="FJ532" s="567"/>
      <c r="FK532" s="567"/>
      <c r="FL532" s="567"/>
      <c r="FM532" s="567"/>
      <c r="FN532" s="567"/>
      <c r="FO532" s="567"/>
      <c r="FP532" s="567"/>
      <c r="FQ532" s="567"/>
      <c r="FR532" s="567"/>
      <c r="FS532" s="567"/>
      <c r="FT532" s="567"/>
      <c r="FU532" s="567"/>
      <c r="FV532" s="567"/>
      <c r="FW532" s="567"/>
      <c r="FX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  <c r="BW533" s="567"/>
      <c r="BX533" s="567"/>
      <c r="BY533" s="567"/>
      <c r="BZ533" s="567"/>
      <c r="CA533" s="567"/>
      <c r="CB533" s="567"/>
      <c r="CC533" s="567"/>
      <c r="CD533" s="567"/>
      <c r="CE533" s="567"/>
      <c r="CF533" s="567"/>
      <c r="CG533" s="567"/>
      <c r="CH533" s="567"/>
      <c r="CI533" s="567"/>
      <c r="CJ533" s="567"/>
      <c r="CK533" s="567"/>
      <c r="CL533" s="567"/>
      <c r="CM533" s="567"/>
      <c r="CN533" s="567"/>
      <c r="CO533" s="567"/>
      <c r="CP533" s="567"/>
      <c r="CQ533" s="567"/>
      <c r="CR533" s="567"/>
      <c r="CS533" s="567"/>
      <c r="CT533" s="567"/>
      <c r="CU533" s="567"/>
      <c r="CV533" s="567"/>
      <c r="CW533" s="567"/>
      <c r="CX533" s="567"/>
      <c r="CY533" s="567"/>
      <c r="CZ533" s="567"/>
      <c r="DA533" s="567"/>
      <c r="DB533" s="567"/>
      <c r="DC533" s="567"/>
      <c r="DD533" s="567"/>
      <c r="DE533" s="567"/>
      <c r="DF533" s="567"/>
      <c r="DG533" s="567"/>
      <c r="DH533" s="567"/>
      <c r="DI533" s="567"/>
      <c r="DJ533" s="567"/>
      <c r="DK533" s="567"/>
      <c r="DL533" s="567"/>
      <c r="DM533" s="567"/>
      <c r="DN533" s="567"/>
      <c r="DO533" s="567"/>
      <c r="DP533" s="567"/>
      <c r="DQ533" s="567"/>
      <c r="DR533" s="567"/>
      <c r="DS533" s="567"/>
      <c r="DT533" s="567"/>
      <c r="DU533" s="567"/>
      <c r="DV533" s="567"/>
      <c r="DW533" s="567"/>
      <c r="DX533" s="567"/>
      <c r="DY533" s="567"/>
      <c r="DZ533" s="567"/>
      <c r="EA533" s="567"/>
      <c r="EB533" s="567"/>
      <c r="EC533" s="567"/>
      <c r="ED533" s="567"/>
      <c r="EE533" s="567"/>
      <c r="EF533" s="567"/>
      <c r="EG533" s="567"/>
      <c r="EH533" s="567"/>
      <c r="EI533" s="567"/>
      <c r="EJ533" s="567"/>
      <c r="EK533" s="567"/>
      <c r="EL533" s="567"/>
      <c r="EM533" s="567"/>
      <c r="EN533" s="567"/>
      <c r="EO533" s="567"/>
      <c r="EP533" s="567"/>
      <c r="EQ533" s="567"/>
      <c r="ER533" s="567"/>
      <c r="ES533" s="567"/>
      <c r="ET533" s="567"/>
      <c r="EU533" s="567"/>
      <c r="EV533" s="567"/>
      <c r="EW533" s="567"/>
      <c r="EX533" s="567"/>
      <c r="EY533" s="567"/>
      <c r="EZ533" s="567"/>
      <c r="FA533" s="567"/>
      <c r="FB533" s="567"/>
      <c r="FC533" s="567"/>
      <c r="FD533" s="567"/>
      <c r="FE533" s="567"/>
      <c r="FF533" s="567"/>
      <c r="FG533" s="567"/>
      <c r="FH533" s="567"/>
      <c r="FI533" s="567"/>
      <c r="FJ533" s="567"/>
      <c r="FK533" s="567"/>
      <c r="FL533" s="567"/>
      <c r="FM533" s="567"/>
      <c r="FN533" s="567"/>
      <c r="FO533" s="567"/>
      <c r="FP533" s="567"/>
      <c r="FQ533" s="567"/>
      <c r="FR533" s="567"/>
      <c r="FS533" s="567"/>
      <c r="FT533" s="567"/>
      <c r="FU533" s="567"/>
      <c r="FV533" s="567"/>
      <c r="FW533" s="567"/>
      <c r="FX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  <c r="BW534" s="567"/>
      <c r="BX534" s="567"/>
      <c r="BY534" s="567"/>
      <c r="BZ534" s="567"/>
      <c r="CA534" s="567"/>
      <c r="CB534" s="567"/>
      <c r="CC534" s="567"/>
      <c r="CD534" s="567"/>
      <c r="CE534" s="567"/>
      <c r="CF534" s="567"/>
      <c r="CG534" s="567"/>
      <c r="CH534" s="567"/>
      <c r="CI534" s="567"/>
      <c r="CJ534" s="567"/>
      <c r="CK534" s="567"/>
      <c r="CL534" s="567"/>
      <c r="CM534" s="567"/>
      <c r="CN534" s="567"/>
      <c r="CO534" s="567"/>
      <c r="CP534" s="567"/>
      <c r="CQ534" s="567"/>
      <c r="CR534" s="567"/>
      <c r="CS534" s="567"/>
      <c r="CT534" s="567"/>
      <c r="CU534" s="567"/>
      <c r="CV534" s="567"/>
      <c r="CW534" s="567"/>
      <c r="CX534" s="567"/>
      <c r="CY534" s="567"/>
      <c r="CZ534" s="567"/>
      <c r="DA534" s="567"/>
      <c r="DB534" s="567"/>
      <c r="DC534" s="567"/>
      <c r="DD534" s="567"/>
      <c r="DE534" s="567"/>
      <c r="DF534" s="567"/>
      <c r="DG534" s="567"/>
      <c r="DH534" s="567"/>
      <c r="DI534" s="567"/>
      <c r="DJ534" s="567"/>
      <c r="DK534" s="567"/>
      <c r="DL534" s="567"/>
      <c r="DM534" s="567"/>
      <c r="DN534" s="567"/>
      <c r="DO534" s="567"/>
      <c r="DP534" s="567"/>
      <c r="DQ534" s="567"/>
      <c r="DR534" s="567"/>
      <c r="DS534" s="567"/>
      <c r="DT534" s="567"/>
      <c r="DU534" s="567"/>
      <c r="DV534" s="567"/>
      <c r="DW534" s="567"/>
      <c r="DX534" s="567"/>
      <c r="DY534" s="567"/>
      <c r="DZ534" s="567"/>
      <c r="EA534" s="567"/>
      <c r="EB534" s="567"/>
      <c r="EC534" s="567"/>
      <c r="ED534" s="567"/>
      <c r="EE534" s="567"/>
      <c r="EF534" s="567"/>
      <c r="EG534" s="567"/>
      <c r="EH534" s="567"/>
      <c r="EI534" s="567"/>
      <c r="EJ534" s="567"/>
      <c r="EK534" s="567"/>
      <c r="EL534" s="567"/>
      <c r="EM534" s="567"/>
      <c r="EN534" s="567"/>
      <c r="EO534" s="567"/>
      <c r="EP534" s="567"/>
      <c r="EQ534" s="567"/>
      <c r="ER534" s="567"/>
      <c r="ES534" s="567"/>
      <c r="ET534" s="567"/>
      <c r="EU534" s="567"/>
      <c r="EV534" s="567"/>
      <c r="EW534" s="567"/>
      <c r="EX534" s="567"/>
      <c r="EY534" s="567"/>
      <c r="EZ534" s="567"/>
      <c r="FA534" s="567"/>
      <c r="FB534" s="567"/>
      <c r="FC534" s="567"/>
      <c r="FD534" s="567"/>
      <c r="FE534" s="567"/>
      <c r="FF534" s="567"/>
      <c r="FG534" s="567"/>
      <c r="FH534" s="567"/>
      <c r="FI534" s="567"/>
      <c r="FJ534" s="567"/>
      <c r="FK534" s="567"/>
      <c r="FL534" s="567"/>
      <c r="FM534" s="567"/>
      <c r="FN534" s="567"/>
      <c r="FO534" s="567"/>
      <c r="FP534" s="567"/>
      <c r="FQ534" s="567"/>
      <c r="FR534" s="567"/>
      <c r="FS534" s="567"/>
      <c r="FT534" s="567"/>
      <c r="FU534" s="567"/>
      <c r="FV534" s="567"/>
      <c r="FW534" s="567"/>
      <c r="FX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  <c r="BW535" s="567"/>
      <c r="BX535" s="567"/>
      <c r="BY535" s="567"/>
      <c r="BZ535" s="567"/>
      <c r="CA535" s="567"/>
      <c r="CB535" s="567"/>
      <c r="CC535" s="567"/>
      <c r="CD535" s="567"/>
      <c r="CE535" s="567"/>
      <c r="CF535" s="567"/>
      <c r="CG535" s="567"/>
      <c r="CH535" s="567"/>
      <c r="CI535" s="567"/>
      <c r="CJ535" s="567"/>
      <c r="CK535" s="567"/>
      <c r="CL535" s="567"/>
      <c r="CM535" s="567"/>
      <c r="CN535" s="567"/>
      <c r="CO535" s="567"/>
      <c r="CP535" s="567"/>
      <c r="CQ535" s="567"/>
      <c r="CR535" s="567"/>
      <c r="CS535" s="567"/>
      <c r="CT535" s="567"/>
      <c r="CU535" s="567"/>
      <c r="CV535" s="567"/>
      <c r="CW535" s="567"/>
      <c r="CX535" s="567"/>
      <c r="CY535" s="567"/>
      <c r="CZ535" s="567"/>
      <c r="DA535" s="567"/>
      <c r="DB535" s="567"/>
      <c r="DC535" s="567"/>
      <c r="DD535" s="567"/>
      <c r="DE535" s="567"/>
      <c r="DF535" s="567"/>
      <c r="DG535" s="567"/>
      <c r="DH535" s="567"/>
      <c r="DI535" s="567"/>
      <c r="DJ535" s="567"/>
      <c r="DK535" s="567"/>
      <c r="DL535" s="567"/>
      <c r="DM535" s="567"/>
      <c r="DN535" s="567"/>
      <c r="DO535" s="567"/>
      <c r="DP535" s="567"/>
      <c r="DQ535" s="567"/>
      <c r="DR535" s="567"/>
      <c r="DS535" s="567"/>
      <c r="DT535" s="567"/>
      <c r="DU535" s="567"/>
      <c r="DV535" s="567"/>
      <c r="DW535" s="567"/>
      <c r="DX535" s="567"/>
      <c r="DY535" s="567"/>
      <c r="DZ535" s="567"/>
      <c r="EA535" s="567"/>
      <c r="EB535" s="567"/>
      <c r="EC535" s="567"/>
      <c r="ED535" s="567"/>
      <c r="EE535" s="567"/>
      <c r="EF535" s="567"/>
      <c r="EG535" s="567"/>
      <c r="EH535" s="567"/>
      <c r="EI535" s="567"/>
      <c r="EJ535" s="567"/>
      <c r="EK535" s="567"/>
      <c r="EL535" s="567"/>
      <c r="EM535" s="567"/>
      <c r="EN535" s="567"/>
      <c r="EO535" s="567"/>
      <c r="EP535" s="567"/>
      <c r="EQ535" s="567"/>
      <c r="ER535" s="567"/>
      <c r="ES535" s="567"/>
      <c r="ET535" s="567"/>
      <c r="EU535" s="567"/>
      <c r="EV535" s="567"/>
      <c r="EW535" s="567"/>
      <c r="EX535" s="567"/>
      <c r="EY535" s="567"/>
      <c r="EZ535" s="567"/>
      <c r="FA535" s="567"/>
      <c r="FB535" s="567"/>
      <c r="FC535" s="567"/>
      <c r="FD535" s="567"/>
      <c r="FE535" s="567"/>
      <c r="FF535" s="567"/>
      <c r="FG535" s="567"/>
      <c r="FH535" s="567"/>
      <c r="FI535" s="567"/>
      <c r="FJ535" s="567"/>
      <c r="FK535" s="567"/>
      <c r="FL535" s="567"/>
      <c r="FM535" s="567"/>
      <c r="FN535" s="567"/>
      <c r="FO535" s="567"/>
      <c r="FP535" s="567"/>
      <c r="FQ535" s="567"/>
      <c r="FR535" s="567"/>
      <c r="FS535" s="567"/>
      <c r="FT535" s="567"/>
      <c r="FU535" s="567"/>
      <c r="FV535" s="567"/>
      <c r="FW535" s="567"/>
      <c r="FX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  <c r="BW536" s="567"/>
      <c r="BX536" s="567"/>
      <c r="BY536" s="567"/>
      <c r="BZ536" s="567"/>
      <c r="CA536" s="567"/>
      <c r="CB536" s="567"/>
      <c r="CC536" s="567"/>
      <c r="CD536" s="567"/>
      <c r="CE536" s="567"/>
      <c r="CF536" s="567"/>
      <c r="CG536" s="567"/>
      <c r="CH536" s="567"/>
      <c r="CI536" s="567"/>
      <c r="CJ536" s="567"/>
      <c r="CK536" s="567"/>
      <c r="CL536" s="567"/>
      <c r="CM536" s="567"/>
      <c r="CN536" s="567"/>
      <c r="CO536" s="567"/>
      <c r="CP536" s="567"/>
      <c r="CQ536" s="567"/>
      <c r="CR536" s="567"/>
      <c r="CS536" s="567"/>
      <c r="CT536" s="567"/>
      <c r="CU536" s="567"/>
      <c r="CV536" s="567"/>
      <c r="CW536" s="567"/>
      <c r="CX536" s="567"/>
      <c r="CY536" s="567"/>
      <c r="CZ536" s="567"/>
      <c r="DA536" s="567"/>
      <c r="DB536" s="567"/>
      <c r="DC536" s="567"/>
      <c r="DD536" s="567"/>
      <c r="DE536" s="567"/>
      <c r="DF536" s="567"/>
      <c r="DG536" s="567"/>
      <c r="DH536" s="567"/>
      <c r="DI536" s="567"/>
      <c r="DJ536" s="567"/>
      <c r="DK536" s="567"/>
      <c r="DL536" s="567"/>
      <c r="DM536" s="567"/>
      <c r="DN536" s="567"/>
      <c r="DO536" s="567"/>
      <c r="DP536" s="567"/>
      <c r="DQ536" s="567"/>
      <c r="DR536" s="567"/>
      <c r="DS536" s="567"/>
      <c r="DT536" s="567"/>
      <c r="DU536" s="567"/>
      <c r="DV536" s="567"/>
      <c r="DW536" s="567"/>
      <c r="DX536" s="567"/>
      <c r="DY536" s="567"/>
      <c r="DZ536" s="567"/>
      <c r="EA536" s="567"/>
      <c r="EB536" s="567"/>
      <c r="EC536" s="567"/>
      <c r="ED536" s="567"/>
      <c r="EE536" s="567"/>
      <c r="EF536" s="567"/>
      <c r="EG536" s="567"/>
      <c r="EH536" s="567"/>
      <c r="EI536" s="567"/>
      <c r="EJ536" s="567"/>
      <c r="EK536" s="567"/>
      <c r="EL536" s="567"/>
      <c r="EM536" s="567"/>
      <c r="EN536" s="567"/>
      <c r="EO536" s="567"/>
      <c r="EP536" s="567"/>
      <c r="EQ536" s="567"/>
      <c r="ER536" s="567"/>
      <c r="ES536" s="567"/>
      <c r="ET536" s="567"/>
      <c r="EU536" s="567"/>
      <c r="EV536" s="567"/>
      <c r="EW536" s="567"/>
      <c r="EX536" s="567"/>
      <c r="EY536" s="567"/>
      <c r="EZ536" s="567"/>
      <c r="FA536" s="567"/>
      <c r="FB536" s="567"/>
      <c r="FC536" s="567"/>
      <c r="FD536" s="567"/>
      <c r="FE536" s="567"/>
      <c r="FF536" s="567"/>
      <c r="FG536" s="567"/>
      <c r="FH536" s="567"/>
      <c r="FI536" s="567"/>
      <c r="FJ536" s="567"/>
      <c r="FK536" s="567"/>
      <c r="FL536" s="567"/>
      <c r="FM536" s="567"/>
      <c r="FN536" s="567"/>
      <c r="FO536" s="567"/>
      <c r="FP536" s="567"/>
      <c r="FQ536" s="567"/>
      <c r="FR536" s="567"/>
      <c r="FS536" s="567"/>
      <c r="FT536" s="567"/>
      <c r="FU536" s="567"/>
      <c r="FV536" s="567"/>
      <c r="FW536" s="567"/>
      <c r="FX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  <c r="BW537" s="567"/>
      <c r="BX537" s="567"/>
      <c r="BY537" s="567"/>
      <c r="BZ537" s="567"/>
      <c r="CA537" s="567"/>
      <c r="CB537" s="567"/>
      <c r="CC537" s="567"/>
      <c r="CD537" s="567"/>
      <c r="CE537" s="567"/>
      <c r="CF537" s="567"/>
      <c r="CG537" s="567"/>
      <c r="CH537" s="567"/>
      <c r="CI537" s="567"/>
      <c r="CJ537" s="567"/>
      <c r="CK537" s="567"/>
      <c r="CL537" s="567"/>
      <c r="CM537" s="567"/>
      <c r="CN537" s="567"/>
      <c r="CO537" s="567"/>
      <c r="CP537" s="567"/>
      <c r="CQ537" s="567"/>
      <c r="CR537" s="567"/>
      <c r="CS537" s="567"/>
      <c r="CT537" s="567"/>
      <c r="CU537" s="567"/>
      <c r="CV537" s="567"/>
      <c r="CW537" s="567"/>
      <c r="CX537" s="567"/>
      <c r="CY537" s="567"/>
      <c r="CZ537" s="567"/>
      <c r="DA537" s="567"/>
      <c r="DB537" s="567"/>
      <c r="DC537" s="567"/>
      <c r="DD537" s="567"/>
      <c r="DE537" s="567"/>
      <c r="DF537" s="567"/>
      <c r="DG537" s="567"/>
      <c r="DH537" s="567"/>
      <c r="DI537" s="567"/>
      <c r="DJ537" s="567"/>
      <c r="DK537" s="567"/>
      <c r="DL537" s="567"/>
      <c r="DM537" s="567"/>
      <c r="DN537" s="567"/>
      <c r="DO537" s="567"/>
      <c r="DP537" s="567"/>
      <c r="DQ537" s="567"/>
      <c r="DR537" s="567"/>
      <c r="DS537" s="567"/>
      <c r="DT537" s="567"/>
      <c r="DU537" s="567"/>
      <c r="DV537" s="567"/>
      <c r="DW537" s="567"/>
      <c r="DX537" s="567"/>
      <c r="DY537" s="567"/>
      <c r="DZ537" s="567"/>
      <c r="EA537" s="567"/>
      <c r="EB537" s="567"/>
      <c r="EC537" s="567"/>
      <c r="ED537" s="567"/>
      <c r="EE537" s="567"/>
      <c r="EF537" s="567"/>
      <c r="EG537" s="567"/>
      <c r="EH537" s="567"/>
      <c r="EI537" s="567"/>
      <c r="EJ537" s="567"/>
      <c r="EK537" s="567"/>
      <c r="EL537" s="567"/>
      <c r="EM537" s="567"/>
      <c r="EN537" s="567"/>
      <c r="EO537" s="567"/>
      <c r="EP537" s="567"/>
      <c r="EQ537" s="567"/>
      <c r="ER537" s="567"/>
      <c r="ES537" s="567"/>
      <c r="ET537" s="567"/>
      <c r="EU537" s="567"/>
      <c r="EV537" s="567"/>
      <c r="EW537" s="567"/>
      <c r="EX537" s="567"/>
      <c r="EY537" s="567"/>
      <c r="EZ537" s="567"/>
      <c r="FA537" s="567"/>
      <c r="FB537" s="567"/>
      <c r="FC537" s="567"/>
      <c r="FD537" s="567"/>
      <c r="FE537" s="567"/>
      <c r="FF537" s="567"/>
      <c r="FG537" s="567"/>
      <c r="FH537" s="567"/>
      <c r="FI537" s="567"/>
      <c r="FJ537" s="567"/>
      <c r="FK537" s="567"/>
      <c r="FL537" s="567"/>
      <c r="FM537" s="567"/>
      <c r="FN537" s="567"/>
      <c r="FO537" s="567"/>
      <c r="FP537" s="567"/>
      <c r="FQ537" s="567"/>
      <c r="FR537" s="567"/>
      <c r="FS537" s="567"/>
      <c r="FT537" s="567"/>
      <c r="FU537" s="567"/>
      <c r="FV537" s="567"/>
      <c r="FW537" s="567"/>
      <c r="FX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  <c r="BW538" s="567"/>
      <c r="BX538" s="567"/>
      <c r="BY538" s="567"/>
      <c r="BZ538" s="567"/>
      <c r="CA538" s="567"/>
      <c r="CB538" s="567"/>
      <c r="CC538" s="567"/>
      <c r="CD538" s="567"/>
      <c r="CE538" s="567"/>
      <c r="CF538" s="567"/>
      <c r="CG538" s="567"/>
      <c r="CH538" s="567"/>
      <c r="CI538" s="567"/>
      <c r="CJ538" s="567"/>
      <c r="CK538" s="567"/>
      <c r="CL538" s="567"/>
      <c r="CM538" s="567"/>
      <c r="CN538" s="567"/>
      <c r="CO538" s="567"/>
      <c r="CP538" s="567"/>
      <c r="CQ538" s="567"/>
      <c r="CR538" s="567"/>
      <c r="CS538" s="567"/>
      <c r="CT538" s="567"/>
      <c r="CU538" s="567"/>
      <c r="CV538" s="567"/>
      <c r="CW538" s="567"/>
      <c r="CX538" s="567"/>
      <c r="CY538" s="567"/>
      <c r="CZ538" s="567"/>
      <c r="DA538" s="567"/>
      <c r="DB538" s="567"/>
      <c r="DC538" s="567"/>
      <c r="DD538" s="567"/>
      <c r="DE538" s="567"/>
      <c r="DF538" s="567"/>
      <c r="DG538" s="567"/>
      <c r="DH538" s="567"/>
      <c r="DI538" s="567"/>
      <c r="DJ538" s="567"/>
      <c r="DK538" s="567"/>
      <c r="DL538" s="567"/>
      <c r="DM538" s="567"/>
      <c r="DN538" s="567"/>
      <c r="DO538" s="567"/>
      <c r="DP538" s="567"/>
      <c r="DQ538" s="567"/>
      <c r="DR538" s="567"/>
      <c r="DS538" s="567"/>
      <c r="DT538" s="567"/>
      <c r="DU538" s="567"/>
      <c r="DV538" s="567"/>
      <c r="DW538" s="567"/>
      <c r="DX538" s="567"/>
      <c r="DY538" s="567"/>
      <c r="DZ538" s="567"/>
      <c r="EA538" s="567"/>
      <c r="EB538" s="567"/>
      <c r="EC538" s="567"/>
      <c r="ED538" s="567"/>
      <c r="EE538" s="567"/>
      <c r="EF538" s="567"/>
      <c r="EG538" s="567"/>
      <c r="EH538" s="567"/>
      <c r="EI538" s="567"/>
      <c r="EJ538" s="567"/>
      <c r="EK538" s="567"/>
      <c r="EL538" s="567"/>
      <c r="EM538" s="567"/>
      <c r="EN538" s="567"/>
      <c r="EO538" s="567"/>
      <c r="EP538" s="567"/>
      <c r="EQ538" s="567"/>
      <c r="ER538" s="567"/>
      <c r="ES538" s="567"/>
      <c r="ET538" s="567"/>
      <c r="EU538" s="567"/>
      <c r="EV538" s="567"/>
      <c r="EW538" s="567"/>
      <c r="EX538" s="567"/>
      <c r="EY538" s="567"/>
      <c r="EZ538" s="567"/>
      <c r="FA538" s="567"/>
      <c r="FB538" s="567"/>
      <c r="FC538" s="567"/>
      <c r="FD538" s="567"/>
      <c r="FE538" s="567"/>
      <c r="FF538" s="567"/>
      <c r="FG538" s="567"/>
      <c r="FH538" s="567"/>
      <c r="FI538" s="567"/>
      <c r="FJ538" s="567"/>
      <c r="FK538" s="567"/>
      <c r="FL538" s="567"/>
      <c r="FM538" s="567"/>
      <c r="FN538" s="567"/>
      <c r="FO538" s="567"/>
      <c r="FP538" s="567"/>
      <c r="FQ538" s="567"/>
      <c r="FR538" s="567"/>
      <c r="FS538" s="567"/>
      <c r="FT538" s="567"/>
      <c r="FU538" s="567"/>
      <c r="FV538" s="567"/>
      <c r="FW538" s="567"/>
      <c r="FX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  <c r="BW539" s="567"/>
      <c r="BX539" s="567"/>
      <c r="BY539" s="567"/>
      <c r="BZ539" s="567"/>
      <c r="CA539" s="567"/>
      <c r="CB539" s="567"/>
      <c r="CC539" s="567"/>
      <c r="CD539" s="567"/>
      <c r="CE539" s="567"/>
      <c r="CF539" s="567"/>
      <c r="CG539" s="567"/>
      <c r="CH539" s="567"/>
      <c r="CI539" s="567"/>
      <c r="CJ539" s="567"/>
      <c r="CK539" s="567"/>
      <c r="CL539" s="567"/>
      <c r="CM539" s="567"/>
      <c r="CN539" s="567"/>
      <c r="CO539" s="567"/>
      <c r="CP539" s="567"/>
      <c r="CQ539" s="567"/>
      <c r="CR539" s="567"/>
      <c r="CS539" s="567"/>
      <c r="CT539" s="567"/>
      <c r="CU539" s="567"/>
      <c r="CV539" s="567"/>
      <c r="CW539" s="567"/>
      <c r="CX539" s="567"/>
      <c r="CY539" s="567"/>
      <c r="CZ539" s="567"/>
      <c r="DA539" s="567"/>
      <c r="DB539" s="567"/>
      <c r="DC539" s="567"/>
      <c r="DD539" s="567"/>
      <c r="DE539" s="567"/>
      <c r="DF539" s="567"/>
      <c r="DG539" s="567"/>
      <c r="DH539" s="567"/>
      <c r="DI539" s="567"/>
      <c r="DJ539" s="567"/>
      <c r="DK539" s="567"/>
      <c r="DL539" s="567"/>
      <c r="DM539" s="567"/>
      <c r="DN539" s="567"/>
      <c r="DO539" s="567"/>
      <c r="DP539" s="567"/>
      <c r="DQ539" s="567"/>
      <c r="DR539" s="567"/>
      <c r="DS539" s="567"/>
      <c r="DT539" s="567"/>
      <c r="DU539" s="567"/>
      <c r="DV539" s="567"/>
      <c r="DW539" s="567"/>
      <c r="DX539" s="567"/>
      <c r="DY539" s="567"/>
      <c r="DZ539" s="567"/>
      <c r="EA539" s="567"/>
      <c r="EB539" s="567"/>
      <c r="EC539" s="567"/>
      <c r="ED539" s="567"/>
      <c r="EE539" s="567"/>
      <c r="EF539" s="567"/>
      <c r="EG539" s="567"/>
      <c r="EH539" s="567"/>
      <c r="EI539" s="567"/>
      <c r="EJ539" s="567"/>
      <c r="EK539" s="567"/>
      <c r="EL539" s="567"/>
      <c r="EM539" s="567"/>
      <c r="EN539" s="567"/>
      <c r="EO539" s="567"/>
      <c r="EP539" s="567"/>
      <c r="EQ539" s="567"/>
      <c r="ER539" s="567"/>
      <c r="ES539" s="567"/>
      <c r="ET539" s="567"/>
      <c r="EU539" s="567"/>
      <c r="EV539" s="567"/>
      <c r="EW539" s="567"/>
      <c r="EX539" s="567"/>
      <c r="EY539" s="567"/>
      <c r="EZ539" s="567"/>
      <c r="FA539" s="567"/>
      <c r="FB539" s="567"/>
      <c r="FC539" s="567"/>
      <c r="FD539" s="567"/>
      <c r="FE539" s="567"/>
      <c r="FF539" s="567"/>
      <c r="FG539" s="567"/>
      <c r="FH539" s="567"/>
      <c r="FI539" s="567"/>
      <c r="FJ539" s="567"/>
      <c r="FK539" s="567"/>
      <c r="FL539" s="567"/>
      <c r="FM539" s="567"/>
      <c r="FN539" s="567"/>
      <c r="FO539" s="567"/>
      <c r="FP539" s="567"/>
      <c r="FQ539" s="567"/>
      <c r="FR539" s="567"/>
      <c r="FS539" s="567"/>
      <c r="FT539" s="567"/>
      <c r="FU539" s="567"/>
      <c r="FV539" s="567"/>
      <c r="FW539" s="567"/>
      <c r="FX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  <c r="BW540" s="567"/>
      <c r="BX540" s="567"/>
      <c r="BY540" s="567"/>
      <c r="BZ540" s="567"/>
      <c r="CA540" s="567"/>
      <c r="CB540" s="567"/>
      <c r="CC540" s="567"/>
      <c r="CD540" s="567"/>
      <c r="CE540" s="567"/>
      <c r="CF540" s="567"/>
      <c r="CG540" s="567"/>
      <c r="CH540" s="567"/>
      <c r="CI540" s="567"/>
      <c r="CJ540" s="567"/>
      <c r="CK540" s="567"/>
      <c r="CL540" s="567"/>
      <c r="CM540" s="567"/>
      <c r="CN540" s="567"/>
      <c r="CO540" s="567"/>
      <c r="CP540" s="567"/>
      <c r="CQ540" s="567"/>
      <c r="CR540" s="567"/>
      <c r="CS540" s="567"/>
      <c r="CT540" s="567"/>
      <c r="CU540" s="567"/>
      <c r="CV540" s="567"/>
      <c r="CW540" s="567"/>
      <c r="CX540" s="567"/>
      <c r="CY540" s="567"/>
      <c r="CZ540" s="567"/>
      <c r="DA540" s="567"/>
      <c r="DB540" s="567"/>
      <c r="DC540" s="567"/>
      <c r="DD540" s="567"/>
      <c r="DE540" s="567"/>
      <c r="DF540" s="567"/>
      <c r="DG540" s="567"/>
      <c r="DH540" s="567"/>
      <c r="DI540" s="567"/>
      <c r="DJ540" s="567"/>
      <c r="DK540" s="567"/>
      <c r="DL540" s="567"/>
      <c r="DM540" s="567"/>
      <c r="DN540" s="567"/>
      <c r="DO540" s="567"/>
      <c r="DP540" s="567"/>
      <c r="DQ540" s="567"/>
      <c r="DR540" s="567"/>
      <c r="DS540" s="567"/>
      <c r="DT540" s="567"/>
      <c r="DU540" s="567"/>
      <c r="DV540" s="567"/>
      <c r="DW540" s="567"/>
      <c r="DX540" s="567"/>
      <c r="DY540" s="567"/>
      <c r="DZ540" s="567"/>
      <c r="EA540" s="567"/>
      <c r="EB540" s="567"/>
      <c r="EC540" s="567"/>
      <c r="ED540" s="567"/>
      <c r="EE540" s="567"/>
      <c r="EF540" s="567"/>
      <c r="EG540" s="567"/>
      <c r="EH540" s="567"/>
      <c r="EI540" s="567"/>
      <c r="EJ540" s="567"/>
      <c r="EK540" s="567"/>
      <c r="EL540" s="567"/>
      <c r="EM540" s="567"/>
      <c r="EN540" s="567"/>
      <c r="EO540" s="567"/>
      <c r="EP540" s="567"/>
      <c r="EQ540" s="567"/>
      <c r="ER540" s="567"/>
      <c r="ES540" s="567"/>
      <c r="ET540" s="567"/>
      <c r="EU540" s="567"/>
      <c r="EV540" s="567"/>
      <c r="EW540" s="567"/>
      <c r="EX540" s="567"/>
      <c r="EY540" s="567"/>
      <c r="EZ540" s="567"/>
      <c r="FA540" s="567"/>
      <c r="FB540" s="567"/>
      <c r="FC540" s="567"/>
      <c r="FD540" s="567"/>
      <c r="FE540" s="567"/>
      <c r="FF540" s="567"/>
      <c r="FG540" s="567"/>
      <c r="FH540" s="567"/>
      <c r="FI540" s="567"/>
      <c r="FJ540" s="567"/>
      <c r="FK540" s="567"/>
      <c r="FL540" s="567"/>
      <c r="FM540" s="567"/>
      <c r="FN540" s="567"/>
      <c r="FO540" s="567"/>
      <c r="FP540" s="567"/>
      <c r="FQ540" s="567"/>
      <c r="FR540" s="567"/>
      <c r="FS540" s="567"/>
      <c r="FT540" s="567"/>
      <c r="FU540" s="567"/>
      <c r="FV540" s="567"/>
      <c r="FW540" s="567"/>
      <c r="FX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  <c r="BW541" s="567"/>
      <c r="BX541" s="567"/>
      <c r="BY541" s="567"/>
      <c r="BZ541" s="567"/>
      <c r="CA541" s="567"/>
      <c r="CB541" s="567"/>
      <c r="CC541" s="567"/>
      <c r="CD541" s="567"/>
      <c r="CE541" s="567"/>
      <c r="CF541" s="567"/>
      <c r="CG541" s="567"/>
      <c r="CH541" s="567"/>
      <c r="CI541" s="567"/>
      <c r="CJ541" s="567"/>
      <c r="CK541" s="567"/>
      <c r="CL541" s="567"/>
      <c r="CM541" s="567"/>
      <c r="CN541" s="567"/>
      <c r="CO541" s="567"/>
      <c r="CP541" s="567"/>
      <c r="CQ541" s="567"/>
      <c r="CR541" s="567"/>
      <c r="CS541" s="567"/>
      <c r="CT541" s="567"/>
      <c r="CU541" s="567"/>
      <c r="CV541" s="567"/>
      <c r="CW541" s="567"/>
      <c r="CX541" s="567"/>
      <c r="CY541" s="567"/>
      <c r="CZ541" s="567"/>
      <c r="DA541" s="567"/>
      <c r="DB541" s="567"/>
      <c r="DC541" s="567"/>
      <c r="DD541" s="567"/>
      <c r="DE541" s="567"/>
      <c r="DF541" s="567"/>
      <c r="DG541" s="567"/>
      <c r="DH541" s="567"/>
      <c r="DI541" s="567"/>
      <c r="DJ541" s="567"/>
      <c r="DK541" s="567"/>
      <c r="DL541" s="567"/>
      <c r="DM541" s="567"/>
      <c r="DN541" s="567"/>
      <c r="DO541" s="567"/>
      <c r="DP541" s="567"/>
      <c r="DQ541" s="567"/>
      <c r="DR541" s="567"/>
      <c r="DS541" s="567"/>
      <c r="DT541" s="567"/>
      <c r="DU541" s="567"/>
      <c r="DV541" s="567"/>
      <c r="DW541" s="567"/>
      <c r="DX541" s="567"/>
      <c r="DY541" s="567"/>
      <c r="DZ541" s="567"/>
      <c r="EA541" s="567"/>
      <c r="EB541" s="567"/>
      <c r="EC541" s="567"/>
      <c r="ED541" s="567"/>
      <c r="EE541" s="567"/>
      <c r="EF541" s="567"/>
      <c r="EG541" s="567"/>
      <c r="EH541" s="567"/>
      <c r="EI541" s="567"/>
      <c r="EJ541" s="567"/>
      <c r="EK541" s="567"/>
      <c r="EL541" s="567"/>
      <c r="EM541" s="567"/>
      <c r="EN541" s="567"/>
      <c r="EO541" s="567"/>
      <c r="EP541" s="567"/>
      <c r="EQ541" s="567"/>
      <c r="ER541" s="567"/>
      <c r="ES541" s="567"/>
      <c r="ET541" s="567"/>
      <c r="EU541" s="567"/>
      <c r="EV541" s="567"/>
      <c r="EW541" s="567"/>
      <c r="EX541" s="567"/>
      <c r="EY541" s="567"/>
      <c r="EZ541" s="567"/>
      <c r="FA541" s="567"/>
      <c r="FB541" s="567"/>
      <c r="FC541" s="567"/>
      <c r="FD541" s="567"/>
      <c r="FE541" s="567"/>
      <c r="FF541" s="567"/>
      <c r="FG541" s="567"/>
      <c r="FH541" s="567"/>
      <c r="FI541" s="567"/>
      <c r="FJ541" s="567"/>
      <c r="FK541" s="567"/>
      <c r="FL541" s="567"/>
      <c r="FM541" s="567"/>
      <c r="FN541" s="567"/>
      <c r="FO541" s="567"/>
      <c r="FP541" s="567"/>
      <c r="FQ541" s="567"/>
      <c r="FR541" s="567"/>
      <c r="FS541" s="567"/>
      <c r="FT541" s="567"/>
      <c r="FU541" s="567"/>
      <c r="FV541" s="567"/>
      <c r="FW541" s="567"/>
      <c r="FX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  <c r="BW542" s="567"/>
      <c r="BX542" s="567"/>
      <c r="BY542" s="567"/>
      <c r="BZ542" s="567"/>
      <c r="CA542" s="567"/>
      <c r="CB542" s="567"/>
      <c r="CC542" s="567"/>
      <c r="CD542" s="567"/>
      <c r="CE542" s="567"/>
      <c r="CF542" s="567"/>
      <c r="CG542" s="567"/>
      <c r="CH542" s="567"/>
      <c r="CI542" s="567"/>
      <c r="CJ542" s="567"/>
      <c r="CK542" s="567"/>
      <c r="CL542" s="567"/>
      <c r="CM542" s="567"/>
      <c r="CN542" s="567"/>
      <c r="CO542" s="567"/>
      <c r="CP542" s="567"/>
      <c r="CQ542" s="567"/>
      <c r="CR542" s="567"/>
      <c r="CS542" s="567"/>
      <c r="CT542" s="567"/>
      <c r="CU542" s="567"/>
      <c r="CV542" s="567"/>
      <c r="CW542" s="567"/>
      <c r="CX542" s="567"/>
      <c r="CY542" s="567"/>
      <c r="CZ542" s="567"/>
      <c r="DA542" s="567"/>
      <c r="DB542" s="567"/>
      <c r="DC542" s="567"/>
      <c r="DD542" s="567"/>
      <c r="DE542" s="567"/>
      <c r="DF542" s="567"/>
      <c r="DG542" s="567"/>
      <c r="DH542" s="567"/>
      <c r="DI542" s="567"/>
      <c r="DJ542" s="567"/>
      <c r="DK542" s="567"/>
      <c r="DL542" s="567"/>
      <c r="DM542" s="567"/>
      <c r="DN542" s="567"/>
      <c r="DO542" s="567"/>
      <c r="DP542" s="567"/>
      <c r="DQ542" s="567"/>
      <c r="DR542" s="567"/>
      <c r="DS542" s="567"/>
      <c r="DT542" s="567"/>
      <c r="DU542" s="567"/>
      <c r="DV542" s="567"/>
      <c r="DW542" s="567"/>
      <c r="DX542" s="567"/>
      <c r="DY542" s="567"/>
      <c r="DZ542" s="567"/>
      <c r="EA542" s="567"/>
      <c r="EB542" s="567"/>
      <c r="EC542" s="567"/>
      <c r="ED542" s="567"/>
      <c r="EE542" s="567"/>
      <c r="EF542" s="567"/>
      <c r="EG542" s="567"/>
      <c r="EH542" s="567"/>
      <c r="EI542" s="567"/>
      <c r="EJ542" s="567"/>
      <c r="EK542" s="567"/>
      <c r="EL542" s="567"/>
      <c r="EM542" s="567"/>
      <c r="EN542" s="567"/>
      <c r="EO542" s="567"/>
      <c r="EP542" s="567"/>
      <c r="EQ542" s="567"/>
      <c r="ER542" s="567"/>
      <c r="ES542" s="567"/>
      <c r="ET542" s="567"/>
      <c r="EU542" s="567"/>
      <c r="EV542" s="567"/>
      <c r="EW542" s="567"/>
      <c r="EX542" s="567"/>
      <c r="EY542" s="567"/>
      <c r="EZ542" s="567"/>
      <c r="FA542" s="567"/>
      <c r="FB542" s="567"/>
      <c r="FC542" s="567"/>
      <c r="FD542" s="567"/>
      <c r="FE542" s="567"/>
      <c r="FF542" s="567"/>
      <c r="FG542" s="567"/>
      <c r="FH542" s="567"/>
      <c r="FI542" s="567"/>
      <c r="FJ542" s="567"/>
      <c r="FK542" s="567"/>
      <c r="FL542" s="567"/>
      <c r="FM542" s="567"/>
      <c r="FN542" s="567"/>
      <c r="FO542" s="567"/>
      <c r="FP542" s="567"/>
      <c r="FQ542" s="567"/>
      <c r="FR542" s="567"/>
      <c r="FS542" s="567"/>
      <c r="FT542" s="567"/>
      <c r="FU542" s="567"/>
      <c r="FV542" s="567"/>
      <c r="FW542" s="567"/>
      <c r="FX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  <c r="BW543" s="567"/>
      <c r="BX543" s="567"/>
      <c r="BY543" s="567"/>
      <c r="BZ543" s="567"/>
      <c r="CA543" s="567"/>
      <c r="CB543" s="567"/>
      <c r="CC543" s="567"/>
      <c r="CD543" s="567"/>
      <c r="CE543" s="567"/>
      <c r="CF543" s="567"/>
      <c r="CG543" s="567"/>
      <c r="CH543" s="567"/>
      <c r="CI543" s="567"/>
      <c r="CJ543" s="567"/>
      <c r="CK543" s="567"/>
      <c r="CL543" s="567"/>
      <c r="CM543" s="567"/>
      <c r="CN543" s="567"/>
      <c r="CO543" s="567"/>
      <c r="CP543" s="567"/>
      <c r="CQ543" s="567"/>
      <c r="CR543" s="567"/>
      <c r="CS543" s="567"/>
      <c r="CT543" s="567"/>
      <c r="CU543" s="567"/>
      <c r="CV543" s="567"/>
      <c r="CW543" s="567"/>
      <c r="CX543" s="567"/>
      <c r="CY543" s="567"/>
      <c r="CZ543" s="567"/>
      <c r="DA543" s="567"/>
      <c r="DB543" s="567"/>
      <c r="DC543" s="567"/>
      <c r="DD543" s="567"/>
      <c r="DE543" s="567"/>
      <c r="DF543" s="567"/>
      <c r="DG543" s="567"/>
      <c r="DH543" s="567"/>
      <c r="DI543" s="567"/>
      <c r="DJ543" s="567"/>
      <c r="DK543" s="567"/>
      <c r="DL543" s="567"/>
      <c r="DM543" s="567"/>
      <c r="DN543" s="567"/>
      <c r="DO543" s="567"/>
      <c r="DP543" s="567"/>
      <c r="DQ543" s="567"/>
      <c r="DR543" s="567"/>
      <c r="DS543" s="567"/>
      <c r="DT543" s="567"/>
      <c r="DU543" s="567"/>
      <c r="DV543" s="567"/>
      <c r="DW543" s="567"/>
      <c r="DX543" s="567"/>
      <c r="DY543" s="567"/>
      <c r="DZ543" s="567"/>
      <c r="EA543" s="567"/>
      <c r="EB543" s="567"/>
      <c r="EC543" s="567"/>
      <c r="ED543" s="567"/>
      <c r="EE543" s="567"/>
      <c r="EF543" s="567"/>
      <c r="EG543" s="567"/>
      <c r="EH543" s="567"/>
      <c r="EI543" s="567"/>
      <c r="EJ543" s="567"/>
      <c r="EK543" s="567"/>
      <c r="EL543" s="567"/>
      <c r="EM543" s="567"/>
      <c r="EN543" s="567"/>
      <c r="EO543" s="567"/>
      <c r="EP543" s="567"/>
      <c r="EQ543" s="567"/>
      <c r="ER543" s="567"/>
      <c r="ES543" s="567"/>
      <c r="ET543" s="567"/>
      <c r="EU543" s="567"/>
      <c r="EV543" s="567"/>
      <c r="EW543" s="567"/>
      <c r="EX543" s="567"/>
      <c r="EY543" s="567"/>
      <c r="EZ543" s="567"/>
      <c r="FA543" s="567"/>
      <c r="FB543" s="567"/>
      <c r="FC543" s="567"/>
      <c r="FD543" s="567"/>
      <c r="FE543" s="567"/>
      <c r="FF543" s="567"/>
      <c r="FG543" s="567"/>
      <c r="FH543" s="567"/>
      <c r="FI543" s="567"/>
      <c r="FJ543" s="567"/>
      <c r="FK543" s="567"/>
      <c r="FL543" s="567"/>
      <c r="FM543" s="567"/>
      <c r="FN543" s="567"/>
      <c r="FO543" s="567"/>
      <c r="FP543" s="567"/>
      <c r="FQ543" s="567"/>
      <c r="FR543" s="567"/>
      <c r="FS543" s="567"/>
      <c r="FT543" s="567"/>
      <c r="FU543" s="567"/>
      <c r="FV543" s="567"/>
      <c r="FW543" s="567"/>
      <c r="FX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  <c r="BW544" s="567"/>
      <c r="BX544" s="567"/>
      <c r="BY544" s="567"/>
      <c r="BZ544" s="567"/>
      <c r="CA544" s="567"/>
      <c r="CB544" s="567"/>
      <c r="CC544" s="567"/>
      <c r="CD544" s="567"/>
      <c r="CE544" s="567"/>
      <c r="CF544" s="567"/>
      <c r="CG544" s="567"/>
      <c r="CH544" s="567"/>
      <c r="CI544" s="567"/>
      <c r="CJ544" s="567"/>
      <c r="CK544" s="567"/>
      <c r="CL544" s="567"/>
      <c r="CM544" s="567"/>
      <c r="CN544" s="567"/>
      <c r="CO544" s="567"/>
      <c r="CP544" s="567"/>
      <c r="CQ544" s="567"/>
      <c r="CR544" s="567"/>
      <c r="CS544" s="567"/>
      <c r="CT544" s="567"/>
      <c r="CU544" s="567"/>
      <c r="CV544" s="567"/>
      <c r="CW544" s="567"/>
      <c r="CX544" s="567"/>
      <c r="CY544" s="567"/>
      <c r="CZ544" s="567"/>
      <c r="DA544" s="567"/>
      <c r="DB544" s="567"/>
      <c r="DC544" s="567"/>
      <c r="DD544" s="567"/>
      <c r="DE544" s="567"/>
      <c r="DF544" s="567"/>
      <c r="DG544" s="567"/>
      <c r="DH544" s="567"/>
      <c r="DI544" s="567"/>
      <c r="DJ544" s="567"/>
      <c r="DK544" s="567"/>
      <c r="DL544" s="567"/>
      <c r="DM544" s="567"/>
      <c r="DN544" s="567"/>
      <c r="DO544" s="567"/>
      <c r="DP544" s="567"/>
      <c r="DQ544" s="567"/>
      <c r="DR544" s="567"/>
      <c r="DS544" s="567"/>
      <c r="DT544" s="567"/>
      <c r="DU544" s="567"/>
      <c r="DV544" s="567"/>
      <c r="DW544" s="567"/>
      <c r="DX544" s="567"/>
      <c r="DY544" s="567"/>
      <c r="DZ544" s="567"/>
      <c r="EA544" s="567"/>
      <c r="EB544" s="567"/>
      <c r="EC544" s="567"/>
      <c r="ED544" s="567"/>
      <c r="EE544" s="567"/>
      <c r="EF544" s="567"/>
      <c r="EG544" s="567"/>
      <c r="EH544" s="567"/>
      <c r="EI544" s="567"/>
      <c r="EJ544" s="567"/>
      <c r="EK544" s="567"/>
      <c r="EL544" s="567"/>
      <c r="EM544" s="567"/>
      <c r="EN544" s="567"/>
      <c r="EO544" s="567"/>
      <c r="EP544" s="567"/>
      <c r="EQ544" s="567"/>
      <c r="ER544" s="567"/>
      <c r="ES544" s="567"/>
      <c r="ET544" s="567"/>
      <c r="EU544" s="567"/>
      <c r="EV544" s="567"/>
      <c r="EW544" s="567"/>
      <c r="EX544" s="567"/>
      <c r="EY544" s="567"/>
      <c r="EZ544" s="567"/>
      <c r="FA544" s="567"/>
      <c r="FB544" s="567"/>
      <c r="FC544" s="567"/>
      <c r="FD544" s="567"/>
      <c r="FE544" s="567"/>
      <c r="FF544" s="567"/>
      <c r="FG544" s="567"/>
      <c r="FH544" s="567"/>
      <c r="FI544" s="567"/>
      <c r="FJ544" s="567"/>
      <c r="FK544" s="567"/>
      <c r="FL544" s="567"/>
      <c r="FM544" s="567"/>
      <c r="FN544" s="567"/>
      <c r="FO544" s="567"/>
      <c r="FP544" s="567"/>
      <c r="FQ544" s="567"/>
      <c r="FR544" s="567"/>
      <c r="FS544" s="567"/>
      <c r="FT544" s="567"/>
      <c r="FU544" s="567"/>
      <c r="FV544" s="567"/>
      <c r="FW544" s="567"/>
      <c r="FX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  <c r="BW545" s="567"/>
      <c r="BX545" s="567"/>
      <c r="BY545" s="567"/>
      <c r="BZ545" s="567"/>
      <c r="CA545" s="567"/>
      <c r="CB545" s="567"/>
      <c r="CC545" s="567"/>
      <c r="CD545" s="567"/>
      <c r="CE545" s="567"/>
      <c r="CF545" s="567"/>
      <c r="CG545" s="567"/>
      <c r="CH545" s="567"/>
      <c r="CI545" s="567"/>
      <c r="CJ545" s="567"/>
      <c r="CK545" s="567"/>
      <c r="CL545" s="567"/>
      <c r="CM545" s="567"/>
      <c r="CN545" s="567"/>
      <c r="CO545" s="567"/>
      <c r="CP545" s="567"/>
      <c r="CQ545" s="567"/>
      <c r="CR545" s="567"/>
      <c r="CS545" s="567"/>
      <c r="CT545" s="567"/>
      <c r="CU545" s="567"/>
      <c r="CV545" s="567"/>
      <c r="CW545" s="567"/>
      <c r="CX545" s="567"/>
      <c r="CY545" s="567"/>
      <c r="CZ545" s="567"/>
      <c r="DA545" s="567"/>
      <c r="DB545" s="567"/>
      <c r="DC545" s="567"/>
      <c r="DD545" s="567"/>
      <c r="DE545" s="567"/>
      <c r="DF545" s="567"/>
      <c r="DG545" s="567"/>
      <c r="DH545" s="567"/>
      <c r="DI545" s="567"/>
      <c r="DJ545" s="567"/>
      <c r="DK545" s="567"/>
      <c r="DL545" s="567"/>
      <c r="DM545" s="567"/>
      <c r="DN545" s="567"/>
      <c r="DO545" s="567"/>
      <c r="DP545" s="567"/>
      <c r="DQ545" s="567"/>
      <c r="DR545" s="567"/>
      <c r="DS545" s="567"/>
      <c r="DT545" s="567"/>
      <c r="DU545" s="567"/>
      <c r="DV545" s="567"/>
      <c r="DW545" s="567"/>
      <c r="DX545" s="567"/>
      <c r="DY545" s="567"/>
      <c r="DZ545" s="567"/>
      <c r="EA545" s="567"/>
      <c r="EB545" s="567"/>
      <c r="EC545" s="567"/>
      <c r="ED545" s="567"/>
      <c r="EE545" s="567"/>
      <c r="EF545" s="567"/>
      <c r="EG545" s="567"/>
      <c r="EH545" s="567"/>
      <c r="EI545" s="567"/>
      <c r="EJ545" s="567"/>
      <c r="EK545" s="567"/>
      <c r="EL545" s="567"/>
      <c r="EM545" s="567"/>
      <c r="EN545" s="567"/>
      <c r="EO545" s="567"/>
      <c r="EP545" s="567"/>
      <c r="EQ545" s="567"/>
      <c r="ER545" s="567"/>
      <c r="ES545" s="567"/>
      <c r="ET545" s="567"/>
      <c r="EU545" s="567"/>
      <c r="EV545" s="567"/>
      <c r="EW545" s="567"/>
      <c r="EX545" s="567"/>
      <c r="EY545" s="567"/>
      <c r="EZ545" s="567"/>
      <c r="FA545" s="567"/>
      <c r="FB545" s="567"/>
      <c r="FC545" s="567"/>
      <c r="FD545" s="567"/>
      <c r="FE545" s="567"/>
      <c r="FF545" s="567"/>
      <c r="FG545" s="567"/>
      <c r="FH545" s="567"/>
      <c r="FI545" s="567"/>
      <c r="FJ545" s="567"/>
      <c r="FK545" s="567"/>
      <c r="FL545" s="567"/>
      <c r="FM545" s="567"/>
      <c r="FN545" s="567"/>
      <c r="FO545" s="567"/>
      <c r="FP545" s="567"/>
      <c r="FQ545" s="567"/>
      <c r="FR545" s="567"/>
      <c r="FS545" s="567"/>
      <c r="FT545" s="567"/>
      <c r="FU545" s="567"/>
      <c r="FV545" s="567"/>
      <c r="FW545" s="567"/>
      <c r="FX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  <c r="BW546" s="567"/>
      <c r="BX546" s="567"/>
      <c r="BY546" s="567"/>
      <c r="BZ546" s="567"/>
      <c r="CA546" s="567"/>
      <c r="CB546" s="567"/>
      <c r="CC546" s="567"/>
      <c r="CD546" s="567"/>
      <c r="CE546" s="567"/>
      <c r="CF546" s="567"/>
      <c r="CG546" s="567"/>
      <c r="CH546" s="567"/>
      <c r="CI546" s="567"/>
      <c r="CJ546" s="567"/>
      <c r="CK546" s="567"/>
      <c r="CL546" s="567"/>
      <c r="CM546" s="567"/>
      <c r="CN546" s="567"/>
      <c r="CO546" s="567"/>
      <c r="CP546" s="567"/>
      <c r="CQ546" s="567"/>
      <c r="CR546" s="567"/>
      <c r="CS546" s="567"/>
      <c r="CT546" s="567"/>
      <c r="CU546" s="567"/>
      <c r="CV546" s="567"/>
      <c r="CW546" s="567"/>
      <c r="CX546" s="567"/>
      <c r="CY546" s="567"/>
      <c r="CZ546" s="567"/>
      <c r="DA546" s="567"/>
      <c r="DB546" s="567"/>
      <c r="DC546" s="567"/>
      <c r="DD546" s="567"/>
      <c r="DE546" s="567"/>
      <c r="DF546" s="567"/>
      <c r="DG546" s="567"/>
      <c r="DH546" s="567"/>
      <c r="DI546" s="567"/>
      <c r="DJ546" s="567"/>
      <c r="DK546" s="567"/>
      <c r="DL546" s="567"/>
      <c r="DM546" s="567"/>
      <c r="DN546" s="567"/>
      <c r="DO546" s="567"/>
      <c r="DP546" s="567"/>
      <c r="DQ546" s="567"/>
      <c r="DR546" s="567"/>
      <c r="DS546" s="567"/>
      <c r="DT546" s="567"/>
      <c r="DU546" s="567"/>
      <c r="DV546" s="567"/>
      <c r="DW546" s="567"/>
      <c r="DX546" s="567"/>
      <c r="DY546" s="567"/>
      <c r="DZ546" s="567"/>
      <c r="EA546" s="567"/>
      <c r="EB546" s="567"/>
      <c r="EC546" s="567"/>
      <c r="ED546" s="567"/>
      <c r="EE546" s="567"/>
      <c r="EF546" s="567"/>
      <c r="EG546" s="567"/>
      <c r="EH546" s="567"/>
      <c r="EI546" s="567"/>
      <c r="EJ546" s="567"/>
      <c r="EK546" s="567"/>
      <c r="EL546" s="567"/>
      <c r="EM546" s="567"/>
      <c r="EN546" s="567"/>
      <c r="EO546" s="567"/>
      <c r="EP546" s="567"/>
      <c r="EQ546" s="567"/>
      <c r="ER546" s="567"/>
      <c r="ES546" s="567"/>
      <c r="ET546" s="567"/>
      <c r="EU546" s="567"/>
      <c r="EV546" s="567"/>
      <c r="EW546" s="567"/>
      <c r="EX546" s="567"/>
      <c r="EY546" s="567"/>
      <c r="EZ546" s="567"/>
      <c r="FA546" s="567"/>
      <c r="FB546" s="567"/>
      <c r="FC546" s="567"/>
      <c r="FD546" s="567"/>
      <c r="FE546" s="567"/>
      <c r="FF546" s="567"/>
      <c r="FG546" s="567"/>
      <c r="FH546" s="567"/>
      <c r="FI546" s="567"/>
      <c r="FJ546" s="567"/>
      <c r="FK546" s="567"/>
      <c r="FL546" s="567"/>
      <c r="FM546" s="567"/>
      <c r="FN546" s="567"/>
      <c r="FO546" s="567"/>
      <c r="FP546" s="567"/>
      <c r="FQ546" s="567"/>
      <c r="FR546" s="567"/>
      <c r="FS546" s="567"/>
      <c r="FT546" s="567"/>
      <c r="FU546" s="567"/>
      <c r="FV546" s="567"/>
      <c r="FW546" s="567"/>
      <c r="FX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  <c r="BW547" s="567"/>
      <c r="BX547" s="567"/>
      <c r="BY547" s="567"/>
      <c r="BZ547" s="567"/>
      <c r="CA547" s="567"/>
      <c r="CB547" s="567"/>
      <c r="CC547" s="567"/>
      <c r="CD547" s="567"/>
      <c r="CE547" s="567"/>
      <c r="CF547" s="567"/>
      <c r="CG547" s="567"/>
      <c r="CH547" s="567"/>
      <c r="CI547" s="567"/>
      <c r="CJ547" s="567"/>
      <c r="CK547" s="567"/>
      <c r="CL547" s="567"/>
      <c r="CM547" s="567"/>
      <c r="CN547" s="567"/>
      <c r="CO547" s="567"/>
      <c r="CP547" s="567"/>
      <c r="CQ547" s="567"/>
      <c r="CR547" s="567"/>
      <c r="CS547" s="567"/>
      <c r="CT547" s="567"/>
      <c r="CU547" s="567"/>
      <c r="CV547" s="567"/>
      <c r="CW547" s="567"/>
      <c r="CX547" s="567"/>
      <c r="CY547" s="567"/>
      <c r="CZ547" s="567"/>
      <c r="DA547" s="567"/>
      <c r="DB547" s="567"/>
      <c r="DC547" s="567"/>
      <c r="DD547" s="567"/>
      <c r="DE547" s="567"/>
      <c r="DF547" s="567"/>
      <c r="DG547" s="567"/>
      <c r="DH547" s="567"/>
      <c r="DI547" s="567"/>
      <c r="DJ547" s="567"/>
      <c r="DK547" s="567"/>
      <c r="DL547" s="567"/>
      <c r="DM547" s="567"/>
      <c r="DN547" s="567"/>
      <c r="DO547" s="567"/>
      <c r="DP547" s="567"/>
      <c r="DQ547" s="567"/>
      <c r="DR547" s="567"/>
      <c r="DS547" s="567"/>
      <c r="DT547" s="567"/>
      <c r="DU547" s="567"/>
      <c r="DV547" s="567"/>
      <c r="DW547" s="567"/>
      <c r="DX547" s="567"/>
      <c r="DY547" s="567"/>
      <c r="DZ547" s="567"/>
      <c r="EA547" s="567"/>
      <c r="EB547" s="567"/>
      <c r="EC547" s="567"/>
      <c r="ED547" s="567"/>
      <c r="EE547" s="567"/>
      <c r="EF547" s="567"/>
      <c r="EG547" s="567"/>
      <c r="EH547" s="567"/>
      <c r="EI547" s="567"/>
      <c r="EJ547" s="567"/>
      <c r="EK547" s="567"/>
      <c r="EL547" s="567"/>
      <c r="EM547" s="567"/>
      <c r="EN547" s="567"/>
      <c r="EO547" s="567"/>
      <c r="EP547" s="567"/>
      <c r="EQ547" s="567"/>
      <c r="ER547" s="567"/>
      <c r="ES547" s="567"/>
      <c r="ET547" s="567"/>
      <c r="EU547" s="567"/>
      <c r="EV547" s="567"/>
      <c r="EW547" s="567"/>
      <c r="EX547" s="567"/>
      <c r="EY547" s="567"/>
      <c r="EZ547" s="567"/>
      <c r="FA547" s="567"/>
      <c r="FB547" s="567"/>
      <c r="FC547" s="567"/>
      <c r="FD547" s="567"/>
      <c r="FE547" s="567"/>
      <c r="FF547" s="567"/>
      <c r="FG547" s="567"/>
      <c r="FH547" s="567"/>
      <c r="FI547" s="567"/>
      <c r="FJ547" s="567"/>
      <c r="FK547" s="567"/>
      <c r="FL547" s="567"/>
      <c r="FM547" s="567"/>
      <c r="FN547" s="567"/>
      <c r="FO547" s="567"/>
      <c r="FP547" s="567"/>
      <c r="FQ547" s="567"/>
      <c r="FR547" s="567"/>
      <c r="FS547" s="567"/>
      <c r="FT547" s="567"/>
      <c r="FU547" s="567"/>
      <c r="FV547" s="567"/>
      <c r="FW547" s="567"/>
      <c r="FX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  <c r="BW548" s="567"/>
      <c r="BX548" s="567"/>
      <c r="BY548" s="567"/>
      <c r="BZ548" s="567"/>
      <c r="CA548" s="567"/>
      <c r="CB548" s="567"/>
      <c r="CC548" s="567"/>
      <c r="CD548" s="567"/>
      <c r="CE548" s="567"/>
      <c r="CF548" s="567"/>
      <c r="CG548" s="567"/>
      <c r="CH548" s="567"/>
      <c r="CI548" s="567"/>
      <c r="CJ548" s="567"/>
      <c r="CK548" s="567"/>
      <c r="CL548" s="567"/>
      <c r="CM548" s="567"/>
      <c r="CN548" s="567"/>
      <c r="CO548" s="567"/>
      <c r="CP548" s="567"/>
      <c r="CQ548" s="567"/>
      <c r="CR548" s="567"/>
      <c r="CS548" s="567"/>
      <c r="CT548" s="567"/>
      <c r="CU548" s="567"/>
      <c r="CV548" s="567"/>
      <c r="CW548" s="567"/>
      <c r="CX548" s="567"/>
      <c r="CY548" s="567"/>
      <c r="CZ548" s="567"/>
      <c r="DA548" s="567"/>
      <c r="DB548" s="567"/>
      <c r="DC548" s="567"/>
      <c r="DD548" s="567"/>
      <c r="DE548" s="567"/>
      <c r="DF548" s="567"/>
      <c r="DG548" s="567"/>
      <c r="DH548" s="567"/>
      <c r="DI548" s="567"/>
      <c r="DJ548" s="567"/>
      <c r="DK548" s="567"/>
      <c r="DL548" s="567"/>
      <c r="DM548" s="567"/>
      <c r="DN548" s="567"/>
      <c r="DO548" s="567"/>
      <c r="DP548" s="567"/>
      <c r="DQ548" s="567"/>
      <c r="DR548" s="567"/>
      <c r="DS548" s="567"/>
      <c r="DT548" s="567"/>
      <c r="DU548" s="567"/>
      <c r="DV548" s="567"/>
      <c r="DW548" s="567"/>
      <c r="DX548" s="567"/>
      <c r="DY548" s="567"/>
      <c r="DZ548" s="567"/>
      <c r="EA548" s="567"/>
      <c r="EB548" s="567"/>
      <c r="EC548" s="567"/>
      <c r="ED548" s="567"/>
      <c r="EE548" s="567"/>
      <c r="EF548" s="567"/>
      <c r="EG548" s="567"/>
      <c r="EH548" s="567"/>
      <c r="EI548" s="567"/>
      <c r="EJ548" s="567"/>
      <c r="EK548" s="567"/>
      <c r="EL548" s="567"/>
      <c r="EM548" s="567"/>
      <c r="EN548" s="567"/>
      <c r="EO548" s="567"/>
      <c r="EP548" s="567"/>
      <c r="EQ548" s="567"/>
      <c r="ER548" s="567"/>
      <c r="ES548" s="567"/>
      <c r="ET548" s="567"/>
      <c r="EU548" s="567"/>
      <c r="EV548" s="567"/>
      <c r="EW548" s="567"/>
      <c r="EX548" s="567"/>
      <c r="EY548" s="567"/>
      <c r="EZ548" s="567"/>
      <c r="FA548" s="567"/>
      <c r="FB548" s="567"/>
      <c r="FC548" s="567"/>
      <c r="FD548" s="567"/>
      <c r="FE548" s="567"/>
      <c r="FF548" s="567"/>
      <c r="FG548" s="567"/>
      <c r="FH548" s="567"/>
      <c r="FI548" s="567"/>
      <c r="FJ548" s="567"/>
      <c r="FK548" s="567"/>
      <c r="FL548" s="567"/>
      <c r="FM548" s="567"/>
      <c r="FN548" s="567"/>
      <c r="FO548" s="567"/>
      <c r="FP548" s="567"/>
      <c r="FQ548" s="567"/>
      <c r="FR548" s="567"/>
      <c r="FS548" s="567"/>
      <c r="FT548" s="567"/>
      <c r="FU548" s="567"/>
      <c r="FV548" s="567"/>
      <c r="FW548" s="567"/>
      <c r="FX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  <c r="BW549" s="567"/>
      <c r="BX549" s="567"/>
      <c r="BY549" s="567"/>
      <c r="BZ549" s="567"/>
      <c r="CA549" s="567"/>
      <c r="CB549" s="567"/>
      <c r="CC549" s="567"/>
      <c r="CD549" s="567"/>
      <c r="CE549" s="567"/>
      <c r="CF549" s="567"/>
      <c r="CG549" s="567"/>
      <c r="CH549" s="567"/>
      <c r="CI549" s="567"/>
      <c r="CJ549" s="567"/>
      <c r="CK549" s="567"/>
      <c r="CL549" s="567"/>
      <c r="CM549" s="567"/>
      <c r="CN549" s="567"/>
      <c r="CO549" s="567"/>
      <c r="CP549" s="567"/>
      <c r="CQ549" s="567"/>
      <c r="CR549" s="567"/>
      <c r="CS549" s="567"/>
      <c r="CT549" s="567"/>
      <c r="CU549" s="567"/>
      <c r="CV549" s="567"/>
      <c r="CW549" s="567"/>
      <c r="CX549" s="567"/>
      <c r="CY549" s="567"/>
      <c r="CZ549" s="567"/>
      <c r="DA549" s="567"/>
      <c r="DB549" s="567"/>
      <c r="DC549" s="567"/>
      <c r="DD549" s="567"/>
      <c r="DE549" s="567"/>
      <c r="DF549" s="567"/>
      <c r="DG549" s="567"/>
      <c r="DH549" s="567"/>
      <c r="DI549" s="567"/>
      <c r="DJ549" s="567"/>
      <c r="DK549" s="567"/>
      <c r="DL549" s="567"/>
      <c r="DM549" s="567"/>
      <c r="DN549" s="567"/>
      <c r="DO549" s="567"/>
      <c r="DP549" s="567"/>
      <c r="DQ549" s="567"/>
      <c r="DR549" s="567"/>
      <c r="DS549" s="567"/>
      <c r="DT549" s="567"/>
      <c r="DU549" s="567"/>
      <c r="DV549" s="567"/>
      <c r="DW549" s="567"/>
      <c r="DX549" s="567"/>
      <c r="DY549" s="567"/>
      <c r="DZ549" s="567"/>
      <c r="EA549" s="567"/>
      <c r="EB549" s="567"/>
      <c r="EC549" s="567"/>
      <c r="ED549" s="567"/>
      <c r="EE549" s="567"/>
      <c r="EF549" s="567"/>
      <c r="EG549" s="567"/>
      <c r="EH549" s="567"/>
      <c r="EI549" s="567"/>
      <c r="EJ549" s="567"/>
      <c r="EK549" s="567"/>
      <c r="EL549" s="567"/>
      <c r="EM549" s="567"/>
      <c r="EN549" s="567"/>
      <c r="EO549" s="567"/>
      <c r="EP549" s="567"/>
      <c r="EQ549" s="567"/>
      <c r="ER549" s="567"/>
      <c r="ES549" s="567"/>
      <c r="ET549" s="567"/>
      <c r="EU549" s="567"/>
      <c r="EV549" s="567"/>
      <c r="EW549" s="567"/>
      <c r="EX549" s="567"/>
      <c r="EY549" s="567"/>
      <c r="EZ549" s="567"/>
      <c r="FA549" s="567"/>
      <c r="FB549" s="567"/>
      <c r="FC549" s="567"/>
      <c r="FD549" s="567"/>
      <c r="FE549" s="567"/>
      <c r="FF549" s="567"/>
      <c r="FG549" s="567"/>
      <c r="FH549" s="567"/>
      <c r="FI549" s="567"/>
      <c r="FJ549" s="567"/>
      <c r="FK549" s="567"/>
      <c r="FL549" s="567"/>
      <c r="FM549" s="567"/>
      <c r="FN549" s="567"/>
      <c r="FO549" s="567"/>
      <c r="FP549" s="567"/>
      <c r="FQ549" s="567"/>
      <c r="FR549" s="567"/>
      <c r="FS549" s="567"/>
      <c r="FT549" s="567"/>
      <c r="FU549" s="567"/>
      <c r="FV549" s="567"/>
      <c r="FW549" s="567"/>
      <c r="FX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  <c r="BW550" s="567"/>
      <c r="BX550" s="567"/>
      <c r="BY550" s="567"/>
      <c r="BZ550" s="567"/>
      <c r="CA550" s="567"/>
      <c r="CB550" s="567"/>
      <c r="CC550" s="567"/>
      <c r="CD550" s="567"/>
      <c r="CE550" s="567"/>
      <c r="CF550" s="567"/>
      <c r="CG550" s="567"/>
      <c r="CH550" s="567"/>
      <c r="CI550" s="567"/>
      <c r="CJ550" s="567"/>
      <c r="CK550" s="567"/>
      <c r="CL550" s="567"/>
      <c r="CM550" s="567"/>
      <c r="CN550" s="567"/>
      <c r="CO550" s="567"/>
      <c r="CP550" s="567"/>
      <c r="CQ550" s="567"/>
      <c r="CR550" s="567"/>
      <c r="CS550" s="567"/>
      <c r="CT550" s="567"/>
      <c r="CU550" s="567"/>
      <c r="CV550" s="567"/>
      <c r="CW550" s="567"/>
      <c r="CX550" s="567"/>
      <c r="CY550" s="567"/>
      <c r="CZ550" s="567"/>
      <c r="DA550" s="567"/>
      <c r="DB550" s="567"/>
      <c r="DC550" s="567"/>
      <c r="DD550" s="567"/>
      <c r="DE550" s="567"/>
      <c r="DF550" s="567"/>
      <c r="DG550" s="567"/>
      <c r="DH550" s="567"/>
      <c r="DI550" s="567"/>
      <c r="DJ550" s="567"/>
      <c r="DK550" s="567"/>
      <c r="DL550" s="567"/>
      <c r="DM550" s="567"/>
      <c r="DN550" s="567"/>
      <c r="DO550" s="567"/>
      <c r="DP550" s="567"/>
      <c r="DQ550" s="567"/>
      <c r="DR550" s="567"/>
      <c r="DS550" s="567"/>
      <c r="DT550" s="567"/>
      <c r="DU550" s="567"/>
      <c r="DV550" s="567"/>
      <c r="DW550" s="567"/>
      <c r="DX550" s="567"/>
      <c r="DY550" s="567"/>
      <c r="DZ550" s="567"/>
      <c r="EA550" s="567"/>
      <c r="EB550" s="567"/>
      <c r="EC550" s="567"/>
      <c r="ED550" s="567"/>
      <c r="EE550" s="567"/>
      <c r="EF550" s="567"/>
      <c r="EG550" s="567"/>
      <c r="EH550" s="567"/>
      <c r="EI550" s="567"/>
      <c r="EJ550" s="567"/>
      <c r="EK550" s="567"/>
      <c r="EL550" s="567"/>
      <c r="EM550" s="567"/>
      <c r="EN550" s="567"/>
      <c r="EO550" s="567"/>
      <c r="EP550" s="567"/>
      <c r="EQ550" s="567"/>
      <c r="ER550" s="567"/>
      <c r="ES550" s="567"/>
      <c r="ET550" s="567"/>
      <c r="EU550" s="567"/>
      <c r="EV550" s="567"/>
      <c r="EW550" s="567"/>
      <c r="EX550" s="567"/>
      <c r="EY550" s="567"/>
      <c r="EZ550" s="567"/>
      <c r="FA550" s="567"/>
      <c r="FB550" s="567"/>
      <c r="FC550" s="567"/>
      <c r="FD550" s="567"/>
      <c r="FE550" s="567"/>
      <c r="FF550" s="567"/>
      <c r="FG550" s="567"/>
      <c r="FH550" s="567"/>
      <c r="FI550" s="567"/>
      <c r="FJ550" s="567"/>
      <c r="FK550" s="567"/>
      <c r="FL550" s="567"/>
      <c r="FM550" s="567"/>
      <c r="FN550" s="567"/>
      <c r="FO550" s="567"/>
      <c r="FP550" s="567"/>
      <c r="FQ550" s="567"/>
      <c r="FR550" s="567"/>
      <c r="FS550" s="567"/>
      <c r="FT550" s="567"/>
      <c r="FU550" s="567"/>
      <c r="FV550" s="567"/>
      <c r="FW550" s="567"/>
      <c r="FX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  <c r="BW551" s="567"/>
      <c r="BX551" s="567"/>
      <c r="BY551" s="567"/>
      <c r="BZ551" s="567"/>
      <c r="CA551" s="567"/>
      <c r="CB551" s="567"/>
      <c r="CC551" s="567"/>
      <c r="CD551" s="567"/>
      <c r="CE551" s="567"/>
      <c r="CF551" s="567"/>
      <c r="CG551" s="567"/>
      <c r="CH551" s="567"/>
      <c r="CI551" s="567"/>
      <c r="CJ551" s="567"/>
      <c r="CK551" s="567"/>
      <c r="CL551" s="567"/>
      <c r="CM551" s="567"/>
      <c r="CN551" s="567"/>
      <c r="CO551" s="567"/>
      <c r="CP551" s="567"/>
      <c r="CQ551" s="567"/>
      <c r="CR551" s="567"/>
      <c r="CS551" s="567"/>
      <c r="CT551" s="567"/>
      <c r="CU551" s="567"/>
      <c r="CV551" s="567"/>
      <c r="CW551" s="567"/>
      <c r="CX551" s="567"/>
      <c r="CY551" s="567"/>
      <c r="CZ551" s="567"/>
      <c r="DA551" s="567"/>
      <c r="DB551" s="567"/>
      <c r="DC551" s="567"/>
      <c r="DD551" s="567"/>
      <c r="DE551" s="567"/>
      <c r="DF551" s="567"/>
      <c r="DG551" s="567"/>
      <c r="DH551" s="567"/>
      <c r="DI551" s="567"/>
      <c r="DJ551" s="567"/>
      <c r="DK551" s="567"/>
      <c r="DL551" s="567"/>
      <c r="DM551" s="567"/>
      <c r="DN551" s="567"/>
      <c r="DO551" s="567"/>
      <c r="DP551" s="567"/>
      <c r="DQ551" s="567"/>
      <c r="DR551" s="567"/>
      <c r="DS551" s="567"/>
      <c r="DT551" s="567"/>
      <c r="DU551" s="567"/>
      <c r="DV551" s="567"/>
      <c r="DW551" s="567"/>
      <c r="DX551" s="567"/>
      <c r="DY551" s="567"/>
      <c r="DZ551" s="567"/>
      <c r="EA551" s="567"/>
      <c r="EB551" s="567"/>
      <c r="EC551" s="567"/>
      <c r="ED551" s="567"/>
      <c r="EE551" s="567"/>
      <c r="EF551" s="567"/>
      <c r="EG551" s="567"/>
      <c r="EH551" s="567"/>
      <c r="EI551" s="567"/>
      <c r="EJ551" s="567"/>
      <c r="EK551" s="567"/>
      <c r="EL551" s="567"/>
      <c r="EM551" s="567"/>
      <c r="EN551" s="567"/>
      <c r="EO551" s="567"/>
      <c r="EP551" s="567"/>
      <c r="EQ551" s="567"/>
      <c r="ER551" s="567"/>
      <c r="ES551" s="567"/>
      <c r="ET551" s="567"/>
      <c r="EU551" s="567"/>
      <c r="EV551" s="567"/>
      <c r="EW551" s="567"/>
      <c r="EX551" s="567"/>
      <c r="EY551" s="567"/>
      <c r="EZ551" s="567"/>
      <c r="FA551" s="567"/>
      <c r="FB551" s="567"/>
      <c r="FC551" s="567"/>
      <c r="FD551" s="567"/>
      <c r="FE551" s="567"/>
      <c r="FF551" s="567"/>
      <c r="FG551" s="567"/>
      <c r="FH551" s="567"/>
      <c r="FI551" s="567"/>
      <c r="FJ551" s="567"/>
      <c r="FK551" s="567"/>
      <c r="FL551" s="567"/>
      <c r="FM551" s="567"/>
      <c r="FN551" s="567"/>
      <c r="FO551" s="567"/>
      <c r="FP551" s="567"/>
      <c r="FQ551" s="567"/>
      <c r="FR551" s="567"/>
      <c r="FS551" s="567"/>
      <c r="FT551" s="567"/>
      <c r="FU551" s="567"/>
      <c r="FV551" s="567"/>
      <c r="FW551" s="567"/>
      <c r="FX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  <c r="BW552" s="567"/>
      <c r="BX552" s="567"/>
      <c r="BY552" s="567"/>
      <c r="BZ552" s="567"/>
      <c r="CA552" s="567"/>
      <c r="CB552" s="567"/>
      <c r="CC552" s="567"/>
      <c r="CD552" s="567"/>
      <c r="CE552" s="567"/>
      <c r="CF552" s="567"/>
      <c r="CG552" s="567"/>
      <c r="CH552" s="567"/>
      <c r="CI552" s="567"/>
      <c r="CJ552" s="567"/>
      <c r="CK552" s="567"/>
      <c r="CL552" s="567"/>
      <c r="CM552" s="567"/>
      <c r="CN552" s="567"/>
      <c r="CO552" s="567"/>
      <c r="CP552" s="567"/>
      <c r="CQ552" s="567"/>
      <c r="CR552" s="567"/>
      <c r="CS552" s="567"/>
      <c r="CT552" s="567"/>
      <c r="CU552" s="567"/>
      <c r="CV552" s="567"/>
      <c r="CW552" s="567"/>
      <c r="CX552" s="567"/>
      <c r="CY552" s="567"/>
      <c r="CZ552" s="567"/>
      <c r="DA552" s="567"/>
      <c r="DB552" s="567"/>
      <c r="DC552" s="567"/>
      <c r="DD552" s="567"/>
      <c r="DE552" s="567"/>
      <c r="DF552" s="567"/>
      <c r="DG552" s="567"/>
      <c r="DH552" s="567"/>
      <c r="DI552" s="567"/>
      <c r="DJ552" s="567"/>
      <c r="DK552" s="567"/>
      <c r="DL552" s="567"/>
      <c r="DM552" s="567"/>
      <c r="DN552" s="567"/>
      <c r="DO552" s="567"/>
      <c r="DP552" s="567"/>
      <c r="DQ552" s="567"/>
      <c r="DR552" s="567"/>
      <c r="DS552" s="567"/>
      <c r="DT552" s="567"/>
      <c r="DU552" s="567"/>
      <c r="DV552" s="567"/>
      <c r="DW552" s="567"/>
      <c r="DX552" s="567"/>
      <c r="DY552" s="567"/>
      <c r="DZ552" s="567"/>
      <c r="EA552" s="567"/>
      <c r="EB552" s="567"/>
      <c r="EC552" s="567"/>
      <c r="ED552" s="567"/>
      <c r="EE552" s="567"/>
      <c r="EF552" s="567"/>
      <c r="EG552" s="567"/>
      <c r="EH552" s="567"/>
      <c r="EI552" s="567"/>
      <c r="EJ552" s="567"/>
      <c r="EK552" s="567"/>
      <c r="EL552" s="567"/>
      <c r="EM552" s="567"/>
      <c r="EN552" s="567"/>
      <c r="EO552" s="567"/>
      <c r="EP552" s="567"/>
      <c r="EQ552" s="567"/>
      <c r="ER552" s="567"/>
      <c r="ES552" s="567"/>
      <c r="ET552" s="567"/>
      <c r="EU552" s="567"/>
      <c r="EV552" s="567"/>
      <c r="EW552" s="567"/>
      <c r="EX552" s="567"/>
      <c r="EY552" s="567"/>
      <c r="EZ552" s="567"/>
      <c r="FA552" s="567"/>
      <c r="FB552" s="567"/>
      <c r="FC552" s="567"/>
      <c r="FD552" s="567"/>
      <c r="FE552" s="567"/>
      <c r="FF552" s="567"/>
      <c r="FG552" s="567"/>
      <c r="FH552" s="567"/>
      <c r="FI552" s="567"/>
      <c r="FJ552" s="567"/>
      <c r="FK552" s="567"/>
      <c r="FL552" s="567"/>
      <c r="FM552" s="567"/>
      <c r="FN552" s="567"/>
      <c r="FO552" s="567"/>
      <c r="FP552" s="567"/>
      <c r="FQ552" s="567"/>
      <c r="FR552" s="567"/>
      <c r="FS552" s="567"/>
      <c r="FT552" s="567"/>
      <c r="FU552" s="567"/>
      <c r="FV552" s="567"/>
      <c r="FW552" s="567"/>
      <c r="FX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  <c r="BW553" s="567"/>
      <c r="BX553" s="567"/>
      <c r="BY553" s="567"/>
      <c r="BZ553" s="567"/>
      <c r="CA553" s="567"/>
      <c r="CB553" s="567"/>
      <c r="CC553" s="567"/>
      <c r="CD553" s="567"/>
      <c r="CE553" s="567"/>
      <c r="CF553" s="567"/>
      <c r="CG553" s="567"/>
      <c r="CH553" s="567"/>
      <c r="CI553" s="567"/>
      <c r="CJ553" s="567"/>
      <c r="CK553" s="567"/>
      <c r="CL553" s="567"/>
      <c r="CM553" s="567"/>
      <c r="CN553" s="567"/>
      <c r="CO553" s="567"/>
      <c r="CP553" s="567"/>
      <c r="CQ553" s="567"/>
      <c r="CR553" s="567"/>
      <c r="CS553" s="567"/>
      <c r="CT553" s="567"/>
      <c r="CU553" s="567"/>
      <c r="CV553" s="567"/>
      <c r="CW553" s="567"/>
      <c r="CX553" s="567"/>
      <c r="CY553" s="567"/>
      <c r="CZ553" s="567"/>
      <c r="DA553" s="567"/>
      <c r="DB553" s="567"/>
      <c r="DC553" s="567"/>
      <c r="DD553" s="567"/>
      <c r="DE553" s="567"/>
      <c r="DF553" s="567"/>
      <c r="DG553" s="567"/>
      <c r="DH553" s="567"/>
      <c r="DI553" s="567"/>
      <c r="DJ553" s="567"/>
      <c r="DK553" s="567"/>
      <c r="DL553" s="567"/>
      <c r="DM553" s="567"/>
      <c r="DN553" s="567"/>
      <c r="DO553" s="567"/>
      <c r="DP553" s="567"/>
      <c r="DQ553" s="567"/>
      <c r="DR553" s="567"/>
      <c r="DS553" s="567"/>
      <c r="DT553" s="567"/>
      <c r="DU553" s="567"/>
      <c r="DV553" s="567"/>
      <c r="DW553" s="567"/>
      <c r="DX553" s="567"/>
      <c r="DY553" s="567"/>
      <c r="DZ553" s="567"/>
      <c r="EA553" s="567"/>
      <c r="EB553" s="567"/>
      <c r="EC553" s="567"/>
      <c r="ED553" s="567"/>
      <c r="EE553" s="567"/>
      <c r="EF553" s="567"/>
      <c r="EG553" s="567"/>
      <c r="EH553" s="567"/>
      <c r="EI553" s="567"/>
      <c r="EJ553" s="567"/>
      <c r="EK553" s="567"/>
      <c r="EL553" s="567"/>
      <c r="EM553" s="567"/>
      <c r="EN553" s="567"/>
      <c r="EO553" s="567"/>
      <c r="EP553" s="567"/>
      <c r="EQ553" s="567"/>
      <c r="ER553" s="567"/>
      <c r="ES553" s="567"/>
      <c r="ET553" s="567"/>
      <c r="EU553" s="567"/>
      <c r="EV553" s="567"/>
      <c r="EW553" s="567"/>
      <c r="EX553" s="567"/>
      <c r="EY553" s="567"/>
      <c r="EZ553" s="567"/>
      <c r="FA553" s="567"/>
      <c r="FB553" s="567"/>
      <c r="FC553" s="567"/>
      <c r="FD553" s="567"/>
      <c r="FE553" s="567"/>
      <c r="FF553" s="567"/>
      <c r="FG553" s="567"/>
      <c r="FH553" s="567"/>
      <c r="FI553" s="567"/>
      <c r="FJ553" s="567"/>
      <c r="FK553" s="567"/>
      <c r="FL553" s="567"/>
      <c r="FM553" s="567"/>
      <c r="FN553" s="567"/>
      <c r="FO553" s="567"/>
      <c r="FP553" s="567"/>
      <c r="FQ553" s="567"/>
      <c r="FR553" s="567"/>
      <c r="FS553" s="567"/>
      <c r="FT553" s="567"/>
      <c r="FU553" s="567"/>
      <c r="FV553" s="567"/>
      <c r="FW553" s="567"/>
      <c r="FX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  <c r="BW554" s="567"/>
      <c r="BX554" s="567"/>
      <c r="BY554" s="567"/>
      <c r="BZ554" s="567"/>
      <c r="CA554" s="567"/>
      <c r="CB554" s="567"/>
      <c r="CC554" s="567"/>
      <c r="CD554" s="567"/>
      <c r="CE554" s="567"/>
      <c r="CF554" s="567"/>
      <c r="CG554" s="567"/>
      <c r="CH554" s="567"/>
      <c r="CI554" s="567"/>
      <c r="CJ554" s="567"/>
      <c r="CK554" s="567"/>
      <c r="CL554" s="567"/>
      <c r="CM554" s="567"/>
      <c r="CN554" s="567"/>
      <c r="CO554" s="567"/>
      <c r="CP554" s="567"/>
      <c r="CQ554" s="567"/>
      <c r="CR554" s="567"/>
      <c r="CS554" s="567"/>
      <c r="CT554" s="567"/>
      <c r="CU554" s="567"/>
      <c r="CV554" s="567"/>
      <c r="CW554" s="567"/>
      <c r="CX554" s="567"/>
      <c r="CY554" s="567"/>
      <c r="CZ554" s="567"/>
      <c r="DA554" s="567"/>
      <c r="DB554" s="567"/>
      <c r="DC554" s="567"/>
      <c r="DD554" s="567"/>
      <c r="DE554" s="567"/>
      <c r="DF554" s="567"/>
      <c r="DG554" s="567"/>
      <c r="DH554" s="567"/>
      <c r="DI554" s="567"/>
      <c r="DJ554" s="567"/>
      <c r="DK554" s="567"/>
      <c r="DL554" s="567"/>
      <c r="DM554" s="567"/>
      <c r="DN554" s="567"/>
      <c r="DO554" s="567"/>
      <c r="DP554" s="567"/>
      <c r="DQ554" s="567"/>
      <c r="DR554" s="567"/>
      <c r="DS554" s="567"/>
      <c r="DT554" s="567"/>
      <c r="DU554" s="567"/>
      <c r="DV554" s="567"/>
      <c r="DW554" s="567"/>
      <c r="DX554" s="567"/>
      <c r="DY554" s="567"/>
      <c r="DZ554" s="567"/>
      <c r="EA554" s="567"/>
      <c r="EB554" s="567"/>
      <c r="EC554" s="567"/>
      <c r="ED554" s="567"/>
      <c r="EE554" s="567"/>
      <c r="EF554" s="567"/>
      <c r="EG554" s="567"/>
      <c r="EH554" s="567"/>
      <c r="EI554" s="567"/>
      <c r="EJ554" s="567"/>
      <c r="EK554" s="567"/>
      <c r="EL554" s="567"/>
      <c r="EM554" s="567"/>
      <c r="EN554" s="567"/>
      <c r="EO554" s="567"/>
      <c r="EP554" s="567"/>
      <c r="EQ554" s="567"/>
      <c r="ER554" s="567"/>
      <c r="ES554" s="567"/>
      <c r="ET554" s="567"/>
      <c r="EU554" s="567"/>
      <c r="EV554" s="567"/>
      <c r="EW554" s="567"/>
      <c r="EX554" s="567"/>
      <c r="EY554" s="567"/>
      <c r="EZ554" s="567"/>
      <c r="FA554" s="567"/>
      <c r="FB554" s="567"/>
      <c r="FC554" s="567"/>
      <c r="FD554" s="567"/>
      <c r="FE554" s="567"/>
      <c r="FF554" s="567"/>
      <c r="FG554" s="567"/>
      <c r="FH554" s="567"/>
      <c r="FI554" s="567"/>
      <c r="FJ554" s="567"/>
      <c r="FK554" s="567"/>
      <c r="FL554" s="567"/>
      <c r="FM554" s="567"/>
      <c r="FN554" s="567"/>
      <c r="FO554" s="567"/>
      <c r="FP554" s="567"/>
      <c r="FQ554" s="567"/>
      <c r="FR554" s="567"/>
      <c r="FS554" s="567"/>
      <c r="FT554" s="567"/>
      <c r="FU554" s="567"/>
      <c r="FV554" s="567"/>
      <c r="FW554" s="567"/>
      <c r="FX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  <c r="BW555" s="567"/>
      <c r="BX555" s="567"/>
      <c r="BY555" s="567"/>
      <c r="BZ555" s="567"/>
      <c r="CA555" s="567"/>
      <c r="CB555" s="567"/>
      <c r="CC555" s="567"/>
      <c r="CD555" s="567"/>
      <c r="CE555" s="567"/>
      <c r="CF555" s="567"/>
      <c r="CG555" s="567"/>
      <c r="CH555" s="567"/>
      <c r="CI555" s="567"/>
      <c r="CJ555" s="567"/>
      <c r="CK555" s="567"/>
      <c r="CL555" s="567"/>
      <c r="CM555" s="567"/>
      <c r="CN555" s="567"/>
      <c r="CO555" s="567"/>
      <c r="CP555" s="567"/>
      <c r="CQ555" s="567"/>
      <c r="CR555" s="567"/>
      <c r="CS555" s="567"/>
      <c r="CT555" s="567"/>
      <c r="CU555" s="567"/>
      <c r="CV555" s="567"/>
      <c r="CW555" s="567"/>
      <c r="CX555" s="567"/>
      <c r="CY555" s="567"/>
      <c r="CZ555" s="567"/>
      <c r="DA555" s="567"/>
      <c r="DB555" s="567"/>
      <c r="DC555" s="567"/>
      <c r="DD555" s="567"/>
      <c r="DE555" s="567"/>
      <c r="DF555" s="567"/>
      <c r="DG555" s="567"/>
      <c r="DH555" s="567"/>
      <c r="DI555" s="567"/>
      <c r="DJ555" s="567"/>
      <c r="DK555" s="567"/>
      <c r="DL555" s="567"/>
      <c r="DM555" s="567"/>
      <c r="DN555" s="567"/>
      <c r="DO555" s="567"/>
      <c r="DP555" s="567"/>
      <c r="DQ555" s="567"/>
      <c r="DR555" s="567"/>
      <c r="DS555" s="567"/>
      <c r="DT555" s="567"/>
      <c r="DU555" s="567"/>
      <c r="DV555" s="567"/>
      <c r="DW555" s="567"/>
      <c r="DX555" s="567"/>
      <c r="DY555" s="567"/>
      <c r="DZ555" s="567"/>
      <c r="EA555" s="567"/>
      <c r="EB555" s="567"/>
      <c r="EC555" s="567"/>
      <c r="ED555" s="567"/>
      <c r="EE555" s="567"/>
      <c r="EF555" s="567"/>
      <c r="EG555" s="567"/>
      <c r="EH555" s="567"/>
      <c r="EI555" s="567"/>
      <c r="EJ555" s="567"/>
      <c r="EK555" s="567"/>
      <c r="EL555" s="567"/>
      <c r="EM555" s="567"/>
      <c r="EN555" s="567"/>
      <c r="EO555" s="567"/>
      <c r="EP555" s="567"/>
      <c r="EQ555" s="567"/>
      <c r="ER555" s="567"/>
      <c r="ES555" s="567"/>
      <c r="ET555" s="567"/>
      <c r="EU555" s="567"/>
      <c r="EV555" s="567"/>
      <c r="EW555" s="567"/>
      <c r="EX555" s="567"/>
      <c r="EY555" s="567"/>
      <c r="EZ555" s="567"/>
      <c r="FA555" s="567"/>
      <c r="FB555" s="567"/>
      <c r="FC555" s="567"/>
      <c r="FD555" s="567"/>
      <c r="FE555" s="567"/>
      <c r="FF555" s="567"/>
      <c r="FG555" s="567"/>
      <c r="FH555" s="567"/>
      <c r="FI555" s="567"/>
      <c r="FJ555" s="567"/>
      <c r="FK555" s="567"/>
      <c r="FL555" s="567"/>
      <c r="FM555" s="567"/>
      <c r="FN555" s="567"/>
      <c r="FO555" s="567"/>
      <c r="FP555" s="567"/>
      <c r="FQ555" s="567"/>
      <c r="FR555" s="567"/>
      <c r="FS555" s="567"/>
      <c r="FT555" s="567"/>
      <c r="FU555" s="567"/>
      <c r="FV555" s="567"/>
      <c r="FW555" s="567"/>
      <c r="FX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  <c r="BW556" s="567"/>
      <c r="BX556" s="567"/>
      <c r="BY556" s="567"/>
      <c r="BZ556" s="567"/>
      <c r="CA556" s="567"/>
      <c r="CB556" s="567"/>
      <c r="CC556" s="567"/>
      <c r="CD556" s="567"/>
      <c r="CE556" s="567"/>
      <c r="CF556" s="567"/>
      <c r="CG556" s="567"/>
      <c r="CH556" s="567"/>
      <c r="CI556" s="567"/>
      <c r="CJ556" s="567"/>
      <c r="CK556" s="567"/>
      <c r="CL556" s="567"/>
      <c r="CM556" s="567"/>
      <c r="CN556" s="567"/>
      <c r="CO556" s="567"/>
      <c r="CP556" s="567"/>
      <c r="CQ556" s="567"/>
      <c r="CR556" s="567"/>
      <c r="CS556" s="567"/>
      <c r="CT556" s="567"/>
      <c r="CU556" s="567"/>
      <c r="CV556" s="567"/>
      <c r="CW556" s="567"/>
      <c r="CX556" s="567"/>
      <c r="CY556" s="567"/>
      <c r="CZ556" s="567"/>
      <c r="DA556" s="567"/>
      <c r="DB556" s="567"/>
      <c r="DC556" s="567"/>
      <c r="DD556" s="567"/>
      <c r="DE556" s="567"/>
      <c r="DF556" s="567"/>
      <c r="DG556" s="567"/>
      <c r="DH556" s="567"/>
      <c r="DI556" s="567"/>
      <c r="DJ556" s="567"/>
      <c r="DK556" s="567"/>
      <c r="DL556" s="567"/>
      <c r="DM556" s="567"/>
      <c r="DN556" s="567"/>
      <c r="DO556" s="567"/>
      <c r="DP556" s="567"/>
      <c r="DQ556" s="567"/>
      <c r="DR556" s="567"/>
      <c r="DS556" s="567"/>
      <c r="DT556" s="567"/>
      <c r="DU556" s="567"/>
      <c r="DV556" s="567"/>
      <c r="DW556" s="567"/>
      <c r="DX556" s="567"/>
      <c r="DY556" s="567"/>
      <c r="DZ556" s="567"/>
      <c r="EA556" s="567"/>
      <c r="EB556" s="567"/>
      <c r="EC556" s="567"/>
      <c r="ED556" s="567"/>
      <c r="EE556" s="567"/>
      <c r="EF556" s="567"/>
      <c r="EG556" s="567"/>
      <c r="EH556" s="567"/>
      <c r="EI556" s="567"/>
      <c r="EJ556" s="567"/>
      <c r="EK556" s="567"/>
      <c r="EL556" s="567"/>
      <c r="EM556" s="567"/>
      <c r="EN556" s="567"/>
      <c r="EO556" s="567"/>
      <c r="EP556" s="567"/>
      <c r="EQ556" s="567"/>
      <c r="ER556" s="567"/>
      <c r="ES556" s="567"/>
      <c r="ET556" s="567"/>
      <c r="EU556" s="567"/>
      <c r="EV556" s="567"/>
      <c r="EW556" s="567"/>
      <c r="EX556" s="567"/>
      <c r="EY556" s="567"/>
      <c r="EZ556" s="567"/>
      <c r="FA556" s="567"/>
      <c r="FB556" s="567"/>
      <c r="FC556" s="567"/>
      <c r="FD556" s="567"/>
      <c r="FE556" s="567"/>
      <c r="FF556" s="567"/>
      <c r="FG556" s="567"/>
      <c r="FH556" s="567"/>
      <c r="FI556" s="567"/>
      <c r="FJ556" s="567"/>
      <c r="FK556" s="567"/>
      <c r="FL556" s="567"/>
      <c r="FM556" s="567"/>
      <c r="FN556" s="567"/>
      <c r="FO556" s="567"/>
      <c r="FP556" s="567"/>
      <c r="FQ556" s="567"/>
      <c r="FR556" s="567"/>
      <c r="FS556" s="567"/>
      <c r="FT556" s="567"/>
      <c r="FU556" s="567"/>
      <c r="FV556" s="567"/>
      <c r="FW556" s="567"/>
      <c r="FX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  <c r="BW557" s="567"/>
      <c r="BX557" s="567"/>
      <c r="BY557" s="567"/>
      <c r="BZ557" s="567"/>
      <c r="CA557" s="567"/>
      <c r="CB557" s="567"/>
      <c r="CC557" s="567"/>
      <c r="CD557" s="567"/>
      <c r="CE557" s="567"/>
      <c r="CF557" s="567"/>
      <c r="CG557" s="567"/>
      <c r="CH557" s="567"/>
      <c r="CI557" s="567"/>
      <c r="CJ557" s="567"/>
      <c r="CK557" s="567"/>
      <c r="CL557" s="567"/>
      <c r="CM557" s="567"/>
      <c r="CN557" s="567"/>
      <c r="CO557" s="567"/>
      <c r="CP557" s="567"/>
      <c r="CQ557" s="567"/>
      <c r="CR557" s="567"/>
      <c r="CS557" s="567"/>
      <c r="CT557" s="567"/>
      <c r="CU557" s="567"/>
      <c r="CV557" s="567"/>
      <c r="CW557" s="567"/>
      <c r="CX557" s="567"/>
      <c r="CY557" s="567"/>
      <c r="CZ557" s="567"/>
      <c r="DA557" s="567"/>
      <c r="DB557" s="567"/>
      <c r="DC557" s="567"/>
      <c r="DD557" s="567"/>
      <c r="DE557" s="567"/>
      <c r="DF557" s="567"/>
      <c r="DG557" s="567"/>
      <c r="DH557" s="567"/>
      <c r="DI557" s="567"/>
      <c r="DJ557" s="567"/>
      <c r="DK557" s="567"/>
      <c r="DL557" s="567"/>
      <c r="DM557" s="567"/>
      <c r="DN557" s="567"/>
      <c r="DO557" s="567"/>
      <c r="DP557" s="567"/>
      <c r="DQ557" s="567"/>
      <c r="DR557" s="567"/>
      <c r="DS557" s="567"/>
      <c r="DT557" s="567"/>
      <c r="DU557" s="567"/>
      <c r="DV557" s="567"/>
      <c r="DW557" s="567"/>
      <c r="DX557" s="567"/>
      <c r="DY557" s="567"/>
      <c r="DZ557" s="567"/>
      <c r="EA557" s="567"/>
      <c r="EB557" s="567"/>
      <c r="EC557" s="567"/>
      <c r="ED557" s="567"/>
      <c r="EE557" s="567"/>
      <c r="EF557" s="567"/>
      <c r="EG557" s="567"/>
      <c r="EH557" s="567"/>
      <c r="EI557" s="567"/>
      <c r="EJ557" s="567"/>
      <c r="EK557" s="567"/>
      <c r="EL557" s="567"/>
      <c r="EM557" s="567"/>
      <c r="EN557" s="567"/>
      <c r="EO557" s="567"/>
      <c r="EP557" s="567"/>
      <c r="EQ557" s="567"/>
      <c r="ER557" s="567"/>
      <c r="ES557" s="567"/>
      <c r="ET557" s="567"/>
      <c r="EU557" s="567"/>
      <c r="EV557" s="567"/>
      <c r="EW557" s="567"/>
      <c r="EX557" s="567"/>
      <c r="EY557" s="567"/>
      <c r="EZ557" s="567"/>
      <c r="FA557" s="567"/>
      <c r="FB557" s="567"/>
      <c r="FC557" s="567"/>
      <c r="FD557" s="567"/>
      <c r="FE557" s="567"/>
      <c r="FF557" s="567"/>
      <c r="FG557" s="567"/>
      <c r="FH557" s="567"/>
      <c r="FI557" s="567"/>
      <c r="FJ557" s="567"/>
      <c r="FK557" s="567"/>
      <c r="FL557" s="567"/>
      <c r="FM557" s="567"/>
      <c r="FN557" s="567"/>
      <c r="FO557" s="567"/>
      <c r="FP557" s="567"/>
      <c r="FQ557" s="567"/>
      <c r="FR557" s="567"/>
      <c r="FS557" s="567"/>
      <c r="FT557" s="567"/>
      <c r="FU557" s="567"/>
      <c r="FV557" s="567"/>
      <c r="FW557" s="567"/>
      <c r="FX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  <c r="BW558" s="567"/>
      <c r="BX558" s="567"/>
      <c r="BY558" s="567"/>
      <c r="BZ558" s="567"/>
      <c r="CA558" s="567"/>
      <c r="CB558" s="567"/>
      <c r="CC558" s="567"/>
      <c r="CD558" s="567"/>
      <c r="CE558" s="567"/>
      <c r="CF558" s="567"/>
      <c r="CG558" s="567"/>
      <c r="CH558" s="567"/>
      <c r="CI558" s="567"/>
      <c r="CJ558" s="567"/>
      <c r="CK558" s="567"/>
      <c r="CL558" s="567"/>
      <c r="CM558" s="567"/>
      <c r="CN558" s="567"/>
      <c r="CO558" s="567"/>
      <c r="CP558" s="567"/>
      <c r="CQ558" s="567"/>
      <c r="CR558" s="567"/>
      <c r="CS558" s="567"/>
      <c r="CT558" s="567"/>
      <c r="CU558" s="567"/>
      <c r="CV558" s="567"/>
      <c r="CW558" s="567"/>
      <c r="CX558" s="567"/>
      <c r="CY558" s="567"/>
      <c r="CZ558" s="567"/>
      <c r="DA558" s="567"/>
      <c r="DB558" s="567"/>
      <c r="DC558" s="567"/>
      <c r="DD558" s="567"/>
      <c r="DE558" s="567"/>
      <c r="DF558" s="567"/>
      <c r="DG558" s="567"/>
      <c r="DH558" s="567"/>
      <c r="DI558" s="567"/>
      <c r="DJ558" s="567"/>
      <c r="DK558" s="567"/>
      <c r="DL558" s="567"/>
      <c r="DM558" s="567"/>
      <c r="DN558" s="567"/>
      <c r="DO558" s="567"/>
      <c r="DP558" s="567"/>
      <c r="DQ558" s="567"/>
      <c r="DR558" s="567"/>
      <c r="DS558" s="567"/>
      <c r="DT558" s="567"/>
      <c r="DU558" s="567"/>
      <c r="DV558" s="567"/>
      <c r="DW558" s="567"/>
      <c r="DX558" s="567"/>
      <c r="DY558" s="567"/>
      <c r="DZ558" s="567"/>
      <c r="EA558" s="567"/>
      <c r="EB558" s="567"/>
      <c r="EC558" s="567"/>
      <c r="ED558" s="567"/>
      <c r="EE558" s="567"/>
      <c r="EF558" s="567"/>
      <c r="EG558" s="567"/>
      <c r="EH558" s="567"/>
      <c r="EI558" s="567"/>
      <c r="EJ558" s="567"/>
      <c r="EK558" s="567"/>
      <c r="EL558" s="567"/>
      <c r="EM558" s="567"/>
      <c r="EN558" s="567"/>
      <c r="EO558" s="567"/>
      <c r="EP558" s="567"/>
      <c r="EQ558" s="567"/>
      <c r="ER558" s="567"/>
      <c r="ES558" s="567"/>
      <c r="ET558" s="567"/>
      <c r="EU558" s="567"/>
      <c r="EV558" s="567"/>
      <c r="EW558" s="567"/>
      <c r="EX558" s="567"/>
      <c r="EY558" s="567"/>
      <c r="EZ558" s="567"/>
      <c r="FA558" s="567"/>
      <c r="FB558" s="567"/>
      <c r="FC558" s="567"/>
      <c r="FD558" s="567"/>
      <c r="FE558" s="567"/>
      <c r="FF558" s="567"/>
      <c r="FG558" s="567"/>
      <c r="FH558" s="567"/>
      <c r="FI558" s="567"/>
      <c r="FJ558" s="567"/>
      <c r="FK558" s="567"/>
      <c r="FL558" s="567"/>
      <c r="FM558" s="567"/>
      <c r="FN558" s="567"/>
      <c r="FO558" s="567"/>
      <c r="FP558" s="567"/>
      <c r="FQ558" s="567"/>
      <c r="FR558" s="567"/>
      <c r="FS558" s="567"/>
      <c r="FT558" s="567"/>
      <c r="FU558" s="567"/>
      <c r="FV558" s="567"/>
      <c r="FW558" s="567"/>
      <c r="FX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  <c r="BW559" s="567"/>
      <c r="BX559" s="567"/>
      <c r="BY559" s="567"/>
      <c r="BZ559" s="567"/>
      <c r="CA559" s="567"/>
      <c r="CB559" s="567"/>
      <c r="CC559" s="567"/>
      <c r="CD559" s="567"/>
      <c r="CE559" s="567"/>
      <c r="CF559" s="567"/>
      <c r="CG559" s="567"/>
      <c r="CH559" s="567"/>
      <c r="CI559" s="567"/>
      <c r="CJ559" s="567"/>
      <c r="CK559" s="567"/>
      <c r="CL559" s="567"/>
      <c r="CM559" s="567"/>
      <c r="CN559" s="567"/>
      <c r="CO559" s="567"/>
      <c r="CP559" s="567"/>
      <c r="CQ559" s="567"/>
      <c r="CR559" s="567"/>
      <c r="CS559" s="567"/>
      <c r="CT559" s="567"/>
      <c r="CU559" s="567"/>
      <c r="CV559" s="567"/>
      <c r="CW559" s="567"/>
      <c r="CX559" s="567"/>
      <c r="CY559" s="567"/>
      <c r="CZ559" s="567"/>
      <c r="DA559" s="567"/>
      <c r="DB559" s="567"/>
      <c r="DC559" s="567"/>
      <c r="DD559" s="567"/>
      <c r="DE559" s="567"/>
      <c r="DF559" s="567"/>
      <c r="DG559" s="567"/>
      <c r="DH559" s="567"/>
      <c r="DI559" s="567"/>
      <c r="DJ559" s="567"/>
      <c r="DK559" s="567"/>
      <c r="DL559" s="567"/>
      <c r="DM559" s="567"/>
      <c r="DN559" s="567"/>
      <c r="DO559" s="567"/>
      <c r="DP559" s="567"/>
      <c r="DQ559" s="567"/>
      <c r="DR559" s="567"/>
      <c r="DS559" s="567"/>
      <c r="DT559" s="567"/>
      <c r="DU559" s="567"/>
      <c r="DV559" s="567"/>
      <c r="DW559" s="567"/>
      <c r="DX559" s="567"/>
      <c r="DY559" s="567"/>
      <c r="DZ559" s="567"/>
      <c r="EA559" s="567"/>
      <c r="EB559" s="567"/>
      <c r="EC559" s="567"/>
      <c r="ED559" s="567"/>
      <c r="EE559" s="567"/>
      <c r="EF559" s="567"/>
      <c r="EG559" s="567"/>
      <c r="EH559" s="567"/>
      <c r="EI559" s="567"/>
      <c r="EJ559" s="567"/>
      <c r="EK559" s="567"/>
      <c r="EL559" s="567"/>
      <c r="EM559" s="567"/>
      <c r="EN559" s="567"/>
      <c r="EO559" s="567"/>
      <c r="EP559" s="567"/>
      <c r="EQ559" s="567"/>
      <c r="ER559" s="567"/>
      <c r="ES559" s="567"/>
      <c r="ET559" s="567"/>
      <c r="EU559" s="567"/>
      <c r="EV559" s="567"/>
      <c r="EW559" s="567"/>
      <c r="EX559" s="567"/>
      <c r="EY559" s="567"/>
      <c r="EZ559" s="567"/>
      <c r="FA559" s="567"/>
      <c r="FB559" s="567"/>
      <c r="FC559" s="567"/>
      <c r="FD559" s="567"/>
      <c r="FE559" s="567"/>
      <c r="FF559" s="567"/>
      <c r="FG559" s="567"/>
      <c r="FH559" s="567"/>
      <c r="FI559" s="567"/>
      <c r="FJ559" s="567"/>
      <c r="FK559" s="567"/>
      <c r="FL559" s="567"/>
      <c r="FM559" s="567"/>
      <c r="FN559" s="567"/>
      <c r="FO559" s="567"/>
      <c r="FP559" s="567"/>
      <c r="FQ559" s="567"/>
      <c r="FR559" s="567"/>
      <c r="FS559" s="567"/>
      <c r="FT559" s="567"/>
      <c r="FU559" s="567"/>
      <c r="FV559" s="567"/>
      <c r="FW559" s="567"/>
      <c r="FX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  <c r="BW560" s="567"/>
      <c r="BX560" s="567"/>
      <c r="BY560" s="567"/>
      <c r="BZ560" s="567"/>
      <c r="CA560" s="567"/>
      <c r="CB560" s="567"/>
      <c r="CC560" s="567"/>
      <c r="CD560" s="567"/>
      <c r="CE560" s="567"/>
      <c r="CF560" s="567"/>
      <c r="CG560" s="567"/>
      <c r="CH560" s="567"/>
      <c r="CI560" s="567"/>
      <c r="CJ560" s="567"/>
      <c r="CK560" s="567"/>
      <c r="CL560" s="567"/>
      <c r="CM560" s="567"/>
      <c r="CN560" s="567"/>
      <c r="CO560" s="567"/>
      <c r="CP560" s="567"/>
      <c r="CQ560" s="567"/>
      <c r="CR560" s="567"/>
      <c r="CS560" s="567"/>
      <c r="CT560" s="567"/>
      <c r="CU560" s="567"/>
      <c r="CV560" s="567"/>
      <c r="CW560" s="567"/>
      <c r="CX560" s="567"/>
      <c r="CY560" s="567"/>
      <c r="CZ560" s="567"/>
      <c r="DA560" s="567"/>
      <c r="DB560" s="567"/>
      <c r="DC560" s="567"/>
      <c r="DD560" s="567"/>
      <c r="DE560" s="567"/>
      <c r="DF560" s="567"/>
      <c r="DG560" s="567"/>
      <c r="DH560" s="567"/>
      <c r="DI560" s="567"/>
      <c r="DJ560" s="567"/>
      <c r="DK560" s="567"/>
      <c r="DL560" s="567"/>
      <c r="DM560" s="567"/>
      <c r="DN560" s="567"/>
      <c r="DO560" s="567"/>
      <c r="DP560" s="567"/>
      <c r="DQ560" s="567"/>
      <c r="DR560" s="567"/>
      <c r="DS560" s="567"/>
      <c r="DT560" s="567"/>
      <c r="DU560" s="567"/>
      <c r="DV560" s="567"/>
      <c r="DW560" s="567"/>
      <c r="DX560" s="567"/>
      <c r="DY560" s="567"/>
      <c r="DZ560" s="567"/>
      <c r="EA560" s="567"/>
      <c r="EB560" s="567"/>
      <c r="EC560" s="567"/>
      <c r="ED560" s="567"/>
      <c r="EE560" s="567"/>
      <c r="EF560" s="567"/>
      <c r="EG560" s="567"/>
      <c r="EH560" s="567"/>
      <c r="EI560" s="567"/>
      <c r="EJ560" s="567"/>
      <c r="EK560" s="567"/>
      <c r="EL560" s="567"/>
      <c r="EM560" s="567"/>
      <c r="EN560" s="567"/>
      <c r="EO560" s="567"/>
      <c r="EP560" s="567"/>
      <c r="EQ560" s="567"/>
      <c r="ER560" s="567"/>
      <c r="ES560" s="567"/>
      <c r="ET560" s="567"/>
      <c r="EU560" s="567"/>
      <c r="EV560" s="567"/>
      <c r="EW560" s="567"/>
      <c r="EX560" s="567"/>
      <c r="EY560" s="567"/>
      <c r="EZ560" s="567"/>
      <c r="FA560" s="567"/>
      <c r="FB560" s="567"/>
      <c r="FC560" s="567"/>
      <c r="FD560" s="567"/>
      <c r="FE560" s="567"/>
      <c r="FF560" s="567"/>
      <c r="FG560" s="567"/>
      <c r="FH560" s="567"/>
      <c r="FI560" s="567"/>
      <c r="FJ560" s="567"/>
      <c r="FK560" s="567"/>
      <c r="FL560" s="567"/>
      <c r="FM560" s="567"/>
      <c r="FN560" s="567"/>
      <c r="FO560" s="567"/>
      <c r="FP560" s="567"/>
      <c r="FQ560" s="567"/>
      <c r="FR560" s="567"/>
      <c r="FS560" s="567"/>
      <c r="FT560" s="567"/>
      <c r="FU560" s="567"/>
      <c r="FV560" s="567"/>
      <c r="FW560" s="567"/>
      <c r="FX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  <c r="BW561" s="567"/>
      <c r="BX561" s="567"/>
      <c r="BY561" s="567"/>
      <c r="BZ561" s="567"/>
      <c r="CA561" s="567"/>
      <c r="CB561" s="567"/>
      <c r="CC561" s="567"/>
      <c r="CD561" s="567"/>
      <c r="CE561" s="567"/>
      <c r="CF561" s="567"/>
      <c r="CG561" s="567"/>
      <c r="CH561" s="567"/>
      <c r="CI561" s="567"/>
      <c r="CJ561" s="567"/>
      <c r="CK561" s="567"/>
      <c r="CL561" s="567"/>
      <c r="CM561" s="567"/>
      <c r="CN561" s="567"/>
      <c r="CO561" s="567"/>
      <c r="CP561" s="567"/>
      <c r="CQ561" s="567"/>
      <c r="CR561" s="567"/>
      <c r="CS561" s="567"/>
      <c r="CT561" s="567"/>
      <c r="CU561" s="567"/>
      <c r="CV561" s="567"/>
      <c r="CW561" s="567"/>
      <c r="CX561" s="567"/>
      <c r="CY561" s="567"/>
      <c r="CZ561" s="567"/>
      <c r="DA561" s="567"/>
      <c r="DB561" s="567"/>
      <c r="DC561" s="567"/>
      <c r="DD561" s="567"/>
      <c r="DE561" s="567"/>
      <c r="DF561" s="567"/>
      <c r="DG561" s="567"/>
      <c r="DH561" s="567"/>
      <c r="DI561" s="567"/>
      <c r="DJ561" s="567"/>
      <c r="DK561" s="567"/>
      <c r="DL561" s="567"/>
      <c r="DM561" s="567"/>
      <c r="DN561" s="567"/>
      <c r="DO561" s="567"/>
      <c r="DP561" s="567"/>
      <c r="DQ561" s="567"/>
      <c r="DR561" s="567"/>
      <c r="DS561" s="567"/>
      <c r="DT561" s="567"/>
      <c r="DU561" s="567"/>
      <c r="DV561" s="567"/>
      <c r="DW561" s="567"/>
      <c r="DX561" s="567"/>
      <c r="DY561" s="567"/>
      <c r="DZ561" s="567"/>
      <c r="EA561" s="567"/>
      <c r="EB561" s="567"/>
      <c r="EC561" s="567"/>
      <c r="ED561" s="567"/>
      <c r="EE561" s="567"/>
      <c r="EF561" s="567"/>
      <c r="EG561" s="567"/>
      <c r="EH561" s="567"/>
      <c r="EI561" s="567"/>
      <c r="EJ561" s="567"/>
      <c r="EK561" s="567"/>
      <c r="EL561" s="567"/>
      <c r="EM561" s="567"/>
      <c r="EN561" s="567"/>
      <c r="EO561" s="567"/>
      <c r="EP561" s="567"/>
      <c r="EQ561" s="567"/>
      <c r="ER561" s="567"/>
      <c r="ES561" s="567"/>
      <c r="ET561" s="567"/>
      <c r="EU561" s="567"/>
      <c r="EV561" s="567"/>
      <c r="EW561" s="567"/>
      <c r="EX561" s="567"/>
      <c r="EY561" s="567"/>
      <c r="EZ561" s="567"/>
      <c r="FA561" s="567"/>
      <c r="FB561" s="567"/>
      <c r="FC561" s="567"/>
      <c r="FD561" s="567"/>
      <c r="FE561" s="567"/>
      <c r="FF561" s="567"/>
      <c r="FG561" s="567"/>
      <c r="FH561" s="567"/>
      <c r="FI561" s="567"/>
      <c r="FJ561" s="567"/>
      <c r="FK561" s="567"/>
      <c r="FL561" s="567"/>
      <c r="FM561" s="567"/>
      <c r="FN561" s="567"/>
      <c r="FO561" s="567"/>
      <c r="FP561" s="567"/>
      <c r="FQ561" s="567"/>
      <c r="FR561" s="567"/>
      <c r="FS561" s="567"/>
      <c r="FT561" s="567"/>
      <c r="FU561" s="567"/>
      <c r="FV561" s="567"/>
      <c r="FW561" s="567"/>
      <c r="FX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  <c r="BW562" s="567"/>
      <c r="BX562" s="567"/>
      <c r="BY562" s="567"/>
      <c r="BZ562" s="567"/>
      <c r="CA562" s="567"/>
      <c r="CB562" s="567"/>
      <c r="CC562" s="567"/>
      <c r="CD562" s="567"/>
      <c r="CE562" s="567"/>
      <c r="CF562" s="567"/>
      <c r="CG562" s="567"/>
      <c r="CH562" s="567"/>
      <c r="CI562" s="567"/>
      <c r="CJ562" s="567"/>
      <c r="CK562" s="567"/>
      <c r="CL562" s="567"/>
      <c r="CM562" s="567"/>
      <c r="CN562" s="567"/>
      <c r="CO562" s="567"/>
      <c r="CP562" s="567"/>
      <c r="CQ562" s="567"/>
      <c r="CR562" s="567"/>
      <c r="CS562" s="567"/>
      <c r="CT562" s="567"/>
      <c r="CU562" s="567"/>
      <c r="CV562" s="567"/>
      <c r="CW562" s="567"/>
      <c r="CX562" s="567"/>
      <c r="CY562" s="567"/>
      <c r="CZ562" s="567"/>
      <c r="DA562" s="567"/>
      <c r="DB562" s="567"/>
      <c r="DC562" s="567"/>
      <c r="DD562" s="567"/>
      <c r="DE562" s="567"/>
      <c r="DF562" s="567"/>
      <c r="DG562" s="567"/>
      <c r="DH562" s="567"/>
      <c r="DI562" s="567"/>
      <c r="DJ562" s="567"/>
      <c r="DK562" s="567"/>
      <c r="DL562" s="567"/>
      <c r="DM562" s="567"/>
      <c r="DN562" s="567"/>
      <c r="DO562" s="567"/>
      <c r="DP562" s="567"/>
      <c r="DQ562" s="567"/>
      <c r="DR562" s="567"/>
      <c r="DS562" s="567"/>
      <c r="DT562" s="567"/>
      <c r="DU562" s="567"/>
      <c r="DV562" s="567"/>
      <c r="DW562" s="567"/>
      <c r="DX562" s="567"/>
      <c r="DY562" s="567"/>
      <c r="DZ562" s="567"/>
      <c r="EA562" s="567"/>
      <c r="EB562" s="567"/>
      <c r="EC562" s="567"/>
      <c r="ED562" s="567"/>
      <c r="EE562" s="567"/>
      <c r="EF562" s="567"/>
      <c r="EG562" s="567"/>
      <c r="EH562" s="567"/>
      <c r="EI562" s="567"/>
      <c r="EJ562" s="567"/>
      <c r="EK562" s="567"/>
      <c r="EL562" s="567"/>
      <c r="EM562" s="567"/>
      <c r="EN562" s="567"/>
      <c r="EO562" s="567"/>
      <c r="EP562" s="567"/>
      <c r="EQ562" s="567"/>
      <c r="ER562" s="567"/>
      <c r="ES562" s="567"/>
      <c r="ET562" s="567"/>
      <c r="EU562" s="567"/>
      <c r="EV562" s="567"/>
      <c r="EW562" s="567"/>
      <c r="EX562" s="567"/>
      <c r="EY562" s="567"/>
      <c r="EZ562" s="567"/>
      <c r="FA562" s="567"/>
      <c r="FB562" s="567"/>
      <c r="FC562" s="567"/>
      <c r="FD562" s="567"/>
      <c r="FE562" s="567"/>
      <c r="FF562" s="567"/>
      <c r="FG562" s="567"/>
      <c r="FH562" s="567"/>
      <c r="FI562" s="567"/>
      <c r="FJ562" s="567"/>
      <c r="FK562" s="567"/>
      <c r="FL562" s="567"/>
      <c r="FM562" s="567"/>
      <c r="FN562" s="567"/>
      <c r="FO562" s="567"/>
      <c r="FP562" s="567"/>
      <c r="FQ562" s="567"/>
      <c r="FR562" s="567"/>
      <c r="FS562" s="567"/>
      <c r="FT562" s="567"/>
      <c r="FU562" s="567"/>
      <c r="FV562" s="567"/>
      <c r="FW562" s="567"/>
      <c r="FX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  <c r="BW563" s="567"/>
      <c r="BX563" s="567"/>
      <c r="BY563" s="567"/>
      <c r="BZ563" s="567"/>
      <c r="CA563" s="567"/>
      <c r="CB563" s="567"/>
      <c r="CC563" s="567"/>
      <c r="CD563" s="567"/>
      <c r="CE563" s="567"/>
      <c r="CF563" s="567"/>
      <c r="CG563" s="567"/>
      <c r="CH563" s="567"/>
      <c r="CI563" s="567"/>
      <c r="CJ563" s="567"/>
      <c r="CK563" s="567"/>
      <c r="CL563" s="567"/>
      <c r="CM563" s="567"/>
      <c r="CN563" s="567"/>
      <c r="CO563" s="567"/>
      <c r="CP563" s="567"/>
      <c r="CQ563" s="567"/>
      <c r="CR563" s="567"/>
      <c r="CS563" s="567"/>
      <c r="CT563" s="567"/>
      <c r="CU563" s="567"/>
      <c r="CV563" s="567"/>
      <c r="CW563" s="567"/>
      <c r="CX563" s="567"/>
      <c r="CY563" s="567"/>
      <c r="CZ563" s="567"/>
      <c r="DA563" s="567"/>
      <c r="DB563" s="567"/>
      <c r="DC563" s="567"/>
      <c r="DD563" s="567"/>
      <c r="DE563" s="567"/>
      <c r="DF563" s="567"/>
      <c r="DG563" s="567"/>
      <c r="DH563" s="567"/>
      <c r="DI563" s="567"/>
      <c r="DJ563" s="567"/>
      <c r="DK563" s="567"/>
      <c r="DL563" s="567"/>
      <c r="DM563" s="567"/>
      <c r="DN563" s="567"/>
      <c r="DO563" s="567"/>
      <c r="DP563" s="567"/>
      <c r="DQ563" s="567"/>
      <c r="DR563" s="567"/>
      <c r="DS563" s="567"/>
      <c r="DT563" s="567"/>
      <c r="DU563" s="567"/>
      <c r="DV563" s="567"/>
      <c r="DW563" s="567"/>
      <c r="DX563" s="567"/>
      <c r="DY563" s="567"/>
      <c r="DZ563" s="567"/>
      <c r="EA563" s="567"/>
      <c r="EB563" s="567"/>
      <c r="EC563" s="567"/>
      <c r="ED563" s="567"/>
      <c r="EE563" s="567"/>
      <c r="EF563" s="567"/>
      <c r="EG563" s="567"/>
      <c r="EH563" s="567"/>
      <c r="EI563" s="567"/>
      <c r="EJ563" s="567"/>
      <c r="EK563" s="567"/>
      <c r="EL563" s="567"/>
      <c r="EM563" s="567"/>
      <c r="EN563" s="567"/>
      <c r="EO563" s="567"/>
      <c r="EP563" s="567"/>
      <c r="EQ563" s="567"/>
      <c r="ER563" s="567"/>
      <c r="ES563" s="567"/>
      <c r="ET563" s="567"/>
      <c r="EU563" s="567"/>
      <c r="EV563" s="567"/>
      <c r="EW563" s="567"/>
      <c r="EX563" s="567"/>
      <c r="EY563" s="567"/>
      <c r="EZ563" s="567"/>
      <c r="FA563" s="567"/>
      <c r="FB563" s="567"/>
      <c r="FC563" s="567"/>
      <c r="FD563" s="567"/>
      <c r="FE563" s="567"/>
      <c r="FF563" s="567"/>
      <c r="FG563" s="567"/>
      <c r="FH563" s="567"/>
      <c r="FI563" s="567"/>
      <c r="FJ563" s="567"/>
      <c r="FK563" s="567"/>
      <c r="FL563" s="567"/>
      <c r="FM563" s="567"/>
      <c r="FN563" s="567"/>
      <c r="FO563" s="567"/>
      <c r="FP563" s="567"/>
      <c r="FQ563" s="567"/>
      <c r="FR563" s="567"/>
      <c r="FS563" s="567"/>
      <c r="FT563" s="567"/>
      <c r="FU563" s="567"/>
      <c r="FV563" s="567"/>
      <c r="FW563" s="567"/>
      <c r="FX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  <c r="BW564" s="567"/>
      <c r="BX564" s="567"/>
      <c r="BY564" s="567"/>
      <c r="BZ564" s="567"/>
      <c r="CA564" s="567"/>
      <c r="CB564" s="567"/>
      <c r="CC564" s="567"/>
      <c r="CD564" s="567"/>
      <c r="CE564" s="567"/>
      <c r="CF564" s="567"/>
      <c r="CG564" s="567"/>
      <c r="CH564" s="567"/>
      <c r="CI564" s="567"/>
      <c r="CJ564" s="567"/>
      <c r="CK564" s="567"/>
      <c r="CL564" s="567"/>
      <c r="CM564" s="567"/>
      <c r="CN564" s="567"/>
      <c r="CO564" s="567"/>
      <c r="CP564" s="567"/>
      <c r="CQ564" s="567"/>
      <c r="CR564" s="567"/>
      <c r="CS564" s="567"/>
      <c r="CT564" s="567"/>
      <c r="CU564" s="567"/>
      <c r="CV564" s="567"/>
      <c r="CW564" s="567"/>
      <c r="CX564" s="567"/>
      <c r="CY564" s="567"/>
      <c r="CZ564" s="567"/>
      <c r="DA564" s="567"/>
      <c r="DB564" s="567"/>
      <c r="DC564" s="567"/>
      <c r="DD564" s="567"/>
      <c r="DE564" s="567"/>
      <c r="DF564" s="567"/>
      <c r="DG564" s="567"/>
      <c r="DH564" s="567"/>
      <c r="DI564" s="567"/>
      <c r="DJ564" s="567"/>
      <c r="DK564" s="567"/>
      <c r="DL564" s="567"/>
      <c r="DM564" s="567"/>
      <c r="DN564" s="567"/>
      <c r="DO564" s="567"/>
      <c r="DP564" s="567"/>
      <c r="DQ564" s="567"/>
      <c r="DR564" s="567"/>
      <c r="DS564" s="567"/>
      <c r="DT564" s="567"/>
      <c r="DU564" s="567"/>
      <c r="DV564" s="567"/>
      <c r="DW564" s="567"/>
      <c r="DX564" s="567"/>
      <c r="DY564" s="567"/>
      <c r="DZ564" s="567"/>
      <c r="EA564" s="567"/>
      <c r="EB564" s="567"/>
      <c r="EC564" s="567"/>
      <c r="ED564" s="567"/>
      <c r="EE564" s="567"/>
      <c r="EF564" s="567"/>
      <c r="EG564" s="567"/>
      <c r="EH564" s="567"/>
      <c r="EI564" s="567"/>
      <c r="EJ564" s="567"/>
      <c r="EK564" s="567"/>
      <c r="EL564" s="567"/>
      <c r="EM564" s="567"/>
      <c r="EN564" s="567"/>
      <c r="EO564" s="567"/>
      <c r="EP564" s="567"/>
      <c r="EQ564" s="567"/>
      <c r="ER564" s="567"/>
      <c r="ES564" s="567"/>
      <c r="ET564" s="567"/>
      <c r="EU564" s="567"/>
      <c r="EV564" s="567"/>
      <c r="EW564" s="567"/>
      <c r="EX564" s="567"/>
      <c r="EY564" s="567"/>
      <c r="EZ564" s="567"/>
      <c r="FA564" s="567"/>
      <c r="FB564" s="567"/>
      <c r="FC564" s="567"/>
      <c r="FD564" s="567"/>
      <c r="FE564" s="567"/>
      <c r="FF564" s="567"/>
      <c r="FG564" s="567"/>
      <c r="FH564" s="567"/>
      <c r="FI564" s="567"/>
      <c r="FJ564" s="567"/>
      <c r="FK564" s="567"/>
      <c r="FL564" s="567"/>
      <c r="FM564" s="567"/>
      <c r="FN564" s="567"/>
      <c r="FO564" s="567"/>
      <c r="FP564" s="567"/>
      <c r="FQ564" s="567"/>
      <c r="FR564" s="567"/>
      <c r="FS564" s="567"/>
      <c r="FT564" s="567"/>
      <c r="FU564" s="567"/>
      <c r="FV564" s="567"/>
      <c r="FW564" s="567"/>
      <c r="FX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  <c r="BW565" s="567"/>
      <c r="BX565" s="567"/>
      <c r="BY565" s="567"/>
      <c r="BZ565" s="567"/>
      <c r="CA565" s="567"/>
      <c r="CB565" s="567"/>
      <c r="CC565" s="567"/>
      <c r="CD565" s="567"/>
      <c r="CE565" s="567"/>
      <c r="CF565" s="567"/>
      <c r="CG565" s="567"/>
      <c r="CH565" s="567"/>
      <c r="CI565" s="567"/>
      <c r="CJ565" s="567"/>
      <c r="CK565" s="567"/>
      <c r="CL565" s="567"/>
      <c r="CM565" s="567"/>
      <c r="CN565" s="567"/>
      <c r="CO565" s="567"/>
      <c r="CP565" s="567"/>
      <c r="CQ565" s="567"/>
      <c r="CR565" s="567"/>
      <c r="CS565" s="567"/>
      <c r="CT565" s="567"/>
      <c r="CU565" s="567"/>
      <c r="CV565" s="567"/>
      <c r="CW565" s="567"/>
      <c r="CX565" s="567"/>
      <c r="CY565" s="567"/>
      <c r="CZ565" s="567"/>
      <c r="DA565" s="567"/>
      <c r="DB565" s="567"/>
      <c r="DC565" s="567"/>
      <c r="DD565" s="567"/>
      <c r="DE565" s="567"/>
      <c r="DF565" s="567"/>
      <c r="DG565" s="567"/>
      <c r="DH565" s="567"/>
      <c r="DI565" s="567"/>
      <c r="DJ565" s="567"/>
      <c r="DK565" s="567"/>
      <c r="DL565" s="567"/>
      <c r="DM565" s="567"/>
      <c r="DN565" s="567"/>
      <c r="DO565" s="567"/>
      <c r="DP565" s="567"/>
      <c r="DQ565" s="567"/>
      <c r="DR565" s="567"/>
      <c r="DS565" s="567"/>
      <c r="DT565" s="567"/>
      <c r="DU565" s="567"/>
      <c r="DV565" s="567"/>
      <c r="DW565" s="567"/>
      <c r="DX565" s="567"/>
      <c r="DY565" s="567"/>
      <c r="DZ565" s="567"/>
      <c r="EA565" s="567"/>
      <c r="EB565" s="567"/>
      <c r="EC565" s="567"/>
      <c r="ED565" s="567"/>
      <c r="EE565" s="567"/>
      <c r="EF565" s="567"/>
      <c r="EG565" s="567"/>
      <c r="EH565" s="567"/>
      <c r="EI565" s="567"/>
      <c r="EJ565" s="567"/>
      <c r="EK565" s="567"/>
      <c r="EL565" s="567"/>
      <c r="EM565" s="567"/>
      <c r="EN565" s="567"/>
      <c r="EO565" s="567"/>
      <c r="EP565" s="567"/>
      <c r="EQ565" s="567"/>
      <c r="ER565" s="567"/>
      <c r="ES565" s="567"/>
      <c r="ET565" s="567"/>
      <c r="EU565" s="567"/>
      <c r="EV565" s="567"/>
      <c r="EW565" s="567"/>
      <c r="EX565" s="567"/>
      <c r="EY565" s="567"/>
      <c r="EZ565" s="567"/>
      <c r="FA565" s="567"/>
      <c r="FB565" s="567"/>
      <c r="FC565" s="567"/>
      <c r="FD565" s="567"/>
      <c r="FE565" s="567"/>
      <c r="FF565" s="567"/>
      <c r="FG565" s="567"/>
      <c r="FH565" s="567"/>
      <c r="FI565" s="567"/>
      <c r="FJ565" s="567"/>
      <c r="FK565" s="567"/>
      <c r="FL565" s="567"/>
      <c r="FM565" s="567"/>
      <c r="FN565" s="567"/>
      <c r="FO565" s="567"/>
      <c r="FP565" s="567"/>
      <c r="FQ565" s="567"/>
      <c r="FR565" s="567"/>
      <c r="FS565" s="567"/>
      <c r="FT565" s="567"/>
      <c r="FU565" s="567"/>
      <c r="FV565" s="567"/>
      <c r="FW565" s="567"/>
      <c r="FX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  <c r="BW566" s="567"/>
      <c r="BX566" s="567"/>
      <c r="BY566" s="567"/>
      <c r="BZ566" s="567"/>
      <c r="CA566" s="567"/>
      <c r="CB566" s="567"/>
      <c r="CC566" s="567"/>
      <c r="CD566" s="567"/>
      <c r="CE566" s="567"/>
      <c r="CF566" s="567"/>
      <c r="CG566" s="567"/>
      <c r="CH566" s="567"/>
      <c r="CI566" s="567"/>
      <c r="CJ566" s="567"/>
      <c r="CK566" s="567"/>
      <c r="CL566" s="567"/>
      <c r="CM566" s="567"/>
      <c r="CN566" s="567"/>
      <c r="CO566" s="567"/>
      <c r="CP566" s="567"/>
      <c r="CQ566" s="567"/>
      <c r="CR566" s="567"/>
      <c r="CS566" s="567"/>
      <c r="CT566" s="567"/>
      <c r="CU566" s="567"/>
      <c r="CV566" s="567"/>
      <c r="CW566" s="567"/>
      <c r="CX566" s="567"/>
      <c r="CY566" s="567"/>
      <c r="CZ566" s="567"/>
      <c r="DA566" s="567"/>
      <c r="DB566" s="567"/>
      <c r="DC566" s="567"/>
      <c r="DD566" s="567"/>
      <c r="DE566" s="567"/>
      <c r="DF566" s="567"/>
      <c r="DG566" s="567"/>
      <c r="DH566" s="567"/>
      <c r="DI566" s="567"/>
      <c r="DJ566" s="567"/>
      <c r="DK566" s="567"/>
      <c r="DL566" s="567"/>
      <c r="DM566" s="567"/>
      <c r="DN566" s="567"/>
      <c r="DO566" s="567"/>
      <c r="DP566" s="567"/>
      <c r="DQ566" s="567"/>
      <c r="DR566" s="567"/>
      <c r="DS566" s="567"/>
      <c r="DT566" s="567"/>
      <c r="DU566" s="567"/>
      <c r="DV566" s="567"/>
      <c r="DW566" s="567"/>
      <c r="DX566" s="567"/>
      <c r="DY566" s="567"/>
      <c r="DZ566" s="567"/>
      <c r="EA566" s="567"/>
      <c r="EB566" s="567"/>
      <c r="EC566" s="567"/>
      <c r="ED566" s="567"/>
      <c r="EE566" s="567"/>
      <c r="EF566" s="567"/>
      <c r="EG566" s="567"/>
      <c r="EH566" s="567"/>
      <c r="EI566" s="567"/>
      <c r="EJ566" s="567"/>
      <c r="EK566" s="567"/>
      <c r="EL566" s="567"/>
      <c r="EM566" s="567"/>
      <c r="EN566" s="567"/>
      <c r="EO566" s="567"/>
      <c r="EP566" s="567"/>
      <c r="EQ566" s="567"/>
      <c r="ER566" s="567"/>
      <c r="ES566" s="567"/>
      <c r="ET566" s="567"/>
      <c r="EU566" s="567"/>
      <c r="EV566" s="567"/>
      <c r="EW566" s="567"/>
      <c r="EX566" s="567"/>
      <c r="EY566" s="567"/>
      <c r="EZ566" s="567"/>
      <c r="FA566" s="567"/>
      <c r="FB566" s="567"/>
      <c r="FC566" s="567"/>
      <c r="FD566" s="567"/>
      <c r="FE566" s="567"/>
      <c r="FF566" s="567"/>
      <c r="FG566" s="567"/>
      <c r="FH566" s="567"/>
      <c r="FI566" s="567"/>
      <c r="FJ566" s="567"/>
      <c r="FK566" s="567"/>
      <c r="FL566" s="567"/>
      <c r="FM566" s="567"/>
      <c r="FN566" s="567"/>
      <c r="FO566" s="567"/>
      <c r="FP566" s="567"/>
      <c r="FQ566" s="567"/>
      <c r="FR566" s="567"/>
      <c r="FS566" s="567"/>
      <c r="FT566" s="567"/>
      <c r="FU566" s="567"/>
      <c r="FV566" s="567"/>
      <c r="FW566" s="567"/>
      <c r="FX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  <c r="BW567" s="567"/>
      <c r="BX567" s="567"/>
      <c r="BY567" s="567"/>
      <c r="BZ567" s="567"/>
      <c r="CA567" s="567"/>
      <c r="CB567" s="567"/>
      <c r="CC567" s="567"/>
      <c r="CD567" s="567"/>
      <c r="CE567" s="567"/>
      <c r="CF567" s="567"/>
      <c r="CG567" s="567"/>
      <c r="CH567" s="567"/>
      <c r="CI567" s="567"/>
      <c r="CJ567" s="567"/>
      <c r="CK567" s="567"/>
      <c r="CL567" s="567"/>
      <c r="CM567" s="567"/>
      <c r="CN567" s="567"/>
      <c r="CO567" s="567"/>
      <c r="CP567" s="567"/>
      <c r="CQ567" s="567"/>
      <c r="CR567" s="567"/>
      <c r="CS567" s="567"/>
      <c r="CT567" s="567"/>
      <c r="CU567" s="567"/>
      <c r="CV567" s="567"/>
      <c r="CW567" s="567"/>
      <c r="CX567" s="567"/>
      <c r="CY567" s="567"/>
      <c r="CZ567" s="567"/>
      <c r="DA567" s="567"/>
      <c r="DB567" s="567"/>
      <c r="DC567" s="567"/>
      <c r="DD567" s="567"/>
      <c r="DE567" s="567"/>
      <c r="DF567" s="567"/>
      <c r="DG567" s="567"/>
      <c r="DH567" s="567"/>
      <c r="DI567" s="567"/>
      <c r="DJ567" s="567"/>
      <c r="DK567" s="567"/>
      <c r="DL567" s="567"/>
      <c r="DM567" s="567"/>
      <c r="DN567" s="567"/>
      <c r="DO567" s="567"/>
      <c r="DP567" s="567"/>
      <c r="DQ567" s="567"/>
      <c r="DR567" s="567"/>
      <c r="DS567" s="567"/>
      <c r="DT567" s="567"/>
      <c r="DU567" s="567"/>
      <c r="DV567" s="567"/>
      <c r="DW567" s="567"/>
      <c r="DX567" s="567"/>
      <c r="DY567" s="567"/>
      <c r="DZ567" s="567"/>
      <c r="EA567" s="567"/>
      <c r="EB567" s="567"/>
      <c r="EC567" s="567"/>
      <c r="ED567" s="567"/>
      <c r="EE567" s="567"/>
      <c r="EF567" s="567"/>
      <c r="EG567" s="567"/>
      <c r="EH567" s="567"/>
      <c r="EI567" s="567"/>
      <c r="EJ567" s="567"/>
      <c r="EK567" s="567"/>
      <c r="EL567" s="567"/>
      <c r="EM567" s="567"/>
      <c r="EN567" s="567"/>
      <c r="EO567" s="567"/>
      <c r="EP567" s="567"/>
      <c r="EQ567" s="567"/>
      <c r="ER567" s="567"/>
      <c r="ES567" s="567"/>
      <c r="ET567" s="567"/>
      <c r="EU567" s="567"/>
      <c r="EV567" s="567"/>
      <c r="EW567" s="567"/>
      <c r="EX567" s="567"/>
      <c r="EY567" s="567"/>
      <c r="EZ567" s="567"/>
      <c r="FA567" s="567"/>
      <c r="FB567" s="567"/>
      <c r="FC567" s="567"/>
      <c r="FD567" s="567"/>
      <c r="FE567" s="567"/>
      <c r="FF567" s="567"/>
      <c r="FG567" s="567"/>
      <c r="FH567" s="567"/>
      <c r="FI567" s="567"/>
      <c r="FJ567" s="567"/>
      <c r="FK567" s="567"/>
      <c r="FL567" s="567"/>
      <c r="FM567" s="567"/>
      <c r="FN567" s="567"/>
      <c r="FO567" s="567"/>
      <c r="FP567" s="567"/>
      <c r="FQ567" s="567"/>
      <c r="FR567" s="567"/>
      <c r="FS567" s="567"/>
      <c r="FT567" s="567"/>
      <c r="FU567" s="567"/>
      <c r="FV567" s="567"/>
      <c r="FW567" s="567"/>
      <c r="FX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  <c r="BW568" s="567"/>
      <c r="BX568" s="567"/>
      <c r="BY568" s="567"/>
      <c r="BZ568" s="567"/>
      <c r="CA568" s="567"/>
      <c r="CB568" s="567"/>
      <c r="CC568" s="567"/>
      <c r="CD568" s="567"/>
      <c r="CE568" s="567"/>
      <c r="CF568" s="567"/>
      <c r="CG568" s="567"/>
      <c r="CH568" s="567"/>
      <c r="CI568" s="567"/>
      <c r="CJ568" s="567"/>
      <c r="CK568" s="567"/>
      <c r="CL568" s="567"/>
      <c r="CM568" s="567"/>
      <c r="CN568" s="567"/>
      <c r="CO568" s="567"/>
      <c r="CP568" s="567"/>
      <c r="CQ568" s="567"/>
      <c r="CR568" s="567"/>
      <c r="CS568" s="567"/>
      <c r="CT568" s="567"/>
      <c r="CU568" s="567"/>
      <c r="CV568" s="567"/>
      <c r="CW568" s="567"/>
      <c r="CX568" s="567"/>
      <c r="CY568" s="567"/>
      <c r="CZ568" s="567"/>
      <c r="DA568" s="567"/>
      <c r="DB568" s="567"/>
      <c r="DC568" s="567"/>
      <c r="DD568" s="567"/>
      <c r="DE568" s="567"/>
      <c r="DF568" s="567"/>
      <c r="DG568" s="567"/>
      <c r="DH568" s="567"/>
      <c r="DI568" s="567"/>
      <c r="DJ568" s="567"/>
      <c r="DK568" s="567"/>
      <c r="DL568" s="567"/>
      <c r="DM568" s="567"/>
      <c r="DN568" s="567"/>
      <c r="DO568" s="567"/>
      <c r="DP568" s="567"/>
      <c r="DQ568" s="567"/>
      <c r="DR568" s="567"/>
      <c r="DS568" s="567"/>
      <c r="DT568" s="567"/>
      <c r="DU568" s="567"/>
      <c r="DV568" s="567"/>
      <c r="DW568" s="567"/>
      <c r="DX568" s="567"/>
      <c r="DY568" s="567"/>
      <c r="DZ568" s="567"/>
      <c r="EA568" s="567"/>
      <c r="EB568" s="567"/>
      <c r="EC568" s="567"/>
      <c r="ED568" s="567"/>
      <c r="EE568" s="567"/>
      <c r="EF568" s="567"/>
      <c r="EG568" s="567"/>
      <c r="EH568" s="567"/>
      <c r="EI568" s="567"/>
      <c r="EJ568" s="567"/>
      <c r="EK568" s="567"/>
      <c r="EL568" s="567"/>
      <c r="EM568" s="567"/>
      <c r="EN568" s="567"/>
      <c r="EO568" s="567"/>
      <c r="EP568" s="567"/>
      <c r="EQ568" s="567"/>
      <c r="ER568" s="567"/>
      <c r="ES568" s="567"/>
      <c r="ET568" s="567"/>
      <c r="EU568" s="567"/>
      <c r="EV568" s="567"/>
      <c r="EW568" s="567"/>
      <c r="EX568" s="567"/>
      <c r="EY568" s="567"/>
      <c r="EZ568" s="567"/>
      <c r="FA568" s="567"/>
      <c r="FB568" s="567"/>
      <c r="FC568" s="567"/>
      <c r="FD568" s="567"/>
      <c r="FE568" s="567"/>
      <c r="FF568" s="567"/>
      <c r="FG568" s="567"/>
      <c r="FH568" s="567"/>
      <c r="FI568" s="567"/>
      <c r="FJ568" s="567"/>
      <c r="FK568" s="567"/>
      <c r="FL568" s="567"/>
      <c r="FM568" s="567"/>
      <c r="FN568" s="567"/>
      <c r="FO568" s="567"/>
      <c r="FP568" s="567"/>
      <c r="FQ568" s="567"/>
      <c r="FR568" s="567"/>
      <c r="FS568" s="567"/>
      <c r="FT568" s="567"/>
      <c r="FU568" s="567"/>
      <c r="FV568" s="567"/>
      <c r="FW568" s="567"/>
      <c r="FX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  <c r="BW569" s="567"/>
      <c r="BX569" s="567"/>
      <c r="BY569" s="567"/>
      <c r="BZ569" s="567"/>
      <c r="CA569" s="567"/>
      <c r="CB569" s="567"/>
      <c r="CC569" s="567"/>
      <c r="CD569" s="567"/>
      <c r="CE569" s="567"/>
      <c r="CF569" s="567"/>
      <c r="CG569" s="567"/>
      <c r="CH569" s="567"/>
      <c r="CI569" s="567"/>
      <c r="CJ569" s="567"/>
      <c r="CK569" s="567"/>
      <c r="CL569" s="567"/>
      <c r="CM569" s="567"/>
      <c r="CN569" s="567"/>
      <c r="CO569" s="567"/>
      <c r="CP569" s="567"/>
      <c r="CQ569" s="567"/>
      <c r="CR569" s="567"/>
      <c r="CS569" s="567"/>
      <c r="CT569" s="567"/>
      <c r="CU569" s="567"/>
      <c r="CV569" s="567"/>
      <c r="CW569" s="567"/>
      <c r="CX569" s="567"/>
      <c r="CY569" s="567"/>
      <c r="CZ569" s="567"/>
      <c r="DA569" s="567"/>
      <c r="DB569" s="567"/>
      <c r="DC569" s="567"/>
      <c r="DD569" s="567"/>
      <c r="DE569" s="567"/>
      <c r="DF569" s="567"/>
      <c r="DG569" s="567"/>
      <c r="DH569" s="567"/>
      <c r="DI569" s="567"/>
      <c r="DJ569" s="567"/>
      <c r="DK569" s="567"/>
      <c r="DL569" s="567"/>
      <c r="DM569" s="567"/>
      <c r="DN569" s="567"/>
      <c r="DO569" s="567"/>
      <c r="DP569" s="567"/>
      <c r="DQ569" s="567"/>
      <c r="DR569" s="567"/>
      <c r="DS569" s="567"/>
      <c r="DT569" s="567"/>
      <c r="DU569" s="567"/>
      <c r="DV569" s="567"/>
      <c r="DW569" s="567"/>
      <c r="DX569" s="567"/>
      <c r="DY569" s="567"/>
      <c r="DZ569" s="567"/>
      <c r="EA569" s="567"/>
      <c r="EB569" s="567"/>
      <c r="EC569" s="567"/>
      <c r="ED569" s="567"/>
      <c r="EE569" s="567"/>
      <c r="EF569" s="567"/>
      <c r="EG569" s="567"/>
      <c r="EH569" s="567"/>
      <c r="EI569" s="567"/>
      <c r="EJ569" s="567"/>
      <c r="EK569" s="567"/>
      <c r="EL569" s="567"/>
      <c r="EM569" s="567"/>
      <c r="EN569" s="567"/>
      <c r="EO569" s="567"/>
      <c r="EP569" s="567"/>
      <c r="EQ569" s="567"/>
      <c r="ER569" s="567"/>
      <c r="ES569" s="567"/>
      <c r="ET569" s="567"/>
      <c r="EU569" s="567"/>
      <c r="EV569" s="567"/>
      <c r="EW569" s="567"/>
      <c r="EX569" s="567"/>
      <c r="EY569" s="567"/>
      <c r="EZ569" s="567"/>
      <c r="FA569" s="567"/>
      <c r="FB569" s="567"/>
      <c r="FC569" s="567"/>
      <c r="FD569" s="567"/>
      <c r="FE569" s="567"/>
      <c r="FF569" s="567"/>
      <c r="FG569" s="567"/>
      <c r="FH569" s="567"/>
      <c r="FI569" s="567"/>
      <c r="FJ569" s="567"/>
      <c r="FK569" s="567"/>
      <c r="FL569" s="567"/>
      <c r="FM569" s="567"/>
      <c r="FN569" s="567"/>
      <c r="FO569" s="567"/>
      <c r="FP569" s="567"/>
      <c r="FQ569" s="567"/>
      <c r="FR569" s="567"/>
      <c r="FS569" s="567"/>
      <c r="FT569" s="567"/>
      <c r="FU569" s="567"/>
      <c r="FV569" s="567"/>
      <c r="FW569" s="567"/>
      <c r="FX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  <c r="BW570" s="567"/>
      <c r="BX570" s="567"/>
      <c r="BY570" s="567"/>
      <c r="BZ570" s="567"/>
      <c r="CA570" s="567"/>
      <c r="CB570" s="567"/>
      <c r="CC570" s="567"/>
      <c r="CD570" s="567"/>
      <c r="CE570" s="567"/>
      <c r="CF570" s="567"/>
      <c r="CG570" s="567"/>
      <c r="CH570" s="567"/>
      <c r="CI570" s="567"/>
      <c r="CJ570" s="567"/>
      <c r="CK570" s="567"/>
      <c r="CL570" s="567"/>
      <c r="CM570" s="567"/>
      <c r="CN570" s="567"/>
      <c r="CO570" s="567"/>
      <c r="CP570" s="567"/>
      <c r="CQ570" s="567"/>
      <c r="CR570" s="567"/>
      <c r="CS570" s="567"/>
      <c r="CT570" s="567"/>
      <c r="CU570" s="567"/>
      <c r="CV570" s="567"/>
      <c r="CW570" s="567"/>
      <c r="CX570" s="567"/>
      <c r="CY570" s="567"/>
      <c r="CZ570" s="567"/>
      <c r="DA570" s="567"/>
      <c r="DB570" s="567"/>
      <c r="DC570" s="567"/>
      <c r="DD570" s="567"/>
      <c r="DE570" s="567"/>
      <c r="DF570" s="567"/>
      <c r="DG570" s="567"/>
      <c r="DH570" s="567"/>
      <c r="DI570" s="567"/>
      <c r="DJ570" s="567"/>
      <c r="DK570" s="567"/>
      <c r="DL570" s="567"/>
      <c r="DM570" s="567"/>
      <c r="DN570" s="567"/>
      <c r="DO570" s="567"/>
      <c r="DP570" s="567"/>
      <c r="DQ570" s="567"/>
      <c r="DR570" s="567"/>
      <c r="DS570" s="567"/>
      <c r="DT570" s="567"/>
      <c r="DU570" s="567"/>
      <c r="DV570" s="567"/>
      <c r="DW570" s="567"/>
      <c r="DX570" s="567"/>
      <c r="DY570" s="567"/>
      <c r="DZ570" s="567"/>
      <c r="EA570" s="567"/>
      <c r="EB570" s="567"/>
      <c r="EC570" s="567"/>
      <c r="ED570" s="567"/>
      <c r="EE570" s="567"/>
      <c r="EF570" s="567"/>
      <c r="EG570" s="567"/>
      <c r="EH570" s="567"/>
      <c r="EI570" s="567"/>
      <c r="EJ570" s="567"/>
      <c r="EK570" s="567"/>
      <c r="EL570" s="567"/>
      <c r="EM570" s="567"/>
      <c r="EN570" s="567"/>
      <c r="EO570" s="567"/>
      <c r="EP570" s="567"/>
      <c r="EQ570" s="567"/>
      <c r="ER570" s="567"/>
      <c r="ES570" s="567"/>
      <c r="ET570" s="567"/>
      <c r="EU570" s="567"/>
      <c r="EV570" s="567"/>
      <c r="EW570" s="567"/>
      <c r="EX570" s="567"/>
      <c r="EY570" s="567"/>
      <c r="EZ570" s="567"/>
      <c r="FA570" s="567"/>
      <c r="FB570" s="567"/>
      <c r="FC570" s="567"/>
      <c r="FD570" s="567"/>
      <c r="FE570" s="567"/>
      <c r="FF570" s="567"/>
      <c r="FG570" s="567"/>
      <c r="FH570" s="567"/>
      <c r="FI570" s="567"/>
      <c r="FJ570" s="567"/>
      <c r="FK570" s="567"/>
      <c r="FL570" s="567"/>
      <c r="FM570" s="567"/>
      <c r="FN570" s="567"/>
      <c r="FO570" s="567"/>
      <c r="FP570" s="567"/>
      <c r="FQ570" s="567"/>
      <c r="FR570" s="567"/>
      <c r="FS570" s="567"/>
      <c r="FT570" s="567"/>
      <c r="FU570" s="567"/>
      <c r="FV570" s="567"/>
      <c r="FW570" s="567"/>
      <c r="FX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  <c r="BW571" s="567"/>
      <c r="BX571" s="567"/>
      <c r="BY571" s="567"/>
      <c r="BZ571" s="567"/>
      <c r="CA571" s="567"/>
      <c r="CB571" s="567"/>
      <c r="CC571" s="567"/>
      <c r="CD571" s="567"/>
      <c r="CE571" s="567"/>
      <c r="CF571" s="567"/>
      <c r="CG571" s="567"/>
      <c r="CH571" s="567"/>
      <c r="CI571" s="567"/>
      <c r="CJ571" s="567"/>
      <c r="CK571" s="567"/>
      <c r="CL571" s="567"/>
      <c r="CM571" s="567"/>
      <c r="CN571" s="567"/>
      <c r="CO571" s="567"/>
      <c r="CP571" s="567"/>
      <c r="CQ571" s="567"/>
      <c r="CR571" s="567"/>
      <c r="CS571" s="567"/>
      <c r="CT571" s="567"/>
      <c r="CU571" s="567"/>
      <c r="CV571" s="567"/>
      <c r="CW571" s="567"/>
      <c r="CX571" s="567"/>
      <c r="CY571" s="567"/>
      <c r="CZ571" s="567"/>
      <c r="DA571" s="567"/>
      <c r="DB571" s="567"/>
      <c r="DC571" s="567"/>
      <c r="DD571" s="567"/>
      <c r="DE571" s="567"/>
      <c r="DF571" s="567"/>
      <c r="DG571" s="567"/>
      <c r="DH571" s="567"/>
      <c r="DI571" s="567"/>
      <c r="DJ571" s="567"/>
      <c r="DK571" s="567"/>
      <c r="DL571" s="567"/>
      <c r="DM571" s="567"/>
      <c r="DN571" s="567"/>
      <c r="DO571" s="567"/>
      <c r="DP571" s="567"/>
      <c r="DQ571" s="567"/>
      <c r="DR571" s="567"/>
      <c r="DS571" s="567"/>
      <c r="DT571" s="567"/>
      <c r="DU571" s="567"/>
      <c r="DV571" s="567"/>
      <c r="DW571" s="567"/>
      <c r="DX571" s="567"/>
      <c r="DY571" s="567"/>
      <c r="DZ571" s="567"/>
      <c r="EA571" s="567"/>
      <c r="EB571" s="567"/>
      <c r="EC571" s="567"/>
      <c r="ED571" s="567"/>
      <c r="EE571" s="567"/>
      <c r="EF571" s="567"/>
      <c r="EG571" s="567"/>
      <c r="EH571" s="567"/>
      <c r="EI571" s="567"/>
      <c r="EJ571" s="567"/>
      <c r="EK571" s="567"/>
      <c r="EL571" s="567"/>
      <c r="EM571" s="567"/>
      <c r="EN571" s="567"/>
      <c r="EO571" s="567"/>
      <c r="EP571" s="567"/>
      <c r="EQ571" s="567"/>
      <c r="ER571" s="567"/>
      <c r="ES571" s="567"/>
      <c r="ET571" s="567"/>
      <c r="EU571" s="567"/>
      <c r="EV571" s="567"/>
      <c r="EW571" s="567"/>
      <c r="EX571" s="567"/>
      <c r="EY571" s="567"/>
      <c r="EZ571" s="567"/>
      <c r="FA571" s="567"/>
      <c r="FB571" s="567"/>
      <c r="FC571" s="567"/>
      <c r="FD571" s="567"/>
      <c r="FE571" s="567"/>
      <c r="FF571" s="567"/>
      <c r="FG571" s="567"/>
      <c r="FH571" s="567"/>
      <c r="FI571" s="567"/>
      <c r="FJ571" s="567"/>
      <c r="FK571" s="567"/>
      <c r="FL571" s="567"/>
      <c r="FM571" s="567"/>
      <c r="FN571" s="567"/>
      <c r="FO571" s="567"/>
      <c r="FP571" s="567"/>
      <c r="FQ571" s="567"/>
      <c r="FR571" s="567"/>
      <c r="FS571" s="567"/>
      <c r="FT571" s="567"/>
      <c r="FU571" s="567"/>
      <c r="FV571" s="567"/>
      <c r="FW571" s="567"/>
      <c r="FX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  <c r="BW572" s="567"/>
      <c r="BX572" s="567"/>
      <c r="BY572" s="567"/>
      <c r="BZ572" s="567"/>
      <c r="CA572" s="567"/>
      <c r="CB572" s="567"/>
      <c r="CC572" s="567"/>
      <c r="CD572" s="567"/>
      <c r="CE572" s="567"/>
      <c r="CF572" s="567"/>
      <c r="CG572" s="567"/>
      <c r="CH572" s="567"/>
      <c r="CI572" s="567"/>
      <c r="CJ572" s="567"/>
      <c r="CK572" s="567"/>
      <c r="CL572" s="567"/>
      <c r="CM572" s="567"/>
      <c r="CN572" s="567"/>
      <c r="CO572" s="567"/>
      <c r="CP572" s="567"/>
      <c r="CQ572" s="567"/>
      <c r="CR572" s="567"/>
      <c r="CS572" s="567"/>
      <c r="CT572" s="567"/>
      <c r="CU572" s="567"/>
      <c r="CV572" s="567"/>
      <c r="CW572" s="567"/>
      <c r="CX572" s="567"/>
      <c r="CY572" s="567"/>
      <c r="CZ572" s="567"/>
      <c r="DA572" s="567"/>
      <c r="DB572" s="567"/>
      <c r="DC572" s="567"/>
      <c r="DD572" s="567"/>
      <c r="DE572" s="567"/>
      <c r="DF572" s="567"/>
      <c r="DG572" s="567"/>
      <c r="DH572" s="567"/>
      <c r="DI572" s="567"/>
      <c r="DJ572" s="567"/>
      <c r="DK572" s="567"/>
      <c r="DL572" s="567"/>
      <c r="DM572" s="567"/>
      <c r="DN572" s="567"/>
      <c r="DO572" s="567"/>
      <c r="DP572" s="567"/>
      <c r="DQ572" s="567"/>
      <c r="DR572" s="567"/>
      <c r="DS572" s="567"/>
      <c r="DT572" s="567"/>
      <c r="DU572" s="567"/>
      <c r="DV572" s="567"/>
      <c r="DW572" s="567"/>
      <c r="DX572" s="567"/>
      <c r="DY572" s="567"/>
      <c r="DZ572" s="567"/>
      <c r="EA572" s="567"/>
      <c r="EB572" s="567"/>
      <c r="EC572" s="567"/>
      <c r="ED572" s="567"/>
      <c r="EE572" s="567"/>
      <c r="EF572" s="567"/>
      <c r="EG572" s="567"/>
      <c r="EH572" s="567"/>
      <c r="EI572" s="567"/>
      <c r="EJ572" s="567"/>
      <c r="EK572" s="567"/>
      <c r="EL572" s="567"/>
      <c r="EM572" s="567"/>
      <c r="EN572" s="567"/>
      <c r="EO572" s="567"/>
      <c r="EP572" s="567"/>
      <c r="EQ572" s="567"/>
      <c r="ER572" s="567"/>
      <c r="ES572" s="567"/>
      <c r="ET572" s="567"/>
      <c r="EU572" s="567"/>
      <c r="EV572" s="567"/>
      <c r="EW572" s="567"/>
      <c r="EX572" s="567"/>
      <c r="EY572" s="567"/>
      <c r="EZ572" s="567"/>
      <c r="FA572" s="567"/>
      <c r="FB572" s="567"/>
      <c r="FC572" s="567"/>
      <c r="FD572" s="567"/>
      <c r="FE572" s="567"/>
      <c r="FF572" s="567"/>
      <c r="FG572" s="567"/>
      <c r="FH572" s="567"/>
      <c r="FI572" s="567"/>
      <c r="FJ572" s="567"/>
      <c r="FK572" s="567"/>
      <c r="FL572" s="567"/>
      <c r="FM572" s="567"/>
      <c r="FN572" s="567"/>
      <c r="FO572" s="567"/>
      <c r="FP572" s="567"/>
      <c r="FQ572" s="567"/>
      <c r="FR572" s="567"/>
      <c r="FS572" s="567"/>
      <c r="FT572" s="567"/>
      <c r="FU572" s="567"/>
      <c r="FV572" s="567"/>
      <c r="FW572" s="567"/>
      <c r="FX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  <c r="BW573" s="567"/>
      <c r="BX573" s="567"/>
      <c r="BY573" s="567"/>
      <c r="BZ573" s="567"/>
      <c r="CA573" s="567"/>
      <c r="CB573" s="567"/>
      <c r="CC573" s="567"/>
      <c r="CD573" s="567"/>
      <c r="CE573" s="567"/>
      <c r="CF573" s="567"/>
      <c r="CG573" s="567"/>
      <c r="CH573" s="567"/>
      <c r="CI573" s="567"/>
      <c r="CJ573" s="567"/>
      <c r="CK573" s="567"/>
      <c r="CL573" s="567"/>
      <c r="CM573" s="567"/>
      <c r="CN573" s="567"/>
      <c r="CO573" s="567"/>
      <c r="CP573" s="567"/>
      <c r="CQ573" s="567"/>
      <c r="CR573" s="567"/>
      <c r="CS573" s="567"/>
      <c r="CT573" s="567"/>
      <c r="CU573" s="567"/>
      <c r="CV573" s="567"/>
      <c r="CW573" s="567"/>
      <c r="CX573" s="567"/>
      <c r="CY573" s="567"/>
      <c r="CZ573" s="567"/>
      <c r="DA573" s="567"/>
      <c r="DB573" s="567"/>
      <c r="DC573" s="567"/>
      <c r="DD573" s="567"/>
      <c r="DE573" s="567"/>
      <c r="DF573" s="567"/>
      <c r="DG573" s="567"/>
      <c r="DH573" s="567"/>
      <c r="DI573" s="567"/>
      <c r="DJ573" s="567"/>
      <c r="DK573" s="567"/>
      <c r="DL573" s="567"/>
      <c r="DM573" s="567"/>
      <c r="DN573" s="567"/>
      <c r="DO573" s="567"/>
      <c r="DP573" s="567"/>
      <c r="DQ573" s="567"/>
      <c r="DR573" s="567"/>
      <c r="DS573" s="567"/>
      <c r="DT573" s="567"/>
      <c r="DU573" s="567"/>
      <c r="DV573" s="567"/>
      <c r="DW573" s="567"/>
      <c r="DX573" s="567"/>
      <c r="DY573" s="567"/>
      <c r="DZ573" s="567"/>
      <c r="EA573" s="567"/>
      <c r="EB573" s="567"/>
      <c r="EC573" s="567"/>
      <c r="ED573" s="567"/>
      <c r="EE573" s="567"/>
      <c r="EF573" s="567"/>
      <c r="EG573" s="567"/>
      <c r="EH573" s="567"/>
      <c r="EI573" s="567"/>
      <c r="EJ573" s="567"/>
      <c r="EK573" s="567"/>
      <c r="EL573" s="567"/>
      <c r="EM573" s="567"/>
      <c r="EN573" s="567"/>
      <c r="EO573" s="567"/>
      <c r="EP573" s="567"/>
      <c r="EQ573" s="567"/>
      <c r="ER573" s="567"/>
      <c r="ES573" s="567"/>
      <c r="ET573" s="567"/>
      <c r="EU573" s="567"/>
      <c r="EV573" s="567"/>
      <c r="EW573" s="567"/>
      <c r="EX573" s="567"/>
      <c r="EY573" s="567"/>
      <c r="EZ573" s="567"/>
      <c r="FA573" s="567"/>
      <c r="FB573" s="567"/>
      <c r="FC573" s="567"/>
      <c r="FD573" s="567"/>
      <c r="FE573" s="567"/>
      <c r="FF573" s="567"/>
      <c r="FG573" s="567"/>
      <c r="FH573" s="567"/>
      <c r="FI573" s="567"/>
      <c r="FJ573" s="567"/>
      <c r="FK573" s="567"/>
      <c r="FL573" s="567"/>
      <c r="FM573" s="567"/>
      <c r="FN573" s="567"/>
      <c r="FO573" s="567"/>
      <c r="FP573" s="567"/>
      <c r="FQ573" s="567"/>
      <c r="FR573" s="567"/>
      <c r="FS573" s="567"/>
      <c r="FT573" s="567"/>
      <c r="FU573" s="567"/>
      <c r="FV573" s="567"/>
      <c r="FW573" s="567"/>
      <c r="FX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  <c r="BW574" s="567"/>
      <c r="BX574" s="567"/>
      <c r="BY574" s="567"/>
      <c r="BZ574" s="567"/>
      <c r="CA574" s="567"/>
      <c r="CB574" s="567"/>
      <c r="CC574" s="567"/>
      <c r="CD574" s="567"/>
      <c r="CE574" s="567"/>
      <c r="CF574" s="567"/>
      <c r="CG574" s="567"/>
      <c r="CH574" s="567"/>
      <c r="CI574" s="567"/>
      <c r="CJ574" s="567"/>
      <c r="CK574" s="567"/>
      <c r="CL574" s="567"/>
      <c r="CM574" s="567"/>
      <c r="CN574" s="567"/>
      <c r="CO574" s="567"/>
      <c r="CP574" s="567"/>
      <c r="CQ574" s="567"/>
      <c r="CR574" s="567"/>
      <c r="CS574" s="567"/>
      <c r="CT574" s="567"/>
      <c r="CU574" s="567"/>
      <c r="CV574" s="567"/>
      <c r="CW574" s="567"/>
      <c r="CX574" s="567"/>
      <c r="CY574" s="567"/>
      <c r="CZ574" s="567"/>
      <c r="DA574" s="567"/>
      <c r="DB574" s="567"/>
      <c r="DC574" s="567"/>
      <c r="DD574" s="567"/>
      <c r="DE574" s="567"/>
      <c r="DF574" s="567"/>
      <c r="DG574" s="567"/>
      <c r="DH574" s="567"/>
      <c r="DI574" s="567"/>
      <c r="DJ574" s="567"/>
      <c r="DK574" s="567"/>
      <c r="DL574" s="567"/>
      <c r="DM574" s="567"/>
      <c r="DN574" s="567"/>
      <c r="DO574" s="567"/>
      <c r="DP574" s="567"/>
      <c r="DQ574" s="567"/>
      <c r="DR574" s="567"/>
      <c r="DS574" s="567"/>
      <c r="DT574" s="567"/>
      <c r="DU574" s="567"/>
      <c r="DV574" s="567"/>
      <c r="DW574" s="567"/>
      <c r="DX574" s="567"/>
      <c r="DY574" s="567"/>
      <c r="DZ574" s="567"/>
      <c r="EA574" s="567"/>
      <c r="EB574" s="567"/>
      <c r="EC574" s="567"/>
      <c r="ED574" s="567"/>
      <c r="EE574" s="567"/>
      <c r="EF574" s="567"/>
      <c r="EG574" s="567"/>
      <c r="EH574" s="567"/>
      <c r="EI574" s="567"/>
      <c r="EJ574" s="567"/>
      <c r="EK574" s="567"/>
      <c r="EL574" s="567"/>
      <c r="EM574" s="567"/>
      <c r="EN574" s="567"/>
      <c r="EO574" s="567"/>
      <c r="EP574" s="567"/>
      <c r="EQ574" s="567"/>
      <c r="ER574" s="567"/>
      <c r="ES574" s="567"/>
      <c r="ET574" s="567"/>
      <c r="EU574" s="567"/>
      <c r="EV574" s="567"/>
      <c r="EW574" s="567"/>
      <c r="EX574" s="567"/>
      <c r="EY574" s="567"/>
      <c r="EZ574" s="567"/>
      <c r="FA574" s="567"/>
      <c r="FB574" s="567"/>
      <c r="FC574" s="567"/>
      <c r="FD574" s="567"/>
      <c r="FE574" s="567"/>
      <c r="FF574" s="567"/>
      <c r="FG574" s="567"/>
      <c r="FH574" s="567"/>
      <c r="FI574" s="567"/>
      <c r="FJ574" s="567"/>
      <c r="FK574" s="567"/>
      <c r="FL574" s="567"/>
      <c r="FM574" s="567"/>
      <c r="FN574" s="567"/>
      <c r="FO574" s="567"/>
      <c r="FP574" s="567"/>
      <c r="FQ574" s="567"/>
      <c r="FR574" s="567"/>
      <c r="FS574" s="567"/>
      <c r="FT574" s="567"/>
      <c r="FU574" s="567"/>
      <c r="FV574" s="567"/>
      <c r="FW574" s="567"/>
      <c r="FX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  <c r="BW575" s="567"/>
      <c r="BX575" s="567"/>
      <c r="BY575" s="567"/>
      <c r="BZ575" s="567"/>
      <c r="CA575" s="567"/>
      <c r="CB575" s="567"/>
      <c r="CC575" s="567"/>
      <c r="CD575" s="567"/>
      <c r="CE575" s="567"/>
      <c r="CF575" s="567"/>
      <c r="CG575" s="567"/>
      <c r="CH575" s="567"/>
      <c r="CI575" s="567"/>
      <c r="CJ575" s="567"/>
      <c r="CK575" s="567"/>
      <c r="CL575" s="567"/>
      <c r="CM575" s="567"/>
      <c r="CN575" s="567"/>
      <c r="CO575" s="567"/>
      <c r="CP575" s="567"/>
      <c r="CQ575" s="567"/>
      <c r="CR575" s="567"/>
      <c r="CS575" s="567"/>
      <c r="CT575" s="567"/>
      <c r="CU575" s="567"/>
      <c r="CV575" s="567"/>
      <c r="CW575" s="567"/>
      <c r="CX575" s="567"/>
      <c r="CY575" s="567"/>
      <c r="CZ575" s="567"/>
      <c r="DA575" s="567"/>
      <c r="DB575" s="567"/>
      <c r="DC575" s="567"/>
      <c r="DD575" s="567"/>
      <c r="DE575" s="567"/>
      <c r="DF575" s="567"/>
      <c r="DG575" s="567"/>
      <c r="DH575" s="567"/>
      <c r="DI575" s="567"/>
      <c r="DJ575" s="567"/>
      <c r="DK575" s="567"/>
      <c r="DL575" s="567"/>
      <c r="DM575" s="567"/>
      <c r="DN575" s="567"/>
      <c r="DO575" s="567"/>
      <c r="DP575" s="567"/>
      <c r="DQ575" s="567"/>
      <c r="DR575" s="567"/>
      <c r="DS575" s="567"/>
      <c r="DT575" s="567"/>
      <c r="DU575" s="567"/>
      <c r="DV575" s="567"/>
      <c r="DW575" s="567"/>
      <c r="DX575" s="567"/>
      <c r="DY575" s="567"/>
      <c r="DZ575" s="567"/>
      <c r="EA575" s="567"/>
      <c r="EB575" s="567"/>
      <c r="EC575" s="567"/>
      <c r="ED575" s="567"/>
      <c r="EE575" s="567"/>
      <c r="EF575" s="567"/>
      <c r="EG575" s="567"/>
      <c r="EH575" s="567"/>
      <c r="EI575" s="567"/>
      <c r="EJ575" s="567"/>
      <c r="EK575" s="567"/>
      <c r="EL575" s="567"/>
      <c r="EM575" s="567"/>
      <c r="EN575" s="567"/>
      <c r="EO575" s="567"/>
      <c r="EP575" s="567"/>
      <c r="EQ575" s="567"/>
      <c r="ER575" s="567"/>
      <c r="ES575" s="567"/>
      <c r="ET575" s="567"/>
      <c r="EU575" s="567"/>
      <c r="EV575" s="567"/>
      <c r="EW575" s="567"/>
      <c r="EX575" s="567"/>
      <c r="EY575" s="567"/>
      <c r="EZ575" s="567"/>
      <c r="FA575" s="567"/>
      <c r="FB575" s="567"/>
      <c r="FC575" s="567"/>
      <c r="FD575" s="567"/>
      <c r="FE575" s="567"/>
      <c r="FF575" s="567"/>
      <c r="FG575" s="567"/>
      <c r="FH575" s="567"/>
      <c r="FI575" s="567"/>
      <c r="FJ575" s="567"/>
      <c r="FK575" s="567"/>
      <c r="FL575" s="567"/>
      <c r="FM575" s="567"/>
      <c r="FN575" s="567"/>
      <c r="FO575" s="567"/>
      <c r="FP575" s="567"/>
      <c r="FQ575" s="567"/>
      <c r="FR575" s="567"/>
      <c r="FS575" s="567"/>
      <c r="FT575" s="567"/>
      <c r="FU575" s="567"/>
      <c r="FV575" s="567"/>
      <c r="FW575" s="567"/>
      <c r="FX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  <c r="BW576" s="567"/>
      <c r="BX576" s="567"/>
      <c r="BY576" s="567"/>
      <c r="BZ576" s="567"/>
      <c r="CA576" s="567"/>
      <c r="CB576" s="567"/>
      <c r="CC576" s="567"/>
      <c r="CD576" s="567"/>
      <c r="CE576" s="567"/>
      <c r="CF576" s="567"/>
      <c r="CG576" s="567"/>
      <c r="CH576" s="567"/>
      <c r="CI576" s="567"/>
      <c r="CJ576" s="567"/>
      <c r="CK576" s="567"/>
      <c r="CL576" s="567"/>
      <c r="CM576" s="567"/>
      <c r="CN576" s="567"/>
      <c r="CO576" s="567"/>
      <c r="CP576" s="567"/>
      <c r="CQ576" s="567"/>
      <c r="CR576" s="567"/>
      <c r="CS576" s="567"/>
      <c r="CT576" s="567"/>
      <c r="CU576" s="567"/>
      <c r="CV576" s="567"/>
      <c r="CW576" s="567"/>
      <c r="CX576" s="567"/>
      <c r="CY576" s="567"/>
      <c r="CZ576" s="567"/>
      <c r="DA576" s="567"/>
      <c r="DB576" s="567"/>
      <c r="DC576" s="567"/>
      <c r="DD576" s="567"/>
      <c r="DE576" s="567"/>
      <c r="DF576" s="567"/>
      <c r="DG576" s="567"/>
      <c r="DH576" s="567"/>
      <c r="DI576" s="567"/>
      <c r="DJ576" s="567"/>
      <c r="DK576" s="567"/>
      <c r="DL576" s="567"/>
      <c r="DM576" s="567"/>
      <c r="DN576" s="567"/>
      <c r="DO576" s="567"/>
      <c r="DP576" s="567"/>
      <c r="DQ576" s="567"/>
      <c r="DR576" s="567"/>
      <c r="DS576" s="567"/>
      <c r="DT576" s="567"/>
      <c r="DU576" s="567"/>
      <c r="DV576" s="567"/>
      <c r="DW576" s="567"/>
      <c r="DX576" s="567"/>
      <c r="DY576" s="567"/>
      <c r="DZ576" s="567"/>
      <c r="EA576" s="567"/>
      <c r="EB576" s="567"/>
      <c r="EC576" s="567"/>
      <c r="ED576" s="567"/>
      <c r="EE576" s="567"/>
      <c r="EF576" s="567"/>
      <c r="EG576" s="567"/>
      <c r="EH576" s="567"/>
      <c r="EI576" s="567"/>
      <c r="EJ576" s="567"/>
      <c r="EK576" s="567"/>
      <c r="EL576" s="567"/>
      <c r="EM576" s="567"/>
      <c r="EN576" s="567"/>
      <c r="EO576" s="567"/>
      <c r="EP576" s="567"/>
      <c r="EQ576" s="567"/>
      <c r="ER576" s="567"/>
      <c r="ES576" s="567"/>
      <c r="ET576" s="567"/>
      <c r="EU576" s="567"/>
      <c r="EV576" s="567"/>
      <c r="EW576" s="567"/>
      <c r="EX576" s="567"/>
      <c r="EY576" s="567"/>
      <c r="EZ576" s="567"/>
      <c r="FA576" s="567"/>
      <c r="FB576" s="567"/>
      <c r="FC576" s="567"/>
      <c r="FD576" s="567"/>
      <c r="FE576" s="567"/>
      <c r="FF576" s="567"/>
      <c r="FG576" s="567"/>
      <c r="FH576" s="567"/>
      <c r="FI576" s="567"/>
      <c r="FJ576" s="567"/>
      <c r="FK576" s="567"/>
      <c r="FL576" s="567"/>
      <c r="FM576" s="567"/>
      <c r="FN576" s="567"/>
      <c r="FO576" s="567"/>
      <c r="FP576" s="567"/>
      <c r="FQ576" s="567"/>
      <c r="FR576" s="567"/>
      <c r="FS576" s="567"/>
      <c r="FT576" s="567"/>
      <c r="FU576" s="567"/>
      <c r="FV576" s="567"/>
      <c r="FW576" s="567"/>
      <c r="FX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  <c r="BW577" s="567"/>
      <c r="BX577" s="567"/>
      <c r="BY577" s="567"/>
      <c r="BZ577" s="567"/>
      <c r="CA577" s="567"/>
      <c r="CB577" s="567"/>
      <c r="CC577" s="567"/>
      <c r="CD577" s="567"/>
      <c r="CE577" s="567"/>
      <c r="CF577" s="567"/>
      <c r="CG577" s="567"/>
      <c r="CH577" s="567"/>
      <c r="CI577" s="567"/>
      <c r="CJ577" s="567"/>
      <c r="CK577" s="567"/>
      <c r="CL577" s="567"/>
      <c r="CM577" s="567"/>
      <c r="CN577" s="567"/>
      <c r="CO577" s="567"/>
      <c r="CP577" s="567"/>
      <c r="CQ577" s="567"/>
      <c r="CR577" s="567"/>
      <c r="CS577" s="567"/>
      <c r="CT577" s="567"/>
      <c r="CU577" s="567"/>
      <c r="CV577" s="567"/>
      <c r="CW577" s="567"/>
      <c r="CX577" s="567"/>
      <c r="CY577" s="567"/>
      <c r="CZ577" s="567"/>
      <c r="DA577" s="567"/>
      <c r="DB577" s="567"/>
      <c r="DC577" s="567"/>
      <c r="DD577" s="567"/>
      <c r="DE577" s="567"/>
      <c r="DF577" s="567"/>
      <c r="DG577" s="567"/>
      <c r="DH577" s="567"/>
      <c r="DI577" s="567"/>
      <c r="DJ577" s="567"/>
      <c r="DK577" s="567"/>
      <c r="DL577" s="567"/>
      <c r="DM577" s="567"/>
      <c r="DN577" s="567"/>
      <c r="DO577" s="567"/>
      <c r="DP577" s="567"/>
      <c r="DQ577" s="567"/>
      <c r="DR577" s="567"/>
      <c r="DS577" s="567"/>
      <c r="DT577" s="567"/>
      <c r="DU577" s="567"/>
      <c r="DV577" s="567"/>
      <c r="DW577" s="567"/>
      <c r="DX577" s="567"/>
      <c r="DY577" s="567"/>
      <c r="DZ577" s="567"/>
      <c r="EA577" s="567"/>
      <c r="EB577" s="567"/>
      <c r="EC577" s="567"/>
      <c r="ED577" s="567"/>
      <c r="EE577" s="567"/>
      <c r="EF577" s="567"/>
      <c r="EG577" s="567"/>
      <c r="EH577" s="567"/>
      <c r="EI577" s="567"/>
      <c r="EJ577" s="567"/>
      <c r="EK577" s="567"/>
      <c r="EL577" s="567"/>
      <c r="EM577" s="567"/>
      <c r="EN577" s="567"/>
      <c r="EO577" s="567"/>
      <c r="EP577" s="567"/>
      <c r="EQ577" s="567"/>
      <c r="ER577" s="567"/>
      <c r="ES577" s="567"/>
      <c r="ET577" s="567"/>
      <c r="EU577" s="567"/>
      <c r="EV577" s="567"/>
      <c r="EW577" s="567"/>
      <c r="EX577" s="567"/>
      <c r="EY577" s="567"/>
      <c r="EZ577" s="567"/>
      <c r="FA577" s="567"/>
      <c r="FB577" s="567"/>
      <c r="FC577" s="567"/>
      <c r="FD577" s="567"/>
      <c r="FE577" s="567"/>
      <c r="FF577" s="567"/>
      <c r="FG577" s="567"/>
      <c r="FH577" s="567"/>
      <c r="FI577" s="567"/>
      <c r="FJ577" s="567"/>
      <c r="FK577" s="567"/>
      <c r="FL577" s="567"/>
      <c r="FM577" s="567"/>
      <c r="FN577" s="567"/>
      <c r="FO577" s="567"/>
      <c r="FP577" s="567"/>
      <c r="FQ577" s="567"/>
      <c r="FR577" s="567"/>
      <c r="FS577" s="567"/>
      <c r="FT577" s="567"/>
      <c r="FU577" s="567"/>
      <c r="FV577" s="567"/>
      <c r="FW577" s="567"/>
      <c r="FX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  <c r="BW578" s="567"/>
      <c r="BX578" s="567"/>
      <c r="BY578" s="567"/>
      <c r="BZ578" s="567"/>
      <c r="CA578" s="567"/>
      <c r="CB578" s="567"/>
      <c r="CC578" s="567"/>
      <c r="CD578" s="567"/>
      <c r="CE578" s="567"/>
      <c r="CF578" s="567"/>
      <c r="CG578" s="567"/>
      <c r="CH578" s="567"/>
      <c r="CI578" s="567"/>
      <c r="CJ578" s="567"/>
      <c r="CK578" s="567"/>
      <c r="CL578" s="567"/>
      <c r="CM578" s="567"/>
      <c r="CN578" s="567"/>
      <c r="CO578" s="567"/>
      <c r="CP578" s="567"/>
      <c r="CQ578" s="567"/>
      <c r="CR578" s="567"/>
      <c r="CS578" s="567"/>
      <c r="CT578" s="567"/>
      <c r="CU578" s="567"/>
      <c r="CV578" s="567"/>
      <c r="CW578" s="567"/>
      <c r="CX578" s="567"/>
      <c r="CY578" s="567"/>
      <c r="CZ578" s="567"/>
      <c r="DA578" s="567"/>
      <c r="DB578" s="567"/>
      <c r="DC578" s="567"/>
      <c r="DD578" s="567"/>
      <c r="DE578" s="567"/>
      <c r="DF578" s="567"/>
      <c r="DG578" s="567"/>
      <c r="DH578" s="567"/>
      <c r="DI578" s="567"/>
      <c r="DJ578" s="567"/>
      <c r="DK578" s="567"/>
      <c r="DL578" s="567"/>
      <c r="DM578" s="567"/>
      <c r="DN578" s="567"/>
      <c r="DO578" s="567"/>
      <c r="DP578" s="567"/>
      <c r="DQ578" s="567"/>
      <c r="DR578" s="567"/>
      <c r="DS578" s="567"/>
      <c r="DT578" s="567"/>
      <c r="DU578" s="567"/>
      <c r="DV578" s="567"/>
      <c r="DW578" s="567"/>
      <c r="DX578" s="567"/>
      <c r="DY578" s="567"/>
      <c r="DZ578" s="567"/>
      <c r="EA578" s="567"/>
      <c r="EB578" s="567"/>
      <c r="EC578" s="567"/>
      <c r="ED578" s="567"/>
      <c r="EE578" s="567"/>
      <c r="EF578" s="567"/>
      <c r="EG578" s="567"/>
      <c r="EH578" s="567"/>
      <c r="EI578" s="567"/>
      <c r="EJ578" s="567"/>
      <c r="EK578" s="567"/>
      <c r="EL578" s="567"/>
      <c r="EM578" s="567"/>
      <c r="EN578" s="567"/>
      <c r="EO578" s="567"/>
      <c r="EP578" s="567"/>
      <c r="EQ578" s="567"/>
      <c r="ER578" s="567"/>
      <c r="ES578" s="567"/>
      <c r="ET578" s="567"/>
      <c r="EU578" s="567"/>
      <c r="EV578" s="567"/>
      <c r="EW578" s="567"/>
      <c r="EX578" s="567"/>
      <c r="EY578" s="567"/>
      <c r="EZ578" s="567"/>
      <c r="FA578" s="567"/>
      <c r="FB578" s="567"/>
      <c r="FC578" s="567"/>
      <c r="FD578" s="567"/>
      <c r="FE578" s="567"/>
      <c r="FF578" s="567"/>
      <c r="FG578" s="567"/>
      <c r="FH578" s="567"/>
      <c r="FI578" s="567"/>
      <c r="FJ578" s="567"/>
      <c r="FK578" s="567"/>
      <c r="FL578" s="567"/>
      <c r="FM578" s="567"/>
      <c r="FN578" s="567"/>
      <c r="FO578" s="567"/>
      <c r="FP578" s="567"/>
      <c r="FQ578" s="567"/>
      <c r="FR578" s="567"/>
      <c r="FS578" s="567"/>
      <c r="FT578" s="567"/>
      <c r="FU578" s="567"/>
      <c r="FV578" s="567"/>
      <c r="FW578" s="567"/>
      <c r="FX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  <c r="BW579" s="567"/>
      <c r="BX579" s="567"/>
      <c r="BY579" s="567"/>
      <c r="BZ579" s="567"/>
      <c r="CA579" s="567"/>
      <c r="CB579" s="567"/>
      <c r="CC579" s="567"/>
      <c r="CD579" s="567"/>
      <c r="CE579" s="567"/>
      <c r="CF579" s="567"/>
      <c r="CG579" s="567"/>
      <c r="CH579" s="567"/>
      <c r="CI579" s="567"/>
      <c r="CJ579" s="567"/>
      <c r="CK579" s="567"/>
      <c r="CL579" s="567"/>
      <c r="CM579" s="567"/>
      <c r="CN579" s="567"/>
      <c r="CO579" s="567"/>
      <c r="CP579" s="567"/>
      <c r="CQ579" s="567"/>
      <c r="CR579" s="567"/>
      <c r="CS579" s="567"/>
      <c r="CT579" s="567"/>
      <c r="CU579" s="567"/>
      <c r="CV579" s="567"/>
      <c r="CW579" s="567"/>
      <c r="CX579" s="567"/>
      <c r="CY579" s="567"/>
      <c r="CZ579" s="567"/>
      <c r="DA579" s="567"/>
      <c r="DB579" s="567"/>
      <c r="DC579" s="567"/>
      <c r="DD579" s="567"/>
      <c r="DE579" s="567"/>
      <c r="DF579" s="567"/>
      <c r="DG579" s="567"/>
      <c r="DH579" s="567"/>
      <c r="DI579" s="567"/>
      <c r="DJ579" s="567"/>
      <c r="DK579" s="567"/>
      <c r="DL579" s="567"/>
      <c r="DM579" s="567"/>
      <c r="DN579" s="567"/>
      <c r="DO579" s="567"/>
      <c r="DP579" s="567"/>
      <c r="DQ579" s="567"/>
      <c r="DR579" s="567"/>
      <c r="DS579" s="567"/>
      <c r="DT579" s="567"/>
      <c r="DU579" s="567"/>
      <c r="DV579" s="567"/>
      <c r="DW579" s="567"/>
      <c r="DX579" s="567"/>
      <c r="DY579" s="567"/>
      <c r="DZ579" s="567"/>
      <c r="EA579" s="567"/>
      <c r="EB579" s="567"/>
      <c r="EC579" s="567"/>
      <c r="ED579" s="567"/>
      <c r="EE579" s="567"/>
      <c r="EF579" s="567"/>
      <c r="EG579" s="567"/>
      <c r="EH579" s="567"/>
      <c r="EI579" s="567"/>
      <c r="EJ579" s="567"/>
      <c r="EK579" s="567"/>
      <c r="EL579" s="567"/>
      <c r="EM579" s="567"/>
      <c r="EN579" s="567"/>
      <c r="EO579" s="567"/>
      <c r="EP579" s="567"/>
      <c r="EQ579" s="567"/>
      <c r="ER579" s="567"/>
      <c r="ES579" s="567"/>
      <c r="ET579" s="567"/>
      <c r="EU579" s="567"/>
      <c r="EV579" s="567"/>
      <c r="EW579" s="567"/>
      <c r="EX579" s="567"/>
      <c r="EY579" s="567"/>
      <c r="EZ579" s="567"/>
      <c r="FA579" s="567"/>
      <c r="FB579" s="567"/>
      <c r="FC579" s="567"/>
      <c r="FD579" s="567"/>
      <c r="FE579" s="567"/>
      <c r="FF579" s="567"/>
      <c r="FG579" s="567"/>
      <c r="FH579" s="567"/>
      <c r="FI579" s="567"/>
      <c r="FJ579" s="567"/>
      <c r="FK579" s="567"/>
      <c r="FL579" s="567"/>
      <c r="FM579" s="567"/>
      <c r="FN579" s="567"/>
      <c r="FO579" s="567"/>
      <c r="FP579" s="567"/>
      <c r="FQ579" s="567"/>
      <c r="FR579" s="567"/>
      <c r="FS579" s="567"/>
      <c r="FT579" s="567"/>
      <c r="FU579" s="567"/>
      <c r="FV579" s="567"/>
      <c r="FW579" s="567"/>
      <c r="FX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  <c r="BW580" s="567"/>
      <c r="BX580" s="567"/>
      <c r="BY580" s="567"/>
      <c r="BZ580" s="567"/>
      <c r="CA580" s="567"/>
      <c r="CB580" s="567"/>
      <c r="CC580" s="567"/>
      <c r="CD580" s="567"/>
      <c r="CE580" s="567"/>
      <c r="CF580" s="567"/>
      <c r="CG580" s="567"/>
      <c r="CH580" s="567"/>
      <c r="CI580" s="567"/>
      <c r="CJ580" s="567"/>
      <c r="CK580" s="567"/>
      <c r="CL580" s="567"/>
      <c r="CM580" s="567"/>
      <c r="CN580" s="567"/>
      <c r="CO580" s="567"/>
      <c r="CP580" s="567"/>
      <c r="CQ580" s="567"/>
      <c r="CR580" s="567"/>
      <c r="CS580" s="567"/>
      <c r="CT580" s="567"/>
      <c r="CU580" s="567"/>
      <c r="CV580" s="567"/>
      <c r="CW580" s="567"/>
      <c r="CX580" s="567"/>
      <c r="CY580" s="567"/>
      <c r="CZ580" s="567"/>
      <c r="DA580" s="567"/>
      <c r="DB580" s="567"/>
      <c r="DC580" s="567"/>
      <c r="DD580" s="567"/>
      <c r="DE580" s="567"/>
      <c r="DF580" s="567"/>
      <c r="DG580" s="567"/>
      <c r="DH580" s="567"/>
      <c r="DI580" s="567"/>
      <c r="DJ580" s="567"/>
      <c r="DK580" s="567"/>
      <c r="DL580" s="567"/>
      <c r="DM580" s="567"/>
      <c r="DN580" s="567"/>
      <c r="DO580" s="567"/>
      <c r="DP580" s="567"/>
      <c r="DQ580" s="567"/>
      <c r="DR580" s="567"/>
      <c r="DS580" s="567"/>
      <c r="DT580" s="567"/>
      <c r="DU580" s="567"/>
      <c r="DV580" s="567"/>
      <c r="DW580" s="567"/>
      <c r="DX580" s="567"/>
      <c r="DY580" s="567"/>
      <c r="DZ580" s="567"/>
      <c r="EA580" s="567"/>
      <c r="EB580" s="567"/>
      <c r="EC580" s="567"/>
      <c r="ED580" s="567"/>
      <c r="EE580" s="567"/>
      <c r="EF580" s="567"/>
      <c r="EG580" s="567"/>
      <c r="EH580" s="567"/>
      <c r="EI580" s="567"/>
      <c r="EJ580" s="567"/>
      <c r="EK580" s="567"/>
      <c r="EL580" s="567"/>
      <c r="EM580" s="567"/>
      <c r="EN580" s="567"/>
      <c r="EO580" s="567"/>
      <c r="EP580" s="567"/>
      <c r="EQ580" s="567"/>
      <c r="ER580" s="567"/>
      <c r="ES580" s="567"/>
      <c r="ET580" s="567"/>
      <c r="EU580" s="567"/>
      <c r="EV580" s="567"/>
      <c r="EW580" s="567"/>
      <c r="EX580" s="567"/>
      <c r="EY580" s="567"/>
      <c r="EZ580" s="567"/>
      <c r="FA580" s="567"/>
      <c r="FB580" s="567"/>
      <c r="FC580" s="567"/>
      <c r="FD580" s="567"/>
      <c r="FE580" s="567"/>
      <c r="FF580" s="567"/>
      <c r="FG580" s="567"/>
      <c r="FH580" s="567"/>
      <c r="FI580" s="567"/>
      <c r="FJ580" s="567"/>
      <c r="FK580" s="567"/>
      <c r="FL580" s="567"/>
      <c r="FM580" s="567"/>
      <c r="FN580" s="567"/>
      <c r="FO580" s="567"/>
      <c r="FP580" s="567"/>
      <c r="FQ580" s="567"/>
      <c r="FR580" s="567"/>
      <c r="FS580" s="567"/>
      <c r="FT580" s="567"/>
      <c r="FU580" s="567"/>
      <c r="FV580" s="567"/>
      <c r="FW580" s="567"/>
      <c r="FX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  <c r="BW581" s="567"/>
      <c r="BX581" s="567"/>
      <c r="BY581" s="567"/>
      <c r="BZ581" s="567"/>
      <c r="CA581" s="567"/>
      <c r="CB581" s="567"/>
      <c r="CC581" s="567"/>
      <c r="CD581" s="567"/>
      <c r="CE581" s="567"/>
      <c r="CF581" s="567"/>
      <c r="CG581" s="567"/>
      <c r="CH581" s="567"/>
      <c r="CI581" s="567"/>
      <c r="CJ581" s="567"/>
      <c r="CK581" s="567"/>
      <c r="CL581" s="567"/>
      <c r="CM581" s="567"/>
      <c r="CN581" s="567"/>
      <c r="CO581" s="567"/>
      <c r="CP581" s="567"/>
      <c r="CQ581" s="567"/>
      <c r="CR581" s="567"/>
      <c r="CS581" s="567"/>
      <c r="CT581" s="567"/>
      <c r="CU581" s="567"/>
      <c r="CV581" s="567"/>
      <c r="CW581" s="567"/>
      <c r="CX581" s="567"/>
      <c r="CY581" s="567"/>
      <c r="CZ581" s="567"/>
      <c r="DA581" s="567"/>
      <c r="DB581" s="567"/>
      <c r="DC581" s="567"/>
      <c r="DD581" s="567"/>
      <c r="DE581" s="567"/>
      <c r="DF581" s="567"/>
      <c r="DG581" s="567"/>
      <c r="DH581" s="567"/>
      <c r="DI581" s="567"/>
      <c r="DJ581" s="567"/>
      <c r="DK581" s="567"/>
      <c r="DL581" s="567"/>
      <c r="DM581" s="567"/>
      <c r="DN581" s="567"/>
      <c r="DO581" s="567"/>
      <c r="DP581" s="567"/>
      <c r="DQ581" s="567"/>
      <c r="DR581" s="567"/>
      <c r="DS581" s="567"/>
      <c r="DT581" s="567"/>
      <c r="DU581" s="567"/>
      <c r="DV581" s="567"/>
      <c r="DW581" s="567"/>
      <c r="DX581" s="567"/>
      <c r="DY581" s="567"/>
      <c r="DZ581" s="567"/>
      <c r="EA581" s="567"/>
      <c r="EB581" s="567"/>
      <c r="EC581" s="567"/>
      <c r="ED581" s="567"/>
      <c r="EE581" s="567"/>
      <c r="EF581" s="567"/>
      <c r="EG581" s="567"/>
      <c r="EH581" s="567"/>
      <c r="EI581" s="567"/>
      <c r="EJ581" s="567"/>
      <c r="EK581" s="567"/>
      <c r="EL581" s="567"/>
      <c r="EM581" s="567"/>
      <c r="EN581" s="567"/>
      <c r="EO581" s="567"/>
      <c r="EP581" s="567"/>
      <c r="EQ581" s="567"/>
      <c r="ER581" s="567"/>
      <c r="ES581" s="567"/>
      <c r="ET581" s="567"/>
      <c r="EU581" s="567"/>
      <c r="EV581" s="567"/>
      <c r="EW581" s="567"/>
      <c r="EX581" s="567"/>
      <c r="EY581" s="567"/>
      <c r="EZ581" s="567"/>
      <c r="FA581" s="567"/>
      <c r="FB581" s="567"/>
      <c r="FC581" s="567"/>
      <c r="FD581" s="567"/>
      <c r="FE581" s="567"/>
      <c r="FF581" s="567"/>
      <c r="FG581" s="567"/>
      <c r="FH581" s="567"/>
      <c r="FI581" s="567"/>
      <c r="FJ581" s="567"/>
      <c r="FK581" s="567"/>
      <c r="FL581" s="567"/>
      <c r="FM581" s="567"/>
      <c r="FN581" s="567"/>
      <c r="FO581" s="567"/>
      <c r="FP581" s="567"/>
      <c r="FQ581" s="567"/>
      <c r="FR581" s="567"/>
      <c r="FS581" s="567"/>
      <c r="FT581" s="567"/>
      <c r="FU581" s="567"/>
      <c r="FV581" s="567"/>
      <c r="FW581" s="567"/>
      <c r="FX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  <c r="BW582" s="567"/>
      <c r="BX582" s="567"/>
      <c r="BY582" s="567"/>
      <c r="BZ582" s="567"/>
      <c r="CA582" s="567"/>
      <c r="CB582" s="567"/>
      <c r="CC582" s="567"/>
      <c r="CD582" s="567"/>
      <c r="CE582" s="567"/>
      <c r="CF582" s="567"/>
      <c r="CG582" s="567"/>
      <c r="CH582" s="567"/>
      <c r="CI582" s="567"/>
      <c r="CJ582" s="567"/>
      <c r="CK582" s="567"/>
      <c r="CL582" s="567"/>
      <c r="CM582" s="567"/>
      <c r="CN582" s="567"/>
      <c r="CO582" s="567"/>
      <c r="CP582" s="567"/>
      <c r="CQ582" s="567"/>
      <c r="CR582" s="567"/>
      <c r="CS582" s="567"/>
      <c r="CT582" s="567"/>
      <c r="CU582" s="567"/>
      <c r="CV582" s="567"/>
      <c r="CW582" s="567"/>
      <c r="CX582" s="567"/>
      <c r="CY582" s="567"/>
      <c r="CZ582" s="567"/>
      <c r="DA582" s="567"/>
      <c r="DB582" s="567"/>
      <c r="DC582" s="567"/>
      <c r="DD582" s="567"/>
      <c r="DE582" s="567"/>
      <c r="DF582" s="567"/>
      <c r="DG582" s="567"/>
      <c r="DH582" s="567"/>
      <c r="DI582" s="567"/>
      <c r="DJ582" s="567"/>
      <c r="DK582" s="567"/>
      <c r="DL582" s="567"/>
      <c r="DM582" s="567"/>
      <c r="DN582" s="567"/>
      <c r="DO582" s="567"/>
      <c r="DP582" s="567"/>
      <c r="DQ582" s="567"/>
      <c r="DR582" s="567"/>
      <c r="DS582" s="567"/>
      <c r="DT582" s="567"/>
      <c r="DU582" s="567"/>
      <c r="DV582" s="567"/>
      <c r="DW582" s="567"/>
      <c r="DX582" s="567"/>
      <c r="DY582" s="567"/>
      <c r="DZ582" s="567"/>
      <c r="EA582" s="567"/>
      <c r="EB582" s="567"/>
      <c r="EC582" s="567"/>
      <c r="ED582" s="567"/>
      <c r="EE582" s="567"/>
      <c r="EF582" s="567"/>
      <c r="EG582" s="567"/>
      <c r="EH582" s="567"/>
      <c r="EI582" s="567"/>
      <c r="EJ582" s="567"/>
      <c r="EK582" s="567"/>
      <c r="EL582" s="567"/>
      <c r="EM582" s="567"/>
      <c r="EN582" s="567"/>
      <c r="EO582" s="567"/>
      <c r="EP582" s="567"/>
      <c r="EQ582" s="567"/>
      <c r="ER582" s="567"/>
      <c r="ES582" s="567"/>
      <c r="ET582" s="567"/>
      <c r="EU582" s="567"/>
      <c r="EV582" s="567"/>
      <c r="EW582" s="567"/>
      <c r="EX582" s="567"/>
      <c r="EY582" s="567"/>
      <c r="EZ582" s="567"/>
      <c r="FA582" s="567"/>
      <c r="FB582" s="567"/>
      <c r="FC582" s="567"/>
      <c r="FD582" s="567"/>
      <c r="FE582" s="567"/>
      <c r="FF582" s="567"/>
      <c r="FG582" s="567"/>
      <c r="FH582" s="567"/>
      <c r="FI582" s="567"/>
      <c r="FJ582" s="567"/>
      <c r="FK582" s="567"/>
      <c r="FL582" s="567"/>
      <c r="FM582" s="567"/>
      <c r="FN582" s="567"/>
      <c r="FO582" s="567"/>
      <c r="FP582" s="567"/>
      <c r="FQ582" s="567"/>
      <c r="FR582" s="567"/>
      <c r="FS582" s="567"/>
      <c r="FT582" s="567"/>
      <c r="FU582" s="567"/>
      <c r="FV582" s="567"/>
      <c r="FW582" s="567"/>
      <c r="FX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  <c r="BW583" s="567"/>
      <c r="BX583" s="567"/>
      <c r="BY583" s="567"/>
      <c r="BZ583" s="567"/>
      <c r="CA583" s="567"/>
      <c r="CB583" s="567"/>
      <c r="CC583" s="567"/>
      <c r="CD583" s="567"/>
      <c r="CE583" s="567"/>
      <c r="CF583" s="567"/>
      <c r="CG583" s="567"/>
      <c r="CH583" s="567"/>
      <c r="CI583" s="567"/>
      <c r="CJ583" s="567"/>
      <c r="CK583" s="567"/>
      <c r="CL583" s="567"/>
      <c r="CM583" s="567"/>
      <c r="CN583" s="567"/>
      <c r="CO583" s="567"/>
      <c r="CP583" s="567"/>
      <c r="CQ583" s="567"/>
      <c r="CR583" s="567"/>
      <c r="CS583" s="567"/>
      <c r="CT583" s="567"/>
      <c r="CU583" s="567"/>
      <c r="CV583" s="567"/>
      <c r="CW583" s="567"/>
      <c r="CX583" s="567"/>
      <c r="CY583" s="567"/>
      <c r="CZ583" s="567"/>
      <c r="DA583" s="567"/>
      <c r="DB583" s="567"/>
      <c r="DC583" s="567"/>
      <c r="DD583" s="567"/>
      <c r="DE583" s="567"/>
      <c r="DF583" s="567"/>
      <c r="DG583" s="567"/>
      <c r="DH583" s="567"/>
      <c r="DI583" s="567"/>
      <c r="DJ583" s="567"/>
      <c r="DK583" s="567"/>
      <c r="DL583" s="567"/>
      <c r="DM583" s="567"/>
      <c r="DN583" s="567"/>
      <c r="DO583" s="567"/>
      <c r="DP583" s="567"/>
      <c r="DQ583" s="567"/>
      <c r="DR583" s="567"/>
      <c r="DS583" s="567"/>
      <c r="DT583" s="567"/>
      <c r="DU583" s="567"/>
      <c r="DV583" s="567"/>
      <c r="DW583" s="567"/>
      <c r="DX583" s="567"/>
      <c r="DY583" s="567"/>
      <c r="DZ583" s="567"/>
      <c r="EA583" s="567"/>
      <c r="EB583" s="567"/>
      <c r="EC583" s="567"/>
      <c r="ED583" s="567"/>
      <c r="EE583" s="567"/>
      <c r="EF583" s="567"/>
      <c r="EG583" s="567"/>
      <c r="EH583" s="567"/>
      <c r="EI583" s="567"/>
      <c r="EJ583" s="567"/>
      <c r="EK583" s="567"/>
      <c r="EL583" s="567"/>
      <c r="EM583" s="567"/>
      <c r="EN583" s="567"/>
      <c r="EO583" s="567"/>
      <c r="EP583" s="567"/>
      <c r="EQ583" s="567"/>
      <c r="ER583" s="567"/>
      <c r="ES583" s="567"/>
      <c r="ET583" s="567"/>
      <c r="EU583" s="567"/>
      <c r="EV583" s="567"/>
      <c r="EW583" s="567"/>
      <c r="EX583" s="567"/>
      <c r="EY583" s="567"/>
      <c r="EZ583" s="567"/>
      <c r="FA583" s="567"/>
      <c r="FB583" s="567"/>
      <c r="FC583" s="567"/>
      <c r="FD583" s="567"/>
      <c r="FE583" s="567"/>
      <c r="FF583" s="567"/>
      <c r="FG583" s="567"/>
      <c r="FH583" s="567"/>
      <c r="FI583" s="567"/>
      <c r="FJ583" s="567"/>
      <c r="FK583" s="567"/>
      <c r="FL583" s="567"/>
      <c r="FM583" s="567"/>
      <c r="FN583" s="567"/>
      <c r="FO583" s="567"/>
      <c r="FP583" s="567"/>
      <c r="FQ583" s="567"/>
      <c r="FR583" s="567"/>
      <c r="FS583" s="567"/>
      <c r="FT583" s="567"/>
      <c r="FU583" s="567"/>
      <c r="FV583" s="567"/>
      <c r="FW583" s="567"/>
      <c r="FX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  <c r="BW584" s="567"/>
      <c r="BX584" s="567"/>
      <c r="BY584" s="567"/>
      <c r="BZ584" s="567"/>
      <c r="CA584" s="567"/>
      <c r="CB584" s="567"/>
      <c r="CC584" s="567"/>
      <c r="CD584" s="567"/>
      <c r="CE584" s="567"/>
      <c r="CF584" s="567"/>
      <c r="CG584" s="567"/>
      <c r="CH584" s="567"/>
      <c r="CI584" s="567"/>
      <c r="CJ584" s="567"/>
      <c r="CK584" s="567"/>
      <c r="CL584" s="567"/>
      <c r="CM584" s="567"/>
      <c r="CN584" s="567"/>
      <c r="CO584" s="567"/>
      <c r="CP584" s="567"/>
      <c r="CQ584" s="567"/>
      <c r="CR584" s="567"/>
      <c r="CS584" s="567"/>
      <c r="CT584" s="567"/>
      <c r="CU584" s="567"/>
      <c r="CV584" s="567"/>
      <c r="CW584" s="567"/>
      <c r="CX584" s="567"/>
      <c r="CY584" s="567"/>
      <c r="CZ584" s="567"/>
      <c r="DA584" s="567"/>
      <c r="DB584" s="567"/>
      <c r="DC584" s="567"/>
      <c r="DD584" s="567"/>
      <c r="DE584" s="567"/>
      <c r="DF584" s="567"/>
      <c r="DG584" s="567"/>
      <c r="DH584" s="567"/>
      <c r="DI584" s="567"/>
      <c r="DJ584" s="567"/>
      <c r="DK584" s="567"/>
      <c r="DL584" s="567"/>
      <c r="DM584" s="567"/>
      <c r="DN584" s="567"/>
      <c r="DO584" s="567"/>
      <c r="DP584" s="567"/>
      <c r="DQ584" s="567"/>
      <c r="DR584" s="567"/>
      <c r="DS584" s="567"/>
      <c r="DT584" s="567"/>
      <c r="DU584" s="567"/>
      <c r="DV584" s="567"/>
      <c r="DW584" s="567"/>
      <c r="DX584" s="567"/>
      <c r="DY584" s="567"/>
      <c r="DZ584" s="567"/>
      <c r="EA584" s="567"/>
      <c r="EB584" s="567"/>
      <c r="EC584" s="567"/>
      <c r="ED584" s="567"/>
      <c r="EE584" s="567"/>
      <c r="EF584" s="567"/>
      <c r="EG584" s="567"/>
      <c r="EH584" s="567"/>
      <c r="EI584" s="567"/>
      <c r="EJ584" s="567"/>
      <c r="EK584" s="567"/>
      <c r="EL584" s="567"/>
      <c r="EM584" s="567"/>
      <c r="EN584" s="567"/>
      <c r="EO584" s="567"/>
      <c r="EP584" s="567"/>
      <c r="EQ584" s="567"/>
      <c r="ER584" s="567"/>
      <c r="ES584" s="567"/>
      <c r="ET584" s="567"/>
      <c r="EU584" s="567"/>
      <c r="EV584" s="567"/>
      <c r="EW584" s="567"/>
      <c r="EX584" s="567"/>
      <c r="EY584" s="567"/>
      <c r="EZ584" s="567"/>
      <c r="FA584" s="567"/>
      <c r="FB584" s="567"/>
      <c r="FC584" s="567"/>
      <c r="FD584" s="567"/>
      <c r="FE584" s="567"/>
      <c r="FF584" s="567"/>
      <c r="FG584" s="567"/>
      <c r="FH584" s="567"/>
      <c r="FI584" s="567"/>
      <c r="FJ584" s="567"/>
      <c r="FK584" s="567"/>
      <c r="FL584" s="567"/>
      <c r="FM584" s="567"/>
      <c r="FN584" s="567"/>
      <c r="FO584" s="567"/>
      <c r="FP584" s="567"/>
      <c r="FQ584" s="567"/>
      <c r="FR584" s="567"/>
      <c r="FS584" s="567"/>
      <c r="FT584" s="567"/>
      <c r="FU584" s="567"/>
      <c r="FV584" s="567"/>
      <c r="FW584" s="567"/>
      <c r="FX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  <c r="BW585" s="567"/>
      <c r="BX585" s="567"/>
      <c r="BY585" s="567"/>
      <c r="BZ585" s="567"/>
      <c r="CA585" s="567"/>
      <c r="CB585" s="567"/>
      <c r="CC585" s="567"/>
      <c r="CD585" s="567"/>
      <c r="CE585" s="567"/>
      <c r="CF585" s="567"/>
      <c r="CG585" s="567"/>
      <c r="CH585" s="567"/>
      <c r="CI585" s="567"/>
      <c r="CJ585" s="567"/>
      <c r="CK585" s="567"/>
      <c r="CL585" s="567"/>
      <c r="CM585" s="567"/>
      <c r="CN585" s="567"/>
      <c r="CO585" s="567"/>
      <c r="CP585" s="567"/>
      <c r="CQ585" s="567"/>
      <c r="CR585" s="567"/>
      <c r="CS585" s="567"/>
      <c r="CT585" s="567"/>
      <c r="CU585" s="567"/>
      <c r="CV585" s="567"/>
      <c r="CW585" s="567"/>
      <c r="CX585" s="567"/>
      <c r="CY585" s="567"/>
      <c r="CZ585" s="567"/>
      <c r="DA585" s="567"/>
      <c r="DB585" s="567"/>
      <c r="DC585" s="567"/>
      <c r="DD585" s="567"/>
      <c r="DE585" s="567"/>
      <c r="DF585" s="567"/>
      <c r="DG585" s="567"/>
      <c r="DH585" s="567"/>
      <c r="DI585" s="567"/>
      <c r="DJ585" s="567"/>
      <c r="DK585" s="567"/>
      <c r="DL585" s="567"/>
      <c r="DM585" s="567"/>
      <c r="DN585" s="567"/>
      <c r="DO585" s="567"/>
      <c r="DP585" s="567"/>
      <c r="DQ585" s="567"/>
      <c r="DR585" s="567"/>
      <c r="DS585" s="567"/>
      <c r="DT585" s="567"/>
      <c r="DU585" s="567"/>
      <c r="DV585" s="567"/>
      <c r="DW585" s="567"/>
      <c r="DX585" s="567"/>
      <c r="DY585" s="567"/>
      <c r="DZ585" s="567"/>
      <c r="EA585" s="567"/>
      <c r="EB585" s="567"/>
      <c r="EC585" s="567"/>
      <c r="ED585" s="567"/>
      <c r="EE585" s="567"/>
      <c r="EF585" s="567"/>
      <c r="EG585" s="567"/>
      <c r="EH585" s="567"/>
      <c r="EI585" s="567"/>
      <c r="EJ585" s="567"/>
      <c r="EK585" s="567"/>
      <c r="EL585" s="567"/>
      <c r="EM585" s="567"/>
      <c r="EN585" s="567"/>
      <c r="EO585" s="567"/>
      <c r="EP585" s="567"/>
      <c r="EQ585" s="567"/>
      <c r="ER585" s="567"/>
      <c r="ES585" s="567"/>
      <c r="ET585" s="567"/>
      <c r="EU585" s="567"/>
      <c r="EV585" s="567"/>
      <c r="EW585" s="567"/>
      <c r="EX585" s="567"/>
      <c r="EY585" s="567"/>
      <c r="EZ585" s="567"/>
      <c r="FA585" s="567"/>
      <c r="FB585" s="567"/>
      <c r="FC585" s="567"/>
      <c r="FD585" s="567"/>
      <c r="FE585" s="567"/>
      <c r="FF585" s="567"/>
      <c r="FG585" s="567"/>
      <c r="FH585" s="567"/>
      <c r="FI585" s="567"/>
      <c r="FJ585" s="567"/>
      <c r="FK585" s="567"/>
      <c r="FL585" s="567"/>
      <c r="FM585" s="567"/>
      <c r="FN585" s="567"/>
      <c r="FO585" s="567"/>
      <c r="FP585" s="567"/>
      <c r="FQ585" s="567"/>
      <c r="FR585" s="567"/>
      <c r="FS585" s="567"/>
      <c r="FT585" s="567"/>
      <c r="FU585" s="567"/>
      <c r="FV585" s="567"/>
      <c r="FW585" s="567"/>
      <c r="FX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  <c r="BW586" s="567"/>
      <c r="BX586" s="567"/>
      <c r="BY586" s="567"/>
      <c r="BZ586" s="567"/>
      <c r="CA586" s="567"/>
      <c r="CB586" s="567"/>
      <c r="CC586" s="567"/>
      <c r="CD586" s="567"/>
      <c r="CE586" s="567"/>
      <c r="CF586" s="567"/>
      <c r="CG586" s="567"/>
      <c r="CH586" s="567"/>
      <c r="CI586" s="567"/>
      <c r="CJ586" s="567"/>
      <c r="CK586" s="567"/>
      <c r="CL586" s="567"/>
      <c r="CM586" s="567"/>
      <c r="CN586" s="567"/>
      <c r="CO586" s="567"/>
      <c r="CP586" s="567"/>
      <c r="CQ586" s="567"/>
      <c r="CR586" s="567"/>
      <c r="CS586" s="567"/>
      <c r="CT586" s="567"/>
      <c r="CU586" s="567"/>
      <c r="CV586" s="567"/>
      <c r="CW586" s="567"/>
      <c r="CX586" s="567"/>
      <c r="CY586" s="567"/>
      <c r="CZ586" s="567"/>
      <c r="DA586" s="567"/>
      <c r="DB586" s="567"/>
      <c r="DC586" s="567"/>
      <c r="DD586" s="567"/>
      <c r="DE586" s="567"/>
      <c r="DF586" s="567"/>
      <c r="DG586" s="567"/>
      <c r="DH586" s="567"/>
      <c r="DI586" s="567"/>
      <c r="DJ586" s="567"/>
      <c r="DK586" s="567"/>
      <c r="DL586" s="567"/>
      <c r="DM586" s="567"/>
      <c r="DN586" s="567"/>
      <c r="DO586" s="567"/>
      <c r="DP586" s="567"/>
      <c r="DQ586" s="567"/>
      <c r="DR586" s="567"/>
      <c r="DS586" s="567"/>
      <c r="DT586" s="567"/>
      <c r="DU586" s="567"/>
      <c r="DV586" s="567"/>
      <c r="DW586" s="567"/>
      <c r="DX586" s="567"/>
      <c r="DY586" s="567"/>
      <c r="DZ586" s="567"/>
      <c r="EA586" s="567"/>
      <c r="EB586" s="567"/>
      <c r="EC586" s="567"/>
      <c r="ED586" s="567"/>
      <c r="EE586" s="567"/>
      <c r="EF586" s="567"/>
      <c r="EG586" s="567"/>
      <c r="EH586" s="567"/>
      <c r="EI586" s="567"/>
      <c r="EJ586" s="567"/>
      <c r="EK586" s="567"/>
      <c r="EL586" s="567"/>
      <c r="EM586" s="567"/>
      <c r="EN586" s="567"/>
      <c r="EO586" s="567"/>
      <c r="EP586" s="567"/>
      <c r="EQ586" s="567"/>
      <c r="ER586" s="567"/>
      <c r="ES586" s="567"/>
      <c r="ET586" s="567"/>
      <c r="EU586" s="567"/>
      <c r="EV586" s="567"/>
      <c r="EW586" s="567"/>
      <c r="EX586" s="567"/>
      <c r="EY586" s="567"/>
      <c r="EZ586" s="567"/>
      <c r="FA586" s="567"/>
      <c r="FB586" s="567"/>
      <c r="FC586" s="567"/>
      <c r="FD586" s="567"/>
      <c r="FE586" s="567"/>
      <c r="FF586" s="567"/>
      <c r="FG586" s="567"/>
      <c r="FH586" s="567"/>
      <c r="FI586" s="567"/>
      <c r="FJ586" s="567"/>
      <c r="FK586" s="567"/>
      <c r="FL586" s="567"/>
      <c r="FM586" s="567"/>
      <c r="FN586" s="567"/>
      <c r="FO586" s="567"/>
      <c r="FP586" s="567"/>
      <c r="FQ586" s="567"/>
      <c r="FR586" s="567"/>
      <c r="FS586" s="567"/>
      <c r="FT586" s="567"/>
      <c r="FU586" s="567"/>
      <c r="FV586" s="567"/>
      <c r="FW586" s="567"/>
      <c r="FX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  <c r="BW587" s="567"/>
      <c r="BX587" s="567"/>
      <c r="BY587" s="567"/>
      <c r="BZ587" s="567"/>
      <c r="CA587" s="567"/>
      <c r="CB587" s="567"/>
      <c r="CC587" s="567"/>
      <c r="CD587" s="567"/>
      <c r="CE587" s="567"/>
      <c r="CF587" s="567"/>
      <c r="CG587" s="567"/>
      <c r="CH587" s="567"/>
      <c r="CI587" s="567"/>
      <c r="CJ587" s="567"/>
      <c r="CK587" s="567"/>
      <c r="CL587" s="567"/>
      <c r="CM587" s="567"/>
      <c r="CN587" s="567"/>
      <c r="CO587" s="567"/>
      <c r="CP587" s="567"/>
      <c r="CQ587" s="567"/>
      <c r="CR587" s="567"/>
      <c r="CS587" s="567"/>
      <c r="CT587" s="567"/>
      <c r="CU587" s="567"/>
      <c r="CV587" s="567"/>
      <c r="CW587" s="567"/>
      <c r="CX587" s="567"/>
      <c r="CY587" s="567"/>
      <c r="CZ587" s="567"/>
      <c r="DA587" s="567"/>
      <c r="DB587" s="567"/>
      <c r="DC587" s="567"/>
      <c r="DD587" s="567"/>
      <c r="DE587" s="567"/>
      <c r="DF587" s="567"/>
      <c r="DG587" s="567"/>
      <c r="DH587" s="567"/>
      <c r="DI587" s="567"/>
      <c r="DJ587" s="567"/>
      <c r="DK587" s="567"/>
      <c r="DL587" s="567"/>
      <c r="DM587" s="567"/>
      <c r="DN587" s="567"/>
      <c r="DO587" s="567"/>
      <c r="DP587" s="567"/>
      <c r="DQ587" s="567"/>
      <c r="DR587" s="567"/>
      <c r="DS587" s="567"/>
      <c r="DT587" s="567"/>
      <c r="DU587" s="567"/>
      <c r="DV587" s="567"/>
      <c r="DW587" s="567"/>
      <c r="DX587" s="567"/>
      <c r="DY587" s="567"/>
      <c r="DZ587" s="567"/>
      <c r="EA587" s="567"/>
      <c r="EB587" s="567"/>
      <c r="EC587" s="567"/>
      <c r="ED587" s="567"/>
      <c r="EE587" s="567"/>
      <c r="EF587" s="567"/>
      <c r="EG587" s="567"/>
      <c r="EH587" s="567"/>
      <c r="EI587" s="567"/>
      <c r="EJ587" s="567"/>
      <c r="EK587" s="567"/>
      <c r="EL587" s="567"/>
      <c r="EM587" s="567"/>
      <c r="EN587" s="567"/>
      <c r="EO587" s="567"/>
      <c r="EP587" s="567"/>
      <c r="EQ587" s="567"/>
      <c r="ER587" s="567"/>
      <c r="ES587" s="567"/>
      <c r="ET587" s="567"/>
      <c r="EU587" s="567"/>
      <c r="EV587" s="567"/>
      <c r="EW587" s="567"/>
      <c r="EX587" s="567"/>
      <c r="EY587" s="567"/>
      <c r="EZ587" s="567"/>
      <c r="FA587" s="567"/>
      <c r="FB587" s="567"/>
      <c r="FC587" s="567"/>
      <c r="FD587" s="567"/>
      <c r="FE587" s="567"/>
      <c r="FF587" s="567"/>
      <c r="FG587" s="567"/>
      <c r="FH587" s="567"/>
      <c r="FI587" s="567"/>
      <c r="FJ587" s="567"/>
      <c r="FK587" s="567"/>
      <c r="FL587" s="567"/>
      <c r="FM587" s="567"/>
      <c r="FN587" s="567"/>
      <c r="FO587" s="567"/>
      <c r="FP587" s="567"/>
      <c r="FQ587" s="567"/>
      <c r="FR587" s="567"/>
      <c r="FS587" s="567"/>
      <c r="FT587" s="567"/>
      <c r="FU587" s="567"/>
      <c r="FV587" s="567"/>
      <c r="FW587" s="567"/>
      <c r="FX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  <c r="BW588" s="567"/>
      <c r="BX588" s="567"/>
      <c r="BY588" s="567"/>
      <c r="BZ588" s="567"/>
      <c r="CA588" s="567"/>
      <c r="CB588" s="567"/>
      <c r="CC588" s="567"/>
      <c r="CD588" s="567"/>
      <c r="CE588" s="567"/>
      <c r="CF588" s="567"/>
      <c r="CG588" s="567"/>
      <c r="CH588" s="567"/>
      <c r="CI588" s="567"/>
      <c r="CJ588" s="567"/>
      <c r="CK588" s="567"/>
      <c r="CL588" s="567"/>
      <c r="CM588" s="567"/>
      <c r="CN588" s="567"/>
      <c r="CO588" s="567"/>
      <c r="CP588" s="567"/>
      <c r="CQ588" s="567"/>
      <c r="CR588" s="567"/>
      <c r="CS588" s="567"/>
      <c r="CT588" s="567"/>
      <c r="CU588" s="567"/>
      <c r="CV588" s="567"/>
      <c r="CW588" s="567"/>
      <c r="CX588" s="567"/>
      <c r="CY588" s="567"/>
      <c r="CZ588" s="567"/>
      <c r="DA588" s="567"/>
      <c r="DB588" s="567"/>
      <c r="DC588" s="567"/>
      <c r="DD588" s="567"/>
      <c r="DE588" s="567"/>
      <c r="DF588" s="567"/>
      <c r="DG588" s="567"/>
      <c r="DH588" s="567"/>
      <c r="DI588" s="567"/>
      <c r="DJ588" s="567"/>
      <c r="DK588" s="567"/>
      <c r="DL588" s="567"/>
      <c r="DM588" s="567"/>
      <c r="DN588" s="567"/>
      <c r="DO588" s="567"/>
      <c r="DP588" s="567"/>
      <c r="DQ588" s="567"/>
      <c r="DR588" s="567"/>
      <c r="DS588" s="567"/>
      <c r="DT588" s="567"/>
      <c r="DU588" s="567"/>
      <c r="DV588" s="567"/>
      <c r="DW588" s="567"/>
      <c r="DX588" s="567"/>
      <c r="DY588" s="567"/>
      <c r="DZ588" s="567"/>
      <c r="EA588" s="567"/>
      <c r="EB588" s="567"/>
      <c r="EC588" s="567"/>
      <c r="ED588" s="567"/>
      <c r="EE588" s="567"/>
      <c r="EF588" s="567"/>
      <c r="EG588" s="567"/>
      <c r="EH588" s="567"/>
      <c r="EI588" s="567"/>
      <c r="EJ588" s="567"/>
      <c r="EK588" s="567"/>
      <c r="EL588" s="567"/>
      <c r="EM588" s="567"/>
      <c r="EN588" s="567"/>
      <c r="EO588" s="567"/>
      <c r="EP588" s="567"/>
      <c r="EQ588" s="567"/>
      <c r="ER588" s="567"/>
      <c r="ES588" s="567"/>
      <c r="ET588" s="567"/>
      <c r="EU588" s="567"/>
      <c r="EV588" s="567"/>
      <c r="EW588" s="567"/>
      <c r="EX588" s="567"/>
      <c r="EY588" s="567"/>
      <c r="EZ588" s="567"/>
      <c r="FA588" s="567"/>
      <c r="FB588" s="567"/>
      <c r="FC588" s="567"/>
      <c r="FD588" s="567"/>
      <c r="FE588" s="567"/>
      <c r="FF588" s="567"/>
      <c r="FG588" s="567"/>
      <c r="FH588" s="567"/>
      <c r="FI588" s="567"/>
      <c r="FJ588" s="567"/>
      <c r="FK588" s="567"/>
      <c r="FL588" s="567"/>
      <c r="FM588" s="567"/>
      <c r="FN588" s="567"/>
      <c r="FO588" s="567"/>
      <c r="FP588" s="567"/>
      <c r="FQ588" s="567"/>
      <c r="FR588" s="567"/>
      <c r="FS588" s="567"/>
      <c r="FT588" s="567"/>
      <c r="FU588" s="567"/>
      <c r="FV588" s="567"/>
      <c r="FW588" s="567"/>
      <c r="FX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  <c r="BW589" s="567"/>
      <c r="BX589" s="567"/>
      <c r="BY589" s="567"/>
      <c r="BZ589" s="567"/>
      <c r="CA589" s="567"/>
      <c r="CB589" s="567"/>
      <c r="CC589" s="567"/>
      <c r="CD589" s="567"/>
      <c r="CE589" s="567"/>
      <c r="CF589" s="567"/>
      <c r="CG589" s="567"/>
      <c r="CH589" s="567"/>
      <c r="CI589" s="567"/>
      <c r="CJ589" s="567"/>
      <c r="CK589" s="567"/>
      <c r="CL589" s="567"/>
      <c r="CM589" s="567"/>
      <c r="CN589" s="567"/>
      <c r="CO589" s="567"/>
      <c r="CP589" s="567"/>
      <c r="CQ589" s="567"/>
      <c r="CR589" s="567"/>
      <c r="CS589" s="567"/>
      <c r="CT589" s="567"/>
      <c r="CU589" s="567"/>
      <c r="CV589" s="567"/>
      <c r="CW589" s="567"/>
      <c r="CX589" s="567"/>
      <c r="CY589" s="567"/>
      <c r="CZ589" s="567"/>
      <c r="DA589" s="567"/>
      <c r="DB589" s="567"/>
      <c r="DC589" s="567"/>
      <c r="DD589" s="567"/>
      <c r="DE589" s="567"/>
      <c r="DF589" s="567"/>
      <c r="DG589" s="567"/>
      <c r="DH589" s="567"/>
      <c r="DI589" s="567"/>
      <c r="DJ589" s="567"/>
      <c r="DK589" s="567"/>
      <c r="DL589" s="567"/>
      <c r="DM589" s="567"/>
      <c r="DN589" s="567"/>
      <c r="DO589" s="567"/>
      <c r="DP589" s="567"/>
      <c r="DQ589" s="567"/>
      <c r="DR589" s="567"/>
      <c r="DS589" s="567"/>
      <c r="DT589" s="567"/>
      <c r="DU589" s="567"/>
      <c r="DV589" s="567"/>
      <c r="DW589" s="567"/>
      <c r="DX589" s="567"/>
      <c r="DY589" s="567"/>
      <c r="DZ589" s="567"/>
      <c r="EA589" s="567"/>
      <c r="EB589" s="567"/>
      <c r="EC589" s="567"/>
      <c r="ED589" s="567"/>
      <c r="EE589" s="567"/>
      <c r="EF589" s="567"/>
      <c r="EG589" s="567"/>
      <c r="EH589" s="567"/>
      <c r="EI589" s="567"/>
      <c r="EJ589" s="567"/>
      <c r="EK589" s="567"/>
      <c r="EL589" s="567"/>
      <c r="EM589" s="567"/>
      <c r="EN589" s="567"/>
      <c r="EO589" s="567"/>
      <c r="EP589" s="567"/>
      <c r="EQ589" s="567"/>
      <c r="ER589" s="567"/>
      <c r="ES589" s="567"/>
      <c r="ET589" s="567"/>
      <c r="EU589" s="567"/>
      <c r="EV589" s="567"/>
      <c r="EW589" s="567"/>
      <c r="EX589" s="567"/>
      <c r="EY589" s="567"/>
      <c r="EZ589" s="567"/>
      <c r="FA589" s="567"/>
      <c r="FB589" s="567"/>
      <c r="FC589" s="567"/>
      <c r="FD589" s="567"/>
      <c r="FE589" s="567"/>
      <c r="FF589" s="567"/>
      <c r="FG589" s="567"/>
      <c r="FH589" s="567"/>
      <c r="FI589" s="567"/>
      <c r="FJ589" s="567"/>
      <c r="FK589" s="567"/>
      <c r="FL589" s="567"/>
      <c r="FM589" s="567"/>
      <c r="FN589" s="567"/>
      <c r="FO589" s="567"/>
      <c r="FP589" s="567"/>
      <c r="FQ589" s="567"/>
      <c r="FR589" s="567"/>
      <c r="FS589" s="567"/>
      <c r="FT589" s="567"/>
      <c r="FU589" s="567"/>
      <c r="FV589" s="567"/>
      <c r="FW589" s="567"/>
      <c r="FX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  <c r="BW590" s="567"/>
      <c r="BX590" s="567"/>
      <c r="BY590" s="567"/>
      <c r="BZ590" s="567"/>
      <c r="CA590" s="567"/>
      <c r="CB590" s="567"/>
      <c r="CC590" s="567"/>
      <c r="CD590" s="567"/>
      <c r="CE590" s="567"/>
      <c r="CF590" s="567"/>
      <c r="CG590" s="567"/>
      <c r="CH590" s="567"/>
      <c r="CI590" s="567"/>
      <c r="CJ590" s="567"/>
      <c r="CK590" s="567"/>
      <c r="CL590" s="567"/>
      <c r="CM590" s="567"/>
      <c r="CN590" s="567"/>
      <c r="CO590" s="567"/>
      <c r="CP590" s="567"/>
      <c r="CQ590" s="567"/>
      <c r="CR590" s="567"/>
      <c r="CS590" s="567"/>
      <c r="CT590" s="567"/>
      <c r="CU590" s="567"/>
      <c r="CV590" s="567"/>
      <c r="CW590" s="567"/>
      <c r="CX590" s="567"/>
      <c r="CY590" s="567"/>
      <c r="CZ590" s="567"/>
      <c r="DA590" s="567"/>
      <c r="DB590" s="567"/>
      <c r="DC590" s="567"/>
      <c r="DD590" s="567"/>
      <c r="DE590" s="567"/>
      <c r="DF590" s="567"/>
      <c r="DG590" s="567"/>
      <c r="DH590" s="567"/>
      <c r="DI590" s="567"/>
      <c r="DJ590" s="567"/>
      <c r="DK590" s="567"/>
      <c r="DL590" s="567"/>
      <c r="DM590" s="567"/>
      <c r="DN590" s="567"/>
      <c r="DO590" s="567"/>
      <c r="DP590" s="567"/>
      <c r="DQ590" s="567"/>
      <c r="DR590" s="567"/>
      <c r="DS590" s="567"/>
      <c r="DT590" s="567"/>
      <c r="DU590" s="567"/>
      <c r="DV590" s="567"/>
      <c r="DW590" s="567"/>
      <c r="DX590" s="567"/>
      <c r="DY590" s="567"/>
      <c r="DZ590" s="567"/>
      <c r="EA590" s="567"/>
      <c r="EB590" s="567"/>
      <c r="EC590" s="567"/>
      <c r="ED590" s="567"/>
      <c r="EE590" s="567"/>
      <c r="EF590" s="567"/>
      <c r="EG590" s="567"/>
      <c r="EH590" s="567"/>
      <c r="EI590" s="567"/>
      <c r="EJ590" s="567"/>
      <c r="EK590" s="567"/>
      <c r="EL590" s="567"/>
      <c r="EM590" s="567"/>
      <c r="EN590" s="567"/>
      <c r="EO590" s="567"/>
      <c r="EP590" s="567"/>
      <c r="EQ590" s="567"/>
      <c r="ER590" s="567"/>
      <c r="ES590" s="567"/>
      <c r="ET590" s="567"/>
      <c r="EU590" s="567"/>
      <c r="EV590" s="567"/>
      <c r="EW590" s="567"/>
      <c r="EX590" s="567"/>
      <c r="EY590" s="567"/>
      <c r="EZ590" s="567"/>
      <c r="FA590" s="567"/>
      <c r="FB590" s="567"/>
      <c r="FC590" s="567"/>
      <c r="FD590" s="567"/>
      <c r="FE590" s="567"/>
      <c r="FF590" s="567"/>
      <c r="FG590" s="567"/>
      <c r="FH590" s="567"/>
      <c r="FI590" s="567"/>
      <c r="FJ590" s="567"/>
      <c r="FK590" s="567"/>
      <c r="FL590" s="567"/>
      <c r="FM590" s="567"/>
      <c r="FN590" s="567"/>
      <c r="FO590" s="567"/>
      <c r="FP590" s="567"/>
      <c r="FQ590" s="567"/>
      <c r="FR590" s="567"/>
      <c r="FS590" s="567"/>
      <c r="FT590" s="567"/>
      <c r="FU590" s="567"/>
      <c r="FV590" s="567"/>
      <c r="FW590" s="567"/>
      <c r="FX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  <c r="BW591" s="567"/>
      <c r="BX591" s="567"/>
      <c r="BY591" s="567"/>
      <c r="BZ591" s="567"/>
      <c r="CA591" s="567"/>
      <c r="CB591" s="567"/>
      <c r="CC591" s="567"/>
      <c r="CD591" s="567"/>
      <c r="CE591" s="567"/>
      <c r="CF591" s="567"/>
      <c r="CG591" s="567"/>
      <c r="CH591" s="567"/>
      <c r="CI591" s="567"/>
      <c r="CJ591" s="567"/>
      <c r="CK591" s="567"/>
      <c r="CL591" s="567"/>
      <c r="CM591" s="567"/>
      <c r="CN591" s="567"/>
      <c r="CO591" s="567"/>
      <c r="CP591" s="567"/>
      <c r="CQ591" s="567"/>
      <c r="CR591" s="567"/>
      <c r="CS591" s="567"/>
      <c r="CT591" s="567"/>
      <c r="CU591" s="567"/>
      <c r="CV591" s="567"/>
      <c r="CW591" s="567"/>
      <c r="CX591" s="567"/>
      <c r="CY591" s="567"/>
      <c r="CZ591" s="567"/>
      <c r="DA591" s="567"/>
      <c r="DB591" s="567"/>
      <c r="DC591" s="567"/>
      <c r="DD591" s="567"/>
      <c r="DE591" s="567"/>
      <c r="DF591" s="567"/>
      <c r="DG591" s="567"/>
      <c r="DH591" s="567"/>
      <c r="DI591" s="567"/>
      <c r="DJ591" s="567"/>
      <c r="DK591" s="567"/>
      <c r="DL591" s="567"/>
      <c r="DM591" s="567"/>
      <c r="DN591" s="567"/>
      <c r="DO591" s="567"/>
      <c r="DP591" s="567"/>
      <c r="DQ591" s="567"/>
      <c r="DR591" s="567"/>
      <c r="DS591" s="567"/>
      <c r="DT591" s="567"/>
      <c r="DU591" s="567"/>
      <c r="DV591" s="567"/>
      <c r="DW591" s="567"/>
      <c r="DX591" s="567"/>
      <c r="DY591" s="567"/>
      <c r="DZ591" s="567"/>
      <c r="EA591" s="567"/>
      <c r="EB591" s="567"/>
      <c r="EC591" s="567"/>
      <c r="ED591" s="567"/>
      <c r="EE591" s="567"/>
      <c r="EF591" s="567"/>
      <c r="EG591" s="567"/>
      <c r="EH591" s="567"/>
      <c r="EI591" s="567"/>
      <c r="EJ591" s="567"/>
      <c r="EK591" s="567"/>
      <c r="EL591" s="567"/>
      <c r="EM591" s="567"/>
      <c r="EN591" s="567"/>
      <c r="EO591" s="567"/>
      <c r="EP591" s="567"/>
      <c r="EQ591" s="567"/>
      <c r="ER591" s="567"/>
      <c r="ES591" s="567"/>
      <c r="ET591" s="567"/>
      <c r="EU591" s="567"/>
      <c r="EV591" s="567"/>
      <c r="EW591" s="567"/>
      <c r="EX591" s="567"/>
      <c r="EY591" s="567"/>
      <c r="EZ591" s="567"/>
      <c r="FA591" s="567"/>
      <c r="FB591" s="567"/>
      <c r="FC591" s="567"/>
      <c r="FD591" s="567"/>
      <c r="FE591" s="567"/>
      <c r="FF591" s="567"/>
      <c r="FG591" s="567"/>
      <c r="FH591" s="567"/>
      <c r="FI591" s="567"/>
      <c r="FJ591" s="567"/>
      <c r="FK591" s="567"/>
      <c r="FL591" s="567"/>
      <c r="FM591" s="567"/>
      <c r="FN591" s="567"/>
      <c r="FO591" s="567"/>
      <c r="FP591" s="567"/>
      <c r="FQ591" s="567"/>
      <c r="FR591" s="567"/>
      <c r="FS591" s="567"/>
      <c r="FT591" s="567"/>
      <c r="FU591" s="567"/>
      <c r="FV591" s="567"/>
      <c r="FW591" s="567"/>
      <c r="FX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  <c r="BW592" s="567"/>
      <c r="BX592" s="567"/>
      <c r="BY592" s="567"/>
      <c r="BZ592" s="567"/>
      <c r="CA592" s="567"/>
      <c r="CB592" s="567"/>
      <c r="CC592" s="567"/>
      <c r="CD592" s="567"/>
      <c r="CE592" s="567"/>
      <c r="CF592" s="567"/>
      <c r="CG592" s="567"/>
      <c r="CH592" s="567"/>
      <c r="CI592" s="567"/>
      <c r="CJ592" s="567"/>
      <c r="CK592" s="567"/>
      <c r="CL592" s="567"/>
      <c r="CM592" s="567"/>
      <c r="CN592" s="567"/>
      <c r="CO592" s="567"/>
      <c r="CP592" s="567"/>
      <c r="CQ592" s="567"/>
      <c r="CR592" s="567"/>
      <c r="CS592" s="567"/>
      <c r="CT592" s="567"/>
      <c r="CU592" s="567"/>
      <c r="CV592" s="567"/>
      <c r="CW592" s="567"/>
      <c r="CX592" s="567"/>
      <c r="CY592" s="567"/>
      <c r="CZ592" s="567"/>
      <c r="DA592" s="567"/>
      <c r="DB592" s="567"/>
      <c r="DC592" s="567"/>
      <c r="DD592" s="567"/>
      <c r="DE592" s="567"/>
      <c r="DF592" s="567"/>
      <c r="DG592" s="567"/>
      <c r="DH592" s="567"/>
      <c r="DI592" s="567"/>
      <c r="DJ592" s="567"/>
      <c r="DK592" s="567"/>
      <c r="DL592" s="567"/>
      <c r="DM592" s="567"/>
      <c r="DN592" s="567"/>
      <c r="DO592" s="567"/>
      <c r="DP592" s="567"/>
      <c r="DQ592" s="567"/>
      <c r="DR592" s="567"/>
      <c r="DS592" s="567"/>
      <c r="DT592" s="567"/>
      <c r="DU592" s="567"/>
      <c r="DV592" s="567"/>
      <c r="DW592" s="567"/>
      <c r="DX592" s="567"/>
      <c r="DY592" s="567"/>
      <c r="DZ592" s="567"/>
      <c r="EA592" s="567"/>
      <c r="EB592" s="567"/>
      <c r="EC592" s="567"/>
      <c r="ED592" s="567"/>
      <c r="EE592" s="567"/>
      <c r="EF592" s="567"/>
      <c r="EG592" s="567"/>
      <c r="EH592" s="567"/>
      <c r="EI592" s="567"/>
      <c r="EJ592" s="567"/>
      <c r="EK592" s="567"/>
      <c r="EL592" s="567"/>
      <c r="EM592" s="567"/>
      <c r="EN592" s="567"/>
      <c r="EO592" s="567"/>
      <c r="EP592" s="567"/>
      <c r="EQ592" s="567"/>
      <c r="ER592" s="567"/>
      <c r="ES592" s="567"/>
      <c r="ET592" s="567"/>
      <c r="EU592" s="567"/>
      <c r="EV592" s="567"/>
      <c r="EW592" s="567"/>
      <c r="EX592" s="567"/>
      <c r="EY592" s="567"/>
      <c r="EZ592" s="567"/>
      <c r="FA592" s="567"/>
      <c r="FB592" s="567"/>
      <c r="FC592" s="567"/>
      <c r="FD592" s="567"/>
      <c r="FE592" s="567"/>
      <c r="FF592" s="567"/>
      <c r="FG592" s="567"/>
      <c r="FH592" s="567"/>
      <c r="FI592" s="567"/>
      <c r="FJ592" s="567"/>
      <c r="FK592" s="567"/>
      <c r="FL592" s="567"/>
      <c r="FM592" s="567"/>
      <c r="FN592" s="567"/>
      <c r="FO592" s="567"/>
      <c r="FP592" s="567"/>
      <c r="FQ592" s="567"/>
      <c r="FR592" s="567"/>
      <c r="FS592" s="567"/>
      <c r="FT592" s="567"/>
      <c r="FU592" s="567"/>
      <c r="FV592" s="567"/>
      <c r="FW592" s="567"/>
      <c r="FX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  <c r="BW593" s="567"/>
      <c r="BX593" s="567"/>
      <c r="BY593" s="567"/>
      <c r="BZ593" s="567"/>
      <c r="CA593" s="567"/>
      <c r="CB593" s="567"/>
      <c r="CC593" s="567"/>
      <c r="CD593" s="567"/>
      <c r="CE593" s="567"/>
      <c r="CF593" s="567"/>
      <c r="CG593" s="567"/>
      <c r="CH593" s="567"/>
      <c r="CI593" s="567"/>
      <c r="CJ593" s="567"/>
      <c r="CK593" s="567"/>
      <c r="CL593" s="567"/>
      <c r="CM593" s="567"/>
      <c r="CN593" s="567"/>
      <c r="CO593" s="567"/>
      <c r="CP593" s="567"/>
      <c r="CQ593" s="567"/>
      <c r="CR593" s="567"/>
      <c r="CS593" s="567"/>
      <c r="CT593" s="567"/>
      <c r="CU593" s="567"/>
      <c r="CV593" s="567"/>
      <c r="CW593" s="567"/>
      <c r="CX593" s="567"/>
      <c r="CY593" s="567"/>
      <c r="CZ593" s="567"/>
      <c r="DA593" s="567"/>
      <c r="DB593" s="567"/>
      <c r="DC593" s="567"/>
      <c r="DD593" s="567"/>
      <c r="DE593" s="567"/>
      <c r="DF593" s="567"/>
      <c r="DG593" s="567"/>
      <c r="DH593" s="567"/>
      <c r="DI593" s="567"/>
      <c r="DJ593" s="567"/>
      <c r="DK593" s="567"/>
      <c r="DL593" s="567"/>
      <c r="DM593" s="567"/>
      <c r="DN593" s="567"/>
      <c r="DO593" s="567"/>
      <c r="DP593" s="567"/>
      <c r="DQ593" s="567"/>
      <c r="DR593" s="567"/>
      <c r="DS593" s="567"/>
      <c r="DT593" s="567"/>
      <c r="DU593" s="567"/>
      <c r="DV593" s="567"/>
      <c r="DW593" s="567"/>
      <c r="DX593" s="567"/>
      <c r="DY593" s="567"/>
      <c r="DZ593" s="567"/>
      <c r="EA593" s="567"/>
      <c r="EB593" s="567"/>
      <c r="EC593" s="567"/>
      <c r="ED593" s="567"/>
      <c r="EE593" s="567"/>
      <c r="EF593" s="567"/>
      <c r="EG593" s="567"/>
      <c r="EH593" s="567"/>
      <c r="EI593" s="567"/>
      <c r="EJ593" s="567"/>
      <c r="EK593" s="567"/>
      <c r="EL593" s="567"/>
      <c r="EM593" s="567"/>
      <c r="EN593" s="567"/>
      <c r="EO593" s="567"/>
      <c r="EP593" s="567"/>
      <c r="EQ593" s="567"/>
      <c r="ER593" s="567"/>
      <c r="ES593" s="567"/>
      <c r="ET593" s="567"/>
      <c r="EU593" s="567"/>
      <c r="EV593" s="567"/>
      <c r="EW593" s="567"/>
      <c r="EX593" s="567"/>
      <c r="EY593" s="567"/>
      <c r="EZ593" s="567"/>
      <c r="FA593" s="567"/>
      <c r="FB593" s="567"/>
      <c r="FC593" s="567"/>
      <c r="FD593" s="567"/>
      <c r="FE593" s="567"/>
      <c r="FF593" s="567"/>
      <c r="FG593" s="567"/>
      <c r="FH593" s="567"/>
      <c r="FI593" s="567"/>
      <c r="FJ593" s="567"/>
      <c r="FK593" s="567"/>
      <c r="FL593" s="567"/>
      <c r="FM593" s="567"/>
      <c r="FN593" s="567"/>
      <c r="FO593" s="567"/>
      <c r="FP593" s="567"/>
      <c r="FQ593" s="567"/>
      <c r="FR593" s="567"/>
      <c r="FS593" s="567"/>
      <c r="FT593" s="567"/>
      <c r="FU593" s="567"/>
      <c r="FV593" s="567"/>
      <c r="FW593" s="567"/>
      <c r="FX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  <c r="BW594" s="567"/>
      <c r="BX594" s="567"/>
      <c r="BY594" s="567"/>
      <c r="BZ594" s="567"/>
      <c r="CA594" s="567"/>
      <c r="CB594" s="567"/>
      <c r="CC594" s="567"/>
      <c r="CD594" s="567"/>
      <c r="CE594" s="567"/>
      <c r="CF594" s="567"/>
      <c r="CG594" s="567"/>
      <c r="CH594" s="567"/>
      <c r="CI594" s="567"/>
      <c r="CJ594" s="567"/>
      <c r="CK594" s="567"/>
      <c r="CL594" s="567"/>
      <c r="CM594" s="567"/>
      <c r="CN594" s="567"/>
      <c r="CO594" s="567"/>
      <c r="CP594" s="567"/>
      <c r="CQ594" s="567"/>
      <c r="CR594" s="567"/>
      <c r="CS594" s="567"/>
      <c r="CT594" s="567"/>
      <c r="CU594" s="567"/>
      <c r="CV594" s="567"/>
      <c r="CW594" s="567"/>
      <c r="CX594" s="567"/>
      <c r="CY594" s="567"/>
      <c r="CZ594" s="567"/>
      <c r="DA594" s="567"/>
      <c r="DB594" s="567"/>
      <c r="DC594" s="567"/>
      <c r="DD594" s="567"/>
      <c r="DE594" s="567"/>
      <c r="DF594" s="567"/>
      <c r="DG594" s="567"/>
      <c r="DH594" s="567"/>
      <c r="DI594" s="567"/>
      <c r="DJ594" s="567"/>
      <c r="DK594" s="567"/>
      <c r="DL594" s="567"/>
      <c r="DM594" s="567"/>
      <c r="DN594" s="567"/>
      <c r="DO594" s="567"/>
      <c r="DP594" s="567"/>
      <c r="DQ594" s="567"/>
      <c r="DR594" s="567"/>
      <c r="DS594" s="567"/>
      <c r="DT594" s="567"/>
      <c r="DU594" s="567"/>
      <c r="DV594" s="567"/>
      <c r="DW594" s="567"/>
      <c r="DX594" s="567"/>
      <c r="DY594" s="567"/>
      <c r="DZ594" s="567"/>
      <c r="EA594" s="567"/>
      <c r="EB594" s="567"/>
      <c r="EC594" s="567"/>
      <c r="ED594" s="567"/>
      <c r="EE594" s="567"/>
      <c r="EF594" s="567"/>
      <c r="EG594" s="567"/>
      <c r="EH594" s="567"/>
      <c r="EI594" s="567"/>
      <c r="EJ594" s="567"/>
      <c r="EK594" s="567"/>
      <c r="EL594" s="567"/>
      <c r="EM594" s="567"/>
      <c r="EN594" s="567"/>
      <c r="EO594" s="567"/>
      <c r="EP594" s="567"/>
      <c r="EQ594" s="567"/>
      <c r="ER594" s="567"/>
      <c r="ES594" s="567"/>
      <c r="ET594" s="567"/>
      <c r="EU594" s="567"/>
      <c r="EV594" s="567"/>
      <c r="EW594" s="567"/>
      <c r="EX594" s="567"/>
      <c r="EY594" s="567"/>
      <c r="EZ594" s="567"/>
      <c r="FA594" s="567"/>
      <c r="FB594" s="567"/>
      <c r="FC594" s="567"/>
      <c r="FD594" s="567"/>
      <c r="FE594" s="567"/>
      <c r="FF594" s="567"/>
      <c r="FG594" s="567"/>
      <c r="FH594" s="567"/>
      <c r="FI594" s="567"/>
      <c r="FJ594" s="567"/>
      <c r="FK594" s="567"/>
      <c r="FL594" s="567"/>
      <c r="FM594" s="567"/>
      <c r="FN594" s="567"/>
      <c r="FO594" s="567"/>
      <c r="FP594" s="567"/>
      <c r="FQ594" s="567"/>
      <c r="FR594" s="567"/>
      <c r="FS594" s="567"/>
      <c r="FT594" s="567"/>
      <c r="FU594" s="567"/>
      <c r="FV594" s="567"/>
      <c r="FW594" s="567"/>
      <c r="FX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  <c r="BW595" s="567"/>
      <c r="BX595" s="567"/>
      <c r="BY595" s="567"/>
      <c r="BZ595" s="567"/>
      <c r="CA595" s="567"/>
      <c r="CB595" s="567"/>
      <c r="CC595" s="567"/>
      <c r="CD595" s="567"/>
      <c r="CE595" s="567"/>
      <c r="CF595" s="567"/>
      <c r="CG595" s="567"/>
      <c r="CH595" s="567"/>
      <c r="CI595" s="567"/>
      <c r="CJ595" s="567"/>
      <c r="CK595" s="567"/>
      <c r="CL595" s="567"/>
      <c r="CM595" s="567"/>
      <c r="CN595" s="567"/>
      <c r="CO595" s="567"/>
      <c r="CP595" s="567"/>
      <c r="CQ595" s="567"/>
      <c r="CR595" s="567"/>
      <c r="CS595" s="567"/>
      <c r="CT595" s="567"/>
      <c r="CU595" s="567"/>
      <c r="CV595" s="567"/>
      <c r="CW595" s="567"/>
      <c r="CX595" s="567"/>
      <c r="CY595" s="567"/>
      <c r="CZ595" s="567"/>
      <c r="DA595" s="567"/>
      <c r="DB595" s="567"/>
      <c r="DC595" s="567"/>
      <c r="DD595" s="567"/>
      <c r="DE595" s="567"/>
      <c r="DF595" s="567"/>
      <c r="DG595" s="567"/>
      <c r="DH595" s="567"/>
      <c r="DI595" s="567"/>
      <c r="DJ595" s="567"/>
      <c r="DK595" s="567"/>
      <c r="DL595" s="567"/>
      <c r="DM595" s="567"/>
      <c r="DN595" s="567"/>
      <c r="DO595" s="567"/>
      <c r="DP595" s="567"/>
      <c r="DQ595" s="567"/>
      <c r="DR595" s="567"/>
      <c r="DS595" s="567"/>
      <c r="DT595" s="567"/>
      <c r="DU595" s="567"/>
      <c r="DV595" s="567"/>
      <c r="DW595" s="567"/>
      <c r="DX595" s="567"/>
      <c r="DY595" s="567"/>
      <c r="DZ595" s="567"/>
      <c r="EA595" s="567"/>
      <c r="EB595" s="567"/>
      <c r="EC595" s="567"/>
      <c r="ED595" s="567"/>
      <c r="EE595" s="567"/>
      <c r="EF595" s="567"/>
      <c r="EG595" s="567"/>
      <c r="EH595" s="567"/>
      <c r="EI595" s="567"/>
      <c r="EJ595" s="567"/>
      <c r="EK595" s="567"/>
      <c r="EL595" s="567"/>
      <c r="EM595" s="567"/>
      <c r="EN595" s="567"/>
      <c r="EO595" s="567"/>
      <c r="EP595" s="567"/>
      <c r="EQ595" s="567"/>
      <c r="ER595" s="567"/>
      <c r="ES595" s="567"/>
      <c r="ET595" s="567"/>
      <c r="EU595" s="567"/>
      <c r="EV595" s="567"/>
      <c r="EW595" s="567"/>
      <c r="EX595" s="567"/>
      <c r="EY595" s="567"/>
      <c r="EZ595" s="567"/>
      <c r="FA595" s="567"/>
      <c r="FB595" s="567"/>
      <c r="FC595" s="567"/>
      <c r="FD595" s="567"/>
      <c r="FE595" s="567"/>
      <c r="FF595" s="567"/>
      <c r="FG595" s="567"/>
      <c r="FH595" s="567"/>
      <c r="FI595" s="567"/>
      <c r="FJ595" s="567"/>
      <c r="FK595" s="567"/>
      <c r="FL595" s="567"/>
      <c r="FM595" s="567"/>
      <c r="FN595" s="567"/>
      <c r="FO595" s="567"/>
      <c r="FP595" s="567"/>
      <c r="FQ595" s="567"/>
      <c r="FR595" s="567"/>
      <c r="FS595" s="567"/>
      <c r="FT595" s="567"/>
      <c r="FU595" s="567"/>
      <c r="FV595" s="567"/>
      <c r="FW595" s="567"/>
      <c r="FX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  <c r="BW596" s="567"/>
      <c r="BX596" s="567"/>
      <c r="BY596" s="567"/>
      <c r="BZ596" s="567"/>
      <c r="CA596" s="567"/>
      <c r="CB596" s="567"/>
      <c r="CC596" s="567"/>
      <c r="CD596" s="567"/>
      <c r="CE596" s="567"/>
      <c r="CF596" s="567"/>
      <c r="CG596" s="567"/>
      <c r="CH596" s="567"/>
      <c r="CI596" s="567"/>
      <c r="CJ596" s="567"/>
      <c r="CK596" s="567"/>
      <c r="CL596" s="567"/>
      <c r="CM596" s="567"/>
      <c r="CN596" s="567"/>
      <c r="CO596" s="567"/>
      <c r="CP596" s="567"/>
      <c r="CQ596" s="567"/>
      <c r="CR596" s="567"/>
      <c r="CS596" s="567"/>
      <c r="CT596" s="567"/>
      <c r="CU596" s="567"/>
      <c r="CV596" s="567"/>
      <c r="CW596" s="567"/>
      <c r="CX596" s="567"/>
      <c r="CY596" s="567"/>
      <c r="CZ596" s="567"/>
      <c r="DA596" s="567"/>
      <c r="DB596" s="567"/>
      <c r="DC596" s="567"/>
      <c r="DD596" s="567"/>
      <c r="DE596" s="567"/>
      <c r="DF596" s="567"/>
      <c r="DG596" s="567"/>
      <c r="DH596" s="567"/>
      <c r="DI596" s="567"/>
      <c r="DJ596" s="567"/>
      <c r="DK596" s="567"/>
      <c r="DL596" s="567"/>
      <c r="DM596" s="567"/>
      <c r="DN596" s="567"/>
      <c r="DO596" s="567"/>
      <c r="DP596" s="567"/>
      <c r="DQ596" s="567"/>
      <c r="DR596" s="567"/>
      <c r="DS596" s="567"/>
      <c r="DT596" s="567"/>
      <c r="DU596" s="567"/>
      <c r="DV596" s="567"/>
      <c r="DW596" s="567"/>
      <c r="DX596" s="567"/>
      <c r="DY596" s="567"/>
      <c r="DZ596" s="567"/>
      <c r="EA596" s="567"/>
      <c r="EB596" s="567"/>
      <c r="EC596" s="567"/>
      <c r="ED596" s="567"/>
      <c r="EE596" s="567"/>
      <c r="EF596" s="567"/>
      <c r="EG596" s="567"/>
      <c r="EH596" s="567"/>
      <c r="EI596" s="567"/>
      <c r="EJ596" s="567"/>
      <c r="EK596" s="567"/>
      <c r="EL596" s="567"/>
      <c r="EM596" s="567"/>
      <c r="EN596" s="567"/>
      <c r="EO596" s="567"/>
      <c r="EP596" s="567"/>
      <c r="EQ596" s="567"/>
      <c r="ER596" s="567"/>
      <c r="ES596" s="567"/>
      <c r="ET596" s="567"/>
      <c r="EU596" s="567"/>
      <c r="EV596" s="567"/>
      <c r="EW596" s="567"/>
      <c r="EX596" s="567"/>
      <c r="EY596" s="567"/>
      <c r="EZ596" s="567"/>
      <c r="FA596" s="567"/>
      <c r="FB596" s="567"/>
      <c r="FC596" s="567"/>
      <c r="FD596" s="567"/>
      <c r="FE596" s="567"/>
      <c r="FF596" s="567"/>
      <c r="FG596" s="567"/>
      <c r="FH596" s="567"/>
      <c r="FI596" s="567"/>
      <c r="FJ596" s="567"/>
      <c r="FK596" s="567"/>
      <c r="FL596" s="567"/>
      <c r="FM596" s="567"/>
      <c r="FN596" s="567"/>
      <c r="FO596" s="567"/>
      <c r="FP596" s="567"/>
      <c r="FQ596" s="567"/>
      <c r="FR596" s="567"/>
      <c r="FS596" s="567"/>
      <c r="FT596" s="567"/>
      <c r="FU596" s="567"/>
      <c r="FV596" s="567"/>
      <c r="FW596" s="567"/>
      <c r="FX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  <c r="BW597" s="567"/>
      <c r="BX597" s="567"/>
      <c r="BY597" s="567"/>
      <c r="BZ597" s="567"/>
      <c r="CA597" s="567"/>
      <c r="CB597" s="567"/>
      <c r="CC597" s="567"/>
      <c r="CD597" s="567"/>
      <c r="CE597" s="567"/>
      <c r="CF597" s="567"/>
      <c r="CG597" s="567"/>
      <c r="CH597" s="567"/>
      <c r="CI597" s="567"/>
      <c r="CJ597" s="567"/>
      <c r="CK597" s="567"/>
      <c r="CL597" s="567"/>
      <c r="CM597" s="567"/>
      <c r="CN597" s="567"/>
      <c r="CO597" s="567"/>
      <c r="CP597" s="567"/>
      <c r="CQ597" s="567"/>
      <c r="CR597" s="567"/>
      <c r="CS597" s="567"/>
      <c r="CT597" s="567"/>
      <c r="CU597" s="567"/>
      <c r="CV597" s="567"/>
      <c r="CW597" s="567"/>
      <c r="CX597" s="567"/>
      <c r="CY597" s="567"/>
      <c r="CZ597" s="567"/>
      <c r="DA597" s="567"/>
      <c r="DB597" s="567"/>
      <c r="DC597" s="567"/>
      <c r="DD597" s="567"/>
      <c r="DE597" s="567"/>
      <c r="DF597" s="567"/>
      <c r="DG597" s="567"/>
      <c r="DH597" s="567"/>
      <c r="DI597" s="567"/>
      <c r="DJ597" s="567"/>
      <c r="DK597" s="567"/>
      <c r="DL597" s="567"/>
      <c r="DM597" s="567"/>
      <c r="DN597" s="567"/>
      <c r="DO597" s="567"/>
      <c r="DP597" s="567"/>
      <c r="DQ597" s="567"/>
      <c r="DR597" s="567"/>
      <c r="DS597" s="567"/>
      <c r="DT597" s="567"/>
      <c r="DU597" s="567"/>
      <c r="DV597" s="567"/>
      <c r="DW597" s="567"/>
      <c r="DX597" s="567"/>
      <c r="DY597" s="567"/>
      <c r="DZ597" s="567"/>
      <c r="EA597" s="567"/>
      <c r="EB597" s="567"/>
      <c r="EC597" s="567"/>
      <c r="ED597" s="567"/>
      <c r="EE597" s="567"/>
      <c r="EF597" s="567"/>
      <c r="EG597" s="567"/>
      <c r="EH597" s="567"/>
      <c r="EI597" s="567"/>
      <c r="EJ597" s="567"/>
      <c r="EK597" s="567"/>
      <c r="EL597" s="567"/>
      <c r="EM597" s="567"/>
      <c r="EN597" s="567"/>
      <c r="EO597" s="567"/>
      <c r="EP597" s="567"/>
      <c r="EQ597" s="567"/>
      <c r="ER597" s="567"/>
      <c r="ES597" s="567"/>
      <c r="ET597" s="567"/>
      <c r="EU597" s="567"/>
      <c r="EV597" s="567"/>
      <c r="EW597" s="567"/>
      <c r="EX597" s="567"/>
      <c r="EY597" s="567"/>
      <c r="EZ597" s="567"/>
      <c r="FA597" s="567"/>
      <c r="FB597" s="567"/>
      <c r="FC597" s="567"/>
      <c r="FD597" s="567"/>
      <c r="FE597" s="567"/>
      <c r="FF597" s="567"/>
      <c r="FG597" s="567"/>
      <c r="FH597" s="567"/>
      <c r="FI597" s="567"/>
      <c r="FJ597" s="567"/>
      <c r="FK597" s="567"/>
      <c r="FL597" s="567"/>
      <c r="FM597" s="567"/>
      <c r="FN597" s="567"/>
      <c r="FO597" s="567"/>
      <c r="FP597" s="567"/>
      <c r="FQ597" s="567"/>
      <c r="FR597" s="567"/>
      <c r="FS597" s="567"/>
      <c r="FT597" s="567"/>
      <c r="FU597" s="567"/>
      <c r="FV597" s="567"/>
      <c r="FW597" s="567"/>
      <c r="FX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  <c r="BW598" s="567"/>
      <c r="BX598" s="567"/>
      <c r="BY598" s="567"/>
      <c r="BZ598" s="567"/>
      <c r="CA598" s="567"/>
      <c r="CB598" s="567"/>
      <c r="CC598" s="567"/>
      <c r="CD598" s="567"/>
      <c r="CE598" s="567"/>
      <c r="CF598" s="567"/>
      <c r="CG598" s="567"/>
      <c r="CH598" s="567"/>
      <c r="CI598" s="567"/>
      <c r="CJ598" s="567"/>
      <c r="CK598" s="567"/>
      <c r="CL598" s="567"/>
      <c r="CM598" s="567"/>
      <c r="CN598" s="567"/>
      <c r="CO598" s="567"/>
      <c r="CP598" s="567"/>
      <c r="CQ598" s="567"/>
      <c r="CR598" s="567"/>
      <c r="CS598" s="567"/>
      <c r="CT598" s="567"/>
      <c r="CU598" s="567"/>
      <c r="CV598" s="567"/>
      <c r="CW598" s="567"/>
      <c r="CX598" s="567"/>
      <c r="CY598" s="567"/>
      <c r="CZ598" s="567"/>
      <c r="DA598" s="567"/>
      <c r="DB598" s="567"/>
      <c r="DC598" s="567"/>
      <c r="DD598" s="567"/>
      <c r="DE598" s="567"/>
      <c r="DF598" s="567"/>
      <c r="DG598" s="567"/>
      <c r="DH598" s="567"/>
      <c r="DI598" s="567"/>
      <c r="DJ598" s="567"/>
      <c r="DK598" s="567"/>
      <c r="DL598" s="567"/>
      <c r="DM598" s="567"/>
      <c r="DN598" s="567"/>
      <c r="DO598" s="567"/>
      <c r="DP598" s="567"/>
      <c r="DQ598" s="567"/>
      <c r="DR598" s="567"/>
      <c r="DS598" s="567"/>
      <c r="DT598" s="567"/>
      <c r="DU598" s="567"/>
      <c r="DV598" s="567"/>
      <c r="DW598" s="567"/>
      <c r="DX598" s="567"/>
      <c r="DY598" s="567"/>
      <c r="DZ598" s="567"/>
      <c r="EA598" s="567"/>
      <c r="EB598" s="567"/>
      <c r="EC598" s="567"/>
      <c r="ED598" s="567"/>
      <c r="EE598" s="567"/>
      <c r="EF598" s="567"/>
      <c r="EG598" s="567"/>
      <c r="EH598" s="567"/>
      <c r="EI598" s="567"/>
      <c r="EJ598" s="567"/>
      <c r="EK598" s="567"/>
      <c r="EL598" s="567"/>
      <c r="EM598" s="567"/>
      <c r="EN598" s="567"/>
      <c r="EO598" s="567"/>
      <c r="EP598" s="567"/>
      <c r="EQ598" s="567"/>
      <c r="ER598" s="567"/>
      <c r="ES598" s="567"/>
      <c r="ET598" s="567"/>
      <c r="EU598" s="567"/>
      <c r="EV598" s="567"/>
      <c r="EW598" s="567"/>
      <c r="EX598" s="567"/>
      <c r="EY598" s="567"/>
      <c r="EZ598" s="567"/>
      <c r="FA598" s="567"/>
      <c r="FB598" s="567"/>
      <c r="FC598" s="567"/>
      <c r="FD598" s="567"/>
      <c r="FE598" s="567"/>
      <c r="FF598" s="567"/>
      <c r="FG598" s="567"/>
      <c r="FH598" s="567"/>
      <c r="FI598" s="567"/>
      <c r="FJ598" s="567"/>
      <c r="FK598" s="567"/>
      <c r="FL598" s="567"/>
      <c r="FM598" s="567"/>
      <c r="FN598" s="567"/>
      <c r="FO598" s="567"/>
      <c r="FP598" s="567"/>
      <c r="FQ598" s="567"/>
      <c r="FR598" s="567"/>
      <c r="FS598" s="567"/>
      <c r="FT598" s="567"/>
      <c r="FU598" s="567"/>
      <c r="FV598" s="567"/>
      <c r="FW598" s="567"/>
      <c r="FX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  <c r="BW599" s="567"/>
      <c r="BX599" s="567"/>
      <c r="BY599" s="567"/>
      <c r="BZ599" s="567"/>
      <c r="CA599" s="567"/>
      <c r="CB599" s="567"/>
      <c r="CC599" s="567"/>
      <c r="CD599" s="567"/>
      <c r="CE599" s="567"/>
      <c r="CF599" s="567"/>
      <c r="CG599" s="567"/>
      <c r="CH599" s="567"/>
      <c r="CI599" s="567"/>
      <c r="CJ599" s="567"/>
      <c r="CK599" s="567"/>
      <c r="CL599" s="567"/>
      <c r="CM599" s="567"/>
      <c r="CN599" s="567"/>
      <c r="CO599" s="567"/>
      <c r="CP599" s="567"/>
      <c r="CQ599" s="567"/>
      <c r="CR599" s="567"/>
      <c r="CS599" s="567"/>
      <c r="CT599" s="567"/>
      <c r="CU599" s="567"/>
      <c r="CV599" s="567"/>
      <c r="CW599" s="567"/>
      <c r="CX599" s="567"/>
      <c r="CY599" s="567"/>
      <c r="CZ599" s="567"/>
      <c r="DA599" s="567"/>
      <c r="DB599" s="567"/>
      <c r="DC599" s="567"/>
      <c r="DD599" s="567"/>
      <c r="DE599" s="567"/>
      <c r="DF599" s="567"/>
      <c r="DG599" s="567"/>
      <c r="DH599" s="567"/>
      <c r="DI599" s="567"/>
      <c r="DJ599" s="567"/>
      <c r="DK599" s="567"/>
      <c r="DL599" s="567"/>
      <c r="DM599" s="567"/>
      <c r="DN599" s="567"/>
      <c r="DO599" s="567"/>
      <c r="DP599" s="567"/>
      <c r="DQ599" s="567"/>
      <c r="DR599" s="567"/>
      <c r="DS599" s="567"/>
      <c r="DT599" s="567"/>
      <c r="DU599" s="567"/>
      <c r="DV599" s="567"/>
      <c r="DW599" s="567"/>
      <c r="DX599" s="567"/>
      <c r="DY599" s="567"/>
      <c r="DZ599" s="567"/>
      <c r="EA599" s="567"/>
      <c r="EB599" s="567"/>
      <c r="EC599" s="567"/>
      <c r="ED599" s="567"/>
      <c r="EE599" s="567"/>
      <c r="EF599" s="567"/>
      <c r="EG599" s="567"/>
      <c r="EH599" s="567"/>
      <c r="EI599" s="567"/>
      <c r="EJ599" s="567"/>
      <c r="EK599" s="567"/>
      <c r="EL599" s="567"/>
      <c r="EM599" s="567"/>
      <c r="EN599" s="567"/>
      <c r="EO599" s="567"/>
      <c r="EP599" s="567"/>
      <c r="EQ599" s="567"/>
      <c r="ER599" s="567"/>
      <c r="ES599" s="567"/>
      <c r="ET599" s="567"/>
      <c r="EU599" s="567"/>
      <c r="EV599" s="567"/>
      <c r="EW599" s="567"/>
      <c r="EX599" s="567"/>
      <c r="EY599" s="567"/>
      <c r="EZ599" s="567"/>
      <c r="FA599" s="567"/>
      <c r="FB599" s="567"/>
      <c r="FC599" s="567"/>
      <c r="FD599" s="567"/>
      <c r="FE599" s="567"/>
      <c r="FF599" s="567"/>
      <c r="FG599" s="567"/>
      <c r="FH599" s="567"/>
      <c r="FI599" s="567"/>
      <c r="FJ599" s="567"/>
      <c r="FK599" s="567"/>
      <c r="FL599" s="567"/>
      <c r="FM599" s="567"/>
      <c r="FN599" s="567"/>
      <c r="FO599" s="567"/>
      <c r="FP599" s="567"/>
      <c r="FQ599" s="567"/>
      <c r="FR599" s="567"/>
      <c r="FS599" s="567"/>
      <c r="FT599" s="567"/>
      <c r="FU599" s="567"/>
      <c r="FV599" s="567"/>
      <c r="FW599" s="567"/>
      <c r="FX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  <c r="BW600" s="567"/>
      <c r="BX600" s="567"/>
      <c r="BY600" s="567"/>
      <c r="BZ600" s="567"/>
      <c r="CA600" s="567"/>
      <c r="CB600" s="567"/>
      <c r="CC600" s="567"/>
      <c r="CD600" s="567"/>
      <c r="CE600" s="567"/>
      <c r="CF600" s="567"/>
      <c r="CG600" s="567"/>
      <c r="CH600" s="567"/>
      <c r="CI600" s="567"/>
      <c r="CJ600" s="567"/>
      <c r="CK600" s="567"/>
      <c r="CL600" s="567"/>
      <c r="CM600" s="567"/>
      <c r="CN600" s="567"/>
      <c r="CO600" s="567"/>
      <c r="CP600" s="567"/>
      <c r="CQ600" s="567"/>
      <c r="CR600" s="567"/>
      <c r="CS600" s="567"/>
      <c r="CT600" s="567"/>
      <c r="CU600" s="567"/>
      <c r="CV600" s="567"/>
      <c r="CW600" s="567"/>
      <c r="CX600" s="567"/>
      <c r="CY600" s="567"/>
      <c r="CZ600" s="567"/>
      <c r="DA600" s="567"/>
      <c r="DB600" s="567"/>
      <c r="DC600" s="567"/>
      <c r="DD600" s="567"/>
      <c r="DE600" s="567"/>
      <c r="DF600" s="567"/>
      <c r="DG600" s="567"/>
      <c r="DH600" s="567"/>
      <c r="DI600" s="567"/>
      <c r="DJ600" s="567"/>
      <c r="DK600" s="567"/>
      <c r="DL600" s="567"/>
      <c r="DM600" s="567"/>
      <c r="DN600" s="567"/>
      <c r="DO600" s="567"/>
      <c r="DP600" s="567"/>
      <c r="DQ600" s="567"/>
      <c r="DR600" s="567"/>
      <c r="DS600" s="567"/>
      <c r="DT600" s="567"/>
      <c r="DU600" s="567"/>
      <c r="DV600" s="567"/>
      <c r="DW600" s="567"/>
      <c r="DX600" s="567"/>
      <c r="DY600" s="567"/>
      <c r="DZ600" s="567"/>
      <c r="EA600" s="567"/>
      <c r="EB600" s="567"/>
      <c r="EC600" s="567"/>
      <c r="ED600" s="567"/>
      <c r="EE600" s="567"/>
      <c r="EF600" s="567"/>
      <c r="EG600" s="567"/>
      <c r="EH600" s="567"/>
      <c r="EI600" s="567"/>
      <c r="EJ600" s="567"/>
      <c r="EK600" s="567"/>
      <c r="EL600" s="567"/>
      <c r="EM600" s="567"/>
      <c r="EN600" s="567"/>
      <c r="EO600" s="567"/>
      <c r="EP600" s="567"/>
      <c r="EQ600" s="567"/>
      <c r="ER600" s="567"/>
      <c r="ES600" s="567"/>
      <c r="ET600" s="567"/>
      <c r="EU600" s="567"/>
      <c r="EV600" s="567"/>
      <c r="EW600" s="567"/>
      <c r="EX600" s="567"/>
      <c r="EY600" s="567"/>
      <c r="EZ600" s="567"/>
      <c r="FA600" s="567"/>
      <c r="FB600" s="567"/>
      <c r="FC600" s="567"/>
      <c r="FD600" s="567"/>
      <c r="FE600" s="567"/>
      <c r="FF600" s="567"/>
      <c r="FG600" s="567"/>
      <c r="FH600" s="567"/>
      <c r="FI600" s="567"/>
      <c r="FJ600" s="567"/>
      <c r="FK600" s="567"/>
      <c r="FL600" s="567"/>
      <c r="FM600" s="567"/>
      <c r="FN600" s="567"/>
      <c r="FO600" s="567"/>
      <c r="FP600" s="567"/>
      <c r="FQ600" s="567"/>
      <c r="FR600" s="567"/>
      <c r="FS600" s="567"/>
      <c r="FT600" s="567"/>
      <c r="FU600" s="567"/>
      <c r="FV600" s="567"/>
      <c r="FW600" s="567"/>
      <c r="FX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  <c r="BW601" s="567"/>
      <c r="BX601" s="567"/>
      <c r="BY601" s="567"/>
      <c r="BZ601" s="567"/>
      <c r="CA601" s="567"/>
      <c r="CB601" s="567"/>
      <c r="CC601" s="567"/>
      <c r="CD601" s="567"/>
      <c r="CE601" s="567"/>
      <c r="CF601" s="567"/>
      <c r="CG601" s="567"/>
      <c r="CH601" s="567"/>
      <c r="CI601" s="567"/>
      <c r="CJ601" s="567"/>
      <c r="CK601" s="567"/>
      <c r="CL601" s="567"/>
      <c r="CM601" s="567"/>
      <c r="CN601" s="567"/>
      <c r="CO601" s="567"/>
      <c r="CP601" s="567"/>
      <c r="CQ601" s="567"/>
      <c r="CR601" s="567"/>
      <c r="CS601" s="567"/>
      <c r="CT601" s="567"/>
      <c r="CU601" s="567"/>
      <c r="CV601" s="567"/>
      <c r="CW601" s="567"/>
      <c r="CX601" s="567"/>
      <c r="CY601" s="567"/>
      <c r="CZ601" s="567"/>
      <c r="DA601" s="567"/>
      <c r="DB601" s="567"/>
      <c r="DC601" s="567"/>
      <c r="DD601" s="567"/>
      <c r="DE601" s="567"/>
      <c r="DF601" s="567"/>
      <c r="DG601" s="567"/>
      <c r="DH601" s="567"/>
      <c r="DI601" s="567"/>
      <c r="DJ601" s="567"/>
      <c r="DK601" s="567"/>
      <c r="DL601" s="567"/>
      <c r="DM601" s="567"/>
      <c r="DN601" s="567"/>
      <c r="DO601" s="567"/>
      <c r="DP601" s="567"/>
      <c r="DQ601" s="567"/>
      <c r="DR601" s="567"/>
      <c r="DS601" s="567"/>
      <c r="DT601" s="567"/>
      <c r="DU601" s="567"/>
      <c r="DV601" s="567"/>
      <c r="DW601" s="567"/>
      <c r="DX601" s="567"/>
      <c r="DY601" s="567"/>
      <c r="DZ601" s="567"/>
      <c r="EA601" s="567"/>
      <c r="EB601" s="567"/>
      <c r="EC601" s="567"/>
      <c r="ED601" s="567"/>
      <c r="EE601" s="567"/>
      <c r="EF601" s="567"/>
      <c r="EG601" s="567"/>
      <c r="EH601" s="567"/>
      <c r="EI601" s="567"/>
      <c r="EJ601" s="567"/>
      <c r="EK601" s="567"/>
      <c r="EL601" s="567"/>
      <c r="EM601" s="567"/>
      <c r="EN601" s="567"/>
      <c r="EO601" s="567"/>
      <c r="EP601" s="567"/>
      <c r="EQ601" s="567"/>
      <c r="ER601" s="567"/>
      <c r="ES601" s="567"/>
      <c r="ET601" s="567"/>
      <c r="EU601" s="567"/>
      <c r="EV601" s="567"/>
      <c r="EW601" s="567"/>
      <c r="EX601" s="567"/>
      <c r="EY601" s="567"/>
      <c r="EZ601" s="567"/>
      <c r="FA601" s="567"/>
      <c r="FB601" s="567"/>
      <c r="FC601" s="567"/>
      <c r="FD601" s="567"/>
      <c r="FE601" s="567"/>
      <c r="FF601" s="567"/>
      <c r="FG601" s="567"/>
      <c r="FH601" s="567"/>
      <c r="FI601" s="567"/>
      <c r="FJ601" s="567"/>
      <c r="FK601" s="567"/>
      <c r="FL601" s="567"/>
      <c r="FM601" s="567"/>
      <c r="FN601" s="567"/>
      <c r="FO601" s="567"/>
      <c r="FP601" s="567"/>
      <c r="FQ601" s="567"/>
      <c r="FR601" s="567"/>
      <c r="FS601" s="567"/>
      <c r="FT601" s="567"/>
      <c r="FU601" s="567"/>
      <c r="FV601" s="567"/>
      <c r="FW601" s="567"/>
      <c r="FX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  <c r="BW602" s="567"/>
      <c r="BX602" s="567"/>
      <c r="BY602" s="567"/>
      <c r="BZ602" s="567"/>
      <c r="CA602" s="567"/>
      <c r="CB602" s="567"/>
      <c r="CC602" s="567"/>
      <c r="CD602" s="567"/>
      <c r="CE602" s="567"/>
      <c r="CF602" s="567"/>
      <c r="CG602" s="567"/>
      <c r="CH602" s="567"/>
      <c r="CI602" s="567"/>
      <c r="CJ602" s="567"/>
      <c r="CK602" s="567"/>
      <c r="CL602" s="567"/>
      <c r="CM602" s="567"/>
      <c r="CN602" s="567"/>
      <c r="CO602" s="567"/>
      <c r="CP602" s="567"/>
      <c r="CQ602" s="567"/>
      <c r="CR602" s="567"/>
      <c r="CS602" s="567"/>
      <c r="CT602" s="567"/>
      <c r="CU602" s="567"/>
      <c r="CV602" s="567"/>
      <c r="CW602" s="567"/>
      <c r="CX602" s="567"/>
      <c r="CY602" s="567"/>
      <c r="CZ602" s="567"/>
      <c r="DA602" s="567"/>
      <c r="DB602" s="567"/>
      <c r="DC602" s="567"/>
      <c r="DD602" s="567"/>
      <c r="DE602" s="567"/>
      <c r="DF602" s="567"/>
      <c r="DG602" s="567"/>
      <c r="DH602" s="567"/>
      <c r="DI602" s="567"/>
      <c r="DJ602" s="567"/>
      <c r="DK602" s="567"/>
      <c r="DL602" s="567"/>
      <c r="DM602" s="567"/>
      <c r="DN602" s="567"/>
      <c r="DO602" s="567"/>
      <c r="DP602" s="567"/>
      <c r="DQ602" s="567"/>
      <c r="DR602" s="567"/>
      <c r="DS602" s="567"/>
      <c r="DT602" s="567"/>
      <c r="DU602" s="567"/>
      <c r="DV602" s="567"/>
      <c r="DW602" s="567"/>
      <c r="DX602" s="567"/>
      <c r="DY602" s="567"/>
      <c r="DZ602" s="567"/>
      <c r="EA602" s="567"/>
      <c r="EB602" s="567"/>
      <c r="EC602" s="567"/>
      <c r="ED602" s="567"/>
      <c r="EE602" s="567"/>
      <c r="EF602" s="567"/>
      <c r="EG602" s="567"/>
      <c r="EH602" s="567"/>
      <c r="EI602" s="567"/>
      <c r="EJ602" s="567"/>
      <c r="EK602" s="567"/>
      <c r="EL602" s="567"/>
      <c r="EM602" s="567"/>
      <c r="EN602" s="567"/>
      <c r="EO602" s="567"/>
      <c r="EP602" s="567"/>
      <c r="EQ602" s="567"/>
      <c r="ER602" s="567"/>
      <c r="ES602" s="567"/>
      <c r="ET602" s="567"/>
      <c r="EU602" s="567"/>
      <c r="EV602" s="567"/>
      <c r="EW602" s="567"/>
      <c r="EX602" s="567"/>
      <c r="EY602" s="567"/>
      <c r="EZ602" s="567"/>
      <c r="FA602" s="567"/>
      <c r="FB602" s="567"/>
      <c r="FC602" s="567"/>
      <c r="FD602" s="567"/>
      <c r="FE602" s="567"/>
      <c r="FF602" s="567"/>
      <c r="FG602" s="567"/>
      <c r="FH602" s="567"/>
      <c r="FI602" s="567"/>
      <c r="FJ602" s="567"/>
      <c r="FK602" s="567"/>
      <c r="FL602" s="567"/>
      <c r="FM602" s="567"/>
      <c r="FN602" s="567"/>
      <c r="FO602" s="567"/>
      <c r="FP602" s="567"/>
      <c r="FQ602" s="567"/>
      <c r="FR602" s="567"/>
      <c r="FS602" s="567"/>
      <c r="FT602" s="567"/>
      <c r="FU602" s="567"/>
      <c r="FV602" s="567"/>
      <c r="FW602" s="567"/>
      <c r="FX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  <c r="BW603" s="567"/>
      <c r="BX603" s="567"/>
      <c r="BY603" s="567"/>
      <c r="BZ603" s="567"/>
      <c r="CA603" s="567"/>
      <c r="CB603" s="567"/>
      <c r="CC603" s="567"/>
      <c r="CD603" s="567"/>
      <c r="CE603" s="567"/>
      <c r="CF603" s="567"/>
      <c r="CG603" s="567"/>
      <c r="CH603" s="567"/>
      <c r="CI603" s="567"/>
      <c r="CJ603" s="567"/>
      <c r="CK603" s="567"/>
      <c r="CL603" s="567"/>
      <c r="CM603" s="567"/>
      <c r="CN603" s="567"/>
      <c r="CO603" s="567"/>
      <c r="CP603" s="567"/>
      <c r="CQ603" s="567"/>
      <c r="CR603" s="567"/>
      <c r="CS603" s="567"/>
      <c r="CT603" s="567"/>
      <c r="CU603" s="567"/>
      <c r="CV603" s="567"/>
      <c r="CW603" s="567"/>
      <c r="CX603" s="567"/>
      <c r="CY603" s="567"/>
      <c r="CZ603" s="567"/>
      <c r="DA603" s="567"/>
      <c r="DB603" s="567"/>
      <c r="DC603" s="567"/>
      <c r="DD603" s="567"/>
      <c r="DE603" s="567"/>
      <c r="DF603" s="567"/>
      <c r="DG603" s="567"/>
      <c r="DH603" s="567"/>
      <c r="DI603" s="567"/>
      <c r="DJ603" s="567"/>
      <c r="DK603" s="567"/>
      <c r="DL603" s="567"/>
      <c r="DM603" s="567"/>
      <c r="DN603" s="567"/>
      <c r="DO603" s="567"/>
      <c r="DP603" s="567"/>
      <c r="DQ603" s="567"/>
      <c r="DR603" s="567"/>
      <c r="DS603" s="567"/>
      <c r="DT603" s="567"/>
      <c r="DU603" s="567"/>
      <c r="DV603" s="567"/>
      <c r="DW603" s="567"/>
      <c r="DX603" s="567"/>
      <c r="DY603" s="567"/>
      <c r="DZ603" s="567"/>
      <c r="EA603" s="567"/>
      <c r="EB603" s="567"/>
      <c r="EC603" s="567"/>
      <c r="ED603" s="567"/>
      <c r="EE603" s="567"/>
      <c r="EF603" s="567"/>
      <c r="EG603" s="567"/>
      <c r="EH603" s="567"/>
      <c r="EI603" s="567"/>
      <c r="EJ603" s="567"/>
      <c r="EK603" s="567"/>
      <c r="EL603" s="567"/>
      <c r="EM603" s="567"/>
      <c r="EN603" s="567"/>
      <c r="EO603" s="567"/>
      <c r="EP603" s="567"/>
      <c r="EQ603" s="567"/>
      <c r="ER603" s="567"/>
      <c r="ES603" s="567"/>
      <c r="ET603" s="567"/>
      <c r="EU603" s="567"/>
      <c r="EV603" s="567"/>
      <c r="EW603" s="567"/>
      <c r="EX603" s="567"/>
      <c r="EY603" s="567"/>
      <c r="EZ603" s="567"/>
      <c r="FA603" s="567"/>
      <c r="FB603" s="567"/>
      <c r="FC603" s="567"/>
      <c r="FD603" s="567"/>
      <c r="FE603" s="567"/>
      <c r="FF603" s="567"/>
      <c r="FG603" s="567"/>
      <c r="FH603" s="567"/>
      <c r="FI603" s="567"/>
      <c r="FJ603" s="567"/>
      <c r="FK603" s="567"/>
      <c r="FL603" s="567"/>
      <c r="FM603" s="567"/>
      <c r="FN603" s="567"/>
      <c r="FO603" s="567"/>
      <c r="FP603" s="567"/>
      <c r="FQ603" s="567"/>
      <c r="FR603" s="567"/>
      <c r="FS603" s="567"/>
      <c r="FT603" s="567"/>
      <c r="FU603" s="567"/>
      <c r="FV603" s="567"/>
      <c r="FW603" s="567"/>
      <c r="FX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  <c r="BW604" s="567"/>
      <c r="BX604" s="567"/>
      <c r="BY604" s="567"/>
      <c r="BZ604" s="567"/>
      <c r="CA604" s="567"/>
      <c r="CB604" s="567"/>
      <c r="CC604" s="567"/>
      <c r="CD604" s="567"/>
      <c r="CE604" s="567"/>
      <c r="CF604" s="567"/>
      <c r="CG604" s="567"/>
      <c r="CH604" s="567"/>
      <c r="CI604" s="567"/>
      <c r="CJ604" s="567"/>
      <c r="CK604" s="567"/>
      <c r="CL604" s="567"/>
      <c r="CM604" s="567"/>
      <c r="CN604" s="567"/>
      <c r="CO604" s="567"/>
      <c r="CP604" s="567"/>
      <c r="CQ604" s="567"/>
      <c r="CR604" s="567"/>
      <c r="CS604" s="567"/>
      <c r="CT604" s="567"/>
      <c r="CU604" s="567"/>
      <c r="CV604" s="567"/>
      <c r="CW604" s="567"/>
      <c r="CX604" s="567"/>
      <c r="CY604" s="567"/>
      <c r="CZ604" s="567"/>
      <c r="DA604" s="567"/>
      <c r="DB604" s="567"/>
      <c r="DC604" s="567"/>
      <c r="DD604" s="567"/>
      <c r="DE604" s="567"/>
      <c r="DF604" s="567"/>
      <c r="DG604" s="567"/>
      <c r="DH604" s="567"/>
      <c r="DI604" s="567"/>
      <c r="DJ604" s="567"/>
      <c r="DK604" s="567"/>
      <c r="DL604" s="567"/>
      <c r="DM604" s="567"/>
      <c r="DN604" s="567"/>
      <c r="DO604" s="567"/>
      <c r="DP604" s="567"/>
      <c r="DQ604" s="567"/>
      <c r="DR604" s="567"/>
      <c r="DS604" s="567"/>
      <c r="DT604" s="567"/>
      <c r="DU604" s="567"/>
      <c r="DV604" s="567"/>
      <c r="DW604" s="567"/>
      <c r="DX604" s="567"/>
      <c r="DY604" s="567"/>
      <c r="DZ604" s="567"/>
      <c r="EA604" s="567"/>
      <c r="EB604" s="567"/>
      <c r="EC604" s="567"/>
      <c r="ED604" s="567"/>
      <c r="EE604" s="567"/>
      <c r="EF604" s="567"/>
      <c r="EG604" s="567"/>
      <c r="EH604" s="567"/>
      <c r="EI604" s="567"/>
      <c r="EJ604" s="567"/>
      <c r="EK604" s="567"/>
      <c r="EL604" s="567"/>
      <c r="EM604" s="567"/>
      <c r="EN604" s="567"/>
      <c r="EO604" s="567"/>
      <c r="EP604" s="567"/>
      <c r="EQ604" s="567"/>
      <c r="ER604" s="567"/>
      <c r="ES604" s="567"/>
      <c r="ET604" s="567"/>
      <c r="EU604" s="567"/>
      <c r="EV604" s="567"/>
      <c r="EW604" s="567"/>
      <c r="EX604" s="567"/>
      <c r="EY604" s="567"/>
      <c r="EZ604" s="567"/>
      <c r="FA604" s="567"/>
      <c r="FB604" s="567"/>
      <c r="FC604" s="567"/>
      <c r="FD604" s="567"/>
      <c r="FE604" s="567"/>
      <c r="FF604" s="567"/>
      <c r="FG604" s="567"/>
      <c r="FH604" s="567"/>
      <c r="FI604" s="567"/>
      <c r="FJ604" s="567"/>
      <c r="FK604" s="567"/>
      <c r="FL604" s="567"/>
      <c r="FM604" s="567"/>
      <c r="FN604" s="567"/>
      <c r="FO604" s="567"/>
      <c r="FP604" s="567"/>
      <c r="FQ604" s="567"/>
      <c r="FR604" s="567"/>
      <c r="FS604" s="567"/>
      <c r="FT604" s="567"/>
      <c r="FU604" s="567"/>
      <c r="FV604" s="567"/>
      <c r="FW604" s="567"/>
      <c r="FX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  <c r="BW605" s="567"/>
      <c r="BX605" s="567"/>
      <c r="BY605" s="567"/>
      <c r="BZ605" s="567"/>
      <c r="CA605" s="567"/>
      <c r="CB605" s="567"/>
      <c r="CC605" s="567"/>
      <c r="CD605" s="567"/>
      <c r="CE605" s="567"/>
      <c r="CF605" s="567"/>
      <c r="CG605" s="567"/>
      <c r="CH605" s="567"/>
      <c r="CI605" s="567"/>
      <c r="CJ605" s="567"/>
      <c r="CK605" s="567"/>
      <c r="CL605" s="567"/>
      <c r="CM605" s="567"/>
      <c r="CN605" s="567"/>
      <c r="CO605" s="567"/>
      <c r="CP605" s="567"/>
      <c r="CQ605" s="567"/>
      <c r="CR605" s="567"/>
      <c r="CS605" s="567"/>
      <c r="CT605" s="567"/>
      <c r="CU605" s="567"/>
      <c r="CV605" s="567"/>
      <c r="CW605" s="567"/>
      <c r="CX605" s="567"/>
      <c r="CY605" s="567"/>
      <c r="CZ605" s="567"/>
      <c r="DA605" s="567"/>
      <c r="DB605" s="567"/>
      <c r="DC605" s="567"/>
      <c r="DD605" s="567"/>
      <c r="DE605" s="567"/>
      <c r="DF605" s="567"/>
      <c r="DG605" s="567"/>
      <c r="DH605" s="567"/>
      <c r="DI605" s="567"/>
      <c r="DJ605" s="567"/>
      <c r="DK605" s="567"/>
      <c r="DL605" s="567"/>
      <c r="DM605" s="567"/>
      <c r="DN605" s="567"/>
      <c r="DO605" s="567"/>
      <c r="DP605" s="567"/>
      <c r="DQ605" s="567"/>
      <c r="DR605" s="567"/>
      <c r="DS605" s="567"/>
      <c r="DT605" s="567"/>
      <c r="DU605" s="567"/>
      <c r="DV605" s="567"/>
      <c r="DW605" s="567"/>
      <c r="DX605" s="567"/>
      <c r="DY605" s="567"/>
      <c r="DZ605" s="567"/>
      <c r="EA605" s="567"/>
      <c r="EB605" s="567"/>
      <c r="EC605" s="567"/>
      <c r="ED605" s="567"/>
      <c r="EE605" s="567"/>
      <c r="EF605" s="567"/>
      <c r="EG605" s="567"/>
      <c r="EH605" s="567"/>
      <c r="EI605" s="567"/>
      <c r="EJ605" s="567"/>
      <c r="EK605" s="567"/>
      <c r="EL605" s="567"/>
      <c r="EM605" s="567"/>
      <c r="EN605" s="567"/>
      <c r="EO605" s="567"/>
      <c r="EP605" s="567"/>
      <c r="EQ605" s="567"/>
      <c r="ER605" s="567"/>
      <c r="ES605" s="567"/>
      <c r="ET605" s="567"/>
      <c r="EU605" s="567"/>
      <c r="EV605" s="567"/>
      <c r="EW605" s="567"/>
      <c r="EX605" s="567"/>
      <c r="EY605" s="567"/>
      <c r="EZ605" s="567"/>
      <c r="FA605" s="567"/>
      <c r="FB605" s="567"/>
      <c r="FC605" s="567"/>
      <c r="FD605" s="567"/>
      <c r="FE605" s="567"/>
      <c r="FF605" s="567"/>
      <c r="FG605" s="567"/>
      <c r="FH605" s="567"/>
      <c r="FI605" s="567"/>
      <c r="FJ605" s="567"/>
      <c r="FK605" s="567"/>
      <c r="FL605" s="567"/>
      <c r="FM605" s="567"/>
      <c r="FN605" s="567"/>
      <c r="FO605" s="567"/>
      <c r="FP605" s="567"/>
      <c r="FQ605" s="567"/>
      <c r="FR605" s="567"/>
      <c r="FS605" s="567"/>
      <c r="FT605" s="567"/>
      <c r="FU605" s="567"/>
      <c r="FV605" s="567"/>
      <c r="FW605" s="567"/>
      <c r="FX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  <c r="BW606" s="567"/>
      <c r="BX606" s="567"/>
      <c r="BY606" s="567"/>
      <c r="BZ606" s="567"/>
      <c r="CA606" s="567"/>
      <c r="CB606" s="567"/>
      <c r="CC606" s="567"/>
      <c r="CD606" s="567"/>
      <c r="CE606" s="567"/>
      <c r="CF606" s="567"/>
      <c r="CG606" s="567"/>
      <c r="CH606" s="567"/>
      <c r="CI606" s="567"/>
      <c r="CJ606" s="567"/>
      <c r="CK606" s="567"/>
      <c r="CL606" s="567"/>
      <c r="CM606" s="567"/>
      <c r="CN606" s="567"/>
      <c r="CO606" s="567"/>
      <c r="CP606" s="567"/>
      <c r="CQ606" s="567"/>
      <c r="CR606" s="567"/>
      <c r="CS606" s="567"/>
      <c r="CT606" s="567"/>
      <c r="CU606" s="567"/>
      <c r="CV606" s="567"/>
      <c r="CW606" s="567"/>
      <c r="CX606" s="567"/>
      <c r="CY606" s="567"/>
      <c r="CZ606" s="567"/>
      <c r="DA606" s="567"/>
      <c r="DB606" s="567"/>
      <c r="DC606" s="567"/>
      <c r="DD606" s="567"/>
      <c r="DE606" s="567"/>
      <c r="DF606" s="567"/>
      <c r="DG606" s="567"/>
      <c r="DH606" s="567"/>
      <c r="DI606" s="567"/>
      <c r="DJ606" s="567"/>
      <c r="DK606" s="567"/>
      <c r="DL606" s="567"/>
      <c r="DM606" s="567"/>
      <c r="DN606" s="567"/>
      <c r="DO606" s="567"/>
      <c r="DP606" s="567"/>
      <c r="DQ606" s="567"/>
      <c r="DR606" s="567"/>
      <c r="DS606" s="567"/>
      <c r="DT606" s="567"/>
      <c r="DU606" s="567"/>
      <c r="DV606" s="567"/>
      <c r="DW606" s="567"/>
      <c r="DX606" s="567"/>
      <c r="DY606" s="567"/>
      <c r="DZ606" s="567"/>
      <c r="EA606" s="567"/>
      <c r="EB606" s="567"/>
      <c r="EC606" s="567"/>
      <c r="ED606" s="567"/>
      <c r="EE606" s="567"/>
      <c r="EF606" s="567"/>
      <c r="EG606" s="567"/>
      <c r="EH606" s="567"/>
      <c r="EI606" s="567"/>
      <c r="EJ606" s="567"/>
      <c r="EK606" s="567"/>
      <c r="EL606" s="567"/>
      <c r="EM606" s="567"/>
      <c r="EN606" s="567"/>
      <c r="EO606" s="567"/>
      <c r="EP606" s="567"/>
      <c r="EQ606" s="567"/>
      <c r="ER606" s="567"/>
      <c r="ES606" s="567"/>
      <c r="ET606" s="567"/>
      <c r="EU606" s="567"/>
      <c r="EV606" s="567"/>
      <c r="EW606" s="567"/>
      <c r="EX606" s="567"/>
      <c r="EY606" s="567"/>
      <c r="EZ606" s="567"/>
      <c r="FA606" s="567"/>
      <c r="FB606" s="567"/>
      <c r="FC606" s="567"/>
      <c r="FD606" s="567"/>
      <c r="FE606" s="567"/>
      <c r="FF606" s="567"/>
      <c r="FG606" s="567"/>
      <c r="FH606" s="567"/>
      <c r="FI606" s="567"/>
      <c r="FJ606" s="567"/>
      <c r="FK606" s="567"/>
      <c r="FL606" s="567"/>
      <c r="FM606" s="567"/>
      <c r="FN606" s="567"/>
      <c r="FO606" s="567"/>
      <c r="FP606" s="567"/>
      <c r="FQ606" s="567"/>
      <c r="FR606" s="567"/>
      <c r="FS606" s="567"/>
      <c r="FT606" s="567"/>
      <c r="FU606" s="567"/>
      <c r="FV606" s="567"/>
      <c r="FW606" s="567"/>
      <c r="FX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  <c r="BW607" s="567"/>
      <c r="BX607" s="567"/>
      <c r="BY607" s="567"/>
      <c r="BZ607" s="567"/>
      <c r="CA607" s="567"/>
      <c r="CB607" s="567"/>
      <c r="CC607" s="567"/>
      <c r="CD607" s="567"/>
      <c r="CE607" s="567"/>
      <c r="CF607" s="567"/>
      <c r="CG607" s="567"/>
      <c r="CH607" s="567"/>
      <c r="CI607" s="567"/>
      <c r="CJ607" s="567"/>
      <c r="CK607" s="567"/>
      <c r="CL607" s="567"/>
      <c r="CM607" s="567"/>
      <c r="CN607" s="567"/>
      <c r="CO607" s="567"/>
      <c r="CP607" s="567"/>
      <c r="CQ607" s="567"/>
      <c r="CR607" s="567"/>
      <c r="CS607" s="567"/>
      <c r="CT607" s="567"/>
      <c r="CU607" s="567"/>
      <c r="CV607" s="567"/>
      <c r="CW607" s="567"/>
      <c r="CX607" s="567"/>
      <c r="CY607" s="567"/>
      <c r="CZ607" s="567"/>
      <c r="DA607" s="567"/>
      <c r="DB607" s="567"/>
      <c r="DC607" s="567"/>
      <c r="DD607" s="567"/>
      <c r="DE607" s="567"/>
      <c r="DF607" s="567"/>
      <c r="DG607" s="567"/>
      <c r="DH607" s="567"/>
      <c r="DI607" s="567"/>
      <c r="DJ607" s="567"/>
      <c r="DK607" s="567"/>
      <c r="DL607" s="567"/>
      <c r="DM607" s="567"/>
      <c r="DN607" s="567"/>
      <c r="DO607" s="567"/>
      <c r="DP607" s="567"/>
      <c r="DQ607" s="567"/>
      <c r="DR607" s="567"/>
      <c r="DS607" s="567"/>
      <c r="DT607" s="567"/>
      <c r="DU607" s="567"/>
      <c r="DV607" s="567"/>
      <c r="DW607" s="567"/>
      <c r="DX607" s="567"/>
      <c r="DY607" s="567"/>
      <c r="DZ607" s="567"/>
      <c r="EA607" s="567"/>
      <c r="EB607" s="567"/>
      <c r="EC607" s="567"/>
      <c r="ED607" s="567"/>
      <c r="EE607" s="567"/>
      <c r="EF607" s="567"/>
      <c r="EG607" s="567"/>
      <c r="EH607" s="567"/>
      <c r="EI607" s="567"/>
      <c r="EJ607" s="567"/>
      <c r="EK607" s="567"/>
      <c r="EL607" s="567"/>
      <c r="EM607" s="567"/>
      <c r="EN607" s="567"/>
      <c r="EO607" s="567"/>
      <c r="EP607" s="567"/>
      <c r="EQ607" s="567"/>
      <c r="ER607" s="567"/>
      <c r="ES607" s="567"/>
      <c r="ET607" s="567"/>
      <c r="EU607" s="567"/>
      <c r="EV607" s="567"/>
      <c r="EW607" s="567"/>
      <c r="EX607" s="567"/>
      <c r="EY607" s="567"/>
      <c r="EZ607" s="567"/>
      <c r="FA607" s="567"/>
      <c r="FB607" s="567"/>
      <c r="FC607" s="567"/>
      <c r="FD607" s="567"/>
      <c r="FE607" s="567"/>
      <c r="FF607" s="567"/>
      <c r="FG607" s="567"/>
      <c r="FH607" s="567"/>
      <c r="FI607" s="567"/>
      <c r="FJ607" s="567"/>
      <c r="FK607" s="567"/>
      <c r="FL607" s="567"/>
      <c r="FM607" s="567"/>
      <c r="FN607" s="567"/>
      <c r="FO607" s="567"/>
      <c r="FP607" s="567"/>
      <c r="FQ607" s="567"/>
      <c r="FR607" s="567"/>
      <c r="FS607" s="567"/>
      <c r="FT607" s="567"/>
      <c r="FU607" s="567"/>
      <c r="FV607" s="567"/>
      <c r="FW607" s="567"/>
      <c r="FX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  <c r="BW608" s="567"/>
      <c r="BX608" s="567"/>
      <c r="BY608" s="567"/>
      <c r="BZ608" s="567"/>
      <c r="CA608" s="567"/>
      <c r="CB608" s="567"/>
      <c r="CC608" s="567"/>
      <c r="CD608" s="567"/>
      <c r="CE608" s="567"/>
      <c r="CF608" s="567"/>
      <c r="CG608" s="567"/>
      <c r="CH608" s="567"/>
      <c r="CI608" s="567"/>
      <c r="CJ608" s="567"/>
      <c r="CK608" s="567"/>
      <c r="CL608" s="567"/>
      <c r="CM608" s="567"/>
      <c r="CN608" s="567"/>
      <c r="CO608" s="567"/>
      <c r="CP608" s="567"/>
      <c r="CQ608" s="567"/>
      <c r="CR608" s="567"/>
      <c r="CS608" s="567"/>
      <c r="CT608" s="567"/>
      <c r="CU608" s="567"/>
      <c r="CV608" s="567"/>
      <c r="CW608" s="567"/>
      <c r="CX608" s="567"/>
      <c r="CY608" s="567"/>
      <c r="CZ608" s="567"/>
      <c r="DA608" s="567"/>
      <c r="DB608" s="567"/>
      <c r="DC608" s="567"/>
      <c r="DD608" s="567"/>
      <c r="DE608" s="567"/>
      <c r="DF608" s="567"/>
      <c r="DG608" s="567"/>
      <c r="DH608" s="567"/>
      <c r="DI608" s="567"/>
      <c r="DJ608" s="567"/>
      <c r="DK608" s="567"/>
      <c r="DL608" s="567"/>
      <c r="DM608" s="567"/>
      <c r="DN608" s="567"/>
      <c r="DO608" s="567"/>
      <c r="DP608" s="567"/>
      <c r="DQ608" s="567"/>
      <c r="DR608" s="567"/>
      <c r="DS608" s="567"/>
      <c r="DT608" s="567"/>
      <c r="DU608" s="567"/>
      <c r="DV608" s="567"/>
      <c r="DW608" s="567"/>
      <c r="DX608" s="567"/>
      <c r="DY608" s="567"/>
      <c r="DZ608" s="567"/>
      <c r="EA608" s="567"/>
      <c r="EB608" s="567"/>
      <c r="EC608" s="567"/>
      <c r="ED608" s="567"/>
      <c r="EE608" s="567"/>
      <c r="EF608" s="567"/>
      <c r="EG608" s="567"/>
      <c r="EH608" s="567"/>
      <c r="EI608" s="567"/>
      <c r="EJ608" s="567"/>
      <c r="EK608" s="567"/>
      <c r="EL608" s="567"/>
      <c r="EM608" s="567"/>
      <c r="EN608" s="567"/>
      <c r="EO608" s="567"/>
      <c r="EP608" s="567"/>
      <c r="EQ608" s="567"/>
      <c r="ER608" s="567"/>
      <c r="ES608" s="567"/>
      <c r="ET608" s="567"/>
      <c r="EU608" s="567"/>
      <c r="EV608" s="567"/>
      <c r="EW608" s="567"/>
      <c r="EX608" s="567"/>
      <c r="EY608" s="567"/>
      <c r="EZ608" s="567"/>
      <c r="FA608" s="567"/>
      <c r="FB608" s="567"/>
      <c r="FC608" s="567"/>
      <c r="FD608" s="567"/>
      <c r="FE608" s="567"/>
      <c r="FF608" s="567"/>
      <c r="FG608" s="567"/>
      <c r="FH608" s="567"/>
      <c r="FI608" s="567"/>
      <c r="FJ608" s="567"/>
      <c r="FK608" s="567"/>
      <c r="FL608" s="567"/>
      <c r="FM608" s="567"/>
      <c r="FN608" s="567"/>
      <c r="FO608" s="567"/>
      <c r="FP608" s="567"/>
      <c r="FQ608" s="567"/>
      <c r="FR608" s="567"/>
      <c r="FS608" s="567"/>
      <c r="FT608" s="567"/>
      <c r="FU608" s="567"/>
      <c r="FV608" s="567"/>
      <c r="FW608" s="567"/>
      <c r="FX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  <c r="BW609" s="567"/>
      <c r="BX609" s="567"/>
      <c r="BY609" s="567"/>
      <c r="BZ609" s="567"/>
      <c r="CA609" s="567"/>
      <c r="CB609" s="567"/>
      <c r="CC609" s="567"/>
      <c r="CD609" s="567"/>
      <c r="CE609" s="567"/>
      <c r="CF609" s="567"/>
      <c r="CG609" s="567"/>
      <c r="CH609" s="567"/>
      <c r="CI609" s="567"/>
      <c r="CJ609" s="567"/>
      <c r="CK609" s="567"/>
      <c r="CL609" s="567"/>
      <c r="CM609" s="567"/>
      <c r="CN609" s="567"/>
      <c r="CO609" s="567"/>
      <c r="CP609" s="567"/>
      <c r="CQ609" s="567"/>
      <c r="CR609" s="567"/>
      <c r="CS609" s="567"/>
      <c r="CT609" s="567"/>
      <c r="CU609" s="567"/>
      <c r="CV609" s="567"/>
      <c r="CW609" s="567"/>
      <c r="CX609" s="567"/>
      <c r="CY609" s="567"/>
      <c r="CZ609" s="567"/>
      <c r="DA609" s="567"/>
      <c r="DB609" s="567"/>
      <c r="DC609" s="567"/>
      <c r="DD609" s="567"/>
      <c r="DE609" s="567"/>
      <c r="DF609" s="567"/>
      <c r="DG609" s="567"/>
      <c r="DH609" s="567"/>
      <c r="DI609" s="567"/>
      <c r="DJ609" s="567"/>
      <c r="DK609" s="567"/>
      <c r="DL609" s="567"/>
      <c r="DM609" s="567"/>
      <c r="DN609" s="567"/>
      <c r="DO609" s="567"/>
      <c r="DP609" s="567"/>
      <c r="DQ609" s="567"/>
      <c r="DR609" s="567"/>
      <c r="DS609" s="567"/>
      <c r="DT609" s="567"/>
      <c r="DU609" s="567"/>
      <c r="DV609" s="567"/>
      <c r="DW609" s="567"/>
      <c r="DX609" s="567"/>
      <c r="DY609" s="567"/>
      <c r="DZ609" s="567"/>
      <c r="EA609" s="567"/>
      <c r="EB609" s="567"/>
      <c r="EC609" s="567"/>
      <c r="ED609" s="567"/>
      <c r="EE609" s="567"/>
      <c r="EF609" s="567"/>
      <c r="EG609" s="567"/>
      <c r="EH609" s="567"/>
      <c r="EI609" s="567"/>
      <c r="EJ609" s="567"/>
      <c r="EK609" s="567"/>
      <c r="EL609" s="567"/>
      <c r="EM609" s="567"/>
      <c r="EN609" s="567"/>
      <c r="EO609" s="567"/>
      <c r="EP609" s="567"/>
      <c r="EQ609" s="567"/>
      <c r="ER609" s="567"/>
      <c r="ES609" s="567"/>
      <c r="ET609" s="567"/>
      <c r="EU609" s="567"/>
      <c r="EV609" s="567"/>
      <c r="EW609" s="567"/>
      <c r="EX609" s="567"/>
      <c r="EY609" s="567"/>
      <c r="EZ609" s="567"/>
      <c r="FA609" s="567"/>
      <c r="FB609" s="567"/>
      <c r="FC609" s="567"/>
      <c r="FD609" s="567"/>
      <c r="FE609" s="567"/>
      <c r="FF609" s="567"/>
      <c r="FG609" s="567"/>
      <c r="FH609" s="567"/>
      <c r="FI609" s="567"/>
      <c r="FJ609" s="567"/>
      <c r="FK609" s="567"/>
      <c r="FL609" s="567"/>
      <c r="FM609" s="567"/>
      <c r="FN609" s="567"/>
      <c r="FO609" s="567"/>
      <c r="FP609" s="567"/>
      <c r="FQ609" s="567"/>
      <c r="FR609" s="567"/>
      <c r="FS609" s="567"/>
      <c r="FT609" s="567"/>
      <c r="FU609" s="567"/>
      <c r="FV609" s="567"/>
      <c r="FW609" s="567"/>
      <c r="FX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  <c r="BW610" s="567"/>
      <c r="BX610" s="567"/>
      <c r="BY610" s="567"/>
      <c r="BZ610" s="567"/>
      <c r="CA610" s="567"/>
      <c r="CB610" s="567"/>
      <c r="CC610" s="567"/>
      <c r="CD610" s="567"/>
      <c r="CE610" s="567"/>
      <c r="CF610" s="567"/>
      <c r="CG610" s="567"/>
      <c r="CH610" s="567"/>
      <c r="CI610" s="567"/>
      <c r="CJ610" s="567"/>
      <c r="CK610" s="567"/>
      <c r="CL610" s="567"/>
      <c r="CM610" s="567"/>
      <c r="CN610" s="567"/>
      <c r="CO610" s="567"/>
      <c r="CP610" s="567"/>
      <c r="CQ610" s="567"/>
      <c r="CR610" s="567"/>
      <c r="CS610" s="567"/>
      <c r="CT610" s="567"/>
      <c r="CU610" s="567"/>
      <c r="CV610" s="567"/>
      <c r="CW610" s="567"/>
      <c r="CX610" s="567"/>
      <c r="CY610" s="567"/>
      <c r="CZ610" s="567"/>
      <c r="DA610" s="567"/>
      <c r="DB610" s="567"/>
      <c r="DC610" s="567"/>
      <c r="DD610" s="567"/>
      <c r="DE610" s="567"/>
      <c r="DF610" s="567"/>
      <c r="DG610" s="567"/>
      <c r="DH610" s="567"/>
      <c r="DI610" s="567"/>
      <c r="DJ610" s="567"/>
      <c r="DK610" s="567"/>
      <c r="DL610" s="567"/>
      <c r="DM610" s="567"/>
      <c r="DN610" s="567"/>
      <c r="DO610" s="567"/>
      <c r="DP610" s="567"/>
      <c r="DQ610" s="567"/>
      <c r="DR610" s="567"/>
      <c r="DS610" s="567"/>
      <c r="DT610" s="567"/>
      <c r="DU610" s="567"/>
      <c r="DV610" s="567"/>
      <c r="DW610" s="567"/>
      <c r="DX610" s="567"/>
      <c r="DY610" s="567"/>
      <c r="DZ610" s="567"/>
      <c r="EA610" s="567"/>
      <c r="EB610" s="567"/>
      <c r="EC610" s="567"/>
      <c r="ED610" s="567"/>
      <c r="EE610" s="567"/>
      <c r="EF610" s="567"/>
      <c r="EG610" s="567"/>
      <c r="EH610" s="567"/>
      <c r="EI610" s="567"/>
      <c r="EJ610" s="567"/>
      <c r="EK610" s="567"/>
      <c r="EL610" s="567"/>
      <c r="EM610" s="567"/>
      <c r="EN610" s="567"/>
      <c r="EO610" s="567"/>
      <c r="EP610" s="567"/>
      <c r="EQ610" s="567"/>
      <c r="ER610" s="567"/>
      <c r="ES610" s="567"/>
      <c r="ET610" s="567"/>
      <c r="EU610" s="567"/>
      <c r="EV610" s="567"/>
      <c r="EW610" s="567"/>
      <c r="EX610" s="567"/>
      <c r="EY610" s="567"/>
      <c r="EZ610" s="567"/>
      <c r="FA610" s="567"/>
      <c r="FB610" s="567"/>
      <c r="FC610" s="567"/>
      <c r="FD610" s="567"/>
      <c r="FE610" s="567"/>
      <c r="FF610" s="567"/>
      <c r="FG610" s="567"/>
      <c r="FH610" s="567"/>
      <c r="FI610" s="567"/>
      <c r="FJ610" s="567"/>
      <c r="FK610" s="567"/>
      <c r="FL610" s="567"/>
      <c r="FM610" s="567"/>
      <c r="FN610" s="567"/>
      <c r="FO610" s="567"/>
      <c r="FP610" s="567"/>
      <c r="FQ610" s="567"/>
      <c r="FR610" s="567"/>
      <c r="FS610" s="567"/>
      <c r="FT610" s="567"/>
      <c r="FU610" s="567"/>
      <c r="FV610" s="567"/>
      <c r="FW610" s="567"/>
      <c r="FX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  <c r="BW611" s="567"/>
      <c r="BX611" s="567"/>
      <c r="BY611" s="567"/>
      <c r="BZ611" s="567"/>
      <c r="CA611" s="567"/>
      <c r="CB611" s="567"/>
      <c r="CC611" s="567"/>
      <c r="CD611" s="567"/>
      <c r="CE611" s="567"/>
      <c r="CF611" s="567"/>
      <c r="CG611" s="567"/>
      <c r="CH611" s="567"/>
      <c r="CI611" s="567"/>
      <c r="CJ611" s="567"/>
      <c r="CK611" s="567"/>
      <c r="CL611" s="567"/>
      <c r="CM611" s="567"/>
      <c r="CN611" s="567"/>
      <c r="CO611" s="567"/>
      <c r="CP611" s="567"/>
      <c r="CQ611" s="567"/>
      <c r="CR611" s="567"/>
      <c r="CS611" s="567"/>
      <c r="CT611" s="567"/>
      <c r="CU611" s="567"/>
      <c r="CV611" s="567"/>
      <c r="CW611" s="567"/>
      <c r="CX611" s="567"/>
      <c r="CY611" s="567"/>
      <c r="CZ611" s="567"/>
      <c r="DA611" s="567"/>
      <c r="DB611" s="567"/>
      <c r="DC611" s="567"/>
      <c r="DD611" s="567"/>
      <c r="DE611" s="567"/>
      <c r="DF611" s="567"/>
      <c r="DG611" s="567"/>
      <c r="DH611" s="567"/>
      <c r="DI611" s="567"/>
      <c r="DJ611" s="567"/>
      <c r="DK611" s="567"/>
      <c r="DL611" s="567"/>
      <c r="DM611" s="567"/>
      <c r="DN611" s="567"/>
      <c r="DO611" s="567"/>
      <c r="DP611" s="567"/>
      <c r="DQ611" s="567"/>
      <c r="DR611" s="567"/>
      <c r="DS611" s="567"/>
      <c r="DT611" s="567"/>
      <c r="DU611" s="567"/>
      <c r="DV611" s="567"/>
      <c r="DW611" s="567"/>
      <c r="DX611" s="567"/>
      <c r="DY611" s="567"/>
      <c r="DZ611" s="567"/>
      <c r="EA611" s="567"/>
      <c r="EB611" s="567"/>
      <c r="EC611" s="567"/>
      <c r="ED611" s="567"/>
      <c r="EE611" s="567"/>
      <c r="EF611" s="567"/>
      <c r="EG611" s="567"/>
      <c r="EH611" s="567"/>
      <c r="EI611" s="567"/>
      <c r="EJ611" s="567"/>
      <c r="EK611" s="567"/>
      <c r="EL611" s="567"/>
      <c r="EM611" s="567"/>
      <c r="EN611" s="567"/>
      <c r="EO611" s="567"/>
      <c r="EP611" s="567"/>
      <c r="EQ611" s="567"/>
      <c r="ER611" s="567"/>
      <c r="ES611" s="567"/>
      <c r="ET611" s="567"/>
      <c r="EU611" s="567"/>
      <c r="EV611" s="567"/>
      <c r="EW611" s="567"/>
      <c r="EX611" s="567"/>
      <c r="EY611" s="567"/>
      <c r="EZ611" s="567"/>
      <c r="FA611" s="567"/>
      <c r="FB611" s="567"/>
      <c r="FC611" s="567"/>
      <c r="FD611" s="567"/>
      <c r="FE611" s="567"/>
      <c r="FF611" s="567"/>
      <c r="FG611" s="567"/>
      <c r="FH611" s="567"/>
      <c r="FI611" s="567"/>
      <c r="FJ611" s="567"/>
      <c r="FK611" s="567"/>
      <c r="FL611" s="567"/>
      <c r="FM611" s="567"/>
      <c r="FN611" s="567"/>
      <c r="FO611" s="567"/>
      <c r="FP611" s="567"/>
      <c r="FQ611" s="567"/>
      <c r="FR611" s="567"/>
      <c r="FS611" s="567"/>
      <c r="FT611" s="567"/>
      <c r="FU611" s="567"/>
      <c r="FV611" s="567"/>
      <c r="FW611" s="567"/>
      <c r="FX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  <c r="BW612" s="567"/>
      <c r="BX612" s="567"/>
      <c r="BY612" s="567"/>
      <c r="BZ612" s="567"/>
      <c r="CA612" s="567"/>
      <c r="CB612" s="567"/>
      <c r="CC612" s="567"/>
      <c r="CD612" s="567"/>
      <c r="CE612" s="567"/>
      <c r="CF612" s="567"/>
      <c r="CG612" s="567"/>
      <c r="CH612" s="567"/>
      <c r="CI612" s="567"/>
      <c r="CJ612" s="567"/>
      <c r="CK612" s="567"/>
      <c r="CL612" s="567"/>
      <c r="CM612" s="567"/>
      <c r="CN612" s="567"/>
      <c r="CO612" s="567"/>
      <c r="CP612" s="567"/>
      <c r="CQ612" s="567"/>
      <c r="CR612" s="567"/>
      <c r="CS612" s="567"/>
      <c r="CT612" s="567"/>
      <c r="CU612" s="567"/>
      <c r="CV612" s="567"/>
      <c r="CW612" s="567"/>
      <c r="CX612" s="567"/>
      <c r="CY612" s="567"/>
      <c r="CZ612" s="567"/>
      <c r="DA612" s="567"/>
      <c r="DB612" s="567"/>
      <c r="DC612" s="567"/>
      <c r="DD612" s="567"/>
      <c r="DE612" s="567"/>
      <c r="DF612" s="567"/>
      <c r="DG612" s="567"/>
      <c r="DH612" s="567"/>
      <c r="DI612" s="567"/>
      <c r="DJ612" s="567"/>
      <c r="DK612" s="567"/>
      <c r="DL612" s="567"/>
      <c r="DM612" s="567"/>
      <c r="DN612" s="567"/>
      <c r="DO612" s="567"/>
      <c r="DP612" s="567"/>
      <c r="DQ612" s="567"/>
      <c r="DR612" s="567"/>
      <c r="DS612" s="567"/>
      <c r="DT612" s="567"/>
      <c r="DU612" s="567"/>
      <c r="DV612" s="567"/>
      <c r="DW612" s="567"/>
      <c r="DX612" s="567"/>
      <c r="DY612" s="567"/>
      <c r="DZ612" s="567"/>
      <c r="EA612" s="567"/>
      <c r="EB612" s="567"/>
      <c r="EC612" s="567"/>
      <c r="ED612" s="567"/>
      <c r="EE612" s="567"/>
      <c r="EF612" s="567"/>
      <c r="EG612" s="567"/>
      <c r="EH612" s="567"/>
      <c r="EI612" s="567"/>
      <c r="EJ612" s="567"/>
      <c r="EK612" s="567"/>
      <c r="EL612" s="567"/>
      <c r="EM612" s="567"/>
      <c r="EN612" s="567"/>
      <c r="EO612" s="567"/>
      <c r="EP612" s="567"/>
      <c r="EQ612" s="567"/>
      <c r="ER612" s="567"/>
      <c r="ES612" s="567"/>
      <c r="ET612" s="567"/>
      <c r="EU612" s="567"/>
      <c r="EV612" s="567"/>
      <c r="EW612" s="567"/>
      <c r="EX612" s="567"/>
      <c r="EY612" s="567"/>
      <c r="EZ612" s="567"/>
      <c r="FA612" s="567"/>
      <c r="FB612" s="567"/>
      <c r="FC612" s="567"/>
      <c r="FD612" s="567"/>
      <c r="FE612" s="567"/>
      <c r="FF612" s="567"/>
      <c r="FG612" s="567"/>
      <c r="FH612" s="567"/>
      <c r="FI612" s="567"/>
      <c r="FJ612" s="567"/>
      <c r="FK612" s="567"/>
      <c r="FL612" s="567"/>
      <c r="FM612" s="567"/>
      <c r="FN612" s="567"/>
      <c r="FO612" s="567"/>
      <c r="FP612" s="567"/>
      <c r="FQ612" s="567"/>
      <c r="FR612" s="567"/>
      <c r="FS612" s="567"/>
      <c r="FT612" s="567"/>
      <c r="FU612" s="567"/>
      <c r="FV612" s="567"/>
      <c r="FW612" s="567"/>
      <c r="FX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  <c r="BW613" s="567"/>
      <c r="BX613" s="567"/>
      <c r="BY613" s="567"/>
      <c r="BZ613" s="567"/>
      <c r="CA613" s="567"/>
      <c r="CB613" s="567"/>
      <c r="CC613" s="567"/>
      <c r="CD613" s="567"/>
      <c r="CE613" s="567"/>
      <c r="CF613" s="567"/>
      <c r="CG613" s="567"/>
      <c r="CH613" s="567"/>
      <c r="CI613" s="567"/>
      <c r="CJ613" s="567"/>
      <c r="CK613" s="567"/>
      <c r="CL613" s="567"/>
      <c r="CM613" s="567"/>
      <c r="CN613" s="567"/>
      <c r="CO613" s="567"/>
      <c r="CP613" s="567"/>
      <c r="CQ613" s="567"/>
      <c r="CR613" s="567"/>
      <c r="CS613" s="567"/>
      <c r="CT613" s="567"/>
      <c r="CU613" s="567"/>
      <c r="CV613" s="567"/>
      <c r="CW613" s="567"/>
      <c r="CX613" s="567"/>
      <c r="CY613" s="567"/>
      <c r="CZ613" s="567"/>
      <c r="DA613" s="567"/>
      <c r="DB613" s="567"/>
      <c r="DC613" s="567"/>
      <c r="DD613" s="567"/>
      <c r="DE613" s="567"/>
      <c r="DF613" s="567"/>
      <c r="DG613" s="567"/>
      <c r="DH613" s="567"/>
      <c r="DI613" s="567"/>
      <c r="DJ613" s="567"/>
      <c r="DK613" s="567"/>
      <c r="DL613" s="567"/>
      <c r="DM613" s="567"/>
      <c r="DN613" s="567"/>
      <c r="DO613" s="567"/>
      <c r="DP613" s="567"/>
      <c r="DQ613" s="567"/>
      <c r="DR613" s="567"/>
      <c r="DS613" s="567"/>
      <c r="DT613" s="567"/>
      <c r="DU613" s="567"/>
      <c r="DV613" s="567"/>
      <c r="DW613" s="567"/>
      <c r="DX613" s="567"/>
      <c r="DY613" s="567"/>
      <c r="DZ613" s="567"/>
      <c r="EA613" s="567"/>
      <c r="EB613" s="567"/>
      <c r="EC613" s="567"/>
      <c r="ED613" s="567"/>
      <c r="EE613" s="567"/>
      <c r="EF613" s="567"/>
      <c r="EG613" s="567"/>
      <c r="EH613" s="567"/>
      <c r="EI613" s="567"/>
      <c r="EJ613" s="567"/>
      <c r="EK613" s="567"/>
      <c r="EL613" s="567"/>
      <c r="EM613" s="567"/>
      <c r="EN613" s="567"/>
      <c r="EO613" s="567"/>
      <c r="EP613" s="567"/>
      <c r="EQ613" s="567"/>
      <c r="ER613" s="567"/>
      <c r="ES613" s="567"/>
      <c r="ET613" s="567"/>
      <c r="EU613" s="567"/>
      <c r="EV613" s="567"/>
      <c r="EW613" s="567"/>
      <c r="EX613" s="567"/>
      <c r="EY613" s="567"/>
      <c r="EZ613" s="567"/>
      <c r="FA613" s="567"/>
      <c r="FB613" s="567"/>
      <c r="FC613" s="567"/>
      <c r="FD613" s="567"/>
      <c r="FE613" s="567"/>
      <c r="FF613" s="567"/>
      <c r="FG613" s="567"/>
      <c r="FH613" s="567"/>
      <c r="FI613" s="567"/>
      <c r="FJ613" s="567"/>
      <c r="FK613" s="567"/>
      <c r="FL613" s="567"/>
      <c r="FM613" s="567"/>
      <c r="FN613" s="567"/>
      <c r="FO613" s="567"/>
      <c r="FP613" s="567"/>
      <c r="FQ613" s="567"/>
      <c r="FR613" s="567"/>
      <c r="FS613" s="567"/>
      <c r="FT613" s="567"/>
      <c r="FU613" s="567"/>
      <c r="FV613" s="567"/>
      <c r="FW613" s="567"/>
      <c r="FX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  <c r="BW614" s="567"/>
      <c r="BX614" s="567"/>
      <c r="BY614" s="567"/>
      <c r="BZ614" s="567"/>
      <c r="CA614" s="567"/>
      <c r="CB614" s="567"/>
      <c r="CC614" s="567"/>
      <c r="CD614" s="567"/>
      <c r="CE614" s="567"/>
      <c r="CF614" s="567"/>
      <c r="CG614" s="567"/>
      <c r="CH614" s="567"/>
      <c r="CI614" s="567"/>
      <c r="CJ614" s="567"/>
      <c r="CK614" s="567"/>
      <c r="CL614" s="567"/>
      <c r="CM614" s="567"/>
      <c r="CN614" s="567"/>
      <c r="CO614" s="567"/>
      <c r="CP614" s="567"/>
      <c r="CQ614" s="567"/>
      <c r="CR614" s="567"/>
      <c r="CS614" s="567"/>
      <c r="CT614" s="567"/>
      <c r="CU614" s="567"/>
      <c r="CV614" s="567"/>
      <c r="CW614" s="567"/>
      <c r="CX614" s="567"/>
      <c r="CY614" s="567"/>
      <c r="CZ614" s="567"/>
      <c r="DA614" s="567"/>
      <c r="DB614" s="567"/>
      <c r="DC614" s="567"/>
      <c r="DD614" s="567"/>
      <c r="DE614" s="567"/>
      <c r="DF614" s="567"/>
      <c r="DG614" s="567"/>
      <c r="DH614" s="567"/>
      <c r="DI614" s="567"/>
      <c r="DJ614" s="567"/>
      <c r="DK614" s="567"/>
      <c r="DL614" s="567"/>
      <c r="DM614" s="567"/>
      <c r="DN614" s="567"/>
      <c r="DO614" s="567"/>
      <c r="DP614" s="567"/>
      <c r="DQ614" s="567"/>
      <c r="DR614" s="567"/>
      <c r="DS614" s="567"/>
      <c r="DT614" s="567"/>
      <c r="DU614" s="567"/>
      <c r="DV614" s="567"/>
      <c r="DW614" s="567"/>
      <c r="DX614" s="567"/>
      <c r="DY614" s="567"/>
      <c r="DZ614" s="567"/>
      <c r="EA614" s="567"/>
      <c r="EB614" s="567"/>
      <c r="EC614" s="567"/>
      <c r="ED614" s="567"/>
      <c r="EE614" s="567"/>
      <c r="EF614" s="567"/>
      <c r="EG614" s="567"/>
      <c r="EH614" s="567"/>
      <c r="EI614" s="567"/>
      <c r="EJ614" s="567"/>
      <c r="EK614" s="567"/>
      <c r="EL614" s="567"/>
      <c r="EM614" s="567"/>
      <c r="EN614" s="567"/>
      <c r="EO614" s="567"/>
      <c r="EP614" s="567"/>
      <c r="EQ614" s="567"/>
      <c r="ER614" s="567"/>
      <c r="ES614" s="567"/>
      <c r="ET614" s="567"/>
      <c r="EU614" s="567"/>
      <c r="EV614" s="567"/>
      <c r="EW614" s="567"/>
      <c r="EX614" s="567"/>
      <c r="EY614" s="567"/>
      <c r="EZ614" s="567"/>
      <c r="FA614" s="567"/>
      <c r="FB614" s="567"/>
      <c r="FC614" s="567"/>
      <c r="FD614" s="567"/>
      <c r="FE614" s="567"/>
      <c r="FF614" s="567"/>
      <c r="FG614" s="567"/>
      <c r="FH614" s="567"/>
      <c r="FI614" s="567"/>
      <c r="FJ614" s="567"/>
      <c r="FK614" s="567"/>
      <c r="FL614" s="567"/>
      <c r="FM614" s="567"/>
      <c r="FN614" s="567"/>
      <c r="FO614" s="567"/>
      <c r="FP614" s="567"/>
      <c r="FQ614" s="567"/>
      <c r="FR614" s="567"/>
      <c r="FS614" s="567"/>
      <c r="FT614" s="567"/>
      <c r="FU614" s="567"/>
      <c r="FV614" s="567"/>
      <c r="FW614" s="567"/>
      <c r="FX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  <c r="BW615" s="567"/>
      <c r="BX615" s="567"/>
      <c r="BY615" s="567"/>
      <c r="BZ615" s="567"/>
      <c r="CA615" s="567"/>
      <c r="CB615" s="567"/>
      <c r="CC615" s="567"/>
      <c r="CD615" s="567"/>
      <c r="CE615" s="567"/>
      <c r="CF615" s="567"/>
      <c r="CG615" s="567"/>
      <c r="CH615" s="567"/>
      <c r="CI615" s="567"/>
      <c r="CJ615" s="567"/>
      <c r="CK615" s="567"/>
      <c r="CL615" s="567"/>
      <c r="CM615" s="567"/>
      <c r="CN615" s="567"/>
      <c r="CO615" s="567"/>
      <c r="CP615" s="567"/>
      <c r="CQ615" s="567"/>
      <c r="CR615" s="567"/>
      <c r="CS615" s="567"/>
      <c r="CT615" s="567"/>
      <c r="CU615" s="567"/>
      <c r="CV615" s="567"/>
      <c r="CW615" s="567"/>
      <c r="CX615" s="567"/>
      <c r="CY615" s="567"/>
      <c r="CZ615" s="567"/>
      <c r="DA615" s="567"/>
      <c r="DB615" s="567"/>
      <c r="DC615" s="567"/>
      <c r="DD615" s="567"/>
      <c r="DE615" s="567"/>
      <c r="DF615" s="567"/>
      <c r="DG615" s="567"/>
      <c r="DH615" s="567"/>
      <c r="DI615" s="567"/>
      <c r="DJ615" s="567"/>
      <c r="DK615" s="567"/>
      <c r="DL615" s="567"/>
      <c r="DM615" s="567"/>
      <c r="DN615" s="567"/>
      <c r="DO615" s="567"/>
      <c r="DP615" s="567"/>
      <c r="DQ615" s="567"/>
      <c r="DR615" s="567"/>
      <c r="DS615" s="567"/>
      <c r="DT615" s="567"/>
      <c r="DU615" s="567"/>
      <c r="DV615" s="567"/>
      <c r="DW615" s="567"/>
      <c r="DX615" s="567"/>
      <c r="DY615" s="567"/>
      <c r="DZ615" s="567"/>
      <c r="EA615" s="567"/>
      <c r="EB615" s="567"/>
      <c r="EC615" s="567"/>
      <c r="ED615" s="567"/>
      <c r="EE615" s="567"/>
      <c r="EF615" s="567"/>
      <c r="EG615" s="567"/>
      <c r="EH615" s="567"/>
      <c r="EI615" s="567"/>
      <c r="EJ615" s="567"/>
      <c r="EK615" s="567"/>
      <c r="EL615" s="567"/>
      <c r="EM615" s="567"/>
      <c r="EN615" s="567"/>
      <c r="EO615" s="567"/>
      <c r="EP615" s="567"/>
      <c r="EQ615" s="567"/>
      <c r="ER615" s="567"/>
      <c r="ES615" s="567"/>
      <c r="ET615" s="567"/>
      <c r="EU615" s="567"/>
      <c r="EV615" s="567"/>
      <c r="EW615" s="567"/>
      <c r="EX615" s="567"/>
      <c r="EY615" s="567"/>
      <c r="EZ615" s="567"/>
      <c r="FA615" s="567"/>
      <c r="FB615" s="567"/>
      <c r="FC615" s="567"/>
      <c r="FD615" s="567"/>
      <c r="FE615" s="567"/>
      <c r="FF615" s="567"/>
      <c r="FG615" s="567"/>
      <c r="FH615" s="567"/>
      <c r="FI615" s="567"/>
      <c r="FJ615" s="567"/>
      <c r="FK615" s="567"/>
      <c r="FL615" s="567"/>
      <c r="FM615" s="567"/>
      <c r="FN615" s="567"/>
      <c r="FO615" s="567"/>
      <c r="FP615" s="567"/>
      <c r="FQ615" s="567"/>
      <c r="FR615" s="567"/>
      <c r="FS615" s="567"/>
      <c r="FT615" s="567"/>
      <c r="FU615" s="567"/>
      <c r="FV615" s="567"/>
      <c r="FW615" s="567"/>
      <c r="FX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  <c r="BW616" s="567"/>
      <c r="BX616" s="567"/>
      <c r="BY616" s="567"/>
      <c r="BZ616" s="567"/>
      <c r="CA616" s="567"/>
      <c r="CB616" s="567"/>
      <c r="CC616" s="567"/>
      <c r="CD616" s="567"/>
      <c r="CE616" s="567"/>
      <c r="CF616" s="567"/>
      <c r="CG616" s="567"/>
      <c r="CH616" s="567"/>
      <c r="CI616" s="567"/>
      <c r="CJ616" s="567"/>
      <c r="CK616" s="567"/>
      <c r="CL616" s="567"/>
      <c r="CM616" s="567"/>
      <c r="CN616" s="567"/>
      <c r="CO616" s="567"/>
      <c r="CP616" s="567"/>
      <c r="CQ616" s="567"/>
      <c r="CR616" s="567"/>
      <c r="CS616" s="567"/>
      <c r="CT616" s="567"/>
      <c r="CU616" s="567"/>
      <c r="CV616" s="567"/>
      <c r="CW616" s="567"/>
      <c r="CX616" s="567"/>
      <c r="CY616" s="567"/>
      <c r="CZ616" s="567"/>
      <c r="DA616" s="567"/>
      <c r="DB616" s="567"/>
      <c r="DC616" s="567"/>
      <c r="DD616" s="567"/>
      <c r="DE616" s="567"/>
      <c r="DF616" s="567"/>
      <c r="DG616" s="567"/>
      <c r="DH616" s="567"/>
      <c r="DI616" s="567"/>
      <c r="DJ616" s="567"/>
      <c r="DK616" s="567"/>
      <c r="DL616" s="567"/>
      <c r="DM616" s="567"/>
      <c r="DN616" s="567"/>
      <c r="DO616" s="567"/>
      <c r="DP616" s="567"/>
      <c r="DQ616" s="567"/>
      <c r="DR616" s="567"/>
      <c r="DS616" s="567"/>
      <c r="DT616" s="567"/>
      <c r="DU616" s="567"/>
      <c r="DV616" s="567"/>
      <c r="DW616" s="567"/>
      <c r="DX616" s="567"/>
      <c r="DY616" s="567"/>
      <c r="DZ616" s="567"/>
      <c r="EA616" s="567"/>
      <c r="EB616" s="567"/>
      <c r="EC616" s="567"/>
      <c r="ED616" s="567"/>
      <c r="EE616" s="567"/>
      <c r="EF616" s="567"/>
      <c r="EG616" s="567"/>
      <c r="EH616" s="567"/>
      <c r="EI616" s="567"/>
      <c r="EJ616" s="567"/>
      <c r="EK616" s="567"/>
      <c r="EL616" s="567"/>
      <c r="EM616" s="567"/>
      <c r="EN616" s="567"/>
      <c r="EO616" s="567"/>
      <c r="EP616" s="567"/>
      <c r="EQ616" s="567"/>
      <c r="ER616" s="567"/>
      <c r="ES616" s="567"/>
      <c r="ET616" s="567"/>
      <c r="EU616" s="567"/>
      <c r="EV616" s="567"/>
      <c r="EW616" s="567"/>
      <c r="EX616" s="567"/>
      <c r="EY616" s="567"/>
      <c r="EZ616" s="567"/>
      <c r="FA616" s="567"/>
      <c r="FB616" s="567"/>
      <c r="FC616" s="567"/>
      <c r="FD616" s="567"/>
      <c r="FE616" s="567"/>
      <c r="FF616" s="567"/>
      <c r="FG616" s="567"/>
      <c r="FH616" s="567"/>
      <c r="FI616" s="567"/>
      <c r="FJ616" s="567"/>
      <c r="FK616" s="567"/>
      <c r="FL616" s="567"/>
      <c r="FM616" s="567"/>
      <c r="FN616" s="567"/>
      <c r="FO616" s="567"/>
      <c r="FP616" s="567"/>
      <c r="FQ616" s="567"/>
      <c r="FR616" s="567"/>
      <c r="FS616" s="567"/>
      <c r="FT616" s="567"/>
      <c r="FU616" s="567"/>
      <c r="FV616" s="567"/>
      <c r="FW616" s="567"/>
      <c r="FX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  <c r="BW617" s="567"/>
      <c r="BX617" s="567"/>
      <c r="BY617" s="567"/>
      <c r="BZ617" s="567"/>
      <c r="CA617" s="567"/>
      <c r="CB617" s="567"/>
      <c r="CC617" s="567"/>
      <c r="CD617" s="567"/>
      <c r="CE617" s="567"/>
      <c r="CF617" s="567"/>
      <c r="CG617" s="567"/>
      <c r="CH617" s="567"/>
      <c r="CI617" s="567"/>
      <c r="CJ617" s="567"/>
      <c r="CK617" s="567"/>
      <c r="CL617" s="567"/>
      <c r="CM617" s="567"/>
      <c r="CN617" s="567"/>
      <c r="CO617" s="567"/>
      <c r="CP617" s="567"/>
      <c r="CQ617" s="567"/>
      <c r="CR617" s="567"/>
      <c r="CS617" s="567"/>
      <c r="CT617" s="567"/>
      <c r="CU617" s="567"/>
      <c r="CV617" s="567"/>
      <c r="CW617" s="567"/>
      <c r="CX617" s="567"/>
      <c r="CY617" s="567"/>
      <c r="CZ617" s="567"/>
      <c r="DA617" s="567"/>
      <c r="DB617" s="567"/>
      <c r="DC617" s="567"/>
      <c r="DD617" s="567"/>
      <c r="DE617" s="567"/>
      <c r="DF617" s="567"/>
      <c r="DG617" s="567"/>
      <c r="DH617" s="567"/>
      <c r="DI617" s="567"/>
      <c r="DJ617" s="567"/>
      <c r="DK617" s="567"/>
      <c r="DL617" s="567"/>
      <c r="DM617" s="567"/>
      <c r="DN617" s="567"/>
      <c r="DO617" s="567"/>
      <c r="DP617" s="567"/>
      <c r="DQ617" s="567"/>
      <c r="DR617" s="567"/>
      <c r="DS617" s="567"/>
      <c r="DT617" s="567"/>
      <c r="DU617" s="567"/>
      <c r="DV617" s="567"/>
      <c r="DW617" s="567"/>
      <c r="DX617" s="567"/>
      <c r="DY617" s="567"/>
      <c r="DZ617" s="567"/>
      <c r="EA617" s="567"/>
      <c r="EB617" s="567"/>
      <c r="EC617" s="567"/>
      <c r="ED617" s="567"/>
      <c r="EE617" s="567"/>
      <c r="EF617" s="567"/>
      <c r="EG617" s="567"/>
      <c r="EH617" s="567"/>
      <c r="EI617" s="567"/>
      <c r="EJ617" s="567"/>
      <c r="EK617" s="567"/>
      <c r="EL617" s="567"/>
      <c r="EM617" s="567"/>
      <c r="EN617" s="567"/>
      <c r="EO617" s="567"/>
      <c r="EP617" s="567"/>
      <c r="EQ617" s="567"/>
      <c r="ER617" s="567"/>
      <c r="ES617" s="567"/>
      <c r="ET617" s="567"/>
      <c r="EU617" s="567"/>
      <c r="EV617" s="567"/>
      <c r="EW617" s="567"/>
      <c r="EX617" s="567"/>
      <c r="EY617" s="567"/>
      <c r="EZ617" s="567"/>
      <c r="FA617" s="567"/>
      <c r="FB617" s="567"/>
      <c r="FC617" s="567"/>
      <c r="FD617" s="567"/>
      <c r="FE617" s="567"/>
      <c r="FF617" s="567"/>
      <c r="FG617" s="567"/>
      <c r="FH617" s="567"/>
      <c r="FI617" s="567"/>
      <c r="FJ617" s="567"/>
      <c r="FK617" s="567"/>
      <c r="FL617" s="567"/>
      <c r="FM617" s="567"/>
      <c r="FN617" s="567"/>
      <c r="FO617" s="567"/>
      <c r="FP617" s="567"/>
      <c r="FQ617" s="567"/>
      <c r="FR617" s="567"/>
      <c r="FS617" s="567"/>
      <c r="FT617" s="567"/>
      <c r="FU617" s="567"/>
      <c r="FV617" s="567"/>
      <c r="FW617" s="567"/>
      <c r="FX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  <c r="BW618" s="567"/>
      <c r="BX618" s="567"/>
      <c r="BY618" s="567"/>
      <c r="BZ618" s="567"/>
      <c r="CA618" s="567"/>
      <c r="CB618" s="567"/>
      <c r="CC618" s="567"/>
      <c r="CD618" s="567"/>
      <c r="CE618" s="567"/>
      <c r="CF618" s="567"/>
      <c r="CG618" s="567"/>
      <c r="CH618" s="567"/>
      <c r="CI618" s="567"/>
      <c r="CJ618" s="567"/>
      <c r="CK618" s="567"/>
      <c r="CL618" s="567"/>
      <c r="CM618" s="567"/>
      <c r="CN618" s="567"/>
      <c r="CO618" s="567"/>
      <c r="CP618" s="567"/>
      <c r="CQ618" s="567"/>
      <c r="CR618" s="567"/>
      <c r="CS618" s="567"/>
      <c r="CT618" s="567"/>
      <c r="CU618" s="567"/>
      <c r="CV618" s="567"/>
      <c r="CW618" s="567"/>
      <c r="CX618" s="567"/>
      <c r="CY618" s="567"/>
      <c r="CZ618" s="567"/>
      <c r="DA618" s="567"/>
      <c r="DB618" s="567"/>
      <c r="DC618" s="567"/>
      <c r="DD618" s="567"/>
      <c r="DE618" s="567"/>
      <c r="DF618" s="567"/>
      <c r="DG618" s="567"/>
      <c r="DH618" s="567"/>
      <c r="DI618" s="567"/>
      <c r="DJ618" s="567"/>
      <c r="DK618" s="567"/>
      <c r="DL618" s="567"/>
      <c r="DM618" s="567"/>
      <c r="DN618" s="567"/>
      <c r="DO618" s="567"/>
      <c r="DP618" s="567"/>
      <c r="DQ618" s="567"/>
      <c r="DR618" s="567"/>
      <c r="DS618" s="567"/>
      <c r="DT618" s="567"/>
      <c r="DU618" s="567"/>
      <c r="DV618" s="567"/>
      <c r="DW618" s="567"/>
      <c r="DX618" s="567"/>
      <c r="DY618" s="567"/>
      <c r="DZ618" s="567"/>
      <c r="EA618" s="567"/>
      <c r="EB618" s="567"/>
      <c r="EC618" s="567"/>
      <c r="ED618" s="567"/>
      <c r="EE618" s="567"/>
      <c r="EF618" s="567"/>
      <c r="EG618" s="567"/>
      <c r="EH618" s="567"/>
      <c r="EI618" s="567"/>
      <c r="EJ618" s="567"/>
      <c r="EK618" s="567"/>
      <c r="EL618" s="567"/>
      <c r="EM618" s="567"/>
      <c r="EN618" s="567"/>
      <c r="EO618" s="567"/>
      <c r="EP618" s="567"/>
      <c r="EQ618" s="567"/>
      <c r="ER618" s="567"/>
      <c r="ES618" s="567"/>
      <c r="ET618" s="567"/>
      <c r="EU618" s="567"/>
      <c r="EV618" s="567"/>
      <c r="EW618" s="567"/>
      <c r="EX618" s="567"/>
      <c r="EY618" s="567"/>
      <c r="EZ618" s="567"/>
      <c r="FA618" s="567"/>
      <c r="FB618" s="567"/>
      <c r="FC618" s="567"/>
      <c r="FD618" s="567"/>
      <c r="FE618" s="567"/>
      <c r="FF618" s="567"/>
      <c r="FG618" s="567"/>
      <c r="FH618" s="567"/>
      <c r="FI618" s="567"/>
      <c r="FJ618" s="567"/>
      <c r="FK618" s="567"/>
      <c r="FL618" s="567"/>
      <c r="FM618" s="567"/>
      <c r="FN618" s="567"/>
      <c r="FO618" s="567"/>
      <c r="FP618" s="567"/>
      <c r="FQ618" s="567"/>
      <c r="FR618" s="567"/>
      <c r="FS618" s="567"/>
      <c r="FT618" s="567"/>
      <c r="FU618" s="567"/>
      <c r="FV618" s="567"/>
      <c r="FW618" s="567"/>
      <c r="FX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  <c r="BW619" s="567"/>
      <c r="BX619" s="567"/>
      <c r="BY619" s="567"/>
      <c r="BZ619" s="567"/>
      <c r="CA619" s="567"/>
      <c r="CB619" s="567"/>
      <c r="CC619" s="567"/>
      <c r="CD619" s="567"/>
      <c r="CE619" s="567"/>
      <c r="CF619" s="567"/>
      <c r="CG619" s="567"/>
      <c r="CH619" s="567"/>
      <c r="CI619" s="567"/>
      <c r="CJ619" s="567"/>
      <c r="CK619" s="567"/>
      <c r="CL619" s="567"/>
      <c r="CM619" s="567"/>
      <c r="CN619" s="567"/>
      <c r="CO619" s="567"/>
      <c r="CP619" s="567"/>
      <c r="CQ619" s="567"/>
      <c r="CR619" s="567"/>
      <c r="CS619" s="567"/>
      <c r="CT619" s="567"/>
      <c r="CU619" s="567"/>
      <c r="CV619" s="567"/>
      <c r="CW619" s="567"/>
      <c r="CX619" s="567"/>
      <c r="CY619" s="567"/>
      <c r="CZ619" s="567"/>
      <c r="DA619" s="567"/>
      <c r="DB619" s="567"/>
      <c r="DC619" s="567"/>
      <c r="DD619" s="567"/>
      <c r="DE619" s="567"/>
      <c r="DF619" s="567"/>
      <c r="DG619" s="567"/>
      <c r="DH619" s="567"/>
      <c r="DI619" s="567"/>
      <c r="DJ619" s="567"/>
      <c r="DK619" s="567"/>
      <c r="DL619" s="567"/>
      <c r="DM619" s="567"/>
      <c r="DN619" s="567"/>
      <c r="DO619" s="567"/>
      <c r="DP619" s="567"/>
      <c r="DQ619" s="567"/>
      <c r="DR619" s="567"/>
      <c r="DS619" s="567"/>
      <c r="DT619" s="567"/>
      <c r="DU619" s="567"/>
      <c r="DV619" s="567"/>
      <c r="DW619" s="567"/>
      <c r="DX619" s="567"/>
      <c r="DY619" s="567"/>
      <c r="DZ619" s="567"/>
      <c r="EA619" s="567"/>
      <c r="EB619" s="567"/>
      <c r="EC619" s="567"/>
      <c r="ED619" s="567"/>
      <c r="EE619" s="567"/>
      <c r="EF619" s="567"/>
      <c r="EG619" s="567"/>
      <c r="EH619" s="567"/>
      <c r="EI619" s="567"/>
      <c r="EJ619" s="567"/>
      <c r="EK619" s="567"/>
      <c r="EL619" s="567"/>
      <c r="EM619" s="567"/>
      <c r="EN619" s="567"/>
      <c r="EO619" s="567"/>
      <c r="EP619" s="567"/>
      <c r="EQ619" s="567"/>
      <c r="ER619" s="567"/>
      <c r="ES619" s="567"/>
      <c r="ET619" s="567"/>
      <c r="EU619" s="567"/>
      <c r="EV619" s="567"/>
      <c r="EW619" s="567"/>
      <c r="EX619" s="567"/>
      <c r="EY619" s="567"/>
      <c r="EZ619" s="567"/>
      <c r="FA619" s="567"/>
      <c r="FB619" s="567"/>
      <c r="FC619" s="567"/>
      <c r="FD619" s="567"/>
      <c r="FE619" s="567"/>
      <c r="FF619" s="567"/>
      <c r="FG619" s="567"/>
      <c r="FH619" s="567"/>
      <c r="FI619" s="567"/>
      <c r="FJ619" s="567"/>
      <c r="FK619" s="567"/>
      <c r="FL619" s="567"/>
      <c r="FM619" s="567"/>
      <c r="FN619" s="567"/>
      <c r="FO619" s="567"/>
      <c r="FP619" s="567"/>
      <c r="FQ619" s="567"/>
      <c r="FR619" s="567"/>
      <c r="FS619" s="567"/>
      <c r="FT619" s="567"/>
      <c r="FU619" s="567"/>
      <c r="FV619" s="567"/>
      <c r="FW619" s="567"/>
      <c r="FX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  <c r="BW620" s="567"/>
      <c r="BX620" s="567"/>
      <c r="BY620" s="567"/>
      <c r="BZ620" s="567"/>
      <c r="CA620" s="567"/>
      <c r="CB620" s="567"/>
      <c r="CC620" s="567"/>
      <c r="CD620" s="567"/>
      <c r="CE620" s="567"/>
      <c r="CF620" s="567"/>
      <c r="CG620" s="567"/>
      <c r="CH620" s="567"/>
      <c r="CI620" s="567"/>
      <c r="CJ620" s="567"/>
      <c r="CK620" s="567"/>
      <c r="CL620" s="567"/>
      <c r="CM620" s="567"/>
      <c r="CN620" s="567"/>
      <c r="CO620" s="567"/>
      <c r="CP620" s="567"/>
      <c r="CQ620" s="567"/>
      <c r="CR620" s="567"/>
      <c r="CS620" s="567"/>
      <c r="CT620" s="567"/>
      <c r="CU620" s="567"/>
      <c r="CV620" s="567"/>
      <c r="CW620" s="567"/>
      <c r="CX620" s="567"/>
      <c r="CY620" s="567"/>
      <c r="CZ620" s="567"/>
      <c r="DA620" s="567"/>
      <c r="DB620" s="567"/>
      <c r="DC620" s="567"/>
      <c r="DD620" s="567"/>
      <c r="DE620" s="567"/>
      <c r="DF620" s="567"/>
      <c r="DG620" s="567"/>
      <c r="DH620" s="567"/>
      <c r="DI620" s="567"/>
      <c r="DJ620" s="567"/>
      <c r="DK620" s="567"/>
      <c r="DL620" s="567"/>
      <c r="DM620" s="567"/>
      <c r="DN620" s="567"/>
      <c r="DO620" s="567"/>
      <c r="DP620" s="567"/>
      <c r="DQ620" s="567"/>
      <c r="DR620" s="567"/>
      <c r="DS620" s="567"/>
      <c r="DT620" s="567"/>
      <c r="DU620" s="567"/>
      <c r="DV620" s="567"/>
      <c r="DW620" s="567"/>
      <c r="DX620" s="567"/>
      <c r="DY620" s="567"/>
      <c r="DZ620" s="567"/>
      <c r="EA620" s="567"/>
      <c r="EB620" s="567"/>
      <c r="EC620" s="567"/>
      <c r="ED620" s="567"/>
      <c r="EE620" s="567"/>
      <c r="EF620" s="567"/>
      <c r="EG620" s="567"/>
      <c r="EH620" s="567"/>
      <c r="EI620" s="567"/>
      <c r="EJ620" s="567"/>
      <c r="EK620" s="567"/>
      <c r="EL620" s="567"/>
      <c r="EM620" s="567"/>
      <c r="EN620" s="567"/>
      <c r="EO620" s="567"/>
      <c r="EP620" s="567"/>
      <c r="EQ620" s="567"/>
      <c r="ER620" s="567"/>
      <c r="ES620" s="567"/>
      <c r="ET620" s="567"/>
      <c r="EU620" s="567"/>
      <c r="EV620" s="567"/>
      <c r="EW620" s="567"/>
      <c r="EX620" s="567"/>
      <c r="EY620" s="567"/>
      <c r="EZ620" s="567"/>
      <c r="FA620" s="567"/>
      <c r="FB620" s="567"/>
      <c r="FC620" s="567"/>
      <c r="FD620" s="567"/>
      <c r="FE620" s="567"/>
      <c r="FF620" s="567"/>
      <c r="FG620" s="567"/>
      <c r="FH620" s="567"/>
      <c r="FI620" s="567"/>
      <c r="FJ620" s="567"/>
      <c r="FK620" s="567"/>
      <c r="FL620" s="567"/>
      <c r="FM620" s="567"/>
      <c r="FN620" s="567"/>
      <c r="FO620" s="567"/>
      <c r="FP620" s="567"/>
      <c r="FQ620" s="567"/>
      <c r="FR620" s="567"/>
      <c r="FS620" s="567"/>
      <c r="FT620" s="567"/>
      <c r="FU620" s="567"/>
      <c r="FV620" s="567"/>
      <c r="FW620" s="567"/>
      <c r="FX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  <c r="BW621" s="567"/>
      <c r="BX621" s="567"/>
      <c r="BY621" s="567"/>
      <c r="BZ621" s="567"/>
      <c r="CA621" s="567"/>
      <c r="CB621" s="567"/>
      <c r="CC621" s="567"/>
      <c r="CD621" s="567"/>
      <c r="CE621" s="567"/>
      <c r="CF621" s="567"/>
      <c r="CG621" s="567"/>
      <c r="CH621" s="567"/>
      <c r="CI621" s="567"/>
      <c r="CJ621" s="567"/>
      <c r="CK621" s="567"/>
      <c r="CL621" s="567"/>
      <c r="CM621" s="567"/>
      <c r="CN621" s="567"/>
      <c r="CO621" s="567"/>
      <c r="CP621" s="567"/>
      <c r="CQ621" s="567"/>
      <c r="CR621" s="567"/>
      <c r="CS621" s="567"/>
      <c r="CT621" s="567"/>
      <c r="CU621" s="567"/>
      <c r="CV621" s="567"/>
      <c r="CW621" s="567"/>
      <c r="CX621" s="567"/>
      <c r="CY621" s="567"/>
      <c r="CZ621" s="567"/>
      <c r="DA621" s="567"/>
      <c r="DB621" s="567"/>
      <c r="DC621" s="567"/>
      <c r="DD621" s="567"/>
      <c r="DE621" s="567"/>
      <c r="DF621" s="567"/>
      <c r="DG621" s="567"/>
      <c r="DH621" s="567"/>
      <c r="DI621" s="567"/>
      <c r="DJ621" s="567"/>
      <c r="DK621" s="567"/>
      <c r="DL621" s="567"/>
      <c r="DM621" s="567"/>
      <c r="DN621" s="567"/>
      <c r="DO621" s="567"/>
      <c r="DP621" s="567"/>
      <c r="DQ621" s="567"/>
      <c r="DR621" s="567"/>
      <c r="DS621" s="567"/>
      <c r="DT621" s="567"/>
      <c r="DU621" s="567"/>
      <c r="DV621" s="567"/>
      <c r="DW621" s="567"/>
      <c r="DX621" s="567"/>
      <c r="DY621" s="567"/>
      <c r="DZ621" s="567"/>
      <c r="EA621" s="567"/>
      <c r="EB621" s="567"/>
      <c r="EC621" s="567"/>
      <c r="ED621" s="567"/>
      <c r="EE621" s="567"/>
      <c r="EF621" s="567"/>
      <c r="EG621" s="567"/>
      <c r="EH621" s="567"/>
      <c r="EI621" s="567"/>
      <c r="EJ621" s="567"/>
      <c r="EK621" s="567"/>
      <c r="EL621" s="567"/>
      <c r="EM621" s="567"/>
      <c r="EN621" s="567"/>
      <c r="EO621" s="567"/>
      <c r="EP621" s="567"/>
      <c r="EQ621" s="567"/>
      <c r="ER621" s="567"/>
      <c r="ES621" s="567"/>
      <c r="ET621" s="567"/>
      <c r="EU621" s="567"/>
      <c r="EV621" s="567"/>
      <c r="EW621" s="567"/>
      <c r="EX621" s="567"/>
      <c r="EY621" s="567"/>
      <c r="EZ621" s="567"/>
      <c r="FA621" s="567"/>
      <c r="FB621" s="567"/>
      <c r="FC621" s="567"/>
      <c r="FD621" s="567"/>
      <c r="FE621" s="567"/>
      <c r="FF621" s="567"/>
      <c r="FG621" s="567"/>
      <c r="FH621" s="567"/>
      <c r="FI621" s="567"/>
      <c r="FJ621" s="567"/>
      <c r="FK621" s="567"/>
      <c r="FL621" s="567"/>
      <c r="FM621" s="567"/>
      <c r="FN621" s="567"/>
      <c r="FO621" s="567"/>
      <c r="FP621" s="567"/>
      <c r="FQ621" s="567"/>
      <c r="FR621" s="567"/>
      <c r="FS621" s="567"/>
      <c r="FT621" s="567"/>
      <c r="FU621" s="567"/>
      <c r="FV621" s="567"/>
      <c r="FW621" s="567"/>
      <c r="FX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  <c r="BW622" s="567"/>
      <c r="BX622" s="567"/>
      <c r="BY622" s="567"/>
      <c r="BZ622" s="567"/>
      <c r="CA622" s="567"/>
      <c r="CB622" s="567"/>
      <c r="CC622" s="567"/>
      <c r="CD622" s="567"/>
      <c r="CE622" s="567"/>
      <c r="CF622" s="567"/>
      <c r="CG622" s="567"/>
      <c r="CH622" s="567"/>
      <c r="CI622" s="567"/>
      <c r="CJ622" s="567"/>
      <c r="CK622" s="567"/>
      <c r="CL622" s="567"/>
      <c r="CM622" s="567"/>
      <c r="CN622" s="567"/>
      <c r="CO622" s="567"/>
      <c r="CP622" s="567"/>
      <c r="CQ622" s="567"/>
      <c r="CR622" s="567"/>
      <c r="CS622" s="567"/>
      <c r="CT622" s="567"/>
      <c r="CU622" s="567"/>
      <c r="CV622" s="567"/>
      <c r="CW622" s="567"/>
      <c r="CX622" s="567"/>
      <c r="CY622" s="567"/>
      <c r="CZ622" s="567"/>
      <c r="DA622" s="567"/>
      <c r="DB622" s="567"/>
      <c r="DC622" s="567"/>
      <c r="DD622" s="567"/>
      <c r="DE622" s="567"/>
      <c r="DF622" s="567"/>
      <c r="DG622" s="567"/>
      <c r="DH622" s="567"/>
      <c r="DI622" s="567"/>
      <c r="DJ622" s="567"/>
      <c r="DK622" s="567"/>
      <c r="DL622" s="567"/>
      <c r="DM622" s="567"/>
      <c r="DN622" s="567"/>
      <c r="DO622" s="567"/>
      <c r="DP622" s="567"/>
      <c r="DQ622" s="567"/>
      <c r="DR622" s="567"/>
      <c r="DS622" s="567"/>
      <c r="DT622" s="567"/>
      <c r="DU622" s="567"/>
      <c r="DV622" s="567"/>
      <c r="DW622" s="567"/>
      <c r="DX622" s="567"/>
      <c r="DY622" s="567"/>
      <c r="DZ622" s="567"/>
      <c r="EA622" s="567"/>
      <c r="EB622" s="567"/>
      <c r="EC622" s="567"/>
      <c r="ED622" s="567"/>
      <c r="EE622" s="567"/>
      <c r="EF622" s="567"/>
      <c r="EG622" s="567"/>
      <c r="EH622" s="567"/>
      <c r="EI622" s="567"/>
      <c r="EJ622" s="567"/>
      <c r="EK622" s="567"/>
      <c r="EL622" s="567"/>
      <c r="EM622" s="567"/>
      <c r="EN622" s="567"/>
      <c r="EO622" s="567"/>
      <c r="EP622" s="567"/>
      <c r="EQ622" s="567"/>
      <c r="ER622" s="567"/>
      <c r="ES622" s="567"/>
      <c r="ET622" s="567"/>
      <c r="EU622" s="567"/>
      <c r="EV622" s="567"/>
      <c r="EW622" s="567"/>
      <c r="EX622" s="567"/>
      <c r="EY622" s="567"/>
      <c r="EZ622" s="567"/>
      <c r="FA622" s="567"/>
      <c r="FB622" s="567"/>
      <c r="FC622" s="567"/>
      <c r="FD622" s="567"/>
      <c r="FE622" s="567"/>
      <c r="FF622" s="567"/>
      <c r="FG622" s="567"/>
      <c r="FH622" s="567"/>
      <c r="FI622" s="567"/>
      <c r="FJ622" s="567"/>
      <c r="FK622" s="567"/>
      <c r="FL622" s="567"/>
      <c r="FM622" s="567"/>
      <c r="FN622" s="567"/>
      <c r="FO622" s="567"/>
      <c r="FP622" s="567"/>
      <c r="FQ622" s="567"/>
      <c r="FR622" s="567"/>
      <c r="FS622" s="567"/>
      <c r="FT622" s="567"/>
      <c r="FU622" s="567"/>
      <c r="FV622" s="567"/>
      <c r="FW622" s="567"/>
      <c r="FX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  <c r="BW623" s="567"/>
      <c r="BX623" s="567"/>
      <c r="BY623" s="567"/>
      <c r="BZ623" s="567"/>
      <c r="CA623" s="567"/>
      <c r="CB623" s="567"/>
      <c r="CC623" s="567"/>
      <c r="CD623" s="567"/>
      <c r="CE623" s="567"/>
      <c r="CF623" s="567"/>
      <c r="CG623" s="567"/>
      <c r="CH623" s="567"/>
      <c r="CI623" s="567"/>
      <c r="CJ623" s="567"/>
      <c r="CK623" s="567"/>
      <c r="CL623" s="567"/>
      <c r="CM623" s="567"/>
      <c r="CN623" s="567"/>
      <c r="CO623" s="567"/>
      <c r="CP623" s="567"/>
      <c r="CQ623" s="567"/>
      <c r="CR623" s="567"/>
      <c r="CS623" s="567"/>
      <c r="CT623" s="567"/>
      <c r="CU623" s="567"/>
      <c r="CV623" s="567"/>
      <c r="CW623" s="567"/>
      <c r="CX623" s="567"/>
      <c r="CY623" s="567"/>
      <c r="CZ623" s="567"/>
      <c r="DA623" s="567"/>
      <c r="DB623" s="567"/>
      <c r="DC623" s="567"/>
      <c r="DD623" s="567"/>
      <c r="DE623" s="567"/>
      <c r="DF623" s="567"/>
      <c r="DG623" s="567"/>
      <c r="DH623" s="567"/>
      <c r="DI623" s="567"/>
      <c r="DJ623" s="567"/>
      <c r="DK623" s="567"/>
      <c r="DL623" s="567"/>
      <c r="DM623" s="567"/>
      <c r="DN623" s="567"/>
      <c r="DO623" s="567"/>
      <c r="DP623" s="567"/>
      <c r="DQ623" s="567"/>
      <c r="DR623" s="567"/>
      <c r="DS623" s="567"/>
      <c r="DT623" s="567"/>
      <c r="DU623" s="567"/>
      <c r="DV623" s="567"/>
      <c r="DW623" s="567"/>
      <c r="DX623" s="567"/>
      <c r="DY623" s="567"/>
      <c r="DZ623" s="567"/>
      <c r="EA623" s="567"/>
      <c r="EB623" s="567"/>
      <c r="EC623" s="567"/>
      <c r="ED623" s="567"/>
      <c r="EE623" s="567"/>
      <c r="EF623" s="567"/>
      <c r="EG623" s="567"/>
      <c r="EH623" s="567"/>
      <c r="EI623" s="567"/>
      <c r="EJ623" s="567"/>
      <c r="EK623" s="567"/>
      <c r="EL623" s="567"/>
      <c r="EM623" s="567"/>
      <c r="EN623" s="567"/>
      <c r="EO623" s="567"/>
      <c r="EP623" s="567"/>
      <c r="EQ623" s="567"/>
      <c r="ER623" s="567"/>
      <c r="ES623" s="567"/>
      <c r="ET623" s="567"/>
      <c r="EU623" s="567"/>
      <c r="EV623" s="567"/>
      <c r="EW623" s="567"/>
      <c r="EX623" s="567"/>
      <c r="EY623" s="567"/>
      <c r="EZ623" s="567"/>
      <c r="FA623" s="567"/>
      <c r="FB623" s="567"/>
      <c r="FC623" s="567"/>
      <c r="FD623" s="567"/>
      <c r="FE623" s="567"/>
      <c r="FF623" s="567"/>
      <c r="FG623" s="567"/>
      <c r="FH623" s="567"/>
      <c r="FI623" s="567"/>
      <c r="FJ623" s="567"/>
      <c r="FK623" s="567"/>
      <c r="FL623" s="567"/>
      <c r="FM623" s="567"/>
      <c r="FN623" s="567"/>
      <c r="FO623" s="567"/>
      <c r="FP623" s="567"/>
      <c r="FQ623" s="567"/>
      <c r="FR623" s="567"/>
      <c r="FS623" s="567"/>
      <c r="FT623" s="567"/>
      <c r="FU623" s="567"/>
      <c r="FV623" s="567"/>
      <c r="FW623" s="567"/>
      <c r="FX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  <c r="BW624" s="567"/>
      <c r="BX624" s="567"/>
      <c r="BY624" s="567"/>
      <c r="BZ624" s="567"/>
      <c r="CA624" s="567"/>
      <c r="CB624" s="567"/>
      <c r="CC624" s="567"/>
      <c r="CD624" s="567"/>
      <c r="CE624" s="567"/>
      <c r="CF624" s="567"/>
      <c r="CG624" s="567"/>
      <c r="CH624" s="567"/>
      <c r="CI624" s="567"/>
      <c r="CJ624" s="567"/>
      <c r="CK624" s="567"/>
      <c r="CL624" s="567"/>
      <c r="CM624" s="567"/>
      <c r="CN624" s="567"/>
      <c r="CO624" s="567"/>
      <c r="CP624" s="567"/>
      <c r="CQ624" s="567"/>
      <c r="CR624" s="567"/>
      <c r="CS624" s="567"/>
      <c r="CT624" s="567"/>
      <c r="CU624" s="567"/>
      <c r="CV624" s="567"/>
      <c r="CW624" s="567"/>
      <c r="CX624" s="567"/>
      <c r="CY624" s="567"/>
      <c r="CZ624" s="567"/>
      <c r="DA624" s="567"/>
      <c r="DB624" s="567"/>
      <c r="DC624" s="567"/>
      <c r="DD624" s="567"/>
      <c r="DE624" s="567"/>
      <c r="DF624" s="567"/>
      <c r="DG624" s="567"/>
      <c r="DH624" s="567"/>
      <c r="DI624" s="567"/>
      <c r="DJ624" s="567"/>
      <c r="DK624" s="567"/>
      <c r="DL624" s="567"/>
      <c r="DM624" s="567"/>
      <c r="DN624" s="567"/>
      <c r="DO624" s="567"/>
      <c r="DP624" s="567"/>
      <c r="DQ624" s="567"/>
      <c r="DR624" s="567"/>
      <c r="DS624" s="567"/>
      <c r="DT624" s="567"/>
      <c r="DU624" s="567"/>
      <c r="DV624" s="567"/>
      <c r="DW624" s="567"/>
      <c r="DX624" s="567"/>
      <c r="DY624" s="567"/>
      <c r="DZ624" s="567"/>
      <c r="EA624" s="567"/>
      <c r="EB624" s="567"/>
      <c r="EC624" s="567"/>
      <c r="ED624" s="567"/>
      <c r="EE624" s="567"/>
      <c r="EF624" s="567"/>
      <c r="EG624" s="567"/>
      <c r="EH624" s="567"/>
      <c r="EI624" s="567"/>
      <c r="EJ624" s="567"/>
      <c r="EK624" s="567"/>
      <c r="EL624" s="567"/>
      <c r="EM624" s="567"/>
      <c r="EN624" s="567"/>
      <c r="EO624" s="567"/>
      <c r="EP624" s="567"/>
      <c r="EQ624" s="567"/>
      <c r="ER624" s="567"/>
      <c r="ES624" s="567"/>
      <c r="ET624" s="567"/>
      <c r="EU624" s="567"/>
      <c r="EV624" s="567"/>
      <c r="EW624" s="567"/>
      <c r="EX624" s="567"/>
      <c r="EY624" s="567"/>
      <c r="EZ624" s="567"/>
      <c r="FA624" s="567"/>
      <c r="FB624" s="567"/>
      <c r="FC624" s="567"/>
      <c r="FD624" s="567"/>
      <c r="FE624" s="567"/>
      <c r="FF624" s="567"/>
      <c r="FG624" s="567"/>
      <c r="FH624" s="567"/>
      <c r="FI624" s="567"/>
      <c r="FJ624" s="567"/>
      <c r="FK624" s="567"/>
      <c r="FL624" s="567"/>
      <c r="FM624" s="567"/>
      <c r="FN624" s="567"/>
      <c r="FO624" s="567"/>
      <c r="FP624" s="567"/>
      <c r="FQ624" s="567"/>
      <c r="FR624" s="567"/>
      <c r="FS624" s="567"/>
      <c r="FT624" s="567"/>
      <c r="FU624" s="567"/>
      <c r="FV624" s="567"/>
      <c r="FW624" s="567"/>
      <c r="FX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  <c r="BW625" s="567"/>
      <c r="BX625" s="567"/>
      <c r="BY625" s="567"/>
      <c r="BZ625" s="567"/>
      <c r="CA625" s="567"/>
      <c r="CB625" s="567"/>
      <c r="CC625" s="567"/>
      <c r="CD625" s="567"/>
      <c r="CE625" s="567"/>
      <c r="CF625" s="567"/>
      <c r="CG625" s="567"/>
      <c r="CH625" s="567"/>
      <c r="CI625" s="567"/>
      <c r="CJ625" s="567"/>
      <c r="CK625" s="567"/>
      <c r="CL625" s="567"/>
      <c r="CM625" s="567"/>
      <c r="CN625" s="567"/>
      <c r="CO625" s="567"/>
      <c r="CP625" s="567"/>
      <c r="CQ625" s="567"/>
      <c r="CR625" s="567"/>
      <c r="CS625" s="567"/>
      <c r="CT625" s="567"/>
      <c r="CU625" s="567"/>
      <c r="CV625" s="567"/>
      <c r="CW625" s="567"/>
      <c r="CX625" s="567"/>
      <c r="CY625" s="567"/>
      <c r="CZ625" s="567"/>
      <c r="DA625" s="567"/>
      <c r="DB625" s="567"/>
      <c r="DC625" s="567"/>
      <c r="DD625" s="567"/>
      <c r="DE625" s="567"/>
      <c r="DF625" s="567"/>
      <c r="DG625" s="567"/>
      <c r="DH625" s="567"/>
      <c r="DI625" s="567"/>
      <c r="DJ625" s="567"/>
      <c r="DK625" s="567"/>
      <c r="DL625" s="567"/>
      <c r="DM625" s="567"/>
      <c r="DN625" s="567"/>
      <c r="DO625" s="567"/>
      <c r="DP625" s="567"/>
      <c r="DQ625" s="567"/>
      <c r="DR625" s="567"/>
      <c r="DS625" s="567"/>
      <c r="DT625" s="567"/>
      <c r="DU625" s="567"/>
      <c r="DV625" s="567"/>
      <c r="DW625" s="567"/>
      <c r="DX625" s="567"/>
      <c r="DY625" s="567"/>
      <c r="DZ625" s="567"/>
      <c r="EA625" s="567"/>
      <c r="EB625" s="567"/>
      <c r="EC625" s="567"/>
      <c r="ED625" s="567"/>
      <c r="EE625" s="567"/>
      <c r="EF625" s="567"/>
      <c r="EG625" s="567"/>
      <c r="EH625" s="567"/>
      <c r="EI625" s="567"/>
      <c r="EJ625" s="567"/>
      <c r="EK625" s="567"/>
      <c r="EL625" s="567"/>
      <c r="EM625" s="567"/>
      <c r="EN625" s="567"/>
      <c r="EO625" s="567"/>
      <c r="EP625" s="567"/>
      <c r="EQ625" s="567"/>
      <c r="ER625" s="567"/>
      <c r="ES625" s="567"/>
      <c r="ET625" s="567"/>
      <c r="EU625" s="567"/>
      <c r="EV625" s="567"/>
      <c r="EW625" s="567"/>
      <c r="EX625" s="567"/>
      <c r="EY625" s="567"/>
      <c r="EZ625" s="567"/>
      <c r="FA625" s="567"/>
      <c r="FB625" s="567"/>
      <c r="FC625" s="567"/>
      <c r="FD625" s="567"/>
      <c r="FE625" s="567"/>
      <c r="FF625" s="567"/>
      <c r="FG625" s="567"/>
      <c r="FH625" s="567"/>
      <c r="FI625" s="567"/>
      <c r="FJ625" s="567"/>
      <c r="FK625" s="567"/>
      <c r="FL625" s="567"/>
      <c r="FM625" s="567"/>
      <c r="FN625" s="567"/>
      <c r="FO625" s="567"/>
      <c r="FP625" s="567"/>
      <c r="FQ625" s="567"/>
      <c r="FR625" s="567"/>
      <c r="FS625" s="567"/>
      <c r="FT625" s="567"/>
      <c r="FU625" s="567"/>
      <c r="FV625" s="567"/>
      <c r="FW625" s="567"/>
      <c r="FX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  <c r="BW626" s="567"/>
      <c r="BX626" s="567"/>
      <c r="BY626" s="567"/>
      <c r="BZ626" s="567"/>
      <c r="CA626" s="567"/>
      <c r="CB626" s="567"/>
      <c r="CC626" s="567"/>
      <c r="CD626" s="567"/>
      <c r="CE626" s="567"/>
      <c r="CF626" s="567"/>
      <c r="CG626" s="567"/>
      <c r="CH626" s="567"/>
      <c r="CI626" s="567"/>
      <c r="CJ626" s="567"/>
      <c r="CK626" s="567"/>
      <c r="CL626" s="567"/>
      <c r="CM626" s="567"/>
      <c r="CN626" s="567"/>
      <c r="CO626" s="567"/>
      <c r="CP626" s="567"/>
      <c r="CQ626" s="567"/>
      <c r="CR626" s="567"/>
      <c r="CS626" s="567"/>
      <c r="CT626" s="567"/>
      <c r="CU626" s="567"/>
      <c r="CV626" s="567"/>
      <c r="CW626" s="567"/>
      <c r="CX626" s="567"/>
      <c r="CY626" s="567"/>
      <c r="CZ626" s="567"/>
      <c r="DA626" s="567"/>
      <c r="DB626" s="567"/>
      <c r="DC626" s="567"/>
      <c r="DD626" s="567"/>
      <c r="DE626" s="567"/>
      <c r="DF626" s="567"/>
      <c r="DG626" s="567"/>
      <c r="DH626" s="567"/>
      <c r="DI626" s="567"/>
      <c r="DJ626" s="567"/>
      <c r="DK626" s="567"/>
      <c r="DL626" s="567"/>
      <c r="DM626" s="567"/>
      <c r="DN626" s="567"/>
      <c r="DO626" s="567"/>
      <c r="DP626" s="567"/>
      <c r="DQ626" s="567"/>
      <c r="DR626" s="567"/>
      <c r="DS626" s="567"/>
      <c r="DT626" s="567"/>
      <c r="DU626" s="567"/>
      <c r="DV626" s="567"/>
      <c r="DW626" s="567"/>
      <c r="DX626" s="567"/>
      <c r="DY626" s="567"/>
      <c r="DZ626" s="567"/>
      <c r="EA626" s="567"/>
      <c r="EB626" s="567"/>
      <c r="EC626" s="567"/>
      <c r="ED626" s="567"/>
      <c r="EE626" s="567"/>
      <c r="EF626" s="567"/>
      <c r="EG626" s="567"/>
      <c r="EH626" s="567"/>
      <c r="EI626" s="567"/>
      <c r="EJ626" s="567"/>
      <c r="EK626" s="567"/>
      <c r="EL626" s="567"/>
      <c r="EM626" s="567"/>
      <c r="EN626" s="567"/>
      <c r="EO626" s="567"/>
      <c r="EP626" s="567"/>
      <c r="EQ626" s="567"/>
      <c r="ER626" s="567"/>
      <c r="ES626" s="567"/>
      <c r="ET626" s="567"/>
      <c r="EU626" s="567"/>
      <c r="EV626" s="567"/>
      <c r="EW626" s="567"/>
      <c r="EX626" s="567"/>
      <c r="EY626" s="567"/>
      <c r="EZ626" s="567"/>
      <c r="FA626" s="567"/>
      <c r="FB626" s="567"/>
      <c r="FC626" s="567"/>
      <c r="FD626" s="567"/>
      <c r="FE626" s="567"/>
      <c r="FF626" s="567"/>
      <c r="FG626" s="567"/>
      <c r="FH626" s="567"/>
      <c r="FI626" s="567"/>
      <c r="FJ626" s="567"/>
      <c r="FK626" s="567"/>
      <c r="FL626" s="567"/>
      <c r="FM626" s="567"/>
      <c r="FN626" s="567"/>
      <c r="FO626" s="567"/>
      <c r="FP626" s="567"/>
      <c r="FQ626" s="567"/>
      <c r="FR626" s="567"/>
      <c r="FS626" s="567"/>
      <c r="FT626" s="567"/>
      <c r="FU626" s="567"/>
      <c r="FV626" s="567"/>
      <c r="FW626" s="567"/>
      <c r="FX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  <c r="BW627" s="567"/>
      <c r="BX627" s="567"/>
      <c r="BY627" s="567"/>
      <c r="BZ627" s="567"/>
      <c r="CA627" s="567"/>
      <c r="CB627" s="567"/>
      <c r="CC627" s="567"/>
      <c r="CD627" s="567"/>
      <c r="CE627" s="567"/>
      <c r="CF627" s="567"/>
      <c r="CG627" s="567"/>
      <c r="CH627" s="567"/>
      <c r="CI627" s="567"/>
      <c r="CJ627" s="567"/>
      <c r="CK627" s="567"/>
      <c r="CL627" s="567"/>
      <c r="CM627" s="567"/>
      <c r="CN627" s="567"/>
      <c r="CO627" s="567"/>
      <c r="CP627" s="567"/>
      <c r="CQ627" s="567"/>
      <c r="CR627" s="567"/>
      <c r="CS627" s="567"/>
      <c r="CT627" s="567"/>
      <c r="CU627" s="567"/>
      <c r="CV627" s="567"/>
      <c r="CW627" s="567"/>
      <c r="CX627" s="567"/>
      <c r="CY627" s="567"/>
      <c r="CZ627" s="567"/>
      <c r="DA627" s="567"/>
      <c r="DB627" s="567"/>
      <c r="DC627" s="567"/>
      <c r="DD627" s="567"/>
      <c r="DE627" s="567"/>
      <c r="DF627" s="567"/>
      <c r="DG627" s="567"/>
      <c r="DH627" s="567"/>
      <c r="DI627" s="567"/>
      <c r="DJ627" s="567"/>
      <c r="DK627" s="567"/>
      <c r="DL627" s="567"/>
      <c r="DM627" s="567"/>
      <c r="DN627" s="567"/>
      <c r="DO627" s="567"/>
      <c r="DP627" s="567"/>
      <c r="DQ627" s="567"/>
      <c r="DR627" s="567"/>
      <c r="DS627" s="567"/>
      <c r="DT627" s="567"/>
      <c r="DU627" s="567"/>
      <c r="DV627" s="567"/>
      <c r="DW627" s="567"/>
      <c r="DX627" s="567"/>
      <c r="DY627" s="567"/>
      <c r="DZ627" s="567"/>
      <c r="EA627" s="567"/>
      <c r="EB627" s="567"/>
      <c r="EC627" s="567"/>
      <c r="ED627" s="567"/>
      <c r="EE627" s="567"/>
      <c r="EF627" s="567"/>
      <c r="EG627" s="567"/>
      <c r="EH627" s="567"/>
      <c r="EI627" s="567"/>
      <c r="EJ627" s="567"/>
      <c r="EK627" s="567"/>
      <c r="EL627" s="567"/>
      <c r="EM627" s="567"/>
      <c r="EN627" s="567"/>
      <c r="EO627" s="567"/>
      <c r="EP627" s="567"/>
      <c r="EQ627" s="567"/>
      <c r="ER627" s="567"/>
      <c r="ES627" s="567"/>
      <c r="ET627" s="567"/>
      <c r="EU627" s="567"/>
      <c r="EV627" s="567"/>
      <c r="EW627" s="567"/>
      <c r="EX627" s="567"/>
      <c r="EY627" s="567"/>
      <c r="EZ627" s="567"/>
      <c r="FA627" s="567"/>
      <c r="FB627" s="567"/>
      <c r="FC627" s="567"/>
      <c r="FD627" s="567"/>
      <c r="FE627" s="567"/>
      <c r="FF627" s="567"/>
      <c r="FG627" s="567"/>
      <c r="FH627" s="567"/>
      <c r="FI627" s="567"/>
      <c r="FJ627" s="567"/>
      <c r="FK627" s="567"/>
      <c r="FL627" s="567"/>
      <c r="FM627" s="567"/>
      <c r="FN627" s="567"/>
      <c r="FO627" s="567"/>
      <c r="FP627" s="567"/>
      <c r="FQ627" s="567"/>
      <c r="FR627" s="567"/>
      <c r="FS627" s="567"/>
      <c r="FT627" s="567"/>
      <c r="FU627" s="567"/>
      <c r="FV627" s="567"/>
      <c r="FW627" s="567"/>
      <c r="FX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  <c r="BW628" s="567"/>
      <c r="BX628" s="567"/>
      <c r="BY628" s="567"/>
      <c r="BZ628" s="567"/>
      <c r="CA628" s="567"/>
      <c r="CB628" s="567"/>
      <c r="CC628" s="567"/>
      <c r="CD628" s="567"/>
      <c r="CE628" s="567"/>
      <c r="CF628" s="567"/>
      <c r="CG628" s="567"/>
      <c r="CH628" s="567"/>
      <c r="CI628" s="567"/>
      <c r="CJ628" s="567"/>
      <c r="CK628" s="567"/>
      <c r="CL628" s="567"/>
      <c r="CM628" s="567"/>
      <c r="CN628" s="567"/>
      <c r="CO628" s="567"/>
      <c r="CP628" s="567"/>
      <c r="CQ628" s="567"/>
      <c r="CR628" s="567"/>
      <c r="CS628" s="567"/>
      <c r="CT628" s="567"/>
      <c r="CU628" s="567"/>
      <c r="CV628" s="567"/>
      <c r="CW628" s="567"/>
      <c r="CX628" s="567"/>
      <c r="CY628" s="567"/>
      <c r="CZ628" s="567"/>
      <c r="DA628" s="567"/>
      <c r="DB628" s="567"/>
      <c r="DC628" s="567"/>
      <c r="DD628" s="567"/>
      <c r="DE628" s="567"/>
      <c r="DF628" s="567"/>
      <c r="DG628" s="567"/>
      <c r="DH628" s="567"/>
      <c r="DI628" s="567"/>
      <c r="DJ628" s="567"/>
      <c r="DK628" s="567"/>
      <c r="DL628" s="567"/>
      <c r="DM628" s="567"/>
      <c r="DN628" s="567"/>
      <c r="DO628" s="567"/>
      <c r="DP628" s="567"/>
      <c r="DQ628" s="567"/>
      <c r="DR628" s="567"/>
      <c r="DS628" s="567"/>
      <c r="DT628" s="567"/>
      <c r="DU628" s="567"/>
      <c r="DV628" s="567"/>
      <c r="DW628" s="567"/>
      <c r="DX628" s="567"/>
      <c r="DY628" s="567"/>
      <c r="DZ628" s="567"/>
      <c r="EA628" s="567"/>
      <c r="EB628" s="567"/>
      <c r="EC628" s="567"/>
      <c r="ED628" s="567"/>
      <c r="EE628" s="567"/>
      <c r="EF628" s="567"/>
      <c r="EG628" s="567"/>
      <c r="EH628" s="567"/>
      <c r="EI628" s="567"/>
      <c r="EJ628" s="567"/>
      <c r="EK628" s="567"/>
      <c r="EL628" s="567"/>
      <c r="EM628" s="567"/>
      <c r="EN628" s="567"/>
      <c r="EO628" s="567"/>
      <c r="EP628" s="567"/>
      <c r="EQ628" s="567"/>
      <c r="ER628" s="567"/>
      <c r="ES628" s="567"/>
      <c r="ET628" s="567"/>
      <c r="EU628" s="567"/>
      <c r="EV628" s="567"/>
      <c r="EW628" s="567"/>
      <c r="EX628" s="567"/>
      <c r="EY628" s="567"/>
      <c r="EZ628" s="567"/>
      <c r="FA628" s="567"/>
      <c r="FB628" s="567"/>
      <c r="FC628" s="567"/>
      <c r="FD628" s="567"/>
      <c r="FE628" s="567"/>
      <c r="FF628" s="567"/>
      <c r="FG628" s="567"/>
      <c r="FH628" s="567"/>
      <c r="FI628" s="567"/>
      <c r="FJ628" s="567"/>
      <c r="FK628" s="567"/>
      <c r="FL628" s="567"/>
      <c r="FM628" s="567"/>
      <c r="FN628" s="567"/>
      <c r="FO628" s="567"/>
      <c r="FP628" s="567"/>
      <c r="FQ628" s="567"/>
      <c r="FR628" s="567"/>
      <c r="FS628" s="567"/>
      <c r="FT628" s="567"/>
      <c r="FU628" s="567"/>
      <c r="FV628" s="567"/>
      <c r="FW628" s="567"/>
      <c r="FX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  <c r="BW629" s="567"/>
      <c r="BX629" s="567"/>
      <c r="BY629" s="567"/>
      <c r="BZ629" s="567"/>
      <c r="CA629" s="567"/>
      <c r="CB629" s="567"/>
      <c r="CC629" s="567"/>
      <c r="CD629" s="567"/>
      <c r="CE629" s="567"/>
      <c r="CF629" s="567"/>
      <c r="CG629" s="567"/>
      <c r="CH629" s="567"/>
      <c r="CI629" s="567"/>
      <c r="CJ629" s="567"/>
      <c r="CK629" s="567"/>
      <c r="CL629" s="567"/>
      <c r="CM629" s="567"/>
      <c r="CN629" s="567"/>
      <c r="CO629" s="567"/>
      <c r="CP629" s="567"/>
      <c r="CQ629" s="567"/>
      <c r="CR629" s="567"/>
      <c r="CS629" s="567"/>
      <c r="CT629" s="567"/>
      <c r="CU629" s="567"/>
      <c r="CV629" s="567"/>
      <c r="CW629" s="567"/>
      <c r="CX629" s="567"/>
      <c r="CY629" s="567"/>
      <c r="CZ629" s="567"/>
      <c r="DA629" s="567"/>
      <c r="DB629" s="567"/>
      <c r="DC629" s="567"/>
      <c r="DD629" s="567"/>
      <c r="DE629" s="567"/>
      <c r="DF629" s="567"/>
      <c r="DG629" s="567"/>
      <c r="DH629" s="567"/>
      <c r="DI629" s="567"/>
      <c r="DJ629" s="567"/>
      <c r="DK629" s="567"/>
      <c r="DL629" s="567"/>
      <c r="DM629" s="567"/>
      <c r="DN629" s="567"/>
      <c r="DO629" s="567"/>
      <c r="DP629" s="567"/>
      <c r="DQ629" s="567"/>
      <c r="DR629" s="567"/>
      <c r="DS629" s="567"/>
      <c r="DT629" s="567"/>
      <c r="DU629" s="567"/>
      <c r="DV629" s="567"/>
      <c r="DW629" s="567"/>
      <c r="DX629" s="567"/>
      <c r="DY629" s="567"/>
      <c r="DZ629" s="567"/>
      <c r="EA629" s="567"/>
      <c r="EB629" s="567"/>
      <c r="EC629" s="567"/>
      <c r="ED629" s="567"/>
      <c r="EE629" s="567"/>
      <c r="EF629" s="567"/>
      <c r="EG629" s="567"/>
      <c r="EH629" s="567"/>
      <c r="EI629" s="567"/>
      <c r="EJ629" s="567"/>
      <c r="EK629" s="567"/>
      <c r="EL629" s="567"/>
      <c r="EM629" s="567"/>
      <c r="EN629" s="567"/>
      <c r="EO629" s="567"/>
      <c r="EP629" s="567"/>
      <c r="EQ629" s="567"/>
      <c r="ER629" s="567"/>
      <c r="ES629" s="567"/>
      <c r="ET629" s="567"/>
      <c r="EU629" s="567"/>
      <c r="EV629" s="567"/>
      <c r="EW629" s="567"/>
      <c r="EX629" s="567"/>
      <c r="EY629" s="567"/>
      <c r="EZ629" s="567"/>
      <c r="FA629" s="567"/>
      <c r="FB629" s="567"/>
      <c r="FC629" s="567"/>
      <c r="FD629" s="567"/>
      <c r="FE629" s="567"/>
      <c r="FF629" s="567"/>
      <c r="FG629" s="567"/>
      <c r="FH629" s="567"/>
      <c r="FI629" s="567"/>
      <c r="FJ629" s="567"/>
      <c r="FK629" s="567"/>
      <c r="FL629" s="567"/>
      <c r="FM629" s="567"/>
      <c r="FN629" s="567"/>
      <c r="FO629" s="567"/>
      <c r="FP629" s="567"/>
      <c r="FQ629" s="567"/>
      <c r="FR629" s="567"/>
      <c r="FS629" s="567"/>
      <c r="FT629" s="567"/>
      <c r="FU629" s="567"/>
      <c r="FV629" s="567"/>
      <c r="FW629" s="567"/>
      <c r="FX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  <c r="BW630" s="567"/>
      <c r="BX630" s="567"/>
      <c r="BY630" s="567"/>
      <c r="BZ630" s="567"/>
      <c r="CA630" s="567"/>
      <c r="CB630" s="567"/>
      <c r="CC630" s="567"/>
      <c r="CD630" s="567"/>
      <c r="CE630" s="567"/>
      <c r="CF630" s="567"/>
      <c r="CG630" s="567"/>
      <c r="CH630" s="567"/>
      <c r="CI630" s="567"/>
      <c r="CJ630" s="567"/>
      <c r="CK630" s="567"/>
      <c r="CL630" s="567"/>
      <c r="CM630" s="567"/>
      <c r="CN630" s="567"/>
      <c r="CO630" s="567"/>
      <c r="CP630" s="567"/>
      <c r="CQ630" s="567"/>
      <c r="CR630" s="567"/>
      <c r="CS630" s="567"/>
      <c r="CT630" s="567"/>
      <c r="CU630" s="567"/>
      <c r="CV630" s="567"/>
      <c r="CW630" s="567"/>
      <c r="CX630" s="567"/>
      <c r="CY630" s="567"/>
      <c r="CZ630" s="567"/>
      <c r="DA630" s="567"/>
      <c r="DB630" s="567"/>
      <c r="DC630" s="567"/>
      <c r="DD630" s="567"/>
      <c r="DE630" s="567"/>
      <c r="DF630" s="567"/>
      <c r="DG630" s="567"/>
      <c r="DH630" s="567"/>
      <c r="DI630" s="567"/>
      <c r="DJ630" s="567"/>
      <c r="DK630" s="567"/>
      <c r="DL630" s="567"/>
      <c r="DM630" s="567"/>
      <c r="DN630" s="567"/>
      <c r="DO630" s="567"/>
      <c r="DP630" s="567"/>
      <c r="DQ630" s="567"/>
      <c r="DR630" s="567"/>
      <c r="DS630" s="567"/>
      <c r="DT630" s="567"/>
      <c r="DU630" s="567"/>
      <c r="DV630" s="567"/>
      <c r="DW630" s="567"/>
      <c r="DX630" s="567"/>
      <c r="DY630" s="567"/>
      <c r="DZ630" s="567"/>
      <c r="EA630" s="567"/>
      <c r="EB630" s="567"/>
      <c r="EC630" s="567"/>
      <c r="ED630" s="567"/>
      <c r="EE630" s="567"/>
      <c r="EF630" s="567"/>
      <c r="EG630" s="567"/>
      <c r="EH630" s="567"/>
      <c r="EI630" s="567"/>
      <c r="EJ630" s="567"/>
      <c r="EK630" s="567"/>
      <c r="EL630" s="567"/>
      <c r="EM630" s="567"/>
      <c r="EN630" s="567"/>
      <c r="EO630" s="567"/>
      <c r="EP630" s="567"/>
      <c r="EQ630" s="567"/>
      <c r="ER630" s="567"/>
      <c r="ES630" s="567"/>
      <c r="ET630" s="567"/>
      <c r="EU630" s="567"/>
      <c r="EV630" s="567"/>
      <c r="EW630" s="567"/>
      <c r="EX630" s="567"/>
      <c r="EY630" s="567"/>
      <c r="EZ630" s="567"/>
      <c r="FA630" s="567"/>
      <c r="FB630" s="567"/>
      <c r="FC630" s="567"/>
      <c r="FD630" s="567"/>
      <c r="FE630" s="567"/>
      <c r="FF630" s="567"/>
      <c r="FG630" s="567"/>
      <c r="FH630" s="567"/>
      <c r="FI630" s="567"/>
      <c r="FJ630" s="567"/>
      <c r="FK630" s="567"/>
      <c r="FL630" s="567"/>
      <c r="FM630" s="567"/>
      <c r="FN630" s="567"/>
      <c r="FO630" s="567"/>
      <c r="FP630" s="567"/>
      <c r="FQ630" s="567"/>
      <c r="FR630" s="567"/>
      <c r="FS630" s="567"/>
      <c r="FT630" s="567"/>
      <c r="FU630" s="567"/>
      <c r="FV630" s="567"/>
      <c r="FW630" s="567"/>
      <c r="FX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  <c r="BW631" s="567"/>
      <c r="BX631" s="567"/>
      <c r="BY631" s="567"/>
      <c r="BZ631" s="567"/>
      <c r="CA631" s="567"/>
      <c r="CB631" s="567"/>
      <c r="CC631" s="567"/>
      <c r="CD631" s="567"/>
      <c r="CE631" s="567"/>
      <c r="CF631" s="567"/>
      <c r="CG631" s="567"/>
      <c r="CH631" s="567"/>
      <c r="CI631" s="567"/>
      <c r="CJ631" s="567"/>
      <c r="CK631" s="567"/>
      <c r="CL631" s="567"/>
      <c r="CM631" s="567"/>
      <c r="CN631" s="567"/>
      <c r="CO631" s="567"/>
      <c r="CP631" s="567"/>
      <c r="CQ631" s="567"/>
      <c r="CR631" s="567"/>
      <c r="CS631" s="567"/>
      <c r="CT631" s="567"/>
      <c r="CU631" s="567"/>
      <c r="CV631" s="567"/>
      <c r="CW631" s="567"/>
      <c r="CX631" s="567"/>
      <c r="CY631" s="567"/>
      <c r="CZ631" s="567"/>
      <c r="DA631" s="567"/>
      <c r="DB631" s="567"/>
      <c r="DC631" s="567"/>
      <c r="DD631" s="567"/>
      <c r="DE631" s="567"/>
      <c r="DF631" s="567"/>
      <c r="DG631" s="567"/>
      <c r="DH631" s="567"/>
      <c r="DI631" s="567"/>
      <c r="DJ631" s="567"/>
      <c r="DK631" s="567"/>
      <c r="DL631" s="567"/>
      <c r="DM631" s="567"/>
      <c r="DN631" s="567"/>
      <c r="DO631" s="567"/>
      <c r="DP631" s="567"/>
      <c r="DQ631" s="567"/>
      <c r="DR631" s="567"/>
      <c r="DS631" s="567"/>
      <c r="DT631" s="567"/>
      <c r="DU631" s="567"/>
      <c r="DV631" s="567"/>
      <c r="DW631" s="567"/>
      <c r="DX631" s="567"/>
      <c r="DY631" s="567"/>
      <c r="DZ631" s="567"/>
      <c r="EA631" s="567"/>
      <c r="EB631" s="567"/>
      <c r="EC631" s="567"/>
      <c r="ED631" s="567"/>
      <c r="EE631" s="567"/>
      <c r="EF631" s="567"/>
      <c r="EG631" s="567"/>
      <c r="EH631" s="567"/>
      <c r="EI631" s="567"/>
      <c r="EJ631" s="567"/>
      <c r="EK631" s="567"/>
      <c r="EL631" s="567"/>
      <c r="EM631" s="567"/>
      <c r="EN631" s="567"/>
      <c r="EO631" s="567"/>
      <c r="EP631" s="567"/>
      <c r="EQ631" s="567"/>
      <c r="ER631" s="567"/>
      <c r="ES631" s="567"/>
      <c r="ET631" s="567"/>
      <c r="EU631" s="567"/>
      <c r="EV631" s="567"/>
      <c r="EW631" s="567"/>
      <c r="EX631" s="567"/>
      <c r="EY631" s="567"/>
      <c r="EZ631" s="567"/>
      <c r="FA631" s="567"/>
      <c r="FB631" s="567"/>
      <c r="FC631" s="567"/>
      <c r="FD631" s="567"/>
      <c r="FE631" s="567"/>
      <c r="FF631" s="567"/>
      <c r="FG631" s="567"/>
      <c r="FH631" s="567"/>
      <c r="FI631" s="567"/>
      <c r="FJ631" s="567"/>
      <c r="FK631" s="567"/>
      <c r="FL631" s="567"/>
      <c r="FM631" s="567"/>
      <c r="FN631" s="567"/>
      <c r="FO631" s="567"/>
      <c r="FP631" s="567"/>
      <c r="FQ631" s="567"/>
      <c r="FR631" s="567"/>
      <c r="FS631" s="567"/>
      <c r="FT631" s="567"/>
      <c r="FU631" s="567"/>
      <c r="FV631" s="567"/>
      <c r="FW631" s="567"/>
      <c r="FX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  <c r="BW632" s="567"/>
      <c r="BX632" s="567"/>
      <c r="BY632" s="567"/>
      <c r="BZ632" s="567"/>
      <c r="CA632" s="567"/>
      <c r="CB632" s="567"/>
      <c r="CC632" s="567"/>
      <c r="CD632" s="567"/>
      <c r="CE632" s="567"/>
      <c r="CF632" s="567"/>
      <c r="CG632" s="567"/>
      <c r="CH632" s="567"/>
      <c r="CI632" s="567"/>
      <c r="CJ632" s="567"/>
      <c r="CK632" s="567"/>
      <c r="CL632" s="567"/>
      <c r="CM632" s="567"/>
      <c r="CN632" s="567"/>
      <c r="CO632" s="567"/>
      <c r="CP632" s="567"/>
      <c r="CQ632" s="567"/>
      <c r="CR632" s="567"/>
      <c r="CS632" s="567"/>
      <c r="CT632" s="567"/>
      <c r="CU632" s="567"/>
      <c r="CV632" s="567"/>
      <c r="CW632" s="567"/>
      <c r="CX632" s="567"/>
      <c r="CY632" s="567"/>
      <c r="CZ632" s="567"/>
      <c r="DA632" s="567"/>
      <c r="DB632" s="567"/>
      <c r="DC632" s="567"/>
      <c r="DD632" s="567"/>
      <c r="DE632" s="567"/>
      <c r="DF632" s="567"/>
      <c r="DG632" s="567"/>
      <c r="DH632" s="567"/>
      <c r="DI632" s="567"/>
      <c r="DJ632" s="567"/>
      <c r="DK632" s="567"/>
      <c r="DL632" s="567"/>
      <c r="DM632" s="567"/>
      <c r="DN632" s="567"/>
      <c r="DO632" s="567"/>
      <c r="DP632" s="567"/>
      <c r="DQ632" s="567"/>
      <c r="DR632" s="567"/>
      <c r="DS632" s="567"/>
      <c r="DT632" s="567"/>
      <c r="DU632" s="567"/>
      <c r="DV632" s="567"/>
      <c r="DW632" s="567"/>
      <c r="DX632" s="567"/>
      <c r="DY632" s="567"/>
      <c r="DZ632" s="567"/>
      <c r="EA632" s="567"/>
      <c r="EB632" s="567"/>
      <c r="EC632" s="567"/>
      <c r="ED632" s="567"/>
      <c r="EE632" s="567"/>
      <c r="EF632" s="567"/>
      <c r="EG632" s="567"/>
      <c r="EH632" s="567"/>
      <c r="EI632" s="567"/>
      <c r="EJ632" s="567"/>
      <c r="EK632" s="567"/>
      <c r="EL632" s="567"/>
      <c r="EM632" s="567"/>
      <c r="EN632" s="567"/>
      <c r="EO632" s="567"/>
      <c r="EP632" s="567"/>
      <c r="EQ632" s="567"/>
      <c r="ER632" s="567"/>
      <c r="ES632" s="567"/>
      <c r="ET632" s="567"/>
      <c r="EU632" s="567"/>
      <c r="EV632" s="567"/>
      <c r="EW632" s="567"/>
      <c r="EX632" s="567"/>
      <c r="EY632" s="567"/>
      <c r="EZ632" s="567"/>
      <c r="FA632" s="567"/>
      <c r="FB632" s="567"/>
      <c r="FC632" s="567"/>
      <c r="FD632" s="567"/>
      <c r="FE632" s="567"/>
      <c r="FF632" s="567"/>
      <c r="FG632" s="567"/>
      <c r="FH632" s="567"/>
      <c r="FI632" s="567"/>
      <c r="FJ632" s="567"/>
      <c r="FK632" s="567"/>
      <c r="FL632" s="567"/>
      <c r="FM632" s="567"/>
      <c r="FN632" s="567"/>
      <c r="FO632" s="567"/>
      <c r="FP632" s="567"/>
      <c r="FQ632" s="567"/>
      <c r="FR632" s="567"/>
      <c r="FS632" s="567"/>
      <c r="FT632" s="567"/>
      <c r="FU632" s="567"/>
      <c r="FV632" s="567"/>
      <c r="FW632" s="567"/>
      <c r="FX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  <c r="BW633" s="567"/>
      <c r="BX633" s="567"/>
      <c r="BY633" s="567"/>
      <c r="BZ633" s="567"/>
      <c r="CA633" s="567"/>
      <c r="CB633" s="567"/>
      <c r="CC633" s="567"/>
      <c r="CD633" s="567"/>
      <c r="CE633" s="567"/>
      <c r="CF633" s="567"/>
      <c r="CG633" s="567"/>
      <c r="CH633" s="567"/>
      <c r="CI633" s="567"/>
      <c r="CJ633" s="567"/>
      <c r="CK633" s="567"/>
      <c r="CL633" s="567"/>
      <c r="CM633" s="567"/>
      <c r="CN633" s="567"/>
      <c r="CO633" s="567"/>
      <c r="CP633" s="567"/>
      <c r="CQ633" s="567"/>
      <c r="CR633" s="567"/>
      <c r="CS633" s="567"/>
      <c r="CT633" s="567"/>
      <c r="CU633" s="567"/>
      <c r="CV633" s="567"/>
      <c r="CW633" s="567"/>
      <c r="CX633" s="567"/>
      <c r="CY633" s="567"/>
      <c r="CZ633" s="567"/>
      <c r="DA633" s="567"/>
      <c r="DB633" s="567"/>
      <c r="DC633" s="567"/>
      <c r="DD633" s="567"/>
      <c r="DE633" s="567"/>
      <c r="DF633" s="567"/>
      <c r="DG633" s="567"/>
      <c r="DH633" s="567"/>
      <c r="DI633" s="567"/>
      <c r="DJ633" s="567"/>
      <c r="DK633" s="567"/>
      <c r="DL633" s="567"/>
      <c r="DM633" s="567"/>
      <c r="DN633" s="567"/>
      <c r="DO633" s="567"/>
      <c r="DP633" s="567"/>
      <c r="DQ633" s="567"/>
      <c r="DR633" s="567"/>
      <c r="DS633" s="567"/>
      <c r="DT633" s="567"/>
      <c r="DU633" s="567"/>
      <c r="DV633" s="567"/>
      <c r="DW633" s="567"/>
      <c r="DX633" s="567"/>
      <c r="DY633" s="567"/>
      <c r="DZ633" s="567"/>
      <c r="EA633" s="567"/>
      <c r="EB633" s="567"/>
      <c r="EC633" s="567"/>
      <c r="ED633" s="567"/>
      <c r="EE633" s="567"/>
      <c r="EF633" s="567"/>
      <c r="EG633" s="567"/>
      <c r="EH633" s="567"/>
      <c r="EI633" s="567"/>
      <c r="EJ633" s="567"/>
      <c r="EK633" s="567"/>
      <c r="EL633" s="567"/>
      <c r="EM633" s="567"/>
      <c r="EN633" s="567"/>
      <c r="EO633" s="567"/>
      <c r="EP633" s="567"/>
      <c r="EQ633" s="567"/>
      <c r="ER633" s="567"/>
      <c r="ES633" s="567"/>
      <c r="ET633" s="567"/>
      <c r="EU633" s="567"/>
      <c r="EV633" s="567"/>
      <c r="EW633" s="567"/>
      <c r="EX633" s="567"/>
      <c r="EY633" s="567"/>
      <c r="EZ633" s="567"/>
      <c r="FA633" s="567"/>
      <c r="FB633" s="567"/>
      <c r="FC633" s="567"/>
      <c r="FD633" s="567"/>
      <c r="FE633" s="567"/>
      <c r="FF633" s="567"/>
      <c r="FG633" s="567"/>
      <c r="FH633" s="567"/>
      <c r="FI633" s="567"/>
      <c r="FJ633" s="567"/>
      <c r="FK633" s="567"/>
      <c r="FL633" s="567"/>
      <c r="FM633" s="567"/>
      <c r="FN633" s="567"/>
      <c r="FO633" s="567"/>
      <c r="FP633" s="567"/>
      <c r="FQ633" s="567"/>
      <c r="FR633" s="567"/>
      <c r="FS633" s="567"/>
      <c r="FT633" s="567"/>
      <c r="FU633" s="567"/>
      <c r="FV633" s="567"/>
      <c r="FW633" s="567"/>
      <c r="FX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  <c r="BW634" s="567"/>
      <c r="BX634" s="567"/>
      <c r="BY634" s="567"/>
      <c r="BZ634" s="567"/>
      <c r="CA634" s="567"/>
      <c r="CB634" s="567"/>
      <c r="CC634" s="567"/>
      <c r="CD634" s="567"/>
      <c r="CE634" s="567"/>
      <c r="CF634" s="567"/>
      <c r="CG634" s="567"/>
      <c r="CH634" s="567"/>
      <c r="CI634" s="567"/>
      <c r="CJ634" s="567"/>
      <c r="CK634" s="567"/>
      <c r="CL634" s="567"/>
      <c r="CM634" s="567"/>
      <c r="CN634" s="567"/>
      <c r="CO634" s="567"/>
      <c r="CP634" s="567"/>
      <c r="CQ634" s="567"/>
      <c r="CR634" s="567"/>
      <c r="CS634" s="567"/>
      <c r="CT634" s="567"/>
      <c r="CU634" s="567"/>
      <c r="CV634" s="567"/>
      <c r="CW634" s="567"/>
      <c r="CX634" s="567"/>
      <c r="CY634" s="567"/>
      <c r="CZ634" s="567"/>
      <c r="DA634" s="567"/>
      <c r="DB634" s="567"/>
      <c r="DC634" s="567"/>
      <c r="DD634" s="567"/>
      <c r="DE634" s="567"/>
      <c r="DF634" s="567"/>
      <c r="DG634" s="567"/>
      <c r="DH634" s="567"/>
      <c r="DI634" s="567"/>
      <c r="DJ634" s="567"/>
      <c r="DK634" s="567"/>
      <c r="DL634" s="567"/>
      <c r="DM634" s="567"/>
      <c r="DN634" s="567"/>
      <c r="DO634" s="567"/>
      <c r="DP634" s="567"/>
      <c r="DQ634" s="567"/>
      <c r="DR634" s="567"/>
      <c r="DS634" s="567"/>
      <c r="DT634" s="567"/>
      <c r="DU634" s="567"/>
      <c r="DV634" s="567"/>
      <c r="DW634" s="567"/>
      <c r="DX634" s="567"/>
      <c r="DY634" s="567"/>
      <c r="DZ634" s="567"/>
      <c r="EA634" s="567"/>
      <c r="EB634" s="567"/>
      <c r="EC634" s="567"/>
      <c r="ED634" s="567"/>
      <c r="EE634" s="567"/>
      <c r="EF634" s="567"/>
      <c r="EG634" s="567"/>
      <c r="EH634" s="567"/>
      <c r="EI634" s="567"/>
      <c r="EJ634" s="567"/>
      <c r="EK634" s="567"/>
      <c r="EL634" s="567"/>
      <c r="EM634" s="567"/>
      <c r="EN634" s="567"/>
      <c r="EO634" s="567"/>
      <c r="EP634" s="567"/>
      <c r="EQ634" s="567"/>
      <c r="ER634" s="567"/>
      <c r="ES634" s="567"/>
      <c r="ET634" s="567"/>
      <c r="EU634" s="567"/>
      <c r="EV634" s="567"/>
      <c r="EW634" s="567"/>
      <c r="EX634" s="567"/>
      <c r="EY634" s="567"/>
      <c r="EZ634" s="567"/>
      <c r="FA634" s="567"/>
      <c r="FB634" s="567"/>
      <c r="FC634" s="567"/>
      <c r="FD634" s="567"/>
      <c r="FE634" s="567"/>
      <c r="FF634" s="567"/>
      <c r="FG634" s="567"/>
      <c r="FH634" s="567"/>
      <c r="FI634" s="567"/>
      <c r="FJ634" s="567"/>
      <c r="FK634" s="567"/>
      <c r="FL634" s="567"/>
      <c r="FM634" s="567"/>
      <c r="FN634" s="567"/>
      <c r="FO634" s="567"/>
      <c r="FP634" s="567"/>
      <c r="FQ634" s="567"/>
      <c r="FR634" s="567"/>
      <c r="FS634" s="567"/>
      <c r="FT634" s="567"/>
      <c r="FU634" s="567"/>
      <c r="FV634" s="567"/>
      <c r="FW634" s="567"/>
      <c r="FX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  <c r="BW635" s="567"/>
      <c r="BX635" s="567"/>
      <c r="BY635" s="567"/>
      <c r="BZ635" s="567"/>
      <c r="CA635" s="567"/>
      <c r="CB635" s="567"/>
      <c r="CC635" s="567"/>
      <c r="CD635" s="567"/>
      <c r="CE635" s="567"/>
      <c r="CF635" s="567"/>
      <c r="CG635" s="567"/>
      <c r="CH635" s="567"/>
      <c r="CI635" s="567"/>
      <c r="CJ635" s="567"/>
      <c r="CK635" s="567"/>
      <c r="CL635" s="567"/>
      <c r="CM635" s="567"/>
      <c r="CN635" s="567"/>
      <c r="CO635" s="567"/>
      <c r="CP635" s="567"/>
      <c r="CQ635" s="567"/>
      <c r="CR635" s="567"/>
      <c r="CS635" s="567"/>
      <c r="CT635" s="567"/>
      <c r="CU635" s="567"/>
      <c r="CV635" s="567"/>
      <c r="CW635" s="567"/>
      <c r="CX635" s="567"/>
      <c r="CY635" s="567"/>
      <c r="CZ635" s="567"/>
      <c r="DA635" s="567"/>
      <c r="DB635" s="567"/>
      <c r="DC635" s="567"/>
      <c r="DD635" s="567"/>
      <c r="DE635" s="567"/>
      <c r="DF635" s="567"/>
      <c r="DG635" s="567"/>
      <c r="DH635" s="567"/>
      <c r="DI635" s="567"/>
      <c r="DJ635" s="567"/>
      <c r="DK635" s="567"/>
      <c r="DL635" s="567"/>
      <c r="DM635" s="567"/>
      <c r="DN635" s="567"/>
      <c r="DO635" s="567"/>
      <c r="DP635" s="567"/>
      <c r="DQ635" s="567"/>
      <c r="DR635" s="567"/>
      <c r="DS635" s="567"/>
      <c r="DT635" s="567"/>
      <c r="DU635" s="567"/>
      <c r="DV635" s="567"/>
      <c r="DW635" s="567"/>
      <c r="DX635" s="567"/>
      <c r="DY635" s="567"/>
      <c r="DZ635" s="567"/>
      <c r="EA635" s="567"/>
      <c r="EB635" s="567"/>
      <c r="EC635" s="567"/>
      <c r="ED635" s="567"/>
      <c r="EE635" s="567"/>
      <c r="EF635" s="567"/>
      <c r="EG635" s="567"/>
      <c r="EH635" s="567"/>
      <c r="EI635" s="567"/>
      <c r="EJ635" s="567"/>
      <c r="EK635" s="567"/>
      <c r="EL635" s="567"/>
      <c r="EM635" s="567"/>
      <c r="EN635" s="567"/>
      <c r="EO635" s="567"/>
      <c r="EP635" s="567"/>
      <c r="EQ635" s="567"/>
      <c r="ER635" s="567"/>
      <c r="ES635" s="567"/>
      <c r="ET635" s="567"/>
      <c r="EU635" s="567"/>
      <c r="EV635" s="567"/>
      <c r="EW635" s="567"/>
      <c r="EX635" s="567"/>
      <c r="EY635" s="567"/>
      <c r="EZ635" s="567"/>
      <c r="FA635" s="567"/>
      <c r="FB635" s="567"/>
      <c r="FC635" s="567"/>
      <c r="FD635" s="567"/>
      <c r="FE635" s="567"/>
      <c r="FF635" s="567"/>
      <c r="FG635" s="567"/>
      <c r="FH635" s="567"/>
      <c r="FI635" s="567"/>
      <c r="FJ635" s="567"/>
      <c r="FK635" s="567"/>
      <c r="FL635" s="567"/>
      <c r="FM635" s="567"/>
      <c r="FN635" s="567"/>
      <c r="FO635" s="567"/>
      <c r="FP635" s="567"/>
      <c r="FQ635" s="567"/>
      <c r="FR635" s="567"/>
      <c r="FS635" s="567"/>
      <c r="FT635" s="567"/>
      <c r="FU635" s="567"/>
      <c r="FV635" s="567"/>
      <c r="FW635" s="567"/>
      <c r="FX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  <c r="BW636" s="567"/>
      <c r="BX636" s="567"/>
      <c r="BY636" s="567"/>
      <c r="BZ636" s="567"/>
      <c r="CA636" s="567"/>
      <c r="CB636" s="567"/>
      <c r="CC636" s="567"/>
      <c r="CD636" s="567"/>
      <c r="CE636" s="567"/>
      <c r="CF636" s="567"/>
      <c r="CG636" s="567"/>
      <c r="CH636" s="567"/>
      <c r="CI636" s="567"/>
      <c r="CJ636" s="567"/>
      <c r="CK636" s="567"/>
      <c r="CL636" s="567"/>
      <c r="CM636" s="567"/>
      <c r="CN636" s="567"/>
      <c r="CO636" s="567"/>
      <c r="CP636" s="567"/>
      <c r="CQ636" s="567"/>
      <c r="CR636" s="567"/>
      <c r="CS636" s="567"/>
      <c r="CT636" s="567"/>
      <c r="CU636" s="567"/>
      <c r="CV636" s="567"/>
      <c r="CW636" s="567"/>
      <c r="CX636" s="567"/>
      <c r="CY636" s="567"/>
      <c r="CZ636" s="567"/>
      <c r="DA636" s="567"/>
      <c r="DB636" s="567"/>
      <c r="DC636" s="567"/>
      <c r="DD636" s="567"/>
      <c r="DE636" s="567"/>
      <c r="DF636" s="567"/>
      <c r="DG636" s="567"/>
      <c r="DH636" s="567"/>
      <c r="DI636" s="567"/>
      <c r="DJ636" s="567"/>
      <c r="DK636" s="567"/>
      <c r="DL636" s="567"/>
      <c r="DM636" s="567"/>
      <c r="DN636" s="567"/>
      <c r="DO636" s="567"/>
      <c r="DP636" s="567"/>
      <c r="DQ636" s="567"/>
      <c r="DR636" s="567"/>
      <c r="DS636" s="567"/>
      <c r="DT636" s="567"/>
      <c r="DU636" s="567"/>
      <c r="DV636" s="567"/>
      <c r="DW636" s="567"/>
      <c r="DX636" s="567"/>
      <c r="DY636" s="567"/>
      <c r="DZ636" s="567"/>
      <c r="EA636" s="567"/>
      <c r="EB636" s="567"/>
      <c r="EC636" s="567"/>
      <c r="ED636" s="567"/>
      <c r="EE636" s="567"/>
      <c r="EF636" s="567"/>
      <c r="EG636" s="567"/>
      <c r="EH636" s="567"/>
      <c r="EI636" s="567"/>
      <c r="EJ636" s="567"/>
      <c r="EK636" s="567"/>
      <c r="EL636" s="567"/>
      <c r="EM636" s="567"/>
      <c r="EN636" s="567"/>
      <c r="EO636" s="567"/>
      <c r="EP636" s="567"/>
      <c r="EQ636" s="567"/>
      <c r="ER636" s="567"/>
      <c r="ES636" s="567"/>
      <c r="ET636" s="567"/>
      <c r="EU636" s="567"/>
      <c r="EV636" s="567"/>
      <c r="EW636" s="567"/>
      <c r="EX636" s="567"/>
      <c r="EY636" s="567"/>
      <c r="EZ636" s="567"/>
      <c r="FA636" s="567"/>
      <c r="FB636" s="567"/>
      <c r="FC636" s="567"/>
      <c r="FD636" s="567"/>
      <c r="FE636" s="567"/>
      <c r="FF636" s="567"/>
      <c r="FG636" s="567"/>
      <c r="FH636" s="567"/>
      <c r="FI636" s="567"/>
      <c r="FJ636" s="567"/>
      <c r="FK636" s="567"/>
      <c r="FL636" s="567"/>
      <c r="FM636" s="567"/>
      <c r="FN636" s="567"/>
      <c r="FO636" s="567"/>
      <c r="FP636" s="567"/>
      <c r="FQ636" s="567"/>
      <c r="FR636" s="567"/>
      <c r="FS636" s="567"/>
      <c r="FT636" s="567"/>
      <c r="FU636" s="567"/>
      <c r="FV636" s="567"/>
      <c r="FW636" s="567"/>
      <c r="FX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  <c r="BW637" s="567"/>
      <c r="BX637" s="567"/>
      <c r="BY637" s="567"/>
      <c r="BZ637" s="567"/>
      <c r="CA637" s="567"/>
      <c r="CB637" s="567"/>
      <c r="CC637" s="567"/>
      <c r="CD637" s="567"/>
      <c r="CE637" s="567"/>
      <c r="CF637" s="567"/>
      <c r="CG637" s="567"/>
      <c r="CH637" s="567"/>
      <c r="CI637" s="567"/>
      <c r="CJ637" s="567"/>
      <c r="CK637" s="567"/>
      <c r="CL637" s="567"/>
      <c r="CM637" s="567"/>
      <c r="CN637" s="567"/>
      <c r="CO637" s="567"/>
      <c r="CP637" s="567"/>
      <c r="CQ637" s="567"/>
      <c r="CR637" s="567"/>
      <c r="CS637" s="567"/>
      <c r="CT637" s="567"/>
      <c r="CU637" s="567"/>
      <c r="CV637" s="567"/>
      <c r="CW637" s="567"/>
      <c r="CX637" s="567"/>
      <c r="CY637" s="567"/>
      <c r="CZ637" s="567"/>
      <c r="DA637" s="567"/>
      <c r="DB637" s="567"/>
      <c r="DC637" s="567"/>
      <c r="DD637" s="567"/>
      <c r="DE637" s="567"/>
      <c r="DF637" s="567"/>
      <c r="DG637" s="567"/>
      <c r="DH637" s="567"/>
      <c r="DI637" s="567"/>
      <c r="DJ637" s="567"/>
      <c r="DK637" s="567"/>
      <c r="DL637" s="567"/>
      <c r="DM637" s="567"/>
      <c r="DN637" s="567"/>
      <c r="DO637" s="567"/>
      <c r="DP637" s="567"/>
      <c r="DQ637" s="567"/>
      <c r="DR637" s="567"/>
      <c r="DS637" s="567"/>
      <c r="DT637" s="567"/>
      <c r="DU637" s="567"/>
      <c r="DV637" s="567"/>
      <c r="DW637" s="567"/>
      <c r="DX637" s="567"/>
      <c r="DY637" s="567"/>
      <c r="DZ637" s="567"/>
      <c r="EA637" s="567"/>
      <c r="EB637" s="567"/>
      <c r="EC637" s="567"/>
      <c r="ED637" s="567"/>
      <c r="EE637" s="567"/>
      <c r="EF637" s="567"/>
      <c r="EG637" s="567"/>
      <c r="EH637" s="567"/>
      <c r="EI637" s="567"/>
      <c r="EJ637" s="567"/>
      <c r="EK637" s="567"/>
      <c r="EL637" s="567"/>
      <c r="EM637" s="567"/>
      <c r="EN637" s="567"/>
      <c r="EO637" s="567"/>
      <c r="EP637" s="567"/>
      <c r="EQ637" s="567"/>
      <c r="ER637" s="567"/>
      <c r="ES637" s="567"/>
      <c r="ET637" s="567"/>
      <c r="EU637" s="567"/>
      <c r="EV637" s="567"/>
      <c r="EW637" s="567"/>
      <c r="EX637" s="567"/>
      <c r="EY637" s="567"/>
      <c r="EZ637" s="567"/>
      <c r="FA637" s="567"/>
      <c r="FB637" s="567"/>
      <c r="FC637" s="567"/>
      <c r="FD637" s="567"/>
      <c r="FE637" s="567"/>
      <c r="FF637" s="567"/>
      <c r="FG637" s="567"/>
      <c r="FH637" s="567"/>
      <c r="FI637" s="567"/>
      <c r="FJ637" s="567"/>
      <c r="FK637" s="567"/>
      <c r="FL637" s="567"/>
      <c r="FM637" s="567"/>
      <c r="FN637" s="567"/>
      <c r="FO637" s="567"/>
      <c r="FP637" s="567"/>
      <c r="FQ637" s="567"/>
      <c r="FR637" s="567"/>
      <c r="FS637" s="567"/>
      <c r="FT637" s="567"/>
      <c r="FU637" s="567"/>
      <c r="FV637" s="567"/>
      <c r="FW637" s="567"/>
      <c r="FX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  <c r="BW638" s="567"/>
      <c r="BX638" s="567"/>
      <c r="BY638" s="567"/>
      <c r="BZ638" s="567"/>
      <c r="CA638" s="567"/>
      <c r="CB638" s="567"/>
      <c r="CC638" s="567"/>
      <c r="CD638" s="567"/>
      <c r="CE638" s="567"/>
      <c r="CF638" s="567"/>
      <c r="CG638" s="567"/>
      <c r="CH638" s="567"/>
      <c r="CI638" s="567"/>
      <c r="CJ638" s="567"/>
      <c r="CK638" s="567"/>
      <c r="CL638" s="567"/>
      <c r="CM638" s="567"/>
      <c r="CN638" s="567"/>
      <c r="CO638" s="567"/>
      <c r="CP638" s="567"/>
      <c r="CQ638" s="567"/>
      <c r="CR638" s="567"/>
      <c r="CS638" s="567"/>
      <c r="CT638" s="567"/>
      <c r="CU638" s="567"/>
      <c r="CV638" s="567"/>
      <c r="CW638" s="567"/>
      <c r="CX638" s="567"/>
      <c r="CY638" s="567"/>
      <c r="CZ638" s="567"/>
      <c r="DA638" s="567"/>
      <c r="DB638" s="567"/>
      <c r="DC638" s="567"/>
      <c r="DD638" s="567"/>
      <c r="DE638" s="567"/>
      <c r="DF638" s="567"/>
      <c r="DG638" s="567"/>
      <c r="DH638" s="567"/>
      <c r="DI638" s="567"/>
      <c r="DJ638" s="567"/>
      <c r="DK638" s="567"/>
      <c r="DL638" s="567"/>
      <c r="DM638" s="567"/>
      <c r="DN638" s="567"/>
      <c r="DO638" s="567"/>
      <c r="DP638" s="567"/>
      <c r="DQ638" s="567"/>
      <c r="DR638" s="567"/>
      <c r="DS638" s="567"/>
      <c r="DT638" s="567"/>
      <c r="DU638" s="567"/>
      <c r="DV638" s="567"/>
      <c r="DW638" s="567"/>
      <c r="DX638" s="567"/>
      <c r="DY638" s="567"/>
      <c r="DZ638" s="567"/>
      <c r="EA638" s="567"/>
      <c r="EB638" s="567"/>
      <c r="EC638" s="567"/>
      <c r="ED638" s="567"/>
      <c r="EE638" s="567"/>
      <c r="EF638" s="567"/>
      <c r="EG638" s="567"/>
      <c r="EH638" s="567"/>
      <c r="EI638" s="567"/>
      <c r="EJ638" s="567"/>
      <c r="EK638" s="567"/>
      <c r="EL638" s="567"/>
      <c r="EM638" s="567"/>
      <c r="EN638" s="567"/>
      <c r="EO638" s="567"/>
      <c r="EP638" s="567"/>
      <c r="EQ638" s="567"/>
      <c r="ER638" s="567"/>
      <c r="ES638" s="567"/>
      <c r="ET638" s="567"/>
      <c r="EU638" s="567"/>
      <c r="EV638" s="567"/>
      <c r="EW638" s="567"/>
      <c r="EX638" s="567"/>
      <c r="EY638" s="567"/>
      <c r="EZ638" s="567"/>
      <c r="FA638" s="567"/>
      <c r="FB638" s="567"/>
      <c r="FC638" s="567"/>
      <c r="FD638" s="567"/>
      <c r="FE638" s="567"/>
      <c r="FF638" s="567"/>
      <c r="FG638" s="567"/>
      <c r="FH638" s="567"/>
      <c r="FI638" s="567"/>
      <c r="FJ638" s="567"/>
      <c r="FK638" s="567"/>
      <c r="FL638" s="567"/>
      <c r="FM638" s="567"/>
      <c r="FN638" s="567"/>
      <c r="FO638" s="567"/>
      <c r="FP638" s="567"/>
      <c r="FQ638" s="567"/>
      <c r="FR638" s="567"/>
      <c r="FS638" s="567"/>
      <c r="FT638" s="567"/>
      <c r="FU638" s="567"/>
      <c r="FV638" s="567"/>
      <c r="FW638" s="567"/>
      <c r="FX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  <c r="BW639" s="567"/>
      <c r="BX639" s="567"/>
      <c r="BY639" s="567"/>
      <c r="BZ639" s="567"/>
      <c r="CA639" s="567"/>
      <c r="CB639" s="567"/>
      <c r="CC639" s="567"/>
      <c r="CD639" s="567"/>
      <c r="CE639" s="567"/>
      <c r="CF639" s="567"/>
      <c r="CG639" s="567"/>
      <c r="CH639" s="567"/>
      <c r="CI639" s="567"/>
      <c r="CJ639" s="567"/>
      <c r="CK639" s="567"/>
      <c r="CL639" s="567"/>
      <c r="CM639" s="567"/>
      <c r="CN639" s="567"/>
      <c r="CO639" s="567"/>
      <c r="CP639" s="567"/>
      <c r="CQ639" s="567"/>
      <c r="CR639" s="567"/>
      <c r="CS639" s="567"/>
      <c r="CT639" s="567"/>
      <c r="CU639" s="567"/>
      <c r="CV639" s="567"/>
      <c r="CW639" s="567"/>
      <c r="CX639" s="567"/>
      <c r="CY639" s="567"/>
      <c r="CZ639" s="567"/>
      <c r="DA639" s="567"/>
      <c r="DB639" s="567"/>
      <c r="DC639" s="567"/>
      <c r="DD639" s="567"/>
      <c r="DE639" s="567"/>
      <c r="DF639" s="567"/>
      <c r="DG639" s="567"/>
      <c r="DH639" s="567"/>
      <c r="DI639" s="567"/>
      <c r="DJ639" s="567"/>
      <c r="DK639" s="567"/>
      <c r="DL639" s="567"/>
      <c r="DM639" s="567"/>
      <c r="DN639" s="567"/>
      <c r="DO639" s="567"/>
      <c r="DP639" s="567"/>
      <c r="DQ639" s="567"/>
      <c r="DR639" s="567"/>
      <c r="DS639" s="567"/>
      <c r="DT639" s="567"/>
      <c r="DU639" s="567"/>
      <c r="DV639" s="567"/>
      <c r="DW639" s="567"/>
      <c r="DX639" s="567"/>
      <c r="DY639" s="567"/>
      <c r="DZ639" s="567"/>
      <c r="EA639" s="567"/>
      <c r="EB639" s="567"/>
      <c r="EC639" s="567"/>
      <c r="ED639" s="567"/>
      <c r="EE639" s="567"/>
      <c r="EF639" s="567"/>
      <c r="EG639" s="567"/>
      <c r="EH639" s="567"/>
      <c r="EI639" s="567"/>
      <c r="EJ639" s="567"/>
      <c r="EK639" s="567"/>
      <c r="EL639" s="567"/>
      <c r="EM639" s="567"/>
      <c r="EN639" s="567"/>
      <c r="EO639" s="567"/>
      <c r="EP639" s="567"/>
      <c r="EQ639" s="567"/>
      <c r="ER639" s="567"/>
      <c r="ES639" s="567"/>
      <c r="ET639" s="567"/>
      <c r="EU639" s="567"/>
      <c r="EV639" s="567"/>
      <c r="EW639" s="567"/>
      <c r="EX639" s="567"/>
      <c r="EY639" s="567"/>
      <c r="EZ639" s="567"/>
      <c r="FA639" s="567"/>
      <c r="FB639" s="567"/>
      <c r="FC639" s="567"/>
      <c r="FD639" s="567"/>
      <c r="FE639" s="567"/>
      <c r="FF639" s="567"/>
      <c r="FG639" s="567"/>
      <c r="FH639" s="567"/>
      <c r="FI639" s="567"/>
      <c r="FJ639" s="567"/>
      <c r="FK639" s="567"/>
      <c r="FL639" s="567"/>
      <c r="FM639" s="567"/>
      <c r="FN639" s="567"/>
      <c r="FO639" s="567"/>
      <c r="FP639" s="567"/>
      <c r="FQ639" s="567"/>
      <c r="FR639" s="567"/>
      <c r="FS639" s="567"/>
      <c r="FT639" s="567"/>
      <c r="FU639" s="567"/>
      <c r="FV639" s="567"/>
      <c r="FW639" s="567"/>
      <c r="FX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  <c r="BW640" s="567"/>
      <c r="BX640" s="567"/>
      <c r="BY640" s="567"/>
      <c r="BZ640" s="567"/>
      <c r="CA640" s="567"/>
      <c r="CB640" s="567"/>
      <c r="CC640" s="567"/>
      <c r="CD640" s="567"/>
      <c r="CE640" s="567"/>
      <c r="CF640" s="567"/>
      <c r="CG640" s="567"/>
      <c r="CH640" s="567"/>
      <c r="CI640" s="567"/>
      <c r="CJ640" s="567"/>
      <c r="CK640" s="567"/>
      <c r="CL640" s="567"/>
      <c r="CM640" s="567"/>
      <c r="CN640" s="567"/>
      <c r="CO640" s="567"/>
      <c r="CP640" s="567"/>
      <c r="CQ640" s="567"/>
      <c r="CR640" s="567"/>
      <c r="CS640" s="567"/>
      <c r="CT640" s="567"/>
      <c r="CU640" s="567"/>
      <c r="CV640" s="567"/>
      <c r="CW640" s="567"/>
      <c r="CX640" s="567"/>
      <c r="CY640" s="567"/>
      <c r="CZ640" s="567"/>
      <c r="DA640" s="567"/>
      <c r="DB640" s="567"/>
      <c r="DC640" s="567"/>
      <c r="DD640" s="567"/>
      <c r="DE640" s="567"/>
      <c r="DF640" s="567"/>
      <c r="DG640" s="567"/>
      <c r="DH640" s="567"/>
      <c r="DI640" s="567"/>
      <c r="DJ640" s="567"/>
      <c r="DK640" s="567"/>
      <c r="DL640" s="567"/>
      <c r="DM640" s="567"/>
      <c r="DN640" s="567"/>
      <c r="DO640" s="567"/>
      <c r="DP640" s="567"/>
      <c r="DQ640" s="567"/>
      <c r="DR640" s="567"/>
      <c r="DS640" s="567"/>
      <c r="DT640" s="567"/>
      <c r="DU640" s="567"/>
      <c r="DV640" s="567"/>
      <c r="DW640" s="567"/>
      <c r="DX640" s="567"/>
      <c r="DY640" s="567"/>
      <c r="DZ640" s="567"/>
      <c r="EA640" s="567"/>
      <c r="EB640" s="567"/>
      <c r="EC640" s="567"/>
      <c r="ED640" s="567"/>
      <c r="EE640" s="567"/>
      <c r="EF640" s="567"/>
      <c r="EG640" s="567"/>
      <c r="EH640" s="567"/>
      <c r="EI640" s="567"/>
      <c r="EJ640" s="567"/>
      <c r="EK640" s="567"/>
      <c r="EL640" s="567"/>
      <c r="EM640" s="567"/>
      <c r="EN640" s="567"/>
      <c r="EO640" s="567"/>
      <c r="EP640" s="567"/>
      <c r="EQ640" s="567"/>
      <c r="ER640" s="567"/>
      <c r="ES640" s="567"/>
      <c r="ET640" s="567"/>
      <c r="EU640" s="567"/>
      <c r="EV640" s="567"/>
      <c r="EW640" s="567"/>
      <c r="EX640" s="567"/>
      <c r="EY640" s="567"/>
      <c r="EZ640" s="567"/>
      <c r="FA640" s="567"/>
      <c r="FB640" s="567"/>
      <c r="FC640" s="567"/>
      <c r="FD640" s="567"/>
      <c r="FE640" s="567"/>
      <c r="FF640" s="567"/>
      <c r="FG640" s="567"/>
      <c r="FH640" s="567"/>
      <c r="FI640" s="567"/>
      <c r="FJ640" s="567"/>
      <c r="FK640" s="567"/>
      <c r="FL640" s="567"/>
      <c r="FM640" s="567"/>
      <c r="FN640" s="567"/>
      <c r="FO640" s="567"/>
      <c r="FP640" s="567"/>
      <c r="FQ640" s="567"/>
      <c r="FR640" s="567"/>
      <c r="FS640" s="567"/>
      <c r="FT640" s="567"/>
      <c r="FU640" s="567"/>
      <c r="FV640" s="567"/>
      <c r="FW640" s="567"/>
      <c r="FX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  <c r="BW641" s="567"/>
      <c r="BX641" s="567"/>
      <c r="BY641" s="567"/>
      <c r="BZ641" s="567"/>
      <c r="CA641" s="567"/>
      <c r="CB641" s="567"/>
      <c r="CC641" s="567"/>
      <c r="CD641" s="567"/>
      <c r="CE641" s="567"/>
      <c r="CF641" s="567"/>
      <c r="CG641" s="567"/>
      <c r="CH641" s="567"/>
      <c r="CI641" s="567"/>
      <c r="CJ641" s="567"/>
      <c r="CK641" s="567"/>
      <c r="CL641" s="567"/>
      <c r="CM641" s="567"/>
      <c r="CN641" s="567"/>
      <c r="CO641" s="567"/>
      <c r="CP641" s="567"/>
      <c r="CQ641" s="567"/>
      <c r="CR641" s="567"/>
      <c r="CS641" s="567"/>
      <c r="CT641" s="567"/>
      <c r="CU641" s="567"/>
      <c r="CV641" s="567"/>
      <c r="CW641" s="567"/>
      <c r="CX641" s="567"/>
      <c r="CY641" s="567"/>
      <c r="CZ641" s="567"/>
      <c r="DA641" s="567"/>
      <c r="DB641" s="567"/>
      <c r="DC641" s="567"/>
      <c r="DD641" s="567"/>
      <c r="DE641" s="567"/>
      <c r="DF641" s="567"/>
      <c r="DG641" s="567"/>
      <c r="DH641" s="567"/>
      <c r="DI641" s="567"/>
      <c r="DJ641" s="567"/>
      <c r="DK641" s="567"/>
      <c r="DL641" s="567"/>
      <c r="DM641" s="567"/>
      <c r="DN641" s="567"/>
      <c r="DO641" s="567"/>
      <c r="DP641" s="567"/>
      <c r="DQ641" s="567"/>
      <c r="DR641" s="567"/>
      <c r="DS641" s="567"/>
      <c r="DT641" s="567"/>
      <c r="DU641" s="567"/>
      <c r="DV641" s="567"/>
      <c r="DW641" s="567"/>
      <c r="DX641" s="567"/>
      <c r="DY641" s="567"/>
      <c r="DZ641" s="567"/>
      <c r="EA641" s="567"/>
      <c r="EB641" s="567"/>
      <c r="EC641" s="567"/>
      <c r="ED641" s="567"/>
      <c r="EE641" s="567"/>
      <c r="EF641" s="567"/>
      <c r="EG641" s="567"/>
      <c r="EH641" s="567"/>
      <c r="EI641" s="567"/>
      <c r="EJ641" s="567"/>
      <c r="EK641" s="567"/>
      <c r="EL641" s="567"/>
      <c r="EM641" s="567"/>
      <c r="EN641" s="567"/>
      <c r="EO641" s="567"/>
      <c r="EP641" s="567"/>
      <c r="EQ641" s="567"/>
      <c r="ER641" s="567"/>
      <c r="ES641" s="567"/>
      <c r="ET641" s="567"/>
      <c r="EU641" s="567"/>
      <c r="EV641" s="567"/>
      <c r="EW641" s="567"/>
      <c r="EX641" s="567"/>
      <c r="EY641" s="567"/>
      <c r="EZ641" s="567"/>
      <c r="FA641" s="567"/>
      <c r="FB641" s="567"/>
      <c r="FC641" s="567"/>
      <c r="FD641" s="567"/>
      <c r="FE641" s="567"/>
      <c r="FF641" s="567"/>
      <c r="FG641" s="567"/>
      <c r="FH641" s="567"/>
      <c r="FI641" s="567"/>
      <c r="FJ641" s="567"/>
      <c r="FK641" s="567"/>
      <c r="FL641" s="567"/>
      <c r="FM641" s="567"/>
      <c r="FN641" s="567"/>
      <c r="FO641" s="567"/>
      <c r="FP641" s="567"/>
      <c r="FQ641" s="567"/>
      <c r="FR641" s="567"/>
      <c r="FS641" s="567"/>
      <c r="FT641" s="567"/>
      <c r="FU641" s="567"/>
      <c r="FV641" s="567"/>
      <c r="FW641" s="567"/>
      <c r="FX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  <c r="BW642" s="567"/>
      <c r="BX642" s="567"/>
      <c r="BY642" s="567"/>
      <c r="BZ642" s="567"/>
      <c r="CA642" s="567"/>
      <c r="CB642" s="567"/>
      <c r="CC642" s="567"/>
      <c r="CD642" s="567"/>
      <c r="CE642" s="567"/>
      <c r="CF642" s="567"/>
      <c r="CG642" s="567"/>
      <c r="CH642" s="567"/>
      <c r="CI642" s="567"/>
      <c r="CJ642" s="567"/>
      <c r="CK642" s="567"/>
      <c r="CL642" s="567"/>
      <c r="CM642" s="567"/>
      <c r="CN642" s="567"/>
      <c r="CO642" s="567"/>
      <c r="CP642" s="567"/>
      <c r="CQ642" s="567"/>
      <c r="CR642" s="567"/>
      <c r="CS642" s="567"/>
      <c r="CT642" s="567"/>
      <c r="CU642" s="567"/>
      <c r="CV642" s="567"/>
      <c r="CW642" s="567"/>
      <c r="CX642" s="567"/>
      <c r="CY642" s="567"/>
      <c r="CZ642" s="567"/>
      <c r="DA642" s="567"/>
      <c r="DB642" s="567"/>
      <c r="DC642" s="567"/>
      <c r="DD642" s="567"/>
      <c r="DE642" s="567"/>
      <c r="DF642" s="567"/>
      <c r="DG642" s="567"/>
      <c r="DH642" s="567"/>
      <c r="DI642" s="567"/>
      <c r="DJ642" s="567"/>
      <c r="DK642" s="567"/>
      <c r="DL642" s="567"/>
      <c r="DM642" s="567"/>
      <c r="DN642" s="567"/>
      <c r="DO642" s="567"/>
      <c r="DP642" s="567"/>
      <c r="DQ642" s="567"/>
      <c r="DR642" s="567"/>
      <c r="DS642" s="567"/>
      <c r="DT642" s="567"/>
      <c r="DU642" s="567"/>
      <c r="DV642" s="567"/>
      <c r="DW642" s="567"/>
      <c r="DX642" s="567"/>
      <c r="DY642" s="567"/>
      <c r="DZ642" s="567"/>
      <c r="EA642" s="567"/>
      <c r="EB642" s="567"/>
      <c r="EC642" s="567"/>
      <c r="ED642" s="567"/>
      <c r="EE642" s="567"/>
      <c r="EF642" s="567"/>
      <c r="EG642" s="567"/>
      <c r="EH642" s="567"/>
      <c r="EI642" s="567"/>
      <c r="EJ642" s="567"/>
      <c r="EK642" s="567"/>
      <c r="EL642" s="567"/>
      <c r="EM642" s="567"/>
      <c r="EN642" s="567"/>
      <c r="EO642" s="567"/>
      <c r="EP642" s="567"/>
      <c r="EQ642" s="567"/>
      <c r="ER642" s="567"/>
      <c r="ES642" s="567"/>
      <c r="ET642" s="567"/>
      <c r="EU642" s="567"/>
      <c r="EV642" s="567"/>
      <c r="EW642" s="567"/>
      <c r="EX642" s="567"/>
      <c r="EY642" s="567"/>
      <c r="EZ642" s="567"/>
      <c r="FA642" s="567"/>
      <c r="FB642" s="567"/>
      <c r="FC642" s="567"/>
      <c r="FD642" s="567"/>
      <c r="FE642" s="567"/>
      <c r="FF642" s="567"/>
      <c r="FG642" s="567"/>
      <c r="FH642" s="567"/>
      <c r="FI642" s="567"/>
      <c r="FJ642" s="567"/>
      <c r="FK642" s="567"/>
      <c r="FL642" s="567"/>
      <c r="FM642" s="567"/>
      <c r="FN642" s="567"/>
      <c r="FO642" s="567"/>
      <c r="FP642" s="567"/>
      <c r="FQ642" s="567"/>
      <c r="FR642" s="567"/>
      <c r="FS642" s="567"/>
      <c r="FT642" s="567"/>
      <c r="FU642" s="567"/>
      <c r="FV642" s="567"/>
      <c r="FW642" s="567"/>
      <c r="FX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  <c r="BW643" s="567"/>
      <c r="BX643" s="567"/>
      <c r="BY643" s="567"/>
      <c r="BZ643" s="567"/>
      <c r="CA643" s="567"/>
      <c r="CB643" s="567"/>
      <c r="CC643" s="567"/>
      <c r="CD643" s="567"/>
      <c r="CE643" s="567"/>
      <c r="CF643" s="567"/>
      <c r="CG643" s="567"/>
      <c r="CH643" s="567"/>
      <c r="CI643" s="567"/>
      <c r="CJ643" s="567"/>
      <c r="CK643" s="567"/>
      <c r="CL643" s="567"/>
      <c r="CM643" s="567"/>
      <c r="CN643" s="567"/>
      <c r="CO643" s="567"/>
      <c r="CP643" s="567"/>
      <c r="CQ643" s="567"/>
      <c r="CR643" s="567"/>
      <c r="CS643" s="567"/>
      <c r="CT643" s="567"/>
      <c r="CU643" s="567"/>
      <c r="CV643" s="567"/>
      <c r="CW643" s="567"/>
      <c r="CX643" s="567"/>
      <c r="CY643" s="567"/>
      <c r="CZ643" s="567"/>
      <c r="DA643" s="567"/>
      <c r="DB643" s="567"/>
      <c r="DC643" s="567"/>
      <c r="DD643" s="567"/>
      <c r="DE643" s="567"/>
      <c r="DF643" s="567"/>
      <c r="DG643" s="567"/>
      <c r="DH643" s="567"/>
      <c r="DI643" s="567"/>
      <c r="DJ643" s="567"/>
      <c r="DK643" s="567"/>
      <c r="DL643" s="567"/>
      <c r="DM643" s="567"/>
      <c r="DN643" s="567"/>
      <c r="DO643" s="567"/>
      <c r="DP643" s="567"/>
      <c r="DQ643" s="567"/>
      <c r="DR643" s="567"/>
      <c r="DS643" s="567"/>
      <c r="DT643" s="567"/>
      <c r="DU643" s="567"/>
      <c r="DV643" s="567"/>
      <c r="DW643" s="567"/>
      <c r="DX643" s="567"/>
      <c r="DY643" s="567"/>
      <c r="DZ643" s="567"/>
      <c r="EA643" s="567"/>
      <c r="EB643" s="567"/>
      <c r="EC643" s="567"/>
      <c r="ED643" s="567"/>
      <c r="EE643" s="567"/>
      <c r="EF643" s="567"/>
      <c r="EG643" s="567"/>
      <c r="EH643" s="567"/>
      <c r="EI643" s="567"/>
      <c r="EJ643" s="567"/>
      <c r="EK643" s="567"/>
      <c r="EL643" s="567"/>
      <c r="EM643" s="567"/>
      <c r="EN643" s="567"/>
      <c r="EO643" s="567"/>
      <c r="EP643" s="567"/>
      <c r="EQ643" s="567"/>
      <c r="ER643" s="567"/>
      <c r="ES643" s="567"/>
      <c r="ET643" s="567"/>
      <c r="EU643" s="567"/>
      <c r="EV643" s="567"/>
      <c r="EW643" s="567"/>
      <c r="EX643" s="567"/>
      <c r="EY643" s="567"/>
      <c r="EZ643" s="567"/>
      <c r="FA643" s="567"/>
      <c r="FB643" s="567"/>
      <c r="FC643" s="567"/>
      <c r="FD643" s="567"/>
      <c r="FE643" s="567"/>
      <c r="FF643" s="567"/>
      <c r="FG643" s="567"/>
      <c r="FH643" s="567"/>
      <c r="FI643" s="567"/>
      <c r="FJ643" s="567"/>
      <c r="FK643" s="567"/>
      <c r="FL643" s="567"/>
      <c r="FM643" s="567"/>
      <c r="FN643" s="567"/>
      <c r="FO643" s="567"/>
      <c r="FP643" s="567"/>
      <c r="FQ643" s="567"/>
      <c r="FR643" s="567"/>
      <c r="FS643" s="567"/>
      <c r="FT643" s="567"/>
      <c r="FU643" s="567"/>
      <c r="FV643" s="567"/>
      <c r="FW643" s="567"/>
      <c r="FX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  <c r="BW644" s="567"/>
      <c r="BX644" s="567"/>
      <c r="BY644" s="567"/>
      <c r="BZ644" s="567"/>
      <c r="CA644" s="567"/>
      <c r="CB644" s="567"/>
      <c r="CC644" s="567"/>
      <c r="CD644" s="567"/>
      <c r="CE644" s="567"/>
      <c r="CF644" s="567"/>
      <c r="CG644" s="567"/>
      <c r="CH644" s="567"/>
      <c r="CI644" s="567"/>
      <c r="CJ644" s="567"/>
      <c r="CK644" s="567"/>
      <c r="CL644" s="567"/>
      <c r="CM644" s="567"/>
      <c r="CN644" s="567"/>
      <c r="CO644" s="567"/>
      <c r="CP644" s="567"/>
      <c r="CQ644" s="567"/>
      <c r="CR644" s="567"/>
      <c r="CS644" s="567"/>
      <c r="CT644" s="567"/>
      <c r="CU644" s="567"/>
      <c r="CV644" s="567"/>
      <c r="CW644" s="567"/>
      <c r="CX644" s="567"/>
      <c r="CY644" s="567"/>
      <c r="CZ644" s="567"/>
      <c r="DA644" s="567"/>
      <c r="DB644" s="567"/>
      <c r="DC644" s="567"/>
      <c r="DD644" s="567"/>
      <c r="DE644" s="567"/>
      <c r="DF644" s="567"/>
      <c r="DG644" s="567"/>
      <c r="DH644" s="567"/>
      <c r="DI644" s="567"/>
      <c r="DJ644" s="567"/>
      <c r="DK644" s="567"/>
      <c r="DL644" s="567"/>
      <c r="DM644" s="567"/>
      <c r="DN644" s="567"/>
      <c r="DO644" s="567"/>
      <c r="DP644" s="567"/>
      <c r="DQ644" s="567"/>
      <c r="DR644" s="567"/>
      <c r="DS644" s="567"/>
      <c r="DT644" s="567"/>
      <c r="DU644" s="567"/>
      <c r="DV644" s="567"/>
      <c r="DW644" s="567"/>
      <c r="DX644" s="567"/>
      <c r="DY644" s="567"/>
      <c r="DZ644" s="567"/>
      <c r="EA644" s="567"/>
      <c r="EB644" s="567"/>
      <c r="EC644" s="567"/>
      <c r="ED644" s="567"/>
      <c r="EE644" s="567"/>
      <c r="EF644" s="567"/>
      <c r="EG644" s="567"/>
      <c r="EH644" s="567"/>
      <c r="EI644" s="567"/>
      <c r="EJ644" s="567"/>
      <c r="EK644" s="567"/>
      <c r="EL644" s="567"/>
      <c r="EM644" s="567"/>
      <c r="EN644" s="567"/>
      <c r="EO644" s="567"/>
      <c r="EP644" s="567"/>
      <c r="EQ644" s="567"/>
      <c r="ER644" s="567"/>
      <c r="ES644" s="567"/>
      <c r="ET644" s="567"/>
      <c r="EU644" s="567"/>
      <c r="EV644" s="567"/>
      <c r="EW644" s="567"/>
      <c r="EX644" s="567"/>
      <c r="EY644" s="567"/>
      <c r="EZ644" s="567"/>
      <c r="FA644" s="567"/>
      <c r="FB644" s="567"/>
      <c r="FC644" s="567"/>
      <c r="FD644" s="567"/>
      <c r="FE644" s="567"/>
      <c r="FF644" s="567"/>
      <c r="FG644" s="567"/>
      <c r="FH644" s="567"/>
      <c r="FI644" s="567"/>
      <c r="FJ644" s="567"/>
      <c r="FK644" s="567"/>
      <c r="FL644" s="567"/>
      <c r="FM644" s="567"/>
      <c r="FN644" s="567"/>
      <c r="FO644" s="567"/>
      <c r="FP644" s="567"/>
      <c r="FQ644" s="567"/>
      <c r="FR644" s="567"/>
      <c r="FS644" s="567"/>
      <c r="FT644" s="567"/>
      <c r="FU644" s="567"/>
      <c r="FV644" s="567"/>
      <c r="FW644" s="567"/>
      <c r="FX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  <c r="BW645" s="567"/>
      <c r="BX645" s="567"/>
      <c r="BY645" s="567"/>
      <c r="BZ645" s="567"/>
      <c r="CA645" s="567"/>
      <c r="CB645" s="567"/>
      <c r="CC645" s="567"/>
      <c r="CD645" s="567"/>
      <c r="CE645" s="567"/>
      <c r="CF645" s="567"/>
      <c r="CG645" s="567"/>
      <c r="CH645" s="567"/>
      <c r="CI645" s="567"/>
      <c r="CJ645" s="567"/>
      <c r="CK645" s="567"/>
      <c r="CL645" s="567"/>
      <c r="CM645" s="567"/>
      <c r="CN645" s="567"/>
      <c r="CO645" s="567"/>
      <c r="CP645" s="567"/>
      <c r="CQ645" s="567"/>
      <c r="CR645" s="567"/>
      <c r="CS645" s="567"/>
      <c r="CT645" s="567"/>
      <c r="CU645" s="567"/>
      <c r="CV645" s="567"/>
      <c r="CW645" s="567"/>
      <c r="CX645" s="567"/>
      <c r="CY645" s="567"/>
      <c r="CZ645" s="567"/>
      <c r="DA645" s="567"/>
      <c r="DB645" s="567"/>
      <c r="DC645" s="567"/>
      <c r="DD645" s="567"/>
      <c r="DE645" s="567"/>
      <c r="DF645" s="567"/>
      <c r="DG645" s="567"/>
      <c r="DH645" s="567"/>
      <c r="DI645" s="567"/>
      <c r="DJ645" s="567"/>
      <c r="DK645" s="567"/>
      <c r="DL645" s="567"/>
      <c r="DM645" s="567"/>
      <c r="DN645" s="567"/>
      <c r="DO645" s="567"/>
      <c r="DP645" s="567"/>
      <c r="DQ645" s="567"/>
      <c r="DR645" s="567"/>
      <c r="DS645" s="567"/>
      <c r="DT645" s="567"/>
      <c r="DU645" s="567"/>
      <c r="DV645" s="567"/>
      <c r="DW645" s="567"/>
      <c r="DX645" s="567"/>
      <c r="DY645" s="567"/>
      <c r="DZ645" s="567"/>
      <c r="EA645" s="567"/>
      <c r="EB645" s="567"/>
      <c r="EC645" s="567"/>
      <c r="ED645" s="567"/>
      <c r="EE645" s="567"/>
      <c r="EF645" s="567"/>
      <c r="EG645" s="567"/>
      <c r="EH645" s="567"/>
      <c r="EI645" s="567"/>
      <c r="EJ645" s="567"/>
      <c r="EK645" s="567"/>
      <c r="EL645" s="567"/>
      <c r="EM645" s="567"/>
      <c r="EN645" s="567"/>
      <c r="EO645" s="567"/>
      <c r="EP645" s="567"/>
      <c r="EQ645" s="567"/>
      <c r="ER645" s="567"/>
      <c r="ES645" s="567"/>
      <c r="ET645" s="567"/>
      <c r="EU645" s="567"/>
      <c r="EV645" s="567"/>
      <c r="EW645" s="567"/>
      <c r="EX645" s="567"/>
      <c r="EY645" s="567"/>
      <c r="EZ645" s="567"/>
      <c r="FA645" s="567"/>
      <c r="FB645" s="567"/>
      <c r="FC645" s="567"/>
      <c r="FD645" s="567"/>
      <c r="FE645" s="567"/>
      <c r="FF645" s="567"/>
      <c r="FG645" s="567"/>
      <c r="FH645" s="567"/>
      <c r="FI645" s="567"/>
      <c r="FJ645" s="567"/>
      <c r="FK645" s="567"/>
      <c r="FL645" s="567"/>
      <c r="FM645" s="567"/>
      <c r="FN645" s="567"/>
      <c r="FO645" s="567"/>
      <c r="FP645" s="567"/>
      <c r="FQ645" s="567"/>
      <c r="FR645" s="567"/>
      <c r="FS645" s="567"/>
      <c r="FT645" s="567"/>
      <c r="FU645" s="567"/>
      <c r="FV645" s="567"/>
      <c r="FW645" s="567"/>
      <c r="FX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  <c r="BW646" s="567"/>
      <c r="BX646" s="567"/>
      <c r="BY646" s="567"/>
      <c r="BZ646" s="567"/>
      <c r="CA646" s="567"/>
      <c r="CB646" s="567"/>
      <c r="CC646" s="567"/>
      <c r="CD646" s="567"/>
      <c r="CE646" s="567"/>
      <c r="CF646" s="567"/>
      <c r="CG646" s="567"/>
      <c r="CH646" s="567"/>
      <c r="CI646" s="567"/>
      <c r="CJ646" s="567"/>
      <c r="CK646" s="567"/>
      <c r="CL646" s="567"/>
      <c r="CM646" s="567"/>
      <c r="CN646" s="567"/>
      <c r="CO646" s="567"/>
      <c r="CP646" s="567"/>
      <c r="CQ646" s="567"/>
      <c r="CR646" s="567"/>
      <c r="CS646" s="567"/>
      <c r="CT646" s="567"/>
      <c r="CU646" s="567"/>
      <c r="CV646" s="567"/>
      <c r="CW646" s="567"/>
      <c r="CX646" s="567"/>
      <c r="CY646" s="567"/>
      <c r="CZ646" s="567"/>
      <c r="DA646" s="567"/>
      <c r="DB646" s="567"/>
      <c r="DC646" s="567"/>
      <c r="DD646" s="567"/>
      <c r="DE646" s="567"/>
      <c r="DF646" s="567"/>
      <c r="DG646" s="567"/>
      <c r="DH646" s="567"/>
      <c r="DI646" s="567"/>
      <c r="DJ646" s="567"/>
      <c r="DK646" s="567"/>
      <c r="DL646" s="567"/>
      <c r="DM646" s="567"/>
      <c r="DN646" s="567"/>
      <c r="DO646" s="567"/>
      <c r="DP646" s="567"/>
      <c r="DQ646" s="567"/>
      <c r="DR646" s="567"/>
      <c r="DS646" s="567"/>
      <c r="DT646" s="567"/>
      <c r="DU646" s="567"/>
      <c r="DV646" s="567"/>
      <c r="DW646" s="567"/>
      <c r="DX646" s="567"/>
      <c r="DY646" s="567"/>
      <c r="DZ646" s="567"/>
      <c r="EA646" s="567"/>
      <c r="EB646" s="567"/>
      <c r="EC646" s="567"/>
      <c r="ED646" s="567"/>
      <c r="EE646" s="567"/>
      <c r="EF646" s="567"/>
      <c r="EG646" s="567"/>
      <c r="EH646" s="567"/>
      <c r="EI646" s="567"/>
      <c r="EJ646" s="567"/>
      <c r="EK646" s="567"/>
      <c r="EL646" s="567"/>
      <c r="EM646" s="567"/>
      <c r="EN646" s="567"/>
      <c r="EO646" s="567"/>
      <c r="EP646" s="567"/>
      <c r="EQ646" s="567"/>
      <c r="ER646" s="567"/>
      <c r="ES646" s="567"/>
      <c r="ET646" s="567"/>
      <c r="EU646" s="567"/>
      <c r="EV646" s="567"/>
      <c r="EW646" s="567"/>
      <c r="EX646" s="567"/>
      <c r="EY646" s="567"/>
      <c r="EZ646" s="567"/>
      <c r="FA646" s="567"/>
      <c r="FB646" s="567"/>
      <c r="FC646" s="567"/>
      <c r="FD646" s="567"/>
      <c r="FE646" s="567"/>
      <c r="FF646" s="567"/>
      <c r="FG646" s="567"/>
      <c r="FH646" s="567"/>
      <c r="FI646" s="567"/>
      <c r="FJ646" s="567"/>
      <c r="FK646" s="567"/>
      <c r="FL646" s="567"/>
      <c r="FM646" s="567"/>
      <c r="FN646" s="567"/>
      <c r="FO646" s="567"/>
      <c r="FP646" s="567"/>
      <c r="FQ646" s="567"/>
      <c r="FR646" s="567"/>
      <c r="FS646" s="567"/>
      <c r="FT646" s="567"/>
      <c r="FU646" s="567"/>
      <c r="FV646" s="567"/>
      <c r="FW646" s="567"/>
      <c r="FX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  <c r="BW647" s="567"/>
      <c r="BX647" s="567"/>
      <c r="BY647" s="567"/>
      <c r="BZ647" s="567"/>
      <c r="CA647" s="567"/>
      <c r="CB647" s="567"/>
      <c r="CC647" s="567"/>
      <c r="CD647" s="567"/>
      <c r="CE647" s="567"/>
      <c r="CF647" s="567"/>
      <c r="CG647" s="567"/>
      <c r="CH647" s="567"/>
      <c r="CI647" s="567"/>
      <c r="CJ647" s="567"/>
      <c r="CK647" s="567"/>
      <c r="CL647" s="567"/>
      <c r="CM647" s="567"/>
      <c r="CN647" s="567"/>
      <c r="CO647" s="567"/>
      <c r="CP647" s="567"/>
      <c r="CQ647" s="567"/>
      <c r="CR647" s="567"/>
      <c r="CS647" s="567"/>
      <c r="CT647" s="567"/>
      <c r="CU647" s="567"/>
      <c r="CV647" s="567"/>
      <c r="CW647" s="567"/>
      <c r="CX647" s="567"/>
      <c r="CY647" s="567"/>
      <c r="CZ647" s="567"/>
      <c r="DA647" s="567"/>
      <c r="DB647" s="567"/>
      <c r="DC647" s="567"/>
      <c r="DD647" s="567"/>
      <c r="DE647" s="567"/>
      <c r="DF647" s="567"/>
      <c r="DG647" s="567"/>
      <c r="DH647" s="567"/>
      <c r="DI647" s="567"/>
      <c r="DJ647" s="567"/>
      <c r="DK647" s="567"/>
      <c r="DL647" s="567"/>
      <c r="DM647" s="567"/>
      <c r="DN647" s="567"/>
      <c r="DO647" s="567"/>
      <c r="DP647" s="567"/>
      <c r="DQ647" s="567"/>
      <c r="DR647" s="567"/>
      <c r="DS647" s="567"/>
      <c r="DT647" s="567"/>
      <c r="DU647" s="567"/>
      <c r="DV647" s="567"/>
      <c r="DW647" s="567"/>
      <c r="DX647" s="567"/>
      <c r="DY647" s="567"/>
      <c r="DZ647" s="567"/>
      <c r="EA647" s="567"/>
      <c r="EB647" s="567"/>
      <c r="EC647" s="567"/>
      <c r="ED647" s="567"/>
      <c r="EE647" s="567"/>
      <c r="EF647" s="567"/>
      <c r="EG647" s="567"/>
      <c r="EH647" s="567"/>
      <c r="EI647" s="567"/>
      <c r="EJ647" s="567"/>
      <c r="EK647" s="567"/>
      <c r="EL647" s="567"/>
      <c r="EM647" s="567"/>
      <c r="EN647" s="567"/>
      <c r="EO647" s="567"/>
      <c r="EP647" s="567"/>
      <c r="EQ647" s="567"/>
      <c r="ER647" s="567"/>
      <c r="ES647" s="567"/>
      <c r="ET647" s="567"/>
      <c r="EU647" s="567"/>
      <c r="EV647" s="567"/>
      <c r="EW647" s="567"/>
      <c r="EX647" s="567"/>
      <c r="EY647" s="567"/>
      <c r="EZ647" s="567"/>
      <c r="FA647" s="567"/>
      <c r="FB647" s="567"/>
      <c r="FC647" s="567"/>
      <c r="FD647" s="567"/>
      <c r="FE647" s="567"/>
      <c r="FF647" s="567"/>
      <c r="FG647" s="567"/>
      <c r="FH647" s="567"/>
      <c r="FI647" s="567"/>
      <c r="FJ647" s="567"/>
      <c r="FK647" s="567"/>
      <c r="FL647" s="567"/>
      <c r="FM647" s="567"/>
      <c r="FN647" s="567"/>
      <c r="FO647" s="567"/>
      <c r="FP647" s="567"/>
      <c r="FQ647" s="567"/>
      <c r="FR647" s="567"/>
      <c r="FS647" s="567"/>
      <c r="FT647" s="567"/>
      <c r="FU647" s="567"/>
      <c r="FV647" s="567"/>
      <c r="FW647" s="567"/>
      <c r="FX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  <c r="BW648" s="567"/>
      <c r="BX648" s="567"/>
      <c r="BY648" s="567"/>
      <c r="BZ648" s="567"/>
      <c r="CA648" s="567"/>
      <c r="CB648" s="567"/>
      <c r="CC648" s="567"/>
      <c r="CD648" s="567"/>
      <c r="CE648" s="567"/>
      <c r="CF648" s="567"/>
      <c r="CG648" s="567"/>
      <c r="CH648" s="567"/>
      <c r="CI648" s="567"/>
      <c r="CJ648" s="567"/>
      <c r="CK648" s="567"/>
      <c r="CL648" s="567"/>
      <c r="CM648" s="567"/>
      <c r="CN648" s="567"/>
      <c r="CO648" s="567"/>
      <c r="CP648" s="567"/>
      <c r="CQ648" s="567"/>
      <c r="CR648" s="567"/>
      <c r="CS648" s="567"/>
      <c r="CT648" s="567"/>
      <c r="CU648" s="567"/>
      <c r="CV648" s="567"/>
      <c r="CW648" s="567"/>
      <c r="CX648" s="567"/>
      <c r="CY648" s="567"/>
      <c r="CZ648" s="567"/>
      <c r="DA648" s="567"/>
      <c r="DB648" s="567"/>
      <c r="DC648" s="567"/>
      <c r="DD648" s="567"/>
      <c r="DE648" s="567"/>
      <c r="DF648" s="567"/>
      <c r="DG648" s="567"/>
      <c r="DH648" s="567"/>
      <c r="DI648" s="567"/>
      <c r="DJ648" s="567"/>
      <c r="DK648" s="567"/>
      <c r="DL648" s="567"/>
      <c r="DM648" s="567"/>
      <c r="DN648" s="567"/>
      <c r="DO648" s="567"/>
      <c r="DP648" s="567"/>
      <c r="DQ648" s="567"/>
      <c r="DR648" s="567"/>
      <c r="DS648" s="567"/>
      <c r="DT648" s="567"/>
      <c r="DU648" s="567"/>
      <c r="DV648" s="567"/>
      <c r="DW648" s="567"/>
      <c r="DX648" s="567"/>
      <c r="DY648" s="567"/>
      <c r="DZ648" s="567"/>
      <c r="EA648" s="567"/>
      <c r="EB648" s="567"/>
      <c r="EC648" s="567"/>
      <c r="ED648" s="567"/>
      <c r="EE648" s="567"/>
      <c r="EF648" s="567"/>
      <c r="EG648" s="567"/>
      <c r="EH648" s="567"/>
      <c r="EI648" s="567"/>
      <c r="EJ648" s="567"/>
      <c r="EK648" s="567"/>
      <c r="EL648" s="567"/>
      <c r="EM648" s="567"/>
      <c r="EN648" s="567"/>
      <c r="EO648" s="567"/>
      <c r="EP648" s="567"/>
      <c r="EQ648" s="567"/>
      <c r="ER648" s="567"/>
      <c r="ES648" s="567"/>
      <c r="ET648" s="567"/>
      <c r="EU648" s="567"/>
      <c r="EV648" s="567"/>
      <c r="EW648" s="567"/>
      <c r="EX648" s="567"/>
      <c r="EY648" s="567"/>
      <c r="EZ648" s="567"/>
      <c r="FA648" s="567"/>
      <c r="FB648" s="567"/>
      <c r="FC648" s="567"/>
      <c r="FD648" s="567"/>
      <c r="FE648" s="567"/>
      <c r="FF648" s="567"/>
      <c r="FG648" s="567"/>
      <c r="FH648" s="567"/>
      <c r="FI648" s="567"/>
      <c r="FJ648" s="567"/>
      <c r="FK648" s="567"/>
      <c r="FL648" s="567"/>
      <c r="FM648" s="567"/>
      <c r="FN648" s="567"/>
      <c r="FO648" s="567"/>
      <c r="FP648" s="567"/>
      <c r="FQ648" s="567"/>
      <c r="FR648" s="567"/>
      <c r="FS648" s="567"/>
      <c r="FT648" s="567"/>
      <c r="FU648" s="567"/>
      <c r="FV648" s="567"/>
      <c r="FW648" s="567"/>
      <c r="FX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  <c r="BW649" s="567"/>
      <c r="BX649" s="567"/>
      <c r="BY649" s="567"/>
      <c r="BZ649" s="567"/>
      <c r="CA649" s="567"/>
      <c r="CB649" s="567"/>
      <c r="CC649" s="567"/>
      <c r="CD649" s="567"/>
      <c r="CE649" s="567"/>
      <c r="CF649" s="567"/>
      <c r="CG649" s="567"/>
      <c r="CH649" s="567"/>
      <c r="CI649" s="567"/>
      <c r="CJ649" s="567"/>
      <c r="CK649" s="567"/>
      <c r="CL649" s="567"/>
      <c r="CM649" s="567"/>
      <c r="CN649" s="567"/>
      <c r="CO649" s="567"/>
      <c r="CP649" s="567"/>
      <c r="CQ649" s="567"/>
      <c r="CR649" s="567"/>
      <c r="CS649" s="567"/>
      <c r="CT649" s="567"/>
      <c r="CU649" s="567"/>
      <c r="CV649" s="567"/>
      <c r="CW649" s="567"/>
      <c r="CX649" s="567"/>
      <c r="CY649" s="567"/>
      <c r="CZ649" s="567"/>
      <c r="DA649" s="567"/>
      <c r="DB649" s="567"/>
      <c r="DC649" s="567"/>
      <c r="DD649" s="567"/>
      <c r="DE649" s="567"/>
      <c r="DF649" s="567"/>
      <c r="DG649" s="567"/>
      <c r="DH649" s="567"/>
      <c r="DI649" s="567"/>
      <c r="DJ649" s="567"/>
      <c r="DK649" s="567"/>
      <c r="DL649" s="567"/>
      <c r="DM649" s="567"/>
      <c r="DN649" s="567"/>
      <c r="DO649" s="567"/>
      <c r="DP649" s="567"/>
      <c r="DQ649" s="567"/>
      <c r="DR649" s="567"/>
      <c r="DS649" s="567"/>
      <c r="DT649" s="567"/>
      <c r="DU649" s="567"/>
      <c r="DV649" s="567"/>
      <c r="DW649" s="567"/>
      <c r="DX649" s="567"/>
      <c r="DY649" s="567"/>
      <c r="DZ649" s="567"/>
      <c r="EA649" s="567"/>
      <c r="EB649" s="567"/>
      <c r="EC649" s="567"/>
      <c r="ED649" s="567"/>
      <c r="EE649" s="567"/>
      <c r="EF649" s="567"/>
      <c r="EG649" s="567"/>
      <c r="EH649" s="567"/>
      <c r="EI649" s="567"/>
      <c r="EJ649" s="567"/>
      <c r="EK649" s="567"/>
      <c r="EL649" s="567"/>
      <c r="EM649" s="567"/>
      <c r="EN649" s="567"/>
      <c r="EO649" s="567"/>
      <c r="EP649" s="567"/>
      <c r="EQ649" s="567"/>
      <c r="ER649" s="567"/>
      <c r="ES649" s="567"/>
      <c r="ET649" s="567"/>
      <c r="EU649" s="567"/>
      <c r="EV649" s="567"/>
      <c r="EW649" s="567"/>
      <c r="EX649" s="567"/>
      <c r="EY649" s="567"/>
      <c r="EZ649" s="567"/>
      <c r="FA649" s="567"/>
      <c r="FB649" s="567"/>
      <c r="FC649" s="567"/>
      <c r="FD649" s="567"/>
      <c r="FE649" s="567"/>
      <c r="FF649" s="567"/>
      <c r="FG649" s="567"/>
      <c r="FH649" s="567"/>
      <c r="FI649" s="567"/>
      <c r="FJ649" s="567"/>
      <c r="FK649" s="567"/>
      <c r="FL649" s="567"/>
      <c r="FM649" s="567"/>
      <c r="FN649" s="567"/>
      <c r="FO649" s="567"/>
      <c r="FP649" s="567"/>
      <c r="FQ649" s="567"/>
      <c r="FR649" s="567"/>
      <c r="FS649" s="567"/>
      <c r="FT649" s="567"/>
      <c r="FU649" s="567"/>
      <c r="FV649" s="567"/>
      <c r="FW649" s="567"/>
      <c r="FX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  <c r="BW650" s="567"/>
      <c r="BX650" s="567"/>
      <c r="BY650" s="567"/>
      <c r="BZ650" s="567"/>
      <c r="CA650" s="567"/>
      <c r="CB650" s="567"/>
      <c r="CC650" s="567"/>
      <c r="CD650" s="567"/>
      <c r="CE650" s="567"/>
      <c r="CF650" s="567"/>
      <c r="CG650" s="567"/>
      <c r="CH650" s="567"/>
      <c r="CI650" s="567"/>
      <c r="CJ650" s="567"/>
      <c r="CK650" s="567"/>
      <c r="CL650" s="567"/>
      <c r="CM650" s="567"/>
      <c r="CN650" s="567"/>
      <c r="CO650" s="567"/>
      <c r="CP650" s="567"/>
      <c r="CQ650" s="567"/>
      <c r="CR650" s="567"/>
      <c r="CS650" s="567"/>
      <c r="CT650" s="567"/>
      <c r="CU650" s="567"/>
      <c r="CV650" s="567"/>
      <c r="CW650" s="567"/>
      <c r="CX650" s="567"/>
      <c r="CY650" s="567"/>
      <c r="CZ650" s="567"/>
      <c r="DA650" s="567"/>
      <c r="DB650" s="567"/>
      <c r="DC650" s="567"/>
      <c r="DD650" s="567"/>
      <c r="DE650" s="567"/>
      <c r="DF650" s="567"/>
      <c r="DG650" s="567"/>
      <c r="DH650" s="567"/>
      <c r="DI650" s="567"/>
      <c r="DJ650" s="567"/>
      <c r="DK650" s="567"/>
      <c r="DL650" s="567"/>
      <c r="DM650" s="567"/>
      <c r="DN650" s="567"/>
      <c r="DO650" s="567"/>
      <c r="DP650" s="567"/>
      <c r="DQ650" s="567"/>
      <c r="DR650" s="567"/>
      <c r="DS650" s="567"/>
      <c r="DT650" s="567"/>
      <c r="DU650" s="567"/>
      <c r="DV650" s="567"/>
      <c r="DW650" s="567"/>
      <c r="DX650" s="567"/>
      <c r="DY650" s="567"/>
      <c r="DZ650" s="567"/>
      <c r="EA650" s="567"/>
      <c r="EB650" s="567"/>
      <c r="EC650" s="567"/>
      <c r="ED650" s="567"/>
      <c r="EE650" s="567"/>
      <c r="EF650" s="567"/>
      <c r="EG650" s="567"/>
      <c r="EH650" s="567"/>
      <c r="EI650" s="567"/>
      <c r="EJ650" s="567"/>
      <c r="EK650" s="567"/>
      <c r="EL650" s="567"/>
      <c r="EM650" s="567"/>
      <c r="EN650" s="567"/>
      <c r="EO650" s="567"/>
      <c r="EP650" s="567"/>
      <c r="EQ650" s="567"/>
      <c r="ER650" s="567"/>
      <c r="ES650" s="567"/>
      <c r="ET650" s="567"/>
      <c r="EU650" s="567"/>
      <c r="EV650" s="567"/>
      <c r="EW650" s="567"/>
      <c r="EX650" s="567"/>
      <c r="EY650" s="567"/>
      <c r="EZ650" s="567"/>
      <c r="FA650" s="567"/>
      <c r="FB650" s="567"/>
      <c r="FC650" s="567"/>
      <c r="FD650" s="567"/>
      <c r="FE650" s="567"/>
      <c r="FF650" s="567"/>
      <c r="FG650" s="567"/>
      <c r="FH650" s="567"/>
      <c r="FI650" s="567"/>
      <c r="FJ650" s="567"/>
      <c r="FK650" s="567"/>
      <c r="FL650" s="567"/>
      <c r="FM650" s="567"/>
      <c r="FN650" s="567"/>
      <c r="FO650" s="567"/>
      <c r="FP650" s="567"/>
      <c r="FQ650" s="567"/>
      <c r="FR650" s="567"/>
      <c r="FS650" s="567"/>
      <c r="FT650" s="567"/>
      <c r="FU650" s="567"/>
      <c r="FV650" s="567"/>
      <c r="FW650" s="567"/>
      <c r="FX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  <c r="BW651" s="567"/>
      <c r="BX651" s="567"/>
      <c r="BY651" s="567"/>
      <c r="BZ651" s="567"/>
      <c r="CA651" s="567"/>
      <c r="CB651" s="567"/>
      <c r="CC651" s="567"/>
      <c r="CD651" s="567"/>
      <c r="CE651" s="567"/>
      <c r="CF651" s="567"/>
      <c r="CG651" s="567"/>
      <c r="CH651" s="567"/>
      <c r="CI651" s="567"/>
      <c r="CJ651" s="567"/>
      <c r="CK651" s="567"/>
      <c r="CL651" s="567"/>
      <c r="CM651" s="567"/>
      <c r="CN651" s="567"/>
      <c r="CO651" s="567"/>
      <c r="CP651" s="567"/>
      <c r="CQ651" s="567"/>
      <c r="CR651" s="567"/>
      <c r="CS651" s="567"/>
      <c r="CT651" s="567"/>
      <c r="CU651" s="567"/>
      <c r="CV651" s="567"/>
      <c r="CW651" s="567"/>
      <c r="CX651" s="567"/>
      <c r="CY651" s="567"/>
      <c r="CZ651" s="567"/>
      <c r="DA651" s="567"/>
      <c r="DB651" s="567"/>
      <c r="DC651" s="567"/>
      <c r="DD651" s="567"/>
      <c r="DE651" s="567"/>
      <c r="DF651" s="567"/>
      <c r="DG651" s="567"/>
      <c r="DH651" s="567"/>
      <c r="DI651" s="567"/>
      <c r="DJ651" s="567"/>
      <c r="DK651" s="567"/>
      <c r="DL651" s="567"/>
      <c r="DM651" s="567"/>
      <c r="DN651" s="567"/>
      <c r="DO651" s="567"/>
      <c r="DP651" s="567"/>
      <c r="DQ651" s="567"/>
      <c r="DR651" s="567"/>
      <c r="DS651" s="567"/>
      <c r="DT651" s="567"/>
      <c r="DU651" s="567"/>
      <c r="DV651" s="567"/>
      <c r="DW651" s="567"/>
      <c r="DX651" s="567"/>
      <c r="DY651" s="567"/>
      <c r="DZ651" s="567"/>
      <c r="EA651" s="567"/>
      <c r="EB651" s="567"/>
      <c r="EC651" s="567"/>
      <c r="ED651" s="567"/>
      <c r="EE651" s="567"/>
      <c r="EF651" s="567"/>
      <c r="EG651" s="567"/>
      <c r="EH651" s="567"/>
      <c r="EI651" s="567"/>
      <c r="EJ651" s="567"/>
      <c r="EK651" s="567"/>
      <c r="EL651" s="567"/>
      <c r="EM651" s="567"/>
      <c r="EN651" s="567"/>
      <c r="EO651" s="567"/>
      <c r="EP651" s="567"/>
      <c r="EQ651" s="567"/>
      <c r="ER651" s="567"/>
      <c r="ES651" s="567"/>
      <c r="ET651" s="567"/>
      <c r="EU651" s="567"/>
      <c r="EV651" s="567"/>
      <c r="EW651" s="567"/>
      <c r="EX651" s="567"/>
      <c r="EY651" s="567"/>
      <c r="EZ651" s="567"/>
      <c r="FA651" s="567"/>
      <c r="FB651" s="567"/>
      <c r="FC651" s="567"/>
      <c r="FD651" s="567"/>
      <c r="FE651" s="567"/>
      <c r="FF651" s="567"/>
      <c r="FG651" s="567"/>
      <c r="FH651" s="567"/>
      <c r="FI651" s="567"/>
      <c r="FJ651" s="567"/>
      <c r="FK651" s="567"/>
      <c r="FL651" s="567"/>
      <c r="FM651" s="567"/>
      <c r="FN651" s="567"/>
      <c r="FO651" s="567"/>
      <c r="FP651" s="567"/>
      <c r="FQ651" s="567"/>
      <c r="FR651" s="567"/>
      <c r="FS651" s="567"/>
      <c r="FT651" s="567"/>
      <c r="FU651" s="567"/>
      <c r="FV651" s="567"/>
      <c r="FW651" s="567"/>
      <c r="FX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  <c r="BW652" s="567"/>
      <c r="BX652" s="567"/>
      <c r="BY652" s="567"/>
      <c r="BZ652" s="567"/>
      <c r="CA652" s="567"/>
      <c r="CB652" s="567"/>
      <c r="CC652" s="567"/>
      <c r="CD652" s="567"/>
      <c r="CE652" s="567"/>
      <c r="CF652" s="567"/>
      <c r="CG652" s="567"/>
      <c r="CH652" s="567"/>
      <c r="CI652" s="567"/>
      <c r="CJ652" s="567"/>
      <c r="CK652" s="567"/>
      <c r="CL652" s="567"/>
      <c r="CM652" s="567"/>
      <c r="CN652" s="567"/>
      <c r="CO652" s="567"/>
      <c r="CP652" s="567"/>
      <c r="CQ652" s="567"/>
      <c r="CR652" s="567"/>
      <c r="CS652" s="567"/>
      <c r="CT652" s="567"/>
      <c r="CU652" s="567"/>
      <c r="CV652" s="567"/>
      <c r="CW652" s="567"/>
      <c r="CX652" s="567"/>
      <c r="CY652" s="567"/>
      <c r="CZ652" s="567"/>
      <c r="DA652" s="567"/>
      <c r="DB652" s="567"/>
      <c r="DC652" s="567"/>
      <c r="DD652" s="567"/>
      <c r="DE652" s="567"/>
      <c r="DF652" s="567"/>
      <c r="DG652" s="567"/>
      <c r="DH652" s="567"/>
      <c r="DI652" s="567"/>
      <c r="DJ652" s="567"/>
      <c r="DK652" s="567"/>
      <c r="DL652" s="567"/>
      <c r="DM652" s="567"/>
      <c r="DN652" s="567"/>
      <c r="DO652" s="567"/>
      <c r="DP652" s="567"/>
      <c r="DQ652" s="567"/>
      <c r="DR652" s="567"/>
      <c r="DS652" s="567"/>
      <c r="DT652" s="567"/>
      <c r="DU652" s="567"/>
      <c r="DV652" s="567"/>
      <c r="DW652" s="567"/>
      <c r="DX652" s="567"/>
      <c r="DY652" s="567"/>
      <c r="DZ652" s="567"/>
      <c r="EA652" s="567"/>
      <c r="EB652" s="567"/>
      <c r="EC652" s="567"/>
      <c r="ED652" s="567"/>
      <c r="EE652" s="567"/>
      <c r="EF652" s="567"/>
      <c r="EG652" s="567"/>
      <c r="EH652" s="567"/>
      <c r="EI652" s="567"/>
      <c r="EJ652" s="567"/>
      <c r="EK652" s="567"/>
      <c r="EL652" s="567"/>
      <c r="EM652" s="567"/>
      <c r="EN652" s="567"/>
      <c r="EO652" s="567"/>
      <c r="EP652" s="567"/>
      <c r="EQ652" s="567"/>
      <c r="ER652" s="567"/>
      <c r="ES652" s="567"/>
      <c r="ET652" s="567"/>
      <c r="EU652" s="567"/>
      <c r="EV652" s="567"/>
      <c r="EW652" s="567"/>
      <c r="EX652" s="567"/>
      <c r="EY652" s="567"/>
      <c r="EZ652" s="567"/>
      <c r="FA652" s="567"/>
      <c r="FB652" s="567"/>
      <c r="FC652" s="567"/>
      <c r="FD652" s="567"/>
      <c r="FE652" s="567"/>
      <c r="FF652" s="567"/>
      <c r="FG652" s="567"/>
      <c r="FH652" s="567"/>
      <c r="FI652" s="567"/>
      <c r="FJ652" s="567"/>
      <c r="FK652" s="567"/>
      <c r="FL652" s="567"/>
      <c r="FM652" s="567"/>
      <c r="FN652" s="567"/>
      <c r="FO652" s="567"/>
      <c r="FP652" s="567"/>
      <c r="FQ652" s="567"/>
      <c r="FR652" s="567"/>
      <c r="FS652" s="567"/>
      <c r="FT652" s="567"/>
      <c r="FU652" s="567"/>
      <c r="FV652" s="567"/>
      <c r="FW652" s="567"/>
      <c r="FX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  <c r="BW653" s="567"/>
      <c r="BX653" s="567"/>
      <c r="BY653" s="567"/>
      <c r="BZ653" s="567"/>
      <c r="CA653" s="567"/>
      <c r="CB653" s="567"/>
      <c r="CC653" s="567"/>
      <c r="CD653" s="567"/>
      <c r="CE653" s="567"/>
      <c r="CF653" s="567"/>
      <c r="CG653" s="567"/>
      <c r="CH653" s="567"/>
      <c r="CI653" s="567"/>
      <c r="CJ653" s="567"/>
      <c r="CK653" s="567"/>
      <c r="CL653" s="567"/>
      <c r="CM653" s="567"/>
      <c r="CN653" s="567"/>
      <c r="CO653" s="567"/>
      <c r="CP653" s="567"/>
      <c r="CQ653" s="567"/>
      <c r="CR653" s="567"/>
      <c r="CS653" s="567"/>
      <c r="CT653" s="567"/>
      <c r="CU653" s="567"/>
      <c r="CV653" s="567"/>
      <c r="CW653" s="567"/>
      <c r="CX653" s="567"/>
      <c r="CY653" s="567"/>
      <c r="CZ653" s="567"/>
      <c r="DA653" s="567"/>
      <c r="DB653" s="567"/>
      <c r="DC653" s="567"/>
      <c r="DD653" s="567"/>
      <c r="DE653" s="567"/>
      <c r="DF653" s="567"/>
      <c r="DG653" s="567"/>
      <c r="DH653" s="567"/>
      <c r="DI653" s="567"/>
      <c r="DJ653" s="567"/>
      <c r="DK653" s="567"/>
      <c r="DL653" s="567"/>
      <c r="DM653" s="567"/>
      <c r="DN653" s="567"/>
      <c r="DO653" s="567"/>
      <c r="DP653" s="567"/>
      <c r="DQ653" s="567"/>
      <c r="DR653" s="567"/>
      <c r="DS653" s="567"/>
      <c r="DT653" s="567"/>
      <c r="DU653" s="567"/>
      <c r="DV653" s="567"/>
      <c r="DW653" s="567"/>
      <c r="DX653" s="567"/>
      <c r="DY653" s="567"/>
      <c r="DZ653" s="567"/>
      <c r="EA653" s="567"/>
      <c r="EB653" s="567"/>
      <c r="EC653" s="567"/>
      <c r="ED653" s="567"/>
      <c r="EE653" s="567"/>
      <c r="EF653" s="567"/>
      <c r="EG653" s="567"/>
      <c r="EH653" s="567"/>
      <c r="EI653" s="567"/>
      <c r="EJ653" s="567"/>
      <c r="EK653" s="567"/>
      <c r="EL653" s="567"/>
      <c r="EM653" s="567"/>
      <c r="EN653" s="567"/>
      <c r="EO653" s="567"/>
      <c r="EP653" s="567"/>
      <c r="EQ653" s="567"/>
      <c r="ER653" s="567"/>
      <c r="ES653" s="567"/>
      <c r="ET653" s="567"/>
      <c r="EU653" s="567"/>
      <c r="EV653" s="567"/>
      <c r="EW653" s="567"/>
      <c r="EX653" s="567"/>
      <c r="EY653" s="567"/>
      <c r="EZ653" s="567"/>
      <c r="FA653" s="567"/>
      <c r="FB653" s="567"/>
      <c r="FC653" s="567"/>
      <c r="FD653" s="567"/>
      <c r="FE653" s="567"/>
      <c r="FF653" s="567"/>
      <c r="FG653" s="567"/>
      <c r="FH653" s="567"/>
      <c r="FI653" s="567"/>
      <c r="FJ653" s="567"/>
      <c r="FK653" s="567"/>
      <c r="FL653" s="567"/>
      <c r="FM653" s="567"/>
      <c r="FN653" s="567"/>
      <c r="FO653" s="567"/>
      <c r="FP653" s="567"/>
      <c r="FQ653" s="567"/>
      <c r="FR653" s="567"/>
      <c r="FS653" s="567"/>
      <c r="FT653" s="567"/>
      <c r="FU653" s="567"/>
      <c r="FV653" s="567"/>
      <c r="FW653" s="567"/>
      <c r="FX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  <c r="BW654" s="567"/>
      <c r="BX654" s="567"/>
      <c r="BY654" s="567"/>
      <c r="BZ654" s="567"/>
      <c r="CA654" s="567"/>
      <c r="CB654" s="567"/>
      <c r="CC654" s="567"/>
      <c r="CD654" s="567"/>
      <c r="CE654" s="567"/>
      <c r="CF654" s="567"/>
      <c r="CG654" s="567"/>
      <c r="CH654" s="567"/>
      <c r="CI654" s="567"/>
      <c r="CJ654" s="567"/>
      <c r="CK654" s="567"/>
      <c r="CL654" s="567"/>
      <c r="CM654" s="567"/>
      <c r="CN654" s="567"/>
      <c r="CO654" s="567"/>
      <c r="CP654" s="567"/>
      <c r="CQ654" s="567"/>
      <c r="CR654" s="567"/>
      <c r="CS654" s="567"/>
      <c r="CT654" s="567"/>
      <c r="CU654" s="567"/>
      <c r="CV654" s="567"/>
      <c r="CW654" s="567"/>
      <c r="CX654" s="567"/>
      <c r="CY654" s="567"/>
      <c r="CZ654" s="567"/>
      <c r="DA654" s="567"/>
      <c r="DB654" s="567"/>
      <c r="DC654" s="567"/>
      <c r="DD654" s="567"/>
      <c r="DE654" s="567"/>
      <c r="DF654" s="567"/>
      <c r="DG654" s="567"/>
      <c r="DH654" s="567"/>
      <c r="DI654" s="567"/>
      <c r="DJ654" s="567"/>
      <c r="DK654" s="567"/>
      <c r="DL654" s="567"/>
      <c r="DM654" s="567"/>
      <c r="DN654" s="567"/>
      <c r="DO654" s="567"/>
      <c r="DP654" s="567"/>
      <c r="DQ654" s="567"/>
      <c r="DR654" s="567"/>
      <c r="DS654" s="567"/>
      <c r="DT654" s="567"/>
      <c r="DU654" s="567"/>
      <c r="DV654" s="567"/>
      <c r="DW654" s="567"/>
      <c r="DX654" s="567"/>
      <c r="DY654" s="567"/>
      <c r="DZ654" s="567"/>
      <c r="EA654" s="567"/>
      <c r="EB654" s="567"/>
      <c r="EC654" s="567"/>
      <c r="ED654" s="567"/>
      <c r="EE654" s="567"/>
      <c r="EF654" s="567"/>
      <c r="EG654" s="567"/>
      <c r="EH654" s="567"/>
      <c r="EI654" s="567"/>
      <c r="EJ654" s="567"/>
      <c r="EK654" s="567"/>
      <c r="EL654" s="567"/>
      <c r="EM654" s="567"/>
      <c r="EN654" s="567"/>
      <c r="EO654" s="567"/>
      <c r="EP654" s="567"/>
      <c r="EQ654" s="567"/>
      <c r="ER654" s="567"/>
      <c r="ES654" s="567"/>
      <c r="ET654" s="567"/>
      <c r="EU654" s="567"/>
      <c r="EV654" s="567"/>
      <c r="EW654" s="567"/>
      <c r="EX654" s="567"/>
      <c r="EY654" s="567"/>
      <c r="EZ654" s="567"/>
      <c r="FA654" s="567"/>
      <c r="FB654" s="567"/>
      <c r="FC654" s="567"/>
      <c r="FD654" s="567"/>
      <c r="FE654" s="567"/>
      <c r="FF654" s="567"/>
      <c r="FG654" s="567"/>
      <c r="FH654" s="567"/>
      <c r="FI654" s="567"/>
      <c r="FJ654" s="567"/>
      <c r="FK654" s="567"/>
      <c r="FL654" s="567"/>
      <c r="FM654" s="567"/>
      <c r="FN654" s="567"/>
      <c r="FO654" s="567"/>
      <c r="FP654" s="567"/>
      <c r="FQ654" s="567"/>
      <c r="FR654" s="567"/>
      <c r="FS654" s="567"/>
      <c r="FT654" s="567"/>
      <c r="FU654" s="567"/>
      <c r="FV654" s="567"/>
      <c r="FW654" s="567"/>
      <c r="FX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  <c r="BW655" s="567"/>
      <c r="BX655" s="567"/>
      <c r="BY655" s="567"/>
      <c r="BZ655" s="567"/>
      <c r="CA655" s="567"/>
      <c r="CB655" s="567"/>
      <c r="CC655" s="567"/>
      <c r="CD655" s="567"/>
      <c r="CE655" s="567"/>
      <c r="CF655" s="567"/>
      <c r="CG655" s="567"/>
      <c r="CH655" s="567"/>
      <c r="CI655" s="567"/>
      <c r="CJ655" s="567"/>
      <c r="CK655" s="567"/>
      <c r="CL655" s="567"/>
      <c r="CM655" s="567"/>
      <c r="CN655" s="567"/>
      <c r="CO655" s="567"/>
      <c r="CP655" s="567"/>
      <c r="CQ655" s="567"/>
      <c r="CR655" s="567"/>
      <c r="CS655" s="567"/>
      <c r="CT655" s="567"/>
      <c r="CU655" s="567"/>
      <c r="CV655" s="567"/>
      <c r="CW655" s="567"/>
      <c r="CX655" s="567"/>
      <c r="CY655" s="567"/>
      <c r="CZ655" s="567"/>
      <c r="DA655" s="567"/>
      <c r="DB655" s="567"/>
      <c r="DC655" s="567"/>
      <c r="DD655" s="567"/>
      <c r="DE655" s="567"/>
      <c r="DF655" s="567"/>
      <c r="DG655" s="567"/>
      <c r="DH655" s="567"/>
      <c r="DI655" s="567"/>
      <c r="DJ655" s="567"/>
      <c r="DK655" s="567"/>
      <c r="DL655" s="567"/>
      <c r="DM655" s="567"/>
      <c r="DN655" s="567"/>
      <c r="DO655" s="567"/>
      <c r="DP655" s="567"/>
      <c r="DQ655" s="567"/>
      <c r="DR655" s="567"/>
      <c r="DS655" s="567"/>
      <c r="DT655" s="567"/>
      <c r="DU655" s="567"/>
      <c r="DV655" s="567"/>
      <c r="DW655" s="567"/>
      <c r="DX655" s="567"/>
      <c r="DY655" s="567"/>
      <c r="DZ655" s="567"/>
      <c r="EA655" s="567"/>
      <c r="EB655" s="567"/>
      <c r="EC655" s="567"/>
      <c r="ED655" s="567"/>
      <c r="EE655" s="567"/>
      <c r="EF655" s="567"/>
      <c r="EG655" s="567"/>
      <c r="EH655" s="567"/>
      <c r="EI655" s="567"/>
      <c r="EJ655" s="567"/>
      <c r="EK655" s="567"/>
      <c r="EL655" s="567"/>
      <c r="EM655" s="567"/>
      <c r="EN655" s="567"/>
      <c r="EO655" s="567"/>
      <c r="EP655" s="567"/>
      <c r="EQ655" s="567"/>
      <c r="ER655" s="567"/>
      <c r="ES655" s="567"/>
      <c r="ET655" s="567"/>
      <c r="EU655" s="567"/>
      <c r="EV655" s="567"/>
      <c r="EW655" s="567"/>
      <c r="EX655" s="567"/>
      <c r="EY655" s="567"/>
      <c r="EZ655" s="567"/>
      <c r="FA655" s="567"/>
      <c r="FB655" s="567"/>
      <c r="FC655" s="567"/>
      <c r="FD655" s="567"/>
      <c r="FE655" s="567"/>
      <c r="FF655" s="567"/>
      <c r="FG655" s="567"/>
      <c r="FH655" s="567"/>
      <c r="FI655" s="567"/>
      <c r="FJ655" s="567"/>
      <c r="FK655" s="567"/>
      <c r="FL655" s="567"/>
      <c r="FM655" s="567"/>
      <c r="FN655" s="567"/>
      <c r="FO655" s="567"/>
      <c r="FP655" s="567"/>
      <c r="FQ655" s="567"/>
      <c r="FR655" s="567"/>
      <c r="FS655" s="567"/>
      <c r="FT655" s="567"/>
      <c r="FU655" s="567"/>
      <c r="FV655" s="567"/>
      <c r="FW655" s="567"/>
      <c r="FX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  <c r="BW656" s="567"/>
      <c r="BX656" s="567"/>
      <c r="BY656" s="567"/>
      <c r="BZ656" s="567"/>
      <c r="CA656" s="567"/>
      <c r="CB656" s="567"/>
      <c r="CC656" s="567"/>
      <c r="CD656" s="567"/>
      <c r="CE656" s="567"/>
      <c r="CF656" s="567"/>
      <c r="CG656" s="567"/>
      <c r="CH656" s="567"/>
      <c r="CI656" s="567"/>
      <c r="CJ656" s="567"/>
      <c r="CK656" s="567"/>
      <c r="CL656" s="567"/>
      <c r="CM656" s="567"/>
      <c r="CN656" s="567"/>
      <c r="CO656" s="567"/>
      <c r="CP656" s="567"/>
      <c r="CQ656" s="567"/>
      <c r="CR656" s="567"/>
      <c r="CS656" s="567"/>
      <c r="CT656" s="567"/>
      <c r="CU656" s="567"/>
      <c r="CV656" s="567"/>
      <c r="CW656" s="567"/>
      <c r="CX656" s="567"/>
      <c r="CY656" s="567"/>
      <c r="CZ656" s="567"/>
      <c r="DA656" s="567"/>
      <c r="DB656" s="567"/>
      <c r="DC656" s="567"/>
      <c r="DD656" s="567"/>
      <c r="DE656" s="567"/>
      <c r="DF656" s="567"/>
      <c r="DG656" s="567"/>
      <c r="DH656" s="567"/>
      <c r="DI656" s="567"/>
      <c r="DJ656" s="567"/>
      <c r="DK656" s="567"/>
      <c r="DL656" s="567"/>
      <c r="DM656" s="567"/>
      <c r="DN656" s="567"/>
      <c r="DO656" s="567"/>
      <c r="DP656" s="567"/>
      <c r="DQ656" s="567"/>
      <c r="DR656" s="567"/>
      <c r="DS656" s="567"/>
      <c r="DT656" s="567"/>
      <c r="DU656" s="567"/>
      <c r="DV656" s="567"/>
      <c r="DW656" s="567"/>
      <c r="DX656" s="567"/>
      <c r="DY656" s="567"/>
      <c r="DZ656" s="567"/>
      <c r="EA656" s="567"/>
      <c r="EB656" s="567"/>
      <c r="EC656" s="567"/>
      <c r="ED656" s="567"/>
      <c r="EE656" s="567"/>
      <c r="EF656" s="567"/>
      <c r="EG656" s="567"/>
      <c r="EH656" s="567"/>
      <c r="EI656" s="567"/>
      <c r="EJ656" s="567"/>
      <c r="EK656" s="567"/>
      <c r="EL656" s="567"/>
      <c r="EM656" s="567"/>
      <c r="EN656" s="567"/>
      <c r="EO656" s="567"/>
      <c r="EP656" s="567"/>
      <c r="EQ656" s="567"/>
      <c r="ER656" s="567"/>
      <c r="ES656" s="567"/>
      <c r="ET656" s="567"/>
      <c r="EU656" s="567"/>
      <c r="EV656" s="567"/>
      <c r="EW656" s="567"/>
      <c r="EX656" s="567"/>
      <c r="EY656" s="567"/>
      <c r="EZ656" s="567"/>
      <c r="FA656" s="567"/>
      <c r="FB656" s="567"/>
      <c r="FC656" s="567"/>
      <c r="FD656" s="567"/>
      <c r="FE656" s="567"/>
      <c r="FF656" s="567"/>
      <c r="FG656" s="567"/>
      <c r="FH656" s="567"/>
      <c r="FI656" s="567"/>
      <c r="FJ656" s="567"/>
      <c r="FK656" s="567"/>
      <c r="FL656" s="567"/>
      <c r="FM656" s="567"/>
      <c r="FN656" s="567"/>
      <c r="FO656" s="567"/>
      <c r="FP656" s="567"/>
      <c r="FQ656" s="567"/>
      <c r="FR656" s="567"/>
      <c r="FS656" s="567"/>
      <c r="FT656" s="567"/>
      <c r="FU656" s="567"/>
      <c r="FV656" s="567"/>
      <c r="FW656" s="567"/>
      <c r="FX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  <c r="BW657" s="567"/>
      <c r="BX657" s="567"/>
      <c r="BY657" s="567"/>
      <c r="BZ657" s="567"/>
      <c r="CA657" s="567"/>
      <c r="CB657" s="567"/>
      <c r="CC657" s="567"/>
      <c r="CD657" s="567"/>
      <c r="CE657" s="567"/>
      <c r="CF657" s="567"/>
      <c r="CG657" s="567"/>
      <c r="CH657" s="567"/>
      <c r="CI657" s="567"/>
      <c r="CJ657" s="567"/>
      <c r="CK657" s="567"/>
      <c r="CL657" s="567"/>
      <c r="CM657" s="567"/>
      <c r="CN657" s="567"/>
      <c r="CO657" s="567"/>
      <c r="CP657" s="567"/>
      <c r="CQ657" s="567"/>
      <c r="CR657" s="567"/>
      <c r="CS657" s="567"/>
      <c r="CT657" s="567"/>
      <c r="CU657" s="567"/>
      <c r="CV657" s="567"/>
      <c r="CW657" s="567"/>
      <c r="CX657" s="567"/>
      <c r="CY657" s="567"/>
      <c r="CZ657" s="567"/>
      <c r="DA657" s="567"/>
      <c r="DB657" s="567"/>
      <c r="DC657" s="567"/>
      <c r="DD657" s="567"/>
      <c r="DE657" s="567"/>
      <c r="DF657" s="567"/>
      <c r="DG657" s="567"/>
      <c r="DH657" s="567"/>
      <c r="DI657" s="567"/>
      <c r="DJ657" s="567"/>
      <c r="DK657" s="567"/>
      <c r="DL657" s="567"/>
      <c r="DM657" s="567"/>
      <c r="DN657" s="567"/>
      <c r="DO657" s="567"/>
      <c r="DP657" s="567"/>
      <c r="DQ657" s="567"/>
      <c r="DR657" s="567"/>
      <c r="DS657" s="567"/>
      <c r="DT657" s="567"/>
      <c r="DU657" s="567"/>
      <c r="DV657" s="567"/>
      <c r="DW657" s="567"/>
      <c r="DX657" s="567"/>
      <c r="DY657" s="567"/>
      <c r="DZ657" s="567"/>
      <c r="EA657" s="567"/>
      <c r="EB657" s="567"/>
      <c r="EC657" s="567"/>
      <c r="ED657" s="567"/>
      <c r="EE657" s="567"/>
      <c r="EF657" s="567"/>
      <c r="EG657" s="567"/>
      <c r="EH657" s="567"/>
      <c r="EI657" s="567"/>
      <c r="EJ657" s="567"/>
      <c r="EK657" s="567"/>
      <c r="EL657" s="567"/>
      <c r="EM657" s="567"/>
      <c r="EN657" s="567"/>
      <c r="EO657" s="567"/>
      <c r="EP657" s="567"/>
      <c r="EQ657" s="567"/>
      <c r="ER657" s="567"/>
      <c r="ES657" s="567"/>
      <c r="ET657" s="567"/>
      <c r="EU657" s="567"/>
      <c r="EV657" s="567"/>
      <c r="EW657" s="567"/>
      <c r="EX657" s="567"/>
      <c r="EY657" s="567"/>
      <c r="EZ657" s="567"/>
      <c r="FA657" s="567"/>
      <c r="FB657" s="567"/>
      <c r="FC657" s="567"/>
      <c r="FD657" s="567"/>
      <c r="FE657" s="567"/>
      <c r="FF657" s="567"/>
      <c r="FG657" s="567"/>
      <c r="FH657" s="567"/>
      <c r="FI657" s="567"/>
      <c r="FJ657" s="567"/>
      <c r="FK657" s="567"/>
      <c r="FL657" s="567"/>
      <c r="FM657" s="567"/>
      <c r="FN657" s="567"/>
      <c r="FO657" s="567"/>
      <c r="FP657" s="567"/>
      <c r="FQ657" s="567"/>
      <c r="FR657" s="567"/>
      <c r="FS657" s="567"/>
      <c r="FT657" s="567"/>
      <c r="FU657" s="567"/>
      <c r="FV657" s="567"/>
      <c r="FW657" s="567"/>
      <c r="FX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  <c r="BW658" s="567"/>
      <c r="BX658" s="567"/>
      <c r="BY658" s="567"/>
      <c r="BZ658" s="567"/>
      <c r="CA658" s="567"/>
      <c r="CB658" s="567"/>
      <c r="CC658" s="567"/>
      <c r="CD658" s="567"/>
      <c r="CE658" s="567"/>
      <c r="CF658" s="567"/>
      <c r="CG658" s="567"/>
      <c r="CH658" s="567"/>
      <c r="CI658" s="567"/>
      <c r="CJ658" s="567"/>
      <c r="CK658" s="567"/>
      <c r="CL658" s="567"/>
      <c r="CM658" s="567"/>
      <c r="CN658" s="567"/>
      <c r="CO658" s="567"/>
      <c r="CP658" s="567"/>
      <c r="CQ658" s="567"/>
      <c r="CR658" s="567"/>
      <c r="CS658" s="567"/>
      <c r="CT658" s="567"/>
      <c r="CU658" s="567"/>
      <c r="CV658" s="567"/>
      <c r="CW658" s="567"/>
      <c r="CX658" s="567"/>
      <c r="CY658" s="567"/>
      <c r="CZ658" s="567"/>
      <c r="DA658" s="567"/>
      <c r="DB658" s="567"/>
      <c r="DC658" s="567"/>
      <c r="DD658" s="567"/>
      <c r="DE658" s="567"/>
      <c r="DF658" s="567"/>
      <c r="DG658" s="567"/>
      <c r="DH658" s="567"/>
      <c r="DI658" s="567"/>
      <c r="DJ658" s="567"/>
      <c r="DK658" s="567"/>
      <c r="DL658" s="567"/>
      <c r="DM658" s="567"/>
      <c r="DN658" s="567"/>
      <c r="DO658" s="567"/>
      <c r="DP658" s="567"/>
      <c r="DQ658" s="567"/>
      <c r="DR658" s="567"/>
      <c r="DS658" s="567"/>
      <c r="DT658" s="567"/>
      <c r="DU658" s="567"/>
      <c r="DV658" s="567"/>
      <c r="DW658" s="567"/>
      <c r="DX658" s="567"/>
      <c r="DY658" s="567"/>
      <c r="DZ658" s="567"/>
      <c r="EA658" s="567"/>
      <c r="EB658" s="567"/>
      <c r="EC658" s="567"/>
      <c r="ED658" s="567"/>
      <c r="EE658" s="567"/>
      <c r="EF658" s="567"/>
      <c r="EG658" s="567"/>
      <c r="EH658" s="567"/>
      <c r="EI658" s="567"/>
      <c r="EJ658" s="567"/>
      <c r="EK658" s="567"/>
      <c r="EL658" s="567"/>
      <c r="EM658" s="567"/>
      <c r="EN658" s="567"/>
      <c r="EO658" s="567"/>
      <c r="EP658" s="567"/>
      <c r="EQ658" s="567"/>
      <c r="ER658" s="567"/>
      <c r="ES658" s="567"/>
      <c r="ET658" s="567"/>
      <c r="EU658" s="567"/>
      <c r="EV658" s="567"/>
      <c r="EW658" s="567"/>
      <c r="EX658" s="567"/>
      <c r="EY658" s="567"/>
      <c r="EZ658" s="567"/>
      <c r="FA658" s="567"/>
      <c r="FB658" s="567"/>
      <c r="FC658" s="567"/>
      <c r="FD658" s="567"/>
      <c r="FE658" s="567"/>
      <c r="FF658" s="567"/>
      <c r="FG658" s="567"/>
      <c r="FH658" s="567"/>
      <c r="FI658" s="567"/>
      <c r="FJ658" s="567"/>
      <c r="FK658" s="567"/>
      <c r="FL658" s="567"/>
      <c r="FM658" s="567"/>
      <c r="FN658" s="567"/>
      <c r="FO658" s="567"/>
      <c r="FP658" s="567"/>
      <c r="FQ658" s="567"/>
      <c r="FR658" s="567"/>
      <c r="FS658" s="567"/>
      <c r="FT658" s="567"/>
      <c r="FU658" s="567"/>
      <c r="FV658" s="567"/>
      <c r="FW658" s="567"/>
      <c r="FX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  <c r="BW659" s="567"/>
      <c r="BX659" s="567"/>
      <c r="BY659" s="567"/>
      <c r="BZ659" s="567"/>
      <c r="CA659" s="567"/>
      <c r="CB659" s="567"/>
      <c r="CC659" s="567"/>
      <c r="CD659" s="567"/>
      <c r="CE659" s="567"/>
      <c r="CF659" s="567"/>
      <c r="CG659" s="567"/>
      <c r="CH659" s="567"/>
      <c r="CI659" s="567"/>
      <c r="CJ659" s="567"/>
      <c r="CK659" s="567"/>
      <c r="CL659" s="567"/>
      <c r="CM659" s="567"/>
      <c r="CN659" s="567"/>
      <c r="CO659" s="567"/>
      <c r="CP659" s="567"/>
      <c r="CQ659" s="567"/>
      <c r="CR659" s="567"/>
      <c r="CS659" s="567"/>
      <c r="CT659" s="567"/>
      <c r="CU659" s="567"/>
      <c r="CV659" s="567"/>
      <c r="CW659" s="567"/>
      <c r="CX659" s="567"/>
      <c r="CY659" s="567"/>
      <c r="CZ659" s="567"/>
      <c r="DA659" s="567"/>
      <c r="DB659" s="567"/>
      <c r="DC659" s="567"/>
      <c r="DD659" s="567"/>
      <c r="DE659" s="567"/>
      <c r="DF659" s="567"/>
      <c r="DG659" s="567"/>
      <c r="DH659" s="567"/>
      <c r="DI659" s="567"/>
      <c r="DJ659" s="567"/>
      <c r="DK659" s="567"/>
      <c r="DL659" s="567"/>
      <c r="DM659" s="567"/>
      <c r="DN659" s="567"/>
      <c r="DO659" s="567"/>
      <c r="DP659" s="567"/>
      <c r="DQ659" s="567"/>
      <c r="DR659" s="567"/>
      <c r="DS659" s="567"/>
      <c r="DT659" s="567"/>
      <c r="DU659" s="567"/>
      <c r="DV659" s="567"/>
      <c r="DW659" s="567"/>
      <c r="DX659" s="567"/>
      <c r="DY659" s="567"/>
      <c r="DZ659" s="567"/>
      <c r="EA659" s="567"/>
      <c r="EB659" s="567"/>
      <c r="EC659" s="567"/>
      <c r="ED659" s="567"/>
      <c r="EE659" s="567"/>
      <c r="EF659" s="567"/>
      <c r="EG659" s="567"/>
      <c r="EH659" s="567"/>
      <c r="EI659" s="567"/>
      <c r="EJ659" s="567"/>
      <c r="EK659" s="567"/>
      <c r="EL659" s="567"/>
      <c r="EM659" s="567"/>
      <c r="EN659" s="567"/>
      <c r="EO659" s="567"/>
      <c r="EP659" s="567"/>
      <c r="EQ659" s="567"/>
      <c r="ER659" s="567"/>
      <c r="ES659" s="567"/>
      <c r="ET659" s="567"/>
      <c r="EU659" s="567"/>
      <c r="EV659" s="567"/>
      <c r="EW659" s="567"/>
      <c r="EX659" s="567"/>
      <c r="EY659" s="567"/>
      <c r="EZ659" s="567"/>
      <c r="FA659" s="567"/>
      <c r="FB659" s="567"/>
      <c r="FC659" s="567"/>
      <c r="FD659" s="567"/>
      <c r="FE659" s="567"/>
      <c r="FF659" s="567"/>
      <c r="FG659" s="567"/>
      <c r="FH659" s="567"/>
      <c r="FI659" s="567"/>
      <c r="FJ659" s="567"/>
      <c r="FK659" s="567"/>
      <c r="FL659" s="567"/>
      <c r="FM659" s="567"/>
      <c r="FN659" s="567"/>
      <c r="FO659" s="567"/>
      <c r="FP659" s="567"/>
      <c r="FQ659" s="567"/>
      <c r="FR659" s="567"/>
      <c r="FS659" s="567"/>
      <c r="FT659" s="567"/>
      <c r="FU659" s="567"/>
      <c r="FV659" s="567"/>
      <c r="FW659" s="567"/>
      <c r="FX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  <c r="BW660" s="567"/>
      <c r="BX660" s="567"/>
      <c r="BY660" s="567"/>
      <c r="BZ660" s="567"/>
      <c r="CA660" s="567"/>
      <c r="CB660" s="567"/>
      <c r="CC660" s="567"/>
      <c r="CD660" s="567"/>
      <c r="CE660" s="567"/>
      <c r="CF660" s="567"/>
      <c r="CG660" s="567"/>
      <c r="CH660" s="567"/>
      <c r="CI660" s="567"/>
      <c r="CJ660" s="567"/>
      <c r="CK660" s="567"/>
      <c r="CL660" s="567"/>
      <c r="CM660" s="567"/>
      <c r="CN660" s="567"/>
      <c r="CO660" s="567"/>
      <c r="CP660" s="567"/>
      <c r="CQ660" s="567"/>
      <c r="CR660" s="567"/>
      <c r="CS660" s="567"/>
      <c r="CT660" s="567"/>
      <c r="CU660" s="567"/>
      <c r="CV660" s="567"/>
      <c r="CW660" s="567"/>
      <c r="CX660" s="567"/>
      <c r="CY660" s="567"/>
      <c r="CZ660" s="567"/>
      <c r="DA660" s="567"/>
      <c r="DB660" s="567"/>
      <c r="DC660" s="567"/>
      <c r="DD660" s="567"/>
      <c r="DE660" s="567"/>
      <c r="DF660" s="567"/>
      <c r="DG660" s="567"/>
      <c r="DH660" s="567"/>
      <c r="DI660" s="567"/>
      <c r="DJ660" s="567"/>
      <c r="DK660" s="567"/>
      <c r="DL660" s="567"/>
      <c r="DM660" s="567"/>
      <c r="DN660" s="567"/>
      <c r="DO660" s="567"/>
      <c r="DP660" s="567"/>
      <c r="DQ660" s="567"/>
      <c r="DR660" s="567"/>
      <c r="DS660" s="567"/>
      <c r="DT660" s="567"/>
      <c r="DU660" s="567"/>
      <c r="DV660" s="567"/>
      <c r="DW660" s="567"/>
      <c r="DX660" s="567"/>
      <c r="DY660" s="567"/>
      <c r="DZ660" s="567"/>
      <c r="EA660" s="567"/>
      <c r="EB660" s="567"/>
      <c r="EC660" s="567"/>
      <c r="ED660" s="567"/>
      <c r="EE660" s="567"/>
      <c r="EF660" s="567"/>
      <c r="EG660" s="567"/>
      <c r="EH660" s="567"/>
      <c r="EI660" s="567"/>
      <c r="EJ660" s="567"/>
      <c r="EK660" s="567"/>
      <c r="EL660" s="567"/>
      <c r="EM660" s="567"/>
      <c r="EN660" s="567"/>
      <c r="EO660" s="567"/>
      <c r="EP660" s="567"/>
      <c r="EQ660" s="567"/>
      <c r="ER660" s="567"/>
      <c r="ES660" s="567"/>
      <c r="ET660" s="567"/>
      <c r="EU660" s="567"/>
      <c r="EV660" s="567"/>
      <c r="EW660" s="567"/>
      <c r="EX660" s="567"/>
      <c r="EY660" s="567"/>
      <c r="EZ660" s="567"/>
      <c r="FA660" s="567"/>
      <c r="FB660" s="567"/>
      <c r="FC660" s="567"/>
      <c r="FD660" s="567"/>
      <c r="FE660" s="567"/>
      <c r="FF660" s="567"/>
      <c r="FG660" s="567"/>
      <c r="FH660" s="567"/>
      <c r="FI660" s="567"/>
      <c r="FJ660" s="567"/>
      <c r="FK660" s="567"/>
      <c r="FL660" s="567"/>
      <c r="FM660" s="567"/>
      <c r="FN660" s="567"/>
      <c r="FO660" s="567"/>
      <c r="FP660" s="567"/>
      <c r="FQ660" s="567"/>
      <c r="FR660" s="567"/>
      <c r="FS660" s="567"/>
      <c r="FT660" s="567"/>
      <c r="FU660" s="567"/>
      <c r="FV660" s="567"/>
      <c r="FW660" s="567"/>
      <c r="FX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  <c r="BW661" s="567"/>
      <c r="BX661" s="567"/>
      <c r="BY661" s="567"/>
      <c r="BZ661" s="567"/>
      <c r="CA661" s="567"/>
      <c r="CB661" s="567"/>
      <c r="CC661" s="567"/>
      <c r="CD661" s="567"/>
      <c r="CE661" s="567"/>
      <c r="CF661" s="567"/>
      <c r="CG661" s="567"/>
      <c r="CH661" s="567"/>
      <c r="CI661" s="567"/>
      <c r="CJ661" s="567"/>
      <c r="CK661" s="567"/>
      <c r="CL661" s="567"/>
      <c r="CM661" s="567"/>
      <c r="CN661" s="567"/>
      <c r="CO661" s="567"/>
      <c r="CP661" s="567"/>
      <c r="CQ661" s="567"/>
      <c r="CR661" s="567"/>
      <c r="CS661" s="567"/>
      <c r="CT661" s="567"/>
      <c r="CU661" s="567"/>
      <c r="CV661" s="567"/>
      <c r="CW661" s="567"/>
      <c r="CX661" s="567"/>
      <c r="CY661" s="567"/>
      <c r="CZ661" s="567"/>
      <c r="DA661" s="567"/>
      <c r="DB661" s="567"/>
      <c r="DC661" s="567"/>
      <c r="DD661" s="567"/>
      <c r="DE661" s="567"/>
      <c r="DF661" s="567"/>
      <c r="DG661" s="567"/>
      <c r="DH661" s="567"/>
      <c r="DI661" s="567"/>
      <c r="DJ661" s="567"/>
      <c r="DK661" s="567"/>
      <c r="DL661" s="567"/>
      <c r="DM661" s="567"/>
      <c r="DN661" s="567"/>
      <c r="DO661" s="567"/>
      <c r="DP661" s="567"/>
      <c r="DQ661" s="567"/>
      <c r="DR661" s="567"/>
      <c r="DS661" s="567"/>
      <c r="DT661" s="567"/>
      <c r="DU661" s="567"/>
      <c r="DV661" s="567"/>
      <c r="DW661" s="567"/>
      <c r="DX661" s="567"/>
      <c r="DY661" s="567"/>
      <c r="DZ661" s="567"/>
      <c r="EA661" s="567"/>
      <c r="EB661" s="567"/>
      <c r="EC661" s="567"/>
      <c r="ED661" s="567"/>
      <c r="EE661" s="567"/>
      <c r="EF661" s="567"/>
      <c r="EG661" s="567"/>
      <c r="EH661" s="567"/>
      <c r="EI661" s="567"/>
      <c r="EJ661" s="567"/>
      <c r="EK661" s="567"/>
      <c r="EL661" s="567"/>
      <c r="EM661" s="567"/>
      <c r="EN661" s="567"/>
      <c r="EO661" s="567"/>
      <c r="EP661" s="567"/>
      <c r="EQ661" s="567"/>
      <c r="ER661" s="567"/>
      <c r="ES661" s="567"/>
      <c r="ET661" s="567"/>
      <c r="EU661" s="567"/>
      <c r="EV661" s="567"/>
      <c r="EW661" s="567"/>
      <c r="EX661" s="567"/>
      <c r="EY661" s="567"/>
      <c r="EZ661" s="567"/>
      <c r="FA661" s="567"/>
      <c r="FB661" s="567"/>
      <c r="FC661" s="567"/>
      <c r="FD661" s="567"/>
      <c r="FE661" s="567"/>
      <c r="FF661" s="567"/>
      <c r="FG661" s="567"/>
      <c r="FH661" s="567"/>
      <c r="FI661" s="567"/>
      <c r="FJ661" s="567"/>
      <c r="FK661" s="567"/>
      <c r="FL661" s="567"/>
      <c r="FM661" s="567"/>
      <c r="FN661" s="567"/>
      <c r="FO661" s="567"/>
      <c r="FP661" s="567"/>
      <c r="FQ661" s="567"/>
      <c r="FR661" s="567"/>
      <c r="FS661" s="567"/>
      <c r="FT661" s="567"/>
      <c r="FU661" s="567"/>
      <c r="FV661" s="567"/>
      <c r="FW661" s="567"/>
      <c r="FX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  <c r="BW662" s="567"/>
      <c r="BX662" s="567"/>
      <c r="BY662" s="567"/>
      <c r="BZ662" s="567"/>
      <c r="CA662" s="567"/>
      <c r="CB662" s="567"/>
      <c r="CC662" s="567"/>
      <c r="CD662" s="567"/>
      <c r="CE662" s="567"/>
      <c r="CF662" s="567"/>
      <c r="CG662" s="567"/>
      <c r="CH662" s="567"/>
      <c r="CI662" s="567"/>
      <c r="CJ662" s="567"/>
      <c r="CK662" s="567"/>
      <c r="CL662" s="567"/>
      <c r="CM662" s="567"/>
      <c r="CN662" s="567"/>
      <c r="CO662" s="567"/>
      <c r="CP662" s="567"/>
      <c r="CQ662" s="567"/>
      <c r="CR662" s="567"/>
      <c r="CS662" s="567"/>
      <c r="CT662" s="567"/>
      <c r="CU662" s="567"/>
      <c r="CV662" s="567"/>
      <c r="CW662" s="567"/>
      <c r="CX662" s="567"/>
      <c r="CY662" s="567"/>
      <c r="CZ662" s="567"/>
      <c r="DA662" s="567"/>
      <c r="DB662" s="567"/>
      <c r="DC662" s="567"/>
      <c r="DD662" s="567"/>
      <c r="DE662" s="567"/>
      <c r="DF662" s="567"/>
      <c r="DG662" s="567"/>
      <c r="DH662" s="567"/>
      <c r="DI662" s="567"/>
      <c r="DJ662" s="567"/>
      <c r="DK662" s="567"/>
      <c r="DL662" s="567"/>
      <c r="DM662" s="567"/>
      <c r="DN662" s="567"/>
      <c r="DO662" s="567"/>
      <c r="DP662" s="567"/>
      <c r="DQ662" s="567"/>
      <c r="DR662" s="567"/>
      <c r="DS662" s="567"/>
      <c r="DT662" s="567"/>
      <c r="DU662" s="567"/>
      <c r="DV662" s="567"/>
      <c r="DW662" s="567"/>
      <c r="DX662" s="567"/>
      <c r="DY662" s="567"/>
      <c r="DZ662" s="567"/>
      <c r="EA662" s="567"/>
      <c r="EB662" s="567"/>
      <c r="EC662" s="567"/>
      <c r="ED662" s="567"/>
      <c r="EE662" s="567"/>
      <c r="EF662" s="567"/>
      <c r="EG662" s="567"/>
      <c r="EH662" s="567"/>
      <c r="EI662" s="567"/>
      <c r="EJ662" s="567"/>
      <c r="EK662" s="567"/>
      <c r="EL662" s="567"/>
      <c r="EM662" s="567"/>
      <c r="EN662" s="567"/>
      <c r="EO662" s="567"/>
      <c r="EP662" s="567"/>
      <c r="EQ662" s="567"/>
      <c r="ER662" s="567"/>
      <c r="ES662" s="567"/>
      <c r="ET662" s="567"/>
      <c r="EU662" s="567"/>
      <c r="EV662" s="567"/>
      <c r="EW662" s="567"/>
      <c r="EX662" s="567"/>
      <c r="EY662" s="567"/>
      <c r="EZ662" s="567"/>
      <c r="FA662" s="567"/>
      <c r="FB662" s="567"/>
      <c r="FC662" s="567"/>
      <c r="FD662" s="567"/>
      <c r="FE662" s="567"/>
      <c r="FF662" s="567"/>
      <c r="FG662" s="567"/>
      <c r="FH662" s="567"/>
      <c r="FI662" s="567"/>
      <c r="FJ662" s="567"/>
      <c r="FK662" s="567"/>
      <c r="FL662" s="567"/>
      <c r="FM662" s="567"/>
      <c r="FN662" s="567"/>
      <c r="FO662" s="567"/>
      <c r="FP662" s="567"/>
      <c r="FQ662" s="567"/>
      <c r="FR662" s="567"/>
      <c r="FS662" s="567"/>
      <c r="FT662" s="567"/>
      <c r="FU662" s="567"/>
      <c r="FV662" s="567"/>
      <c r="FW662" s="567"/>
      <c r="FX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  <c r="BW663" s="567"/>
      <c r="BX663" s="567"/>
      <c r="BY663" s="567"/>
      <c r="BZ663" s="567"/>
      <c r="CA663" s="567"/>
      <c r="CB663" s="567"/>
      <c r="CC663" s="567"/>
      <c r="CD663" s="567"/>
      <c r="CE663" s="567"/>
      <c r="CF663" s="567"/>
      <c r="CG663" s="567"/>
      <c r="CH663" s="567"/>
      <c r="CI663" s="567"/>
      <c r="CJ663" s="567"/>
      <c r="CK663" s="567"/>
      <c r="CL663" s="567"/>
      <c r="CM663" s="567"/>
      <c r="CN663" s="567"/>
      <c r="CO663" s="567"/>
      <c r="CP663" s="567"/>
      <c r="CQ663" s="567"/>
      <c r="CR663" s="567"/>
      <c r="CS663" s="567"/>
      <c r="CT663" s="567"/>
      <c r="CU663" s="567"/>
      <c r="CV663" s="567"/>
      <c r="CW663" s="567"/>
      <c r="CX663" s="567"/>
      <c r="CY663" s="567"/>
      <c r="CZ663" s="567"/>
      <c r="DA663" s="567"/>
      <c r="DB663" s="567"/>
      <c r="DC663" s="567"/>
      <c r="DD663" s="567"/>
      <c r="DE663" s="567"/>
      <c r="DF663" s="567"/>
      <c r="DG663" s="567"/>
      <c r="DH663" s="567"/>
      <c r="DI663" s="567"/>
      <c r="DJ663" s="567"/>
      <c r="DK663" s="567"/>
      <c r="DL663" s="567"/>
      <c r="DM663" s="567"/>
      <c r="DN663" s="567"/>
      <c r="DO663" s="567"/>
      <c r="DP663" s="567"/>
      <c r="DQ663" s="567"/>
      <c r="DR663" s="567"/>
      <c r="DS663" s="567"/>
      <c r="DT663" s="567"/>
      <c r="DU663" s="567"/>
      <c r="DV663" s="567"/>
      <c r="DW663" s="567"/>
      <c r="DX663" s="567"/>
      <c r="DY663" s="567"/>
      <c r="DZ663" s="567"/>
      <c r="EA663" s="567"/>
      <c r="EB663" s="567"/>
      <c r="EC663" s="567"/>
      <c r="ED663" s="567"/>
      <c r="EE663" s="567"/>
      <c r="EF663" s="567"/>
      <c r="EG663" s="567"/>
      <c r="EH663" s="567"/>
      <c r="EI663" s="567"/>
      <c r="EJ663" s="567"/>
      <c r="EK663" s="567"/>
      <c r="EL663" s="567"/>
      <c r="EM663" s="567"/>
      <c r="EN663" s="567"/>
      <c r="EO663" s="567"/>
      <c r="EP663" s="567"/>
      <c r="EQ663" s="567"/>
      <c r="ER663" s="567"/>
      <c r="ES663" s="567"/>
      <c r="ET663" s="567"/>
      <c r="EU663" s="567"/>
      <c r="EV663" s="567"/>
      <c r="EW663" s="567"/>
      <c r="EX663" s="567"/>
      <c r="EY663" s="567"/>
      <c r="EZ663" s="567"/>
      <c r="FA663" s="567"/>
      <c r="FB663" s="567"/>
      <c r="FC663" s="567"/>
      <c r="FD663" s="567"/>
      <c r="FE663" s="567"/>
      <c r="FF663" s="567"/>
      <c r="FG663" s="567"/>
      <c r="FH663" s="567"/>
      <c r="FI663" s="567"/>
      <c r="FJ663" s="567"/>
      <c r="FK663" s="567"/>
      <c r="FL663" s="567"/>
      <c r="FM663" s="567"/>
      <c r="FN663" s="567"/>
      <c r="FO663" s="567"/>
      <c r="FP663" s="567"/>
      <c r="FQ663" s="567"/>
      <c r="FR663" s="567"/>
      <c r="FS663" s="567"/>
      <c r="FT663" s="567"/>
      <c r="FU663" s="567"/>
      <c r="FV663" s="567"/>
      <c r="FW663" s="567"/>
      <c r="FX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  <c r="BW664" s="567"/>
      <c r="BX664" s="567"/>
      <c r="BY664" s="567"/>
      <c r="BZ664" s="567"/>
      <c r="CA664" s="567"/>
      <c r="CB664" s="567"/>
      <c r="CC664" s="567"/>
      <c r="CD664" s="567"/>
      <c r="CE664" s="567"/>
      <c r="CF664" s="567"/>
      <c r="CG664" s="567"/>
      <c r="CH664" s="567"/>
      <c r="CI664" s="567"/>
      <c r="CJ664" s="567"/>
      <c r="CK664" s="567"/>
      <c r="CL664" s="567"/>
      <c r="CM664" s="567"/>
      <c r="CN664" s="567"/>
      <c r="CO664" s="567"/>
      <c r="CP664" s="567"/>
      <c r="CQ664" s="567"/>
      <c r="CR664" s="567"/>
      <c r="CS664" s="567"/>
      <c r="CT664" s="567"/>
      <c r="CU664" s="567"/>
      <c r="CV664" s="567"/>
      <c r="CW664" s="567"/>
      <c r="CX664" s="567"/>
      <c r="CY664" s="567"/>
      <c r="CZ664" s="567"/>
      <c r="DA664" s="567"/>
      <c r="DB664" s="567"/>
      <c r="DC664" s="567"/>
      <c r="DD664" s="567"/>
      <c r="DE664" s="567"/>
      <c r="DF664" s="567"/>
      <c r="DG664" s="567"/>
      <c r="DH664" s="567"/>
      <c r="DI664" s="567"/>
      <c r="DJ664" s="567"/>
      <c r="DK664" s="567"/>
      <c r="DL664" s="567"/>
      <c r="DM664" s="567"/>
      <c r="DN664" s="567"/>
      <c r="DO664" s="567"/>
      <c r="DP664" s="567"/>
      <c r="DQ664" s="567"/>
      <c r="DR664" s="567"/>
      <c r="DS664" s="567"/>
      <c r="DT664" s="567"/>
      <c r="DU664" s="567"/>
      <c r="DV664" s="567"/>
      <c r="DW664" s="567"/>
      <c r="DX664" s="567"/>
      <c r="DY664" s="567"/>
      <c r="DZ664" s="567"/>
      <c r="EA664" s="567"/>
      <c r="EB664" s="567"/>
      <c r="EC664" s="567"/>
      <c r="ED664" s="567"/>
      <c r="EE664" s="567"/>
      <c r="EF664" s="567"/>
      <c r="EG664" s="567"/>
      <c r="EH664" s="567"/>
      <c r="EI664" s="567"/>
      <c r="EJ664" s="567"/>
      <c r="EK664" s="567"/>
      <c r="EL664" s="567"/>
      <c r="EM664" s="567"/>
      <c r="EN664" s="567"/>
      <c r="EO664" s="567"/>
      <c r="EP664" s="567"/>
      <c r="EQ664" s="567"/>
      <c r="ER664" s="567"/>
      <c r="ES664" s="567"/>
      <c r="ET664" s="567"/>
      <c r="EU664" s="567"/>
      <c r="EV664" s="567"/>
      <c r="EW664" s="567"/>
      <c r="EX664" s="567"/>
      <c r="EY664" s="567"/>
      <c r="EZ664" s="567"/>
      <c r="FA664" s="567"/>
      <c r="FB664" s="567"/>
      <c r="FC664" s="567"/>
      <c r="FD664" s="567"/>
      <c r="FE664" s="567"/>
      <c r="FF664" s="567"/>
      <c r="FG664" s="567"/>
      <c r="FH664" s="567"/>
      <c r="FI664" s="567"/>
      <c r="FJ664" s="567"/>
      <c r="FK664" s="567"/>
      <c r="FL664" s="567"/>
      <c r="FM664" s="567"/>
      <c r="FN664" s="567"/>
      <c r="FO664" s="567"/>
      <c r="FP664" s="567"/>
      <c r="FQ664" s="567"/>
      <c r="FR664" s="567"/>
      <c r="FS664" s="567"/>
      <c r="FT664" s="567"/>
      <c r="FU664" s="567"/>
      <c r="FV664" s="567"/>
      <c r="FW664" s="567"/>
      <c r="FX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  <c r="BW665" s="567"/>
      <c r="BX665" s="567"/>
      <c r="BY665" s="567"/>
      <c r="BZ665" s="567"/>
      <c r="CA665" s="567"/>
      <c r="CB665" s="567"/>
      <c r="CC665" s="567"/>
      <c r="CD665" s="567"/>
      <c r="CE665" s="567"/>
      <c r="CF665" s="567"/>
      <c r="CG665" s="567"/>
      <c r="CH665" s="567"/>
      <c r="CI665" s="567"/>
      <c r="CJ665" s="567"/>
      <c r="CK665" s="567"/>
      <c r="CL665" s="567"/>
      <c r="CM665" s="567"/>
      <c r="CN665" s="567"/>
      <c r="CO665" s="567"/>
      <c r="CP665" s="567"/>
      <c r="CQ665" s="567"/>
      <c r="CR665" s="567"/>
      <c r="CS665" s="567"/>
      <c r="CT665" s="567"/>
      <c r="CU665" s="567"/>
      <c r="CV665" s="567"/>
      <c r="CW665" s="567"/>
      <c r="CX665" s="567"/>
      <c r="CY665" s="567"/>
      <c r="CZ665" s="567"/>
      <c r="DA665" s="567"/>
      <c r="DB665" s="567"/>
      <c r="DC665" s="567"/>
      <c r="DD665" s="567"/>
      <c r="DE665" s="567"/>
      <c r="DF665" s="567"/>
      <c r="DG665" s="567"/>
      <c r="DH665" s="567"/>
      <c r="DI665" s="567"/>
      <c r="DJ665" s="567"/>
      <c r="DK665" s="567"/>
      <c r="DL665" s="567"/>
      <c r="DM665" s="567"/>
      <c r="DN665" s="567"/>
      <c r="DO665" s="567"/>
      <c r="DP665" s="567"/>
      <c r="DQ665" s="567"/>
      <c r="DR665" s="567"/>
      <c r="DS665" s="567"/>
      <c r="DT665" s="567"/>
      <c r="DU665" s="567"/>
      <c r="DV665" s="567"/>
      <c r="DW665" s="567"/>
      <c r="DX665" s="567"/>
      <c r="DY665" s="567"/>
      <c r="DZ665" s="567"/>
      <c r="EA665" s="567"/>
      <c r="EB665" s="567"/>
      <c r="EC665" s="567"/>
      <c r="ED665" s="567"/>
      <c r="EE665" s="567"/>
      <c r="EF665" s="567"/>
      <c r="EG665" s="567"/>
      <c r="EH665" s="567"/>
      <c r="EI665" s="567"/>
      <c r="EJ665" s="567"/>
      <c r="EK665" s="567"/>
      <c r="EL665" s="567"/>
      <c r="EM665" s="567"/>
      <c r="EN665" s="567"/>
      <c r="EO665" s="567"/>
      <c r="EP665" s="567"/>
      <c r="EQ665" s="567"/>
      <c r="ER665" s="567"/>
      <c r="ES665" s="567"/>
      <c r="ET665" s="567"/>
      <c r="EU665" s="567"/>
      <c r="EV665" s="567"/>
      <c r="EW665" s="567"/>
      <c r="EX665" s="567"/>
      <c r="EY665" s="567"/>
      <c r="EZ665" s="567"/>
      <c r="FA665" s="567"/>
      <c r="FB665" s="567"/>
      <c r="FC665" s="567"/>
      <c r="FD665" s="567"/>
      <c r="FE665" s="567"/>
      <c r="FF665" s="567"/>
      <c r="FG665" s="567"/>
      <c r="FH665" s="567"/>
      <c r="FI665" s="567"/>
      <c r="FJ665" s="567"/>
      <c r="FK665" s="567"/>
      <c r="FL665" s="567"/>
      <c r="FM665" s="567"/>
      <c r="FN665" s="567"/>
      <c r="FO665" s="567"/>
      <c r="FP665" s="567"/>
      <c r="FQ665" s="567"/>
      <c r="FR665" s="567"/>
      <c r="FS665" s="567"/>
      <c r="FT665" s="567"/>
      <c r="FU665" s="567"/>
      <c r="FV665" s="567"/>
      <c r="FW665" s="567"/>
      <c r="FX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  <c r="BW666" s="567"/>
      <c r="BX666" s="567"/>
      <c r="BY666" s="567"/>
      <c r="BZ666" s="567"/>
      <c r="CA666" s="567"/>
      <c r="CB666" s="567"/>
      <c r="CC666" s="567"/>
      <c r="CD666" s="567"/>
      <c r="CE666" s="567"/>
      <c r="CF666" s="567"/>
      <c r="CG666" s="567"/>
      <c r="CH666" s="567"/>
      <c r="CI666" s="567"/>
      <c r="CJ666" s="567"/>
      <c r="CK666" s="567"/>
      <c r="CL666" s="567"/>
      <c r="CM666" s="567"/>
      <c r="CN666" s="567"/>
      <c r="CO666" s="567"/>
      <c r="CP666" s="567"/>
      <c r="CQ666" s="567"/>
      <c r="CR666" s="567"/>
      <c r="CS666" s="567"/>
      <c r="CT666" s="567"/>
      <c r="CU666" s="567"/>
      <c r="CV666" s="567"/>
      <c r="CW666" s="567"/>
      <c r="CX666" s="567"/>
      <c r="CY666" s="567"/>
      <c r="CZ666" s="567"/>
      <c r="DA666" s="567"/>
      <c r="DB666" s="567"/>
      <c r="DC666" s="567"/>
      <c r="DD666" s="567"/>
      <c r="DE666" s="567"/>
      <c r="DF666" s="567"/>
      <c r="DG666" s="567"/>
      <c r="DH666" s="567"/>
      <c r="DI666" s="567"/>
      <c r="DJ666" s="567"/>
      <c r="DK666" s="567"/>
      <c r="DL666" s="567"/>
      <c r="DM666" s="567"/>
      <c r="DN666" s="567"/>
      <c r="DO666" s="567"/>
      <c r="DP666" s="567"/>
      <c r="DQ666" s="567"/>
      <c r="DR666" s="567"/>
      <c r="DS666" s="567"/>
      <c r="DT666" s="567"/>
      <c r="DU666" s="567"/>
      <c r="DV666" s="567"/>
      <c r="DW666" s="567"/>
      <c r="DX666" s="567"/>
      <c r="DY666" s="567"/>
      <c r="DZ666" s="567"/>
      <c r="EA666" s="567"/>
      <c r="EB666" s="567"/>
      <c r="EC666" s="567"/>
      <c r="ED666" s="567"/>
      <c r="EE666" s="567"/>
      <c r="EF666" s="567"/>
      <c r="EG666" s="567"/>
      <c r="EH666" s="567"/>
      <c r="EI666" s="567"/>
      <c r="EJ666" s="567"/>
      <c r="EK666" s="567"/>
      <c r="EL666" s="567"/>
      <c r="EM666" s="567"/>
      <c r="EN666" s="567"/>
      <c r="EO666" s="567"/>
      <c r="EP666" s="567"/>
      <c r="EQ666" s="567"/>
      <c r="ER666" s="567"/>
      <c r="ES666" s="567"/>
      <c r="ET666" s="567"/>
      <c r="EU666" s="567"/>
      <c r="EV666" s="567"/>
      <c r="EW666" s="567"/>
      <c r="EX666" s="567"/>
      <c r="EY666" s="567"/>
      <c r="EZ666" s="567"/>
      <c r="FA666" s="567"/>
      <c r="FB666" s="567"/>
      <c r="FC666" s="567"/>
      <c r="FD666" s="567"/>
      <c r="FE666" s="567"/>
      <c r="FF666" s="567"/>
      <c r="FG666" s="567"/>
      <c r="FH666" s="567"/>
      <c r="FI666" s="567"/>
      <c r="FJ666" s="567"/>
      <c r="FK666" s="567"/>
      <c r="FL666" s="567"/>
      <c r="FM666" s="567"/>
      <c r="FN666" s="567"/>
      <c r="FO666" s="567"/>
      <c r="FP666" s="567"/>
      <c r="FQ666" s="567"/>
      <c r="FR666" s="567"/>
      <c r="FS666" s="567"/>
      <c r="FT666" s="567"/>
      <c r="FU666" s="567"/>
      <c r="FV666" s="567"/>
      <c r="FW666" s="567"/>
      <c r="FX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  <c r="BW667" s="567"/>
      <c r="BX667" s="567"/>
      <c r="BY667" s="567"/>
      <c r="BZ667" s="567"/>
      <c r="CA667" s="567"/>
      <c r="CB667" s="567"/>
      <c r="CC667" s="567"/>
      <c r="CD667" s="567"/>
      <c r="CE667" s="567"/>
      <c r="CF667" s="567"/>
      <c r="CG667" s="567"/>
      <c r="CH667" s="567"/>
      <c r="CI667" s="567"/>
      <c r="CJ667" s="567"/>
      <c r="CK667" s="567"/>
      <c r="CL667" s="567"/>
      <c r="CM667" s="567"/>
      <c r="CN667" s="567"/>
      <c r="CO667" s="567"/>
      <c r="CP667" s="567"/>
      <c r="CQ667" s="567"/>
      <c r="CR667" s="567"/>
      <c r="CS667" s="567"/>
      <c r="CT667" s="567"/>
      <c r="CU667" s="567"/>
      <c r="CV667" s="567"/>
      <c r="CW667" s="567"/>
      <c r="CX667" s="567"/>
      <c r="CY667" s="567"/>
      <c r="CZ667" s="567"/>
      <c r="DA667" s="567"/>
      <c r="DB667" s="567"/>
      <c r="DC667" s="567"/>
      <c r="DD667" s="567"/>
      <c r="DE667" s="567"/>
      <c r="DF667" s="567"/>
      <c r="DG667" s="567"/>
      <c r="DH667" s="567"/>
      <c r="DI667" s="567"/>
      <c r="DJ667" s="567"/>
      <c r="DK667" s="567"/>
      <c r="DL667" s="567"/>
      <c r="DM667" s="567"/>
      <c r="DN667" s="567"/>
      <c r="DO667" s="567"/>
      <c r="DP667" s="567"/>
      <c r="DQ667" s="567"/>
      <c r="DR667" s="567"/>
      <c r="DS667" s="567"/>
      <c r="DT667" s="567"/>
      <c r="DU667" s="567"/>
      <c r="DV667" s="567"/>
      <c r="DW667" s="567"/>
      <c r="DX667" s="567"/>
      <c r="DY667" s="567"/>
      <c r="DZ667" s="567"/>
      <c r="EA667" s="567"/>
      <c r="EB667" s="567"/>
      <c r="EC667" s="567"/>
      <c r="ED667" s="567"/>
      <c r="EE667" s="567"/>
      <c r="EF667" s="567"/>
      <c r="EG667" s="567"/>
      <c r="EH667" s="567"/>
      <c r="EI667" s="567"/>
      <c r="EJ667" s="567"/>
      <c r="EK667" s="567"/>
      <c r="EL667" s="567"/>
      <c r="EM667" s="567"/>
      <c r="EN667" s="567"/>
      <c r="EO667" s="567"/>
      <c r="EP667" s="567"/>
      <c r="EQ667" s="567"/>
      <c r="ER667" s="567"/>
      <c r="ES667" s="567"/>
      <c r="ET667" s="567"/>
      <c r="EU667" s="567"/>
      <c r="EV667" s="567"/>
      <c r="EW667" s="567"/>
      <c r="EX667" s="567"/>
      <c r="EY667" s="567"/>
      <c r="EZ667" s="567"/>
      <c r="FA667" s="567"/>
      <c r="FB667" s="567"/>
      <c r="FC667" s="567"/>
      <c r="FD667" s="567"/>
      <c r="FE667" s="567"/>
      <c r="FF667" s="567"/>
      <c r="FG667" s="567"/>
      <c r="FH667" s="567"/>
      <c r="FI667" s="567"/>
      <c r="FJ667" s="567"/>
      <c r="FK667" s="567"/>
      <c r="FL667" s="567"/>
      <c r="FM667" s="567"/>
      <c r="FN667" s="567"/>
      <c r="FO667" s="567"/>
      <c r="FP667" s="567"/>
      <c r="FQ667" s="567"/>
      <c r="FR667" s="567"/>
      <c r="FS667" s="567"/>
      <c r="FT667" s="567"/>
      <c r="FU667" s="567"/>
      <c r="FV667" s="567"/>
      <c r="FW667" s="567"/>
      <c r="FX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  <c r="BW668" s="567"/>
      <c r="BX668" s="567"/>
      <c r="BY668" s="567"/>
      <c r="BZ668" s="567"/>
      <c r="CA668" s="567"/>
      <c r="CB668" s="567"/>
      <c r="CC668" s="567"/>
      <c r="CD668" s="567"/>
      <c r="CE668" s="567"/>
      <c r="CF668" s="567"/>
      <c r="CG668" s="567"/>
      <c r="CH668" s="567"/>
      <c r="CI668" s="567"/>
      <c r="CJ668" s="567"/>
      <c r="CK668" s="567"/>
      <c r="CL668" s="567"/>
      <c r="CM668" s="567"/>
      <c r="CN668" s="567"/>
      <c r="CO668" s="567"/>
      <c r="CP668" s="567"/>
      <c r="CQ668" s="567"/>
      <c r="CR668" s="567"/>
      <c r="CS668" s="567"/>
      <c r="CT668" s="567"/>
      <c r="CU668" s="567"/>
      <c r="CV668" s="567"/>
      <c r="CW668" s="567"/>
      <c r="CX668" s="567"/>
      <c r="CY668" s="567"/>
      <c r="CZ668" s="567"/>
      <c r="DA668" s="567"/>
      <c r="DB668" s="567"/>
      <c r="DC668" s="567"/>
      <c r="DD668" s="567"/>
      <c r="DE668" s="567"/>
      <c r="DF668" s="567"/>
      <c r="DG668" s="567"/>
      <c r="DH668" s="567"/>
      <c r="DI668" s="567"/>
      <c r="DJ668" s="567"/>
      <c r="DK668" s="567"/>
      <c r="DL668" s="567"/>
      <c r="DM668" s="567"/>
      <c r="DN668" s="567"/>
      <c r="DO668" s="567"/>
      <c r="DP668" s="567"/>
      <c r="DQ668" s="567"/>
      <c r="DR668" s="567"/>
      <c r="DS668" s="567"/>
      <c r="DT668" s="567"/>
      <c r="DU668" s="567"/>
      <c r="DV668" s="567"/>
      <c r="DW668" s="567"/>
      <c r="DX668" s="567"/>
      <c r="DY668" s="567"/>
      <c r="DZ668" s="567"/>
      <c r="EA668" s="567"/>
      <c r="EB668" s="567"/>
      <c r="EC668" s="567"/>
      <c r="ED668" s="567"/>
      <c r="EE668" s="567"/>
      <c r="EF668" s="567"/>
      <c r="EG668" s="567"/>
      <c r="EH668" s="567"/>
      <c r="EI668" s="567"/>
      <c r="EJ668" s="567"/>
      <c r="EK668" s="567"/>
      <c r="EL668" s="567"/>
      <c r="EM668" s="567"/>
      <c r="EN668" s="567"/>
      <c r="EO668" s="567"/>
      <c r="EP668" s="567"/>
      <c r="EQ668" s="567"/>
      <c r="ER668" s="567"/>
      <c r="ES668" s="567"/>
      <c r="ET668" s="567"/>
      <c r="EU668" s="567"/>
      <c r="EV668" s="567"/>
      <c r="EW668" s="567"/>
      <c r="EX668" s="567"/>
      <c r="EY668" s="567"/>
      <c r="EZ668" s="567"/>
      <c r="FA668" s="567"/>
      <c r="FB668" s="567"/>
      <c r="FC668" s="567"/>
      <c r="FD668" s="567"/>
      <c r="FE668" s="567"/>
      <c r="FF668" s="567"/>
      <c r="FG668" s="567"/>
      <c r="FH668" s="567"/>
      <c r="FI668" s="567"/>
      <c r="FJ668" s="567"/>
      <c r="FK668" s="567"/>
      <c r="FL668" s="567"/>
      <c r="FM668" s="567"/>
      <c r="FN668" s="567"/>
      <c r="FO668" s="567"/>
      <c r="FP668" s="567"/>
      <c r="FQ668" s="567"/>
      <c r="FR668" s="567"/>
      <c r="FS668" s="567"/>
      <c r="FT668" s="567"/>
      <c r="FU668" s="567"/>
      <c r="FV668" s="567"/>
      <c r="FW668" s="567"/>
      <c r="FX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  <c r="BW669" s="567"/>
      <c r="BX669" s="567"/>
      <c r="BY669" s="567"/>
      <c r="BZ669" s="567"/>
      <c r="CA669" s="567"/>
      <c r="CB669" s="567"/>
      <c r="CC669" s="567"/>
      <c r="CD669" s="567"/>
      <c r="CE669" s="567"/>
      <c r="CF669" s="567"/>
      <c r="CG669" s="567"/>
      <c r="CH669" s="567"/>
      <c r="CI669" s="567"/>
      <c r="CJ669" s="567"/>
      <c r="CK669" s="567"/>
      <c r="CL669" s="567"/>
      <c r="CM669" s="567"/>
      <c r="CN669" s="567"/>
      <c r="CO669" s="567"/>
      <c r="CP669" s="567"/>
      <c r="CQ669" s="567"/>
      <c r="CR669" s="567"/>
      <c r="CS669" s="567"/>
      <c r="CT669" s="567"/>
      <c r="CU669" s="567"/>
      <c r="CV669" s="567"/>
      <c r="CW669" s="567"/>
      <c r="CX669" s="567"/>
      <c r="CY669" s="567"/>
      <c r="CZ669" s="567"/>
      <c r="DA669" s="567"/>
      <c r="DB669" s="567"/>
      <c r="DC669" s="567"/>
      <c r="DD669" s="567"/>
      <c r="DE669" s="567"/>
      <c r="DF669" s="567"/>
      <c r="DG669" s="567"/>
      <c r="DH669" s="567"/>
      <c r="DI669" s="567"/>
      <c r="DJ669" s="567"/>
      <c r="DK669" s="567"/>
      <c r="DL669" s="567"/>
      <c r="DM669" s="567"/>
      <c r="DN669" s="567"/>
      <c r="DO669" s="567"/>
      <c r="DP669" s="567"/>
      <c r="DQ669" s="567"/>
      <c r="DR669" s="567"/>
      <c r="DS669" s="567"/>
      <c r="DT669" s="567"/>
      <c r="DU669" s="567"/>
      <c r="DV669" s="567"/>
      <c r="DW669" s="567"/>
      <c r="DX669" s="567"/>
      <c r="DY669" s="567"/>
      <c r="DZ669" s="567"/>
      <c r="EA669" s="567"/>
      <c r="EB669" s="567"/>
      <c r="EC669" s="567"/>
      <c r="ED669" s="567"/>
      <c r="EE669" s="567"/>
      <c r="EF669" s="567"/>
      <c r="EG669" s="567"/>
      <c r="EH669" s="567"/>
      <c r="EI669" s="567"/>
      <c r="EJ669" s="567"/>
      <c r="EK669" s="567"/>
      <c r="EL669" s="567"/>
      <c r="EM669" s="567"/>
      <c r="EN669" s="567"/>
      <c r="EO669" s="567"/>
      <c r="EP669" s="567"/>
      <c r="EQ669" s="567"/>
      <c r="ER669" s="567"/>
      <c r="ES669" s="567"/>
      <c r="ET669" s="567"/>
      <c r="EU669" s="567"/>
      <c r="EV669" s="567"/>
      <c r="EW669" s="567"/>
      <c r="EX669" s="567"/>
      <c r="EY669" s="567"/>
      <c r="EZ669" s="567"/>
      <c r="FA669" s="567"/>
      <c r="FB669" s="567"/>
      <c r="FC669" s="567"/>
      <c r="FD669" s="567"/>
      <c r="FE669" s="567"/>
      <c r="FF669" s="567"/>
      <c r="FG669" s="567"/>
      <c r="FH669" s="567"/>
      <c r="FI669" s="567"/>
      <c r="FJ669" s="567"/>
      <c r="FK669" s="567"/>
      <c r="FL669" s="567"/>
      <c r="FM669" s="567"/>
      <c r="FN669" s="567"/>
      <c r="FO669" s="567"/>
      <c r="FP669" s="567"/>
      <c r="FQ669" s="567"/>
      <c r="FR669" s="567"/>
      <c r="FS669" s="567"/>
      <c r="FT669" s="567"/>
      <c r="FU669" s="567"/>
      <c r="FV669" s="567"/>
      <c r="FW669" s="567"/>
      <c r="FX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  <c r="BW670" s="567"/>
      <c r="BX670" s="567"/>
      <c r="BY670" s="567"/>
      <c r="BZ670" s="567"/>
      <c r="CA670" s="567"/>
      <c r="CB670" s="567"/>
      <c r="CC670" s="567"/>
      <c r="CD670" s="567"/>
      <c r="CE670" s="567"/>
      <c r="CF670" s="567"/>
      <c r="CG670" s="567"/>
      <c r="CH670" s="567"/>
      <c r="CI670" s="567"/>
      <c r="CJ670" s="567"/>
      <c r="CK670" s="567"/>
      <c r="CL670" s="567"/>
      <c r="CM670" s="567"/>
      <c r="CN670" s="567"/>
      <c r="CO670" s="567"/>
      <c r="CP670" s="567"/>
      <c r="CQ670" s="567"/>
      <c r="CR670" s="567"/>
      <c r="CS670" s="567"/>
      <c r="CT670" s="567"/>
      <c r="CU670" s="567"/>
      <c r="CV670" s="567"/>
      <c r="CW670" s="567"/>
      <c r="CX670" s="567"/>
      <c r="CY670" s="567"/>
      <c r="CZ670" s="567"/>
      <c r="DA670" s="567"/>
      <c r="DB670" s="567"/>
      <c r="DC670" s="567"/>
      <c r="DD670" s="567"/>
      <c r="DE670" s="567"/>
      <c r="DF670" s="567"/>
      <c r="DG670" s="567"/>
      <c r="DH670" s="567"/>
      <c r="DI670" s="567"/>
      <c r="DJ670" s="567"/>
      <c r="DK670" s="567"/>
      <c r="DL670" s="567"/>
      <c r="DM670" s="567"/>
      <c r="DN670" s="567"/>
      <c r="DO670" s="567"/>
      <c r="DP670" s="567"/>
      <c r="DQ670" s="567"/>
      <c r="DR670" s="567"/>
      <c r="DS670" s="567"/>
      <c r="DT670" s="567"/>
      <c r="DU670" s="567"/>
      <c r="DV670" s="567"/>
      <c r="DW670" s="567"/>
      <c r="DX670" s="567"/>
      <c r="DY670" s="567"/>
      <c r="DZ670" s="567"/>
      <c r="EA670" s="567"/>
      <c r="EB670" s="567"/>
      <c r="EC670" s="567"/>
      <c r="ED670" s="567"/>
      <c r="EE670" s="567"/>
      <c r="EF670" s="567"/>
      <c r="EG670" s="567"/>
      <c r="EH670" s="567"/>
      <c r="EI670" s="567"/>
      <c r="EJ670" s="567"/>
      <c r="EK670" s="567"/>
      <c r="EL670" s="567"/>
      <c r="EM670" s="567"/>
      <c r="EN670" s="567"/>
      <c r="EO670" s="567"/>
      <c r="EP670" s="567"/>
      <c r="EQ670" s="567"/>
      <c r="ER670" s="567"/>
      <c r="ES670" s="567"/>
      <c r="ET670" s="567"/>
      <c r="EU670" s="567"/>
      <c r="EV670" s="567"/>
      <c r="EW670" s="567"/>
      <c r="EX670" s="567"/>
      <c r="EY670" s="567"/>
      <c r="EZ670" s="567"/>
      <c r="FA670" s="567"/>
      <c r="FB670" s="567"/>
      <c r="FC670" s="567"/>
      <c r="FD670" s="567"/>
      <c r="FE670" s="567"/>
      <c r="FF670" s="567"/>
      <c r="FG670" s="567"/>
      <c r="FH670" s="567"/>
      <c r="FI670" s="567"/>
      <c r="FJ670" s="567"/>
      <c r="FK670" s="567"/>
      <c r="FL670" s="567"/>
      <c r="FM670" s="567"/>
      <c r="FN670" s="567"/>
      <c r="FO670" s="567"/>
      <c r="FP670" s="567"/>
      <c r="FQ670" s="567"/>
      <c r="FR670" s="567"/>
      <c r="FS670" s="567"/>
      <c r="FT670" s="567"/>
      <c r="FU670" s="567"/>
      <c r="FV670" s="567"/>
      <c r="FW670" s="567"/>
      <c r="FX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  <c r="BW671" s="567"/>
      <c r="BX671" s="567"/>
      <c r="BY671" s="567"/>
      <c r="BZ671" s="567"/>
      <c r="CA671" s="567"/>
      <c r="CB671" s="567"/>
      <c r="CC671" s="567"/>
      <c r="CD671" s="567"/>
      <c r="CE671" s="567"/>
      <c r="CF671" s="567"/>
      <c r="CG671" s="567"/>
      <c r="CH671" s="567"/>
      <c r="CI671" s="567"/>
      <c r="CJ671" s="567"/>
      <c r="CK671" s="567"/>
      <c r="CL671" s="567"/>
      <c r="CM671" s="567"/>
      <c r="CN671" s="567"/>
      <c r="CO671" s="567"/>
      <c r="CP671" s="567"/>
      <c r="CQ671" s="567"/>
      <c r="CR671" s="567"/>
      <c r="CS671" s="567"/>
      <c r="CT671" s="567"/>
      <c r="CU671" s="567"/>
      <c r="CV671" s="567"/>
      <c r="CW671" s="567"/>
      <c r="CX671" s="567"/>
      <c r="CY671" s="567"/>
      <c r="CZ671" s="567"/>
      <c r="DA671" s="567"/>
      <c r="DB671" s="567"/>
      <c r="DC671" s="567"/>
      <c r="DD671" s="567"/>
      <c r="DE671" s="567"/>
      <c r="DF671" s="567"/>
      <c r="DG671" s="567"/>
      <c r="DH671" s="567"/>
      <c r="DI671" s="567"/>
      <c r="DJ671" s="567"/>
      <c r="DK671" s="567"/>
      <c r="DL671" s="567"/>
      <c r="DM671" s="567"/>
      <c r="DN671" s="567"/>
      <c r="DO671" s="567"/>
      <c r="DP671" s="567"/>
      <c r="DQ671" s="567"/>
      <c r="DR671" s="567"/>
      <c r="DS671" s="567"/>
      <c r="DT671" s="567"/>
      <c r="DU671" s="567"/>
      <c r="DV671" s="567"/>
      <c r="DW671" s="567"/>
      <c r="DX671" s="567"/>
      <c r="DY671" s="567"/>
      <c r="DZ671" s="567"/>
      <c r="EA671" s="567"/>
      <c r="EB671" s="567"/>
      <c r="EC671" s="567"/>
      <c r="ED671" s="567"/>
      <c r="EE671" s="567"/>
      <c r="EF671" s="567"/>
      <c r="EG671" s="567"/>
      <c r="EH671" s="567"/>
      <c r="EI671" s="567"/>
      <c r="EJ671" s="567"/>
      <c r="EK671" s="567"/>
      <c r="EL671" s="567"/>
      <c r="EM671" s="567"/>
      <c r="EN671" s="567"/>
      <c r="EO671" s="567"/>
      <c r="EP671" s="567"/>
      <c r="EQ671" s="567"/>
      <c r="ER671" s="567"/>
      <c r="ES671" s="567"/>
      <c r="ET671" s="567"/>
      <c r="EU671" s="567"/>
      <c r="EV671" s="567"/>
      <c r="EW671" s="567"/>
      <c r="EX671" s="567"/>
      <c r="EY671" s="567"/>
      <c r="EZ671" s="567"/>
      <c r="FA671" s="567"/>
      <c r="FB671" s="567"/>
      <c r="FC671" s="567"/>
      <c r="FD671" s="567"/>
      <c r="FE671" s="567"/>
      <c r="FF671" s="567"/>
      <c r="FG671" s="567"/>
      <c r="FH671" s="567"/>
      <c r="FI671" s="567"/>
      <c r="FJ671" s="567"/>
      <c r="FK671" s="567"/>
      <c r="FL671" s="567"/>
      <c r="FM671" s="567"/>
      <c r="FN671" s="567"/>
      <c r="FO671" s="567"/>
      <c r="FP671" s="567"/>
      <c r="FQ671" s="567"/>
      <c r="FR671" s="567"/>
      <c r="FS671" s="567"/>
      <c r="FT671" s="567"/>
      <c r="FU671" s="567"/>
      <c r="FV671" s="567"/>
      <c r="FW671" s="567"/>
      <c r="FX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  <c r="BW672" s="567"/>
      <c r="BX672" s="567"/>
      <c r="BY672" s="567"/>
      <c r="BZ672" s="567"/>
      <c r="CA672" s="567"/>
      <c r="CB672" s="567"/>
      <c r="CC672" s="567"/>
      <c r="CD672" s="567"/>
      <c r="CE672" s="567"/>
      <c r="CF672" s="567"/>
      <c r="CG672" s="567"/>
      <c r="CH672" s="567"/>
      <c r="CI672" s="567"/>
      <c r="CJ672" s="567"/>
      <c r="CK672" s="567"/>
      <c r="CL672" s="567"/>
      <c r="CM672" s="567"/>
      <c r="CN672" s="567"/>
      <c r="CO672" s="567"/>
      <c r="CP672" s="567"/>
      <c r="CQ672" s="567"/>
      <c r="CR672" s="567"/>
      <c r="CS672" s="567"/>
      <c r="CT672" s="567"/>
      <c r="CU672" s="567"/>
      <c r="CV672" s="567"/>
      <c r="CW672" s="567"/>
      <c r="CX672" s="567"/>
      <c r="CY672" s="567"/>
      <c r="CZ672" s="567"/>
      <c r="DA672" s="567"/>
      <c r="DB672" s="567"/>
      <c r="DC672" s="567"/>
      <c r="DD672" s="567"/>
      <c r="DE672" s="567"/>
      <c r="DF672" s="567"/>
      <c r="DG672" s="567"/>
      <c r="DH672" s="567"/>
      <c r="DI672" s="567"/>
      <c r="DJ672" s="567"/>
      <c r="DK672" s="567"/>
      <c r="DL672" s="567"/>
      <c r="DM672" s="567"/>
      <c r="DN672" s="567"/>
      <c r="DO672" s="567"/>
      <c r="DP672" s="567"/>
      <c r="DQ672" s="567"/>
      <c r="DR672" s="567"/>
      <c r="DS672" s="567"/>
      <c r="DT672" s="567"/>
      <c r="DU672" s="567"/>
      <c r="DV672" s="567"/>
      <c r="DW672" s="567"/>
      <c r="DX672" s="567"/>
      <c r="DY672" s="567"/>
      <c r="DZ672" s="567"/>
      <c r="EA672" s="567"/>
      <c r="EB672" s="567"/>
      <c r="EC672" s="567"/>
      <c r="ED672" s="567"/>
      <c r="EE672" s="567"/>
      <c r="EF672" s="567"/>
      <c r="EG672" s="567"/>
      <c r="EH672" s="567"/>
      <c r="EI672" s="567"/>
      <c r="EJ672" s="567"/>
      <c r="EK672" s="567"/>
      <c r="EL672" s="567"/>
      <c r="EM672" s="567"/>
      <c r="EN672" s="567"/>
      <c r="EO672" s="567"/>
      <c r="EP672" s="567"/>
      <c r="EQ672" s="567"/>
      <c r="ER672" s="567"/>
      <c r="ES672" s="567"/>
      <c r="ET672" s="567"/>
      <c r="EU672" s="567"/>
      <c r="EV672" s="567"/>
      <c r="EW672" s="567"/>
      <c r="EX672" s="567"/>
      <c r="EY672" s="567"/>
      <c r="EZ672" s="567"/>
      <c r="FA672" s="567"/>
      <c r="FB672" s="567"/>
      <c r="FC672" s="567"/>
      <c r="FD672" s="567"/>
      <c r="FE672" s="567"/>
      <c r="FF672" s="567"/>
      <c r="FG672" s="567"/>
      <c r="FH672" s="567"/>
      <c r="FI672" s="567"/>
      <c r="FJ672" s="567"/>
      <c r="FK672" s="567"/>
      <c r="FL672" s="567"/>
      <c r="FM672" s="567"/>
      <c r="FN672" s="567"/>
      <c r="FO672" s="567"/>
      <c r="FP672" s="567"/>
      <c r="FQ672" s="567"/>
      <c r="FR672" s="567"/>
      <c r="FS672" s="567"/>
      <c r="FT672" s="567"/>
      <c r="FU672" s="567"/>
      <c r="FV672" s="567"/>
      <c r="FW672" s="567"/>
      <c r="FX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  <c r="BW673" s="567"/>
      <c r="BX673" s="567"/>
      <c r="BY673" s="567"/>
      <c r="BZ673" s="567"/>
      <c r="CA673" s="567"/>
      <c r="CB673" s="567"/>
      <c r="CC673" s="567"/>
      <c r="CD673" s="567"/>
      <c r="CE673" s="567"/>
      <c r="CF673" s="567"/>
      <c r="CG673" s="567"/>
      <c r="CH673" s="567"/>
      <c r="CI673" s="567"/>
      <c r="CJ673" s="567"/>
      <c r="CK673" s="567"/>
      <c r="CL673" s="567"/>
      <c r="CM673" s="567"/>
      <c r="CN673" s="567"/>
      <c r="CO673" s="567"/>
      <c r="CP673" s="567"/>
      <c r="CQ673" s="567"/>
      <c r="CR673" s="567"/>
      <c r="CS673" s="567"/>
      <c r="CT673" s="567"/>
      <c r="CU673" s="567"/>
      <c r="CV673" s="567"/>
      <c r="CW673" s="567"/>
      <c r="CX673" s="567"/>
      <c r="CY673" s="567"/>
      <c r="CZ673" s="567"/>
      <c r="DA673" s="567"/>
      <c r="DB673" s="567"/>
      <c r="DC673" s="567"/>
      <c r="DD673" s="567"/>
      <c r="DE673" s="567"/>
      <c r="DF673" s="567"/>
      <c r="DG673" s="567"/>
      <c r="DH673" s="567"/>
      <c r="DI673" s="567"/>
      <c r="DJ673" s="567"/>
      <c r="DK673" s="567"/>
      <c r="DL673" s="567"/>
      <c r="DM673" s="567"/>
      <c r="DN673" s="567"/>
      <c r="DO673" s="567"/>
      <c r="DP673" s="567"/>
      <c r="DQ673" s="567"/>
      <c r="DR673" s="567"/>
      <c r="DS673" s="567"/>
      <c r="DT673" s="567"/>
      <c r="DU673" s="567"/>
      <c r="DV673" s="567"/>
      <c r="DW673" s="567"/>
      <c r="DX673" s="567"/>
      <c r="DY673" s="567"/>
      <c r="DZ673" s="567"/>
      <c r="EA673" s="567"/>
      <c r="EB673" s="567"/>
      <c r="EC673" s="567"/>
      <c r="ED673" s="567"/>
      <c r="EE673" s="567"/>
      <c r="EF673" s="567"/>
      <c r="EG673" s="567"/>
      <c r="EH673" s="567"/>
      <c r="EI673" s="567"/>
      <c r="EJ673" s="567"/>
      <c r="EK673" s="567"/>
      <c r="EL673" s="567"/>
      <c r="EM673" s="567"/>
      <c r="EN673" s="567"/>
      <c r="EO673" s="567"/>
      <c r="EP673" s="567"/>
      <c r="EQ673" s="567"/>
      <c r="ER673" s="567"/>
      <c r="ES673" s="567"/>
      <c r="ET673" s="567"/>
      <c r="EU673" s="567"/>
      <c r="EV673" s="567"/>
      <c r="EW673" s="567"/>
      <c r="EX673" s="567"/>
      <c r="EY673" s="567"/>
      <c r="EZ673" s="567"/>
      <c r="FA673" s="567"/>
      <c r="FB673" s="567"/>
      <c r="FC673" s="567"/>
      <c r="FD673" s="567"/>
      <c r="FE673" s="567"/>
      <c r="FF673" s="567"/>
      <c r="FG673" s="567"/>
      <c r="FH673" s="567"/>
      <c r="FI673" s="567"/>
      <c r="FJ673" s="567"/>
      <c r="FK673" s="567"/>
      <c r="FL673" s="567"/>
      <c r="FM673" s="567"/>
      <c r="FN673" s="567"/>
      <c r="FO673" s="567"/>
      <c r="FP673" s="567"/>
      <c r="FQ673" s="567"/>
      <c r="FR673" s="567"/>
      <c r="FS673" s="567"/>
      <c r="FT673" s="567"/>
      <c r="FU673" s="567"/>
      <c r="FV673" s="567"/>
      <c r="FW673" s="567"/>
      <c r="FX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  <c r="BW674" s="567"/>
      <c r="BX674" s="567"/>
      <c r="BY674" s="567"/>
      <c r="BZ674" s="567"/>
      <c r="CA674" s="567"/>
      <c r="CB674" s="567"/>
      <c r="CC674" s="567"/>
      <c r="CD674" s="567"/>
      <c r="CE674" s="567"/>
      <c r="CF674" s="567"/>
      <c r="CG674" s="567"/>
      <c r="CH674" s="567"/>
      <c r="CI674" s="567"/>
      <c r="CJ674" s="567"/>
      <c r="CK674" s="567"/>
      <c r="CL674" s="567"/>
      <c r="CM674" s="567"/>
      <c r="CN674" s="567"/>
      <c r="CO674" s="567"/>
      <c r="CP674" s="567"/>
      <c r="CQ674" s="567"/>
      <c r="CR674" s="567"/>
      <c r="CS674" s="567"/>
      <c r="CT674" s="567"/>
      <c r="CU674" s="567"/>
      <c r="CV674" s="567"/>
      <c r="CW674" s="567"/>
      <c r="CX674" s="567"/>
      <c r="CY674" s="567"/>
      <c r="CZ674" s="567"/>
      <c r="DA674" s="567"/>
      <c r="DB674" s="567"/>
      <c r="DC674" s="567"/>
      <c r="DD674" s="567"/>
      <c r="DE674" s="567"/>
      <c r="DF674" s="567"/>
      <c r="DG674" s="567"/>
      <c r="DH674" s="567"/>
      <c r="DI674" s="567"/>
      <c r="DJ674" s="567"/>
      <c r="DK674" s="567"/>
      <c r="DL674" s="567"/>
      <c r="DM674" s="567"/>
      <c r="DN674" s="567"/>
      <c r="DO674" s="567"/>
      <c r="DP674" s="567"/>
      <c r="DQ674" s="567"/>
      <c r="DR674" s="567"/>
      <c r="DS674" s="567"/>
      <c r="DT674" s="567"/>
      <c r="DU674" s="567"/>
      <c r="DV674" s="567"/>
      <c r="DW674" s="567"/>
      <c r="DX674" s="567"/>
      <c r="DY674" s="567"/>
      <c r="DZ674" s="567"/>
      <c r="EA674" s="567"/>
      <c r="EB674" s="567"/>
      <c r="EC674" s="567"/>
      <c r="ED674" s="567"/>
      <c r="EE674" s="567"/>
      <c r="EF674" s="567"/>
      <c r="EG674" s="567"/>
      <c r="EH674" s="567"/>
      <c r="EI674" s="567"/>
      <c r="EJ674" s="567"/>
      <c r="EK674" s="567"/>
      <c r="EL674" s="567"/>
      <c r="EM674" s="567"/>
      <c r="EN674" s="567"/>
      <c r="EO674" s="567"/>
      <c r="EP674" s="567"/>
      <c r="EQ674" s="567"/>
      <c r="ER674" s="567"/>
      <c r="ES674" s="567"/>
      <c r="ET674" s="567"/>
      <c r="EU674" s="567"/>
      <c r="EV674" s="567"/>
      <c r="EW674" s="567"/>
      <c r="EX674" s="567"/>
      <c r="EY674" s="567"/>
      <c r="EZ674" s="567"/>
      <c r="FA674" s="567"/>
      <c r="FB674" s="567"/>
      <c r="FC674" s="567"/>
      <c r="FD674" s="567"/>
      <c r="FE674" s="567"/>
      <c r="FF674" s="567"/>
      <c r="FG674" s="567"/>
      <c r="FH674" s="567"/>
      <c r="FI674" s="567"/>
      <c r="FJ674" s="567"/>
      <c r="FK674" s="567"/>
      <c r="FL674" s="567"/>
      <c r="FM674" s="567"/>
      <c r="FN674" s="567"/>
      <c r="FO674" s="567"/>
      <c r="FP674" s="567"/>
      <c r="FQ674" s="567"/>
      <c r="FR674" s="567"/>
      <c r="FS674" s="567"/>
      <c r="FT674" s="567"/>
      <c r="FU674" s="567"/>
      <c r="FV674" s="567"/>
      <c r="FW674" s="567"/>
      <c r="FX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  <c r="BW675" s="567"/>
      <c r="BX675" s="567"/>
      <c r="BY675" s="567"/>
      <c r="BZ675" s="567"/>
      <c r="CA675" s="567"/>
      <c r="CB675" s="567"/>
      <c r="CC675" s="567"/>
      <c r="CD675" s="567"/>
      <c r="CE675" s="567"/>
      <c r="CF675" s="567"/>
      <c r="CG675" s="567"/>
      <c r="CH675" s="567"/>
      <c r="CI675" s="567"/>
      <c r="CJ675" s="567"/>
      <c r="CK675" s="567"/>
      <c r="CL675" s="567"/>
      <c r="CM675" s="567"/>
      <c r="CN675" s="567"/>
      <c r="CO675" s="567"/>
      <c r="CP675" s="567"/>
      <c r="CQ675" s="567"/>
      <c r="CR675" s="567"/>
      <c r="CS675" s="567"/>
      <c r="CT675" s="567"/>
      <c r="CU675" s="567"/>
      <c r="CV675" s="567"/>
      <c r="CW675" s="567"/>
      <c r="CX675" s="567"/>
      <c r="CY675" s="567"/>
      <c r="CZ675" s="567"/>
      <c r="DA675" s="567"/>
      <c r="DB675" s="567"/>
      <c r="DC675" s="567"/>
      <c r="DD675" s="567"/>
      <c r="DE675" s="567"/>
      <c r="DF675" s="567"/>
      <c r="DG675" s="567"/>
      <c r="DH675" s="567"/>
      <c r="DI675" s="567"/>
      <c r="DJ675" s="567"/>
      <c r="DK675" s="567"/>
      <c r="DL675" s="567"/>
      <c r="DM675" s="567"/>
      <c r="DN675" s="567"/>
      <c r="DO675" s="567"/>
      <c r="DP675" s="567"/>
      <c r="DQ675" s="567"/>
      <c r="DR675" s="567"/>
      <c r="DS675" s="567"/>
      <c r="DT675" s="567"/>
      <c r="DU675" s="567"/>
      <c r="DV675" s="567"/>
      <c r="DW675" s="567"/>
      <c r="DX675" s="567"/>
      <c r="DY675" s="567"/>
      <c r="DZ675" s="567"/>
      <c r="EA675" s="567"/>
      <c r="EB675" s="567"/>
      <c r="EC675" s="567"/>
      <c r="ED675" s="567"/>
      <c r="EE675" s="567"/>
      <c r="EF675" s="567"/>
      <c r="EG675" s="567"/>
      <c r="EH675" s="567"/>
      <c r="EI675" s="567"/>
      <c r="EJ675" s="567"/>
      <c r="EK675" s="567"/>
      <c r="EL675" s="567"/>
      <c r="EM675" s="567"/>
      <c r="EN675" s="567"/>
      <c r="EO675" s="567"/>
      <c r="EP675" s="567"/>
      <c r="EQ675" s="567"/>
      <c r="ER675" s="567"/>
      <c r="ES675" s="567"/>
      <c r="ET675" s="567"/>
      <c r="EU675" s="567"/>
      <c r="EV675" s="567"/>
      <c r="EW675" s="567"/>
      <c r="EX675" s="567"/>
      <c r="EY675" s="567"/>
      <c r="EZ675" s="567"/>
      <c r="FA675" s="567"/>
      <c r="FB675" s="567"/>
      <c r="FC675" s="567"/>
      <c r="FD675" s="567"/>
      <c r="FE675" s="567"/>
      <c r="FF675" s="567"/>
      <c r="FG675" s="567"/>
      <c r="FH675" s="567"/>
      <c r="FI675" s="567"/>
      <c r="FJ675" s="567"/>
      <c r="FK675" s="567"/>
      <c r="FL675" s="567"/>
      <c r="FM675" s="567"/>
      <c r="FN675" s="567"/>
      <c r="FO675" s="567"/>
      <c r="FP675" s="567"/>
      <c r="FQ675" s="567"/>
      <c r="FR675" s="567"/>
      <c r="FS675" s="567"/>
      <c r="FT675" s="567"/>
      <c r="FU675" s="567"/>
      <c r="FV675" s="567"/>
      <c r="FW675" s="567"/>
      <c r="FX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  <c r="BW676" s="567"/>
      <c r="BX676" s="567"/>
      <c r="BY676" s="567"/>
      <c r="BZ676" s="567"/>
      <c r="CA676" s="567"/>
      <c r="CB676" s="567"/>
      <c r="CC676" s="567"/>
      <c r="CD676" s="567"/>
      <c r="CE676" s="567"/>
      <c r="CF676" s="567"/>
      <c r="CG676" s="567"/>
      <c r="CH676" s="567"/>
      <c r="CI676" s="567"/>
      <c r="CJ676" s="567"/>
      <c r="CK676" s="567"/>
      <c r="CL676" s="567"/>
      <c r="CM676" s="567"/>
      <c r="CN676" s="567"/>
      <c r="CO676" s="567"/>
      <c r="CP676" s="567"/>
      <c r="CQ676" s="567"/>
      <c r="CR676" s="567"/>
      <c r="CS676" s="567"/>
      <c r="CT676" s="567"/>
      <c r="CU676" s="567"/>
      <c r="CV676" s="567"/>
      <c r="CW676" s="567"/>
      <c r="CX676" s="567"/>
      <c r="CY676" s="567"/>
      <c r="CZ676" s="567"/>
      <c r="DA676" s="567"/>
      <c r="DB676" s="567"/>
      <c r="DC676" s="567"/>
      <c r="DD676" s="567"/>
      <c r="DE676" s="567"/>
      <c r="DF676" s="567"/>
      <c r="DG676" s="567"/>
      <c r="DH676" s="567"/>
      <c r="DI676" s="567"/>
      <c r="DJ676" s="567"/>
      <c r="DK676" s="567"/>
      <c r="DL676" s="567"/>
      <c r="DM676" s="567"/>
      <c r="DN676" s="567"/>
      <c r="DO676" s="567"/>
      <c r="DP676" s="567"/>
      <c r="DQ676" s="567"/>
      <c r="DR676" s="567"/>
      <c r="DS676" s="567"/>
      <c r="DT676" s="567"/>
      <c r="DU676" s="567"/>
      <c r="DV676" s="567"/>
      <c r="DW676" s="567"/>
      <c r="DX676" s="567"/>
      <c r="DY676" s="567"/>
      <c r="DZ676" s="567"/>
      <c r="EA676" s="567"/>
      <c r="EB676" s="567"/>
      <c r="EC676" s="567"/>
      <c r="ED676" s="567"/>
      <c r="EE676" s="567"/>
      <c r="EF676" s="567"/>
      <c r="EG676" s="567"/>
      <c r="EH676" s="567"/>
      <c r="EI676" s="567"/>
      <c r="EJ676" s="567"/>
      <c r="EK676" s="567"/>
      <c r="EL676" s="567"/>
      <c r="EM676" s="567"/>
      <c r="EN676" s="567"/>
      <c r="EO676" s="567"/>
      <c r="EP676" s="567"/>
      <c r="EQ676" s="567"/>
      <c r="ER676" s="567"/>
      <c r="ES676" s="567"/>
      <c r="ET676" s="567"/>
      <c r="EU676" s="567"/>
      <c r="EV676" s="567"/>
      <c r="EW676" s="567"/>
      <c r="EX676" s="567"/>
      <c r="EY676" s="567"/>
      <c r="EZ676" s="567"/>
      <c r="FA676" s="567"/>
      <c r="FB676" s="567"/>
      <c r="FC676" s="567"/>
      <c r="FD676" s="567"/>
      <c r="FE676" s="567"/>
      <c r="FF676" s="567"/>
      <c r="FG676" s="567"/>
      <c r="FH676" s="567"/>
      <c r="FI676" s="567"/>
      <c r="FJ676" s="567"/>
      <c r="FK676" s="567"/>
      <c r="FL676" s="567"/>
      <c r="FM676" s="567"/>
      <c r="FN676" s="567"/>
      <c r="FO676" s="567"/>
      <c r="FP676" s="567"/>
      <c r="FQ676" s="567"/>
      <c r="FR676" s="567"/>
      <c r="FS676" s="567"/>
      <c r="FT676" s="567"/>
      <c r="FU676" s="567"/>
      <c r="FV676" s="567"/>
      <c r="FW676" s="567"/>
      <c r="FX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  <c r="BW677" s="567"/>
      <c r="BX677" s="567"/>
      <c r="BY677" s="567"/>
      <c r="BZ677" s="567"/>
      <c r="CA677" s="567"/>
      <c r="CB677" s="567"/>
      <c r="CC677" s="567"/>
      <c r="CD677" s="567"/>
      <c r="CE677" s="567"/>
      <c r="CF677" s="567"/>
      <c r="CG677" s="567"/>
      <c r="CH677" s="567"/>
      <c r="CI677" s="567"/>
      <c r="CJ677" s="567"/>
      <c r="CK677" s="567"/>
      <c r="CL677" s="567"/>
      <c r="CM677" s="567"/>
      <c r="CN677" s="567"/>
      <c r="CO677" s="567"/>
      <c r="CP677" s="567"/>
      <c r="CQ677" s="567"/>
      <c r="CR677" s="567"/>
      <c r="CS677" s="567"/>
      <c r="CT677" s="567"/>
      <c r="CU677" s="567"/>
      <c r="CV677" s="567"/>
      <c r="CW677" s="567"/>
      <c r="CX677" s="567"/>
      <c r="CY677" s="567"/>
      <c r="CZ677" s="567"/>
      <c r="DA677" s="567"/>
      <c r="DB677" s="567"/>
      <c r="DC677" s="567"/>
      <c r="DD677" s="567"/>
      <c r="DE677" s="567"/>
      <c r="DF677" s="567"/>
      <c r="DG677" s="567"/>
      <c r="DH677" s="567"/>
      <c r="DI677" s="567"/>
      <c r="DJ677" s="567"/>
      <c r="DK677" s="567"/>
      <c r="DL677" s="567"/>
      <c r="DM677" s="567"/>
      <c r="DN677" s="567"/>
      <c r="DO677" s="567"/>
      <c r="DP677" s="567"/>
      <c r="DQ677" s="567"/>
      <c r="DR677" s="567"/>
      <c r="DS677" s="567"/>
      <c r="DT677" s="567"/>
      <c r="DU677" s="567"/>
      <c r="DV677" s="567"/>
      <c r="DW677" s="567"/>
      <c r="DX677" s="567"/>
      <c r="DY677" s="567"/>
      <c r="DZ677" s="567"/>
      <c r="EA677" s="567"/>
      <c r="EB677" s="567"/>
      <c r="EC677" s="567"/>
      <c r="ED677" s="567"/>
      <c r="EE677" s="567"/>
      <c r="EF677" s="567"/>
      <c r="EG677" s="567"/>
      <c r="EH677" s="567"/>
      <c r="EI677" s="567"/>
      <c r="EJ677" s="567"/>
      <c r="EK677" s="567"/>
      <c r="EL677" s="567"/>
      <c r="EM677" s="567"/>
      <c r="EN677" s="567"/>
      <c r="EO677" s="567"/>
      <c r="EP677" s="567"/>
      <c r="EQ677" s="567"/>
      <c r="ER677" s="567"/>
      <c r="ES677" s="567"/>
      <c r="ET677" s="567"/>
      <c r="EU677" s="567"/>
      <c r="EV677" s="567"/>
      <c r="EW677" s="567"/>
      <c r="EX677" s="567"/>
      <c r="EY677" s="567"/>
      <c r="EZ677" s="567"/>
      <c r="FA677" s="567"/>
      <c r="FB677" s="567"/>
      <c r="FC677" s="567"/>
      <c r="FD677" s="567"/>
      <c r="FE677" s="567"/>
      <c r="FF677" s="567"/>
      <c r="FG677" s="567"/>
      <c r="FH677" s="567"/>
      <c r="FI677" s="567"/>
      <c r="FJ677" s="567"/>
      <c r="FK677" s="567"/>
      <c r="FL677" s="567"/>
      <c r="FM677" s="567"/>
      <c r="FN677" s="567"/>
      <c r="FO677" s="567"/>
      <c r="FP677" s="567"/>
      <c r="FQ677" s="567"/>
      <c r="FR677" s="567"/>
      <c r="FS677" s="567"/>
      <c r="FT677" s="567"/>
      <c r="FU677" s="567"/>
      <c r="FV677" s="567"/>
      <c r="FW677" s="567"/>
      <c r="FX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  <c r="BW678" s="567"/>
      <c r="BX678" s="567"/>
      <c r="BY678" s="567"/>
      <c r="BZ678" s="567"/>
      <c r="CA678" s="567"/>
      <c r="CB678" s="567"/>
      <c r="CC678" s="567"/>
      <c r="CD678" s="567"/>
      <c r="CE678" s="567"/>
      <c r="CF678" s="567"/>
      <c r="CG678" s="567"/>
      <c r="CH678" s="567"/>
      <c r="CI678" s="567"/>
      <c r="CJ678" s="567"/>
      <c r="CK678" s="567"/>
      <c r="CL678" s="567"/>
      <c r="CM678" s="567"/>
      <c r="CN678" s="567"/>
      <c r="CO678" s="567"/>
      <c r="CP678" s="567"/>
      <c r="CQ678" s="567"/>
      <c r="CR678" s="567"/>
      <c r="CS678" s="567"/>
      <c r="CT678" s="567"/>
      <c r="CU678" s="567"/>
      <c r="CV678" s="567"/>
      <c r="CW678" s="567"/>
      <c r="CX678" s="567"/>
      <c r="CY678" s="567"/>
      <c r="CZ678" s="567"/>
      <c r="DA678" s="567"/>
      <c r="DB678" s="567"/>
      <c r="DC678" s="567"/>
      <c r="DD678" s="567"/>
      <c r="DE678" s="567"/>
      <c r="DF678" s="567"/>
      <c r="DG678" s="567"/>
      <c r="DH678" s="567"/>
      <c r="DI678" s="567"/>
      <c r="DJ678" s="567"/>
      <c r="DK678" s="567"/>
      <c r="DL678" s="567"/>
      <c r="DM678" s="567"/>
      <c r="DN678" s="567"/>
      <c r="DO678" s="567"/>
      <c r="DP678" s="567"/>
      <c r="DQ678" s="567"/>
      <c r="DR678" s="567"/>
      <c r="DS678" s="567"/>
      <c r="DT678" s="567"/>
      <c r="DU678" s="567"/>
      <c r="DV678" s="567"/>
      <c r="DW678" s="567"/>
      <c r="DX678" s="567"/>
      <c r="DY678" s="567"/>
      <c r="DZ678" s="567"/>
      <c r="EA678" s="567"/>
      <c r="EB678" s="567"/>
      <c r="EC678" s="567"/>
      <c r="ED678" s="567"/>
      <c r="EE678" s="567"/>
      <c r="EF678" s="567"/>
      <c r="EG678" s="567"/>
      <c r="EH678" s="567"/>
      <c r="EI678" s="567"/>
      <c r="EJ678" s="567"/>
      <c r="EK678" s="567"/>
      <c r="EL678" s="567"/>
      <c r="EM678" s="567"/>
      <c r="EN678" s="567"/>
      <c r="EO678" s="567"/>
      <c r="EP678" s="567"/>
      <c r="EQ678" s="567"/>
      <c r="ER678" s="567"/>
      <c r="ES678" s="567"/>
      <c r="ET678" s="567"/>
      <c r="EU678" s="567"/>
      <c r="EV678" s="567"/>
      <c r="EW678" s="567"/>
      <c r="EX678" s="567"/>
      <c r="EY678" s="567"/>
      <c r="EZ678" s="567"/>
      <c r="FA678" s="567"/>
      <c r="FB678" s="567"/>
      <c r="FC678" s="567"/>
      <c r="FD678" s="567"/>
      <c r="FE678" s="567"/>
      <c r="FF678" s="567"/>
      <c r="FG678" s="567"/>
      <c r="FH678" s="567"/>
      <c r="FI678" s="567"/>
      <c r="FJ678" s="567"/>
      <c r="FK678" s="567"/>
      <c r="FL678" s="567"/>
      <c r="FM678" s="567"/>
      <c r="FN678" s="567"/>
      <c r="FO678" s="567"/>
      <c r="FP678" s="567"/>
      <c r="FQ678" s="567"/>
      <c r="FR678" s="567"/>
      <c r="FS678" s="567"/>
      <c r="FT678" s="567"/>
      <c r="FU678" s="567"/>
      <c r="FV678" s="567"/>
      <c r="FW678" s="567"/>
      <c r="FX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  <c r="BW679" s="567"/>
      <c r="BX679" s="567"/>
      <c r="BY679" s="567"/>
      <c r="BZ679" s="567"/>
      <c r="CA679" s="567"/>
      <c r="CB679" s="567"/>
      <c r="CC679" s="567"/>
      <c r="CD679" s="567"/>
      <c r="CE679" s="567"/>
      <c r="CF679" s="567"/>
      <c r="CG679" s="567"/>
      <c r="CH679" s="567"/>
      <c r="CI679" s="567"/>
      <c r="CJ679" s="567"/>
      <c r="CK679" s="567"/>
      <c r="CL679" s="567"/>
      <c r="CM679" s="567"/>
      <c r="CN679" s="567"/>
      <c r="CO679" s="567"/>
      <c r="CP679" s="567"/>
      <c r="CQ679" s="567"/>
      <c r="CR679" s="567"/>
      <c r="CS679" s="567"/>
      <c r="CT679" s="567"/>
      <c r="CU679" s="567"/>
      <c r="CV679" s="567"/>
      <c r="CW679" s="567"/>
      <c r="CX679" s="567"/>
      <c r="CY679" s="567"/>
      <c r="CZ679" s="567"/>
      <c r="DA679" s="567"/>
      <c r="DB679" s="567"/>
      <c r="DC679" s="567"/>
      <c r="DD679" s="567"/>
      <c r="DE679" s="567"/>
      <c r="DF679" s="567"/>
      <c r="DG679" s="567"/>
      <c r="DH679" s="567"/>
      <c r="DI679" s="567"/>
      <c r="DJ679" s="567"/>
      <c r="DK679" s="567"/>
      <c r="DL679" s="567"/>
      <c r="DM679" s="567"/>
      <c r="DN679" s="567"/>
      <c r="DO679" s="567"/>
      <c r="DP679" s="567"/>
      <c r="DQ679" s="567"/>
      <c r="DR679" s="567"/>
      <c r="DS679" s="567"/>
      <c r="DT679" s="567"/>
      <c r="DU679" s="567"/>
      <c r="DV679" s="567"/>
      <c r="DW679" s="567"/>
      <c r="DX679" s="567"/>
      <c r="DY679" s="567"/>
      <c r="DZ679" s="567"/>
      <c r="EA679" s="567"/>
      <c r="EB679" s="567"/>
      <c r="EC679" s="567"/>
      <c r="ED679" s="567"/>
      <c r="EE679" s="567"/>
      <c r="EF679" s="567"/>
      <c r="EG679" s="567"/>
      <c r="EH679" s="567"/>
      <c r="EI679" s="567"/>
      <c r="EJ679" s="567"/>
      <c r="EK679" s="567"/>
      <c r="EL679" s="567"/>
      <c r="EM679" s="567"/>
      <c r="EN679" s="567"/>
      <c r="EO679" s="567"/>
      <c r="EP679" s="567"/>
      <c r="EQ679" s="567"/>
      <c r="ER679" s="567"/>
      <c r="ES679" s="567"/>
      <c r="ET679" s="567"/>
      <c r="EU679" s="567"/>
      <c r="EV679" s="567"/>
      <c r="EW679" s="567"/>
      <c r="EX679" s="567"/>
      <c r="EY679" s="567"/>
      <c r="EZ679" s="567"/>
      <c r="FA679" s="567"/>
      <c r="FB679" s="567"/>
      <c r="FC679" s="567"/>
      <c r="FD679" s="567"/>
      <c r="FE679" s="567"/>
      <c r="FF679" s="567"/>
      <c r="FG679" s="567"/>
      <c r="FH679" s="567"/>
      <c r="FI679" s="567"/>
      <c r="FJ679" s="567"/>
      <c r="FK679" s="567"/>
      <c r="FL679" s="567"/>
      <c r="FM679" s="567"/>
      <c r="FN679" s="567"/>
      <c r="FO679" s="567"/>
      <c r="FP679" s="567"/>
      <c r="FQ679" s="567"/>
      <c r="FR679" s="567"/>
      <c r="FS679" s="567"/>
      <c r="FT679" s="567"/>
      <c r="FU679" s="567"/>
      <c r="FV679" s="567"/>
      <c r="FW679" s="567"/>
      <c r="FX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  <c r="BW680" s="567"/>
      <c r="BX680" s="567"/>
      <c r="BY680" s="567"/>
      <c r="BZ680" s="567"/>
      <c r="CA680" s="567"/>
      <c r="CB680" s="567"/>
      <c r="CC680" s="567"/>
      <c r="CD680" s="567"/>
      <c r="CE680" s="567"/>
      <c r="CF680" s="567"/>
      <c r="CG680" s="567"/>
      <c r="CH680" s="567"/>
      <c r="CI680" s="567"/>
      <c r="CJ680" s="567"/>
      <c r="CK680" s="567"/>
      <c r="CL680" s="567"/>
      <c r="CM680" s="567"/>
      <c r="CN680" s="567"/>
      <c r="CO680" s="567"/>
      <c r="CP680" s="567"/>
      <c r="CQ680" s="567"/>
      <c r="CR680" s="567"/>
      <c r="CS680" s="567"/>
      <c r="CT680" s="567"/>
      <c r="CU680" s="567"/>
      <c r="CV680" s="567"/>
      <c r="CW680" s="567"/>
      <c r="CX680" s="567"/>
      <c r="CY680" s="567"/>
      <c r="CZ680" s="567"/>
      <c r="DA680" s="567"/>
      <c r="DB680" s="567"/>
      <c r="DC680" s="567"/>
      <c r="DD680" s="567"/>
      <c r="DE680" s="567"/>
      <c r="DF680" s="567"/>
      <c r="DG680" s="567"/>
      <c r="DH680" s="567"/>
      <c r="DI680" s="567"/>
      <c r="DJ680" s="567"/>
      <c r="DK680" s="567"/>
      <c r="DL680" s="567"/>
      <c r="DM680" s="567"/>
      <c r="DN680" s="567"/>
      <c r="DO680" s="567"/>
      <c r="DP680" s="567"/>
      <c r="DQ680" s="567"/>
      <c r="DR680" s="567"/>
      <c r="DS680" s="567"/>
      <c r="DT680" s="567"/>
      <c r="DU680" s="567"/>
      <c r="DV680" s="567"/>
      <c r="DW680" s="567"/>
      <c r="DX680" s="567"/>
      <c r="DY680" s="567"/>
      <c r="DZ680" s="567"/>
      <c r="EA680" s="567"/>
      <c r="EB680" s="567"/>
      <c r="EC680" s="567"/>
      <c r="ED680" s="567"/>
      <c r="EE680" s="567"/>
      <c r="EF680" s="567"/>
      <c r="EG680" s="567"/>
      <c r="EH680" s="567"/>
      <c r="EI680" s="567"/>
      <c r="EJ680" s="567"/>
      <c r="EK680" s="567"/>
      <c r="EL680" s="567"/>
      <c r="EM680" s="567"/>
      <c r="EN680" s="567"/>
      <c r="EO680" s="567"/>
      <c r="EP680" s="567"/>
      <c r="EQ680" s="567"/>
      <c r="ER680" s="567"/>
      <c r="ES680" s="567"/>
      <c r="ET680" s="567"/>
      <c r="EU680" s="567"/>
      <c r="EV680" s="567"/>
      <c r="EW680" s="567"/>
      <c r="EX680" s="567"/>
      <c r="EY680" s="567"/>
      <c r="EZ680" s="567"/>
      <c r="FA680" s="567"/>
      <c r="FB680" s="567"/>
      <c r="FC680" s="567"/>
      <c r="FD680" s="567"/>
      <c r="FE680" s="567"/>
      <c r="FF680" s="567"/>
      <c r="FG680" s="567"/>
      <c r="FH680" s="567"/>
      <c r="FI680" s="567"/>
      <c r="FJ680" s="567"/>
      <c r="FK680" s="567"/>
      <c r="FL680" s="567"/>
      <c r="FM680" s="567"/>
      <c r="FN680" s="567"/>
      <c r="FO680" s="567"/>
      <c r="FP680" s="567"/>
      <c r="FQ680" s="567"/>
      <c r="FR680" s="567"/>
      <c r="FS680" s="567"/>
      <c r="FT680" s="567"/>
      <c r="FU680" s="567"/>
      <c r="FV680" s="567"/>
      <c r="FW680" s="567"/>
      <c r="FX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  <c r="BW681" s="567"/>
      <c r="BX681" s="567"/>
      <c r="BY681" s="567"/>
      <c r="BZ681" s="567"/>
      <c r="CA681" s="567"/>
      <c r="CB681" s="567"/>
      <c r="CC681" s="567"/>
      <c r="CD681" s="567"/>
      <c r="CE681" s="567"/>
      <c r="CF681" s="567"/>
      <c r="CG681" s="567"/>
      <c r="CH681" s="567"/>
      <c r="CI681" s="567"/>
      <c r="CJ681" s="567"/>
      <c r="CK681" s="567"/>
      <c r="CL681" s="567"/>
      <c r="CM681" s="567"/>
      <c r="CN681" s="567"/>
      <c r="CO681" s="567"/>
      <c r="CP681" s="567"/>
      <c r="CQ681" s="567"/>
      <c r="CR681" s="567"/>
      <c r="CS681" s="567"/>
      <c r="CT681" s="567"/>
      <c r="CU681" s="567"/>
      <c r="CV681" s="567"/>
      <c r="CW681" s="567"/>
      <c r="CX681" s="567"/>
      <c r="CY681" s="567"/>
      <c r="CZ681" s="567"/>
      <c r="DA681" s="567"/>
      <c r="DB681" s="567"/>
      <c r="DC681" s="567"/>
      <c r="DD681" s="567"/>
      <c r="DE681" s="567"/>
      <c r="DF681" s="567"/>
      <c r="DG681" s="567"/>
      <c r="DH681" s="567"/>
      <c r="DI681" s="567"/>
      <c r="DJ681" s="567"/>
      <c r="DK681" s="567"/>
      <c r="DL681" s="567"/>
      <c r="DM681" s="567"/>
      <c r="DN681" s="567"/>
      <c r="DO681" s="567"/>
      <c r="DP681" s="567"/>
      <c r="DQ681" s="567"/>
      <c r="DR681" s="567"/>
      <c r="DS681" s="567"/>
      <c r="DT681" s="567"/>
      <c r="DU681" s="567"/>
      <c r="DV681" s="567"/>
      <c r="DW681" s="567"/>
      <c r="DX681" s="567"/>
      <c r="DY681" s="567"/>
      <c r="DZ681" s="567"/>
      <c r="EA681" s="567"/>
      <c r="EB681" s="567"/>
      <c r="EC681" s="567"/>
      <c r="ED681" s="567"/>
      <c r="EE681" s="567"/>
      <c r="EF681" s="567"/>
      <c r="EG681" s="567"/>
      <c r="EH681" s="567"/>
      <c r="EI681" s="567"/>
      <c r="EJ681" s="567"/>
      <c r="EK681" s="567"/>
      <c r="EL681" s="567"/>
      <c r="EM681" s="567"/>
      <c r="EN681" s="567"/>
      <c r="EO681" s="567"/>
      <c r="EP681" s="567"/>
      <c r="EQ681" s="567"/>
      <c r="ER681" s="567"/>
      <c r="ES681" s="567"/>
      <c r="ET681" s="567"/>
      <c r="EU681" s="567"/>
      <c r="EV681" s="567"/>
      <c r="EW681" s="567"/>
      <c r="EX681" s="567"/>
      <c r="EY681" s="567"/>
      <c r="EZ681" s="567"/>
      <c r="FA681" s="567"/>
      <c r="FB681" s="567"/>
      <c r="FC681" s="567"/>
      <c r="FD681" s="567"/>
      <c r="FE681" s="567"/>
      <c r="FF681" s="567"/>
      <c r="FG681" s="567"/>
      <c r="FH681" s="567"/>
      <c r="FI681" s="567"/>
      <c r="FJ681" s="567"/>
      <c r="FK681" s="567"/>
      <c r="FL681" s="567"/>
      <c r="FM681" s="567"/>
      <c r="FN681" s="567"/>
      <c r="FO681" s="567"/>
      <c r="FP681" s="567"/>
      <c r="FQ681" s="567"/>
      <c r="FR681" s="567"/>
      <c r="FS681" s="567"/>
      <c r="FT681" s="567"/>
      <c r="FU681" s="567"/>
      <c r="FV681" s="567"/>
      <c r="FW681" s="567"/>
      <c r="FX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  <c r="BW682" s="567"/>
      <c r="BX682" s="567"/>
      <c r="BY682" s="567"/>
      <c r="BZ682" s="567"/>
      <c r="CA682" s="567"/>
      <c r="CB682" s="567"/>
      <c r="CC682" s="567"/>
      <c r="CD682" s="567"/>
      <c r="CE682" s="567"/>
      <c r="CF682" s="567"/>
      <c r="CG682" s="567"/>
      <c r="CH682" s="567"/>
      <c r="CI682" s="567"/>
      <c r="CJ682" s="567"/>
      <c r="CK682" s="567"/>
      <c r="CL682" s="567"/>
      <c r="CM682" s="567"/>
      <c r="CN682" s="567"/>
      <c r="CO682" s="567"/>
      <c r="CP682" s="567"/>
      <c r="CQ682" s="567"/>
      <c r="CR682" s="567"/>
      <c r="CS682" s="567"/>
      <c r="CT682" s="567"/>
      <c r="CU682" s="567"/>
      <c r="CV682" s="567"/>
      <c r="CW682" s="567"/>
      <c r="CX682" s="567"/>
      <c r="CY682" s="567"/>
      <c r="CZ682" s="567"/>
      <c r="DA682" s="567"/>
      <c r="DB682" s="567"/>
      <c r="DC682" s="567"/>
      <c r="DD682" s="567"/>
      <c r="DE682" s="567"/>
      <c r="DF682" s="567"/>
      <c r="DG682" s="567"/>
      <c r="DH682" s="567"/>
      <c r="DI682" s="567"/>
      <c r="DJ682" s="567"/>
      <c r="DK682" s="567"/>
      <c r="DL682" s="567"/>
      <c r="DM682" s="567"/>
      <c r="DN682" s="567"/>
      <c r="DO682" s="567"/>
      <c r="DP682" s="567"/>
      <c r="DQ682" s="567"/>
      <c r="DR682" s="567"/>
      <c r="DS682" s="567"/>
      <c r="DT682" s="567"/>
      <c r="DU682" s="567"/>
      <c r="DV682" s="567"/>
      <c r="DW682" s="567"/>
      <c r="DX682" s="567"/>
      <c r="DY682" s="567"/>
      <c r="DZ682" s="567"/>
      <c r="EA682" s="567"/>
      <c r="EB682" s="567"/>
      <c r="EC682" s="567"/>
      <c r="ED682" s="567"/>
      <c r="EE682" s="567"/>
      <c r="EF682" s="567"/>
      <c r="EG682" s="567"/>
      <c r="EH682" s="567"/>
      <c r="EI682" s="567"/>
      <c r="EJ682" s="567"/>
      <c r="EK682" s="567"/>
      <c r="EL682" s="567"/>
      <c r="EM682" s="567"/>
      <c r="EN682" s="567"/>
      <c r="EO682" s="567"/>
      <c r="EP682" s="567"/>
      <c r="EQ682" s="567"/>
      <c r="ER682" s="567"/>
      <c r="ES682" s="567"/>
      <c r="ET682" s="567"/>
      <c r="EU682" s="567"/>
      <c r="EV682" s="567"/>
      <c r="EW682" s="567"/>
      <c r="EX682" s="567"/>
      <c r="EY682" s="567"/>
      <c r="EZ682" s="567"/>
      <c r="FA682" s="567"/>
      <c r="FB682" s="567"/>
      <c r="FC682" s="567"/>
      <c r="FD682" s="567"/>
      <c r="FE682" s="567"/>
      <c r="FF682" s="567"/>
      <c r="FG682" s="567"/>
      <c r="FH682" s="567"/>
      <c r="FI682" s="567"/>
      <c r="FJ682" s="567"/>
      <c r="FK682" s="567"/>
      <c r="FL682" s="567"/>
      <c r="FM682" s="567"/>
      <c r="FN682" s="567"/>
      <c r="FO682" s="567"/>
      <c r="FP682" s="567"/>
      <c r="FQ682" s="567"/>
      <c r="FR682" s="567"/>
      <c r="FS682" s="567"/>
      <c r="FT682" s="567"/>
      <c r="FU682" s="567"/>
      <c r="FV682" s="567"/>
      <c r="FW682" s="567"/>
      <c r="FX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  <c r="BW683" s="567"/>
      <c r="BX683" s="567"/>
      <c r="BY683" s="567"/>
      <c r="BZ683" s="567"/>
      <c r="CA683" s="567"/>
      <c r="CB683" s="567"/>
      <c r="CC683" s="567"/>
      <c r="CD683" s="567"/>
      <c r="CE683" s="567"/>
      <c r="CF683" s="567"/>
      <c r="CG683" s="567"/>
      <c r="CH683" s="567"/>
      <c r="CI683" s="567"/>
      <c r="CJ683" s="567"/>
      <c r="CK683" s="567"/>
      <c r="CL683" s="567"/>
      <c r="CM683" s="567"/>
      <c r="CN683" s="567"/>
      <c r="CO683" s="567"/>
      <c r="CP683" s="567"/>
      <c r="CQ683" s="567"/>
      <c r="CR683" s="567"/>
      <c r="CS683" s="567"/>
      <c r="CT683" s="567"/>
      <c r="CU683" s="567"/>
      <c r="CV683" s="567"/>
      <c r="CW683" s="567"/>
      <c r="CX683" s="567"/>
      <c r="CY683" s="567"/>
      <c r="CZ683" s="567"/>
      <c r="DA683" s="567"/>
      <c r="DB683" s="567"/>
      <c r="DC683" s="567"/>
      <c r="DD683" s="567"/>
      <c r="DE683" s="567"/>
      <c r="DF683" s="567"/>
      <c r="DG683" s="567"/>
      <c r="DH683" s="567"/>
      <c r="DI683" s="567"/>
      <c r="DJ683" s="567"/>
      <c r="DK683" s="567"/>
      <c r="DL683" s="567"/>
      <c r="DM683" s="567"/>
      <c r="DN683" s="567"/>
      <c r="DO683" s="567"/>
      <c r="DP683" s="567"/>
      <c r="DQ683" s="567"/>
      <c r="DR683" s="567"/>
      <c r="DS683" s="567"/>
      <c r="DT683" s="567"/>
      <c r="DU683" s="567"/>
      <c r="DV683" s="567"/>
      <c r="DW683" s="567"/>
      <c r="DX683" s="567"/>
      <c r="DY683" s="567"/>
      <c r="DZ683" s="567"/>
      <c r="EA683" s="567"/>
      <c r="EB683" s="567"/>
      <c r="EC683" s="567"/>
      <c r="ED683" s="567"/>
      <c r="EE683" s="567"/>
      <c r="EF683" s="567"/>
      <c r="EG683" s="567"/>
      <c r="EH683" s="567"/>
      <c r="EI683" s="567"/>
      <c r="EJ683" s="567"/>
      <c r="EK683" s="567"/>
      <c r="EL683" s="567"/>
      <c r="EM683" s="567"/>
      <c r="EN683" s="567"/>
      <c r="EO683" s="567"/>
      <c r="EP683" s="567"/>
      <c r="EQ683" s="567"/>
      <c r="ER683" s="567"/>
      <c r="ES683" s="567"/>
      <c r="ET683" s="567"/>
      <c r="EU683" s="567"/>
      <c r="EV683" s="567"/>
      <c r="EW683" s="567"/>
      <c r="EX683" s="567"/>
      <c r="EY683" s="567"/>
      <c r="EZ683" s="567"/>
      <c r="FA683" s="567"/>
      <c r="FB683" s="567"/>
      <c r="FC683" s="567"/>
      <c r="FD683" s="567"/>
      <c r="FE683" s="567"/>
      <c r="FF683" s="567"/>
      <c r="FG683" s="567"/>
      <c r="FH683" s="567"/>
      <c r="FI683" s="567"/>
      <c r="FJ683" s="567"/>
      <c r="FK683" s="567"/>
      <c r="FL683" s="567"/>
      <c r="FM683" s="567"/>
      <c r="FN683" s="567"/>
      <c r="FO683" s="567"/>
      <c r="FP683" s="567"/>
      <c r="FQ683" s="567"/>
      <c r="FR683" s="567"/>
      <c r="FS683" s="567"/>
      <c r="FT683" s="567"/>
      <c r="FU683" s="567"/>
      <c r="FV683" s="567"/>
      <c r="FW683" s="567"/>
      <c r="FX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  <c r="BW684" s="567"/>
      <c r="BX684" s="567"/>
      <c r="BY684" s="567"/>
      <c r="BZ684" s="567"/>
      <c r="CA684" s="567"/>
      <c r="CB684" s="567"/>
      <c r="CC684" s="567"/>
      <c r="CD684" s="567"/>
      <c r="CE684" s="567"/>
      <c r="CF684" s="567"/>
      <c r="CG684" s="567"/>
      <c r="CH684" s="567"/>
      <c r="CI684" s="567"/>
      <c r="CJ684" s="567"/>
      <c r="CK684" s="567"/>
      <c r="CL684" s="567"/>
      <c r="CM684" s="567"/>
      <c r="CN684" s="567"/>
      <c r="CO684" s="567"/>
      <c r="CP684" s="567"/>
      <c r="CQ684" s="567"/>
      <c r="CR684" s="567"/>
      <c r="CS684" s="567"/>
      <c r="CT684" s="567"/>
      <c r="CU684" s="567"/>
      <c r="CV684" s="567"/>
      <c r="CW684" s="567"/>
      <c r="CX684" s="567"/>
      <c r="CY684" s="567"/>
      <c r="CZ684" s="567"/>
      <c r="DA684" s="567"/>
      <c r="DB684" s="567"/>
      <c r="DC684" s="567"/>
      <c r="DD684" s="567"/>
      <c r="DE684" s="567"/>
      <c r="DF684" s="567"/>
      <c r="DG684" s="567"/>
      <c r="DH684" s="567"/>
      <c r="DI684" s="567"/>
      <c r="DJ684" s="567"/>
      <c r="DK684" s="567"/>
      <c r="DL684" s="567"/>
      <c r="DM684" s="567"/>
      <c r="DN684" s="567"/>
      <c r="DO684" s="567"/>
      <c r="DP684" s="567"/>
      <c r="DQ684" s="567"/>
      <c r="DR684" s="567"/>
      <c r="DS684" s="567"/>
      <c r="DT684" s="567"/>
      <c r="DU684" s="567"/>
      <c r="DV684" s="567"/>
      <c r="DW684" s="567"/>
      <c r="DX684" s="567"/>
      <c r="DY684" s="567"/>
      <c r="DZ684" s="567"/>
      <c r="EA684" s="567"/>
      <c r="EB684" s="567"/>
      <c r="EC684" s="567"/>
      <c r="ED684" s="567"/>
      <c r="EE684" s="567"/>
      <c r="EF684" s="567"/>
      <c r="EG684" s="567"/>
      <c r="EH684" s="567"/>
      <c r="EI684" s="567"/>
      <c r="EJ684" s="567"/>
      <c r="EK684" s="567"/>
      <c r="EL684" s="567"/>
      <c r="EM684" s="567"/>
      <c r="EN684" s="567"/>
      <c r="EO684" s="567"/>
      <c r="EP684" s="567"/>
      <c r="EQ684" s="567"/>
      <c r="ER684" s="567"/>
      <c r="ES684" s="567"/>
      <c r="ET684" s="567"/>
      <c r="EU684" s="567"/>
      <c r="EV684" s="567"/>
      <c r="EW684" s="567"/>
      <c r="EX684" s="567"/>
      <c r="EY684" s="567"/>
      <c r="EZ684" s="567"/>
      <c r="FA684" s="567"/>
      <c r="FB684" s="567"/>
      <c r="FC684" s="567"/>
      <c r="FD684" s="567"/>
      <c r="FE684" s="567"/>
      <c r="FF684" s="567"/>
      <c r="FG684" s="567"/>
      <c r="FH684" s="567"/>
      <c r="FI684" s="567"/>
      <c r="FJ684" s="567"/>
      <c r="FK684" s="567"/>
      <c r="FL684" s="567"/>
      <c r="FM684" s="567"/>
      <c r="FN684" s="567"/>
      <c r="FO684" s="567"/>
      <c r="FP684" s="567"/>
      <c r="FQ684" s="567"/>
      <c r="FR684" s="567"/>
      <c r="FS684" s="567"/>
      <c r="FT684" s="567"/>
      <c r="FU684" s="567"/>
      <c r="FV684" s="567"/>
      <c r="FW684" s="567"/>
      <c r="FX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  <c r="BW685" s="567"/>
      <c r="BX685" s="567"/>
      <c r="BY685" s="567"/>
      <c r="BZ685" s="567"/>
      <c r="CA685" s="567"/>
      <c r="CB685" s="567"/>
      <c r="CC685" s="567"/>
      <c r="CD685" s="567"/>
      <c r="CE685" s="567"/>
      <c r="CF685" s="567"/>
      <c r="CG685" s="567"/>
      <c r="CH685" s="567"/>
      <c r="CI685" s="567"/>
      <c r="CJ685" s="567"/>
      <c r="CK685" s="567"/>
      <c r="CL685" s="567"/>
      <c r="CM685" s="567"/>
      <c r="CN685" s="567"/>
      <c r="CO685" s="567"/>
      <c r="CP685" s="567"/>
      <c r="CQ685" s="567"/>
      <c r="CR685" s="567"/>
      <c r="CS685" s="567"/>
      <c r="CT685" s="567"/>
      <c r="CU685" s="567"/>
      <c r="CV685" s="567"/>
      <c r="CW685" s="567"/>
      <c r="CX685" s="567"/>
      <c r="CY685" s="567"/>
      <c r="CZ685" s="567"/>
      <c r="DA685" s="567"/>
      <c r="DB685" s="567"/>
      <c r="DC685" s="567"/>
      <c r="DD685" s="567"/>
      <c r="DE685" s="567"/>
      <c r="DF685" s="567"/>
      <c r="DG685" s="567"/>
      <c r="DH685" s="567"/>
      <c r="DI685" s="567"/>
      <c r="DJ685" s="567"/>
      <c r="DK685" s="567"/>
      <c r="DL685" s="567"/>
      <c r="DM685" s="567"/>
      <c r="DN685" s="567"/>
      <c r="DO685" s="567"/>
      <c r="DP685" s="567"/>
      <c r="DQ685" s="567"/>
      <c r="DR685" s="567"/>
      <c r="DS685" s="567"/>
      <c r="DT685" s="567"/>
      <c r="DU685" s="567"/>
      <c r="DV685" s="567"/>
      <c r="DW685" s="567"/>
      <c r="DX685" s="567"/>
      <c r="DY685" s="567"/>
      <c r="DZ685" s="567"/>
      <c r="EA685" s="567"/>
      <c r="EB685" s="567"/>
      <c r="EC685" s="567"/>
      <c r="ED685" s="567"/>
      <c r="EE685" s="567"/>
      <c r="EF685" s="567"/>
      <c r="EG685" s="567"/>
      <c r="EH685" s="567"/>
      <c r="EI685" s="567"/>
      <c r="EJ685" s="567"/>
      <c r="EK685" s="567"/>
      <c r="EL685" s="567"/>
      <c r="EM685" s="567"/>
      <c r="EN685" s="567"/>
      <c r="EO685" s="567"/>
      <c r="EP685" s="567"/>
      <c r="EQ685" s="567"/>
      <c r="ER685" s="567"/>
      <c r="ES685" s="567"/>
      <c r="ET685" s="567"/>
      <c r="EU685" s="567"/>
      <c r="EV685" s="567"/>
      <c r="EW685" s="567"/>
      <c r="EX685" s="567"/>
      <c r="EY685" s="567"/>
      <c r="EZ685" s="567"/>
      <c r="FA685" s="567"/>
      <c r="FB685" s="567"/>
      <c r="FC685" s="567"/>
      <c r="FD685" s="567"/>
      <c r="FE685" s="567"/>
      <c r="FF685" s="567"/>
      <c r="FG685" s="567"/>
      <c r="FH685" s="567"/>
      <c r="FI685" s="567"/>
      <c r="FJ685" s="567"/>
      <c r="FK685" s="567"/>
      <c r="FL685" s="567"/>
      <c r="FM685" s="567"/>
      <c r="FN685" s="567"/>
      <c r="FO685" s="567"/>
      <c r="FP685" s="567"/>
      <c r="FQ685" s="567"/>
      <c r="FR685" s="567"/>
      <c r="FS685" s="567"/>
      <c r="FT685" s="567"/>
      <c r="FU685" s="567"/>
      <c r="FV685" s="567"/>
      <c r="FW685" s="567"/>
      <c r="FX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  <c r="BW686" s="567"/>
      <c r="BX686" s="567"/>
      <c r="BY686" s="567"/>
      <c r="BZ686" s="567"/>
      <c r="CA686" s="567"/>
      <c r="CB686" s="567"/>
      <c r="CC686" s="567"/>
      <c r="CD686" s="567"/>
      <c r="CE686" s="567"/>
      <c r="CF686" s="567"/>
      <c r="CG686" s="567"/>
      <c r="CH686" s="567"/>
      <c r="CI686" s="567"/>
      <c r="CJ686" s="567"/>
      <c r="CK686" s="567"/>
      <c r="CL686" s="567"/>
      <c r="CM686" s="567"/>
      <c r="CN686" s="567"/>
      <c r="CO686" s="567"/>
      <c r="CP686" s="567"/>
      <c r="CQ686" s="567"/>
      <c r="CR686" s="567"/>
      <c r="CS686" s="567"/>
      <c r="CT686" s="567"/>
      <c r="CU686" s="567"/>
      <c r="CV686" s="567"/>
      <c r="CW686" s="567"/>
      <c r="CX686" s="567"/>
      <c r="CY686" s="567"/>
      <c r="CZ686" s="567"/>
      <c r="DA686" s="567"/>
      <c r="DB686" s="567"/>
      <c r="DC686" s="567"/>
      <c r="DD686" s="567"/>
      <c r="DE686" s="567"/>
      <c r="DF686" s="567"/>
      <c r="DG686" s="567"/>
      <c r="DH686" s="567"/>
      <c r="DI686" s="567"/>
      <c r="DJ686" s="567"/>
      <c r="DK686" s="567"/>
      <c r="DL686" s="567"/>
      <c r="DM686" s="567"/>
      <c r="DN686" s="567"/>
      <c r="DO686" s="567"/>
      <c r="DP686" s="567"/>
      <c r="DQ686" s="567"/>
      <c r="DR686" s="567"/>
      <c r="DS686" s="567"/>
      <c r="DT686" s="567"/>
      <c r="DU686" s="567"/>
      <c r="DV686" s="567"/>
      <c r="DW686" s="567"/>
      <c r="DX686" s="567"/>
      <c r="DY686" s="567"/>
      <c r="DZ686" s="567"/>
      <c r="EA686" s="567"/>
      <c r="EB686" s="567"/>
      <c r="EC686" s="567"/>
      <c r="ED686" s="567"/>
      <c r="EE686" s="567"/>
      <c r="EF686" s="567"/>
      <c r="EG686" s="567"/>
      <c r="EH686" s="567"/>
      <c r="EI686" s="567"/>
      <c r="EJ686" s="567"/>
      <c r="EK686" s="567"/>
      <c r="EL686" s="567"/>
      <c r="EM686" s="567"/>
      <c r="EN686" s="567"/>
      <c r="EO686" s="567"/>
      <c r="EP686" s="567"/>
      <c r="EQ686" s="567"/>
      <c r="ER686" s="567"/>
      <c r="ES686" s="567"/>
      <c r="ET686" s="567"/>
      <c r="EU686" s="567"/>
      <c r="EV686" s="567"/>
      <c r="EW686" s="567"/>
      <c r="EX686" s="567"/>
      <c r="EY686" s="567"/>
      <c r="EZ686" s="567"/>
      <c r="FA686" s="567"/>
      <c r="FB686" s="567"/>
      <c r="FC686" s="567"/>
      <c r="FD686" s="567"/>
      <c r="FE686" s="567"/>
      <c r="FF686" s="567"/>
      <c r="FG686" s="567"/>
      <c r="FH686" s="567"/>
      <c r="FI686" s="567"/>
      <c r="FJ686" s="567"/>
      <c r="FK686" s="567"/>
      <c r="FL686" s="567"/>
      <c r="FM686" s="567"/>
      <c r="FN686" s="567"/>
      <c r="FO686" s="567"/>
      <c r="FP686" s="567"/>
      <c r="FQ686" s="567"/>
      <c r="FR686" s="567"/>
      <c r="FS686" s="567"/>
      <c r="FT686" s="567"/>
      <c r="FU686" s="567"/>
      <c r="FV686" s="567"/>
      <c r="FW686" s="567"/>
      <c r="FX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  <c r="BW687" s="567"/>
      <c r="BX687" s="567"/>
      <c r="BY687" s="567"/>
      <c r="BZ687" s="567"/>
      <c r="CA687" s="567"/>
      <c r="CB687" s="567"/>
      <c r="CC687" s="567"/>
      <c r="CD687" s="567"/>
      <c r="CE687" s="567"/>
      <c r="CF687" s="567"/>
      <c r="CG687" s="567"/>
      <c r="CH687" s="567"/>
      <c r="CI687" s="567"/>
      <c r="CJ687" s="567"/>
      <c r="CK687" s="567"/>
      <c r="CL687" s="567"/>
      <c r="CM687" s="567"/>
      <c r="CN687" s="567"/>
      <c r="CO687" s="567"/>
      <c r="CP687" s="567"/>
      <c r="CQ687" s="567"/>
      <c r="CR687" s="567"/>
      <c r="CS687" s="567"/>
      <c r="CT687" s="567"/>
      <c r="CU687" s="567"/>
      <c r="CV687" s="567"/>
      <c r="CW687" s="567"/>
      <c r="CX687" s="567"/>
      <c r="CY687" s="567"/>
      <c r="CZ687" s="567"/>
      <c r="DA687" s="567"/>
      <c r="DB687" s="567"/>
      <c r="DC687" s="567"/>
      <c r="DD687" s="567"/>
      <c r="DE687" s="567"/>
      <c r="DF687" s="567"/>
      <c r="DG687" s="567"/>
      <c r="DH687" s="567"/>
      <c r="DI687" s="567"/>
      <c r="DJ687" s="567"/>
      <c r="DK687" s="567"/>
      <c r="DL687" s="567"/>
      <c r="DM687" s="567"/>
      <c r="DN687" s="567"/>
      <c r="DO687" s="567"/>
      <c r="DP687" s="567"/>
      <c r="DQ687" s="567"/>
      <c r="DR687" s="567"/>
      <c r="DS687" s="567"/>
      <c r="DT687" s="567"/>
      <c r="DU687" s="567"/>
      <c r="DV687" s="567"/>
      <c r="DW687" s="567"/>
      <c r="DX687" s="567"/>
      <c r="DY687" s="567"/>
      <c r="DZ687" s="567"/>
      <c r="EA687" s="567"/>
      <c r="EB687" s="567"/>
      <c r="EC687" s="567"/>
      <c r="ED687" s="567"/>
      <c r="EE687" s="567"/>
      <c r="EF687" s="567"/>
      <c r="EG687" s="567"/>
      <c r="EH687" s="567"/>
      <c r="EI687" s="567"/>
      <c r="EJ687" s="567"/>
      <c r="EK687" s="567"/>
      <c r="EL687" s="567"/>
      <c r="EM687" s="567"/>
      <c r="EN687" s="567"/>
      <c r="EO687" s="567"/>
      <c r="EP687" s="567"/>
      <c r="EQ687" s="567"/>
      <c r="ER687" s="567"/>
      <c r="ES687" s="567"/>
      <c r="ET687" s="567"/>
      <c r="EU687" s="567"/>
      <c r="EV687" s="567"/>
      <c r="EW687" s="567"/>
      <c r="EX687" s="567"/>
      <c r="EY687" s="567"/>
      <c r="EZ687" s="567"/>
      <c r="FA687" s="567"/>
      <c r="FB687" s="567"/>
      <c r="FC687" s="567"/>
      <c r="FD687" s="567"/>
      <c r="FE687" s="567"/>
      <c r="FF687" s="567"/>
      <c r="FG687" s="567"/>
      <c r="FH687" s="567"/>
      <c r="FI687" s="567"/>
      <c r="FJ687" s="567"/>
      <c r="FK687" s="567"/>
      <c r="FL687" s="567"/>
      <c r="FM687" s="567"/>
      <c r="FN687" s="567"/>
      <c r="FO687" s="567"/>
      <c r="FP687" s="567"/>
      <c r="FQ687" s="567"/>
      <c r="FR687" s="567"/>
      <c r="FS687" s="567"/>
      <c r="FT687" s="567"/>
      <c r="FU687" s="567"/>
      <c r="FV687" s="567"/>
      <c r="FW687" s="567"/>
      <c r="FX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  <c r="BW688" s="567"/>
      <c r="BX688" s="567"/>
      <c r="BY688" s="567"/>
      <c r="BZ688" s="567"/>
      <c r="CA688" s="567"/>
      <c r="CB688" s="567"/>
      <c r="CC688" s="567"/>
      <c r="CD688" s="567"/>
      <c r="CE688" s="567"/>
      <c r="CF688" s="567"/>
      <c r="CG688" s="567"/>
      <c r="CH688" s="567"/>
      <c r="CI688" s="567"/>
      <c r="CJ688" s="567"/>
      <c r="CK688" s="567"/>
      <c r="CL688" s="567"/>
      <c r="CM688" s="567"/>
      <c r="CN688" s="567"/>
      <c r="CO688" s="567"/>
      <c r="CP688" s="567"/>
      <c r="CQ688" s="567"/>
      <c r="CR688" s="567"/>
      <c r="CS688" s="567"/>
      <c r="CT688" s="567"/>
      <c r="CU688" s="567"/>
      <c r="CV688" s="567"/>
      <c r="CW688" s="567"/>
      <c r="CX688" s="567"/>
      <c r="CY688" s="567"/>
      <c r="CZ688" s="567"/>
      <c r="DA688" s="567"/>
      <c r="DB688" s="567"/>
      <c r="DC688" s="567"/>
      <c r="DD688" s="567"/>
      <c r="DE688" s="567"/>
      <c r="DF688" s="567"/>
      <c r="DG688" s="567"/>
      <c r="DH688" s="567"/>
      <c r="DI688" s="567"/>
      <c r="DJ688" s="567"/>
      <c r="DK688" s="567"/>
      <c r="DL688" s="567"/>
      <c r="DM688" s="567"/>
      <c r="DN688" s="567"/>
      <c r="DO688" s="567"/>
      <c r="DP688" s="567"/>
      <c r="DQ688" s="567"/>
      <c r="DR688" s="567"/>
      <c r="DS688" s="567"/>
      <c r="DT688" s="567"/>
      <c r="DU688" s="567"/>
      <c r="DV688" s="567"/>
      <c r="DW688" s="567"/>
      <c r="DX688" s="567"/>
      <c r="DY688" s="567"/>
      <c r="DZ688" s="567"/>
      <c r="EA688" s="567"/>
      <c r="EB688" s="567"/>
      <c r="EC688" s="567"/>
      <c r="ED688" s="567"/>
      <c r="EE688" s="567"/>
      <c r="EF688" s="567"/>
      <c r="EG688" s="567"/>
      <c r="EH688" s="567"/>
      <c r="EI688" s="567"/>
      <c r="EJ688" s="567"/>
      <c r="EK688" s="567"/>
      <c r="EL688" s="567"/>
      <c r="EM688" s="567"/>
      <c r="EN688" s="567"/>
      <c r="EO688" s="567"/>
      <c r="EP688" s="567"/>
      <c r="EQ688" s="567"/>
      <c r="ER688" s="567"/>
      <c r="ES688" s="567"/>
      <c r="ET688" s="567"/>
      <c r="EU688" s="567"/>
      <c r="EV688" s="567"/>
      <c r="EW688" s="567"/>
      <c r="EX688" s="567"/>
      <c r="EY688" s="567"/>
      <c r="EZ688" s="567"/>
      <c r="FA688" s="567"/>
      <c r="FB688" s="567"/>
      <c r="FC688" s="567"/>
      <c r="FD688" s="567"/>
      <c r="FE688" s="567"/>
      <c r="FF688" s="567"/>
      <c r="FG688" s="567"/>
      <c r="FH688" s="567"/>
      <c r="FI688" s="567"/>
      <c r="FJ688" s="567"/>
      <c r="FK688" s="567"/>
      <c r="FL688" s="567"/>
      <c r="FM688" s="567"/>
      <c r="FN688" s="567"/>
      <c r="FO688" s="567"/>
      <c r="FP688" s="567"/>
      <c r="FQ688" s="567"/>
      <c r="FR688" s="567"/>
      <c r="FS688" s="567"/>
      <c r="FT688" s="567"/>
      <c r="FU688" s="567"/>
      <c r="FV688" s="567"/>
      <c r="FW688" s="567"/>
      <c r="FX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  <c r="BW689" s="567"/>
      <c r="BX689" s="567"/>
      <c r="BY689" s="567"/>
      <c r="BZ689" s="567"/>
      <c r="CA689" s="567"/>
      <c r="CB689" s="567"/>
      <c r="CC689" s="567"/>
      <c r="CD689" s="567"/>
      <c r="CE689" s="567"/>
      <c r="CF689" s="567"/>
      <c r="CG689" s="567"/>
      <c r="CH689" s="567"/>
      <c r="CI689" s="567"/>
      <c r="CJ689" s="567"/>
      <c r="CK689" s="567"/>
      <c r="CL689" s="567"/>
      <c r="CM689" s="567"/>
      <c r="CN689" s="567"/>
      <c r="CO689" s="567"/>
      <c r="CP689" s="567"/>
      <c r="CQ689" s="567"/>
      <c r="CR689" s="567"/>
      <c r="CS689" s="567"/>
      <c r="CT689" s="567"/>
      <c r="CU689" s="567"/>
      <c r="CV689" s="567"/>
      <c r="CW689" s="567"/>
      <c r="CX689" s="567"/>
      <c r="CY689" s="567"/>
      <c r="CZ689" s="567"/>
      <c r="DA689" s="567"/>
      <c r="DB689" s="567"/>
      <c r="DC689" s="567"/>
      <c r="DD689" s="567"/>
      <c r="DE689" s="567"/>
      <c r="DF689" s="567"/>
      <c r="DG689" s="567"/>
      <c r="DH689" s="567"/>
      <c r="DI689" s="567"/>
      <c r="DJ689" s="567"/>
      <c r="DK689" s="567"/>
      <c r="DL689" s="567"/>
      <c r="DM689" s="567"/>
      <c r="DN689" s="567"/>
      <c r="DO689" s="567"/>
      <c r="DP689" s="567"/>
      <c r="DQ689" s="567"/>
      <c r="DR689" s="567"/>
      <c r="DS689" s="567"/>
      <c r="DT689" s="567"/>
      <c r="DU689" s="567"/>
      <c r="DV689" s="567"/>
      <c r="DW689" s="567"/>
      <c r="DX689" s="567"/>
      <c r="DY689" s="567"/>
      <c r="DZ689" s="567"/>
      <c r="EA689" s="567"/>
      <c r="EB689" s="567"/>
      <c r="EC689" s="567"/>
      <c r="ED689" s="567"/>
      <c r="EE689" s="567"/>
      <c r="EF689" s="567"/>
      <c r="EG689" s="567"/>
      <c r="EH689" s="567"/>
      <c r="EI689" s="567"/>
      <c r="EJ689" s="567"/>
      <c r="EK689" s="567"/>
      <c r="EL689" s="567"/>
      <c r="EM689" s="567"/>
      <c r="EN689" s="567"/>
      <c r="EO689" s="567"/>
      <c r="EP689" s="567"/>
      <c r="EQ689" s="567"/>
      <c r="ER689" s="567"/>
      <c r="ES689" s="567"/>
      <c r="ET689" s="567"/>
      <c r="EU689" s="567"/>
      <c r="EV689" s="567"/>
      <c r="EW689" s="567"/>
      <c r="EX689" s="567"/>
      <c r="EY689" s="567"/>
      <c r="EZ689" s="567"/>
      <c r="FA689" s="567"/>
      <c r="FB689" s="567"/>
      <c r="FC689" s="567"/>
      <c r="FD689" s="567"/>
      <c r="FE689" s="567"/>
      <c r="FF689" s="567"/>
      <c r="FG689" s="567"/>
      <c r="FH689" s="567"/>
      <c r="FI689" s="567"/>
      <c r="FJ689" s="567"/>
      <c r="FK689" s="567"/>
      <c r="FL689" s="567"/>
      <c r="FM689" s="567"/>
      <c r="FN689" s="567"/>
      <c r="FO689" s="567"/>
      <c r="FP689" s="567"/>
      <c r="FQ689" s="567"/>
      <c r="FR689" s="567"/>
      <c r="FS689" s="567"/>
      <c r="FT689" s="567"/>
      <c r="FU689" s="567"/>
      <c r="FV689" s="567"/>
      <c r="FW689" s="567"/>
      <c r="FX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  <c r="BW690" s="567"/>
      <c r="BX690" s="567"/>
      <c r="BY690" s="567"/>
      <c r="BZ690" s="567"/>
      <c r="CA690" s="567"/>
      <c r="CB690" s="567"/>
      <c r="CC690" s="567"/>
      <c r="CD690" s="567"/>
      <c r="CE690" s="567"/>
      <c r="CF690" s="567"/>
      <c r="CG690" s="567"/>
      <c r="CH690" s="567"/>
      <c r="CI690" s="567"/>
      <c r="CJ690" s="567"/>
      <c r="CK690" s="567"/>
      <c r="CL690" s="567"/>
      <c r="CM690" s="567"/>
      <c r="CN690" s="567"/>
      <c r="CO690" s="567"/>
      <c r="CP690" s="567"/>
      <c r="CQ690" s="567"/>
      <c r="CR690" s="567"/>
      <c r="CS690" s="567"/>
      <c r="CT690" s="567"/>
      <c r="CU690" s="567"/>
      <c r="CV690" s="567"/>
      <c r="CW690" s="567"/>
      <c r="CX690" s="567"/>
      <c r="CY690" s="567"/>
      <c r="CZ690" s="567"/>
      <c r="DA690" s="567"/>
      <c r="DB690" s="567"/>
      <c r="DC690" s="567"/>
      <c r="DD690" s="567"/>
      <c r="DE690" s="567"/>
      <c r="DF690" s="567"/>
      <c r="DG690" s="567"/>
      <c r="DH690" s="567"/>
      <c r="DI690" s="567"/>
      <c r="DJ690" s="567"/>
      <c r="DK690" s="567"/>
      <c r="DL690" s="567"/>
      <c r="DM690" s="567"/>
      <c r="DN690" s="567"/>
      <c r="DO690" s="567"/>
      <c r="DP690" s="567"/>
      <c r="DQ690" s="567"/>
      <c r="DR690" s="567"/>
      <c r="DS690" s="567"/>
      <c r="DT690" s="567"/>
      <c r="DU690" s="567"/>
      <c r="DV690" s="567"/>
      <c r="DW690" s="567"/>
      <c r="DX690" s="567"/>
      <c r="DY690" s="567"/>
      <c r="DZ690" s="567"/>
      <c r="EA690" s="567"/>
      <c r="EB690" s="567"/>
      <c r="EC690" s="567"/>
      <c r="ED690" s="567"/>
      <c r="EE690" s="567"/>
      <c r="EF690" s="567"/>
      <c r="EG690" s="567"/>
      <c r="EH690" s="567"/>
      <c r="EI690" s="567"/>
      <c r="EJ690" s="567"/>
      <c r="EK690" s="567"/>
      <c r="EL690" s="567"/>
      <c r="EM690" s="567"/>
      <c r="EN690" s="567"/>
      <c r="EO690" s="567"/>
      <c r="EP690" s="567"/>
      <c r="EQ690" s="567"/>
      <c r="ER690" s="567"/>
      <c r="ES690" s="567"/>
      <c r="ET690" s="567"/>
      <c r="EU690" s="567"/>
      <c r="EV690" s="567"/>
      <c r="EW690" s="567"/>
      <c r="EX690" s="567"/>
      <c r="EY690" s="567"/>
      <c r="EZ690" s="567"/>
      <c r="FA690" s="567"/>
      <c r="FB690" s="567"/>
      <c r="FC690" s="567"/>
      <c r="FD690" s="567"/>
      <c r="FE690" s="567"/>
      <c r="FF690" s="567"/>
      <c r="FG690" s="567"/>
      <c r="FH690" s="567"/>
      <c r="FI690" s="567"/>
      <c r="FJ690" s="567"/>
      <c r="FK690" s="567"/>
      <c r="FL690" s="567"/>
      <c r="FM690" s="567"/>
      <c r="FN690" s="567"/>
      <c r="FO690" s="567"/>
      <c r="FP690" s="567"/>
      <c r="FQ690" s="567"/>
      <c r="FR690" s="567"/>
      <c r="FS690" s="567"/>
      <c r="FT690" s="567"/>
      <c r="FU690" s="567"/>
      <c r="FV690" s="567"/>
      <c r="FW690" s="567"/>
      <c r="FX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  <c r="BW691" s="567"/>
      <c r="BX691" s="567"/>
      <c r="BY691" s="567"/>
      <c r="BZ691" s="567"/>
      <c r="CA691" s="567"/>
      <c r="CB691" s="567"/>
      <c r="CC691" s="567"/>
      <c r="CD691" s="567"/>
      <c r="CE691" s="567"/>
      <c r="CF691" s="567"/>
      <c r="CG691" s="567"/>
      <c r="CH691" s="567"/>
      <c r="CI691" s="567"/>
      <c r="CJ691" s="567"/>
      <c r="CK691" s="567"/>
      <c r="CL691" s="567"/>
      <c r="CM691" s="567"/>
      <c r="CN691" s="567"/>
      <c r="CO691" s="567"/>
      <c r="CP691" s="567"/>
      <c r="CQ691" s="567"/>
      <c r="CR691" s="567"/>
      <c r="CS691" s="567"/>
      <c r="CT691" s="567"/>
      <c r="CU691" s="567"/>
      <c r="CV691" s="567"/>
      <c r="CW691" s="567"/>
      <c r="CX691" s="567"/>
      <c r="CY691" s="567"/>
      <c r="CZ691" s="567"/>
      <c r="DA691" s="567"/>
      <c r="DB691" s="567"/>
      <c r="DC691" s="567"/>
      <c r="DD691" s="567"/>
      <c r="DE691" s="567"/>
      <c r="DF691" s="567"/>
      <c r="DG691" s="567"/>
      <c r="DH691" s="567"/>
      <c r="DI691" s="567"/>
      <c r="DJ691" s="567"/>
      <c r="DK691" s="567"/>
      <c r="DL691" s="567"/>
      <c r="DM691" s="567"/>
      <c r="DN691" s="567"/>
      <c r="DO691" s="567"/>
      <c r="DP691" s="567"/>
      <c r="DQ691" s="567"/>
      <c r="DR691" s="567"/>
      <c r="DS691" s="567"/>
      <c r="DT691" s="567"/>
      <c r="DU691" s="567"/>
      <c r="DV691" s="567"/>
      <c r="DW691" s="567"/>
      <c r="DX691" s="567"/>
      <c r="DY691" s="567"/>
      <c r="DZ691" s="567"/>
      <c r="EA691" s="567"/>
      <c r="EB691" s="567"/>
      <c r="EC691" s="567"/>
      <c r="ED691" s="567"/>
      <c r="EE691" s="567"/>
      <c r="EF691" s="567"/>
      <c r="EG691" s="567"/>
      <c r="EH691" s="567"/>
      <c r="EI691" s="567"/>
      <c r="EJ691" s="567"/>
      <c r="EK691" s="567"/>
      <c r="EL691" s="567"/>
      <c r="EM691" s="567"/>
      <c r="EN691" s="567"/>
      <c r="EO691" s="567"/>
      <c r="EP691" s="567"/>
      <c r="EQ691" s="567"/>
      <c r="ER691" s="567"/>
      <c r="ES691" s="567"/>
      <c r="ET691" s="567"/>
      <c r="EU691" s="567"/>
      <c r="EV691" s="567"/>
      <c r="EW691" s="567"/>
      <c r="EX691" s="567"/>
      <c r="EY691" s="567"/>
      <c r="EZ691" s="567"/>
      <c r="FA691" s="567"/>
      <c r="FB691" s="567"/>
      <c r="FC691" s="567"/>
      <c r="FD691" s="567"/>
      <c r="FE691" s="567"/>
      <c r="FF691" s="567"/>
      <c r="FG691" s="567"/>
      <c r="FH691" s="567"/>
      <c r="FI691" s="567"/>
      <c r="FJ691" s="567"/>
      <c r="FK691" s="567"/>
      <c r="FL691" s="567"/>
      <c r="FM691" s="567"/>
      <c r="FN691" s="567"/>
      <c r="FO691" s="567"/>
      <c r="FP691" s="567"/>
      <c r="FQ691" s="567"/>
      <c r="FR691" s="567"/>
      <c r="FS691" s="567"/>
      <c r="FT691" s="567"/>
      <c r="FU691" s="567"/>
      <c r="FV691" s="567"/>
      <c r="FW691" s="567"/>
      <c r="FX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  <c r="BW692" s="567"/>
      <c r="BX692" s="567"/>
      <c r="BY692" s="567"/>
      <c r="BZ692" s="567"/>
      <c r="CA692" s="567"/>
      <c r="CB692" s="567"/>
      <c r="CC692" s="567"/>
      <c r="CD692" s="567"/>
      <c r="CE692" s="567"/>
      <c r="CF692" s="567"/>
      <c r="CG692" s="567"/>
      <c r="CH692" s="567"/>
      <c r="CI692" s="567"/>
      <c r="CJ692" s="567"/>
      <c r="CK692" s="567"/>
      <c r="CL692" s="567"/>
      <c r="CM692" s="567"/>
      <c r="CN692" s="567"/>
      <c r="CO692" s="567"/>
      <c r="CP692" s="567"/>
      <c r="CQ692" s="567"/>
      <c r="CR692" s="567"/>
      <c r="CS692" s="567"/>
      <c r="CT692" s="567"/>
      <c r="CU692" s="567"/>
      <c r="CV692" s="567"/>
      <c r="CW692" s="567"/>
      <c r="CX692" s="567"/>
      <c r="CY692" s="567"/>
      <c r="CZ692" s="567"/>
      <c r="DA692" s="567"/>
      <c r="DB692" s="567"/>
      <c r="DC692" s="567"/>
      <c r="DD692" s="567"/>
      <c r="DE692" s="567"/>
      <c r="DF692" s="567"/>
      <c r="DG692" s="567"/>
      <c r="DH692" s="567"/>
      <c r="DI692" s="567"/>
      <c r="DJ692" s="567"/>
      <c r="DK692" s="567"/>
      <c r="DL692" s="567"/>
      <c r="DM692" s="567"/>
      <c r="DN692" s="567"/>
      <c r="DO692" s="567"/>
      <c r="DP692" s="567"/>
      <c r="DQ692" s="567"/>
      <c r="DR692" s="567"/>
      <c r="DS692" s="567"/>
      <c r="DT692" s="567"/>
      <c r="DU692" s="567"/>
      <c r="DV692" s="567"/>
      <c r="DW692" s="567"/>
      <c r="DX692" s="567"/>
      <c r="DY692" s="567"/>
      <c r="DZ692" s="567"/>
      <c r="EA692" s="567"/>
      <c r="EB692" s="567"/>
      <c r="EC692" s="567"/>
      <c r="ED692" s="567"/>
      <c r="EE692" s="567"/>
      <c r="EF692" s="567"/>
      <c r="EG692" s="567"/>
      <c r="EH692" s="567"/>
      <c r="EI692" s="567"/>
      <c r="EJ692" s="567"/>
      <c r="EK692" s="567"/>
      <c r="EL692" s="567"/>
      <c r="EM692" s="567"/>
      <c r="EN692" s="567"/>
      <c r="EO692" s="567"/>
      <c r="EP692" s="567"/>
      <c r="EQ692" s="567"/>
      <c r="ER692" s="567"/>
      <c r="ES692" s="567"/>
      <c r="ET692" s="567"/>
      <c r="EU692" s="567"/>
      <c r="EV692" s="567"/>
      <c r="EW692" s="567"/>
      <c r="EX692" s="567"/>
      <c r="EY692" s="567"/>
      <c r="EZ692" s="567"/>
      <c r="FA692" s="567"/>
      <c r="FB692" s="567"/>
      <c r="FC692" s="567"/>
      <c r="FD692" s="567"/>
      <c r="FE692" s="567"/>
      <c r="FF692" s="567"/>
      <c r="FG692" s="567"/>
      <c r="FH692" s="567"/>
      <c r="FI692" s="567"/>
      <c r="FJ692" s="567"/>
      <c r="FK692" s="567"/>
      <c r="FL692" s="567"/>
      <c r="FM692" s="567"/>
      <c r="FN692" s="567"/>
      <c r="FO692" s="567"/>
      <c r="FP692" s="567"/>
      <c r="FQ692" s="567"/>
      <c r="FR692" s="567"/>
      <c r="FS692" s="567"/>
      <c r="FT692" s="567"/>
      <c r="FU692" s="567"/>
      <c r="FV692" s="567"/>
      <c r="FW692" s="567"/>
      <c r="FX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  <c r="BW693" s="567"/>
      <c r="BX693" s="567"/>
      <c r="BY693" s="567"/>
      <c r="BZ693" s="567"/>
      <c r="CA693" s="567"/>
      <c r="CB693" s="567"/>
      <c r="CC693" s="567"/>
      <c r="CD693" s="567"/>
      <c r="CE693" s="567"/>
      <c r="CF693" s="567"/>
      <c r="CG693" s="567"/>
      <c r="CH693" s="567"/>
      <c r="CI693" s="567"/>
      <c r="CJ693" s="567"/>
      <c r="CK693" s="567"/>
      <c r="CL693" s="567"/>
      <c r="CM693" s="567"/>
      <c r="CN693" s="567"/>
      <c r="CO693" s="567"/>
      <c r="CP693" s="567"/>
      <c r="CQ693" s="567"/>
      <c r="CR693" s="567"/>
      <c r="CS693" s="567"/>
      <c r="CT693" s="567"/>
      <c r="CU693" s="567"/>
      <c r="CV693" s="567"/>
      <c r="CW693" s="567"/>
      <c r="CX693" s="567"/>
      <c r="CY693" s="567"/>
      <c r="CZ693" s="567"/>
      <c r="DA693" s="567"/>
      <c r="DB693" s="567"/>
      <c r="DC693" s="567"/>
      <c r="DD693" s="567"/>
      <c r="DE693" s="567"/>
      <c r="DF693" s="567"/>
      <c r="DG693" s="567"/>
      <c r="DH693" s="567"/>
      <c r="DI693" s="567"/>
      <c r="DJ693" s="567"/>
      <c r="DK693" s="567"/>
      <c r="DL693" s="567"/>
      <c r="DM693" s="567"/>
      <c r="DN693" s="567"/>
      <c r="DO693" s="567"/>
      <c r="DP693" s="567"/>
      <c r="DQ693" s="567"/>
      <c r="DR693" s="567"/>
      <c r="DS693" s="567"/>
      <c r="DT693" s="567"/>
      <c r="DU693" s="567"/>
      <c r="DV693" s="567"/>
      <c r="DW693" s="567"/>
      <c r="DX693" s="567"/>
      <c r="DY693" s="567"/>
      <c r="DZ693" s="567"/>
      <c r="EA693" s="567"/>
      <c r="EB693" s="567"/>
      <c r="EC693" s="567"/>
      <c r="ED693" s="567"/>
      <c r="EE693" s="567"/>
      <c r="EF693" s="567"/>
      <c r="EG693" s="567"/>
      <c r="EH693" s="567"/>
      <c r="EI693" s="567"/>
      <c r="EJ693" s="567"/>
      <c r="EK693" s="567"/>
      <c r="EL693" s="567"/>
      <c r="EM693" s="567"/>
      <c r="EN693" s="567"/>
      <c r="EO693" s="567"/>
      <c r="EP693" s="567"/>
      <c r="EQ693" s="567"/>
      <c r="ER693" s="567"/>
      <c r="ES693" s="567"/>
      <c r="ET693" s="567"/>
      <c r="EU693" s="567"/>
      <c r="EV693" s="567"/>
      <c r="EW693" s="567"/>
      <c r="EX693" s="567"/>
      <c r="EY693" s="567"/>
      <c r="EZ693" s="567"/>
      <c r="FA693" s="567"/>
      <c r="FB693" s="567"/>
      <c r="FC693" s="567"/>
      <c r="FD693" s="567"/>
      <c r="FE693" s="567"/>
      <c r="FF693" s="567"/>
      <c r="FG693" s="567"/>
      <c r="FH693" s="567"/>
      <c r="FI693" s="567"/>
      <c r="FJ693" s="567"/>
      <c r="FK693" s="567"/>
      <c r="FL693" s="567"/>
      <c r="FM693" s="567"/>
      <c r="FN693" s="567"/>
      <c r="FO693" s="567"/>
      <c r="FP693" s="567"/>
      <c r="FQ693" s="567"/>
      <c r="FR693" s="567"/>
      <c r="FS693" s="567"/>
      <c r="FT693" s="567"/>
      <c r="FU693" s="567"/>
      <c r="FV693" s="567"/>
      <c r="FW693" s="567"/>
      <c r="FX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  <c r="BW694" s="567"/>
      <c r="BX694" s="567"/>
      <c r="BY694" s="567"/>
      <c r="BZ694" s="567"/>
      <c r="CA694" s="567"/>
      <c r="CB694" s="567"/>
      <c r="CC694" s="567"/>
      <c r="CD694" s="567"/>
      <c r="CE694" s="567"/>
      <c r="CF694" s="567"/>
      <c r="CG694" s="567"/>
      <c r="CH694" s="567"/>
      <c r="CI694" s="567"/>
      <c r="CJ694" s="567"/>
      <c r="CK694" s="567"/>
      <c r="CL694" s="567"/>
      <c r="CM694" s="567"/>
      <c r="CN694" s="567"/>
      <c r="CO694" s="567"/>
      <c r="CP694" s="567"/>
      <c r="CQ694" s="567"/>
      <c r="CR694" s="567"/>
      <c r="CS694" s="567"/>
      <c r="CT694" s="567"/>
      <c r="CU694" s="567"/>
      <c r="CV694" s="567"/>
      <c r="CW694" s="567"/>
      <c r="CX694" s="567"/>
      <c r="CY694" s="567"/>
      <c r="CZ694" s="567"/>
      <c r="DA694" s="567"/>
      <c r="DB694" s="567"/>
      <c r="DC694" s="567"/>
      <c r="DD694" s="567"/>
      <c r="DE694" s="567"/>
      <c r="DF694" s="567"/>
      <c r="DG694" s="567"/>
      <c r="DH694" s="567"/>
      <c r="DI694" s="567"/>
      <c r="DJ694" s="567"/>
      <c r="DK694" s="567"/>
      <c r="DL694" s="567"/>
      <c r="DM694" s="567"/>
      <c r="DN694" s="567"/>
      <c r="DO694" s="567"/>
      <c r="DP694" s="567"/>
      <c r="DQ694" s="567"/>
      <c r="DR694" s="567"/>
      <c r="DS694" s="567"/>
      <c r="DT694" s="567"/>
      <c r="DU694" s="567"/>
      <c r="DV694" s="567"/>
      <c r="DW694" s="567"/>
      <c r="DX694" s="567"/>
      <c r="DY694" s="567"/>
      <c r="DZ694" s="567"/>
      <c r="EA694" s="567"/>
      <c r="EB694" s="567"/>
      <c r="EC694" s="567"/>
      <c r="ED694" s="567"/>
      <c r="EE694" s="567"/>
      <c r="EF694" s="567"/>
      <c r="EG694" s="567"/>
      <c r="EH694" s="567"/>
      <c r="EI694" s="567"/>
      <c r="EJ694" s="567"/>
      <c r="EK694" s="567"/>
      <c r="EL694" s="567"/>
      <c r="EM694" s="567"/>
      <c r="EN694" s="567"/>
      <c r="EO694" s="567"/>
      <c r="EP694" s="567"/>
      <c r="EQ694" s="567"/>
      <c r="ER694" s="567"/>
      <c r="ES694" s="567"/>
      <c r="ET694" s="567"/>
      <c r="EU694" s="567"/>
      <c r="EV694" s="567"/>
      <c r="EW694" s="567"/>
      <c r="EX694" s="567"/>
      <c r="EY694" s="567"/>
      <c r="EZ694" s="567"/>
      <c r="FA694" s="567"/>
      <c r="FB694" s="567"/>
      <c r="FC694" s="567"/>
      <c r="FD694" s="567"/>
      <c r="FE694" s="567"/>
      <c r="FF694" s="567"/>
      <c r="FG694" s="567"/>
      <c r="FH694" s="567"/>
      <c r="FI694" s="567"/>
      <c r="FJ694" s="567"/>
      <c r="FK694" s="567"/>
      <c r="FL694" s="567"/>
      <c r="FM694" s="567"/>
      <c r="FN694" s="567"/>
      <c r="FO694" s="567"/>
      <c r="FP694" s="567"/>
      <c r="FQ694" s="567"/>
      <c r="FR694" s="567"/>
      <c r="FS694" s="567"/>
      <c r="FT694" s="567"/>
      <c r="FU694" s="567"/>
      <c r="FV694" s="567"/>
      <c r="FW694" s="567"/>
      <c r="FX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  <c r="BW695" s="567"/>
      <c r="BX695" s="567"/>
      <c r="BY695" s="567"/>
      <c r="BZ695" s="567"/>
      <c r="CA695" s="567"/>
      <c r="CB695" s="567"/>
      <c r="CC695" s="567"/>
      <c r="CD695" s="567"/>
      <c r="CE695" s="567"/>
      <c r="CF695" s="567"/>
      <c r="CG695" s="567"/>
      <c r="CH695" s="567"/>
      <c r="CI695" s="567"/>
      <c r="CJ695" s="567"/>
      <c r="CK695" s="567"/>
      <c r="CL695" s="567"/>
      <c r="CM695" s="567"/>
      <c r="CN695" s="567"/>
      <c r="CO695" s="567"/>
      <c r="CP695" s="567"/>
      <c r="CQ695" s="567"/>
      <c r="CR695" s="567"/>
      <c r="CS695" s="567"/>
      <c r="CT695" s="567"/>
      <c r="CU695" s="567"/>
      <c r="CV695" s="567"/>
      <c r="CW695" s="567"/>
      <c r="CX695" s="567"/>
      <c r="CY695" s="567"/>
      <c r="CZ695" s="567"/>
      <c r="DA695" s="567"/>
      <c r="DB695" s="567"/>
      <c r="DC695" s="567"/>
      <c r="DD695" s="567"/>
      <c r="DE695" s="567"/>
      <c r="DF695" s="567"/>
      <c r="DG695" s="567"/>
      <c r="DH695" s="567"/>
      <c r="DI695" s="567"/>
      <c r="DJ695" s="567"/>
      <c r="DK695" s="567"/>
      <c r="DL695" s="567"/>
      <c r="DM695" s="567"/>
      <c r="DN695" s="567"/>
      <c r="DO695" s="567"/>
      <c r="DP695" s="567"/>
      <c r="DQ695" s="567"/>
      <c r="DR695" s="567"/>
      <c r="DS695" s="567"/>
      <c r="DT695" s="567"/>
      <c r="DU695" s="567"/>
      <c r="DV695" s="567"/>
      <c r="DW695" s="567"/>
      <c r="DX695" s="567"/>
      <c r="DY695" s="567"/>
      <c r="DZ695" s="567"/>
      <c r="EA695" s="567"/>
      <c r="EB695" s="567"/>
      <c r="EC695" s="567"/>
      <c r="ED695" s="567"/>
      <c r="EE695" s="567"/>
      <c r="EF695" s="567"/>
      <c r="EG695" s="567"/>
      <c r="EH695" s="567"/>
      <c r="EI695" s="567"/>
      <c r="EJ695" s="567"/>
      <c r="EK695" s="567"/>
      <c r="EL695" s="567"/>
      <c r="EM695" s="567"/>
      <c r="EN695" s="567"/>
      <c r="EO695" s="567"/>
      <c r="EP695" s="567"/>
      <c r="EQ695" s="567"/>
      <c r="ER695" s="567"/>
      <c r="ES695" s="567"/>
      <c r="ET695" s="567"/>
      <c r="EU695" s="567"/>
      <c r="EV695" s="567"/>
      <c r="EW695" s="567"/>
      <c r="EX695" s="567"/>
      <c r="EY695" s="567"/>
      <c r="EZ695" s="567"/>
      <c r="FA695" s="567"/>
      <c r="FB695" s="567"/>
      <c r="FC695" s="567"/>
      <c r="FD695" s="567"/>
      <c r="FE695" s="567"/>
      <c r="FF695" s="567"/>
      <c r="FG695" s="567"/>
      <c r="FH695" s="567"/>
      <c r="FI695" s="567"/>
      <c r="FJ695" s="567"/>
      <c r="FK695" s="567"/>
      <c r="FL695" s="567"/>
      <c r="FM695" s="567"/>
      <c r="FN695" s="567"/>
      <c r="FO695" s="567"/>
      <c r="FP695" s="567"/>
      <c r="FQ695" s="567"/>
      <c r="FR695" s="567"/>
      <c r="FS695" s="567"/>
      <c r="FT695" s="567"/>
      <c r="FU695" s="567"/>
      <c r="FV695" s="567"/>
      <c r="FW695" s="567"/>
      <c r="FX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  <c r="BW696" s="567"/>
      <c r="BX696" s="567"/>
      <c r="BY696" s="567"/>
      <c r="BZ696" s="567"/>
      <c r="CA696" s="567"/>
      <c r="CB696" s="567"/>
      <c r="CC696" s="567"/>
      <c r="CD696" s="567"/>
      <c r="CE696" s="567"/>
      <c r="CF696" s="567"/>
      <c r="CG696" s="567"/>
      <c r="CH696" s="567"/>
      <c r="CI696" s="567"/>
      <c r="CJ696" s="567"/>
      <c r="CK696" s="567"/>
      <c r="CL696" s="567"/>
      <c r="CM696" s="567"/>
      <c r="CN696" s="567"/>
      <c r="CO696" s="567"/>
      <c r="CP696" s="567"/>
      <c r="CQ696" s="567"/>
      <c r="CR696" s="567"/>
      <c r="CS696" s="567"/>
      <c r="CT696" s="567"/>
      <c r="CU696" s="567"/>
      <c r="CV696" s="567"/>
      <c r="CW696" s="567"/>
      <c r="CX696" s="567"/>
      <c r="CY696" s="567"/>
      <c r="CZ696" s="567"/>
      <c r="DA696" s="567"/>
      <c r="DB696" s="567"/>
      <c r="DC696" s="567"/>
      <c r="DD696" s="567"/>
      <c r="DE696" s="567"/>
      <c r="DF696" s="567"/>
      <c r="DG696" s="567"/>
      <c r="DH696" s="567"/>
      <c r="DI696" s="567"/>
      <c r="DJ696" s="567"/>
      <c r="DK696" s="567"/>
      <c r="DL696" s="567"/>
      <c r="DM696" s="567"/>
      <c r="DN696" s="567"/>
      <c r="DO696" s="567"/>
      <c r="DP696" s="567"/>
      <c r="DQ696" s="567"/>
      <c r="DR696" s="567"/>
      <c r="DS696" s="567"/>
      <c r="DT696" s="567"/>
      <c r="DU696" s="567"/>
      <c r="DV696" s="567"/>
      <c r="DW696" s="567"/>
      <c r="DX696" s="567"/>
      <c r="DY696" s="567"/>
      <c r="DZ696" s="567"/>
      <c r="EA696" s="567"/>
      <c r="EB696" s="567"/>
      <c r="EC696" s="567"/>
      <c r="ED696" s="567"/>
      <c r="EE696" s="567"/>
      <c r="EF696" s="567"/>
      <c r="EG696" s="567"/>
      <c r="EH696" s="567"/>
      <c r="EI696" s="567"/>
      <c r="EJ696" s="567"/>
      <c r="EK696" s="567"/>
      <c r="EL696" s="567"/>
      <c r="EM696" s="567"/>
      <c r="EN696" s="567"/>
      <c r="EO696" s="567"/>
      <c r="EP696" s="567"/>
      <c r="EQ696" s="567"/>
      <c r="ER696" s="567"/>
      <c r="ES696" s="567"/>
      <c r="ET696" s="567"/>
      <c r="EU696" s="567"/>
      <c r="EV696" s="567"/>
      <c r="EW696" s="567"/>
      <c r="EX696" s="567"/>
      <c r="EY696" s="567"/>
      <c r="EZ696" s="567"/>
      <c r="FA696" s="567"/>
      <c r="FB696" s="567"/>
      <c r="FC696" s="567"/>
      <c r="FD696" s="567"/>
      <c r="FE696" s="567"/>
      <c r="FF696" s="567"/>
      <c r="FG696" s="567"/>
      <c r="FH696" s="567"/>
      <c r="FI696" s="567"/>
      <c r="FJ696" s="567"/>
      <c r="FK696" s="567"/>
      <c r="FL696" s="567"/>
      <c r="FM696" s="567"/>
      <c r="FN696" s="567"/>
      <c r="FO696" s="567"/>
      <c r="FP696" s="567"/>
      <c r="FQ696" s="567"/>
      <c r="FR696" s="567"/>
      <c r="FS696" s="567"/>
      <c r="FT696" s="567"/>
      <c r="FU696" s="567"/>
      <c r="FV696" s="567"/>
      <c r="FW696" s="567"/>
      <c r="FX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  <c r="BW697" s="567"/>
      <c r="BX697" s="567"/>
      <c r="BY697" s="567"/>
      <c r="BZ697" s="567"/>
      <c r="CA697" s="567"/>
      <c r="CB697" s="567"/>
      <c r="CC697" s="567"/>
      <c r="CD697" s="567"/>
      <c r="CE697" s="567"/>
      <c r="CF697" s="567"/>
      <c r="CG697" s="567"/>
      <c r="CH697" s="567"/>
      <c r="CI697" s="567"/>
      <c r="CJ697" s="567"/>
      <c r="CK697" s="567"/>
      <c r="CL697" s="567"/>
      <c r="CM697" s="567"/>
      <c r="CN697" s="567"/>
      <c r="CO697" s="567"/>
      <c r="CP697" s="567"/>
      <c r="CQ697" s="567"/>
      <c r="CR697" s="567"/>
      <c r="CS697" s="567"/>
      <c r="CT697" s="567"/>
      <c r="CU697" s="567"/>
      <c r="CV697" s="567"/>
      <c r="CW697" s="567"/>
      <c r="CX697" s="567"/>
      <c r="CY697" s="567"/>
      <c r="CZ697" s="567"/>
      <c r="DA697" s="567"/>
      <c r="DB697" s="567"/>
      <c r="DC697" s="567"/>
      <c r="DD697" s="567"/>
      <c r="DE697" s="567"/>
      <c r="DF697" s="567"/>
      <c r="DG697" s="567"/>
      <c r="DH697" s="567"/>
      <c r="DI697" s="567"/>
      <c r="DJ697" s="567"/>
      <c r="DK697" s="567"/>
      <c r="DL697" s="567"/>
      <c r="DM697" s="567"/>
      <c r="DN697" s="567"/>
      <c r="DO697" s="567"/>
      <c r="DP697" s="567"/>
      <c r="DQ697" s="567"/>
      <c r="DR697" s="567"/>
      <c r="DS697" s="567"/>
      <c r="DT697" s="567"/>
      <c r="DU697" s="567"/>
      <c r="DV697" s="567"/>
      <c r="DW697" s="567"/>
      <c r="DX697" s="567"/>
      <c r="DY697" s="567"/>
      <c r="DZ697" s="567"/>
      <c r="EA697" s="567"/>
      <c r="EB697" s="567"/>
      <c r="EC697" s="567"/>
      <c r="ED697" s="567"/>
      <c r="EE697" s="567"/>
      <c r="EF697" s="567"/>
      <c r="EG697" s="567"/>
      <c r="EH697" s="567"/>
      <c r="EI697" s="567"/>
      <c r="EJ697" s="567"/>
      <c r="EK697" s="567"/>
      <c r="EL697" s="567"/>
      <c r="EM697" s="567"/>
      <c r="EN697" s="567"/>
      <c r="EO697" s="567"/>
      <c r="EP697" s="567"/>
      <c r="EQ697" s="567"/>
      <c r="ER697" s="567"/>
      <c r="ES697" s="567"/>
      <c r="ET697" s="567"/>
      <c r="EU697" s="567"/>
      <c r="EV697" s="567"/>
      <c r="EW697" s="567"/>
      <c r="EX697" s="567"/>
      <c r="EY697" s="567"/>
      <c r="EZ697" s="567"/>
      <c r="FA697" s="567"/>
      <c r="FB697" s="567"/>
      <c r="FC697" s="567"/>
      <c r="FD697" s="567"/>
      <c r="FE697" s="567"/>
      <c r="FF697" s="567"/>
      <c r="FG697" s="567"/>
      <c r="FH697" s="567"/>
      <c r="FI697" s="567"/>
      <c r="FJ697" s="567"/>
      <c r="FK697" s="567"/>
      <c r="FL697" s="567"/>
      <c r="FM697" s="567"/>
      <c r="FN697" s="567"/>
      <c r="FO697" s="567"/>
      <c r="FP697" s="567"/>
      <c r="FQ697" s="567"/>
      <c r="FR697" s="567"/>
      <c r="FS697" s="567"/>
      <c r="FT697" s="567"/>
      <c r="FU697" s="567"/>
      <c r="FV697" s="567"/>
      <c r="FW697" s="567"/>
      <c r="FX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  <c r="BW698" s="567"/>
      <c r="BX698" s="567"/>
      <c r="BY698" s="567"/>
      <c r="BZ698" s="567"/>
      <c r="CA698" s="567"/>
      <c r="CB698" s="567"/>
      <c r="CC698" s="567"/>
      <c r="CD698" s="567"/>
      <c r="CE698" s="567"/>
      <c r="CF698" s="567"/>
      <c r="CG698" s="567"/>
      <c r="CH698" s="567"/>
      <c r="CI698" s="567"/>
      <c r="CJ698" s="567"/>
      <c r="CK698" s="567"/>
      <c r="CL698" s="567"/>
      <c r="CM698" s="567"/>
      <c r="CN698" s="567"/>
      <c r="CO698" s="567"/>
      <c r="CP698" s="567"/>
      <c r="CQ698" s="567"/>
      <c r="CR698" s="567"/>
      <c r="CS698" s="567"/>
      <c r="CT698" s="567"/>
      <c r="CU698" s="567"/>
      <c r="CV698" s="567"/>
      <c r="CW698" s="567"/>
      <c r="CX698" s="567"/>
      <c r="CY698" s="567"/>
      <c r="CZ698" s="567"/>
      <c r="DA698" s="567"/>
      <c r="DB698" s="567"/>
      <c r="DC698" s="567"/>
      <c r="DD698" s="567"/>
      <c r="DE698" s="567"/>
      <c r="DF698" s="567"/>
      <c r="DG698" s="567"/>
      <c r="DH698" s="567"/>
      <c r="DI698" s="567"/>
      <c r="DJ698" s="567"/>
      <c r="DK698" s="567"/>
      <c r="DL698" s="567"/>
      <c r="DM698" s="567"/>
      <c r="DN698" s="567"/>
      <c r="DO698" s="567"/>
      <c r="DP698" s="567"/>
      <c r="DQ698" s="567"/>
      <c r="DR698" s="567"/>
      <c r="DS698" s="567"/>
      <c r="DT698" s="567"/>
      <c r="DU698" s="567"/>
      <c r="DV698" s="567"/>
      <c r="DW698" s="567"/>
      <c r="DX698" s="567"/>
      <c r="DY698" s="567"/>
      <c r="DZ698" s="567"/>
      <c r="EA698" s="567"/>
      <c r="EB698" s="567"/>
      <c r="EC698" s="567"/>
      <c r="ED698" s="567"/>
      <c r="EE698" s="567"/>
      <c r="EF698" s="567"/>
      <c r="EG698" s="567"/>
      <c r="EH698" s="567"/>
      <c r="EI698" s="567"/>
      <c r="EJ698" s="567"/>
      <c r="EK698" s="567"/>
      <c r="EL698" s="567"/>
      <c r="EM698" s="567"/>
      <c r="EN698" s="567"/>
      <c r="EO698" s="567"/>
      <c r="EP698" s="567"/>
      <c r="EQ698" s="567"/>
      <c r="ER698" s="567"/>
      <c r="ES698" s="567"/>
      <c r="ET698" s="567"/>
      <c r="EU698" s="567"/>
      <c r="EV698" s="567"/>
      <c r="EW698" s="567"/>
      <c r="EX698" s="567"/>
      <c r="EY698" s="567"/>
      <c r="EZ698" s="567"/>
      <c r="FA698" s="567"/>
      <c r="FB698" s="567"/>
      <c r="FC698" s="567"/>
      <c r="FD698" s="567"/>
      <c r="FE698" s="567"/>
      <c r="FF698" s="567"/>
      <c r="FG698" s="567"/>
      <c r="FH698" s="567"/>
      <c r="FI698" s="567"/>
      <c r="FJ698" s="567"/>
      <c r="FK698" s="567"/>
      <c r="FL698" s="567"/>
      <c r="FM698" s="567"/>
      <c r="FN698" s="567"/>
      <c r="FO698" s="567"/>
      <c r="FP698" s="567"/>
      <c r="FQ698" s="567"/>
      <c r="FR698" s="567"/>
      <c r="FS698" s="567"/>
      <c r="FT698" s="567"/>
      <c r="FU698" s="567"/>
      <c r="FV698" s="567"/>
      <c r="FW698" s="567"/>
      <c r="FX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  <c r="BW699" s="567"/>
      <c r="BX699" s="567"/>
      <c r="BY699" s="567"/>
      <c r="BZ699" s="567"/>
      <c r="CA699" s="567"/>
      <c r="CB699" s="567"/>
      <c r="CC699" s="567"/>
      <c r="CD699" s="567"/>
      <c r="CE699" s="567"/>
      <c r="CF699" s="567"/>
      <c r="CG699" s="567"/>
      <c r="CH699" s="567"/>
      <c r="CI699" s="567"/>
      <c r="CJ699" s="567"/>
      <c r="CK699" s="567"/>
      <c r="CL699" s="567"/>
      <c r="CM699" s="567"/>
      <c r="CN699" s="567"/>
      <c r="CO699" s="567"/>
      <c r="CP699" s="567"/>
      <c r="CQ699" s="567"/>
      <c r="CR699" s="567"/>
      <c r="CS699" s="567"/>
      <c r="CT699" s="567"/>
      <c r="CU699" s="567"/>
      <c r="CV699" s="567"/>
      <c r="CW699" s="567"/>
      <c r="CX699" s="567"/>
      <c r="CY699" s="567"/>
      <c r="CZ699" s="567"/>
      <c r="DA699" s="567"/>
      <c r="DB699" s="567"/>
      <c r="DC699" s="567"/>
      <c r="DD699" s="567"/>
      <c r="DE699" s="567"/>
      <c r="DF699" s="567"/>
      <c r="DG699" s="567"/>
      <c r="DH699" s="567"/>
      <c r="DI699" s="567"/>
      <c r="DJ699" s="567"/>
      <c r="DK699" s="567"/>
      <c r="DL699" s="567"/>
      <c r="DM699" s="567"/>
      <c r="DN699" s="567"/>
      <c r="DO699" s="567"/>
      <c r="DP699" s="567"/>
      <c r="DQ699" s="567"/>
      <c r="DR699" s="567"/>
      <c r="DS699" s="567"/>
      <c r="DT699" s="567"/>
      <c r="DU699" s="567"/>
      <c r="DV699" s="567"/>
      <c r="DW699" s="567"/>
      <c r="DX699" s="567"/>
      <c r="DY699" s="567"/>
      <c r="DZ699" s="567"/>
      <c r="EA699" s="567"/>
      <c r="EB699" s="567"/>
      <c r="EC699" s="567"/>
      <c r="ED699" s="567"/>
      <c r="EE699" s="567"/>
      <c r="EF699" s="567"/>
      <c r="EG699" s="567"/>
      <c r="EH699" s="567"/>
      <c r="EI699" s="567"/>
      <c r="EJ699" s="567"/>
      <c r="EK699" s="567"/>
      <c r="EL699" s="567"/>
      <c r="EM699" s="567"/>
      <c r="EN699" s="567"/>
      <c r="EO699" s="567"/>
      <c r="EP699" s="567"/>
      <c r="EQ699" s="567"/>
      <c r="ER699" s="567"/>
      <c r="ES699" s="567"/>
      <c r="ET699" s="567"/>
      <c r="EU699" s="567"/>
      <c r="EV699" s="567"/>
      <c r="EW699" s="567"/>
      <c r="EX699" s="567"/>
      <c r="EY699" s="567"/>
      <c r="EZ699" s="567"/>
      <c r="FA699" s="567"/>
      <c r="FB699" s="567"/>
      <c r="FC699" s="567"/>
      <c r="FD699" s="567"/>
      <c r="FE699" s="567"/>
      <c r="FF699" s="567"/>
      <c r="FG699" s="567"/>
      <c r="FH699" s="567"/>
      <c r="FI699" s="567"/>
      <c r="FJ699" s="567"/>
      <c r="FK699" s="567"/>
      <c r="FL699" s="567"/>
      <c r="FM699" s="567"/>
      <c r="FN699" s="567"/>
      <c r="FO699" s="567"/>
      <c r="FP699" s="567"/>
      <c r="FQ699" s="567"/>
      <c r="FR699" s="567"/>
      <c r="FS699" s="567"/>
      <c r="FT699" s="567"/>
      <c r="FU699" s="567"/>
      <c r="FV699" s="567"/>
      <c r="FW699" s="567"/>
      <c r="FX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  <c r="BW700" s="567"/>
      <c r="BX700" s="567"/>
      <c r="BY700" s="567"/>
      <c r="BZ700" s="567"/>
      <c r="CA700" s="567"/>
      <c r="CB700" s="567"/>
      <c r="CC700" s="567"/>
      <c r="CD700" s="567"/>
      <c r="CE700" s="567"/>
      <c r="CF700" s="567"/>
      <c r="CG700" s="567"/>
      <c r="CH700" s="567"/>
      <c r="CI700" s="567"/>
      <c r="CJ700" s="567"/>
      <c r="CK700" s="567"/>
      <c r="CL700" s="567"/>
      <c r="CM700" s="567"/>
      <c r="CN700" s="567"/>
      <c r="CO700" s="567"/>
      <c r="CP700" s="567"/>
      <c r="CQ700" s="567"/>
      <c r="CR700" s="567"/>
      <c r="CS700" s="567"/>
      <c r="CT700" s="567"/>
      <c r="CU700" s="567"/>
      <c r="CV700" s="567"/>
      <c r="CW700" s="567"/>
      <c r="CX700" s="567"/>
      <c r="CY700" s="567"/>
      <c r="CZ700" s="567"/>
      <c r="DA700" s="567"/>
      <c r="DB700" s="567"/>
      <c r="DC700" s="567"/>
      <c r="DD700" s="567"/>
      <c r="DE700" s="567"/>
      <c r="DF700" s="567"/>
      <c r="DG700" s="567"/>
      <c r="DH700" s="567"/>
      <c r="DI700" s="567"/>
      <c r="DJ700" s="567"/>
      <c r="DK700" s="567"/>
      <c r="DL700" s="567"/>
      <c r="DM700" s="567"/>
      <c r="DN700" s="567"/>
      <c r="DO700" s="567"/>
      <c r="DP700" s="567"/>
      <c r="DQ700" s="567"/>
      <c r="DR700" s="567"/>
      <c r="DS700" s="567"/>
      <c r="DT700" s="567"/>
      <c r="DU700" s="567"/>
      <c r="DV700" s="567"/>
      <c r="DW700" s="567"/>
      <c r="DX700" s="567"/>
      <c r="DY700" s="567"/>
      <c r="DZ700" s="567"/>
      <c r="EA700" s="567"/>
      <c r="EB700" s="567"/>
      <c r="EC700" s="567"/>
      <c r="ED700" s="567"/>
      <c r="EE700" s="567"/>
      <c r="EF700" s="567"/>
      <c r="EG700" s="567"/>
      <c r="EH700" s="567"/>
      <c r="EI700" s="567"/>
      <c r="EJ700" s="567"/>
      <c r="EK700" s="567"/>
      <c r="EL700" s="567"/>
      <c r="EM700" s="567"/>
      <c r="EN700" s="567"/>
      <c r="EO700" s="567"/>
      <c r="EP700" s="567"/>
      <c r="EQ700" s="567"/>
      <c r="ER700" s="567"/>
      <c r="ES700" s="567"/>
      <c r="ET700" s="567"/>
      <c r="EU700" s="567"/>
      <c r="EV700" s="567"/>
      <c r="EW700" s="567"/>
      <c r="EX700" s="567"/>
      <c r="EY700" s="567"/>
      <c r="EZ700" s="567"/>
      <c r="FA700" s="567"/>
      <c r="FB700" s="567"/>
      <c r="FC700" s="567"/>
      <c r="FD700" s="567"/>
      <c r="FE700" s="567"/>
      <c r="FF700" s="567"/>
      <c r="FG700" s="567"/>
      <c r="FH700" s="567"/>
      <c r="FI700" s="567"/>
      <c r="FJ700" s="567"/>
      <c r="FK700" s="567"/>
      <c r="FL700" s="567"/>
      <c r="FM700" s="567"/>
      <c r="FN700" s="567"/>
      <c r="FO700" s="567"/>
      <c r="FP700" s="567"/>
      <c r="FQ700" s="567"/>
      <c r="FR700" s="567"/>
      <c r="FS700" s="567"/>
      <c r="FT700" s="567"/>
      <c r="FU700" s="567"/>
      <c r="FV700" s="567"/>
      <c r="FW700" s="567"/>
      <c r="FX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  <c r="BW701" s="567"/>
      <c r="BX701" s="567"/>
      <c r="BY701" s="567"/>
      <c r="BZ701" s="567"/>
      <c r="CA701" s="567"/>
      <c r="CB701" s="567"/>
      <c r="CC701" s="567"/>
      <c r="CD701" s="567"/>
      <c r="CE701" s="567"/>
      <c r="CF701" s="567"/>
      <c r="CG701" s="567"/>
      <c r="CH701" s="567"/>
      <c r="CI701" s="567"/>
      <c r="CJ701" s="567"/>
      <c r="CK701" s="567"/>
      <c r="CL701" s="567"/>
      <c r="CM701" s="567"/>
      <c r="CN701" s="567"/>
      <c r="CO701" s="567"/>
      <c r="CP701" s="567"/>
      <c r="CQ701" s="567"/>
      <c r="CR701" s="567"/>
      <c r="CS701" s="567"/>
      <c r="CT701" s="567"/>
      <c r="CU701" s="567"/>
      <c r="CV701" s="567"/>
      <c r="CW701" s="567"/>
      <c r="CX701" s="567"/>
      <c r="CY701" s="567"/>
      <c r="CZ701" s="567"/>
      <c r="DA701" s="567"/>
      <c r="DB701" s="567"/>
      <c r="DC701" s="567"/>
      <c r="DD701" s="567"/>
      <c r="DE701" s="567"/>
      <c r="DF701" s="567"/>
      <c r="DG701" s="567"/>
      <c r="DH701" s="567"/>
      <c r="DI701" s="567"/>
      <c r="DJ701" s="567"/>
      <c r="DK701" s="567"/>
      <c r="DL701" s="567"/>
      <c r="DM701" s="567"/>
      <c r="DN701" s="567"/>
      <c r="DO701" s="567"/>
      <c r="DP701" s="567"/>
      <c r="DQ701" s="567"/>
      <c r="DR701" s="567"/>
      <c r="DS701" s="567"/>
      <c r="DT701" s="567"/>
      <c r="DU701" s="567"/>
      <c r="DV701" s="567"/>
      <c r="DW701" s="567"/>
      <c r="DX701" s="567"/>
      <c r="DY701" s="567"/>
      <c r="DZ701" s="567"/>
      <c r="EA701" s="567"/>
      <c r="EB701" s="567"/>
      <c r="EC701" s="567"/>
      <c r="ED701" s="567"/>
      <c r="EE701" s="567"/>
      <c r="EF701" s="567"/>
      <c r="EG701" s="567"/>
      <c r="EH701" s="567"/>
      <c r="EI701" s="567"/>
      <c r="EJ701" s="567"/>
      <c r="EK701" s="567"/>
      <c r="EL701" s="567"/>
      <c r="EM701" s="567"/>
      <c r="EN701" s="567"/>
      <c r="EO701" s="567"/>
      <c r="EP701" s="567"/>
      <c r="EQ701" s="567"/>
      <c r="ER701" s="567"/>
      <c r="ES701" s="567"/>
      <c r="ET701" s="567"/>
      <c r="EU701" s="567"/>
      <c r="EV701" s="567"/>
      <c r="EW701" s="567"/>
      <c r="EX701" s="567"/>
      <c r="EY701" s="567"/>
      <c r="EZ701" s="567"/>
      <c r="FA701" s="567"/>
      <c r="FB701" s="567"/>
      <c r="FC701" s="567"/>
      <c r="FD701" s="567"/>
      <c r="FE701" s="567"/>
      <c r="FF701" s="567"/>
      <c r="FG701" s="567"/>
      <c r="FH701" s="567"/>
      <c r="FI701" s="567"/>
      <c r="FJ701" s="567"/>
      <c r="FK701" s="567"/>
      <c r="FL701" s="567"/>
      <c r="FM701" s="567"/>
      <c r="FN701" s="567"/>
      <c r="FO701" s="567"/>
      <c r="FP701" s="567"/>
      <c r="FQ701" s="567"/>
      <c r="FR701" s="567"/>
      <c r="FS701" s="567"/>
      <c r="FT701" s="567"/>
      <c r="FU701" s="567"/>
      <c r="FV701" s="567"/>
      <c r="FW701" s="567"/>
      <c r="FX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  <c r="BW702" s="567"/>
      <c r="BX702" s="567"/>
      <c r="BY702" s="567"/>
      <c r="BZ702" s="567"/>
      <c r="CA702" s="567"/>
      <c r="CB702" s="567"/>
      <c r="CC702" s="567"/>
      <c r="CD702" s="567"/>
      <c r="CE702" s="567"/>
      <c r="CF702" s="567"/>
      <c r="CG702" s="567"/>
      <c r="CH702" s="567"/>
      <c r="CI702" s="567"/>
      <c r="CJ702" s="567"/>
      <c r="CK702" s="567"/>
      <c r="CL702" s="567"/>
      <c r="CM702" s="567"/>
      <c r="CN702" s="567"/>
      <c r="CO702" s="567"/>
      <c r="CP702" s="567"/>
      <c r="CQ702" s="567"/>
      <c r="CR702" s="567"/>
      <c r="CS702" s="567"/>
      <c r="CT702" s="567"/>
      <c r="CU702" s="567"/>
      <c r="CV702" s="567"/>
      <c r="CW702" s="567"/>
      <c r="CX702" s="567"/>
      <c r="CY702" s="567"/>
      <c r="CZ702" s="567"/>
      <c r="DA702" s="567"/>
      <c r="DB702" s="567"/>
      <c r="DC702" s="567"/>
      <c r="DD702" s="567"/>
      <c r="DE702" s="567"/>
      <c r="DF702" s="567"/>
      <c r="DG702" s="567"/>
      <c r="DH702" s="567"/>
      <c r="DI702" s="567"/>
      <c r="DJ702" s="567"/>
      <c r="DK702" s="567"/>
      <c r="DL702" s="567"/>
      <c r="DM702" s="567"/>
      <c r="DN702" s="567"/>
      <c r="DO702" s="567"/>
      <c r="DP702" s="567"/>
      <c r="DQ702" s="567"/>
      <c r="DR702" s="567"/>
      <c r="DS702" s="567"/>
      <c r="DT702" s="567"/>
      <c r="DU702" s="567"/>
      <c r="DV702" s="567"/>
      <c r="DW702" s="567"/>
      <c r="DX702" s="567"/>
      <c r="DY702" s="567"/>
      <c r="DZ702" s="567"/>
      <c r="EA702" s="567"/>
      <c r="EB702" s="567"/>
      <c r="EC702" s="567"/>
      <c r="ED702" s="567"/>
      <c r="EE702" s="567"/>
      <c r="EF702" s="567"/>
      <c r="EG702" s="567"/>
      <c r="EH702" s="567"/>
      <c r="EI702" s="567"/>
      <c r="EJ702" s="567"/>
      <c r="EK702" s="567"/>
      <c r="EL702" s="567"/>
      <c r="EM702" s="567"/>
      <c r="EN702" s="567"/>
      <c r="EO702" s="567"/>
      <c r="EP702" s="567"/>
      <c r="EQ702" s="567"/>
      <c r="ER702" s="567"/>
      <c r="ES702" s="567"/>
      <c r="ET702" s="567"/>
      <c r="EU702" s="567"/>
      <c r="EV702" s="567"/>
      <c r="EW702" s="567"/>
      <c r="EX702" s="567"/>
      <c r="EY702" s="567"/>
      <c r="EZ702" s="567"/>
      <c r="FA702" s="567"/>
      <c r="FB702" s="567"/>
      <c r="FC702" s="567"/>
      <c r="FD702" s="567"/>
      <c r="FE702" s="567"/>
      <c r="FF702" s="567"/>
      <c r="FG702" s="567"/>
      <c r="FH702" s="567"/>
      <c r="FI702" s="567"/>
      <c r="FJ702" s="567"/>
      <c r="FK702" s="567"/>
      <c r="FL702" s="567"/>
      <c r="FM702" s="567"/>
      <c r="FN702" s="567"/>
      <c r="FO702" s="567"/>
      <c r="FP702" s="567"/>
      <c r="FQ702" s="567"/>
      <c r="FR702" s="567"/>
      <c r="FS702" s="567"/>
      <c r="FT702" s="567"/>
      <c r="FU702" s="567"/>
      <c r="FV702" s="567"/>
      <c r="FW702" s="567"/>
      <c r="FX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  <c r="BW703" s="567"/>
      <c r="BX703" s="567"/>
      <c r="BY703" s="567"/>
      <c r="BZ703" s="567"/>
      <c r="CA703" s="567"/>
      <c r="CB703" s="567"/>
      <c r="CC703" s="567"/>
      <c r="CD703" s="567"/>
      <c r="CE703" s="567"/>
      <c r="CF703" s="567"/>
      <c r="CG703" s="567"/>
      <c r="CH703" s="567"/>
      <c r="CI703" s="567"/>
      <c r="CJ703" s="567"/>
      <c r="CK703" s="567"/>
      <c r="CL703" s="567"/>
      <c r="CM703" s="567"/>
      <c r="CN703" s="567"/>
      <c r="CO703" s="567"/>
      <c r="CP703" s="567"/>
      <c r="CQ703" s="567"/>
      <c r="CR703" s="567"/>
      <c r="CS703" s="567"/>
      <c r="CT703" s="567"/>
      <c r="CU703" s="567"/>
      <c r="CV703" s="567"/>
      <c r="CW703" s="567"/>
      <c r="CX703" s="567"/>
      <c r="CY703" s="567"/>
      <c r="CZ703" s="567"/>
      <c r="DA703" s="567"/>
      <c r="DB703" s="567"/>
      <c r="DC703" s="567"/>
      <c r="DD703" s="567"/>
      <c r="DE703" s="567"/>
      <c r="DF703" s="567"/>
      <c r="DG703" s="567"/>
      <c r="DH703" s="567"/>
      <c r="DI703" s="567"/>
      <c r="DJ703" s="567"/>
      <c r="DK703" s="567"/>
      <c r="DL703" s="567"/>
      <c r="DM703" s="567"/>
      <c r="DN703" s="567"/>
      <c r="DO703" s="567"/>
      <c r="DP703" s="567"/>
      <c r="DQ703" s="567"/>
      <c r="DR703" s="567"/>
      <c r="DS703" s="567"/>
      <c r="DT703" s="567"/>
      <c r="DU703" s="567"/>
      <c r="DV703" s="567"/>
      <c r="DW703" s="567"/>
      <c r="DX703" s="567"/>
      <c r="DY703" s="567"/>
      <c r="DZ703" s="567"/>
      <c r="EA703" s="567"/>
      <c r="EB703" s="567"/>
      <c r="EC703" s="567"/>
      <c r="ED703" s="567"/>
      <c r="EE703" s="567"/>
      <c r="EF703" s="567"/>
      <c r="EG703" s="567"/>
      <c r="EH703" s="567"/>
      <c r="EI703" s="567"/>
      <c r="EJ703" s="567"/>
      <c r="EK703" s="567"/>
      <c r="EL703" s="567"/>
      <c r="EM703" s="567"/>
      <c r="EN703" s="567"/>
      <c r="EO703" s="567"/>
      <c r="EP703" s="567"/>
      <c r="EQ703" s="567"/>
      <c r="ER703" s="567"/>
      <c r="ES703" s="567"/>
      <c r="ET703" s="567"/>
      <c r="EU703" s="567"/>
      <c r="EV703" s="567"/>
      <c r="EW703" s="567"/>
      <c r="EX703" s="567"/>
      <c r="EY703" s="567"/>
      <c r="EZ703" s="567"/>
      <c r="FA703" s="567"/>
      <c r="FB703" s="567"/>
      <c r="FC703" s="567"/>
      <c r="FD703" s="567"/>
      <c r="FE703" s="567"/>
      <c r="FF703" s="567"/>
      <c r="FG703" s="567"/>
      <c r="FH703" s="567"/>
      <c r="FI703" s="567"/>
      <c r="FJ703" s="567"/>
      <c r="FK703" s="567"/>
      <c r="FL703" s="567"/>
      <c r="FM703" s="567"/>
      <c r="FN703" s="567"/>
      <c r="FO703" s="567"/>
      <c r="FP703" s="567"/>
      <c r="FQ703" s="567"/>
      <c r="FR703" s="567"/>
      <c r="FS703" s="567"/>
      <c r="FT703" s="567"/>
      <c r="FU703" s="567"/>
      <c r="FV703" s="567"/>
      <c r="FW703" s="567"/>
      <c r="FX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  <c r="BW704" s="567"/>
      <c r="BX704" s="567"/>
      <c r="BY704" s="567"/>
      <c r="BZ704" s="567"/>
      <c r="CA704" s="567"/>
      <c r="CB704" s="567"/>
      <c r="CC704" s="567"/>
      <c r="CD704" s="567"/>
      <c r="CE704" s="567"/>
      <c r="CF704" s="567"/>
      <c r="CG704" s="567"/>
      <c r="CH704" s="567"/>
      <c r="CI704" s="567"/>
      <c r="CJ704" s="567"/>
      <c r="CK704" s="567"/>
      <c r="CL704" s="567"/>
      <c r="CM704" s="567"/>
      <c r="CN704" s="567"/>
      <c r="CO704" s="567"/>
      <c r="CP704" s="567"/>
      <c r="CQ704" s="567"/>
      <c r="CR704" s="567"/>
      <c r="CS704" s="567"/>
      <c r="CT704" s="567"/>
      <c r="CU704" s="567"/>
      <c r="CV704" s="567"/>
      <c r="CW704" s="567"/>
      <c r="CX704" s="567"/>
      <c r="CY704" s="567"/>
      <c r="CZ704" s="567"/>
      <c r="DA704" s="567"/>
      <c r="DB704" s="567"/>
      <c r="DC704" s="567"/>
      <c r="DD704" s="567"/>
      <c r="DE704" s="567"/>
      <c r="DF704" s="567"/>
      <c r="DG704" s="567"/>
      <c r="DH704" s="567"/>
      <c r="DI704" s="567"/>
      <c r="DJ704" s="567"/>
      <c r="DK704" s="567"/>
      <c r="DL704" s="567"/>
      <c r="DM704" s="567"/>
      <c r="DN704" s="567"/>
      <c r="DO704" s="567"/>
      <c r="DP704" s="567"/>
      <c r="DQ704" s="567"/>
      <c r="DR704" s="567"/>
      <c r="DS704" s="567"/>
      <c r="DT704" s="567"/>
      <c r="DU704" s="567"/>
      <c r="DV704" s="567"/>
      <c r="DW704" s="567"/>
      <c r="DX704" s="567"/>
      <c r="DY704" s="567"/>
      <c r="DZ704" s="567"/>
      <c r="EA704" s="567"/>
      <c r="EB704" s="567"/>
      <c r="EC704" s="567"/>
      <c r="ED704" s="567"/>
      <c r="EE704" s="567"/>
      <c r="EF704" s="567"/>
      <c r="EG704" s="567"/>
      <c r="EH704" s="567"/>
      <c r="EI704" s="567"/>
      <c r="EJ704" s="567"/>
      <c r="EK704" s="567"/>
      <c r="EL704" s="567"/>
      <c r="EM704" s="567"/>
      <c r="EN704" s="567"/>
      <c r="EO704" s="567"/>
      <c r="EP704" s="567"/>
      <c r="EQ704" s="567"/>
      <c r="ER704" s="567"/>
      <c r="ES704" s="567"/>
      <c r="ET704" s="567"/>
      <c r="EU704" s="567"/>
      <c r="EV704" s="567"/>
      <c r="EW704" s="567"/>
      <c r="EX704" s="567"/>
      <c r="EY704" s="567"/>
      <c r="EZ704" s="567"/>
      <c r="FA704" s="567"/>
      <c r="FB704" s="567"/>
      <c r="FC704" s="567"/>
      <c r="FD704" s="567"/>
      <c r="FE704" s="567"/>
      <c r="FF704" s="567"/>
      <c r="FG704" s="567"/>
      <c r="FH704" s="567"/>
      <c r="FI704" s="567"/>
      <c r="FJ704" s="567"/>
      <c r="FK704" s="567"/>
      <c r="FL704" s="567"/>
      <c r="FM704" s="567"/>
      <c r="FN704" s="567"/>
      <c r="FO704" s="567"/>
      <c r="FP704" s="567"/>
      <c r="FQ704" s="567"/>
      <c r="FR704" s="567"/>
      <c r="FS704" s="567"/>
      <c r="FT704" s="567"/>
      <c r="FU704" s="567"/>
      <c r="FV704" s="567"/>
      <c r="FW704" s="567"/>
      <c r="FX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  <c r="BW705" s="567"/>
      <c r="BX705" s="567"/>
      <c r="BY705" s="567"/>
      <c r="BZ705" s="567"/>
      <c r="CA705" s="567"/>
      <c r="CB705" s="567"/>
      <c r="CC705" s="567"/>
      <c r="CD705" s="567"/>
      <c r="CE705" s="567"/>
      <c r="CF705" s="567"/>
      <c r="CG705" s="567"/>
      <c r="CH705" s="567"/>
      <c r="CI705" s="567"/>
      <c r="CJ705" s="567"/>
      <c r="CK705" s="567"/>
      <c r="CL705" s="567"/>
      <c r="CM705" s="567"/>
      <c r="CN705" s="567"/>
      <c r="CO705" s="567"/>
      <c r="CP705" s="567"/>
      <c r="CQ705" s="567"/>
      <c r="CR705" s="567"/>
      <c r="CS705" s="567"/>
      <c r="CT705" s="567"/>
      <c r="CU705" s="567"/>
      <c r="CV705" s="567"/>
      <c r="CW705" s="567"/>
      <c r="CX705" s="567"/>
      <c r="CY705" s="567"/>
      <c r="CZ705" s="567"/>
      <c r="DA705" s="567"/>
      <c r="DB705" s="567"/>
      <c r="DC705" s="567"/>
      <c r="DD705" s="567"/>
      <c r="DE705" s="567"/>
      <c r="DF705" s="567"/>
      <c r="DG705" s="567"/>
      <c r="DH705" s="567"/>
      <c r="DI705" s="567"/>
      <c r="DJ705" s="567"/>
      <c r="DK705" s="567"/>
      <c r="DL705" s="567"/>
      <c r="DM705" s="567"/>
      <c r="DN705" s="567"/>
      <c r="DO705" s="567"/>
      <c r="DP705" s="567"/>
      <c r="DQ705" s="567"/>
      <c r="DR705" s="567"/>
      <c r="DS705" s="567"/>
      <c r="DT705" s="567"/>
      <c r="DU705" s="567"/>
      <c r="DV705" s="567"/>
      <c r="DW705" s="567"/>
      <c r="DX705" s="567"/>
      <c r="DY705" s="567"/>
      <c r="DZ705" s="567"/>
      <c r="EA705" s="567"/>
      <c r="EB705" s="567"/>
      <c r="EC705" s="567"/>
      <c r="ED705" s="567"/>
      <c r="EE705" s="567"/>
      <c r="EF705" s="567"/>
      <c r="EG705" s="567"/>
      <c r="EH705" s="567"/>
      <c r="EI705" s="567"/>
      <c r="EJ705" s="567"/>
      <c r="EK705" s="567"/>
      <c r="EL705" s="567"/>
      <c r="EM705" s="567"/>
      <c r="EN705" s="567"/>
      <c r="EO705" s="567"/>
      <c r="EP705" s="567"/>
      <c r="EQ705" s="567"/>
      <c r="ER705" s="567"/>
      <c r="ES705" s="567"/>
      <c r="ET705" s="567"/>
      <c r="EU705" s="567"/>
      <c r="EV705" s="567"/>
      <c r="EW705" s="567"/>
      <c r="EX705" s="567"/>
      <c r="EY705" s="567"/>
      <c r="EZ705" s="567"/>
      <c r="FA705" s="567"/>
      <c r="FB705" s="567"/>
      <c r="FC705" s="567"/>
      <c r="FD705" s="567"/>
      <c r="FE705" s="567"/>
      <c r="FF705" s="567"/>
      <c r="FG705" s="567"/>
      <c r="FH705" s="567"/>
      <c r="FI705" s="567"/>
      <c r="FJ705" s="567"/>
      <c r="FK705" s="567"/>
      <c r="FL705" s="567"/>
      <c r="FM705" s="567"/>
      <c r="FN705" s="567"/>
      <c r="FO705" s="567"/>
      <c r="FP705" s="567"/>
      <c r="FQ705" s="567"/>
      <c r="FR705" s="567"/>
      <c r="FS705" s="567"/>
      <c r="FT705" s="567"/>
      <c r="FU705" s="567"/>
      <c r="FV705" s="567"/>
      <c r="FW705" s="567"/>
      <c r="FX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  <c r="BW706" s="567"/>
      <c r="BX706" s="567"/>
      <c r="BY706" s="567"/>
      <c r="BZ706" s="567"/>
      <c r="CA706" s="567"/>
      <c r="CB706" s="567"/>
      <c r="CC706" s="567"/>
      <c r="CD706" s="567"/>
      <c r="CE706" s="567"/>
      <c r="CF706" s="567"/>
      <c r="CG706" s="567"/>
      <c r="CH706" s="567"/>
      <c r="CI706" s="567"/>
      <c r="CJ706" s="567"/>
      <c r="CK706" s="567"/>
      <c r="CL706" s="567"/>
      <c r="CM706" s="567"/>
      <c r="CN706" s="567"/>
      <c r="CO706" s="567"/>
      <c r="CP706" s="567"/>
      <c r="CQ706" s="567"/>
      <c r="CR706" s="567"/>
      <c r="CS706" s="567"/>
      <c r="CT706" s="567"/>
      <c r="CU706" s="567"/>
      <c r="CV706" s="567"/>
      <c r="CW706" s="567"/>
      <c r="CX706" s="567"/>
      <c r="CY706" s="567"/>
      <c r="CZ706" s="567"/>
      <c r="DA706" s="567"/>
      <c r="DB706" s="567"/>
      <c r="DC706" s="567"/>
      <c r="DD706" s="567"/>
      <c r="DE706" s="567"/>
      <c r="DF706" s="567"/>
      <c r="DG706" s="567"/>
      <c r="DH706" s="567"/>
      <c r="DI706" s="567"/>
      <c r="DJ706" s="567"/>
      <c r="DK706" s="567"/>
      <c r="DL706" s="567"/>
      <c r="DM706" s="567"/>
      <c r="DN706" s="567"/>
      <c r="DO706" s="567"/>
      <c r="DP706" s="567"/>
      <c r="DQ706" s="567"/>
      <c r="DR706" s="567"/>
      <c r="DS706" s="567"/>
      <c r="DT706" s="567"/>
      <c r="DU706" s="567"/>
      <c r="DV706" s="567"/>
      <c r="DW706" s="567"/>
      <c r="DX706" s="567"/>
      <c r="DY706" s="567"/>
      <c r="DZ706" s="567"/>
      <c r="EA706" s="567"/>
      <c r="EB706" s="567"/>
      <c r="EC706" s="567"/>
      <c r="ED706" s="567"/>
      <c r="EE706" s="567"/>
      <c r="EF706" s="567"/>
      <c r="EG706" s="567"/>
      <c r="EH706" s="567"/>
      <c r="EI706" s="567"/>
      <c r="EJ706" s="567"/>
      <c r="EK706" s="567"/>
      <c r="EL706" s="567"/>
      <c r="EM706" s="567"/>
      <c r="EN706" s="567"/>
      <c r="EO706" s="567"/>
      <c r="EP706" s="567"/>
      <c r="EQ706" s="567"/>
      <c r="ER706" s="567"/>
      <c r="ES706" s="567"/>
      <c r="ET706" s="567"/>
      <c r="EU706" s="567"/>
      <c r="EV706" s="567"/>
      <c r="EW706" s="567"/>
      <c r="EX706" s="567"/>
      <c r="EY706" s="567"/>
      <c r="EZ706" s="567"/>
      <c r="FA706" s="567"/>
      <c r="FB706" s="567"/>
      <c r="FC706" s="567"/>
      <c r="FD706" s="567"/>
      <c r="FE706" s="567"/>
      <c r="FF706" s="567"/>
      <c r="FG706" s="567"/>
      <c r="FH706" s="567"/>
      <c r="FI706" s="567"/>
      <c r="FJ706" s="567"/>
      <c r="FK706" s="567"/>
      <c r="FL706" s="567"/>
      <c r="FM706" s="567"/>
      <c r="FN706" s="567"/>
      <c r="FO706" s="567"/>
      <c r="FP706" s="567"/>
      <c r="FQ706" s="567"/>
      <c r="FR706" s="567"/>
      <c r="FS706" s="567"/>
      <c r="FT706" s="567"/>
      <c r="FU706" s="567"/>
      <c r="FV706" s="567"/>
      <c r="FW706" s="567"/>
      <c r="FX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  <c r="BW707" s="567"/>
      <c r="BX707" s="567"/>
      <c r="BY707" s="567"/>
      <c r="BZ707" s="567"/>
      <c r="CA707" s="567"/>
      <c r="CB707" s="567"/>
      <c r="CC707" s="567"/>
      <c r="CD707" s="567"/>
      <c r="CE707" s="567"/>
      <c r="CF707" s="567"/>
      <c r="CG707" s="567"/>
      <c r="CH707" s="567"/>
      <c r="CI707" s="567"/>
      <c r="CJ707" s="567"/>
      <c r="CK707" s="567"/>
      <c r="CL707" s="567"/>
      <c r="CM707" s="567"/>
      <c r="CN707" s="567"/>
      <c r="CO707" s="567"/>
      <c r="CP707" s="567"/>
      <c r="CQ707" s="567"/>
      <c r="CR707" s="567"/>
      <c r="CS707" s="567"/>
      <c r="CT707" s="567"/>
      <c r="CU707" s="567"/>
      <c r="CV707" s="567"/>
      <c r="CW707" s="567"/>
      <c r="CX707" s="567"/>
      <c r="CY707" s="567"/>
      <c r="CZ707" s="567"/>
      <c r="DA707" s="567"/>
      <c r="DB707" s="567"/>
      <c r="DC707" s="567"/>
      <c r="DD707" s="567"/>
      <c r="DE707" s="567"/>
      <c r="DF707" s="567"/>
      <c r="DG707" s="567"/>
      <c r="DH707" s="567"/>
      <c r="DI707" s="567"/>
      <c r="DJ707" s="567"/>
      <c r="DK707" s="567"/>
      <c r="DL707" s="567"/>
      <c r="DM707" s="567"/>
      <c r="DN707" s="567"/>
      <c r="DO707" s="567"/>
      <c r="DP707" s="567"/>
      <c r="DQ707" s="567"/>
      <c r="DR707" s="567"/>
      <c r="DS707" s="567"/>
      <c r="DT707" s="567"/>
      <c r="DU707" s="567"/>
      <c r="DV707" s="567"/>
      <c r="DW707" s="567"/>
      <c r="DX707" s="567"/>
      <c r="DY707" s="567"/>
      <c r="DZ707" s="567"/>
      <c r="EA707" s="567"/>
      <c r="EB707" s="567"/>
      <c r="EC707" s="567"/>
      <c r="ED707" s="567"/>
      <c r="EE707" s="567"/>
      <c r="EF707" s="567"/>
      <c r="EG707" s="567"/>
      <c r="EH707" s="567"/>
      <c r="EI707" s="567"/>
      <c r="EJ707" s="567"/>
      <c r="EK707" s="567"/>
      <c r="EL707" s="567"/>
      <c r="EM707" s="567"/>
      <c r="EN707" s="567"/>
      <c r="EO707" s="567"/>
      <c r="EP707" s="567"/>
      <c r="EQ707" s="567"/>
      <c r="ER707" s="567"/>
      <c r="ES707" s="567"/>
      <c r="ET707" s="567"/>
      <c r="EU707" s="567"/>
      <c r="EV707" s="567"/>
      <c r="EW707" s="567"/>
      <c r="EX707" s="567"/>
      <c r="EY707" s="567"/>
      <c r="EZ707" s="567"/>
      <c r="FA707" s="567"/>
      <c r="FB707" s="567"/>
      <c r="FC707" s="567"/>
      <c r="FD707" s="567"/>
      <c r="FE707" s="567"/>
      <c r="FF707" s="567"/>
      <c r="FG707" s="567"/>
      <c r="FH707" s="567"/>
      <c r="FI707" s="567"/>
      <c r="FJ707" s="567"/>
      <c r="FK707" s="567"/>
      <c r="FL707" s="567"/>
      <c r="FM707" s="567"/>
      <c r="FN707" s="567"/>
      <c r="FO707" s="567"/>
      <c r="FP707" s="567"/>
      <c r="FQ707" s="567"/>
      <c r="FR707" s="567"/>
      <c r="FS707" s="567"/>
      <c r="FT707" s="567"/>
      <c r="FU707" s="567"/>
      <c r="FV707" s="567"/>
      <c r="FW707" s="567"/>
      <c r="FX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  <c r="BW708" s="567"/>
      <c r="BX708" s="567"/>
      <c r="BY708" s="567"/>
      <c r="BZ708" s="567"/>
      <c r="CA708" s="567"/>
      <c r="CB708" s="567"/>
      <c r="CC708" s="567"/>
      <c r="CD708" s="567"/>
      <c r="CE708" s="567"/>
      <c r="CF708" s="567"/>
      <c r="CG708" s="567"/>
      <c r="CH708" s="567"/>
      <c r="CI708" s="567"/>
      <c r="CJ708" s="567"/>
      <c r="CK708" s="567"/>
      <c r="CL708" s="567"/>
      <c r="CM708" s="567"/>
      <c r="CN708" s="567"/>
      <c r="CO708" s="567"/>
      <c r="CP708" s="567"/>
      <c r="CQ708" s="567"/>
      <c r="CR708" s="567"/>
      <c r="CS708" s="567"/>
      <c r="CT708" s="567"/>
      <c r="CU708" s="567"/>
      <c r="CV708" s="567"/>
      <c r="CW708" s="567"/>
      <c r="CX708" s="567"/>
      <c r="CY708" s="567"/>
      <c r="CZ708" s="567"/>
      <c r="DA708" s="567"/>
      <c r="DB708" s="567"/>
      <c r="DC708" s="567"/>
      <c r="DD708" s="567"/>
      <c r="DE708" s="567"/>
      <c r="DF708" s="567"/>
      <c r="DG708" s="567"/>
      <c r="DH708" s="567"/>
      <c r="DI708" s="567"/>
      <c r="DJ708" s="567"/>
      <c r="DK708" s="567"/>
      <c r="DL708" s="567"/>
      <c r="DM708" s="567"/>
      <c r="DN708" s="567"/>
      <c r="DO708" s="567"/>
      <c r="DP708" s="567"/>
      <c r="DQ708" s="567"/>
      <c r="DR708" s="567"/>
      <c r="DS708" s="567"/>
      <c r="DT708" s="567"/>
      <c r="DU708" s="567"/>
      <c r="DV708" s="567"/>
      <c r="DW708" s="567"/>
      <c r="DX708" s="567"/>
      <c r="DY708" s="567"/>
      <c r="DZ708" s="567"/>
      <c r="EA708" s="567"/>
      <c r="EB708" s="567"/>
      <c r="EC708" s="567"/>
      <c r="ED708" s="567"/>
      <c r="EE708" s="567"/>
      <c r="EF708" s="567"/>
      <c r="EG708" s="567"/>
      <c r="EH708" s="567"/>
      <c r="EI708" s="567"/>
      <c r="EJ708" s="567"/>
      <c r="EK708" s="567"/>
      <c r="EL708" s="567"/>
      <c r="EM708" s="567"/>
      <c r="EN708" s="567"/>
      <c r="EO708" s="567"/>
      <c r="EP708" s="567"/>
      <c r="EQ708" s="567"/>
      <c r="ER708" s="567"/>
      <c r="ES708" s="567"/>
      <c r="ET708" s="567"/>
      <c r="EU708" s="567"/>
      <c r="EV708" s="567"/>
      <c r="EW708" s="567"/>
      <c r="EX708" s="567"/>
      <c r="EY708" s="567"/>
      <c r="EZ708" s="567"/>
      <c r="FA708" s="567"/>
      <c r="FB708" s="567"/>
      <c r="FC708" s="567"/>
      <c r="FD708" s="567"/>
      <c r="FE708" s="567"/>
      <c r="FF708" s="567"/>
      <c r="FG708" s="567"/>
      <c r="FH708" s="567"/>
      <c r="FI708" s="567"/>
      <c r="FJ708" s="567"/>
      <c r="FK708" s="567"/>
      <c r="FL708" s="567"/>
      <c r="FM708" s="567"/>
      <c r="FN708" s="567"/>
      <c r="FO708" s="567"/>
      <c r="FP708" s="567"/>
      <c r="FQ708" s="567"/>
      <c r="FR708" s="567"/>
      <c r="FS708" s="567"/>
      <c r="FT708" s="567"/>
      <c r="FU708" s="567"/>
      <c r="FV708" s="567"/>
      <c r="FW708" s="567"/>
      <c r="FX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  <c r="BW709" s="567"/>
      <c r="BX709" s="567"/>
      <c r="BY709" s="567"/>
      <c r="BZ709" s="567"/>
      <c r="CA709" s="567"/>
      <c r="CB709" s="567"/>
      <c r="CC709" s="567"/>
      <c r="CD709" s="567"/>
      <c r="CE709" s="567"/>
      <c r="CF709" s="567"/>
      <c r="CG709" s="567"/>
      <c r="CH709" s="567"/>
      <c r="CI709" s="567"/>
      <c r="CJ709" s="567"/>
      <c r="CK709" s="567"/>
      <c r="CL709" s="567"/>
      <c r="CM709" s="567"/>
      <c r="CN709" s="567"/>
      <c r="CO709" s="567"/>
      <c r="CP709" s="567"/>
      <c r="CQ709" s="567"/>
      <c r="CR709" s="567"/>
      <c r="CS709" s="567"/>
      <c r="CT709" s="567"/>
      <c r="CU709" s="567"/>
      <c r="CV709" s="567"/>
      <c r="CW709" s="567"/>
      <c r="CX709" s="567"/>
      <c r="CY709" s="567"/>
      <c r="CZ709" s="567"/>
      <c r="DA709" s="567"/>
      <c r="DB709" s="567"/>
      <c r="DC709" s="567"/>
      <c r="DD709" s="567"/>
      <c r="DE709" s="567"/>
      <c r="DF709" s="567"/>
      <c r="DG709" s="567"/>
      <c r="DH709" s="567"/>
      <c r="DI709" s="567"/>
      <c r="DJ709" s="567"/>
      <c r="DK709" s="567"/>
      <c r="DL709" s="567"/>
      <c r="DM709" s="567"/>
      <c r="DN709" s="567"/>
      <c r="DO709" s="567"/>
      <c r="DP709" s="567"/>
      <c r="DQ709" s="567"/>
      <c r="DR709" s="567"/>
      <c r="DS709" s="567"/>
      <c r="DT709" s="567"/>
      <c r="DU709" s="567"/>
      <c r="DV709" s="567"/>
      <c r="DW709" s="567"/>
      <c r="DX709" s="567"/>
      <c r="DY709" s="567"/>
      <c r="DZ709" s="567"/>
      <c r="EA709" s="567"/>
      <c r="EB709" s="567"/>
      <c r="EC709" s="567"/>
      <c r="ED709" s="567"/>
      <c r="EE709" s="567"/>
      <c r="EF709" s="567"/>
      <c r="EG709" s="567"/>
      <c r="EH709" s="567"/>
      <c r="EI709" s="567"/>
      <c r="EJ709" s="567"/>
      <c r="EK709" s="567"/>
      <c r="EL709" s="567"/>
      <c r="EM709" s="567"/>
      <c r="EN709" s="567"/>
      <c r="EO709" s="567"/>
      <c r="EP709" s="567"/>
      <c r="EQ709" s="567"/>
      <c r="ER709" s="567"/>
      <c r="ES709" s="567"/>
      <c r="ET709" s="567"/>
      <c r="EU709" s="567"/>
      <c r="EV709" s="567"/>
      <c r="EW709" s="567"/>
      <c r="EX709" s="567"/>
      <c r="EY709" s="567"/>
      <c r="EZ709" s="567"/>
      <c r="FA709" s="567"/>
      <c r="FB709" s="567"/>
      <c r="FC709" s="567"/>
      <c r="FD709" s="567"/>
      <c r="FE709" s="567"/>
      <c r="FF709" s="567"/>
      <c r="FG709" s="567"/>
      <c r="FH709" s="567"/>
      <c r="FI709" s="567"/>
      <c r="FJ709" s="567"/>
      <c r="FK709" s="567"/>
      <c r="FL709" s="567"/>
      <c r="FM709" s="567"/>
      <c r="FN709" s="567"/>
      <c r="FO709" s="567"/>
      <c r="FP709" s="567"/>
      <c r="FQ709" s="567"/>
      <c r="FR709" s="567"/>
      <c r="FS709" s="567"/>
      <c r="FT709" s="567"/>
      <c r="FU709" s="567"/>
      <c r="FV709" s="567"/>
      <c r="FW709" s="567"/>
      <c r="FX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  <c r="BW710" s="567"/>
      <c r="BX710" s="567"/>
      <c r="BY710" s="567"/>
      <c r="BZ710" s="567"/>
      <c r="CA710" s="567"/>
      <c r="CB710" s="567"/>
      <c r="CC710" s="567"/>
      <c r="CD710" s="567"/>
      <c r="CE710" s="567"/>
      <c r="CF710" s="567"/>
      <c r="CG710" s="567"/>
      <c r="CH710" s="567"/>
      <c r="CI710" s="567"/>
      <c r="CJ710" s="567"/>
      <c r="CK710" s="567"/>
      <c r="CL710" s="567"/>
      <c r="CM710" s="567"/>
      <c r="CN710" s="567"/>
      <c r="CO710" s="567"/>
      <c r="CP710" s="567"/>
      <c r="CQ710" s="567"/>
      <c r="CR710" s="567"/>
      <c r="CS710" s="567"/>
      <c r="CT710" s="567"/>
      <c r="CU710" s="567"/>
      <c r="CV710" s="567"/>
      <c r="CW710" s="567"/>
      <c r="CX710" s="567"/>
      <c r="CY710" s="567"/>
      <c r="CZ710" s="567"/>
      <c r="DA710" s="567"/>
      <c r="DB710" s="567"/>
      <c r="DC710" s="567"/>
      <c r="DD710" s="567"/>
      <c r="DE710" s="567"/>
      <c r="DF710" s="567"/>
      <c r="DG710" s="567"/>
      <c r="DH710" s="567"/>
      <c r="DI710" s="567"/>
      <c r="DJ710" s="567"/>
      <c r="DK710" s="567"/>
      <c r="DL710" s="567"/>
      <c r="DM710" s="567"/>
      <c r="DN710" s="567"/>
      <c r="DO710" s="567"/>
      <c r="DP710" s="567"/>
      <c r="DQ710" s="567"/>
      <c r="DR710" s="567"/>
      <c r="DS710" s="567"/>
      <c r="DT710" s="567"/>
      <c r="DU710" s="567"/>
      <c r="DV710" s="567"/>
      <c r="DW710" s="567"/>
      <c r="DX710" s="567"/>
      <c r="DY710" s="567"/>
      <c r="DZ710" s="567"/>
      <c r="EA710" s="567"/>
      <c r="EB710" s="567"/>
      <c r="EC710" s="567"/>
      <c r="ED710" s="567"/>
      <c r="EE710" s="567"/>
      <c r="EF710" s="567"/>
      <c r="EG710" s="567"/>
      <c r="EH710" s="567"/>
      <c r="EI710" s="567"/>
      <c r="EJ710" s="567"/>
      <c r="EK710" s="567"/>
      <c r="EL710" s="567"/>
      <c r="EM710" s="567"/>
      <c r="EN710" s="567"/>
      <c r="EO710" s="567"/>
      <c r="EP710" s="567"/>
      <c r="EQ710" s="567"/>
      <c r="ER710" s="567"/>
      <c r="ES710" s="567"/>
      <c r="ET710" s="567"/>
      <c r="EU710" s="567"/>
      <c r="EV710" s="567"/>
      <c r="EW710" s="567"/>
      <c r="EX710" s="567"/>
      <c r="EY710" s="567"/>
      <c r="EZ710" s="567"/>
      <c r="FA710" s="567"/>
      <c r="FB710" s="567"/>
      <c r="FC710" s="567"/>
      <c r="FD710" s="567"/>
      <c r="FE710" s="567"/>
      <c r="FF710" s="567"/>
      <c r="FG710" s="567"/>
      <c r="FH710" s="567"/>
      <c r="FI710" s="567"/>
      <c r="FJ710" s="567"/>
      <c r="FK710" s="567"/>
      <c r="FL710" s="567"/>
      <c r="FM710" s="567"/>
      <c r="FN710" s="567"/>
      <c r="FO710" s="567"/>
      <c r="FP710" s="567"/>
      <c r="FQ710" s="567"/>
      <c r="FR710" s="567"/>
      <c r="FS710" s="567"/>
      <c r="FT710" s="567"/>
      <c r="FU710" s="567"/>
      <c r="FV710" s="567"/>
      <c r="FW710" s="567"/>
      <c r="FX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  <c r="BW711" s="567"/>
      <c r="BX711" s="567"/>
      <c r="BY711" s="567"/>
      <c r="BZ711" s="567"/>
      <c r="CA711" s="567"/>
      <c r="CB711" s="567"/>
      <c r="CC711" s="567"/>
      <c r="CD711" s="567"/>
      <c r="CE711" s="567"/>
      <c r="CF711" s="567"/>
      <c r="CG711" s="567"/>
      <c r="CH711" s="567"/>
      <c r="CI711" s="567"/>
      <c r="CJ711" s="567"/>
      <c r="CK711" s="567"/>
      <c r="CL711" s="567"/>
      <c r="CM711" s="567"/>
      <c r="CN711" s="567"/>
      <c r="CO711" s="567"/>
      <c r="CP711" s="567"/>
      <c r="CQ711" s="567"/>
      <c r="CR711" s="567"/>
      <c r="CS711" s="567"/>
      <c r="CT711" s="567"/>
      <c r="CU711" s="567"/>
      <c r="CV711" s="567"/>
      <c r="CW711" s="567"/>
      <c r="CX711" s="567"/>
      <c r="CY711" s="567"/>
      <c r="CZ711" s="567"/>
      <c r="DA711" s="567"/>
      <c r="DB711" s="567"/>
      <c r="DC711" s="567"/>
      <c r="DD711" s="567"/>
      <c r="DE711" s="567"/>
      <c r="DF711" s="567"/>
      <c r="DG711" s="567"/>
      <c r="DH711" s="567"/>
      <c r="DI711" s="567"/>
      <c r="DJ711" s="567"/>
      <c r="DK711" s="567"/>
      <c r="DL711" s="567"/>
      <c r="DM711" s="567"/>
      <c r="DN711" s="567"/>
      <c r="DO711" s="567"/>
      <c r="DP711" s="567"/>
      <c r="DQ711" s="567"/>
      <c r="DR711" s="567"/>
      <c r="DS711" s="567"/>
      <c r="DT711" s="567"/>
      <c r="DU711" s="567"/>
      <c r="DV711" s="567"/>
      <c r="DW711" s="567"/>
      <c r="DX711" s="567"/>
      <c r="DY711" s="567"/>
      <c r="DZ711" s="567"/>
      <c r="EA711" s="567"/>
      <c r="EB711" s="567"/>
      <c r="EC711" s="567"/>
      <c r="ED711" s="567"/>
      <c r="EE711" s="567"/>
      <c r="EF711" s="567"/>
      <c r="EG711" s="567"/>
      <c r="EH711" s="567"/>
      <c r="EI711" s="567"/>
      <c r="EJ711" s="567"/>
      <c r="EK711" s="567"/>
      <c r="EL711" s="567"/>
      <c r="EM711" s="567"/>
      <c r="EN711" s="567"/>
      <c r="EO711" s="567"/>
      <c r="EP711" s="567"/>
      <c r="EQ711" s="567"/>
      <c r="ER711" s="567"/>
      <c r="ES711" s="567"/>
      <c r="ET711" s="567"/>
      <c r="EU711" s="567"/>
      <c r="EV711" s="567"/>
      <c r="EW711" s="567"/>
      <c r="EX711" s="567"/>
      <c r="EY711" s="567"/>
      <c r="EZ711" s="567"/>
      <c r="FA711" s="567"/>
      <c r="FB711" s="567"/>
      <c r="FC711" s="567"/>
      <c r="FD711" s="567"/>
      <c r="FE711" s="567"/>
      <c r="FF711" s="567"/>
      <c r="FG711" s="567"/>
      <c r="FH711" s="567"/>
      <c r="FI711" s="567"/>
      <c r="FJ711" s="567"/>
      <c r="FK711" s="567"/>
      <c r="FL711" s="567"/>
      <c r="FM711" s="567"/>
      <c r="FN711" s="567"/>
      <c r="FO711" s="567"/>
      <c r="FP711" s="567"/>
      <c r="FQ711" s="567"/>
      <c r="FR711" s="567"/>
      <c r="FS711" s="567"/>
      <c r="FT711" s="567"/>
      <c r="FU711" s="567"/>
      <c r="FV711" s="567"/>
      <c r="FW711" s="567"/>
      <c r="FX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  <c r="BW712" s="567"/>
      <c r="BX712" s="567"/>
      <c r="BY712" s="567"/>
      <c r="BZ712" s="567"/>
      <c r="CA712" s="567"/>
      <c r="CB712" s="567"/>
      <c r="CC712" s="567"/>
      <c r="CD712" s="567"/>
      <c r="CE712" s="567"/>
      <c r="CF712" s="567"/>
      <c r="CG712" s="567"/>
      <c r="CH712" s="567"/>
      <c r="CI712" s="567"/>
      <c r="CJ712" s="567"/>
      <c r="CK712" s="567"/>
      <c r="CL712" s="567"/>
      <c r="CM712" s="567"/>
      <c r="CN712" s="567"/>
      <c r="CO712" s="567"/>
      <c r="CP712" s="567"/>
      <c r="CQ712" s="567"/>
      <c r="CR712" s="567"/>
      <c r="CS712" s="567"/>
      <c r="CT712" s="567"/>
      <c r="CU712" s="567"/>
      <c r="CV712" s="567"/>
      <c r="CW712" s="567"/>
      <c r="CX712" s="567"/>
      <c r="CY712" s="567"/>
      <c r="CZ712" s="567"/>
      <c r="DA712" s="567"/>
      <c r="DB712" s="567"/>
      <c r="DC712" s="567"/>
      <c r="DD712" s="567"/>
      <c r="DE712" s="567"/>
      <c r="DF712" s="567"/>
      <c r="DG712" s="567"/>
      <c r="DH712" s="567"/>
      <c r="DI712" s="567"/>
      <c r="DJ712" s="567"/>
      <c r="DK712" s="567"/>
      <c r="DL712" s="567"/>
      <c r="DM712" s="567"/>
      <c r="DN712" s="567"/>
      <c r="DO712" s="567"/>
      <c r="DP712" s="567"/>
      <c r="DQ712" s="567"/>
      <c r="DR712" s="567"/>
      <c r="DS712" s="567"/>
      <c r="DT712" s="567"/>
      <c r="DU712" s="567"/>
      <c r="DV712" s="567"/>
      <c r="DW712" s="567"/>
      <c r="DX712" s="567"/>
      <c r="DY712" s="567"/>
      <c r="DZ712" s="567"/>
      <c r="EA712" s="567"/>
      <c r="EB712" s="567"/>
      <c r="EC712" s="567"/>
      <c r="ED712" s="567"/>
      <c r="EE712" s="567"/>
      <c r="EF712" s="567"/>
      <c r="EG712" s="567"/>
      <c r="EH712" s="567"/>
      <c r="EI712" s="567"/>
      <c r="EJ712" s="567"/>
      <c r="EK712" s="567"/>
      <c r="EL712" s="567"/>
      <c r="EM712" s="567"/>
      <c r="EN712" s="567"/>
      <c r="EO712" s="567"/>
      <c r="EP712" s="567"/>
      <c r="EQ712" s="567"/>
      <c r="ER712" s="567"/>
      <c r="ES712" s="567"/>
      <c r="ET712" s="567"/>
      <c r="EU712" s="567"/>
      <c r="EV712" s="567"/>
      <c r="EW712" s="567"/>
      <c r="EX712" s="567"/>
      <c r="EY712" s="567"/>
      <c r="EZ712" s="567"/>
      <c r="FA712" s="567"/>
      <c r="FB712" s="567"/>
      <c r="FC712" s="567"/>
      <c r="FD712" s="567"/>
      <c r="FE712" s="567"/>
      <c r="FF712" s="567"/>
      <c r="FG712" s="567"/>
      <c r="FH712" s="567"/>
      <c r="FI712" s="567"/>
      <c r="FJ712" s="567"/>
      <c r="FK712" s="567"/>
      <c r="FL712" s="567"/>
      <c r="FM712" s="567"/>
      <c r="FN712" s="567"/>
      <c r="FO712" s="567"/>
      <c r="FP712" s="567"/>
      <c r="FQ712" s="567"/>
      <c r="FR712" s="567"/>
      <c r="FS712" s="567"/>
      <c r="FT712" s="567"/>
      <c r="FU712" s="567"/>
      <c r="FV712" s="567"/>
      <c r="FW712" s="567"/>
      <c r="FX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  <c r="BW713" s="567"/>
      <c r="BX713" s="567"/>
      <c r="BY713" s="567"/>
      <c r="BZ713" s="567"/>
      <c r="CA713" s="567"/>
      <c r="CB713" s="567"/>
      <c r="CC713" s="567"/>
      <c r="CD713" s="567"/>
      <c r="CE713" s="567"/>
      <c r="CF713" s="567"/>
      <c r="CG713" s="567"/>
      <c r="CH713" s="567"/>
      <c r="CI713" s="567"/>
      <c r="CJ713" s="567"/>
      <c r="CK713" s="567"/>
      <c r="CL713" s="567"/>
      <c r="CM713" s="567"/>
      <c r="CN713" s="567"/>
      <c r="CO713" s="567"/>
      <c r="CP713" s="567"/>
      <c r="CQ713" s="567"/>
      <c r="CR713" s="567"/>
      <c r="CS713" s="567"/>
      <c r="CT713" s="567"/>
      <c r="CU713" s="567"/>
      <c r="CV713" s="567"/>
      <c r="CW713" s="567"/>
      <c r="CX713" s="567"/>
      <c r="CY713" s="567"/>
      <c r="CZ713" s="567"/>
      <c r="DA713" s="567"/>
      <c r="DB713" s="567"/>
      <c r="DC713" s="567"/>
      <c r="DD713" s="567"/>
      <c r="DE713" s="567"/>
      <c r="DF713" s="567"/>
      <c r="DG713" s="567"/>
      <c r="DH713" s="567"/>
      <c r="DI713" s="567"/>
      <c r="DJ713" s="567"/>
      <c r="DK713" s="567"/>
      <c r="DL713" s="567"/>
      <c r="DM713" s="567"/>
      <c r="DN713" s="567"/>
      <c r="DO713" s="567"/>
      <c r="DP713" s="567"/>
      <c r="DQ713" s="567"/>
      <c r="DR713" s="567"/>
      <c r="DS713" s="567"/>
      <c r="DT713" s="567"/>
      <c r="DU713" s="567"/>
      <c r="DV713" s="567"/>
      <c r="DW713" s="567"/>
      <c r="DX713" s="567"/>
      <c r="DY713" s="567"/>
      <c r="DZ713" s="567"/>
      <c r="EA713" s="567"/>
      <c r="EB713" s="567"/>
      <c r="EC713" s="567"/>
      <c r="ED713" s="567"/>
      <c r="EE713" s="567"/>
      <c r="EF713" s="567"/>
      <c r="EG713" s="567"/>
      <c r="EH713" s="567"/>
      <c r="EI713" s="567"/>
      <c r="EJ713" s="567"/>
      <c r="EK713" s="567"/>
      <c r="EL713" s="567"/>
      <c r="EM713" s="567"/>
      <c r="EN713" s="567"/>
      <c r="EO713" s="567"/>
      <c r="EP713" s="567"/>
      <c r="EQ713" s="567"/>
      <c r="ER713" s="567"/>
      <c r="ES713" s="567"/>
      <c r="ET713" s="567"/>
      <c r="EU713" s="567"/>
      <c r="EV713" s="567"/>
      <c r="EW713" s="567"/>
      <c r="EX713" s="567"/>
      <c r="EY713" s="567"/>
      <c r="EZ713" s="567"/>
      <c r="FA713" s="567"/>
      <c r="FB713" s="567"/>
      <c r="FC713" s="567"/>
      <c r="FD713" s="567"/>
      <c r="FE713" s="567"/>
      <c r="FF713" s="567"/>
      <c r="FG713" s="567"/>
      <c r="FH713" s="567"/>
      <c r="FI713" s="567"/>
      <c r="FJ713" s="567"/>
      <c r="FK713" s="567"/>
      <c r="FL713" s="567"/>
      <c r="FM713" s="567"/>
      <c r="FN713" s="567"/>
      <c r="FO713" s="567"/>
      <c r="FP713" s="567"/>
      <c r="FQ713" s="567"/>
      <c r="FR713" s="567"/>
      <c r="FS713" s="567"/>
      <c r="FT713" s="567"/>
      <c r="FU713" s="567"/>
      <c r="FV713" s="567"/>
      <c r="FW713" s="567"/>
      <c r="FX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  <c r="BW714" s="567"/>
      <c r="BX714" s="567"/>
      <c r="BY714" s="567"/>
      <c r="BZ714" s="567"/>
      <c r="CA714" s="567"/>
      <c r="CB714" s="567"/>
      <c r="CC714" s="567"/>
      <c r="CD714" s="567"/>
      <c r="CE714" s="567"/>
      <c r="CF714" s="567"/>
      <c r="CG714" s="567"/>
      <c r="CH714" s="567"/>
      <c r="CI714" s="567"/>
      <c r="CJ714" s="567"/>
      <c r="CK714" s="567"/>
      <c r="CL714" s="567"/>
      <c r="CM714" s="567"/>
      <c r="CN714" s="567"/>
      <c r="CO714" s="567"/>
      <c r="CP714" s="567"/>
      <c r="CQ714" s="567"/>
      <c r="CR714" s="567"/>
      <c r="CS714" s="567"/>
      <c r="CT714" s="567"/>
      <c r="CU714" s="567"/>
      <c r="CV714" s="567"/>
      <c r="CW714" s="567"/>
      <c r="CX714" s="567"/>
      <c r="CY714" s="567"/>
      <c r="CZ714" s="567"/>
      <c r="DA714" s="567"/>
      <c r="DB714" s="567"/>
      <c r="DC714" s="567"/>
      <c r="DD714" s="567"/>
      <c r="DE714" s="567"/>
      <c r="DF714" s="567"/>
      <c r="DG714" s="567"/>
      <c r="DH714" s="567"/>
      <c r="DI714" s="567"/>
      <c r="DJ714" s="567"/>
      <c r="DK714" s="567"/>
      <c r="DL714" s="567"/>
      <c r="DM714" s="567"/>
      <c r="DN714" s="567"/>
      <c r="DO714" s="567"/>
      <c r="DP714" s="567"/>
      <c r="DQ714" s="567"/>
      <c r="DR714" s="567"/>
      <c r="DS714" s="567"/>
      <c r="DT714" s="567"/>
      <c r="DU714" s="567"/>
      <c r="DV714" s="567"/>
      <c r="DW714" s="567"/>
      <c r="DX714" s="567"/>
      <c r="DY714" s="567"/>
      <c r="DZ714" s="567"/>
      <c r="EA714" s="567"/>
      <c r="EB714" s="567"/>
      <c r="EC714" s="567"/>
      <c r="ED714" s="567"/>
      <c r="EE714" s="567"/>
      <c r="EF714" s="567"/>
      <c r="EG714" s="567"/>
      <c r="EH714" s="567"/>
      <c r="EI714" s="567"/>
      <c r="EJ714" s="567"/>
      <c r="EK714" s="567"/>
      <c r="EL714" s="567"/>
      <c r="EM714" s="567"/>
      <c r="EN714" s="567"/>
      <c r="EO714" s="567"/>
      <c r="EP714" s="567"/>
      <c r="EQ714" s="567"/>
      <c r="ER714" s="567"/>
      <c r="ES714" s="567"/>
      <c r="ET714" s="567"/>
      <c r="EU714" s="567"/>
      <c r="EV714" s="567"/>
      <c r="EW714" s="567"/>
      <c r="EX714" s="567"/>
      <c r="EY714" s="567"/>
      <c r="EZ714" s="567"/>
      <c r="FA714" s="567"/>
      <c r="FB714" s="567"/>
      <c r="FC714" s="567"/>
      <c r="FD714" s="567"/>
      <c r="FE714" s="567"/>
      <c r="FF714" s="567"/>
      <c r="FG714" s="567"/>
      <c r="FH714" s="567"/>
      <c r="FI714" s="567"/>
      <c r="FJ714" s="567"/>
      <c r="FK714" s="567"/>
      <c r="FL714" s="567"/>
      <c r="FM714" s="567"/>
      <c r="FN714" s="567"/>
      <c r="FO714" s="567"/>
      <c r="FP714" s="567"/>
      <c r="FQ714" s="567"/>
      <c r="FR714" s="567"/>
      <c r="FS714" s="567"/>
      <c r="FT714" s="567"/>
      <c r="FU714" s="567"/>
      <c r="FV714" s="567"/>
      <c r="FW714" s="567"/>
      <c r="FX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  <c r="BW715" s="567"/>
      <c r="BX715" s="567"/>
      <c r="BY715" s="567"/>
      <c r="BZ715" s="567"/>
      <c r="CA715" s="567"/>
      <c r="CB715" s="567"/>
      <c r="CC715" s="567"/>
      <c r="CD715" s="567"/>
      <c r="CE715" s="567"/>
      <c r="CF715" s="567"/>
      <c r="CG715" s="567"/>
      <c r="CH715" s="567"/>
      <c r="CI715" s="567"/>
      <c r="CJ715" s="567"/>
      <c r="CK715" s="567"/>
      <c r="CL715" s="567"/>
      <c r="CM715" s="567"/>
      <c r="CN715" s="567"/>
      <c r="CO715" s="567"/>
      <c r="CP715" s="567"/>
      <c r="CQ715" s="567"/>
      <c r="CR715" s="567"/>
      <c r="CS715" s="567"/>
      <c r="CT715" s="567"/>
      <c r="CU715" s="567"/>
      <c r="CV715" s="567"/>
      <c r="CW715" s="567"/>
      <c r="CX715" s="567"/>
      <c r="CY715" s="567"/>
      <c r="CZ715" s="567"/>
      <c r="DA715" s="567"/>
      <c r="DB715" s="567"/>
      <c r="DC715" s="567"/>
      <c r="DD715" s="567"/>
      <c r="DE715" s="567"/>
      <c r="DF715" s="567"/>
      <c r="DG715" s="567"/>
      <c r="DH715" s="567"/>
      <c r="DI715" s="567"/>
      <c r="DJ715" s="567"/>
      <c r="DK715" s="567"/>
      <c r="DL715" s="567"/>
      <c r="DM715" s="567"/>
      <c r="DN715" s="567"/>
      <c r="DO715" s="567"/>
      <c r="DP715" s="567"/>
      <c r="DQ715" s="567"/>
      <c r="DR715" s="567"/>
      <c r="DS715" s="567"/>
      <c r="DT715" s="567"/>
      <c r="DU715" s="567"/>
      <c r="DV715" s="567"/>
      <c r="DW715" s="567"/>
      <c r="DX715" s="567"/>
      <c r="DY715" s="567"/>
      <c r="DZ715" s="567"/>
      <c r="EA715" s="567"/>
      <c r="EB715" s="567"/>
      <c r="EC715" s="567"/>
      <c r="ED715" s="567"/>
      <c r="EE715" s="567"/>
      <c r="EF715" s="567"/>
      <c r="EG715" s="567"/>
      <c r="EH715" s="567"/>
      <c r="EI715" s="567"/>
      <c r="EJ715" s="567"/>
      <c r="EK715" s="567"/>
      <c r="EL715" s="567"/>
      <c r="EM715" s="567"/>
      <c r="EN715" s="567"/>
      <c r="EO715" s="567"/>
      <c r="EP715" s="567"/>
      <c r="EQ715" s="567"/>
      <c r="ER715" s="567"/>
      <c r="ES715" s="567"/>
      <c r="ET715" s="567"/>
      <c r="EU715" s="567"/>
      <c r="EV715" s="567"/>
      <c r="EW715" s="567"/>
      <c r="EX715" s="567"/>
      <c r="EY715" s="567"/>
      <c r="EZ715" s="567"/>
      <c r="FA715" s="567"/>
      <c r="FB715" s="567"/>
      <c r="FC715" s="567"/>
      <c r="FD715" s="567"/>
      <c r="FE715" s="567"/>
      <c r="FF715" s="567"/>
      <c r="FG715" s="567"/>
      <c r="FH715" s="567"/>
      <c r="FI715" s="567"/>
      <c r="FJ715" s="567"/>
      <c r="FK715" s="567"/>
      <c r="FL715" s="567"/>
      <c r="FM715" s="567"/>
      <c r="FN715" s="567"/>
      <c r="FO715" s="567"/>
      <c r="FP715" s="567"/>
      <c r="FQ715" s="567"/>
      <c r="FR715" s="567"/>
      <c r="FS715" s="567"/>
      <c r="FT715" s="567"/>
      <c r="FU715" s="567"/>
      <c r="FV715" s="567"/>
      <c r="FW715" s="567"/>
      <c r="FX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  <c r="BW716" s="567"/>
      <c r="BX716" s="567"/>
      <c r="BY716" s="567"/>
      <c r="BZ716" s="567"/>
      <c r="CA716" s="567"/>
      <c r="CB716" s="567"/>
      <c r="CC716" s="567"/>
      <c r="CD716" s="567"/>
      <c r="CE716" s="567"/>
      <c r="CF716" s="567"/>
      <c r="CG716" s="567"/>
      <c r="CH716" s="567"/>
      <c r="CI716" s="567"/>
      <c r="CJ716" s="567"/>
      <c r="CK716" s="567"/>
      <c r="CL716" s="567"/>
      <c r="CM716" s="567"/>
      <c r="CN716" s="567"/>
      <c r="CO716" s="567"/>
      <c r="CP716" s="567"/>
      <c r="CQ716" s="567"/>
      <c r="CR716" s="567"/>
      <c r="CS716" s="567"/>
      <c r="CT716" s="567"/>
      <c r="CU716" s="567"/>
      <c r="CV716" s="567"/>
      <c r="CW716" s="567"/>
      <c r="CX716" s="567"/>
      <c r="CY716" s="567"/>
      <c r="CZ716" s="567"/>
      <c r="DA716" s="567"/>
      <c r="DB716" s="567"/>
      <c r="DC716" s="567"/>
      <c r="DD716" s="567"/>
      <c r="DE716" s="567"/>
      <c r="DF716" s="567"/>
      <c r="DG716" s="567"/>
      <c r="DH716" s="567"/>
      <c r="DI716" s="567"/>
      <c r="DJ716" s="567"/>
      <c r="DK716" s="567"/>
      <c r="DL716" s="567"/>
      <c r="DM716" s="567"/>
      <c r="DN716" s="567"/>
      <c r="DO716" s="567"/>
      <c r="DP716" s="567"/>
      <c r="DQ716" s="567"/>
      <c r="DR716" s="567"/>
      <c r="DS716" s="567"/>
      <c r="DT716" s="567"/>
      <c r="DU716" s="567"/>
      <c r="DV716" s="567"/>
      <c r="DW716" s="567"/>
      <c r="DX716" s="567"/>
      <c r="DY716" s="567"/>
      <c r="DZ716" s="567"/>
      <c r="EA716" s="567"/>
      <c r="EB716" s="567"/>
      <c r="EC716" s="567"/>
      <c r="ED716" s="567"/>
      <c r="EE716" s="567"/>
      <c r="EF716" s="567"/>
      <c r="EG716" s="567"/>
      <c r="EH716" s="567"/>
      <c r="EI716" s="567"/>
      <c r="EJ716" s="567"/>
      <c r="EK716" s="567"/>
      <c r="EL716" s="567"/>
      <c r="EM716" s="567"/>
      <c r="EN716" s="567"/>
      <c r="EO716" s="567"/>
      <c r="EP716" s="567"/>
      <c r="EQ716" s="567"/>
      <c r="ER716" s="567"/>
      <c r="ES716" s="567"/>
      <c r="ET716" s="567"/>
      <c r="EU716" s="567"/>
      <c r="EV716" s="567"/>
      <c r="EW716" s="567"/>
      <c r="EX716" s="567"/>
      <c r="EY716" s="567"/>
      <c r="EZ716" s="567"/>
      <c r="FA716" s="567"/>
      <c r="FB716" s="567"/>
      <c r="FC716" s="567"/>
      <c r="FD716" s="567"/>
      <c r="FE716" s="567"/>
      <c r="FF716" s="567"/>
      <c r="FG716" s="567"/>
      <c r="FH716" s="567"/>
      <c r="FI716" s="567"/>
      <c r="FJ716" s="567"/>
      <c r="FK716" s="567"/>
      <c r="FL716" s="567"/>
      <c r="FM716" s="567"/>
      <c r="FN716" s="567"/>
      <c r="FO716" s="567"/>
      <c r="FP716" s="567"/>
      <c r="FQ716" s="567"/>
      <c r="FR716" s="567"/>
      <c r="FS716" s="567"/>
      <c r="FT716" s="567"/>
      <c r="FU716" s="567"/>
      <c r="FV716" s="567"/>
      <c r="FW716" s="567"/>
      <c r="FX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  <c r="BW717" s="567"/>
      <c r="BX717" s="567"/>
      <c r="BY717" s="567"/>
      <c r="BZ717" s="567"/>
      <c r="CA717" s="567"/>
      <c r="CB717" s="567"/>
      <c r="CC717" s="567"/>
      <c r="CD717" s="567"/>
      <c r="CE717" s="567"/>
      <c r="CF717" s="567"/>
      <c r="CG717" s="567"/>
      <c r="CH717" s="567"/>
      <c r="CI717" s="567"/>
      <c r="CJ717" s="567"/>
      <c r="CK717" s="567"/>
      <c r="CL717" s="567"/>
      <c r="CM717" s="567"/>
      <c r="CN717" s="567"/>
      <c r="CO717" s="567"/>
      <c r="CP717" s="567"/>
      <c r="CQ717" s="567"/>
      <c r="CR717" s="567"/>
      <c r="CS717" s="567"/>
      <c r="CT717" s="567"/>
      <c r="CU717" s="567"/>
      <c r="CV717" s="567"/>
      <c r="CW717" s="567"/>
      <c r="CX717" s="567"/>
      <c r="CY717" s="567"/>
      <c r="CZ717" s="567"/>
      <c r="DA717" s="567"/>
      <c r="DB717" s="567"/>
      <c r="DC717" s="567"/>
      <c r="DD717" s="567"/>
      <c r="DE717" s="567"/>
      <c r="DF717" s="567"/>
      <c r="DG717" s="567"/>
      <c r="DH717" s="567"/>
      <c r="DI717" s="567"/>
      <c r="DJ717" s="567"/>
      <c r="DK717" s="567"/>
      <c r="DL717" s="567"/>
      <c r="DM717" s="567"/>
      <c r="DN717" s="567"/>
      <c r="DO717" s="567"/>
      <c r="DP717" s="567"/>
      <c r="DQ717" s="567"/>
      <c r="DR717" s="567"/>
      <c r="DS717" s="567"/>
      <c r="DT717" s="567"/>
      <c r="DU717" s="567"/>
      <c r="DV717" s="567"/>
      <c r="DW717" s="567"/>
      <c r="DX717" s="567"/>
      <c r="DY717" s="567"/>
      <c r="DZ717" s="567"/>
      <c r="EA717" s="567"/>
      <c r="EB717" s="567"/>
      <c r="EC717" s="567"/>
      <c r="ED717" s="567"/>
      <c r="EE717" s="567"/>
      <c r="EF717" s="567"/>
      <c r="EG717" s="567"/>
      <c r="EH717" s="567"/>
      <c r="EI717" s="567"/>
      <c r="EJ717" s="567"/>
      <c r="EK717" s="567"/>
      <c r="EL717" s="567"/>
      <c r="EM717" s="567"/>
      <c r="EN717" s="567"/>
      <c r="EO717" s="567"/>
      <c r="EP717" s="567"/>
      <c r="EQ717" s="567"/>
      <c r="ER717" s="567"/>
      <c r="ES717" s="567"/>
      <c r="ET717" s="567"/>
      <c r="EU717" s="567"/>
      <c r="EV717" s="567"/>
      <c r="EW717" s="567"/>
      <c r="EX717" s="567"/>
      <c r="EY717" s="567"/>
      <c r="EZ717" s="567"/>
      <c r="FA717" s="567"/>
      <c r="FB717" s="567"/>
      <c r="FC717" s="567"/>
      <c r="FD717" s="567"/>
      <c r="FE717" s="567"/>
      <c r="FF717" s="567"/>
      <c r="FG717" s="567"/>
      <c r="FH717" s="567"/>
      <c r="FI717" s="567"/>
      <c r="FJ717" s="567"/>
      <c r="FK717" s="567"/>
      <c r="FL717" s="567"/>
      <c r="FM717" s="567"/>
      <c r="FN717" s="567"/>
      <c r="FO717" s="567"/>
      <c r="FP717" s="567"/>
      <c r="FQ717" s="567"/>
      <c r="FR717" s="567"/>
      <c r="FS717" s="567"/>
      <c r="FT717" s="567"/>
      <c r="FU717" s="567"/>
      <c r="FV717" s="567"/>
      <c r="FW717" s="567"/>
      <c r="FX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  <c r="BW718" s="567"/>
      <c r="BX718" s="567"/>
      <c r="BY718" s="567"/>
      <c r="BZ718" s="567"/>
      <c r="CA718" s="567"/>
      <c r="CB718" s="567"/>
      <c r="CC718" s="567"/>
      <c r="CD718" s="567"/>
      <c r="CE718" s="567"/>
      <c r="CF718" s="567"/>
      <c r="CG718" s="567"/>
      <c r="CH718" s="567"/>
      <c r="CI718" s="567"/>
      <c r="CJ718" s="567"/>
      <c r="CK718" s="567"/>
      <c r="CL718" s="567"/>
      <c r="CM718" s="567"/>
      <c r="CN718" s="567"/>
      <c r="CO718" s="567"/>
      <c r="CP718" s="567"/>
      <c r="CQ718" s="567"/>
      <c r="CR718" s="567"/>
      <c r="CS718" s="567"/>
      <c r="CT718" s="567"/>
      <c r="CU718" s="567"/>
      <c r="CV718" s="567"/>
      <c r="CW718" s="567"/>
      <c r="CX718" s="567"/>
      <c r="CY718" s="567"/>
      <c r="CZ718" s="567"/>
      <c r="DA718" s="567"/>
      <c r="DB718" s="567"/>
      <c r="DC718" s="567"/>
      <c r="DD718" s="567"/>
      <c r="DE718" s="567"/>
      <c r="DF718" s="567"/>
      <c r="DG718" s="567"/>
      <c r="DH718" s="567"/>
      <c r="DI718" s="567"/>
      <c r="DJ718" s="567"/>
      <c r="DK718" s="567"/>
      <c r="DL718" s="567"/>
      <c r="DM718" s="567"/>
      <c r="DN718" s="567"/>
      <c r="DO718" s="567"/>
      <c r="DP718" s="567"/>
      <c r="DQ718" s="567"/>
      <c r="DR718" s="567"/>
      <c r="DS718" s="567"/>
      <c r="DT718" s="567"/>
      <c r="DU718" s="567"/>
      <c r="DV718" s="567"/>
      <c r="DW718" s="567"/>
      <c r="DX718" s="567"/>
      <c r="DY718" s="567"/>
      <c r="DZ718" s="567"/>
      <c r="EA718" s="567"/>
      <c r="EB718" s="567"/>
      <c r="EC718" s="567"/>
      <c r="ED718" s="567"/>
      <c r="EE718" s="567"/>
      <c r="EF718" s="567"/>
      <c r="EG718" s="567"/>
      <c r="EH718" s="567"/>
      <c r="EI718" s="567"/>
      <c r="EJ718" s="567"/>
      <c r="EK718" s="567"/>
      <c r="EL718" s="567"/>
      <c r="EM718" s="567"/>
      <c r="EN718" s="567"/>
      <c r="EO718" s="567"/>
      <c r="EP718" s="567"/>
      <c r="EQ718" s="567"/>
      <c r="ER718" s="567"/>
      <c r="ES718" s="567"/>
      <c r="ET718" s="567"/>
      <c r="EU718" s="567"/>
      <c r="EV718" s="567"/>
      <c r="EW718" s="567"/>
      <c r="EX718" s="567"/>
      <c r="EY718" s="567"/>
      <c r="EZ718" s="567"/>
      <c r="FA718" s="567"/>
      <c r="FB718" s="567"/>
      <c r="FC718" s="567"/>
      <c r="FD718" s="567"/>
      <c r="FE718" s="567"/>
      <c r="FF718" s="567"/>
      <c r="FG718" s="567"/>
      <c r="FH718" s="567"/>
      <c r="FI718" s="567"/>
      <c r="FJ718" s="567"/>
      <c r="FK718" s="567"/>
      <c r="FL718" s="567"/>
      <c r="FM718" s="567"/>
      <c r="FN718" s="567"/>
      <c r="FO718" s="567"/>
      <c r="FP718" s="567"/>
      <c r="FQ718" s="567"/>
      <c r="FR718" s="567"/>
      <c r="FS718" s="567"/>
      <c r="FT718" s="567"/>
      <c r="FU718" s="567"/>
      <c r="FV718" s="567"/>
      <c r="FW718" s="567"/>
      <c r="FX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  <c r="BW719" s="567"/>
      <c r="BX719" s="567"/>
      <c r="BY719" s="567"/>
      <c r="BZ719" s="567"/>
      <c r="CA719" s="567"/>
      <c r="CB719" s="567"/>
      <c r="CC719" s="567"/>
      <c r="CD719" s="567"/>
      <c r="CE719" s="567"/>
      <c r="CF719" s="567"/>
      <c r="CG719" s="567"/>
      <c r="CH719" s="567"/>
      <c r="CI719" s="567"/>
      <c r="CJ719" s="567"/>
      <c r="CK719" s="567"/>
      <c r="CL719" s="567"/>
      <c r="CM719" s="567"/>
      <c r="CN719" s="567"/>
      <c r="CO719" s="567"/>
      <c r="CP719" s="567"/>
      <c r="CQ719" s="567"/>
      <c r="CR719" s="567"/>
      <c r="CS719" s="567"/>
      <c r="CT719" s="567"/>
      <c r="CU719" s="567"/>
      <c r="CV719" s="567"/>
      <c r="CW719" s="567"/>
      <c r="CX719" s="567"/>
      <c r="CY719" s="567"/>
      <c r="CZ719" s="567"/>
      <c r="DA719" s="567"/>
      <c r="DB719" s="567"/>
      <c r="DC719" s="567"/>
      <c r="DD719" s="567"/>
      <c r="DE719" s="567"/>
      <c r="DF719" s="567"/>
      <c r="DG719" s="567"/>
      <c r="DH719" s="567"/>
      <c r="DI719" s="567"/>
      <c r="DJ719" s="567"/>
      <c r="DK719" s="567"/>
      <c r="DL719" s="567"/>
      <c r="DM719" s="567"/>
      <c r="DN719" s="567"/>
      <c r="DO719" s="567"/>
      <c r="DP719" s="567"/>
      <c r="DQ719" s="567"/>
      <c r="DR719" s="567"/>
      <c r="DS719" s="567"/>
      <c r="DT719" s="567"/>
      <c r="DU719" s="567"/>
      <c r="DV719" s="567"/>
      <c r="DW719" s="567"/>
      <c r="DX719" s="567"/>
      <c r="DY719" s="567"/>
      <c r="DZ719" s="567"/>
      <c r="EA719" s="567"/>
      <c r="EB719" s="567"/>
      <c r="EC719" s="567"/>
      <c r="ED719" s="567"/>
      <c r="EE719" s="567"/>
      <c r="EF719" s="567"/>
      <c r="EG719" s="567"/>
      <c r="EH719" s="567"/>
      <c r="EI719" s="567"/>
      <c r="EJ719" s="567"/>
      <c r="EK719" s="567"/>
      <c r="EL719" s="567"/>
      <c r="EM719" s="567"/>
      <c r="EN719" s="567"/>
      <c r="EO719" s="567"/>
      <c r="EP719" s="567"/>
      <c r="EQ719" s="567"/>
      <c r="ER719" s="567"/>
      <c r="ES719" s="567"/>
      <c r="ET719" s="567"/>
      <c r="EU719" s="567"/>
      <c r="EV719" s="567"/>
      <c r="EW719" s="567"/>
      <c r="EX719" s="567"/>
      <c r="EY719" s="567"/>
      <c r="EZ719" s="567"/>
      <c r="FA719" s="567"/>
      <c r="FB719" s="567"/>
      <c r="FC719" s="567"/>
      <c r="FD719" s="567"/>
      <c r="FE719" s="567"/>
      <c r="FF719" s="567"/>
      <c r="FG719" s="567"/>
      <c r="FH719" s="567"/>
      <c r="FI719" s="567"/>
      <c r="FJ719" s="567"/>
      <c r="FK719" s="567"/>
      <c r="FL719" s="567"/>
      <c r="FM719" s="567"/>
      <c r="FN719" s="567"/>
      <c r="FO719" s="567"/>
      <c r="FP719" s="567"/>
      <c r="FQ719" s="567"/>
      <c r="FR719" s="567"/>
      <c r="FS719" s="567"/>
      <c r="FT719" s="567"/>
      <c r="FU719" s="567"/>
      <c r="FV719" s="567"/>
      <c r="FW719" s="567"/>
      <c r="FX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  <c r="BW720" s="567"/>
      <c r="BX720" s="567"/>
      <c r="BY720" s="567"/>
      <c r="BZ720" s="567"/>
      <c r="CA720" s="567"/>
      <c r="CB720" s="567"/>
      <c r="CC720" s="567"/>
      <c r="CD720" s="567"/>
      <c r="CE720" s="567"/>
      <c r="CF720" s="567"/>
      <c r="CG720" s="567"/>
      <c r="CH720" s="567"/>
      <c r="CI720" s="567"/>
      <c r="CJ720" s="567"/>
      <c r="CK720" s="567"/>
      <c r="CL720" s="567"/>
      <c r="CM720" s="567"/>
      <c r="CN720" s="567"/>
      <c r="CO720" s="567"/>
      <c r="CP720" s="567"/>
      <c r="CQ720" s="567"/>
      <c r="CR720" s="567"/>
      <c r="CS720" s="567"/>
      <c r="CT720" s="567"/>
      <c r="CU720" s="567"/>
      <c r="CV720" s="567"/>
      <c r="CW720" s="567"/>
      <c r="CX720" s="567"/>
      <c r="CY720" s="567"/>
      <c r="CZ720" s="567"/>
      <c r="DA720" s="567"/>
      <c r="DB720" s="567"/>
      <c r="DC720" s="567"/>
      <c r="DD720" s="567"/>
      <c r="DE720" s="567"/>
      <c r="DF720" s="567"/>
      <c r="DG720" s="567"/>
      <c r="DH720" s="567"/>
      <c r="DI720" s="567"/>
      <c r="DJ720" s="567"/>
      <c r="DK720" s="567"/>
      <c r="DL720" s="567"/>
      <c r="DM720" s="567"/>
      <c r="DN720" s="567"/>
      <c r="DO720" s="567"/>
      <c r="DP720" s="567"/>
      <c r="DQ720" s="567"/>
      <c r="DR720" s="567"/>
      <c r="DS720" s="567"/>
      <c r="DT720" s="567"/>
      <c r="DU720" s="567"/>
      <c r="DV720" s="567"/>
      <c r="DW720" s="567"/>
      <c r="DX720" s="567"/>
      <c r="DY720" s="567"/>
      <c r="DZ720" s="567"/>
      <c r="EA720" s="567"/>
      <c r="EB720" s="567"/>
      <c r="EC720" s="567"/>
      <c r="ED720" s="567"/>
      <c r="EE720" s="567"/>
      <c r="EF720" s="567"/>
      <c r="EG720" s="567"/>
      <c r="EH720" s="567"/>
      <c r="EI720" s="567"/>
      <c r="EJ720" s="567"/>
      <c r="EK720" s="567"/>
      <c r="EL720" s="567"/>
      <c r="EM720" s="567"/>
      <c r="EN720" s="567"/>
      <c r="EO720" s="567"/>
      <c r="EP720" s="567"/>
      <c r="EQ720" s="567"/>
      <c r="ER720" s="567"/>
      <c r="ES720" s="567"/>
      <c r="ET720" s="567"/>
      <c r="EU720" s="567"/>
      <c r="EV720" s="567"/>
      <c r="EW720" s="567"/>
      <c r="EX720" s="567"/>
      <c r="EY720" s="567"/>
      <c r="EZ720" s="567"/>
      <c r="FA720" s="567"/>
      <c r="FB720" s="567"/>
      <c r="FC720" s="567"/>
      <c r="FD720" s="567"/>
      <c r="FE720" s="567"/>
      <c r="FF720" s="567"/>
      <c r="FG720" s="567"/>
      <c r="FH720" s="567"/>
      <c r="FI720" s="567"/>
      <c r="FJ720" s="567"/>
      <c r="FK720" s="567"/>
      <c r="FL720" s="567"/>
      <c r="FM720" s="567"/>
      <c r="FN720" s="567"/>
      <c r="FO720" s="567"/>
      <c r="FP720" s="567"/>
      <c r="FQ720" s="567"/>
      <c r="FR720" s="567"/>
      <c r="FS720" s="567"/>
      <c r="FT720" s="567"/>
      <c r="FU720" s="567"/>
      <c r="FV720" s="567"/>
      <c r="FW720" s="567"/>
      <c r="FX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  <c r="BW721" s="567"/>
      <c r="BX721" s="567"/>
      <c r="BY721" s="567"/>
      <c r="BZ721" s="567"/>
      <c r="CA721" s="567"/>
      <c r="CB721" s="567"/>
      <c r="CC721" s="567"/>
      <c r="CD721" s="567"/>
      <c r="CE721" s="567"/>
      <c r="CF721" s="567"/>
      <c r="CG721" s="567"/>
      <c r="CH721" s="567"/>
      <c r="CI721" s="567"/>
      <c r="CJ721" s="567"/>
      <c r="CK721" s="567"/>
      <c r="CL721" s="567"/>
      <c r="CM721" s="567"/>
      <c r="CN721" s="567"/>
      <c r="CO721" s="567"/>
      <c r="CP721" s="567"/>
      <c r="CQ721" s="567"/>
      <c r="CR721" s="567"/>
      <c r="CS721" s="567"/>
      <c r="CT721" s="567"/>
      <c r="CU721" s="567"/>
      <c r="CV721" s="567"/>
      <c r="CW721" s="567"/>
      <c r="CX721" s="567"/>
      <c r="CY721" s="567"/>
      <c r="CZ721" s="567"/>
      <c r="DA721" s="567"/>
      <c r="DB721" s="567"/>
      <c r="DC721" s="567"/>
      <c r="DD721" s="567"/>
      <c r="DE721" s="567"/>
      <c r="DF721" s="567"/>
      <c r="DG721" s="567"/>
      <c r="DH721" s="567"/>
      <c r="DI721" s="567"/>
      <c r="DJ721" s="567"/>
      <c r="DK721" s="567"/>
      <c r="DL721" s="567"/>
      <c r="DM721" s="567"/>
      <c r="DN721" s="567"/>
      <c r="DO721" s="567"/>
      <c r="DP721" s="567"/>
      <c r="DQ721" s="567"/>
      <c r="DR721" s="567"/>
      <c r="DS721" s="567"/>
      <c r="DT721" s="567"/>
      <c r="DU721" s="567"/>
      <c r="DV721" s="567"/>
      <c r="DW721" s="567"/>
      <c r="DX721" s="567"/>
      <c r="DY721" s="567"/>
      <c r="DZ721" s="567"/>
      <c r="EA721" s="567"/>
      <c r="EB721" s="567"/>
      <c r="EC721" s="567"/>
      <c r="ED721" s="567"/>
      <c r="EE721" s="567"/>
      <c r="EF721" s="567"/>
      <c r="EG721" s="567"/>
      <c r="EH721" s="567"/>
      <c r="EI721" s="567"/>
      <c r="EJ721" s="567"/>
      <c r="EK721" s="567"/>
      <c r="EL721" s="567"/>
      <c r="EM721" s="567"/>
      <c r="EN721" s="567"/>
      <c r="EO721" s="567"/>
      <c r="EP721" s="567"/>
      <c r="EQ721" s="567"/>
      <c r="ER721" s="567"/>
      <c r="ES721" s="567"/>
      <c r="ET721" s="567"/>
      <c r="EU721" s="567"/>
      <c r="EV721" s="567"/>
      <c r="EW721" s="567"/>
      <c r="EX721" s="567"/>
      <c r="EY721" s="567"/>
      <c r="EZ721" s="567"/>
      <c r="FA721" s="567"/>
      <c r="FB721" s="567"/>
      <c r="FC721" s="567"/>
      <c r="FD721" s="567"/>
      <c r="FE721" s="567"/>
      <c r="FF721" s="567"/>
      <c r="FG721" s="567"/>
      <c r="FH721" s="567"/>
      <c r="FI721" s="567"/>
      <c r="FJ721" s="567"/>
      <c r="FK721" s="567"/>
      <c r="FL721" s="567"/>
      <c r="FM721" s="567"/>
      <c r="FN721" s="567"/>
      <c r="FO721" s="567"/>
      <c r="FP721" s="567"/>
      <c r="FQ721" s="567"/>
      <c r="FR721" s="567"/>
      <c r="FS721" s="567"/>
      <c r="FT721" s="567"/>
      <c r="FU721" s="567"/>
      <c r="FV721" s="567"/>
      <c r="FW721" s="567"/>
      <c r="FX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  <c r="BW722" s="567"/>
      <c r="BX722" s="567"/>
      <c r="BY722" s="567"/>
      <c r="BZ722" s="567"/>
      <c r="CA722" s="567"/>
      <c r="CB722" s="567"/>
      <c r="CC722" s="567"/>
      <c r="CD722" s="567"/>
      <c r="CE722" s="567"/>
      <c r="CF722" s="567"/>
      <c r="CG722" s="567"/>
      <c r="CH722" s="567"/>
      <c r="CI722" s="567"/>
      <c r="CJ722" s="567"/>
      <c r="CK722" s="567"/>
      <c r="CL722" s="567"/>
      <c r="CM722" s="567"/>
      <c r="CN722" s="567"/>
      <c r="CO722" s="567"/>
      <c r="CP722" s="567"/>
      <c r="CQ722" s="567"/>
      <c r="CR722" s="567"/>
      <c r="CS722" s="567"/>
      <c r="CT722" s="567"/>
      <c r="CU722" s="567"/>
      <c r="CV722" s="567"/>
      <c r="CW722" s="567"/>
      <c r="CX722" s="567"/>
      <c r="CY722" s="567"/>
      <c r="CZ722" s="567"/>
      <c r="DA722" s="567"/>
      <c r="DB722" s="567"/>
      <c r="DC722" s="567"/>
      <c r="DD722" s="567"/>
      <c r="DE722" s="567"/>
      <c r="DF722" s="567"/>
      <c r="DG722" s="567"/>
      <c r="DH722" s="567"/>
      <c r="DI722" s="567"/>
      <c r="DJ722" s="567"/>
      <c r="DK722" s="567"/>
      <c r="DL722" s="567"/>
      <c r="DM722" s="567"/>
      <c r="DN722" s="567"/>
      <c r="DO722" s="567"/>
      <c r="DP722" s="567"/>
      <c r="DQ722" s="567"/>
      <c r="DR722" s="567"/>
      <c r="DS722" s="567"/>
      <c r="DT722" s="567"/>
      <c r="DU722" s="567"/>
      <c r="DV722" s="567"/>
      <c r="DW722" s="567"/>
      <c r="DX722" s="567"/>
      <c r="DY722" s="567"/>
      <c r="DZ722" s="567"/>
      <c r="EA722" s="567"/>
      <c r="EB722" s="567"/>
      <c r="EC722" s="567"/>
      <c r="ED722" s="567"/>
      <c r="EE722" s="567"/>
      <c r="EF722" s="567"/>
      <c r="EG722" s="567"/>
      <c r="EH722" s="567"/>
      <c r="EI722" s="567"/>
      <c r="EJ722" s="567"/>
      <c r="EK722" s="567"/>
      <c r="EL722" s="567"/>
      <c r="EM722" s="567"/>
      <c r="EN722" s="567"/>
      <c r="EO722" s="567"/>
      <c r="EP722" s="567"/>
      <c r="EQ722" s="567"/>
      <c r="ER722" s="567"/>
      <c r="ES722" s="567"/>
      <c r="ET722" s="567"/>
      <c r="EU722" s="567"/>
      <c r="EV722" s="567"/>
      <c r="EW722" s="567"/>
      <c r="EX722" s="567"/>
      <c r="EY722" s="567"/>
      <c r="EZ722" s="567"/>
      <c r="FA722" s="567"/>
      <c r="FB722" s="567"/>
      <c r="FC722" s="567"/>
      <c r="FD722" s="567"/>
      <c r="FE722" s="567"/>
      <c r="FF722" s="567"/>
      <c r="FG722" s="567"/>
      <c r="FH722" s="567"/>
      <c r="FI722" s="567"/>
      <c r="FJ722" s="567"/>
      <c r="FK722" s="567"/>
      <c r="FL722" s="567"/>
      <c r="FM722" s="567"/>
      <c r="FN722" s="567"/>
      <c r="FO722" s="567"/>
      <c r="FP722" s="567"/>
      <c r="FQ722" s="567"/>
      <c r="FR722" s="567"/>
      <c r="FS722" s="567"/>
      <c r="FT722" s="567"/>
      <c r="FU722" s="567"/>
      <c r="FV722" s="567"/>
      <c r="FW722" s="567"/>
      <c r="FX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  <c r="BW723" s="567"/>
      <c r="BX723" s="567"/>
      <c r="BY723" s="567"/>
      <c r="BZ723" s="567"/>
      <c r="CA723" s="567"/>
      <c r="CB723" s="567"/>
      <c r="CC723" s="567"/>
      <c r="CD723" s="567"/>
      <c r="CE723" s="567"/>
      <c r="CF723" s="567"/>
      <c r="CG723" s="567"/>
      <c r="CH723" s="567"/>
      <c r="CI723" s="567"/>
      <c r="CJ723" s="567"/>
      <c r="CK723" s="567"/>
      <c r="CL723" s="567"/>
      <c r="CM723" s="567"/>
      <c r="CN723" s="567"/>
      <c r="CO723" s="567"/>
      <c r="CP723" s="567"/>
      <c r="CQ723" s="567"/>
      <c r="CR723" s="567"/>
      <c r="CS723" s="567"/>
      <c r="CT723" s="567"/>
      <c r="CU723" s="567"/>
      <c r="CV723" s="567"/>
      <c r="CW723" s="567"/>
      <c r="CX723" s="567"/>
      <c r="CY723" s="567"/>
      <c r="CZ723" s="567"/>
      <c r="DA723" s="567"/>
      <c r="DB723" s="567"/>
      <c r="DC723" s="567"/>
      <c r="DD723" s="567"/>
      <c r="DE723" s="567"/>
      <c r="DF723" s="567"/>
      <c r="DG723" s="567"/>
      <c r="DH723" s="567"/>
      <c r="DI723" s="567"/>
      <c r="DJ723" s="567"/>
      <c r="DK723" s="567"/>
      <c r="DL723" s="567"/>
      <c r="DM723" s="567"/>
      <c r="DN723" s="567"/>
      <c r="DO723" s="567"/>
      <c r="DP723" s="567"/>
      <c r="DQ723" s="567"/>
      <c r="DR723" s="567"/>
      <c r="DS723" s="567"/>
      <c r="DT723" s="567"/>
      <c r="DU723" s="567"/>
      <c r="DV723" s="567"/>
      <c r="DW723" s="567"/>
      <c r="DX723" s="567"/>
      <c r="DY723" s="567"/>
      <c r="DZ723" s="567"/>
      <c r="EA723" s="567"/>
      <c r="EB723" s="567"/>
      <c r="EC723" s="567"/>
      <c r="ED723" s="567"/>
      <c r="EE723" s="567"/>
      <c r="EF723" s="567"/>
      <c r="EG723" s="567"/>
      <c r="EH723" s="567"/>
      <c r="EI723" s="567"/>
      <c r="EJ723" s="567"/>
      <c r="EK723" s="567"/>
      <c r="EL723" s="567"/>
      <c r="EM723" s="567"/>
      <c r="EN723" s="567"/>
      <c r="EO723" s="567"/>
      <c r="EP723" s="567"/>
      <c r="EQ723" s="567"/>
      <c r="ER723" s="567"/>
      <c r="ES723" s="567"/>
      <c r="ET723" s="567"/>
      <c r="EU723" s="567"/>
      <c r="EV723" s="567"/>
      <c r="EW723" s="567"/>
      <c r="EX723" s="567"/>
      <c r="EY723" s="567"/>
      <c r="EZ723" s="567"/>
      <c r="FA723" s="567"/>
      <c r="FB723" s="567"/>
      <c r="FC723" s="567"/>
      <c r="FD723" s="567"/>
      <c r="FE723" s="567"/>
      <c r="FF723" s="567"/>
      <c r="FG723" s="567"/>
      <c r="FH723" s="567"/>
      <c r="FI723" s="567"/>
      <c r="FJ723" s="567"/>
      <c r="FK723" s="567"/>
      <c r="FL723" s="567"/>
      <c r="FM723" s="567"/>
      <c r="FN723" s="567"/>
      <c r="FO723" s="567"/>
      <c r="FP723" s="567"/>
      <c r="FQ723" s="567"/>
      <c r="FR723" s="567"/>
      <c r="FS723" s="567"/>
      <c r="FT723" s="567"/>
      <c r="FU723" s="567"/>
      <c r="FV723" s="567"/>
      <c r="FW723" s="567"/>
      <c r="FX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  <c r="BW724" s="567"/>
      <c r="BX724" s="567"/>
      <c r="BY724" s="567"/>
      <c r="BZ724" s="567"/>
      <c r="CA724" s="567"/>
      <c r="CB724" s="567"/>
      <c r="CC724" s="567"/>
      <c r="CD724" s="567"/>
      <c r="CE724" s="567"/>
      <c r="CF724" s="567"/>
      <c r="CG724" s="567"/>
      <c r="CH724" s="567"/>
      <c r="CI724" s="567"/>
      <c r="CJ724" s="567"/>
      <c r="CK724" s="567"/>
      <c r="CL724" s="567"/>
      <c r="CM724" s="567"/>
      <c r="CN724" s="567"/>
      <c r="CO724" s="567"/>
      <c r="CP724" s="567"/>
      <c r="CQ724" s="567"/>
      <c r="CR724" s="567"/>
      <c r="CS724" s="567"/>
      <c r="CT724" s="567"/>
      <c r="CU724" s="567"/>
      <c r="CV724" s="567"/>
      <c r="CW724" s="567"/>
      <c r="CX724" s="567"/>
      <c r="CY724" s="567"/>
      <c r="CZ724" s="567"/>
      <c r="DA724" s="567"/>
      <c r="DB724" s="567"/>
      <c r="DC724" s="567"/>
      <c r="DD724" s="567"/>
      <c r="DE724" s="567"/>
      <c r="DF724" s="567"/>
      <c r="DG724" s="567"/>
      <c r="DH724" s="567"/>
      <c r="DI724" s="567"/>
      <c r="DJ724" s="567"/>
      <c r="DK724" s="567"/>
      <c r="DL724" s="567"/>
      <c r="DM724" s="567"/>
      <c r="DN724" s="567"/>
      <c r="DO724" s="567"/>
      <c r="DP724" s="567"/>
      <c r="DQ724" s="567"/>
      <c r="DR724" s="567"/>
      <c r="DS724" s="567"/>
      <c r="DT724" s="567"/>
      <c r="DU724" s="567"/>
      <c r="DV724" s="567"/>
      <c r="DW724" s="567"/>
      <c r="DX724" s="567"/>
      <c r="DY724" s="567"/>
      <c r="DZ724" s="567"/>
      <c r="EA724" s="567"/>
      <c r="EB724" s="567"/>
      <c r="EC724" s="567"/>
      <c r="ED724" s="567"/>
      <c r="EE724" s="567"/>
      <c r="EF724" s="567"/>
      <c r="EG724" s="567"/>
      <c r="EH724" s="567"/>
      <c r="EI724" s="567"/>
      <c r="EJ724" s="567"/>
      <c r="EK724" s="567"/>
      <c r="EL724" s="567"/>
      <c r="EM724" s="567"/>
      <c r="EN724" s="567"/>
      <c r="EO724" s="567"/>
      <c r="EP724" s="567"/>
      <c r="EQ724" s="567"/>
      <c r="ER724" s="567"/>
      <c r="ES724" s="567"/>
      <c r="ET724" s="567"/>
      <c r="EU724" s="567"/>
      <c r="EV724" s="567"/>
      <c r="EW724" s="567"/>
      <c r="EX724" s="567"/>
      <c r="EY724" s="567"/>
      <c r="EZ724" s="567"/>
      <c r="FA724" s="567"/>
      <c r="FB724" s="567"/>
      <c r="FC724" s="567"/>
      <c r="FD724" s="567"/>
      <c r="FE724" s="567"/>
      <c r="FF724" s="567"/>
      <c r="FG724" s="567"/>
      <c r="FH724" s="567"/>
      <c r="FI724" s="567"/>
      <c r="FJ724" s="567"/>
      <c r="FK724" s="567"/>
      <c r="FL724" s="567"/>
      <c r="FM724" s="567"/>
      <c r="FN724" s="567"/>
      <c r="FO724" s="567"/>
      <c r="FP724" s="567"/>
      <c r="FQ724" s="567"/>
      <c r="FR724" s="567"/>
      <c r="FS724" s="567"/>
      <c r="FT724" s="567"/>
      <c r="FU724" s="567"/>
      <c r="FV724" s="567"/>
      <c r="FW724" s="567"/>
      <c r="FX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  <c r="BW725" s="567"/>
      <c r="BX725" s="567"/>
      <c r="BY725" s="567"/>
      <c r="BZ725" s="567"/>
      <c r="CA725" s="567"/>
      <c r="CB725" s="567"/>
      <c r="CC725" s="567"/>
      <c r="CD725" s="567"/>
      <c r="CE725" s="567"/>
      <c r="CF725" s="567"/>
      <c r="CG725" s="567"/>
      <c r="CH725" s="567"/>
      <c r="CI725" s="567"/>
      <c r="CJ725" s="567"/>
      <c r="CK725" s="567"/>
      <c r="CL725" s="567"/>
      <c r="CM725" s="567"/>
      <c r="CN725" s="567"/>
      <c r="CO725" s="567"/>
      <c r="CP725" s="567"/>
      <c r="CQ725" s="567"/>
      <c r="CR725" s="567"/>
      <c r="CS725" s="567"/>
      <c r="CT725" s="567"/>
      <c r="CU725" s="567"/>
      <c r="CV725" s="567"/>
      <c r="CW725" s="567"/>
      <c r="CX725" s="567"/>
      <c r="CY725" s="567"/>
      <c r="CZ725" s="567"/>
      <c r="DA725" s="567"/>
      <c r="DB725" s="567"/>
      <c r="DC725" s="567"/>
      <c r="DD725" s="567"/>
      <c r="DE725" s="567"/>
      <c r="DF725" s="567"/>
      <c r="DG725" s="567"/>
      <c r="DH725" s="567"/>
      <c r="DI725" s="567"/>
      <c r="DJ725" s="567"/>
      <c r="DK725" s="567"/>
      <c r="DL725" s="567"/>
      <c r="DM725" s="567"/>
      <c r="DN725" s="567"/>
      <c r="DO725" s="567"/>
      <c r="DP725" s="567"/>
      <c r="DQ725" s="567"/>
      <c r="DR725" s="567"/>
      <c r="DS725" s="567"/>
      <c r="DT725" s="567"/>
      <c r="DU725" s="567"/>
      <c r="DV725" s="567"/>
      <c r="DW725" s="567"/>
      <c r="DX725" s="567"/>
      <c r="DY725" s="567"/>
      <c r="DZ725" s="567"/>
      <c r="EA725" s="567"/>
      <c r="EB725" s="567"/>
      <c r="EC725" s="567"/>
      <c r="ED725" s="567"/>
      <c r="EE725" s="567"/>
      <c r="EF725" s="567"/>
      <c r="EG725" s="567"/>
      <c r="EH725" s="567"/>
      <c r="EI725" s="567"/>
      <c r="EJ725" s="567"/>
      <c r="EK725" s="567"/>
      <c r="EL725" s="567"/>
      <c r="EM725" s="567"/>
      <c r="EN725" s="567"/>
      <c r="EO725" s="567"/>
      <c r="EP725" s="567"/>
      <c r="EQ725" s="567"/>
      <c r="ER725" s="567"/>
      <c r="ES725" s="567"/>
      <c r="ET725" s="567"/>
      <c r="EU725" s="567"/>
      <c r="EV725" s="567"/>
      <c r="EW725" s="567"/>
      <c r="EX725" s="567"/>
      <c r="EY725" s="567"/>
      <c r="EZ725" s="567"/>
      <c r="FA725" s="567"/>
      <c r="FB725" s="567"/>
      <c r="FC725" s="567"/>
      <c r="FD725" s="567"/>
      <c r="FE725" s="567"/>
      <c r="FF725" s="567"/>
      <c r="FG725" s="567"/>
      <c r="FH725" s="567"/>
      <c r="FI725" s="567"/>
      <c r="FJ725" s="567"/>
      <c r="FK725" s="567"/>
      <c r="FL725" s="567"/>
      <c r="FM725" s="567"/>
      <c r="FN725" s="567"/>
      <c r="FO725" s="567"/>
      <c r="FP725" s="567"/>
      <c r="FQ725" s="567"/>
      <c r="FR725" s="567"/>
      <c r="FS725" s="567"/>
      <c r="FT725" s="567"/>
      <c r="FU725" s="567"/>
      <c r="FV725" s="567"/>
      <c r="FW725" s="567"/>
      <c r="FX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  <c r="BW726" s="567"/>
      <c r="BX726" s="567"/>
      <c r="BY726" s="567"/>
      <c r="BZ726" s="567"/>
      <c r="CA726" s="567"/>
      <c r="CB726" s="567"/>
      <c r="CC726" s="567"/>
      <c r="CD726" s="567"/>
      <c r="CE726" s="567"/>
      <c r="CF726" s="567"/>
      <c r="CG726" s="567"/>
      <c r="CH726" s="567"/>
      <c r="CI726" s="567"/>
      <c r="CJ726" s="567"/>
      <c r="CK726" s="567"/>
      <c r="CL726" s="567"/>
      <c r="CM726" s="567"/>
      <c r="CN726" s="567"/>
      <c r="CO726" s="567"/>
      <c r="CP726" s="567"/>
      <c r="CQ726" s="567"/>
      <c r="CR726" s="567"/>
      <c r="CS726" s="567"/>
      <c r="CT726" s="567"/>
      <c r="CU726" s="567"/>
      <c r="CV726" s="567"/>
      <c r="CW726" s="567"/>
      <c r="CX726" s="567"/>
      <c r="CY726" s="567"/>
      <c r="CZ726" s="567"/>
      <c r="DA726" s="567"/>
      <c r="DB726" s="567"/>
      <c r="DC726" s="567"/>
      <c r="DD726" s="567"/>
      <c r="DE726" s="567"/>
      <c r="DF726" s="567"/>
      <c r="DG726" s="567"/>
      <c r="DH726" s="567"/>
      <c r="DI726" s="567"/>
      <c r="DJ726" s="567"/>
      <c r="DK726" s="567"/>
      <c r="DL726" s="567"/>
      <c r="DM726" s="567"/>
      <c r="DN726" s="567"/>
      <c r="DO726" s="567"/>
      <c r="DP726" s="567"/>
      <c r="DQ726" s="567"/>
      <c r="DR726" s="567"/>
      <c r="DS726" s="567"/>
      <c r="DT726" s="567"/>
      <c r="DU726" s="567"/>
      <c r="DV726" s="567"/>
      <c r="DW726" s="567"/>
      <c r="DX726" s="567"/>
      <c r="DY726" s="567"/>
      <c r="DZ726" s="567"/>
      <c r="EA726" s="567"/>
      <c r="EB726" s="567"/>
      <c r="EC726" s="567"/>
      <c r="ED726" s="567"/>
      <c r="EE726" s="567"/>
      <c r="EF726" s="567"/>
      <c r="EG726" s="567"/>
      <c r="EH726" s="567"/>
      <c r="EI726" s="567"/>
      <c r="EJ726" s="567"/>
      <c r="EK726" s="567"/>
      <c r="EL726" s="567"/>
      <c r="EM726" s="567"/>
      <c r="EN726" s="567"/>
      <c r="EO726" s="567"/>
      <c r="EP726" s="567"/>
      <c r="EQ726" s="567"/>
      <c r="ER726" s="567"/>
      <c r="ES726" s="567"/>
      <c r="ET726" s="567"/>
      <c r="EU726" s="567"/>
      <c r="EV726" s="567"/>
      <c r="EW726" s="567"/>
      <c r="EX726" s="567"/>
      <c r="EY726" s="567"/>
      <c r="EZ726" s="567"/>
      <c r="FA726" s="567"/>
      <c r="FB726" s="567"/>
      <c r="FC726" s="567"/>
      <c r="FD726" s="567"/>
      <c r="FE726" s="567"/>
      <c r="FF726" s="567"/>
      <c r="FG726" s="567"/>
      <c r="FH726" s="567"/>
      <c r="FI726" s="567"/>
      <c r="FJ726" s="567"/>
      <c r="FK726" s="567"/>
      <c r="FL726" s="567"/>
      <c r="FM726" s="567"/>
      <c r="FN726" s="567"/>
      <c r="FO726" s="567"/>
      <c r="FP726" s="567"/>
      <c r="FQ726" s="567"/>
      <c r="FR726" s="567"/>
      <c r="FS726" s="567"/>
      <c r="FT726" s="567"/>
      <c r="FU726" s="567"/>
      <c r="FV726" s="567"/>
      <c r="FW726" s="567"/>
      <c r="FX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  <c r="BW727" s="567"/>
      <c r="BX727" s="567"/>
      <c r="BY727" s="567"/>
      <c r="BZ727" s="567"/>
      <c r="CA727" s="567"/>
      <c r="CB727" s="567"/>
      <c r="CC727" s="567"/>
      <c r="CD727" s="567"/>
      <c r="CE727" s="567"/>
      <c r="CF727" s="567"/>
      <c r="CG727" s="567"/>
      <c r="CH727" s="567"/>
      <c r="CI727" s="567"/>
      <c r="CJ727" s="567"/>
      <c r="CK727" s="567"/>
      <c r="CL727" s="567"/>
      <c r="CM727" s="567"/>
      <c r="CN727" s="567"/>
      <c r="CO727" s="567"/>
      <c r="CP727" s="567"/>
      <c r="CQ727" s="567"/>
      <c r="CR727" s="567"/>
      <c r="CS727" s="567"/>
      <c r="CT727" s="567"/>
      <c r="CU727" s="567"/>
      <c r="CV727" s="567"/>
      <c r="CW727" s="567"/>
      <c r="CX727" s="567"/>
      <c r="CY727" s="567"/>
      <c r="CZ727" s="567"/>
      <c r="DA727" s="567"/>
      <c r="DB727" s="567"/>
      <c r="DC727" s="567"/>
      <c r="DD727" s="567"/>
      <c r="DE727" s="567"/>
      <c r="DF727" s="567"/>
      <c r="DG727" s="567"/>
      <c r="DH727" s="567"/>
      <c r="DI727" s="567"/>
      <c r="DJ727" s="567"/>
      <c r="DK727" s="567"/>
      <c r="DL727" s="567"/>
      <c r="DM727" s="567"/>
      <c r="DN727" s="567"/>
      <c r="DO727" s="567"/>
      <c r="DP727" s="567"/>
      <c r="DQ727" s="567"/>
      <c r="DR727" s="567"/>
      <c r="DS727" s="567"/>
      <c r="DT727" s="567"/>
      <c r="DU727" s="567"/>
      <c r="DV727" s="567"/>
      <c r="DW727" s="567"/>
      <c r="DX727" s="567"/>
      <c r="DY727" s="567"/>
      <c r="DZ727" s="567"/>
      <c r="EA727" s="567"/>
      <c r="EB727" s="567"/>
      <c r="EC727" s="567"/>
      <c r="ED727" s="567"/>
      <c r="EE727" s="567"/>
      <c r="EF727" s="567"/>
      <c r="EG727" s="567"/>
      <c r="EH727" s="567"/>
      <c r="EI727" s="567"/>
      <c r="EJ727" s="567"/>
      <c r="EK727" s="567"/>
      <c r="EL727" s="567"/>
      <c r="EM727" s="567"/>
      <c r="EN727" s="567"/>
      <c r="EO727" s="567"/>
      <c r="EP727" s="567"/>
      <c r="EQ727" s="567"/>
      <c r="ER727" s="567"/>
      <c r="ES727" s="567"/>
      <c r="ET727" s="567"/>
      <c r="EU727" s="567"/>
      <c r="EV727" s="567"/>
      <c r="EW727" s="567"/>
      <c r="EX727" s="567"/>
      <c r="EY727" s="567"/>
      <c r="EZ727" s="567"/>
      <c r="FA727" s="567"/>
      <c r="FB727" s="567"/>
      <c r="FC727" s="567"/>
      <c r="FD727" s="567"/>
      <c r="FE727" s="567"/>
      <c r="FF727" s="567"/>
      <c r="FG727" s="567"/>
      <c r="FH727" s="567"/>
      <c r="FI727" s="567"/>
      <c r="FJ727" s="567"/>
      <c r="FK727" s="567"/>
      <c r="FL727" s="567"/>
      <c r="FM727" s="567"/>
      <c r="FN727" s="567"/>
      <c r="FO727" s="567"/>
      <c r="FP727" s="567"/>
      <c r="FQ727" s="567"/>
      <c r="FR727" s="567"/>
      <c r="FS727" s="567"/>
      <c r="FT727" s="567"/>
      <c r="FU727" s="567"/>
      <c r="FV727" s="567"/>
      <c r="FW727" s="567"/>
      <c r="FX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  <c r="BW728" s="567"/>
      <c r="BX728" s="567"/>
      <c r="BY728" s="567"/>
      <c r="BZ728" s="567"/>
      <c r="CA728" s="567"/>
      <c r="CB728" s="567"/>
      <c r="CC728" s="567"/>
      <c r="CD728" s="567"/>
      <c r="CE728" s="567"/>
      <c r="CF728" s="567"/>
      <c r="CG728" s="567"/>
      <c r="CH728" s="567"/>
      <c r="CI728" s="567"/>
      <c r="CJ728" s="567"/>
      <c r="CK728" s="567"/>
      <c r="CL728" s="567"/>
      <c r="CM728" s="567"/>
      <c r="CN728" s="567"/>
      <c r="CO728" s="567"/>
      <c r="CP728" s="567"/>
      <c r="CQ728" s="567"/>
      <c r="CR728" s="567"/>
      <c r="CS728" s="567"/>
      <c r="CT728" s="567"/>
      <c r="CU728" s="567"/>
      <c r="CV728" s="567"/>
      <c r="CW728" s="567"/>
      <c r="CX728" s="567"/>
      <c r="CY728" s="567"/>
      <c r="CZ728" s="567"/>
      <c r="DA728" s="567"/>
      <c r="DB728" s="567"/>
      <c r="DC728" s="567"/>
      <c r="DD728" s="567"/>
      <c r="DE728" s="567"/>
      <c r="DF728" s="567"/>
      <c r="DG728" s="567"/>
      <c r="DH728" s="567"/>
      <c r="DI728" s="567"/>
      <c r="DJ728" s="567"/>
      <c r="DK728" s="567"/>
      <c r="DL728" s="567"/>
      <c r="DM728" s="567"/>
      <c r="DN728" s="567"/>
      <c r="DO728" s="567"/>
      <c r="DP728" s="567"/>
      <c r="DQ728" s="567"/>
      <c r="DR728" s="567"/>
      <c r="DS728" s="567"/>
      <c r="DT728" s="567"/>
      <c r="DU728" s="567"/>
      <c r="DV728" s="567"/>
      <c r="DW728" s="567"/>
      <c r="DX728" s="567"/>
      <c r="DY728" s="567"/>
      <c r="DZ728" s="567"/>
      <c r="EA728" s="567"/>
      <c r="EB728" s="567"/>
      <c r="EC728" s="567"/>
      <c r="ED728" s="567"/>
      <c r="EE728" s="567"/>
      <c r="EF728" s="567"/>
      <c r="EG728" s="567"/>
      <c r="EH728" s="567"/>
      <c r="EI728" s="567"/>
      <c r="EJ728" s="567"/>
      <c r="EK728" s="567"/>
      <c r="EL728" s="567"/>
      <c r="EM728" s="567"/>
      <c r="EN728" s="567"/>
      <c r="EO728" s="567"/>
      <c r="EP728" s="567"/>
      <c r="EQ728" s="567"/>
      <c r="ER728" s="567"/>
      <c r="ES728" s="567"/>
      <c r="ET728" s="567"/>
      <c r="EU728" s="567"/>
      <c r="EV728" s="567"/>
      <c r="EW728" s="567"/>
      <c r="EX728" s="567"/>
      <c r="EY728" s="567"/>
      <c r="EZ728" s="567"/>
      <c r="FA728" s="567"/>
      <c r="FB728" s="567"/>
      <c r="FC728" s="567"/>
      <c r="FD728" s="567"/>
      <c r="FE728" s="567"/>
      <c r="FF728" s="567"/>
      <c r="FG728" s="567"/>
      <c r="FH728" s="567"/>
      <c r="FI728" s="567"/>
      <c r="FJ728" s="567"/>
      <c r="FK728" s="567"/>
      <c r="FL728" s="567"/>
      <c r="FM728" s="567"/>
      <c r="FN728" s="567"/>
      <c r="FO728" s="567"/>
      <c r="FP728" s="567"/>
      <c r="FQ728" s="567"/>
      <c r="FR728" s="567"/>
      <c r="FS728" s="567"/>
      <c r="FT728" s="567"/>
      <c r="FU728" s="567"/>
      <c r="FV728" s="567"/>
      <c r="FW728" s="567"/>
      <c r="FX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  <c r="BW729" s="567"/>
      <c r="BX729" s="567"/>
      <c r="BY729" s="567"/>
      <c r="BZ729" s="567"/>
      <c r="CA729" s="567"/>
      <c r="CB729" s="567"/>
      <c r="CC729" s="567"/>
      <c r="CD729" s="567"/>
      <c r="CE729" s="567"/>
      <c r="CF729" s="567"/>
      <c r="CG729" s="567"/>
      <c r="CH729" s="567"/>
      <c r="CI729" s="567"/>
      <c r="CJ729" s="567"/>
      <c r="CK729" s="567"/>
      <c r="CL729" s="567"/>
      <c r="CM729" s="567"/>
      <c r="CN729" s="567"/>
      <c r="CO729" s="567"/>
      <c r="CP729" s="567"/>
      <c r="CQ729" s="567"/>
      <c r="CR729" s="567"/>
      <c r="CS729" s="567"/>
      <c r="CT729" s="567"/>
      <c r="CU729" s="567"/>
      <c r="CV729" s="567"/>
      <c r="CW729" s="567"/>
      <c r="CX729" s="567"/>
      <c r="CY729" s="567"/>
      <c r="CZ729" s="567"/>
      <c r="DA729" s="567"/>
      <c r="DB729" s="567"/>
      <c r="DC729" s="567"/>
      <c r="DD729" s="567"/>
      <c r="DE729" s="567"/>
      <c r="DF729" s="567"/>
      <c r="DG729" s="567"/>
      <c r="DH729" s="567"/>
      <c r="DI729" s="567"/>
      <c r="DJ729" s="567"/>
      <c r="DK729" s="567"/>
      <c r="DL729" s="567"/>
      <c r="DM729" s="567"/>
      <c r="DN729" s="567"/>
      <c r="DO729" s="567"/>
      <c r="DP729" s="567"/>
      <c r="DQ729" s="567"/>
      <c r="DR729" s="567"/>
      <c r="DS729" s="567"/>
      <c r="DT729" s="567"/>
      <c r="DU729" s="567"/>
      <c r="DV729" s="567"/>
      <c r="DW729" s="567"/>
      <c r="DX729" s="567"/>
      <c r="DY729" s="567"/>
      <c r="DZ729" s="567"/>
      <c r="EA729" s="567"/>
      <c r="EB729" s="567"/>
      <c r="EC729" s="567"/>
      <c r="ED729" s="567"/>
      <c r="EE729" s="567"/>
      <c r="EF729" s="567"/>
      <c r="EG729" s="567"/>
      <c r="EH729" s="567"/>
      <c r="EI729" s="567"/>
      <c r="EJ729" s="567"/>
      <c r="EK729" s="567"/>
      <c r="EL729" s="567"/>
      <c r="EM729" s="567"/>
      <c r="EN729" s="567"/>
      <c r="EO729" s="567"/>
      <c r="EP729" s="567"/>
      <c r="EQ729" s="567"/>
      <c r="ER729" s="567"/>
      <c r="ES729" s="567"/>
      <c r="ET729" s="567"/>
      <c r="EU729" s="567"/>
      <c r="EV729" s="567"/>
      <c r="EW729" s="567"/>
      <c r="EX729" s="567"/>
      <c r="EY729" s="567"/>
      <c r="EZ729" s="567"/>
      <c r="FA729" s="567"/>
      <c r="FB729" s="567"/>
      <c r="FC729" s="567"/>
      <c r="FD729" s="567"/>
      <c r="FE729" s="567"/>
      <c r="FF729" s="567"/>
      <c r="FG729" s="567"/>
      <c r="FH729" s="567"/>
      <c r="FI729" s="567"/>
      <c r="FJ729" s="567"/>
      <c r="FK729" s="567"/>
      <c r="FL729" s="567"/>
      <c r="FM729" s="567"/>
      <c r="FN729" s="567"/>
      <c r="FO729" s="567"/>
      <c r="FP729" s="567"/>
      <c r="FQ729" s="567"/>
      <c r="FR729" s="567"/>
      <c r="FS729" s="567"/>
      <c r="FT729" s="567"/>
      <c r="FU729" s="567"/>
      <c r="FV729" s="567"/>
      <c r="FW729" s="567"/>
      <c r="FX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  <c r="BW730" s="567"/>
      <c r="BX730" s="567"/>
      <c r="BY730" s="567"/>
      <c r="BZ730" s="567"/>
      <c r="CA730" s="567"/>
      <c r="CB730" s="567"/>
      <c r="CC730" s="567"/>
      <c r="CD730" s="567"/>
      <c r="CE730" s="567"/>
      <c r="CF730" s="567"/>
      <c r="CG730" s="567"/>
      <c r="CH730" s="567"/>
      <c r="CI730" s="567"/>
      <c r="CJ730" s="567"/>
      <c r="CK730" s="567"/>
      <c r="CL730" s="567"/>
      <c r="CM730" s="567"/>
      <c r="CN730" s="567"/>
      <c r="CO730" s="567"/>
      <c r="CP730" s="567"/>
      <c r="CQ730" s="567"/>
      <c r="CR730" s="567"/>
      <c r="CS730" s="567"/>
      <c r="CT730" s="567"/>
      <c r="CU730" s="567"/>
      <c r="CV730" s="567"/>
      <c r="CW730" s="567"/>
      <c r="CX730" s="567"/>
      <c r="CY730" s="567"/>
      <c r="CZ730" s="567"/>
      <c r="DA730" s="567"/>
      <c r="DB730" s="567"/>
      <c r="DC730" s="567"/>
      <c r="DD730" s="567"/>
      <c r="DE730" s="567"/>
      <c r="DF730" s="567"/>
      <c r="DG730" s="567"/>
      <c r="DH730" s="567"/>
      <c r="DI730" s="567"/>
      <c r="DJ730" s="567"/>
      <c r="DK730" s="567"/>
      <c r="DL730" s="567"/>
      <c r="DM730" s="567"/>
      <c r="DN730" s="567"/>
      <c r="DO730" s="567"/>
      <c r="DP730" s="567"/>
      <c r="DQ730" s="567"/>
      <c r="DR730" s="567"/>
      <c r="DS730" s="567"/>
      <c r="DT730" s="567"/>
      <c r="DU730" s="567"/>
      <c r="DV730" s="567"/>
      <c r="DW730" s="567"/>
      <c r="DX730" s="567"/>
      <c r="DY730" s="567"/>
      <c r="DZ730" s="567"/>
      <c r="EA730" s="567"/>
      <c r="EB730" s="567"/>
      <c r="EC730" s="567"/>
      <c r="ED730" s="567"/>
      <c r="EE730" s="567"/>
      <c r="EF730" s="567"/>
      <c r="EG730" s="567"/>
      <c r="EH730" s="567"/>
      <c r="EI730" s="567"/>
      <c r="EJ730" s="567"/>
      <c r="EK730" s="567"/>
      <c r="EL730" s="567"/>
      <c r="EM730" s="567"/>
      <c r="EN730" s="567"/>
      <c r="EO730" s="567"/>
      <c r="EP730" s="567"/>
      <c r="EQ730" s="567"/>
      <c r="ER730" s="567"/>
      <c r="ES730" s="567"/>
      <c r="ET730" s="567"/>
      <c r="EU730" s="567"/>
      <c r="EV730" s="567"/>
      <c r="EW730" s="567"/>
      <c r="EX730" s="567"/>
      <c r="EY730" s="567"/>
      <c r="EZ730" s="567"/>
      <c r="FA730" s="567"/>
      <c r="FB730" s="567"/>
      <c r="FC730" s="567"/>
      <c r="FD730" s="567"/>
      <c r="FE730" s="567"/>
      <c r="FF730" s="567"/>
      <c r="FG730" s="567"/>
      <c r="FH730" s="567"/>
      <c r="FI730" s="567"/>
      <c r="FJ730" s="567"/>
      <c r="FK730" s="567"/>
      <c r="FL730" s="567"/>
      <c r="FM730" s="567"/>
      <c r="FN730" s="567"/>
      <c r="FO730" s="567"/>
      <c r="FP730" s="567"/>
      <c r="FQ730" s="567"/>
      <c r="FR730" s="567"/>
      <c r="FS730" s="567"/>
      <c r="FT730" s="567"/>
      <c r="FU730" s="567"/>
      <c r="FV730" s="567"/>
      <c r="FW730" s="567"/>
      <c r="FX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  <c r="BW731" s="567"/>
      <c r="BX731" s="567"/>
      <c r="BY731" s="567"/>
      <c r="BZ731" s="567"/>
      <c r="CA731" s="567"/>
      <c r="CB731" s="567"/>
      <c r="CC731" s="567"/>
      <c r="CD731" s="567"/>
      <c r="CE731" s="567"/>
      <c r="CF731" s="567"/>
      <c r="CG731" s="567"/>
      <c r="CH731" s="567"/>
      <c r="CI731" s="567"/>
      <c r="CJ731" s="567"/>
      <c r="CK731" s="567"/>
      <c r="CL731" s="567"/>
      <c r="CM731" s="567"/>
      <c r="CN731" s="567"/>
      <c r="CO731" s="567"/>
      <c r="CP731" s="567"/>
      <c r="CQ731" s="567"/>
      <c r="CR731" s="567"/>
      <c r="CS731" s="567"/>
      <c r="CT731" s="567"/>
      <c r="CU731" s="567"/>
      <c r="CV731" s="567"/>
      <c r="CW731" s="567"/>
      <c r="CX731" s="567"/>
      <c r="CY731" s="567"/>
      <c r="CZ731" s="567"/>
      <c r="DA731" s="567"/>
      <c r="DB731" s="567"/>
      <c r="DC731" s="567"/>
      <c r="DD731" s="567"/>
      <c r="DE731" s="567"/>
      <c r="DF731" s="567"/>
      <c r="DG731" s="567"/>
      <c r="DH731" s="567"/>
      <c r="DI731" s="567"/>
      <c r="DJ731" s="567"/>
      <c r="DK731" s="567"/>
      <c r="DL731" s="567"/>
      <c r="DM731" s="567"/>
      <c r="DN731" s="567"/>
      <c r="DO731" s="567"/>
      <c r="DP731" s="567"/>
      <c r="DQ731" s="567"/>
      <c r="DR731" s="567"/>
      <c r="DS731" s="567"/>
      <c r="DT731" s="567"/>
      <c r="DU731" s="567"/>
      <c r="DV731" s="567"/>
      <c r="DW731" s="567"/>
      <c r="DX731" s="567"/>
      <c r="DY731" s="567"/>
      <c r="DZ731" s="567"/>
      <c r="EA731" s="567"/>
      <c r="EB731" s="567"/>
      <c r="EC731" s="567"/>
      <c r="ED731" s="567"/>
      <c r="EE731" s="567"/>
      <c r="EF731" s="567"/>
      <c r="EG731" s="567"/>
      <c r="EH731" s="567"/>
      <c r="EI731" s="567"/>
      <c r="EJ731" s="567"/>
      <c r="EK731" s="567"/>
      <c r="EL731" s="567"/>
      <c r="EM731" s="567"/>
      <c r="EN731" s="567"/>
      <c r="EO731" s="567"/>
      <c r="EP731" s="567"/>
      <c r="EQ731" s="567"/>
      <c r="ER731" s="567"/>
      <c r="ES731" s="567"/>
      <c r="ET731" s="567"/>
      <c r="EU731" s="567"/>
      <c r="EV731" s="567"/>
      <c r="EW731" s="567"/>
      <c r="EX731" s="567"/>
      <c r="EY731" s="567"/>
      <c r="EZ731" s="567"/>
      <c r="FA731" s="567"/>
      <c r="FB731" s="567"/>
      <c r="FC731" s="567"/>
      <c r="FD731" s="567"/>
      <c r="FE731" s="567"/>
      <c r="FF731" s="567"/>
      <c r="FG731" s="567"/>
      <c r="FH731" s="567"/>
      <c r="FI731" s="567"/>
      <c r="FJ731" s="567"/>
      <c r="FK731" s="567"/>
      <c r="FL731" s="567"/>
      <c r="FM731" s="567"/>
      <c r="FN731" s="567"/>
      <c r="FO731" s="567"/>
      <c r="FP731" s="567"/>
      <c r="FQ731" s="567"/>
      <c r="FR731" s="567"/>
      <c r="FS731" s="567"/>
      <c r="FT731" s="567"/>
      <c r="FU731" s="567"/>
      <c r="FV731" s="567"/>
      <c r="FW731" s="567"/>
      <c r="FX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  <c r="BW732" s="567"/>
      <c r="BX732" s="567"/>
      <c r="BY732" s="567"/>
      <c r="BZ732" s="567"/>
      <c r="CA732" s="567"/>
      <c r="CB732" s="567"/>
      <c r="CC732" s="567"/>
      <c r="CD732" s="567"/>
      <c r="CE732" s="567"/>
      <c r="CF732" s="567"/>
      <c r="CG732" s="567"/>
      <c r="CH732" s="567"/>
      <c r="CI732" s="567"/>
      <c r="CJ732" s="567"/>
      <c r="CK732" s="567"/>
      <c r="CL732" s="567"/>
      <c r="CM732" s="567"/>
      <c r="CN732" s="567"/>
      <c r="CO732" s="567"/>
      <c r="CP732" s="567"/>
      <c r="CQ732" s="567"/>
      <c r="CR732" s="567"/>
      <c r="CS732" s="567"/>
      <c r="CT732" s="567"/>
      <c r="CU732" s="567"/>
      <c r="CV732" s="567"/>
      <c r="CW732" s="567"/>
      <c r="CX732" s="567"/>
      <c r="CY732" s="567"/>
      <c r="CZ732" s="567"/>
      <c r="DA732" s="567"/>
      <c r="DB732" s="567"/>
      <c r="DC732" s="567"/>
      <c r="DD732" s="567"/>
      <c r="DE732" s="567"/>
      <c r="DF732" s="567"/>
      <c r="DG732" s="567"/>
      <c r="DH732" s="567"/>
      <c r="DI732" s="567"/>
      <c r="DJ732" s="567"/>
      <c r="DK732" s="567"/>
      <c r="DL732" s="567"/>
      <c r="DM732" s="567"/>
      <c r="DN732" s="567"/>
      <c r="DO732" s="567"/>
      <c r="DP732" s="567"/>
      <c r="DQ732" s="567"/>
      <c r="DR732" s="567"/>
      <c r="DS732" s="567"/>
      <c r="DT732" s="567"/>
      <c r="DU732" s="567"/>
      <c r="DV732" s="567"/>
      <c r="DW732" s="567"/>
      <c r="DX732" s="567"/>
      <c r="DY732" s="567"/>
      <c r="DZ732" s="567"/>
      <c r="EA732" s="567"/>
      <c r="EB732" s="567"/>
      <c r="EC732" s="567"/>
      <c r="ED732" s="567"/>
      <c r="EE732" s="567"/>
      <c r="EF732" s="567"/>
      <c r="EG732" s="567"/>
      <c r="EH732" s="567"/>
      <c r="EI732" s="567"/>
      <c r="EJ732" s="567"/>
      <c r="EK732" s="567"/>
      <c r="EL732" s="567"/>
      <c r="EM732" s="567"/>
      <c r="EN732" s="567"/>
      <c r="EO732" s="567"/>
      <c r="EP732" s="567"/>
      <c r="EQ732" s="567"/>
      <c r="ER732" s="567"/>
      <c r="ES732" s="567"/>
      <c r="ET732" s="567"/>
      <c r="EU732" s="567"/>
      <c r="EV732" s="567"/>
      <c r="EW732" s="567"/>
      <c r="EX732" s="567"/>
      <c r="EY732" s="567"/>
      <c r="EZ732" s="567"/>
      <c r="FA732" s="567"/>
      <c r="FB732" s="567"/>
      <c r="FC732" s="567"/>
      <c r="FD732" s="567"/>
      <c r="FE732" s="567"/>
      <c r="FF732" s="567"/>
      <c r="FG732" s="567"/>
      <c r="FH732" s="567"/>
      <c r="FI732" s="567"/>
      <c r="FJ732" s="567"/>
      <c r="FK732" s="567"/>
      <c r="FL732" s="567"/>
      <c r="FM732" s="567"/>
      <c r="FN732" s="567"/>
      <c r="FO732" s="567"/>
      <c r="FP732" s="567"/>
      <c r="FQ732" s="567"/>
      <c r="FR732" s="567"/>
      <c r="FS732" s="567"/>
      <c r="FT732" s="567"/>
      <c r="FU732" s="567"/>
      <c r="FV732" s="567"/>
      <c r="FW732" s="567"/>
      <c r="FX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  <c r="BW733" s="567"/>
      <c r="BX733" s="567"/>
      <c r="BY733" s="567"/>
      <c r="BZ733" s="567"/>
      <c r="CA733" s="567"/>
      <c r="CB733" s="567"/>
      <c r="CC733" s="567"/>
      <c r="CD733" s="567"/>
      <c r="CE733" s="567"/>
      <c r="CF733" s="567"/>
      <c r="CG733" s="567"/>
      <c r="CH733" s="567"/>
      <c r="CI733" s="567"/>
      <c r="CJ733" s="567"/>
      <c r="CK733" s="567"/>
      <c r="CL733" s="567"/>
      <c r="CM733" s="567"/>
      <c r="CN733" s="567"/>
      <c r="CO733" s="567"/>
      <c r="CP733" s="567"/>
      <c r="CQ733" s="567"/>
      <c r="CR733" s="567"/>
      <c r="CS733" s="567"/>
      <c r="CT733" s="567"/>
      <c r="CU733" s="567"/>
      <c r="CV733" s="567"/>
      <c r="CW733" s="567"/>
      <c r="CX733" s="567"/>
      <c r="CY733" s="567"/>
      <c r="CZ733" s="567"/>
      <c r="DA733" s="567"/>
      <c r="DB733" s="567"/>
      <c r="DC733" s="567"/>
      <c r="DD733" s="567"/>
      <c r="DE733" s="567"/>
      <c r="DF733" s="567"/>
      <c r="DG733" s="567"/>
      <c r="DH733" s="567"/>
      <c r="DI733" s="567"/>
      <c r="DJ733" s="567"/>
      <c r="DK733" s="567"/>
      <c r="DL733" s="567"/>
      <c r="DM733" s="567"/>
      <c r="DN733" s="567"/>
      <c r="DO733" s="567"/>
      <c r="DP733" s="567"/>
      <c r="DQ733" s="567"/>
      <c r="DR733" s="567"/>
      <c r="DS733" s="567"/>
      <c r="DT733" s="567"/>
      <c r="DU733" s="567"/>
      <c r="DV733" s="567"/>
      <c r="DW733" s="567"/>
      <c r="DX733" s="567"/>
      <c r="DY733" s="567"/>
      <c r="DZ733" s="567"/>
      <c r="EA733" s="567"/>
      <c r="EB733" s="567"/>
      <c r="EC733" s="567"/>
      <c r="ED733" s="567"/>
      <c r="EE733" s="567"/>
      <c r="EF733" s="567"/>
      <c r="EG733" s="567"/>
      <c r="EH733" s="567"/>
      <c r="EI733" s="567"/>
      <c r="EJ733" s="567"/>
      <c r="EK733" s="567"/>
      <c r="EL733" s="567"/>
      <c r="EM733" s="567"/>
      <c r="EN733" s="567"/>
      <c r="EO733" s="567"/>
      <c r="EP733" s="567"/>
      <c r="EQ733" s="567"/>
      <c r="ER733" s="567"/>
      <c r="ES733" s="567"/>
      <c r="ET733" s="567"/>
      <c r="EU733" s="567"/>
      <c r="EV733" s="567"/>
      <c r="EW733" s="567"/>
      <c r="EX733" s="567"/>
      <c r="EY733" s="567"/>
      <c r="EZ733" s="567"/>
      <c r="FA733" s="567"/>
      <c r="FB733" s="567"/>
      <c r="FC733" s="567"/>
      <c r="FD733" s="567"/>
      <c r="FE733" s="567"/>
      <c r="FF733" s="567"/>
      <c r="FG733" s="567"/>
      <c r="FH733" s="567"/>
      <c r="FI733" s="567"/>
      <c r="FJ733" s="567"/>
      <c r="FK733" s="567"/>
      <c r="FL733" s="567"/>
      <c r="FM733" s="567"/>
      <c r="FN733" s="567"/>
      <c r="FO733" s="567"/>
      <c r="FP733" s="567"/>
      <c r="FQ733" s="567"/>
      <c r="FR733" s="567"/>
      <c r="FS733" s="567"/>
      <c r="FT733" s="567"/>
      <c r="FU733" s="567"/>
      <c r="FV733" s="567"/>
      <c r="FW733" s="567"/>
      <c r="FX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  <c r="BW734" s="567"/>
      <c r="BX734" s="567"/>
      <c r="BY734" s="567"/>
      <c r="BZ734" s="567"/>
      <c r="CA734" s="567"/>
      <c r="CB734" s="567"/>
      <c r="CC734" s="567"/>
      <c r="CD734" s="567"/>
      <c r="CE734" s="567"/>
      <c r="CF734" s="567"/>
      <c r="CG734" s="567"/>
      <c r="CH734" s="567"/>
      <c r="CI734" s="567"/>
      <c r="CJ734" s="567"/>
      <c r="CK734" s="567"/>
      <c r="CL734" s="567"/>
      <c r="CM734" s="567"/>
      <c r="CN734" s="567"/>
      <c r="CO734" s="567"/>
      <c r="CP734" s="567"/>
      <c r="CQ734" s="567"/>
      <c r="CR734" s="567"/>
      <c r="CS734" s="567"/>
      <c r="CT734" s="567"/>
      <c r="CU734" s="567"/>
      <c r="CV734" s="567"/>
      <c r="CW734" s="567"/>
      <c r="CX734" s="567"/>
      <c r="CY734" s="567"/>
      <c r="CZ734" s="567"/>
      <c r="DA734" s="567"/>
      <c r="DB734" s="567"/>
      <c r="DC734" s="567"/>
      <c r="DD734" s="567"/>
      <c r="DE734" s="567"/>
      <c r="DF734" s="567"/>
      <c r="DG734" s="567"/>
      <c r="DH734" s="567"/>
      <c r="DI734" s="567"/>
      <c r="DJ734" s="567"/>
      <c r="DK734" s="567"/>
      <c r="DL734" s="567"/>
      <c r="DM734" s="567"/>
      <c r="DN734" s="567"/>
      <c r="DO734" s="567"/>
      <c r="DP734" s="567"/>
      <c r="DQ734" s="567"/>
      <c r="DR734" s="567"/>
      <c r="DS734" s="567"/>
      <c r="DT734" s="567"/>
      <c r="DU734" s="567"/>
      <c r="DV734" s="567"/>
      <c r="DW734" s="567"/>
      <c r="DX734" s="567"/>
      <c r="DY734" s="567"/>
      <c r="DZ734" s="567"/>
      <c r="EA734" s="567"/>
      <c r="EB734" s="567"/>
      <c r="EC734" s="567"/>
      <c r="ED734" s="567"/>
      <c r="EE734" s="567"/>
      <c r="EF734" s="567"/>
      <c r="EG734" s="567"/>
      <c r="EH734" s="567"/>
      <c r="EI734" s="567"/>
      <c r="EJ734" s="567"/>
      <c r="EK734" s="567"/>
      <c r="EL734" s="567"/>
      <c r="EM734" s="567"/>
      <c r="EN734" s="567"/>
      <c r="EO734" s="567"/>
      <c r="EP734" s="567"/>
      <c r="EQ734" s="567"/>
      <c r="ER734" s="567"/>
      <c r="ES734" s="567"/>
      <c r="ET734" s="567"/>
      <c r="EU734" s="567"/>
      <c r="EV734" s="567"/>
      <c r="EW734" s="567"/>
      <c r="EX734" s="567"/>
      <c r="EY734" s="567"/>
      <c r="EZ734" s="567"/>
      <c r="FA734" s="567"/>
      <c r="FB734" s="567"/>
      <c r="FC734" s="567"/>
      <c r="FD734" s="567"/>
      <c r="FE734" s="567"/>
      <c r="FF734" s="567"/>
      <c r="FG734" s="567"/>
      <c r="FH734" s="567"/>
      <c r="FI734" s="567"/>
      <c r="FJ734" s="567"/>
      <c r="FK734" s="567"/>
      <c r="FL734" s="567"/>
      <c r="FM734" s="567"/>
      <c r="FN734" s="567"/>
      <c r="FO734" s="567"/>
      <c r="FP734" s="567"/>
      <c r="FQ734" s="567"/>
      <c r="FR734" s="567"/>
      <c r="FS734" s="567"/>
      <c r="FT734" s="567"/>
      <c r="FU734" s="567"/>
      <c r="FV734" s="567"/>
      <c r="FW734" s="567"/>
      <c r="FX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  <c r="BW735" s="567"/>
      <c r="BX735" s="567"/>
      <c r="BY735" s="567"/>
      <c r="BZ735" s="567"/>
      <c r="CA735" s="567"/>
      <c r="CB735" s="567"/>
      <c r="CC735" s="567"/>
      <c r="CD735" s="567"/>
      <c r="CE735" s="567"/>
      <c r="CF735" s="567"/>
      <c r="CG735" s="567"/>
      <c r="CH735" s="567"/>
      <c r="CI735" s="567"/>
      <c r="CJ735" s="567"/>
      <c r="CK735" s="567"/>
      <c r="CL735" s="567"/>
      <c r="CM735" s="567"/>
      <c r="CN735" s="567"/>
      <c r="CO735" s="567"/>
      <c r="CP735" s="567"/>
      <c r="CQ735" s="567"/>
      <c r="CR735" s="567"/>
      <c r="CS735" s="567"/>
      <c r="CT735" s="567"/>
      <c r="CU735" s="567"/>
      <c r="CV735" s="567"/>
      <c r="CW735" s="567"/>
      <c r="CX735" s="567"/>
      <c r="CY735" s="567"/>
      <c r="CZ735" s="567"/>
      <c r="DA735" s="567"/>
      <c r="DB735" s="567"/>
      <c r="DC735" s="567"/>
      <c r="DD735" s="567"/>
      <c r="DE735" s="567"/>
      <c r="DF735" s="567"/>
      <c r="DG735" s="567"/>
      <c r="DH735" s="567"/>
      <c r="DI735" s="567"/>
      <c r="DJ735" s="567"/>
      <c r="DK735" s="567"/>
      <c r="DL735" s="567"/>
      <c r="DM735" s="567"/>
      <c r="DN735" s="567"/>
      <c r="DO735" s="567"/>
      <c r="DP735" s="567"/>
      <c r="DQ735" s="567"/>
      <c r="DR735" s="567"/>
      <c r="DS735" s="567"/>
      <c r="DT735" s="567"/>
      <c r="DU735" s="567"/>
      <c r="DV735" s="567"/>
      <c r="DW735" s="567"/>
      <c r="DX735" s="567"/>
      <c r="DY735" s="567"/>
      <c r="DZ735" s="567"/>
      <c r="EA735" s="567"/>
      <c r="EB735" s="567"/>
      <c r="EC735" s="567"/>
      <c r="ED735" s="567"/>
      <c r="EE735" s="567"/>
      <c r="EF735" s="567"/>
      <c r="EG735" s="567"/>
      <c r="EH735" s="567"/>
      <c r="EI735" s="567"/>
      <c r="EJ735" s="567"/>
      <c r="EK735" s="567"/>
      <c r="EL735" s="567"/>
      <c r="EM735" s="567"/>
      <c r="EN735" s="567"/>
      <c r="EO735" s="567"/>
      <c r="EP735" s="567"/>
      <c r="EQ735" s="567"/>
      <c r="ER735" s="567"/>
      <c r="ES735" s="567"/>
      <c r="ET735" s="567"/>
      <c r="EU735" s="567"/>
      <c r="EV735" s="567"/>
      <c r="EW735" s="567"/>
      <c r="EX735" s="567"/>
      <c r="EY735" s="567"/>
      <c r="EZ735" s="567"/>
      <c r="FA735" s="567"/>
      <c r="FB735" s="567"/>
      <c r="FC735" s="567"/>
      <c r="FD735" s="567"/>
      <c r="FE735" s="567"/>
      <c r="FF735" s="567"/>
      <c r="FG735" s="567"/>
      <c r="FH735" s="567"/>
      <c r="FI735" s="567"/>
      <c r="FJ735" s="567"/>
      <c r="FK735" s="567"/>
      <c r="FL735" s="567"/>
      <c r="FM735" s="567"/>
      <c r="FN735" s="567"/>
      <c r="FO735" s="567"/>
      <c r="FP735" s="567"/>
      <c r="FQ735" s="567"/>
      <c r="FR735" s="567"/>
      <c r="FS735" s="567"/>
      <c r="FT735" s="567"/>
      <c r="FU735" s="567"/>
      <c r="FV735" s="567"/>
      <c r="FW735" s="567"/>
      <c r="FX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  <c r="BW736" s="567"/>
      <c r="BX736" s="567"/>
      <c r="BY736" s="567"/>
      <c r="BZ736" s="567"/>
      <c r="CA736" s="567"/>
      <c r="CB736" s="567"/>
      <c r="CC736" s="567"/>
      <c r="CD736" s="567"/>
      <c r="CE736" s="567"/>
      <c r="CF736" s="567"/>
      <c r="CG736" s="567"/>
      <c r="CH736" s="567"/>
      <c r="CI736" s="567"/>
      <c r="CJ736" s="567"/>
      <c r="CK736" s="567"/>
      <c r="CL736" s="567"/>
      <c r="CM736" s="567"/>
      <c r="CN736" s="567"/>
      <c r="CO736" s="567"/>
      <c r="CP736" s="567"/>
      <c r="CQ736" s="567"/>
      <c r="CR736" s="567"/>
      <c r="CS736" s="567"/>
      <c r="CT736" s="567"/>
      <c r="CU736" s="567"/>
      <c r="CV736" s="567"/>
      <c r="CW736" s="567"/>
      <c r="CX736" s="567"/>
      <c r="CY736" s="567"/>
      <c r="CZ736" s="567"/>
      <c r="DA736" s="567"/>
      <c r="DB736" s="567"/>
      <c r="DC736" s="567"/>
      <c r="DD736" s="567"/>
      <c r="DE736" s="567"/>
      <c r="DF736" s="567"/>
      <c r="DG736" s="567"/>
      <c r="DH736" s="567"/>
      <c r="DI736" s="567"/>
      <c r="DJ736" s="567"/>
      <c r="DK736" s="567"/>
      <c r="DL736" s="567"/>
      <c r="DM736" s="567"/>
      <c r="DN736" s="567"/>
      <c r="DO736" s="567"/>
      <c r="DP736" s="567"/>
      <c r="DQ736" s="567"/>
      <c r="DR736" s="567"/>
      <c r="DS736" s="567"/>
      <c r="DT736" s="567"/>
      <c r="DU736" s="567"/>
      <c r="DV736" s="567"/>
      <c r="DW736" s="567"/>
      <c r="DX736" s="567"/>
      <c r="DY736" s="567"/>
      <c r="DZ736" s="567"/>
      <c r="EA736" s="567"/>
      <c r="EB736" s="567"/>
      <c r="EC736" s="567"/>
      <c r="ED736" s="567"/>
      <c r="EE736" s="567"/>
      <c r="EF736" s="567"/>
      <c r="EG736" s="567"/>
      <c r="EH736" s="567"/>
      <c r="EI736" s="567"/>
      <c r="EJ736" s="567"/>
      <c r="EK736" s="567"/>
      <c r="EL736" s="567"/>
      <c r="EM736" s="567"/>
      <c r="EN736" s="567"/>
      <c r="EO736" s="567"/>
      <c r="EP736" s="567"/>
      <c r="EQ736" s="567"/>
      <c r="ER736" s="567"/>
      <c r="ES736" s="567"/>
      <c r="ET736" s="567"/>
      <c r="EU736" s="567"/>
      <c r="EV736" s="567"/>
      <c r="EW736" s="567"/>
      <c r="EX736" s="567"/>
      <c r="EY736" s="567"/>
      <c r="EZ736" s="567"/>
      <c r="FA736" s="567"/>
      <c r="FB736" s="567"/>
      <c r="FC736" s="567"/>
      <c r="FD736" s="567"/>
      <c r="FE736" s="567"/>
      <c r="FF736" s="567"/>
      <c r="FG736" s="567"/>
      <c r="FH736" s="567"/>
      <c r="FI736" s="567"/>
      <c r="FJ736" s="567"/>
      <c r="FK736" s="567"/>
      <c r="FL736" s="567"/>
      <c r="FM736" s="567"/>
      <c r="FN736" s="567"/>
      <c r="FO736" s="567"/>
      <c r="FP736" s="567"/>
      <c r="FQ736" s="567"/>
      <c r="FR736" s="567"/>
      <c r="FS736" s="567"/>
      <c r="FT736" s="567"/>
      <c r="FU736" s="567"/>
      <c r="FV736" s="567"/>
      <c r="FW736" s="567"/>
      <c r="FX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  <c r="BW737" s="567"/>
      <c r="BX737" s="567"/>
      <c r="BY737" s="567"/>
      <c r="BZ737" s="567"/>
      <c r="CA737" s="567"/>
      <c r="CB737" s="567"/>
      <c r="CC737" s="567"/>
      <c r="CD737" s="567"/>
      <c r="CE737" s="567"/>
      <c r="CF737" s="567"/>
      <c r="CG737" s="567"/>
      <c r="CH737" s="567"/>
      <c r="CI737" s="567"/>
      <c r="CJ737" s="567"/>
      <c r="CK737" s="567"/>
      <c r="CL737" s="567"/>
      <c r="CM737" s="567"/>
      <c r="CN737" s="567"/>
      <c r="CO737" s="567"/>
      <c r="CP737" s="567"/>
      <c r="CQ737" s="567"/>
      <c r="CR737" s="567"/>
      <c r="CS737" s="567"/>
      <c r="CT737" s="567"/>
      <c r="CU737" s="567"/>
      <c r="CV737" s="567"/>
      <c r="CW737" s="567"/>
      <c r="CX737" s="567"/>
      <c r="CY737" s="567"/>
      <c r="CZ737" s="567"/>
      <c r="DA737" s="567"/>
      <c r="DB737" s="567"/>
      <c r="DC737" s="567"/>
      <c r="DD737" s="567"/>
      <c r="DE737" s="567"/>
      <c r="DF737" s="567"/>
      <c r="DG737" s="567"/>
      <c r="DH737" s="567"/>
      <c r="DI737" s="567"/>
      <c r="DJ737" s="567"/>
      <c r="DK737" s="567"/>
      <c r="DL737" s="567"/>
      <c r="DM737" s="567"/>
      <c r="DN737" s="567"/>
      <c r="DO737" s="567"/>
      <c r="DP737" s="567"/>
      <c r="DQ737" s="567"/>
      <c r="DR737" s="567"/>
      <c r="DS737" s="567"/>
      <c r="DT737" s="567"/>
      <c r="DU737" s="567"/>
      <c r="DV737" s="567"/>
      <c r="DW737" s="567"/>
      <c r="DX737" s="567"/>
      <c r="DY737" s="567"/>
      <c r="DZ737" s="567"/>
      <c r="EA737" s="567"/>
      <c r="EB737" s="567"/>
      <c r="EC737" s="567"/>
      <c r="ED737" s="567"/>
      <c r="EE737" s="567"/>
      <c r="EF737" s="567"/>
      <c r="EG737" s="567"/>
      <c r="EH737" s="567"/>
      <c r="EI737" s="567"/>
      <c r="EJ737" s="567"/>
      <c r="EK737" s="567"/>
      <c r="EL737" s="567"/>
      <c r="EM737" s="567"/>
      <c r="EN737" s="567"/>
      <c r="EO737" s="567"/>
      <c r="EP737" s="567"/>
      <c r="EQ737" s="567"/>
      <c r="ER737" s="567"/>
      <c r="ES737" s="567"/>
      <c r="ET737" s="567"/>
      <c r="EU737" s="567"/>
      <c r="EV737" s="567"/>
      <c r="EW737" s="567"/>
      <c r="EX737" s="567"/>
      <c r="EY737" s="567"/>
      <c r="EZ737" s="567"/>
      <c r="FA737" s="567"/>
      <c r="FB737" s="567"/>
      <c r="FC737" s="567"/>
      <c r="FD737" s="567"/>
      <c r="FE737" s="567"/>
      <c r="FF737" s="567"/>
      <c r="FG737" s="567"/>
      <c r="FH737" s="567"/>
      <c r="FI737" s="567"/>
      <c r="FJ737" s="567"/>
      <c r="FK737" s="567"/>
      <c r="FL737" s="567"/>
      <c r="FM737" s="567"/>
      <c r="FN737" s="567"/>
      <c r="FO737" s="567"/>
      <c r="FP737" s="567"/>
      <c r="FQ737" s="567"/>
      <c r="FR737" s="567"/>
      <c r="FS737" s="567"/>
      <c r="FT737" s="567"/>
      <c r="FU737" s="567"/>
      <c r="FV737" s="567"/>
      <c r="FW737" s="567"/>
      <c r="FX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  <c r="BW738" s="567"/>
      <c r="BX738" s="567"/>
      <c r="BY738" s="567"/>
      <c r="BZ738" s="567"/>
      <c r="CA738" s="567"/>
      <c r="CB738" s="567"/>
      <c r="CC738" s="567"/>
      <c r="CD738" s="567"/>
      <c r="CE738" s="567"/>
      <c r="CF738" s="567"/>
      <c r="CG738" s="567"/>
      <c r="CH738" s="567"/>
      <c r="CI738" s="567"/>
      <c r="CJ738" s="567"/>
      <c r="CK738" s="567"/>
      <c r="CL738" s="567"/>
      <c r="CM738" s="567"/>
      <c r="CN738" s="567"/>
      <c r="CO738" s="567"/>
      <c r="CP738" s="567"/>
      <c r="CQ738" s="567"/>
      <c r="CR738" s="567"/>
      <c r="CS738" s="567"/>
      <c r="CT738" s="567"/>
      <c r="CU738" s="567"/>
      <c r="CV738" s="567"/>
      <c r="CW738" s="567"/>
      <c r="CX738" s="567"/>
      <c r="CY738" s="567"/>
      <c r="CZ738" s="567"/>
      <c r="DA738" s="567"/>
      <c r="DB738" s="567"/>
      <c r="DC738" s="567"/>
      <c r="DD738" s="567"/>
      <c r="DE738" s="567"/>
      <c r="DF738" s="567"/>
      <c r="DG738" s="567"/>
      <c r="DH738" s="567"/>
      <c r="DI738" s="567"/>
      <c r="DJ738" s="567"/>
      <c r="DK738" s="567"/>
      <c r="DL738" s="567"/>
      <c r="DM738" s="567"/>
      <c r="DN738" s="567"/>
      <c r="DO738" s="567"/>
      <c r="DP738" s="567"/>
      <c r="DQ738" s="567"/>
      <c r="DR738" s="567"/>
      <c r="DS738" s="567"/>
      <c r="DT738" s="567"/>
      <c r="DU738" s="567"/>
      <c r="DV738" s="567"/>
      <c r="DW738" s="567"/>
      <c r="DX738" s="567"/>
      <c r="DY738" s="567"/>
      <c r="DZ738" s="567"/>
      <c r="EA738" s="567"/>
      <c r="EB738" s="567"/>
      <c r="EC738" s="567"/>
      <c r="ED738" s="567"/>
      <c r="EE738" s="567"/>
      <c r="EF738" s="567"/>
      <c r="EG738" s="567"/>
      <c r="EH738" s="567"/>
      <c r="EI738" s="567"/>
      <c r="EJ738" s="567"/>
      <c r="EK738" s="567"/>
      <c r="EL738" s="567"/>
      <c r="EM738" s="567"/>
      <c r="EN738" s="567"/>
      <c r="EO738" s="567"/>
      <c r="EP738" s="567"/>
      <c r="EQ738" s="567"/>
      <c r="ER738" s="567"/>
      <c r="ES738" s="567"/>
      <c r="ET738" s="567"/>
      <c r="EU738" s="567"/>
      <c r="EV738" s="567"/>
      <c r="EW738" s="567"/>
      <c r="EX738" s="567"/>
      <c r="EY738" s="567"/>
      <c r="EZ738" s="567"/>
      <c r="FA738" s="567"/>
      <c r="FB738" s="567"/>
      <c r="FC738" s="567"/>
      <c r="FD738" s="567"/>
      <c r="FE738" s="567"/>
      <c r="FF738" s="567"/>
      <c r="FG738" s="567"/>
      <c r="FH738" s="567"/>
      <c r="FI738" s="567"/>
      <c r="FJ738" s="567"/>
      <c r="FK738" s="567"/>
      <c r="FL738" s="567"/>
      <c r="FM738" s="567"/>
      <c r="FN738" s="567"/>
      <c r="FO738" s="567"/>
      <c r="FP738" s="567"/>
      <c r="FQ738" s="567"/>
      <c r="FR738" s="567"/>
      <c r="FS738" s="567"/>
      <c r="FT738" s="567"/>
      <c r="FU738" s="567"/>
      <c r="FV738" s="567"/>
      <c r="FW738" s="567"/>
      <c r="FX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  <c r="BW739" s="567"/>
      <c r="BX739" s="567"/>
      <c r="BY739" s="567"/>
      <c r="BZ739" s="567"/>
      <c r="CA739" s="567"/>
      <c r="CB739" s="567"/>
      <c r="CC739" s="567"/>
      <c r="CD739" s="567"/>
      <c r="CE739" s="567"/>
      <c r="CF739" s="567"/>
      <c r="CG739" s="567"/>
      <c r="CH739" s="567"/>
      <c r="CI739" s="567"/>
      <c r="CJ739" s="567"/>
      <c r="CK739" s="567"/>
      <c r="CL739" s="567"/>
      <c r="CM739" s="567"/>
      <c r="CN739" s="567"/>
      <c r="CO739" s="567"/>
      <c r="CP739" s="567"/>
      <c r="CQ739" s="567"/>
      <c r="CR739" s="567"/>
      <c r="CS739" s="567"/>
      <c r="CT739" s="567"/>
      <c r="CU739" s="567"/>
      <c r="CV739" s="567"/>
      <c r="CW739" s="567"/>
      <c r="CX739" s="567"/>
      <c r="CY739" s="567"/>
      <c r="CZ739" s="567"/>
      <c r="DA739" s="567"/>
      <c r="DB739" s="567"/>
      <c r="DC739" s="567"/>
      <c r="DD739" s="567"/>
      <c r="DE739" s="567"/>
      <c r="DF739" s="567"/>
      <c r="DG739" s="567"/>
      <c r="DH739" s="567"/>
      <c r="DI739" s="567"/>
      <c r="DJ739" s="567"/>
      <c r="DK739" s="567"/>
      <c r="DL739" s="567"/>
      <c r="DM739" s="567"/>
      <c r="DN739" s="567"/>
      <c r="DO739" s="567"/>
      <c r="DP739" s="567"/>
      <c r="DQ739" s="567"/>
      <c r="DR739" s="567"/>
      <c r="DS739" s="567"/>
      <c r="DT739" s="567"/>
      <c r="DU739" s="567"/>
      <c r="DV739" s="567"/>
      <c r="DW739" s="567"/>
      <c r="DX739" s="567"/>
      <c r="DY739" s="567"/>
      <c r="DZ739" s="567"/>
      <c r="EA739" s="567"/>
      <c r="EB739" s="567"/>
      <c r="EC739" s="567"/>
      <c r="ED739" s="567"/>
      <c r="EE739" s="567"/>
      <c r="EF739" s="567"/>
      <c r="EG739" s="567"/>
      <c r="EH739" s="567"/>
      <c r="EI739" s="567"/>
      <c r="EJ739" s="567"/>
      <c r="EK739" s="567"/>
      <c r="EL739" s="567"/>
      <c r="EM739" s="567"/>
      <c r="EN739" s="567"/>
      <c r="EO739" s="567"/>
      <c r="EP739" s="567"/>
      <c r="EQ739" s="567"/>
      <c r="ER739" s="567"/>
      <c r="ES739" s="567"/>
      <c r="ET739" s="567"/>
      <c r="EU739" s="567"/>
      <c r="EV739" s="567"/>
      <c r="EW739" s="567"/>
      <c r="EX739" s="567"/>
      <c r="EY739" s="567"/>
      <c r="EZ739" s="567"/>
      <c r="FA739" s="567"/>
      <c r="FB739" s="567"/>
      <c r="FC739" s="567"/>
      <c r="FD739" s="567"/>
      <c r="FE739" s="567"/>
      <c r="FF739" s="567"/>
      <c r="FG739" s="567"/>
      <c r="FH739" s="567"/>
      <c r="FI739" s="567"/>
      <c r="FJ739" s="567"/>
      <c r="FK739" s="567"/>
      <c r="FL739" s="567"/>
      <c r="FM739" s="567"/>
      <c r="FN739" s="567"/>
      <c r="FO739" s="567"/>
      <c r="FP739" s="567"/>
      <c r="FQ739" s="567"/>
      <c r="FR739" s="567"/>
      <c r="FS739" s="567"/>
      <c r="FT739" s="567"/>
      <c r="FU739" s="567"/>
      <c r="FV739" s="567"/>
      <c r="FW739" s="567"/>
      <c r="FX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  <c r="BW740" s="567"/>
      <c r="BX740" s="567"/>
      <c r="BY740" s="567"/>
      <c r="BZ740" s="567"/>
      <c r="CA740" s="567"/>
      <c r="CB740" s="567"/>
      <c r="CC740" s="567"/>
      <c r="CD740" s="567"/>
      <c r="CE740" s="567"/>
      <c r="CF740" s="567"/>
      <c r="CG740" s="567"/>
      <c r="CH740" s="567"/>
      <c r="CI740" s="567"/>
      <c r="CJ740" s="567"/>
      <c r="CK740" s="567"/>
      <c r="CL740" s="567"/>
      <c r="CM740" s="567"/>
      <c r="CN740" s="567"/>
      <c r="CO740" s="567"/>
      <c r="CP740" s="567"/>
      <c r="CQ740" s="567"/>
      <c r="CR740" s="567"/>
      <c r="CS740" s="567"/>
      <c r="CT740" s="567"/>
      <c r="CU740" s="567"/>
      <c r="CV740" s="567"/>
      <c r="CW740" s="567"/>
      <c r="CX740" s="567"/>
      <c r="CY740" s="567"/>
      <c r="CZ740" s="567"/>
      <c r="DA740" s="567"/>
      <c r="DB740" s="567"/>
      <c r="DC740" s="567"/>
      <c r="DD740" s="567"/>
      <c r="DE740" s="567"/>
      <c r="DF740" s="567"/>
      <c r="DG740" s="567"/>
      <c r="DH740" s="567"/>
      <c r="DI740" s="567"/>
      <c r="DJ740" s="567"/>
      <c r="DK740" s="567"/>
      <c r="DL740" s="567"/>
      <c r="DM740" s="567"/>
      <c r="DN740" s="567"/>
      <c r="DO740" s="567"/>
      <c r="DP740" s="567"/>
      <c r="DQ740" s="567"/>
      <c r="DR740" s="567"/>
      <c r="DS740" s="567"/>
      <c r="DT740" s="567"/>
      <c r="DU740" s="567"/>
      <c r="DV740" s="567"/>
      <c r="DW740" s="567"/>
      <c r="DX740" s="567"/>
      <c r="DY740" s="567"/>
      <c r="DZ740" s="567"/>
      <c r="EA740" s="567"/>
      <c r="EB740" s="567"/>
      <c r="EC740" s="567"/>
      <c r="ED740" s="567"/>
      <c r="EE740" s="567"/>
      <c r="EF740" s="567"/>
      <c r="EG740" s="567"/>
      <c r="EH740" s="567"/>
      <c r="EI740" s="567"/>
      <c r="EJ740" s="567"/>
      <c r="EK740" s="567"/>
      <c r="EL740" s="567"/>
      <c r="EM740" s="567"/>
      <c r="EN740" s="567"/>
      <c r="EO740" s="567"/>
      <c r="EP740" s="567"/>
      <c r="EQ740" s="567"/>
      <c r="ER740" s="567"/>
      <c r="ES740" s="567"/>
      <c r="ET740" s="567"/>
      <c r="EU740" s="567"/>
      <c r="EV740" s="567"/>
      <c r="EW740" s="567"/>
      <c r="EX740" s="567"/>
      <c r="EY740" s="567"/>
      <c r="EZ740" s="567"/>
      <c r="FA740" s="567"/>
      <c r="FB740" s="567"/>
      <c r="FC740" s="567"/>
      <c r="FD740" s="567"/>
      <c r="FE740" s="567"/>
      <c r="FF740" s="567"/>
      <c r="FG740" s="567"/>
      <c r="FH740" s="567"/>
      <c r="FI740" s="567"/>
      <c r="FJ740" s="567"/>
      <c r="FK740" s="567"/>
      <c r="FL740" s="567"/>
      <c r="FM740" s="567"/>
      <c r="FN740" s="567"/>
      <c r="FO740" s="567"/>
      <c r="FP740" s="567"/>
      <c r="FQ740" s="567"/>
      <c r="FR740" s="567"/>
      <c r="FS740" s="567"/>
      <c r="FT740" s="567"/>
      <c r="FU740" s="567"/>
      <c r="FV740" s="567"/>
      <c r="FW740" s="567"/>
      <c r="FX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  <c r="BW741" s="567"/>
      <c r="BX741" s="567"/>
      <c r="BY741" s="567"/>
      <c r="BZ741" s="567"/>
      <c r="CA741" s="567"/>
      <c r="CB741" s="567"/>
      <c r="CC741" s="567"/>
      <c r="CD741" s="567"/>
      <c r="CE741" s="567"/>
      <c r="CF741" s="567"/>
      <c r="CG741" s="567"/>
      <c r="CH741" s="567"/>
      <c r="CI741" s="567"/>
      <c r="CJ741" s="567"/>
      <c r="CK741" s="567"/>
      <c r="CL741" s="567"/>
      <c r="CM741" s="567"/>
      <c r="CN741" s="567"/>
      <c r="CO741" s="567"/>
      <c r="CP741" s="567"/>
      <c r="CQ741" s="567"/>
      <c r="CR741" s="567"/>
      <c r="CS741" s="567"/>
      <c r="CT741" s="567"/>
      <c r="CU741" s="567"/>
      <c r="CV741" s="567"/>
      <c r="CW741" s="567"/>
      <c r="CX741" s="567"/>
      <c r="CY741" s="567"/>
      <c r="CZ741" s="567"/>
      <c r="DA741" s="567"/>
      <c r="DB741" s="567"/>
      <c r="DC741" s="567"/>
      <c r="DD741" s="567"/>
      <c r="DE741" s="567"/>
      <c r="DF741" s="567"/>
      <c r="DG741" s="567"/>
      <c r="DH741" s="567"/>
      <c r="DI741" s="567"/>
      <c r="DJ741" s="567"/>
      <c r="DK741" s="567"/>
      <c r="DL741" s="567"/>
      <c r="DM741" s="567"/>
      <c r="DN741" s="567"/>
      <c r="DO741" s="567"/>
      <c r="DP741" s="567"/>
      <c r="DQ741" s="567"/>
      <c r="DR741" s="567"/>
      <c r="DS741" s="567"/>
      <c r="DT741" s="567"/>
      <c r="DU741" s="567"/>
      <c r="DV741" s="567"/>
      <c r="DW741" s="567"/>
      <c r="DX741" s="567"/>
      <c r="DY741" s="567"/>
      <c r="DZ741" s="567"/>
      <c r="EA741" s="567"/>
      <c r="EB741" s="567"/>
      <c r="EC741" s="567"/>
      <c r="ED741" s="567"/>
      <c r="EE741" s="567"/>
      <c r="EF741" s="567"/>
      <c r="EG741" s="567"/>
      <c r="EH741" s="567"/>
      <c r="EI741" s="567"/>
      <c r="EJ741" s="567"/>
      <c r="EK741" s="567"/>
      <c r="EL741" s="567"/>
      <c r="EM741" s="567"/>
      <c r="EN741" s="567"/>
      <c r="EO741" s="567"/>
      <c r="EP741" s="567"/>
      <c r="EQ741" s="567"/>
      <c r="ER741" s="567"/>
      <c r="ES741" s="567"/>
      <c r="ET741" s="567"/>
      <c r="EU741" s="567"/>
      <c r="EV741" s="567"/>
      <c r="EW741" s="567"/>
      <c r="EX741" s="567"/>
      <c r="EY741" s="567"/>
      <c r="EZ741" s="567"/>
      <c r="FA741" s="567"/>
      <c r="FB741" s="567"/>
      <c r="FC741" s="567"/>
      <c r="FD741" s="567"/>
      <c r="FE741" s="567"/>
      <c r="FF741" s="567"/>
      <c r="FG741" s="567"/>
      <c r="FH741" s="567"/>
      <c r="FI741" s="567"/>
      <c r="FJ741" s="567"/>
      <c r="FK741" s="567"/>
      <c r="FL741" s="567"/>
      <c r="FM741" s="567"/>
      <c r="FN741" s="567"/>
      <c r="FO741" s="567"/>
      <c r="FP741" s="567"/>
      <c r="FQ741" s="567"/>
      <c r="FR741" s="567"/>
      <c r="FS741" s="567"/>
      <c r="FT741" s="567"/>
      <c r="FU741" s="567"/>
      <c r="FV741" s="567"/>
      <c r="FW741" s="567"/>
      <c r="FX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  <c r="BW742" s="567"/>
      <c r="BX742" s="567"/>
      <c r="BY742" s="567"/>
      <c r="BZ742" s="567"/>
      <c r="CA742" s="567"/>
      <c r="CB742" s="567"/>
      <c r="CC742" s="567"/>
      <c r="CD742" s="567"/>
      <c r="CE742" s="567"/>
      <c r="CF742" s="567"/>
      <c r="CG742" s="567"/>
      <c r="CH742" s="567"/>
      <c r="CI742" s="567"/>
      <c r="CJ742" s="567"/>
      <c r="CK742" s="567"/>
      <c r="CL742" s="567"/>
      <c r="CM742" s="567"/>
      <c r="CN742" s="567"/>
      <c r="CO742" s="567"/>
      <c r="CP742" s="567"/>
      <c r="CQ742" s="567"/>
      <c r="CR742" s="567"/>
      <c r="CS742" s="567"/>
      <c r="CT742" s="567"/>
      <c r="CU742" s="567"/>
      <c r="CV742" s="567"/>
      <c r="CW742" s="567"/>
      <c r="CX742" s="567"/>
      <c r="CY742" s="567"/>
      <c r="CZ742" s="567"/>
      <c r="DA742" s="567"/>
      <c r="DB742" s="567"/>
      <c r="DC742" s="567"/>
      <c r="DD742" s="567"/>
      <c r="DE742" s="567"/>
      <c r="DF742" s="567"/>
      <c r="DG742" s="567"/>
      <c r="DH742" s="567"/>
      <c r="DI742" s="567"/>
      <c r="DJ742" s="567"/>
      <c r="DK742" s="567"/>
      <c r="DL742" s="567"/>
      <c r="DM742" s="567"/>
      <c r="DN742" s="567"/>
      <c r="DO742" s="567"/>
      <c r="DP742" s="567"/>
      <c r="DQ742" s="567"/>
      <c r="DR742" s="567"/>
      <c r="DS742" s="567"/>
      <c r="DT742" s="567"/>
      <c r="DU742" s="567"/>
      <c r="DV742" s="567"/>
      <c r="DW742" s="567"/>
      <c r="DX742" s="567"/>
      <c r="DY742" s="567"/>
      <c r="DZ742" s="567"/>
      <c r="EA742" s="567"/>
      <c r="EB742" s="567"/>
      <c r="EC742" s="567"/>
      <c r="ED742" s="567"/>
      <c r="EE742" s="567"/>
      <c r="EF742" s="567"/>
      <c r="EG742" s="567"/>
      <c r="EH742" s="567"/>
      <c r="EI742" s="567"/>
      <c r="EJ742" s="567"/>
      <c r="EK742" s="567"/>
      <c r="EL742" s="567"/>
      <c r="EM742" s="567"/>
      <c r="EN742" s="567"/>
      <c r="EO742" s="567"/>
      <c r="EP742" s="567"/>
      <c r="EQ742" s="567"/>
      <c r="ER742" s="567"/>
      <c r="ES742" s="567"/>
      <c r="ET742" s="567"/>
      <c r="EU742" s="567"/>
      <c r="EV742" s="567"/>
      <c r="EW742" s="567"/>
      <c r="EX742" s="567"/>
      <c r="EY742" s="567"/>
      <c r="EZ742" s="567"/>
      <c r="FA742" s="567"/>
      <c r="FB742" s="567"/>
      <c r="FC742" s="567"/>
      <c r="FD742" s="567"/>
      <c r="FE742" s="567"/>
      <c r="FF742" s="567"/>
      <c r="FG742" s="567"/>
      <c r="FH742" s="567"/>
      <c r="FI742" s="567"/>
      <c r="FJ742" s="567"/>
      <c r="FK742" s="567"/>
      <c r="FL742" s="567"/>
      <c r="FM742" s="567"/>
      <c r="FN742" s="567"/>
      <c r="FO742" s="567"/>
      <c r="FP742" s="567"/>
      <c r="FQ742" s="567"/>
      <c r="FR742" s="567"/>
      <c r="FS742" s="567"/>
      <c r="FT742" s="567"/>
      <c r="FU742" s="567"/>
      <c r="FV742" s="567"/>
      <c r="FW742" s="567"/>
      <c r="FX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  <c r="BW743" s="567"/>
      <c r="BX743" s="567"/>
      <c r="BY743" s="567"/>
      <c r="BZ743" s="567"/>
      <c r="CA743" s="567"/>
      <c r="CB743" s="567"/>
      <c r="CC743" s="567"/>
      <c r="CD743" s="567"/>
      <c r="CE743" s="567"/>
      <c r="CF743" s="567"/>
      <c r="CG743" s="567"/>
      <c r="CH743" s="567"/>
      <c r="CI743" s="567"/>
      <c r="CJ743" s="567"/>
      <c r="CK743" s="567"/>
      <c r="CL743" s="567"/>
      <c r="CM743" s="567"/>
      <c r="CN743" s="567"/>
      <c r="CO743" s="567"/>
      <c r="CP743" s="567"/>
      <c r="CQ743" s="567"/>
      <c r="CR743" s="567"/>
      <c r="CS743" s="567"/>
      <c r="CT743" s="567"/>
      <c r="CU743" s="567"/>
      <c r="CV743" s="567"/>
      <c r="CW743" s="567"/>
      <c r="CX743" s="567"/>
      <c r="CY743" s="567"/>
      <c r="CZ743" s="567"/>
      <c r="DA743" s="567"/>
      <c r="DB743" s="567"/>
      <c r="DC743" s="567"/>
      <c r="DD743" s="567"/>
      <c r="DE743" s="567"/>
      <c r="DF743" s="567"/>
      <c r="DG743" s="567"/>
      <c r="DH743" s="567"/>
      <c r="DI743" s="567"/>
      <c r="DJ743" s="567"/>
      <c r="DK743" s="567"/>
      <c r="DL743" s="567"/>
      <c r="DM743" s="567"/>
      <c r="DN743" s="567"/>
      <c r="DO743" s="567"/>
      <c r="DP743" s="567"/>
      <c r="DQ743" s="567"/>
      <c r="DR743" s="567"/>
      <c r="DS743" s="567"/>
      <c r="DT743" s="567"/>
      <c r="DU743" s="567"/>
      <c r="DV743" s="567"/>
      <c r="DW743" s="567"/>
      <c r="DX743" s="567"/>
      <c r="DY743" s="567"/>
      <c r="DZ743" s="567"/>
      <c r="EA743" s="567"/>
      <c r="EB743" s="567"/>
      <c r="EC743" s="567"/>
      <c r="ED743" s="567"/>
      <c r="EE743" s="567"/>
      <c r="EF743" s="567"/>
      <c r="EG743" s="567"/>
      <c r="EH743" s="567"/>
      <c r="EI743" s="567"/>
      <c r="EJ743" s="567"/>
      <c r="EK743" s="567"/>
      <c r="EL743" s="567"/>
      <c r="EM743" s="567"/>
      <c r="EN743" s="567"/>
      <c r="EO743" s="567"/>
      <c r="EP743" s="567"/>
      <c r="EQ743" s="567"/>
      <c r="ER743" s="567"/>
      <c r="ES743" s="567"/>
      <c r="ET743" s="567"/>
      <c r="EU743" s="567"/>
      <c r="EV743" s="567"/>
      <c r="EW743" s="567"/>
      <c r="EX743" s="567"/>
      <c r="EY743" s="567"/>
      <c r="EZ743" s="567"/>
      <c r="FA743" s="567"/>
      <c r="FB743" s="567"/>
      <c r="FC743" s="567"/>
      <c r="FD743" s="567"/>
      <c r="FE743" s="567"/>
      <c r="FF743" s="567"/>
      <c r="FG743" s="567"/>
      <c r="FH743" s="567"/>
      <c r="FI743" s="567"/>
      <c r="FJ743" s="567"/>
      <c r="FK743" s="567"/>
      <c r="FL743" s="567"/>
      <c r="FM743" s="567"/>
      <c r="FN743" s="567"/>
      <c r="FO743" s="567"/>
      <c r="FP743" s="567"/>
      <c r="FQ743" s="567"/>
      <c r="FR743" s="567"/>
      <c r="FS743" s="567"/>
      <c r="FT743" s="567"/>
      <c r="FU743" s="567"/>
      <c r="FV743" s="567"/>
      <c r="FW743" s="567"/>
      <c r="FX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  <c r="BW744" s="567"/>
      <c r="BX744" s="567"/>
      <c r="BY744" s="567"/>
      <c r="BZ744" s="567"/>
      <c r="CA744" s="567"/>
      <c r="CB744" s="567"/>
      <c r="CC744" s="567"/>
      <c r="CD744" s="567"/>
      <c r="CE744" s="567"/>
      <c r="CF744" s="567"/>
      <c r="CG744" s="567"/>
      <c r="CH744" s="567"/>
      <c r="CI744" s="567"/>
      <c r="CJ744" s="567"/>
      <c r="CK744" s="567"/>
      <c r="CL744" s="567"/>
      <c r="CM744" s="567"/>
      <c r="CN744" s="567"/>
      <c r="CO744" s="567"/>
      <c r="CP744" s="567"/>
      <c r="CQ744" s="567"/>
      <c r="CR744" s="567"/>
      <c r="CS744" s="567"/>
      <c r="CT744" s="567"/>
      <c r="CU744" s="567"/>
      <c r="CV744" s="567"/>
      <c r="CW744" s="567"/>
      <c r="CX744" s="567"/>
      <c r="CY744" s="567"/>
      <c r="CZ744" s="567"/>
      <c r="DA744" s="567"/>
      <c r="DB744" s="567"/>
      <c r="DC744" s="567"/>
      <c r="DD744" s="567"/>
      <c r="DE744" s="567"/>
      <c r="DF744" s="567"/>
      <c r="DG744" s="567"/>
      <c r="DH744" s="567"/>
      <c r="DI744" s="567"/>
      <c r="DJ744" s="567"/>
      <c r="DK744" s="567"/>
      <c r="DL744" s="567"/>
      <c r="DM744" s="567"/>
      <c r="DN744" s="567"/>
      <c r="DO744" s="567"/>
      <c r="DP744" s="567"/>
      <c r="DQ744" s="567"/>
      <c r="DR744" s="567"/>
      <c r="DS744" s="567"/>
      <c r="DT744" s="567"/>
      <c r="DU744" s="567"/>
      <c r="DV744" s="567"/>
      <c r="DW744" s="567"/>
      <c r="DX744" s="567"/>
      <c r="DY744" s="567"/>
      <c r="DZ744" s="567"/>
      <c r="EA744" s="567"/>
      <c r="EB744" s="567"/>
      <c r="EC744" s="567"/>
      <c r="ED744" s="567"/>
      <c r="EE744" s="567"/>
      <c r="EF744" s="567"/>
      <c r="EG744" s="567"/>
      <c r="EH744" s="567"/>
      <c r="EI744" s="567"/>
      <c r="EJ744" s="567"/>
      <c r="EK744" s="567"/>
      <c r="EL744" s="567"/>
      <c r="EM744" s="567"/>
      <c r="EN744" s="567"/>
      <c r="EO744" s="567"/>
      <c r="EP744" s="567"/>
      <c r="EQ744" s="567"/>
      <c r="ER744" s="567"/>
      <c r="ES744" s="567"/>
      <c r="ET744" s="567"/>
      <c r="EU744" s="567"/>
      <c r="EV744" s="567"/>
      <c r="EW744" s="567"/>
      <c r="EX744" s="567"/>
      <c r="EY744" s="567"/>
      <c r="EZ744" s="567"/>
      <c r="FA744" s="567"/>
      <c r="FB744" s="567"/>
      <c r="FC744" s="567"/>
      <c r="FD744" s="567"/>
      <c r="FE744" s="567"/>
      <c r="FF744" s="567"/>
      <c r="FG744" s="567"/>
      <c r="FH744" s="567"/>
      <c r="FI744" s="567"/>
      <c r="FJ744" s="567"/>
      <c r="FK744" s="567"/>
      <c r="FL744" s="567"/>
      <c r="FM744" s="567"/>
      <c r="FN744" s="567"/>
      <c r="FO744" s="567"/>
      <c r="FP744" s="567"/>
      <c r="FQ744" s="567"/>
      <c r="FR744" s="567"/>
      <c r="FS744" s="567"/>
      <c r="FT744" s="567"/>
      <c r="FU744" s="567"/>
      <c r="FV744" s="567"/>
      <c r="FW744" s="567"/>
      <c r="FX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  <c r="BW745" s="567"/>
      <c r="BX745" s="567"/>
      <c r="BY745" s="567"/>
      <c r="BZ745" s="567"/>
      <c r="CA745" s="567"/>
      <c r="CB745" s="567"/>
      <c r="CC745" s="567"/>
      <c r="CD745" s="567"/>
      <c r="CE745" s="567"/>
      <c r="CF745" s="567"/>
      <c r="CG745" s="567"/>
      <c r="CH745" s="567"/>
      <c r="CI745" s="567"/>
      <c r="CJ745" s="567"/>
      <c r="CK745" s="567"/>
      <c r="CL745" s="567"/>
      <c r="CM745" s="567"/>
      <c r="CN745" s="567"/>
      <c r="CO745" s="567"/>
      <c r="CP745" s="567"/>
      <c r="CQ745" s="567"/>
      <c r="CR745" s="567"/>
      <c r="CS745" s="567"/>
      <c r="CT745" s="567"/>
      <c r="CU745" s="567"/>
      <c r="CV745" s="567"/>
      <c r="CW745" s="567"/>
      <c r="CX745" s="567"/>
      <c r="CY745" s="567"/>
      <c r="CZ745" s="567"/>
      <c r="DA745" s="567"/>
      <c r="DB745" s="567"/>
      <c r="DC745" s="567"/>
      <c r="DD745" s="567"/>
      <c r="DE745" s="567"/>
      <c r="DF745" s="567"/>
      <c r="DG745" s="567"/>
      <c r="DH745" s="567"/>
      <c r="DI745" s="567"/>
      <c r="DJ745" s="567"/>
      <c r="DK745" s="567"/>
      <c r="DL745" s="567"/>
      <c r="DM745" s="567"/>
      <c r="DN745" s="567"/>
      <c r="DO745" s="567"/>
      <c r="DP745" s="567"/>
      <c r="DQ745" s="567"/>
      <c r="DR745" s="567"/>
      <c r="DS745" s="567"/>
      <c r="DT745" s="567"/>
      <c r="DU745" s="567"/>
      <c r="DV745" s="567"/>
      <c r="DW745" s="567"/>
      <c r="DX745" s="567"/>
      <c r="DY745" s="567"/>
      <c r="DZ745" s="567"/>
      <c r="EA745" s="567"/>
      <c r="EB745" s="567"/>
      <c r="EC745" s="567"/>
      <c r="ED745" s="567"/>
      <c r="EE745" s="567"/>
      <c r="EF745" s="567"/>
      <c r="EG745" s="567"/>
      <c r="EH745" s="567"/>
      <c r="EI745" s="567"/>
      <c r="EJ745" s="567"/>
      <c r="EK745" s="567"/>
      <c r="EL745" s="567"/>
      <c r="EM745" s="567"/>
      <c r="EN745" s="567"/>
      <c r="EO745" s="567"/>
      <c r="EP745" s="567"/>
      <c r="EQ745" s="567"/>
      <c r="ER745" s="567"/>
      <c r="ES745" s="567"/>
      <c r="ET745" s="567"/>
      <c r="EU745" s="567"/>
      <c r="EV745" s="567"/>
      <c r="EW745" s="567"/>
      <c r="EX745" s="567"/>
      <c r="EY745" s="567"/>
      <c r="EZ745" s="567"/>
      <c r="FA745" s="567"/>
      <c r="FB745" s="567"/>
      <c r="FC745" s="567"/>
      <c r="FD745" s="567"/>
      <c r="FE745" s="567"/>
      <c r="FF745" s="567"/>
      <c r="FG745" s="567"/>
      <c r="FH745" s="567"/>
      <c r="FI745" s="567"/>
      <c r="FJ745" s="567"/>
      <c r="FK745" s="567"/>
      <c r="FL745" s="567"/>
      <c r="FM745" s="567"/>
      <c r="FN745" s="567"/>
      <c r="FO745" s="567"/>
      <c r="FP745" s="567"/>
      <c r="FQ745" s="567"/>
      <c r="FR745" s="567"/>
      <c r="FS745" s="567"/>
      <c r="FT745" s="567"/>
      <c r="FU745" s="567"/>
      <c r="FV745" s="567"/>
      <c r="FW745" s="567"/>
      <c r="FX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  <c r="BW746" s="567"/>
      <c r="BX746" s="567"/>
      <c r="BY746" s="567"/>
      <c r="BZ746" s="567"/>
      <c r="CA746" s="567"/>
      <c r="CB746" s="567"/>
      <c r="CC746" s="567"/>
      <c r="CD746" s="567"/>
      <c r="CE746" s="567"/>
      <c r="CF746" s="567"/>
      <c r="CG746" s="567"/>
      <c r="CH746" s="567"/>
      <c r="CI746" s="567"/>
      <c r="CJ746" s="567"/>
      <c r="CK746" s="567"/>
      <c r="CL746" s="567"/>
      <c r="CM746" s="567"/>
      <c r="CN746" s="567"/>
      <c r="CO746" s="567"/>
      <c r="CP746" s="567"/>
      <c r="CQ746" s="567"/>
      <c r="CR746" s="567"/>
      <c r="CS746" s="567"/>
      <c r="CT746" s="567"/>
      <c r="CU746" s="567"/>
      <c r="CV746" s="567"/>
      <c r="CW746" s="567"/>
      <c r="CX746" s="567"/>
      <c r="CY746" s="567"/>
      <c r="CZ746" s="567"/>
      <c r="DA746" s="567"/>
      <c r="DB746" s="567"/>
      <c r="DC746" s="567"/>
      <c r="DD746" s="567"/>
      <c r="DE746" s="567"/>
      <c r="DF746" s="567"/>
      <c r="DG746" s="567"/>
      <c r="DH746" s="567"/>
      <c r="DI746" s="567"/>
      <c r="DJ746" s="567"/>
      <c r="DK746" s="567"/>
      <c r="DL746" s="567"/>
      <c r="DM746" s="567"/>
      <c r="DN746" s="567"/>
      <c r="DO746" s="567"/>
      <c r="DP746" s="567"/>
      <c r="DQ746" s="567"/>
      <c r="DR746" s="567"/>
      <c r="DS746" s="567"/>
      <c r="DT746" s="567"/>
      <c r="DU746" s="567"/>
      <c r="DV746" s="567"/>
      <c r="DW746" s="567"/>
      <c r="DX746" s="567"/>
      <c r="DY746" s="567"/>
      <c r="DZ746" s="567"/>
      <c r="EA746" s="567"/>
      <c r="EB746" s="567"/>
      <c r="EC746" s="567"/>
      <c r="ED746" s="567"/>
      <c r="EE746" s="567"/>
      <c r="EF746" s="567"/>
      <c r="EG746" s="567"/>
      <c r="EH746" s="567"/>
      <c r="EI746" s="567"/>
      <c r="EJ746" s="567"/>
      <c r="EK746" s="567"/>
      <c r="EL746" s="567"/>
      <c r="EM746" s="567"/>
      <c r="EN746" s="567"/>
      <c r="EO746" s="567"/>
      <c r="EP746" s="567"/>
      <c r="EQ746" s="567"/>
      <c r="ER746" s="567"/>
      <c r="ES746" s="567"/>
      <c r="ET746" s="567"/>
      <c r="EU746" s="567"/>
      <c r="EV746" s="567"/>
      <c r="EW746" s="567"/>
      <c r="EX746" s="567"/>
      <c r="EY746" s="567"/>
      <c r="EZ746" s="567"/>
      <c r="FA746" s="567"/>
      <c r="FB746" s="567"/>
      <c r="FC746" s="567"/>
      <c r="FD746" s="567"/>
      <c r="FE746" s="567"/>
      <c r="FF746" s="567"/>
      <c r="FG746" s="567"/>
      <c r="FH746" s="567"/>
      <c r="FI746" s="567"/>
      <c r="FJ746" s="567"/>
      <c r="FK746" s="567"/>
      <c r="FL746" s="567"/>
      <c r="FM746" s="567"/>
      <c r="FN746" s="567"/>
      <c r="FO746" s="567"/>
      <c r="FP746" s="567"/>
      <c r="FQ746" s="567"/>
      <c r="FR746" s="567"/>
      <c r="FS746" s="567"/>
      <c r="FT746" s="567"/>
      <c r="FU746" s="567"/>
      <c r="FV746" s="567"/>
      <c r="FW746" s="567"/>
      <c r="FX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  <c r="BW747" s="567"/>
      <c r="BX747" s="567"/>
      <c r="BY747" s="567"/>
      <c r="BZ747" s="567"/>
      <c r="CA747" s="567"/>
      <c r="CB747" s="567"/>
      <c r="CC747" s="567"/>
      <c r="CD747" s="567"/>
      <c r="CE747" s="567"/>
      <c r="CF747" s="567"/>
      <c r="CG747" s="567"/>
      <c r="CH747" s="567"/>
      <c r="CI747" s="567"/>
      <c r="CJ747" s="567"/>
      <c r="CK747" s="567"/>
      <c r="CL747" s="567"/>
      <c r="CM747" s="567"/>
      <c r="CN747" s="567"/>
      <c r="CO747" s="567"/>
      <c r="CP747" s="567"/>
      <c r="CQ747" s="567"/>
      <c r="CR747" s="567"/>
      <c r="CS747" s="567"/>
      <c r="CT747" s="567"/>
      <c r="CU747" s="567"/>
      <c r="CV747" s="567"/>
      <c r="CW747" s="567"/>
      <c r="CX747" s="567"/>
      <c r="CY747" s="567"/>
      <c r="CZ747" s="567"/>
      <c r="DA747" s="567"/>
      <c r="DB747" s="567"/>
      <c r="DC747" s="567"/>
      <c r="DD747" s="567"/>
      <c r="DE747" s="567"/>
      <c r="DF747" s="567"/>
      <c r="DG747" s="567"/>
      <c r="DH747" s="567"/>
      <c r="DI747" s="567"/>
      <c r="DJ747" s="567"/>
      <c r="DK747" s="567"/>
      <c r="DL747" s="567"/>
      <c r="DM747" s="567"/>
      <c r="DN747" s="567"/>
      <c r="DO747" s="567"/>
      <c r="DP747" s="567"/>
      <c r="DQ747" s="567"/>
      <c r="DR747" s="567"/>
      <c r="DS747" s="567"/>
      <c r="DT747" s="567"/>
      <c r="DU747" s="567"/>
      <c r="DV747" s="567"/>
      <c r="DW747" s="567"/>
      <c r="DX747" s="567"/>
      <c r="DY747" s="567"/>
      <c r="DZ747" s="567"/>
      <c r="EA747" s="567"/>
      <c r="EB747" s="567"/>
      <c r="EC747" s="567"/>
      <c r="ED747" s="567"/>
      <c r="EE747" s="567"/>
      <c r="EF747" s="567"/>
      <c r="EG747" s="567"/>
      <c r="EH747" s="567"/>
      <c r="EI747" s="567"/>
      <c r="EJ747" s="567"/>
      <c r="EK747" s="567"/>
      <c r="EL747" s="567"/>
      <c r="EM747" s="567"/>
      <c r="EN747" s="567"/>
      <c r="EO747" s="567"/>
      <c r="EP747" s="567"/>
      <c r="EQ747" s="567"/>
      <c r="ER747" s="567"/>
      <c r="ES747" s="567"/>
      <c r="ET747" s="567"/>
      <c r="EU747" s="567"/>
      <c r="EV747" s="567"/>
      <c r="EW747" s="567"/>
      <c r="EX747" s="567"/>
      <c r="EY747" s="567"/>
      <c r="EZ747" s="567"/>
      <c r="FA747" s="567"/>
      <c r="FB747" s="567"/>
      <c r="FC747" s="567"/>
      <c r="FD747" s="567"/>
      <c r="FE747" s="567"/>
      <c r="FF747" s="567"/>
      <c r="FG747" s="567"/>
      <c r="FH747" s="567"/>
      <c r="FI747" s="567"/>
      <c r="FJ747" s="567"/>
      <c r="FK747" s="567"/>
      <c r="FL747" s="567"/>
      <c r="FM747" s="567"/>
      <c r="FN747" s="567"/>
      <c r="FO747" s="567"/>
      <c r="FP747" s="567"/>
      <c r="FQ747" s="567"/>
      <c r="FR747" s="567"/>
      <c r="FS747" s="567"/>
      <c r="FT747" s="567"/>
      <c r="FU747" s="567"/>
      <c r="FV747" s="567"/>
      <c r="FW747" s="567"/>
      <c r="FX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  <c r="BW748" s="567"/>
      <c r="BX748" s="567"/>
      <c r="BY748" s="567"/>
      <c r="BZ748" s="567"/>
      <c r="CA748" s="567"/>
      <c r="CB748" s="567"/>
      <c r="CC748" s="567"/>
      <c r="CD748" s="567"/>
      <c r="CE748" s="567"/>
      <c r="CF748" s="567"/>
      <c r="CG748" s="567"/>
      <c r="CH748" s="567"/>
      <c r="CI748" s="567"/>
      <c r="CJ748" s="567"/>
      <c r="CK748" s="567"/>
      <c r="CL748" s="567"/>
      <c r="CM748" s="567"/>
      <c r="CN748" s="567"/>
      <c r="CO748" s="567"/>
      <c r="CP748" s="567"/>
      <c r="CQ748" s="567"/>
      <c r="CR748" s="567"/>
      <c r="CS748" s="567"/>
      <c r="CT748" s="567"/>
      <c r="CU748" s="567"/>
      <c r="CV748" s="567"/>
      <c r="CW748" s="567"/>
      <c r="CX748" s="567"/>
      <c r="CY748" s="567"/>
      <c r="CZ748" s="567"/>
      <c r="DA748" s="567"/>
      <c r="DB748" s="567"/>
      <c r="DC748" s="567"/>
      <c r="DD748" s="567"/>
      <c r="DE748" s="567"/>
      <c r="DF748" s="567"/>
      <c r="DG748" s="567"/>
      <c r="DH748" s="567"/>
      <c r="DI748" s="567"/>
      <c r="DJ748" s="567"/>
      <c r="DK748" s="567"/>
      <c r="DL748" s="567"/>
      <c r="DM748" s="567"/>
      <c r="DN748" s="567"/>
      <c r="DO748" s="567"/>
      <c r="DP748" s="567"/>
      <c r="DQ748" s="567"/>
      <c r="DR748" s="567"/>
      <c r="DS748" s="567"/>
      <c r="DT748" s="567"/>
      <c r="DU748" s="567"/>
      <c r="DV748" s="567"/>
      <c r="DW748" s="567"/>
      <c r="DX748" s="567"/>
      <c r="DY748" s="567"/>
      <c r="DZ748" s="567"/>
      <c r="EA748" s="567"/>
      <c r="EB748" s="567"/>
      <c r="EC748" s="567"/>
      <c r="ED748" s="567"/>
      <c r="EE748" s="567"/>
      <c r="EF748" s="567"/>
      <c r="EG748" s="567"/>
      <c r="EH748" s="567"/>
      <c r="EI748" s="567"/>
      <c r="EJ748" s="567"/>
      <c r="EK748" s="567"/>
      <c r="EL748" s="567"/>
      <c r="EM748" s="567"/>
      <c r="EN748" s="567"/>
      <c r="EO748" s="567"/>
      <c r="EP748" s="567"/>
      <c r="EQ748" s="567"/>
      <c r="ER748" s="567"/>
      <c r="ES748" s="567"/>
      <c r="ET748" s="567"/>
      <c r="EU748" s="567"/>
      <c r="EV748" s="567"/>
      <c r="EW748" s="567"/>
      <c r="EX748" s="567"/>
      <c r="EY748" s="567"/>
      <c r="EZ748" s="567"/>
      <c r="FA748" s="567"/>
      <c r="FB748" s="567"/>
      <c r="FC748" s="567"/>
      <c r="FD748" s="567"/>
      <c r="FE748" s="567"/>
      <c r="FF748" s="567"/>
      <c r="FG748" s="567"/>
      <c r="FH748" s="567"/>
      <c r="FI748" s="567"/>
      <c r="FJ748" s="567"/>
      <c r="FK748" s="567"/>
      <c r="FL748" s="567"/>
      <c r="FM748" s="567"/>
      <c r="FN748" s="567"/>
      <c r="FO748" s="567"/>
      <c r="FP748" s="567"/>
      <c r="FQ748" s="567"/>
      <c r="FR748" s="567"/>
      <c r="FS748" s="567"/>
      <c r="FT748" s="567"/>
      <c r="FU748" s="567"/>
      <c r="FV748" s="567"/>
      <c r="FW748" s="567"/>
      <c r="FX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  <c r="BW749" s="567"/>
      <c r="BX749" s="567"/>
      <c r="BY749" s="567"/>
      <c r="BZ749" s="567"/>
      <c r="CA749" s="567"/>
      <c r="CB749" s="567"/>
      <c r="CC749" s="567"/>
      <c r="CD749" s="567"/>
      <c r="CE749" s="567"/>
      <c r="CF749" s="567"/>
      <c r="CG749" s="567"/>
      <c r="CH749" s="567"/>
      <c r="CI749" s="567"/>
      <c r="CJ749" s="567"/>
      <c r="CK749" s="567"/>
      <c r="CL749" s="567"/>
      <c r="CM749" s="567"/>
      <c r="CN749" s="567"/>
      <c r="CO749" s="567"/>
      <c r="CP749" s="567"/>
      <c r="CQ749" s="567"/>
      <c r="CR749" s="567"/>
      <c r="CS749" s="567"/>
      <c r="CT749" s="567"/>
      <c r="CU749" s="567"/>
      <c r="CV749" s="567"/>
      <c r="CW749" s="567"/>
      <c r="CX749" s="567"/>
      <c r="CY749" s="567"/>
      <c r="CZ749" s="567"/>
      <c r="DA749" s="567"/>
      <c r="DB749" s="567"/>
      <c r="DC749" s="567"/>
      <c r="DD749" s="567"/>
      <c r="DE749" s="567"/>
      <c r="DF749" s="567"/>
      <c r="DG749" s="567"/>
      <c r="DH749" s="567"/>
      <c r="DI749" s="567"/>
      <c r="DJ749" s="567"/>
      <c r="DK749" s="567"/>
      <c r="DL749" s="567"/>
      <c r="DM749" s="567"/>
      <c r="DN749" s="567"/>
      <c r="DO749" s="567"/>
      <c r="DP749" s="567"/>
      <c r="DQ749" s="567"/>
      <c r="DR749" s="567"/>
      <c r="DS749" s="567"/>
      <c r="DT749" s="567"/>
      <c r="DU749" s="567"/>
      <c r="DV749" s="567"/>
      <c r="DW749" s="567"/>
      <c r="DX749" s="567"/>
      <c r="DY749" s="567"/>
      <c r="DZ749" s="567"/>
      <c r="EA749" s="567"/>
      <c r="EB749" s="567"/>
      <c r="EC749" s="567"/>
      <c r="ED749" s="567"/>
      <c r="EE749" s="567"/>
      <c r="EF749" s="567"/>
      <c r="EG749" s="567"/>
      <c r="EH749" s="567"/>
      <c r="EI749" s="567"/>
      <c r="EJ749" s="567"/>
      <c r="EK749" s="567"/>
      <c r="EL749" s="567"/>
      <c r="EM749" s="567"/>
      <c r="EN749" s="567"/>
      <c r="EO749" s="567"/>
      <c r="EP749" s="567"/>
      <c r="EQ749" s="567"/>
      <c r="ER749" s="567"/>
      <c r="ES749" s="567"/>
      <c r="ET749" s="567"/>
      <c r="EU749" s="567"/>
      <c r="EV749" s="567"/>
      <c r="EW749" s="567"/>
      <c r="EX749" s="567"/>
      <c r="EY749" s="567"/>
      <c r="EZ749" s="567"/>
      <c r="FA749" s="567"/>
      <c r="FB749" s="567"/>
      <c r="FC749" s="567"/>
      <c r="FD749" s="567"/>
      <c r="FE749" s="567"/>
      <c r="FF749" s="567"/>
      <c r="FG749" s="567"/>
      <c r="FH749" s="567"/>
      <c r="FI749" s="567"/>
      <c r="FJ749" s="567"/>
      <c r="FK749" s="567"/>
      <c r="FL749" s="567"/>
      <c r="FM749" s="567"/>
      <c r="FN749" s="567"/>
      <c r="FO749" s="567"/>
      <c r="FP749" s="567"/>
      <c r="FQ749" s="567"/>
      <c r="FR749" s="567"/>
      <c r="FS749" s="567"/>
      <c r="FT749" s="567"/>
      <c r="FU749" s="567"/>
      <c r="FV749" s="567"/>
      <c r="FW749" s="567"/>
      <c r="FX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  <c r="BW750" s="567"/>
      <c r="BX750" s="567"/>
      <c r="BY750" s="567"/>
      <c r="BZ750" s="567"/>
      <c r="CA750" s="567"/>
      <c r="CB750" s="567"/>
      <c r="CC750" s="567"/>
      <c r="CD750" s="567"/>
      <c r="CE750" s="567"/>
      <c r="CF750" s="567"/>
      <c r="CG750" s="567"/>
      <c r="CH750" s="567"/>
      <c r="CI750" s="567"/>
      <c r="CJ750" s="567"/>
      <c r="CK750" s="567"/>
      <c r="CL750" s="567"/>
      <c r="CM750" s="567"/>
      <c r="CN750" s="567"/>
      <c r="CO750" s="567"/>
      <c r="CP750" s="567"/>
      <c r="CQ750" s="567"/>
      <c r="CR750" s="567"/>
      <c r="CS750" s="567"/>
      <c r="CT750" s="567"/>
      <c r="CU750" s="567"/>
      <c r="CV750" s="567"/>
      <c r="CW750" s="567"/>
      <c r="CX750" s="567"/>
      <c r="CY750" s="567"/>
      <c r="CZ750" s="567"/>
      <c r="DA750" s="567"/>
      <c r="DB750" s="567"/>
      <c r="DC750" s="567"/>
      <c r="DD750" s="567"/>
      <c r="DE750" s="567"/>
      <c r="DF750" s="567"/>
      <c r="DG750" s="567"/>
      <c r="DH750" s="567"/>
      <c r="DI750" s="567"/>
      <c r="DJ750" s="567"/>
      <c r="DK750" s="567"/>
      <c r="DL750" s="567"/>
      <c r="DM750" s="567"/>
      <c r="DN750" s="567"/>
      <c r="DO750" s="567"/>
      <c r="DP750" s="567"/>
      <c r="DQ750" s="567"/>
      <c r="DR750" s="567"/>
      <c r="DS750" s="567"/>
      <c r="DT750" s="567"/>
      <c r="DU750" s="567"/>
      <c r="DV750" s="567"/>
      <c r="DW750" s="567"/>
      <c r="DX750" s="567"/>
      <c r="DY750" s="567"/>
      <c r="DZ750" s="567"/>
      <c r="EA750" s="567"/>
      <c r="EB750" s="567"/>
      <c r="EC750" s="567"/>
      <c r="ED750" s="567"/>
      <c r="EE750" s="567"/>
      <c r="EF750" s="567"/>
      <c r="EG750" s="567"/>
      <c r="EH750" s="567"/>
      <c r="EI750" s="567"/>
      <c r="EJ750" s="567"/>
      <c r="EK750" s="567"/>
      <c r="EL750" s="567"/>
      <c r="EM750" s="567"/>
      <c r="EN750" s="567"/>
      <c r="EO750" s="567"/>
      <c r="EP750" s="567"/>
      <c r="EQ750" s="567"/>
      <c r="ER750" s="567"/>
      <c r="ES750" s="567"/>
      <c r="ET750" s="567"/>
      <c r="EU750" s="567"/>
      <c r="EV750" s="567"/>
      <c r="EW750" s="567"/>
      <c r="EX750" s="567"/>
      <c r="EY750" s="567"/>
      <c r="EZ750" s="567"/>
      <c r="FA750" s="567"/>
      <c r="FB750" s="567"/>
      <c r="FC750" s="567"/>
      <c r="FD750" s="567"/>
      <c r="FE750" s="567"/>
      <c r="FF750" s="567"/>
      <c r="FG750" s="567"/>
      <c r="FH750" s="567"/>
      <c r="FI750" s="567"/>
      <c r="FJ750" s="567"/>
      <c r="FK750" s="567"/>
      <c r="FL750" s="567"/>
      <c r="FM750" s="567"/>
      <c r="FN750" s="567"/>
      <c r="FO750" s="567"/>
      <c r="FP750" s="567"/>
      <c r="FQ750" s="567"/>
      <c r="FR750" s="567"/>
      <c r="FS750" s="567"/>
      <c r="FT750" s="567"/>
      <c r="FU750" s="567"/>
      <c r="FV750" s="567"/>
      <c r="FW750" s="567"/>
      <c r="FX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  <c r="BW751" s="567"/>
      <c r="BX751" s="567"/>
      <c r="BY751" s="567"/>
      <c r="BZ751" s="567"/>
      <c r="CA751" s="567"/>
      <c r="CB751" s="567"/>
      <c r="CC751" s="567"/>
      <c r="CD751" s="567"/>
      <c r="CE751" s="567"/>
      <c r="CF751" s="567"/>
      <c r="CG751" s="567"/>
      <c r="CH751" s="567"/>
      <c r="CI751" s="567"/>
      <c r="CJ751" s="567"/>
      <c r="CK751" s="567"/>
      <c r="CL751" s="567"/>
      <c r="CM751" s="567"/>
      <c r="CN751" s="567"/>
      <c r="CO751" s="567"/>
      <c r="CP751" s="567"/>
      <c r="CQ751" s="567"/>
      <c r="CR751" s="567"/>
      <c r="CS751" s="567"/>
      <c r="CT751" s="567"/>
      <c r="CU751" s="567"/>
      <c r="CV751" s="567"/>
      <c r="CW751" s="567"/>
      <c r="CX751" s="567"/>
      <c r="CY751" s="567"/>
      <c r="CZ751" s="567"/>
      <c r="DA751" s="567"/>
      <c r="DB751" s="567"/>
      <c r="DC751" s="567"/>
      <c r="DD751" s="567"/>
      <c r="DE751" s="567"/>
      <c r="DF751" s="567"/>
      <c r="DG751" s="567"/>
      <c r="DH751" s="567"/>
      <c r="DI751" s="567"/>
      <c r="DJ751" s="567"/>
      <c r="DK751" s="567"/>
      <c r="DL751" s="567"/>
      <c r="DM751" s="567"/>
      <c r="DN751" s="567"/>
      <c r="DO751" s="567"/>
      <c r="DP751" s="567"/>
      <c r="DQ751" s="567"/>
      <c r="DR751" s="567"/>
      <c r="DS751" s="567"/>
      <c r="DT751" s="567"/>
      <c r="DU751" s="567"/>
      <c r="DV751" s="567"/>
      <c r="DW751" s="567"/>
      <c r="DX751" s="567"/>
      <c r="DY751" s="567"/>
      <c r="DZ751" s="567"/>
      <c r="EA751" s="567"/>
      <c r="EB751" s="567"/>
      <c r="EC751" s="567"/>
      <c r="ED751" s="567"/>
      <c r="EE751" s="567"/>
      <c r="EF751" s="567"/>
      <c r="EG751" s="567"/>
      <c r="EH751" s="567"/>
      <c r="EI751" s="567"/>
      <c r="EJ751" s="567"/>
      <c r="EK751" s="567"/>
      <c r="EL751" s="567"/>
      <c r="EM751" s="567"/>
      <c r="EN751" s="567"/>
      <c r="EO751" s="567"/>
      <c r="EP751" s="567"/>
      <c r="EQ751" s="567"/>
      <c r="ER751" s="567"/>
      <c r="ES751" s="567"/>
      <c r="ET751" s="567"/>
      <c r="EU751" s="567"/>
      <c r="EV751" s="567"/>
      <c r="EW751" s="567"/>
      <c r="EX751" s="567"/>
      <c r="EY751" s="567"/>
      <c r="EZ751" s="567"/>
      <c r="FA751" s="567"/>
      <c r="FB751" s="567"/>
      <c r="FC751" s="567"/>
      <c r="FD751" s="567"/>
      <c r="FE751" s="567"/>
      <c r="FF751" s="567"/>
      <c r="FG751" s="567"/>
      <c r="FH751" s="567"/>
      <c r="FI751" s="567"/>
      <c r="FJ751" s="567"/>
      <c r="FK751" s="567"/>
      <c r="FL751" s="567"/>
      <c r="FM751" s="567"/>
      <c r="FN751" s="567"/>
      <c r="FO751" s="567"/>
      <c r="FP751" s="567"/>
      <c r="FQ751" s="567"/>
      <c r="FR751" s="567"/>
      <c r="FS751" s="567"/>
      <c r="FT751" s="567"/>
      <c r="FU751" s="567"/>
      <c r="FV751" s="567"/>
      <c r="FW751" s="567"/>
      <c r="FX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  <c r="BW752" s="567"/>
      <c r="BX752" s="567"/>
      <c r="BY752" s="567"/>
      <c r="BZ752" s="567"/>
      <c r="CA752" s="567"/>
      <c r="CB752" s="567"/>
      <c r="CC752" s="567"/>
      <c r="CD752" s="567"/>
      <c r="CE752" s="567"/>
      <c r="CF752" s="567"/>
      <c r="CG752" s="567"/>
      <c r="CH752" s="567"/>
      <c r="CI752" s="567"/>
      <c r="CJ752" s="567"/>
      <c r="CK752" s="567"/>
      <c r="CL752" s="567"/>
      <c r="CM752" s="567"/>
      <c r="CN752" s="567"/>
      <c r="CO752" s="567"/>
      <c r="CP752" s="567"/>
      <c r="CQ752" s="567"/>
      <c r="CR752" s="567"/>
      <c r="CS752" s="567"/>
      <c r="CT752" s="567"/>
      <c r="CU752" s="567"/>
      <c r="CV752" s="567"/>
      <c r="CW752" s="567"/>
      <c r="CX752" s="567"/>
      <c r="CY752" s="567"/>
      <c r="CZ752" s="567"/>
      <c r="DA752" s="567"/>
      <c r="DB752" s="567"/>
      <c r="DC752" s="567"/>
      <c r="DD752" s="567"/>
      <c r="DE752" s="567"/>
      <c r="DF752" s="567"/>
      <c r="DG752" s="567"/>
      <c r="DH752" s="567"/>
      <c r="DI752" s="567"/>
      <c r="DJ752" s="567"/>
      <c r="DK752" s="567"/>
      <c r="DL752" s="567"/>
      <c r="DM752" s="567"/>
      <c r="DN752" s="567"/>
      <c r="DO752" s="567"/>
      <c r="DP752" s="567"/>
      <c r="DQ752" s="567"/>
      <c r="DR752" s="567"/>
      <c r="DS752" s="567"/>
      <c r="DT752" s="567"/>
      <c r="DU752" s="567"/>
      <c r="DV752" s="567"/>
      <c r="DW752" s="567"/>
      <c r="DX752" s="567"/>
      <c r="DY752" s="567"/>
      <c r="DZ752" s="567"/>
      <c r="EA752" s="567"/>
      <c r="EB752" s="567"/>
      <c r="EC752" s="567"/>
      <c r="ED752" s="567"/>
      <c r="EE752" s="567"/>
      <c r="EF752" s="567"/>
      <c r="EG752" s="567"/>
      <c r="EH752" s="567"/>
      <c r="EI752" s="567"/>
      <c r="EJ752" s="567"/>
      <c r="EK752" s="567"/>
      <c r="EL752" s="567"/>
      <c r="EM752" s="567"/>
      <c r="EN752" s="567"/>
      <c r="EO752" s="567"/>
      <c r="EP752" s="567"/>
      <c r="EQ752" s="567"/>
      <c r="ER752" s="567"/>
      <c r="ES752" s="567"/>
      <c r="ET752" s="567"/>
      <c r="EU752" s="567"/>
      <c r="EV752" s="567"/>
      <c r="EW752" s="567"/>
      <c r="EX752" s="567"/>
      <c r="EY752" s="567"/>
      <c r="EZ752" s="567"/>
      <c r="FA752" s="567"/>
      <c r="FB752" s="567"/>
      <c r="FC752" s="567"/>
      <c r="FD752" s="567"/>
      <c r="FE752" s="567"/>
      <c r="FF752" s="567"/>
      <c r="FG752" s="567"/>
      <c r="FH752" s="567"/>
      <c r="FI752" s="567"/>
      <c r="FJ752" s="567"/>
      <c r="FK752" s="567"/>
      <c r="FL752" s="567"/>
      <c r="FM752" s="567"/>
      <c r="FN752" s="567"/>
      <c r="FO752" s="567"/>
      <c r="FP752" s="567"/>
      <c r="FQ752" s="567"/>
      <c r="FR752" s="567"/>
      <c r="FS752" s="567"/>
      <c r="FT752" s="567"/>
      <c r="FU752" s="567"/>
      <c r="FV752" s="567"/>
      <c r="FW752" s="567"/>
      <c r="FX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  <c r="BW753" s="567"/>
      <c r="BX753" s="567"/>
      <c r="BY753" s="567"/>
      <c r="BZ753" s="567"/>
      <c r="CA753" s="567"/>
      <c r="CB753" s="567"/>
      <c r="CC753" s="567"/>
      <c r="CD753" s="567"/>
      <c r="CE753" s="567"/>
      <c r="CF753" s="567"/>
      <c r="CG753" s="567"/>
      <c r="CH753" s="567"/>
      <c r="CI753" s="567"/>
      <c r="CJ753" s="567"/>
      <c r="CK753" s="567"/>
      <c r="CL753" s="567"/>
      <c r="CM753" s="567"/>
      <c r="CN753" s="567"/>
      <c r="CO753" s="567"/>
      <c r="CP753" s="567"/>
      <c r="CQ753" s="567"/>
      <c r="CR753" s="567"/>
      <c r="CS753" s="567"/>
      <c r="CT753" s="567"/>
      <c r="CU753" s="567"/>
      <c r="CV753" s="567"/>
      <c r="CW753" s="567"/>
      <c r="CX753" s="567"/>
      <c r="CY753" s="567"/>
      <c r="CZ753" s="567"/>
      <c r="DA753" s="567"/>
      <c r="DB753" s="567"/>
      <c r="DC753" s="567"/>
      <c r="DD753" s="567"/>
      <c r="DE753" s="567"/>
      <c r="DF753" s="567"/>
      <c r="DG753" s="567"/>
      <c r="DH753" s="567"/>
      <c r="DI753" s="567"/>
      <c r="DJ753" s="567"/>
      <c r="DK753" s="567"/>
      <c r="DL753" s="567"/>
      <c r="DM753" s="567"/>
      <c r="DN753" s="567"/>
      <c r="DO753" s="567"/>
      <c r="DP753" s="567"/>
      <c r="DQ753" s="567"/>
      <c r="DR753" s="567"/>
      <c r="DS753" s="567"/>
      <c r="DT753" s="567"/>
      <c r="DU753" s="567"/>
      <c r="DV753" s="567"/>
      <c r="DW753" s="567"/>
      <c r="DX753" s="567"/>
      <c r="DY753" s="567"/>
      <c r="DZ753" s="567"/>
      <c r="EA753" s="567"/>
      <c r="EB753" s="567"/>
      <c r="EC753" s="567"/>
      <c r="ED753" s="567"/>
      <c r="EE753" s="567"/>
      <c r="EF753" s="567"/>
      <c r="EG753" s="567"/>
      <c r="EH753" s="567"/>
      <c r="EI753" s="567"/>
      <c r="EJ753" s="567"/>
      <c r="EK753" s="567"/>
      <c r="EL753" s="567"/>
      <c r="EM753" s="567"/>
      <c r="EN753" s="567"/>
      <c r="EO753" s="567"/>
      <c r="EP753" s="567"/>
      <c r="EQ753" s="567"/>
      <c r="ER753" s="567"/>
      <c r="ES753" s="567"/>
      <c r="ET753" s="567"/>
      <c r="EU753" s="567"/>
      <c r="EV753" s="567"/>
      <c r="EW753" s="567"/>
      <c r="EX753" s="567"/>
      <c r="EY753" s="567"/>
      <c r="EZ753" s="567"/>
      <c r="FA753" s="567"/>
      <c r="FB753" s="567"/>
      <c r="FC753" s="567"/>
      <c r="FD753" s="567"/>
      <c r="FE753" s="567"/>
      <c r="FF753" s="567"/>
      <c r="FG753" s="567"/>
      <c r="FH753" s="567"/>
      <c r="FI753" s="567"/>
      <c r="FJ753" s="567"/>
      <c r="FK753" s="567"/>
      <c r="FL753" s="567"/>
      <c r="FM753" s="567"/>
      <c r="FN753" s="567"/>
      <c r="FO753" s="567"/>
      <c r="FP753" s="567"/>
      <c r="FQ753" s="567"/>
      <c r="FR753" s="567"/>
      <c r="FS753" s="567"/>
      <c r="FT753" s="567"/>
      <c r="FU753" s="567"/>
      <c r="FV753" s="567"/>
      <c r="FW753" s="567"/>
      <c r="FX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  <c r="BW754" s="567"/>
      <c r="BX754" s="567"/>
      <c r="BY754" s="567"/>
      <c r="BZ754" s="567"/>
      <c r="CA754" s="567"/>
      <c r="CB754" s="567"/>
      <c r="CC754" s="567"/>
      <c r="CD754" s="567"/>
      <c r="CE754" s="567"/>
      <c r="CF754" s="567"/>
      <c r="CG754" s="567"/>
      <c r="CH754" s="567"/>
      <c r="CI754" s="567"/>
      <c r="CJ754" s="567"/>
      <c r="CK754" s="567"/>
      <c r="CL754" s="567"/>
      <c r="CM754" s="567"/>
      <c r="CN754" s="567"/>
      <c r="CO754" s="567"/>
      <c r="CP754" s="567"/>
      <c r="CQ754" s="567"/>
      <c r="CR754" s="567"/>
      <c r="CS754" s="567"/>
      <c r="CT754" s="567"/>
      <c r="CU754" s="567"/>
      <c r="CV754" s="567"/>
      <c r="CW754" s="567"/>
      <c r="CX754" s="567"/>
      <c r="CY754" s="567"/>
      <c r="CZ754" s="567"/>
      <c r="DA754" s="567"/>
      <c r="DB754" s="567"/>
      <c r="DC754" s="567"/>
      <c r="DD754" s="567"/>
      <c r="DE754" s="567"/>
      <c r="DF754" s="567"/>
      <c r="DG754" s="567"/>
      <c r="DH754" s="567"/>
      <c r="DI754" s="567"/>
      <c r="DJ754" s="567"/>
      <c r="DK754" s="567"/>
      <c r="DL754" s="567"/>
      <c r="DM754" s="567"/>
      <c r="DN754" s="567"/>
      <c r="DO754" s="567"/>
      <c r="DP754" s="567"/>
      <c r="DQ754" s="567"/>
      <c r="DR754" s="567"/>
      <c r="DS754" s="567"/>
      <c r="DT754" s="567"/>
      <c r="DU754" s="567"/>
      <c r="DV754" s="567"/>
      <c r="DW754" s="567"/>
      <c r="DX754" s="567"/>
      <c r="DY754" s="567"/>
      <c r="DZ754" s="567"/>
      <c r="EA754" s="567"/>
      <c r="EB754" s="567"/>
      <c r="EC754" s="567"/>
      <c r="ED754" s="567"/>
      <c r="EE754" s="567"/>
      <c r="EF754" s="567"/>
      <c r="EG754" s="567"/>
      <c r="EH754" s="567"/>
      <c r="EI754" s="567"/>
      <c r="EJ754" s="567"/>
      <c r="EK754" s="567"/>
      <c r="EL754" s="567"/>
      <c r="EM754" s="567"/>
      <c r="EN754" s="567"/>
      <c r="EO754" s="567"/>
      <c r="EP754" s="567"/>
      <c r="EQ754" s="567"/>
      <c r="ER754" s="567"/>
      <c r="ES754" s="567"/>
      <c r="ET754" s="567"/>
      <c r="EU754" s="567"/>
      <c r="EV754" s="567"/>
      <c r="EW754" s="567"/>
      <c r="EX754" s="567"/>
      <c r="EY754" s="567"/>
      <c r="EZ754" s="567"/>
      <c r="FA754" s="567"/>
      <c r="FB754" s="567"/>
      <c r="FC754" s="567"/>
      <c r="FD754" s="567"/>
      <c r="FE754" s="567"/>
      <c r="FF754" s="567"/>
      <c r="FG754" s="567"/>
      <c r="FH754" s="567"/>
      <c r="FI754" s="567"/>
      <c r="FJ754" s="567"/>
      <c r="FK754" s="567"/>
      <c r="FL754" s="567"/>
      <c r="FM754" s="567"/>
      <c r="FN754" s="567"/>
      <c r="FO754" s="567"/>
      <c r="FP754" s="567"/>
      <c r="FQ754" s="567"/>
      <c r="FR754" s="567"/>
      <c r="FS754" s="567"/>
      <c r="FT754" s="567"/>
      <c r="FU754" s="567"/>
      <c r="FV754" s="567"/>
      <c r="FW754" s="567"/>
      <c r="FX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  <c r="BW755" s="567"/>
      <c r="BX755" s="567"/>
      <c r="BY755" s="567"/>
      <c r="BZ755" s="567"/>
      <c r="CA755" s="567"/>
      <c r="CB755" s="567"/>
      <c r="CC755" s="567"/>
      <c r="CD755" s="567"/>
      <c r="CE755" s="567"/>
      <c r="CF755" s="567"/>
      <c r="CG755" s="567"/>
      <c r="CH755" s="567"/>
      <c r="CI755" s="567"/>
      <c r="CJ755" s="567"/>
      <c r="CK755" s="567"/>
      <c r="CL755" s="567"/>
      <c r="CM755" s="567"/>
      <c r="CN755" s="567"/>
      <c r="CO755" s="567"/>
      <c r="CP755" s="567"/>
      <c r="CQ755" s="567"/>
      <c r="CR755" s="567"/>
      <c r="CS755" s="567"/>
      <c r="CT755" s="567"/>
      <c r="CU755" s="567"/>
      <c r="CV755" s="567"/>
      <c r="CW755" s="567"/>
      <c r="CX755" s="567"/>
      <c r="CY755" s="567"/>
      <c r="CZ755" s="567"/>
      <c r="DA755" s="567"/>
      <c r="DB755" s="567"/>
      <c r="DC755" s="567"/>
      <c r="DD755" s="567"/>
      <c r="DE755" s="567"/>
      <c r="DF755" s="567"/>
      <c r="DG755" s="567"/>
      <c r="DH755" s="567"/>
      <c r="DI755" s="567"/>
      <c r="DJ755" s="567"/>
      <c r="DK755" s="567"/>
      <c r="DL755" s="567"/>
      <c r="DM755" s="567"/>
      <c r="DN755" s="567"/>
      <c r="DO755" s="567"/>
      <c r="DP755" s="567"/>
      <c r="DQ755" s="567"/>
      <c r="DR755" s="567"/>
      <c r="DS755" s="567"/>
      <c r="DT755" s="567"/>
      <c r="DU755" s="567"/>
      <c r="DV755" s="567"/>
      <c r="DW755" s="567"/>
      <c r="DX755" s="567"/>
      <c r="DY755" s="567"/>
      <c r="DZ755" s="567"/>
      <c r="EA755" s="567"/>
      <c r="EB755" s="567"/>
      <c r="EC755" s="567"/>
      <c r="ED755" s="567"/>
      <c r="EE755" s="567"/>
      <c r="EF755" s="567"/>
      <c r="EG755" s="567"/>
      <c r="EH755" s="567"/>
      <c r="EI755" s="567"/>
      <c r="EJ755" s="567"/>
      <c r="EK755" s="567"/>
      <c r="EL755" s="567"/>
      <c r="EM755" s="567"/>
      <c r="EN755" s="567"/>
      <c r="EO755" s="567"/>
      <c r="EP755" s="567"/>
      <c r="EQ755" s="567"/>
      <c r="ER755" s="567"/>
      <c r="ES755" s="567"/>
      <c r="ET755" s="567"/>
      <c r="EU755" s="567"/>
      <c r="EV755" s="567"/>
      <c r="EW755" s="567"/>
      <c r="EX755" s="567"/>
      <c r="EY755" s="567"/>
      <c r="EZ755" s="567"/>
      <c r="FA755" s="567"/>
      <c r="FB755" s="567"/>
      <c r="FC755" s="567"/>
      <c r="FD755" s="567"/>
      <c r="FE755" s="567"/>
      <c r="FF755" s="567"/>
      <c r="FG755" s="567"/>
      <c r="FH755" s="567"/>
      <c r="FI755" s="567"/>
      <c r="FJ755" s="567"/>
      <c r="FK755" s="567"/>
      <c r="FL755" s="567"/>
      <c r="FM755" s="567"/>
      <c r="FN755" s="567"/>
      <c r="FO755" s="567"/>
      <c r="FP755" s="567"/>
      <c r="FQ755" s="567"/>
      <c r="FR755" s="567"/>
      <c r="FS755" s="567"/>
      <c r="FT755" s="567"/>
      <c r="FU755" s="567"/>
      <c r="FV755" s="567"/>
      <c r="FW755" s="567"/>
      <c r="FX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  <c r="BW756" s="567"/>
      <c r="BX756" s="567"/>
      <c r="BY756" s="567"/>
      <c r="BZ756" s="567"/>
      <c r="CA756" s="567"/>
      <c r="CB756" s="567"/>
      <c r="CC756" s="567"/>
      <c r="CD756" s="567"/>
      <c r="CE756" s="567"/>
      <c r="CF756" s="567"/>
      <c r="CG756" s="567"/>
      <c r="CH756" s="567"/>
      <c r="CI756" s="567"/>
      <c r="CJ756" s="567"/>
      <c r="CK756" s="567"/>
      <c r="CL756" s="567"/>
      <c r="CM756" s="567"/>
      <c r="CN756" s="567"/>
      <c r="CO756" s="567"/>
      <c r="CP756" s="567"/>
      <c r="CQ756" s="567"/>
      <c r="CR756" s="567"/>
      <c r="CS756" s="567"/>
      <c r="CT756" s="567"/>
      <c r="CU756" s="567"/>
      <c r="CV756" s="567"/>
      <c r="CW756" s="567"/>
      <c r="CX756" s="567"/>
      <c r="CY756" s="567"/>
      <c r="CZ756" s="567"/>
      <c r="DA756" s="567"/>
      <c r="DB756" s="567"/>
      <c r="DC756" s="567"/>
      <c r="DD756" s="567"/>
      <c r="DE756" s="567"/>
      <c r="DF756" s="567"/>
      <c r="DG756" s="567"/>
      <c r="DH756" s="567"/>
      <c r="DI756" s="567"/>
      <c r="DJ756" s="567"/>
      <c r="DK756" s="567"/>
      <c r="DL756" s="567"/>
      <c r="DM756" s="567"/>
      <c r="DN756" s="567"/>
      <c r="DO756" s="567"/>
      <c r="DP756" s="567"/>
      <c r="DQ756" s="567"/>
      <c r="DR756" s="567"/>
      <c r="DS756" s="567"/>
      <c r="DT756" s="567"/>
      <c r="DU756" s="567"/>
      <c r="DV756" s="567"/>
      <c r="DW756" s="567"/>
      <c r="DX756" s="567"/>
      <c r="DY756" s="567"/>
      <c r="DZ756" s="567"/>
      <c r="EA756" s="567"/>
      <c r="EB756" s="567"/>
      <c r="EC756" s="567"/>
      <c r="ED756" s="567"/>
      <c r="EE756" s="567"/>
      <c r="EF756" s="567"/>
      <c r="EG756" s="567"/>
      <c r="EH756" s="567"/>
      <c r="EI756" s="567"/>
      <c r="EJ756" s="567"/>
      <c r="EK756" s="567"/>
      <c r="EL756" s="567"/>
      <c r="EM756" s="567"/>
      <c r="EN756" s="567"/>
      <c r="EO756" s="567"/>
      <c r="EP756" s="567"/>
      <c r="EQ756" s="567"/>
      <c r="ER756" s="567"/>
      <c r="ES756" s="567"/>
      <c r="ET756" s="567"/>
      <c r="EU756" s="567"/>
      <c r="EV756" s="567"/>
      <c r="EW756" s="567"/>
      <c r="EX756" s="567"/>
      <c r="EY756" s="567"/>
      <c r="EZ756" s="567"/>
      <c r="FA756" s="567"/>
      <c r="FB756" s="567"/>
      <c r="FC756" s="567"/>
      <c r="FD756" s="567"/>
      <c r="FE756" s="567"/>
      <c r="FF756" s="567"/>
      <c r="FG756" s="567"/>
      <c r="FH756" s="567"/>
      <c r="FI756" s="567"/>
      <c r="FJ756" s="567"/>
      <c r="FK756" s="567"/>
      <c r="FL756" s="567"/>
      <c r="FM756" s="567"/>
      <c r="FN756" s="567"/>
      <c r="FO756" s="567"/>
      <c r="FP756" s="567"/>
      <c r="FQ756" s="567"/>
      <c r="FR756" s="567"/>
      <c r="FS756" s="567"/>
      <c r="FT756" s="567"/>
      <c r="FU756" s="567"/>
      <c r="FV756" s="567"/>
      <c r="FW756" s="567"/>
      <c r="FX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  <c r="BW757" s="567"/>
      <c r="BX757" s="567"/>
      <c r="BY757" s="567"/>
      <c r="BZ757" s="567"/>
      <c r="CA757" s="567"/>
      <c r="CB757" s="567"/>
      <c r="CC757" s="567"/>
      <c r="CD757" s="567"/>
      <c r="CE757" s="567"/>
      <c r="CF757" s="567"/>
      <c r="CG757" s="567"/>
      <c r="CH757" s="567"/>
      <c r="CI757" s="567"/>
      <c r="CJ757" s="567"/>
      <c r="CK757" s="567"/>
      <c r="CL757" s="567"/>
      <c r="CM757" s="567"/>
      <c r="CN757" s="567"/>
      <c r="CO757" s="567"/>
      <c r="CP757" s="567"/>
      <c r="CQ757" s="567"/>
      <c r="CR757" s="567"/>
      <c r="CS757" s="567"/>
      <c r="CT757" s="567"/>
      <c r="CU757" s="567"/>
      <c r="CV757" s="567"/>
      <c r="CW757" s="567"/>
      <c r="CX757" s="567"/>
      <c r="CY757" s="567"/>
      <c r="CZ757" s="567"/>
      <c r="DA757" s="567"/>
      <c r="DB757" s="567"/>
      <c r="DC757" s="567"/>
      <c r="DD757" s="567"/>
      <c r="DE757" s="567"/>
      <c r="DF757" s="567"/>
      <c r="DG757" s="567"/>
      <c r="DH757" s="567"/>
      <c r="DI757" s="567"/>
      <c r="DJ757" s="567"/>
      <c r="DK757" s="567"/>
      <c r="DL757" s="567"/>
      <c r="DM757" s="567"/>
      <c r="DN757" s="567"/>
      <c r="DO757" s="567"/>
      <c r="DP757" s="567"/>
      <c r="DQ757" s="567"/>
      <c r="DR757" s="567"/>
      <c r="DS757" s="567"/>
      <c r="DT757" s="567"/>
      <c r="DU757" s="567"/>
      <c r="DV757" s="567"/>
      <c r="DW757" s="567"/>
      <c r="DX757" s="567"/>
      <c r="DY757" s="567"/>
      <c r="DZ757" s="567"/>
      <c r="EA757" s="567"/>
      <c r="EB757" s="567"/>
      <c r="EC757" s="567"/>
      <c r="ED757" s="567"/>
      <c r="EE757" s="567"/>
      <c r="EF757" s="567"/>
      <c r="EG757" s="567"/>
      <c r="EH757" s="567"/>
      <c r="EI757" s="567"/>
      <c r="EJ757" s="567"/>
      <c r="EK757" s="567"/>
      <c r="EL757" s="567"/>
      <c r="EM757" s="567"/>
      <c r="EN757" s="567"/>
      <c r="EO757" s="567"/>
      <c r="EP757" s="567"/>
      <c r="EQ757" s="567"/>
      <c r="ER757" s="567"/>
      <c r="ES757" s="567"/>
      <c r="ET757" s="567"/>
      <c r="EU757" s="567"/>
      <c r="EV757" s="567"/>
      <c r="EW757" s="567"/>
      <c r="EX757" s="567"/>
      <c r="EY757" s="567"/>
      <c r="EZ757" s="567"/>
      <c r="FA757" s="567"/>
      <c r="FB757" s="567"/>
      <c r="FC757" s="567"/>
      <c r="FD757" s="567"/>
      <c r="FE757" s="567"/>
      <c r="FF757" s="567"/>
      <c r="FG757" s="567"/>
      <c r="FH757" s="567"/>
      <c r="FI757" s="567"/>
      <c r="FJ757" s="567"/>
      <c r="FK757" s="567"/>
      <c r="FL757" s="567"/>
      <c r="FM757" s="567"/>
      <c r="FN757" s="567"/>
      <c r="FO757" s="567"/>
      <c r="FP757" s="567"/>
      <c r="FQ757" s="567"/>
      <c r="FR757" s="567"/>
      <c r="FS757" s="567"/>
      <c r="FT757" s="567"/>
      <c r="FU757" s="567"/>
      <c r="FV757" s="567"/>
      <c r="FW757" s="567"/>
      <c r="FX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  <c r="BW758" s="567"/>
      <c r="BX758" s="567"/>
      <c r="BY758" s="567"/>
      <c r="BZ758" s="567"/>
      <c r="CA758" s="567"/>
      <c r="CB758" s="567"/>
      <c r="CC758" s="567"/>
      <c r="CD758" s="567"/>
      <c r="CE758" s="567"/>
      <c r="CF758" s="567"/>
      <c r="CG758" s="567"/>
      <c r="CH758" s="567"/>
      <c r="CI758" s="567"/>
      <c r="CJ758" s="567"/>
      <c r="CK758" s="567"/>
      <c r="CL758" s="567"/>
      <c r="CM758" s="567"/>
      <c r="CN758" s="567"/>
      <c r="CO758" s="567"/>
      <c r="CP758" s="567"/>
      <c r="CQ758" s="567"/>
      <c r="CR758" s="567"/>
      <c r="CS758" s="567"/>
      <c r="CT758" s="567"/>
      <c r="CU758" s="567"/>
      <c r="CV758" s="567"/>
      <c r="CW758" s="567"/>
      <c r="CX758" s="567"/>
      <c r="CY758" s="567"/>
      <c r="CZ758" s="567"/>
      <c r="DA758" s="567"/>
      <c r="DB758" s="567"/>
      <c r="DC758" s="567"/>
      <c r="DD758" s="567"/>
      <c r="DE758" s="567"/>
      <c r="DF758" s="567"/>
      <c r="DG758" s="567"/>
      <c r="DH758" s="567"/>
      <c r="DI758" s="567"/>
      <c r="DJ758" s="567"/>
      <c r="DK758" s="567"/>
      <c r="DL758" s="567"/>
      <c r="DM758" s="567"/>
      <c r="DN758" s="567"/>
      <c r="DO758" s="567"/>
      <c r="DP758" s="567"/>
      <c r="DQ758" s="567"/>
      <c r="DR758" s="567"/>
      <c r="DS758" s="567"/>
      <c r="DT758" s="567"/>
      <c r="DU758" s="567"/>
      <c r="DV758" s="567"/>
      <c r="DW758" s="567"/>
      <c r="DX758" s="567"/>
      <c r="DY758" s="567"/>
      <c r="DZ758" s="567"/>
      <c r="EA758" s="567"/>
      <c r="EB758" s="567"/>
      <c r="EC758" s="567"/>
      <c r="ED758" s="567"/>
      <c r="EE758" s="567"/>
      <c r="EF758" s="567"/>
      <c r="EG758" s="567"/>
      <c r="EH758" s="567"/>
      <c r="EI758" s="567"/>
      <c r="EJ758" s="567"/>
      <c r="EK758" s="567"/>
      <c r="EL758" s="567"/>
      <c r="EM758" s="567"/>
      <c r="EN758" s="567"/>
      <c r="EO758" s="567"/>
      <c r="EP758" s="567"/>
      <c r="EQ758" s="567"/>
      <c r="ER758" s="567"/>
      <c r="ES758" s="567"/>
      <c r="ET758" s="567"/>
      <c r="EU758" s="567"/>
      <c r="EV758" s="567"/>
      <c r="EW758" s="567"/>
      <c r="EX758" s="567"/>
      <c r="EY758" s="567"/>
      <c r="EZ758" s="567"/>
      <c r="FA758" s="567"/>
      <c r="FB758" s="567"/>
      <c r="FC758" s="567"/>
      <c r="FD758" s="567"/>
      <c r="FE758" s="567"/>
      <c r="FF758" s="567"/>
      <c r="FG758" s="567"/>
      <c r="FH758" s="567"/>
      <c r="FI758" s="567"/>
      <c r="FJ758" s="567"/>
      <c r="FK758" s="567"/>
      <c r="FL758" s="567"/>
      <c r="FM758" s="567"/>
      <c r="FN758" s="567"/>
      <c r="FO758" s="567"/>
      <c r="FP758" s="567"/>
      <c r="FQ758" s="567"/>
      <c r="FR758" s="567"/>
      <c r="FS758" s="567"/>
      <c r="FT758" s="567"/>
      <c r="FU758" s="567"/>
      <c r="FV758" s="567"/>
      <c r="FW758" s="567"/>
      <c r="FX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  <c r="BW759" s="567"/>
      <c r="BX759" s="567"/>
      <c r="BY759" s="567"/>
      <c r="BZ759" s="567"/>
      <c r="CA759" s="567"/>
      <c r="CB759" s="567"/>
      <c r="CC759" s="567"/>
      <c r="CD759" s="567"/>
      <c r="CE759" s="567"/>
      <c r="CF759" s="567"/>
      <c r="CG759" s="567"/>
      <c r="CH759" s="567"/>
      <c r="CI759" s="567"/>
      <c r="CJ759" s="567"/>
      <c r="CK759" s="567"/>
      <c r="CL759" s="567"/>
      <c r="CM759" s="567"/>
      <c r="CN759" s="567"/>
      <c r="CO759" s="567"/>
      <c r="CP759" s="567"/>
      <c r="CQ759" s="567"/>
      <c r="CR759" s="567"/>
      <c r="CS759" s="567"/>
      <c r="CT759" s="567"/>
      <c r="CU759" s="567"/>
      <c r="CV759" s="567"/>
      <c r="CW759" s="567"/>
      <c r="CX759" s="567"/>
      <c r="CY759" s="567"/>
      <c r="CZ759" s="567"/>
      <c r="DA759" s="567"/>
      <c r="DB759" s="567"/>
      <c r="DC759" s="567"/>
      <c r="DD759" s="567"/>
      <c r="DE759" s="567"/>
      <c r="DF759" s="567"/>
      <c r="DG759" s="567"/>
      <c r="DH759" s="567"/>
      <c r="DI759" s="567"/>
      <c r="DJ759" s="567"/>
      <c r="DK759" s="567"/>
      <c r="DL759" s="567"/>
      <c r="DM759" s="567"/>
      <c r="DN759" s="567"/>
      <c r="DO759" s="567"/>
      <c r="DP759" s="567"/>
      <c r="DQ759" s="567"/>
      <c r="DR759" s="567"/>
      <c r="DS759" s="567"/>
      <c r="DT759" s="567"/>
      <c r="DU759" s="567"/>
      <c r="DV759" s="567"/>
      <c r="DW759" s="567"/>
      <c r="DX759" s="567"/>
      <c r="DY759" s="567"/>
      <c r="DZ759" s="567"/>
      <c r="EA759" s="567"/>
      <c r="EB759" s="567"/>
      <c r="EC759" s="567"/>
      <c r="ED759" s="567"/>
      <c r="EE759" s="567"/>
      <c r="EF759" s="567"/>
      <c r="EG759" s="567"/>
      <c r="EH759" s="567"/>
      <c r="EI759" s="567"/>
      <c r="EJ759" s="567"/>
      <c r="EK759" s="567"/>
      <c r="EL759" s="567"/>
      <c r="EM759" s="567"/>
      <c r="EN759" s="567"/>
      <c r="EO759" s="567"/>
      <c r="EP759" s="567"/>
      <c r="EQ759" s="567"/>
      <c r="ER759" s="567"/>
      <c r="ES759" s="567"/>
      <c r="ET759" s="567"/>
      <c r="EU759" s="567"/>
      <c r="EV759" s="567"/>
      <c r="EW759" s="567"/>
      <c r="EX759" s="567"/>
      <c r="EY759" s="567"/>
      <c r="EZ759" s="567"/>
      <c r="FA759" s="567"/>
      <c r="FB759" s="567"/>
      <c r="FC759" s="567"/>
      <c r="FD759" s="567"/>
      <c r="FE759" s="567"/>
      <c r="FF759" s="567"/>
      <c r="FG759" s="567"/>
      <c r="FH759" s="567"/>
      <c r="FI759" s="567"/>
      <c r="FJ759" s="567"/>
      <c r="FK759" s="567"/>
      <c r="FL759" s="567"/>
      <c r="FM759" s="567"/>
      <c r="FN759" s="567"/>
      <c r="FO759" s="567"/>
      <c r="FP759" s="567"/>
      <c r="FQ759" s="567"/>
      <c r="FR759" s="567"/>
      <c r="FS759" s="567"/>
      <c r="FT759" s="567"/>
      <c r="FU759" s="567"/>
      <c r="FV759" s="567"/>
      <c r="FW759" s="567"/>
      <c r="FX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  <c r="BW760" s="567"/>
      <c r="BX760" s="567"/>
      <c r="BY760" s="567"/>
      <c r="BZ760" s="567"/>
      <c r="CA760" s="567"/>
      <c r="CB760" s="567"/>
      <c r="CC760" s="567"/>
      <c r="CD760" s="567"/>
      <c r="CE760" s="567"/>
      <c r="CF760" s="567"/>
      <c r="CG760" s="567"/>
      <c r="CH760" s="567"/>
      <c r="CI760" s="567"/>
      <c r="CJ760" s="567"/>
      <c r="CK760" s="567"/>
      <c r="CL760" s="567"/>
      <c r="CM760" s="567"/>
      <c r="CN760" s="567"/>
      <c r="CO760" s="567"/>
      <c r="CP760" s="567"/>
      <c r="CQ760" s="567"/>
      <c r="CR760" s="567"/>
      <c r="CS760" s="567"/>
      <c r="CT760" s="567"/>
      <c r="CU760" s="567"/>
      <c r="CV760" s="567"/>
      <c r="CW760" s="567"/>
      <c r="CX760" s="567"/>
      <c r="CY760" s="567"/>
      <c r="CZ760" s="567"/>
      <c r="DA760" s="567"/>
      <c r="DB760" s="567"/>
      <c r="DC760" s="567"/>
      <c r="DD760" s="567"/>
      <c r="DE760" s="567"/>
      <c r="DF760" s="567"/>
      <c r="DG760" s="567"/>
      <c r="DH760" s="567"/>
      <c r="DI760" s="567"/>
      <c r="DJ760" s="567"/>
      <c r="DK760" s="567"/>
      <c r="DL760" s="567"/>
      <c r="DM760" s="567"/>
      <c r="DN760" s="567"/>
      <c r="DO760" s="567"/>
      <c r="DP760" s="567"/>
      <c r="DQ760" s="567"/>
      <c r="DR760" s="567"/>
      <c r="DS760" s="567"/>
      <c r="DT760" s="567"/>
      <c r="DU760" s="567"/>
      <c r="DV760" s="567"/>
      <c r="DW760" s="567"/>
      <c r="DX760" s="567"/>
      <c r="DY760" s="567"/>
      <c r="DZ760" s="567"/>
      <c r="EA760" s="567"/>
      <c r="EB760" s="567"/>
      <c r="EC760" s="567"/>
      <c r="ED760" s="567"/>
      <c r="EE760" s="567"/>
      <c r="EF760" s="567"/>
      <c r="EG760" s="567"/>
      <c r="EH760" s="567"/>
      <c r="EI760" s="567"/>
      <c r="EJ760" s="567"/>
      <c r="EK760" s="567"/>
      <c r="EL760" s="567"/>
      <c r="EM760" s="567"/>
      <c r="EN760" s="567"/>
      <c r="EO760" s="567"/>
      <c r="EP760" s="567"/>
      <c r="EQ760" s="567"/>
      <c r="ER760" s="567"/>
      <c r="ES760" s="567"/>
      <c r="ET760" s="567"/>
      <c r="EU760" s="567"/>
      <c r="EV760" s="567"/>
      <c r="EW760" s="567"/>
      <c r="EX760" s="567"/>
      <c r="EY760" s="567"/>
      <c r="EZ760" s="567"/>
      <c r="FA760" s="567"/>
      <c r="FB760" s="567"/>
      <c r="FC760" s="567"/>
      <c r="FD760" s="567"/>
      <c r="FE760" s="567"/>
      <c r="FF760" s="567"/>
      <c r="FG760" s="567"/>
      <c r="FH760" s="567"/>
      <c r="FI760" s="567"/>
      <c r="FJ760" s="567"/>
      <c r="FK760" s="567"/>
      <c r="FL760" s="567"/>
      <c r="FM760" s="567"/>
      <c r="FN760" s="567"/>
      <c r="FO760" s="567"/>
      <c r="FP760" s="567"/>
      <c r="FQ760" s="567"/>
      <c r="FR760" s="567"/>
      <c r="FS760" s="567"/>
      <c r="FT760" s="567"/>
      <c r="FU760" s="567"/>
      <c r="FV760" s="567"/>
      <c r="FW760" s="567"/>
      <c r="FX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  <c r="BW761" s="567"/>
      <c r="BX761" s="567"/>
      <c r="BY761" s="567"/>
      <c r="BZ761" s="567"/>
      <c r="CA761" s="567"/>
      <c r="CB761" s="567"/>
      <c r="CC761" s="567"/>
      <c r="CD761" s="567"/>
      <c r="CE761" s="567"/>
      <c r="CF761" s="567"/>
      <c r="CG761" s="567"/>
      <c r="CH761" s="567"/>
      <c r="CI761" s="567"/>
      <c r="CJ761" s="567"/>
      <c r="CK761" s="567"/>
      <c r="CL761" s="567"/>
      <c r="CM761" s="567"/>
      <c r="CN761" s="567"/>
      <c r="CO761" s="567"/>
      <c r="CP761" s="567"/>
      <c r="CQ761" s="567"/>
      <c r="CR761" s="567"/>
      <c r="CS761" s="567"/>
      <c r="CT761" s="567"/>
      <c r="CU761" s="567"/>
      <c r="CV761" s="567"/>
      <c r="CW761" s="567"/>
      <c r="CX761" s="567"/>
      <c r="CY761" s="567"/>
      <c r="CZ761" s="567"/>
      <c r="DA761" s="567"/>
      <c r="DB761" s="567"/>
      <c r="DC761" s="567"/>
      <c r="DD761" s="567"/>
      <c r="DE761" s="567"/>
      <c r="DF761" s="567"/>
      <c r="DG761" s="567"/>
      <c r="DH761" s="567"/>
      <c r="DI761" s="567"/>
      <c r="DJ761" s="567"/>
      <c r="DK761" s="567"/>
      <c r="DL761" s="567"/>
      <c r="DM761" s="567"/>
      <c r="DN761" s="567"/>
      <c r="DO761" s="567"/>
      <c r="DP761" s="567"/>
      <c r="DQ761" s="567"/>
      <c r="DR761" s="567"/>
      <c r="DS761" s="567"/>
      <c r="DT761" s="567"/>
      <c r="DU761" s="567"/>
      <c r="DV761" s="567"/>
      <c r="DW761" s="567"/>
      <c r="DX761" s="567"/>
      <c r="DY761" s="567"/>
      <c r="DZ761" s="567"/>
      <c r="EA761" s="567"/>
      <c r="EB761" s="567"/>
      <c r="EC761" s="567"/>
      <c r="ED761" s="567"/>
      <c r="EE761" s="567"/>
      <c r="EF761" s="567"/>
      <c r="EG761" s="567"/>
      <c r="EH761" s="567"/>
      <c r="EI761" s="567"/>
      <c r="EJ761" s="567"/>
      <c r="EK761" s="567"/>
      <c r="EL761" s="567"/>
      <c r="EM761" s="567"/>
      <c r="EN761" s="567"/>
      <c r="EO761" s="567"/>
      <c r="EP761" s="567"/>
      <c r="EQ761" s="567"/>
      <c r="ER761" s="567"/>
      <c r="ES761" s="567"/>
      <c r="ET761" s="567"/>
      <c r="EU761" s="567"/>
      <c r="EV761" s="567"/>
      <c r="EW761" s="567"/>
      <c r="EX761" s="567"/>
      <c r="EY761" s="567"/>
      <c r="EZ761" s="567"/>
      <c r="FA761" s="567"/>
      <c r="FB761" s="567"/>
      <c r="FC761" s="567"/>
      <c r="FD761" s="567"/>
      <c r="FE761" s="567"/>
      <c r="FF761" s="567"/>
      <c r="FG761" s="567"/>
      <c r="FH761" s="567"/>
      <c r="FI761" s="567"/>
      <c r="FJ761" s="567"/>
      <c r="FK761" s="567"/>
      <c r="FL761" s="567"/>
      <c r="FM761" s="567"/>
      <c r="FN761" s="567"/>
      <c r="FO761" s="567"/>
      <c r="FP761" s="567"/>
      <c r="FQ761" s="567"/>
      <c r="FR761" s="567"/>
      <c r="FS761" s="567"/>
      <c r="FT761" s="567"/>
      <c r="FU761" s="567"/>
      <c r="FV761" s="567"/>
      <c r="FW761" s="567"/>
      <c r="FX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  <c r="BW762" s="567"/>
      <c r="BX762" s="567"/>
      <c r="BY762" s="567"/>
      <c r="BZ762" s="567"/>
      <c r="CA762" s="567"/>
      <c r="CB762" s="567"/>
      <c r="CC762" s="567"/>
      <c r="CD762" s="567"/>
      <c r="CE762" s="567"/>
      <c r="CF762" s="567"/>
      <c r="CG762" s="567"/>
      <c r="CH762" s="567"/>
      <c r="CI762" s="567"/>
      <c r="CJ762" s="567"/>
      <c r="CK762" s="567"/>
      <c r="CL762" s="567"/>
      <c r="CM762" s="567"/>
      <c r="CN762" s="567"/>
      <c r="CO762" s="567"/>
      <c r="CP762" s="567"/>
      <c r="CQ762" s="567"/>
      <c r="CR762" s="567"/>
      <c r="CS762" s="567"/>
      <c r="CT762" s="567"/>
      <c r="CU762" s="567"/>
      <c r="CV762" s="567"/>
      <c r="CW762" s="567"/>
      <c r="CX762" s="567"/>
      <c r="CY762" s="567"/>
      <c r="CZ762" s="567"/>
      <c r="DA762" s="567"/>
      <c r="DB762" s="567"/>
      <c r="DC762" s="567"/>
      <c r="DD762" s="567"/>
      <c r="DE762" s="567"/>
      <c r="DF762" s="567"/>
      <c r="DG762" s="567"/>
      <c r="DH762" s="567"/>
      <c r="DI762" s="567"/>
      <c r="DJ762" s="567"/>
      <c r="DK762" s="567"/>
      <c r="DL762" s="567"/>
      <c r="DM762" s="567"/>
      <c r="DN762" s="567"/>
      <c r="DO762" s="567"/>
      <c r="DP762" s="567"/>
      <c r="DQ762" s="567"/>
      <c r="DR762" s="567"/>
      <c r="DS762" s="567"/>
      <c r="DT762" s="567"/>
      <c r="DU762" s="567"/>
      <c r="DV762" s="567"/>
      <c r="DW762" s="567"/>
      <c r="DX762" s="567"/>
      <c r="DY762" s="567"/>
      <c r="DZ762" s="567"/>
      <c r="EA762" s="567"/>
      <c r="EB762" s="567"/>
      <c r="EC762" s="567"/>
      <c r="ED762" s="567"/>
      <c r="EE762" s="567"/>
      <c r="EF762" s="567"/>
      <c r="EG762" s="567"/>
      <c r="EH762" s="567"/>
      <c r="EI762" s="567"/>
      <c r="EJ762" s="567"/>
      <c r="EK762" s="567"/>
      <c r="EL762" s="567"/>
      <c r="EM762" s="567"/>
      <c r="EN762" s="567"/>
      <c r="EO762" s="567"/>
      <c r="EP762" s="567"/>
      <c r="EQ762" s="567"/>
      <c r="ER762" s="567"/>
      <c r="ES762" s="567"/>
      <c r="ET762" s="567"/>
      <c r="EU762" s="567"/>
      <c r="EV762" s="567"/>
      <c r="EW762" s="567"/>
      <c r="EX762" s="567"/>
      <c r="EY762" s="567"/>
      <c r="EZ762" s="567"/>
      <c r="FA762" s="567"/>
      <c r="FB762" s="567"/>
      <c r="FC762" s="567"/>
      <c r="FD762" s="567"/>
      <c r="FE762" s="567"/>
      <c r="FF762" s="567"/>
      <c r="FG762" s="567"/>
      <c r="FH762" s="567"/>
      <c r="FI762" s="567"/>
      <c r="FJ762" s="567"/>
      <c r="FK762" s="567"/>
      <c r="FL762" s="567"/>
      <c r="FM762" s="567"/>
      <c r="FN762" s="567"/>
      <c r="FO762" s="567"/>
      <c r="FP762" s="567"/>
      <c r="FQ762" s="567"/>
      <c r="FR762" s="567"/>
      <c r="FS762" s="567"/>
      <c r="FT762" s="567"/>
      <c r="FU762" s="567"/>
      <c r="FV762" s="567"/>
      <c r="FW762" s="567"/>
      <c r="FX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  <c r="BW763" s="567"/>
      <c r="BX763" s="567"/>
      <c r="BY763" s="567"/>
      <c r="BZ763" s="567"/>
      <c r="CA763" s="567"/>
      <c r="CB763" s="567"/>
      <c r="CC763" s="567"/>
      <c r="CD763" s="567"/>
      <c r="CE763" s="567"/>
      <c r="CF763" s="567"/>
      <c r="CG763" s="567"/>
      <c r="CH763" s="567"/>
      <c r="CI763" s="567"/>
      <c r="CJ763" s="567"/>
      <c r="CK763" s="567"/>
      <c r="CL763" s="567"/>
      <c r="CM763" s="567"/>
      <c r="CN763" s="567"/>
      <c r="CO763" s="567"/>
      <c r="CP763" s="567"/>
      <c r="CQ763" s="567"/>
      <c r="CR763" s="567"/>
      <c r="CS763" s="567"/>
      <c r="CT763" s="567"/>
      <c r="CU763" s="567"/>
      <c r="CV763" s="567"/>
      <c r="CW763" s="567"/>
      <c r="CX763" s="567"/>
      <c r="CY763" s="567"/>
      <c r="CZ763" s="567"/>
      <c r="DA763" s="567"/>
      <c r="DB763" s="567"/>
      <c r="DC763" s="567"/>
      <c r="DD763" s="567"/>
      <c r="DE763" s="567"/>
      <c r="DF763" s="567"/>
      <c r="DG763" s="567"/>
      <c r="DH763" s="567"/>
      <c r="DI763" s="567"/>
      <c r="DJ763" s="567"/>
      <c r="DK763" s="567"/>
      <c r="DL763" s="567"/>
      <c r="DM763" s="567"/>
      <c r="DN763" s="567"/>
      <c r="DO763" s="567"/>
      <c r="DP763" s="567"/>
      <c r="DQ763" s="567"/>
      <c r="DR763" s="567"/>
      <c r="DS763" s="567"/>
      <c r="DT763" s="567"/>
      <c r="DU763" s="567"/>
      <c r="DV763" s="567"/>
      <c r="DW763" s="567"/>
      <c r="DX763" s="567"/>
      <c r="DY763" s="567"/>
      <c r="DZ763" s="567"/>
      <c r="EA763" s="567"/>
      <c r="EB763" s="567"/>
      <c r="EC763" s="567"/>
      <c r="ED763" s="567"/>
      <c r="EE763" s="567"/>
      <c r="EF763" s="567"/>
      <c r="EG763" s="567"/>
      <c r="EH763" s="567"/>
      <c r="EI763" s="567"/>
      <c r="EJ763" s="567"/>
      <c r="EK763" s="567"/>
      <c r="EL763" s="567"/>
      <c r="EM763" s="567"/>
      <c r="EN763" s="567"/>
      <c r="EO763" s="567"/>
      <c r="EP763" s="567"/>
      <c r="EQ763" s="567"/>
      <c r="ER763" s="567"/>
      <c r="ES763" s="567"/>
      <c r="ET763" s="567"/>
      <c r="EU763" s="567"/>
      <c r="EV763" s="567"/>
      <c r="EW763" s="567"/>
      <c r="EX763" s="567"/>
      <c r="EY763" s="567"/>
      <c r="EZ763" s="567"/>
      <c r="FA763" s="567"/>
      <c r="FB763" s="567"/>
      <c r="FC763" s="567"/>
      <c r="FD763" s="567"/>
      <c r="FE763" s="567"/>
      <c r="FF763" s="567"/>
      <c r="FG763" s="567"/>
      <c r="FH763" s="567"/>
      <c r="FI763" s="567"/>
      <c r="FJ763" s="567"/>
      <c r="FK763" s="567"/>
      <c r="FL763" s="567"/>
      <c r="FM763" s="567"/>
      <c r="FN763" s="567"/>
      <c r="FO763" s="567"/>
      <c r="FP763" s="567"/>
      <c r="FQ763" s="567"/>
      <c r="FR763" s="567"/>
      <c r="FS763" s="567"/>
      <c r="FT763" s="567"/>
      <c r="FU763" s="567"/>
      <c r="FV763" s="567"/>
      <c r="FW763" s="567"/>
      <c r="FX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  <c r="BW764" s="567"/>
      <c r="BX764" s="567"/>
      <c r="BY764" s="567"/>
      <c r="BZ764" s="567"/>
      <c r="CA764" s="567"/>
      <c r="CB764" s="567"/>
      <c r="CC764" s="567"/>
      <c r="CD764" s="567"/>
      <c r="CE764" s="567"/>
      <c r="CF764" s="567"/>
      <c r="CG764" s="567"/>
      <c r="CH764" s="567"/>
      <c r="CI764" s="567"/>
      <c r="CJ764" s="567"/>
      <c r="CK764" s="567"/>
      <c r="CL764" s="567"/>
      <c r="CM764" s="567"/>
      <c r="CN764" s="567"/>
      <c r="CO764" s="567"/>
      <c r="CP764" s="567"/>
      <c r="CQ764" s="567"/>
      <c r="CR764" s="567"/>
      <c r="CS764" s="567"/>
      <c r="CT764" s="567"/>
      <c r="CU764" s="567"/>
      <c r="CV764" s="567"/>
      <c r="CW764" s="567"/>
      <c r="CX764" s="567"/>
      <c r="CY764" s="567"/>
      <c r="CZ764" s="567"/>
      <c r="DA764" s="567"/>
      <c r="DB764" s="567"/>
      <c r="DC764" s="567"/>
      <c r="DD764" s="567"/>
      <c r="DE764" s="567"/>
      <c r="DF764" s="567"/>
      <c r="DG764" s="567"/>
      <c r="DH764" s="567"/>
      <c r="DI764" s="567"/>
      <c r="DJ764" s="567"/>
      <c r="DK764" s="567"/>
      <c r="DL764" s="567"/>
      <c r="DM764" s="567"/>
      <c r="DN764" s="567"/>
      <c r="DO764" s="567"/>
      <c r="DP764" s="567"/>
      <c r="DQ764" s="567"/>
      <c r="DR764" s="567"/>
      <c r="DS764" s="567"/>
      <c r="DT764" s="567"/>
      <c r="DU764" s="567"/>
      <c r="DV764" s="567"/>
      <c r="DW764" s="567"/>
      <c r="DX764" s="567"/>
      <c r="DY764" s="567"/>
      <c r="DZ764" s="567"/>
      <c r="EA764" s="567"/>
      <c r="EB764" s="567"/>
      <c r="EC764" s="567"/>
      <c r="ED764" s="567"/>
      <c r="EE764" s="567"/>
      <c r="EF764" s="567"/>
      <c r="EG764" s="567"/>
      <c r="EH764" s="567"/>
      <c r="EI764" s="567"/>
      <c r="EJ764" s="567"/>
      <c r="EK764" s="567"/>
      <c r="EL764" s="567"/>
      <c r="EM764" s="567"/>
      <c r="EN764" s="567"/>
      <c r="EO764" s="567"/>
      <c r="EP764" s="567"/>
      <c r="EQ764" s="567"/>
      <c r="ER764" s="567"/>
      <c r="ES764" s="567"/>
      <c r="ET764" s="567"/>
      <c r="EU764" s="567"/>
      <c r="EV764" s="567"/>
      <c r="EW764" s="567"/>
      <c r="EX764" s="567"/>
      <c r="EY764" s="567"/>
      <c r="EZ764" s="567"/>
      <c r="FA764" s="567"/>
      <c r="FB764" s="567"/>
      <c r="FC764" s="567"/>
      <c r="FD764" s="567"/>
      <c r="FE764" s="567"/>
      <c r="FF764" s="567"/>
      <c r="FG764" s="567"/>
      <c r="FH764" s="567"/>
      <c r="FI764" s="567"/>
      <c r="FJ764" s="567"/>
      <c r="FK764" s="567"/>
      <c r="FL764" s="567"/>
      <c r="FM764" s="567"/>
      <c r="FN764" s="567"/>
      <c r="FO764" s="567"/>
      <c r="FP764" s="567"/>
      <c r="FQ764" s="567"/>
      <c r="FR764" s="567"/>
      <c r="FS764" s="567"/>
      <c r="FT764" s="567"/>
      <c r="FU764" s="567"/>
      <c r="FV764" s="567"/>
      <c r="FW764" s="567"/>
      <c r="FX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  <c r="BW765" s="567"/>
      <c r="BX765" s="567"/>
      <c r="BY765" s="567"/>
      <c r="BZ765" s="567"/>
      <c r="CA765" s="567"/>
      <c r="CB765" s="567"/>
      <c r="CC765" s="567"/>
      <c r="CD765" s="567"/>
      <c r="CE765" s="567"/>
      <c r="CF765" s="567"/>
      <c r="CG765" s="567"/>
      <c r="CH765" s="567"/>
      <c r="CI765" s="567"/>
      <c r="CJ765" s="567"/>
      <c r="CK765" s="567"/>
      <c r="CL765" s="567"/>
      <c r="CM765" s="567"/>
      <c r="CN765" s="567"/>
      <c r="CO765" s="567"/>
      <c r="CP765" s="567"/>
      <c r="CQ765" s="567"/>
      <c r="CR765" s="567"/>
      <c r="CS765" s="567"/>
      <c r="CT765" s="567"/>
      <c r="CU765" s="567"/>
      <c r="CV765" s="567"/>
      <c r="CW765" s="567"/>
      <c r="CX765" s="567"/>
      <c r="CY765" s="567"/>
      <c r="CZ765" s="567"/>
      <c r="DA765" s="567"/>
      <c r="DB765" s="567"/>
      <c r="DC765" s="567"/>
      <c r="DD765" s="567"/>
      <c r="DE765" s="567"/>
      <c r="DF765" s="567"/>
      <c r="DG765" s="567"/>
      <c r="DH765" s="567"/>
      <c r="DI765" s="567"/>
      <c r="DJ765" s="567"/>
      <c r="DK765" s="567"/>
      <c r="DL765" s="567"/>
      <c r="DM765" s="567"/>
      <c r="DN765" s="567"/>
      <c r="DO765" s="567"/>
      <c r="DP765" s="567"/>
      <c r="DQ765" s="567"/>
      <c r="DR765" s="567"/>
      <c r="DS765" s="567"/>
      <c r="DT765" s="567"/>
      <c r="DU765" s="567"/>
      <c r="DV765" s="567"/>
      <c r="DW765" s="567"/>
      <c r="DX765" s="567"/>
      <c r="DY765" s="567"/>
      <c r="DZ765" s="567"/>
      <c r="EA765" s="567"/>
      <c r="EB765" s="567"/>
      <c r="EC765" s="567"/>
      <c r="ED765" s="567"/>
      <c r="EE765" s="567"/>
      <c r="EF765" s="567"/>
      <c r="EG765" s="567"/>
      <c r="EH765" s="567"/>
      <c r="EI765" s="567"/>
      <c r="EJ765" s="567"/>
      <c r="EK765" s="567"/>
      <c r="EL765" s="567"/>
      <c r="EM765" s="567"/>
      <c r="EN765" s="567"/>
      <c r="EO765" s="567"/>
      <c r="EP765" s="567"/>
      <c r="EQ765" s="567"/>
      <c r="ER765" s="567"/>
      <c r="ES765" s="567"/>
      <c r="ET765" s="567"/>
      <c r="EU765" s="567"/>
      <c r="EV765" s="567"/>
      <c r="EW765" s="567"/>
      <c r="EX765" s="567"/>
      <c r="EY765" s="567"/>
      <c r="EZ765" s="567"/>
      <c r="FA765" s="567"/>
      <c r="FB765" s="567"/>
      <c r="FC765" s="567"/>
      <c r="FD765" s="567"/>
      <c r="FE765" s="567"/>
      <c r="FF765" s="567"/>
      <c r="FG765" s="567"/>
      <c r="FH765" s="567"/>
      <c r="FI765" s="567"/>
      <c r="FJ765" s="567"/>
      <c r="FK765" s="567"/>
      <c r="FL765" s="567"/>
      <c r="FM765" s="567"/>
      <c r="FN765" s="567"/>
      <c r="FO765" s="567"/>
      <c r="FP765" s="567"/>
      <c r="FQ765" s="567"/>
      <c r="FR765" s="567"/>
      <c r="FS765" s="567"/>
      <c r="FT765" s="567"/>
      <c r="FU765" s="567"/>
      <c r="FV765" s="567"/>
      <c r="FW765" s="567"/>
      <c r="FX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  <c r="BW766" s="567"/>
      <c r="BX766" s="567"/>
      <c r="BY766" s="567"/>
      <c r="BZ766" s="567"/>
      <c r="CA766" s="567"/>
      <c r="CB766" s="567"/>
      <c r="CC766" s="567"/>
      <c r="CD766" s="567"/>
      <c r="CE766" s="567"/>
      <c r="CF766" s="567"/>
      <c r="CG766" s="567"/>
      <c r="CH766" s="567"/>
      <c r="CI766" s="567"/>
      <c r="CJ766" s="567"/>
      <c r="CK766" s="567"/>
      <c r="CL766" s="567"/>
      <c r="CM766" s="567"/>
      <c r="CN766" s="567"/>
      <c r="CO766" s="567"/>
      <c r="CP766" s="567"/>
      <c r="CQ766" s="567"/>
      <c r="CR766" s="567"/>
      <c r="CS766" s="567"/>
      <c r="CT766" s="567"/>
      <c r="CU766" s="567"/>
      <c r="CV766" s="567"/>
      <c r="CW766" s="567"/>
      <c r="CX766" s="567"/>
      <c r="CY766" s="567"/>
      <c r="CZ766" s="567"/>
      <c r="DA766" s="567"/>
      <c r="DB766" s="567"/>
      <c r="DC766" s="567"/>
      <c r="DD766" s="567"/>
      <c r="DE766" s="567"/>
      <c r="DF766" s="567"/>
      <c r="DG766" s="567"/>
      <c r="DH766" s="567"/>
      <c r="DI766" s="567"/>
      <c r="DJ766" s="567"/>
      <c r="DK766" s="567"/>
      <c r="DL766" s="567"/>
      <c r="DM766" s="567"/>
      <c r="DN766" s="567"/>
      <c r="DO766" s="567"/>
      <c r="DP766" s="567"/>
      <c r="DQ766" s="567"/>
      <c r="DR766" s="567"/>
      <c r="DS766" s="567"/>
      <c r="DT766" s="567"/>
      <c r="DU766" s="567"/>
      <c r="DV766" s="567"/>
      <c r="DW766" s="567"/>
      <c r="DX766" s="567"/>
      <c r="DY766" s="567"/>
      <c r="DZ766" s="567"/>
      <c r="EA766" s="567"/>
      <c r="EB766" s="567"/>
      <c r="EC766" s="567"/>
      <c r="ED766" s="567"/>
      <c r="EE766" s="567"/>
      <c r="EF766" s="567"/>
      <c r="EG766" s="567"/>
      <c r="EH766" s="567"/>
      <c r="EI766" s="567"/>
      <c r="EJ766" s="567"/>
      <c r="EK766" s="567"/>
      <c r="EL766" s="567"/>
      <c r="EM766" s="567"/>
      <c r="EN766" s="567"/>
      <c r="EO766" s="567"/>
      <c r="EP766" s="567"/>
      <c r="EQ766" s="567"/>
      <c r="ER766" s="567"/>
      <c r="ES766" s="567"/>
      <c r="ET766" s="567"/>
      <c r="EU766" s="567"/>
      <c r="EV766" s="567"/>
      <c r="EW766" s="567"/>
      <c r="EX766" s="567"/>
      <c r="EY766" s="567"/>
      <c r="EZ766" s="567"/>
      <c r="FA766" s="567"/>
      <c r="FB766" s="567"/>
      <c r="FC766" s="567"/>
      <c r="FD766" s="567"/>
      <c r="FE766" s="567"/>
      <c r="FF766" s="567"/>
      <c r="FG766" s="567"/>
      <c r="FH766" s="567"/>
      <c r="FI766" s="567"/>
      <c r="FJ766" s="567"/>
      <c r="FK766" s="567"/>
      <c r="FL766" s="567"/>
      <c r="FM766" s="567"/>
      <c r="FN766" s="567"/>
      <c r="FO766" s="567"/>
      <c r="FP766" s="567"/>
      <c r="FQ766" s="567"/>
      <c r="FR766" s="567"/>
      <c r="FS766" s="567"/>
      <c r="FT766" s="567"/>
      <c r="FU766" s="567"/>
      <c r="FV766" s="567"/>
      <c r="FW766" s="567"/>
      <c r="FX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  <c r="BW767" s="567"/>
      <c r="BX767" s="567"/>
      <c r="BY767" s="567"/>
      <c r="BZ767" s="567"/>
      <c r="CA767" s="567"/>
      <c r="CB767" s="567"/>
      <c r="CC767" s="567"/>
      <c r="CD767" s="567"/>
      <c r="CE767" s="567"/>
      <c r="CF767" s="567"/>
      <c r="CG767" s="567"/>
      <c r="CH767" s="567"/>
      <c r="CI767" s="567"/>
      <c r="CJ767" s="567"/>
      <c r="CK767" s="567"/>
      <c r="CL767" s="567"/>
      <c r="CM767" s="567"/>
      <c r="CN767" s="567"/>
      <c r="CO767" s="567"/>
      <c r="CP767" s="567"/>
      <c r="CQ767" s="567"/>
      <c r="CR767" s="567"/>
      <c r="CS767" s="567"/>
      <c r="CT767" s="567"/>
      <c r="CU767" s="567"/>
      <c r="CV767" s="567"/>
      <c r="CW767" s="567"/>
      <c r="CX767" s="567"/>
      <c r="CY767" s="567"/>
      <c r="CZ767" s="567"/>
      <c r="DA767" s="567"/>
      <c r="DB767" s="567"/>
      <c r="DC767" s="567"/>
      <c r="DD767" s="567"/>
      <c r="DE767" s="567"/>
      <c r="DF767" s="567"/>
      <c r="DG767" s="567"/>
      <c r="DH767" s="567"/>
      <c r="DI767" s="567"/>
      <c r="DJ767" s="567"/>
      <c r="DK767" s="567"/>
      <c r="DL767" s="567"/>
      <c r="DM767" s="567"/>
      <c r="DN767" s="567"/>
      <c r="DO767" s="567"/>
      <c r="DP767" s="567"/>
      <c r="DQ767" s="567"/>
      <c r="DR767" s="567"/>
      <c r="DS767" s="567"/>
      <c r="DT767" s="567"/>
      <c r="DU767" s="567"/>
      <c r="DV767" s="567"/>
      <c r="DW767" s="567"/>
      <c r="DX767" s="567"/>
      <c r="DY767" s="567"/>
      <c r="DZ767" s="567"/>
      <c r="EA767" s="567"/>
      <c r="EB767" s="567"/>
      <c r="EC767" s="567"/>
      <c r="ED767" s="567"/>
      <c r="EE767" s="567"/>
      <c r="EF767" s="567"/>
      <c r="EG767" s="567"/>
      <c r="EH767" s="567"/>
      <c r="EI767" s="567"/>
      <c r="EJ767" s="567"/>
      <c r="EK767" s="567"/>
      <c r="EL767" s="567"/>
      <c r="EM767" s="567"/>
      <c r="EN767" s="567"/>
      <c r="EO767" s="567"/>
      <c r="EP767" s="567"/>
      <c r="EQ767" s="567"/>
      <c r="ER767" s="567"/>
      <c r="ES767" s="567"/>
      <c r="ET767" s="567"/>
      <c r="EU767" s="567"/>
      <c r="EV767" s="567"/>
      <c r="EW767" s="567"/>
      <c r="EX767" s="567"/>
      <c r="EY767" s="567"/>
      <c r="EZ767" s="567"/>
      <c r="FA767" s="567"/>
      <c r="FB767" s="567"/>
      <c r="FC767" s="567"/>
      <c r="FD767" s="567"/>
      <c r="FE767" s="567"/>
      <c r="FF767" s="567"/>
      <c r="FG767" s="567"/>
      <c r="FH767" s="567"/>
      <c r="FI767" s="567"/>
      <c r="FJ767" s="567"/>
      <c r="FK767" s="567"/>
      <c r="FL767" s="567"/>
      <c r="FM767" s="567"/>
      <c r="FN767" s="567"/>
      <c r="FO767" s="567"/>
      <c r="FP767" s="567"/>
      <c r="FQ767" s="567"/>
      <c r="FR767" s="567"/>
      <c r="FS767" s="567"/>
      <c r="FT767" s="567"/>
      <c r="FU767" s="567"/>
      <c r="FV767" s="567"/>
      <c r="FW767" s="567"/>
      <c r="FX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  <c r="BW768" s="567"/>
      <c r="BX768" s="567"/>
      <c r="BY768" s="567"/>
      <c r="BZ768" s="567"/>
      <c r="CA768" s="567"/>
      <c r="CB768" s="567"/>
      <c r="CC768" s="567"/>
      <c r="CD768" s="567"/>
      <c r="CE768" s="567"/>
      <c r="CF768" s="567"/>
      <c r="CG768" s="567"/>
      <c r="CH768" s="567"/>
      <c r="CI768" s="567"/>
      <c r="CJ768" s="567"/>
      <c r="CK768" s="567"/>
      <c r="CL768" s="567"/>
      <c r="CM768" s="567"/>
      <c r="CN768" s="567"/>
      <c r="CO768" s="567"/>
      <c r="CP768" s="567"/>
      <c r="CQ768" s="567"/>
      <c r="CR768" s="567"/>
      <c r="CS768" s="567"/>
      <c r="CT768" s="567"/>
      <c r="CU768" s="567"/>
      <c r="CV768" s="567"/>
      <c r="CW768" s="567"/>
      <c r="CX768" s="567"/>
      <c r="CY768" s="567"/>
      <c r="CZ768" s="567"/>
      <c r="DA768" s="567"/>
      <c r="DB768" s="567"/>
      <c r="DC768" s="567"/>
      <c r="DD768" s="567"/>
      <c r="DE768" s="567"/>
      <c r="DF768" s="567"/>
      <c r="DG768" s="567"/>
      <c r="DH768" s="567"/>
      <c r="DI768" s="567"/>
      <c r="DJ768" s="567"/>
      <c r="DK768" s="567"/>
      <c r="DL768" s="567"/>
      <c r="DM768" s="567"/>
      <c r="DN768" s="567"/>
      <c r="DO768" s="567"/>
      <c r="DP768" s="567"/>
      <c r="DQ768" s="567"/>
      <c r="DR768" s="567"/>
      <c r="DS768" s="567"/>
      <c r="DT768" s="567"/>
      <c r="DU768" s="567"/>
      <c r="DV768" s="567"/>
      <c r="DW768" s="567"/>
      <c r="DX768" s="567"/>
      <c r="DY768" s="567"/>
      <c r="DZ768" s="567"/>
      <c r="EA768" s="567"/>
      <c r="EB768" s="567"/>
      <c r="EC768" s="567"/>
      <c r="ED768" s="567"/>
      <c r="EE768" s="567"/>
      <c r="EF768" s="567"/>
      <c r="EG768" s="567"/>
      <c r="EH768" s="567"/>
      <c r="EI768" s="567"/>
      <c r="EJ768" s="567"/>
      <c r="EK768" s="567"/>
      <c r="EL768" s="567"/>
      <c r="EM768" s="567"/>
      <c r="EN768" s="567"/>
      <c r="EO768" s="567"/>
      <c r="EP768" s="567"/>
      <c r="EQ768" s="567"/>
      <c r="ER768" s="567"/>
      <c r="ES768" s="567"/>
      <c r="ET768" s="567"/>
      <c r="EU768" s="567"/>
      <c r="EV768" s="567"/>
      <c r="EW768" s="567"/>
      <c r="EX768" s="567"/>
      <c r="EY768" s="567"/>
      <c r="EZ768" s="567"/>
      <c r="FA768" s="567"/>
      <c r="FB768" s="567"/>
      <c r="FC768" s="567"/>
      <c r="FD768" s="567"/>
      <c r="FE768" s="567"/>
      <c r="FF768" s="567"/>
      <c r="FG768" s="567"/>
      <c r="FH768" s="567"/>
      <c r="FI768" s="567"/>
      <c r="FJ768" s="567"/>
      <c r="FK768" s="567"/>
      <c r="FL768" s="567"/>
      <c r="FM768" s="567"/>
      <c r="FN768" s="567"/>
      <c r="FO768" s="567"/>
      <c r="FP768" s="567"/>
      <c r="FQ768" s="567"/>
      <c r="FR768" s="567"/>
      <c r="FS768" s="567"/>
      <c r="FT768" s="567"/>
      <c r="FU768" s="567"/>
      <c r="FV768" s="567"/>
      <c r="FW768" s="567"/>
      <c r="FX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  <c r="BW769" s="567"/>
      <c r="BX769" s="567"/>
      <c r="BY769" s="567"/>
      <c r="BZ769" s="567"/>
      <c r="CA769" s="567"/>
      <c r="CB769" s="567"/>
      <c r="CC769" s="567"/>
      <c r="CD769" s="567"/>
      <c r="CE769" s="567"/>
      <c r="CF769" s="567"/>
      <c r="CG769" s="567"/>
      <c r="CH769" s="567"/>
      <c r="CI769" s="567"/>
      <c r="CJ769" s="567"/>
      <c r="CK769" s="567"/>
      <c r="CL769" s="567"/>
      <c r="CM769" s="567"/>
      <c r="CN769" s="567"/>
      <c r="CO769" s="567"/>
      <c r="CP769" s="567"/>
      <c r="CQ769" s="567"/>
      <c r="CR769" s="567"/>
      <c r="CS769" s="567"/>
      <c r="CT769" s="567"/>
      <c r="CU769" s="567"/>
      <c r="CV769" s="567"/>
      <c r="CW769" s="567"/>
      <c r="CX769" s="567"/>
      <c r="CY769" s="567"/>
      <c r="CZ769" s="567"/>
      <c r="DA769" s="567"/>
      <c r="DB769" s="567"/>
      <c r="DC769" s="567"/>
      <c r="DD769" s="567"/>
      <c r="DE769" s="567"/>
      <c r="DF769" s="567"/>
      <c r="DG769" s="567"/>
      <c r="DH769" s="567"/>
      <c r="DI769" s="567"/>
      <c r="DJ769" s="567"/>
      <c r="DK769" s="567"/>
      <c r="DL769" s="567"/>
      <c r="DM769" s="567"/>
      <c r="DN769" s="567"/>
      <c r="DO769" s="567"/>
      <c r="DP769" s="567"/>
      <c r="DQ769" s="567"/>
      <c r="DR769" s="567"/>
      <c r="DS769" s="567"/>
      <c r="DT769" s="567"/>
      <c r="DU769" s="567"/>
      <c r="DV769" s="567"/>
      <c r="DW769" s="567"/>
      <c r="DX769" s="567"/>
      <c r="DY769" s="567"/>
      <c r="DZ769" s="567"/>
      <c r="EA769" s="567"/>
      <c r="EB769" s="567"/>
      <c r="EC769" s="567"/>
      <c r="ED769" s="567"/>
      <c r="EE769" s="567"/>
      <c r="EF769" s="567"/>
      <c r="EG769" s="567"/>
      <c r="EH769" s="567"/>
      <c r="EI769" s="567"/>
      <c r="EJ769" s="567"/>
      <c r="EK769" s="567"/>
      <c r="EL769" s="567"/>
      <c r="EM769" s="567"/>
      <c r="EN769" s="567"/>
      <c r="EO769" s="567"/>
      <c r="EP769" s="567"/>
      <c r="EQ769" s="567"/>
      <c r="ER769" s="567"/>
      <c r="ES769" s="567"/>
      <c r="ET769" s="567"/>
      <c r="EU769" s="567"/>
      <c r="EV769" s="567"/>
      <c r="EW769" s="567"/>
      <c r="EX769" s="567"/>
      <c r="EY769" s="567"/>
      <c r="EZ769" s="567"/>
      <c r="FA769" s="567"/>
      <c r="FB769" s="567"/>
      <c r="FC769" s="567"/>
      <c r="FD769" s="567"/>
      <c r="FE769" s="567"/>
      <c r="FF769" s="567"/>
      <c r="FG769" s="567"/>
      <c r="FH769" s="567"/>
      <c r="FI769" s="567"/>
      <c r="FJ769" s="567"/>
      <c r="FK769" s="567"/>
      <c r="FL769" s="567"/>
      <c r="FM769" s="567"/>
      <c r="FN769" s="567"/>
      <c r="FO769" s="567"/>
      <c r="FP769" s="567"/>
      <c r="FQ769" s="567"/>
      <c r="FR769" s="567"/>
      <c r="FS769" s="567"/>
      <c r="FT769" s="567"/>
      <c r="FU769" s="567"/>
      <c r="FV769" s="567"/>
      <c r="FW769" s="567"/>
      <c r="FX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  <c r="BW770" s="567"/>
      <c r="BX770" s="567"/>
      <c r="BY770" s="567"/>
      <c r="BZ770" s="567"/>
      <c r="CA770" s="567"/>
      <c r="CB770" s="567"/>
      <c r="CC770" s="567"/>
      <c r="CD770" s="567"/>
      <c r="CE770" s="567"/>
      <c r="CF770" s="567"/>
      <c r="CG770" s="567"/>
      <c r="CH770" s="567"/>
      <c r="CI770" s="567"/>
      <c r="CJ770" s="567"/>
      <c r="CK770" s="567"/>
      <c r="CL770" s="567"/>
      <c r="CM770" s="567"/>
      <c r="CN770" s="567"/>
      <c r="CO770" s="567"/>
      <c r="CP770" s="567"/>
      <c r="CQ770" s="567"/>
      <c r="CR770" s="567"/>
      <c r="CS770" s="567"/>
      <c r="CT770" s="567"/>
      <c r="CU770" s="567"/>
      <c r="CV770" s="567"/>
      <c r="CW770" s="567"/>
      <c r="CX770" s="567"/>
      <c r="CY770" s="567"/>
      <c r="CZ770" s="567"/>
      <c r="DA770" s="567"/>
      <c r="DB770" s="567"/>
      <c r="DC770" s="567"/>
      <c r="DD770" s="567"/>
      <c r="DE770" s="567"/>
      <c r="DF770" s="567"/>
      <c r="DG770" s="567"/>
      <c r="DH770" s="567"/>
      <c r="DI770" s="567"/>
      <c r="DJ770" s="567"/>
      <c r="DK770" s="567"/>
      <c r="DL770" s="567"/>
      <c r="DM770" s="567"/>
      <c r="DN770" s="567"/>
      <c r="DO770" s="567"/>
      <c r="DP770" s="567"/>
      <c r="DQ770" s="567"/>
      <c r="DR770" s="567"/>
      <c r="DS770" s="567"/>
      <c r="DT770" s="567"/>
      <c r="DU770" s="567"/>
      <c r="DV770" s="567"/>
      <c r="DW770" s="567"/>
      <c r="DX770" s="567"/>
      <c r="DY770" s="567"/>
      <c r="DZ770" s="567"/>
      <c r="EA770" s="567"/>
      <c r="EB770" s="567"/>
      <c r="EC770" s="567"/>
      <c r="ED770" s="567"/>
      <c r="EE770" s="567"/>
      <c r="EF770" s="567"/>
      <c r="EG770" s="567"/>
      <c r="EH770" s="567"/>
      <c r="EI770" s="567"/>
      <c r="EJ770" s="567"/>
      <c r="EK770" s="567"/>
      <c r="EL770" s="567"/>
      <c r="EM770" s="567"/>
      <c r="EN770" s="567"/>
      <c r="EO770" s="567"/>
      <c r="EP770" s="567"/>
      <c r="EQ770" s="567"/>
      <c r="ER770" s="567"/>
      <c r="ES770" s="567"/>
      <c r="ET770" s="567"/>
      <c r="EU770" s="567"/>
      <c r="EV770" s="567"/>
      <c r="EW770" s="567"/>
      <c r="EX770" s="567"/>
      <c r="EY770" s="567"/>
      <c r="EZ770" s="567"/>
      <c r="FA770" s="567"/>
      <c r="FB770" s="567"/>
      <c r="FC770" s="567"/>
      <c r="FD770" s="567"/>
      <c r="FE770" s="567"/>
      <c r="FF770" s="567"/>
      <c r="FG770" s="567"/>
      <c r="FH770" s="567"/>
      <c r="FI770" s="567"/>
      <c r="FJ770" s="567"/>
      <c r="FK770" s="567"/>
      <c r="FL770" s="567"/>
      <c r="FM770" s="567"/>
      <c r="FN770" s="567"/>
      <c r="FO770" s="567"/>
      <c r="FP770" s="567"/>
      <c r="FQ770" s="567"/>
      <c r="FR770" s="567"/>
      <c r="FS770" s="567"/>
      <c r="FT770" s="567"/>
      <c r="FU770" s="567"/>
      <c r="FV770" s="567"/>
      <c r="FW770" s="567"/>
      <c r="FX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  <c r="BW771" s="567"/>
      <c r="BX771" s="567"/>
      <c r="BY771" s="567"/>
      <c r="BZ771" s="567"/>
      <c r="CA771" s="567"/>
      <c r="CB771" s="567"/>
      <c r="CC771" s="567"/>
      <c r="CD771" s="567"/>
      <c r="CE771" s="567"/>
      <c r="CF771" s="567"/>
      <c r="CG771" s="567"/>
      <c r="CH771" s="567"/>
      <c r="CI771" s="567"/>
      <c r="CJ771" s="567"/>
      <c r="CK771" s="567"/>
      <c r="CL771" s="567"/>
      <c r="CM771" s="567"/>
      <c r="CN771" s="567"/>
      <c r="CO771" s="567"/>
      <c r="CP771" s="567"/>
      <c r="CQ771" s="567"/>
      <c r="CR771" s="567"/>
      <c r="CS771" s="567"/>
      <c r="CT771" s="567"/>
      <c r="CU771" s="567"/>
      <c r="CV771" s="567"/>
      <c r="CW771" s="567"/>
      <c r="CX771" s="567"/>
      <c r="CY771" s="567"/>
      <c r="CZ771" s="567"/>
      <c r="DA771" s="567"/>
      <c r="DB771" s="567"/>
      <c r="DC771" s="567"/>
      <c r="DD771" s="567"/>
      <c r="DE771" s="567"/>
      <c r="DF771" s="567"/>
      <c r="DG771" s="567"/>
      <c r="DH771" s="567"/>
      <c r="DI771" s="567"/>
      <c r="DJ771" s="567"/>
      <c r="DK771" s="567"/>
      <c r="DL771" s="567"/>
      <c r="DM771" s="567"/>
      <c r="DN771" s="567"/>
      <c r="DO771" s="567"/>
      <c r="DP771" s="567"/>
      <c r="DQ771" s="567"/>
      <c r="DR771" s="567"/>
      <c r="DS771" s="567"/>
      <c r="DT771" s="567"/>
      <c r="DU771" s="567"/>
      <c r="DV771" s="567"/>
      <c r="DW771" s="567"/>
      <c r="DX771" s="567"/>
      <c r="DY771" s="567"/>
      <c r="DZ771" s="567"/>
      <c r="EA771" s="567"/>
      <c r="EB771" s="567"/>
      <c r="EC771" s="567"/>
      <c r="ED771" s="567"/>
      <c r="EE771" s="567"/>
      <c r="EF771" s="567"/>
      <c r="EG771" s="567"/>
      <c r="EH771" s="567"/>
      <c r="EI771" s="567"/>
      <c r="EJ771" s="567"/>
      <c r="EK771" s="567"/>
      <c r="EL771" s="567"/>
      <c r="EM771" s="567"/>
      <c r="EN771" s="567"/>
      <c r="EO771" s="567"/>
      <c r="EP771" s="567"/>
      <c r="EQ771" s="567"/>
      <c r="ER771" s="567"/>
      <c r="ES771" s="567"/>
      <c r="ET771" s="567"/>
      <c r="EU771" s="567"/>
      <c r="EV771" s="567"/>
      <c r="EW771" s="567"/>
      <c r="EX771" s="567"/>
      <c r="EY771" s="567"/>
      <c r="EZ771" s="567"/>
      <c r="FA771" s="567"/>
      <c r="FB771" s="567"/>
      <c r="FC771" s="567"/>
      <c r="FD771" s="567"/>
      <c r="FE771" s="567"/>
      <c r="FF771" s="567"/>
      <c r="FG771" s="567"/>
      <c r="FH771" s="567"/>
      <c r="FI771" s="567"/>
      <c r="FJ771" s="567"/>
      <c r="FK771" s="567"/>
      <c r="FL771" s="567"/>
      <c r="FM771" s="567"/>
      <c r="FN771" s="567"/>
      <c r="FO771" s="567"/>
      <c r="FP771" s="567"/>
      <c r="FQ771" s="567"/>
      <c r="FR771" s="567"/>
      <c r="FS771" s="567"/>
      <c r="FT771" s="567"/>
      <c r="FU771" s="567"/>
      <c r="FV771" s="567"/>
      <c r="FW771" s="567"/>
      <c r="FX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  <c r="BW772" s="567"/>
      <c r="BX772" s="567"/>
      <c r="BY772" s="567"/>
      <c r="BZ772" s="567"/>
      <c r="CA772" s="567"/>
      <c r="CB772" s="567"/>
      <c r="CC772" s="567"/>
      <c r="CD772" s="567"/>
      <c r="CE772" s="567"/>
      <c r="CF772" s="567"/>
      <c r="CG772" s="567"/>
      <c r="CH772" s="567"/>
      <c r="CI772" s="567"/>
      <c r="CJ772" s="567"/>
      <c r="CK772" s="567"/>
      <c r="CL772" s="567"/>
      <c r="CM772" s="567"/>
      <c r="CN772" s="567"/>
      <c r="CO772" s="567"/>
      <c r="CP772" s="567"/>
      <c r="CQ772" s="567"/>
      <c r="CR772" s="567"/>
      <c r="CS772" s="567"/>
      <c r="CT772" s="567"/>
      <c r="CU772" s="567"/>
      <c r="CV772" s="567"/>
      <c r="CW772" s="567"/>
      <c r="CX772" s="567"/>
      <c r="CY772" s="567"/>
      <c r="CZ772" s="567"/>
      <c r="DA772" s="567"/>
      <c r="DB772" s="567"/>
      <c r="DC772" s="567"/>
      <c r="DD772" s="567"/>
      <c r="DE772" s="567"/>
      <c r="DF772" s="567"/>
      <c r="DG772" s="567"/>
      <c r="DH772" s="567"/>
      <c r="DI772" s="567"/>
      <c r="DJ772" s="567"/>
      <c r="DK772" s="567"/>
      <c r="DL772" s="567"/>
      <c r="DM772" s="567"/>
      <c r="DN772" s="567"/>
      <c r="DO772" s="567"/>
      <c r="DP772" s="567"/>
      <c r="DQ772" s="567"/>
      <c r="DR772" s="567"/>
      <c r="DS772" s="567"/>
      <c r="DT772" s="567"/>
      <c r="DU772" s="567"/>
      <c r="DV772" s="567"/>
      <c r="DW772" s="567"/>
      <c r="DX772" s="567"/>
      <c r="DY772" s="567"/>
      <c r="DZ772" s="567"/>
      <c r="EA772" s="567"/>
      <c r="EB772" s="567"/>
      <c r="EC772" s="567"/>
      <c r="ED772" s="567"/>
      <c r="EE772" s="567"/>
      <c r="EF772" s="567"/>
      <c r="EG772" s="567"/>
      <c r="EH772" s="567"/>
      <c r="EI772" s="567"/>
      <c r="EJ772" s="567"/>
      <c r="EK772" s="567"/>
      <c r="EL772" s="567"/>
      <c r="EM772" s="567"/>
      <c r="EN772" s="567"/>
      <c r="EO772" s="567"/>
      <c r="EP772" s="567"/>
      <c r="EQ772" s="567"/>
      <c r="ER772" s="567"/>
      <c r="ES772" s="567"/>
      <c r="ET772" s="567"/>
      <c r="EU772" s="567"/>
      <c r="EV772" s="567"/>
      <c r="EW772" s="567"/>
      <c r="EX772" s="567"/>
      <c r="EY772" s="567"/>
      <c r="EZ772" s="567"/>
      <c r="FA772" s="567"/>
      <c r="FB772" s="567"/>
      <c r="FC772" s="567"/>
      <c r="FD772" s="567"/>
      <c r="FE772" s="567"/>
      <c r="FF772" s="567"/>
      <c r="FG772" s="567"/>
      <c r="FH772" s="567"/>
      <c r="FI772" s="567"/>
      <c r="FJ772" s="567"/>
      <c r="FK772" s="567"/>
      <c r="FL772" s="567"/>
      <c r="FM772" s="567"/>
      <c r="FN772" s="567"/>
      <c r="FO772" s="567"/>
      <c r="FP772" s="567"/>
      <c r="FQ772" s="567"/>
      <c r="FR772" s="567"/>
      <c r="FS772" s="567"/>
      <c r="FT772" s="567"/>
      <c r="FU772" s="567"/>
      <c r="FV772" s="567"/>
      <c r="FW772" s="567"/>
      <c r="FX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  <c r="BW773" s="567"/>
      <c r="BX773" s="567"/>
      <c r="BY773" s="567"/>
      <c r="BZ773" s="567"/>
      <c r="CA773" s="567"/>
      <c r="CB773" s="567"/>
      <c r="CC773" s="567"/>
      <c r="CD773" s="567"/>
      <c r="CE773" s="567"/>
      <c r="CF773" s="567"/>
      <c r="CG773" s="567"/>
      <c r="CH773" s="567"/>
      <c r="CI773" s="567"/>
      <c r="CJ773" s="567"/>
      <c r="CK773" s="567"/>
      <c r="CL773" s="567"/>
      <c r="CM773" s="567"/>
      <c r="CN773" s="567"/>
      <c r="CO773" s="567"/>
      <c r="CP773" s="567"/>
      <c r="CQ773" s="567"/>
      <c r="CR773" s="567"/>
      <c r="CS773" s="567"/>
      <c r="CT773" s="567"/>
      <c r="CU773" s="567"/>
      <c r="CV773" s="567"/>
      <c r="CW773" s="567"/>
      <c r="CX773" s="567"/>
      <c r="CY773" s="567"/>
      <c r="CZ773" s="567"/>
      <c r="DA773" s="567"/>
      <c r="DB773" s="567"/>
      <c r="DC773" s="567"/>
      <c r="DD773" s="567"/>
      <c r="DE773" s="567"/>
      <c r="DF773" s="567"/>
      <c r="DG773" s="567"/>
      <c r="DH773" s="567"/>
      <c r="DI773" s="567"/>
      <c r="DJ773" s="567"/>
      <c r="DK773" s="567"/>
      <c r="DL773" s="567"/>
      <c r="DM773" s="567"/>
      <c r="DN773" s="567"/>
      <c r="DO773" s="567"/>
      <c r="DP773" s="567"/>
      <c r="DQ773" s="567"/>
      <c r="DR773" s="567"/>
      <c r="DS773" s="567"/>
      <c r="DT773" s="567"/>
      <c r="DU773" s="567"/>
      <c r="DV773" s="567"/>
      <c r="DW773" s="567"/>
      <c r="DX773" s="567"/>
      <c r="DY773" s="567"/>
      <c r="DZ773" s="567"/>
      <c r="EA773" s="567"/>
      <c r="EB773" s="567"/>
      <c r="EC773" s="567"/>
      <c r="ED773" s="567"/>
      <c r="EE773" s="567"/>
      <c r="EF773" s="567"/>
      <c r="EG773" s="567"/>
      <c r="EH773" s="567"/>
      <c r="EI773" s="567"/>
      <c r="EJ773" s="567"/>
      <c r="EK773" s="567"/>
      <c r="EL773" s="567"/>
      <c r="EM773" s="567"/>
      <c r="EN773" s="567"/>
      <c r="EO773" s="567"/>
      <c r="EP773" s="567"/>
      <c r="EQ773" s="567"/>
      <c r="ER773" s="567"/>
      <c r="ES773" s="567"/>
      <c r="ET773" s="567"/>
      <c r="EU773" s="567"/>
      <c r="EV773" s="567"/>
      <c r="EW773" s="567"/>
      <c r="EX773" s="567"/>
      <c r="EY773" s="567"/>
      <c r="EZ773" s="567"/>
      <c r="FA773" s="567"/>
      <c r="FB773" s="567"/>
      <c r="FC773" s="567"/>
      <c r="FD773" s="567"/>
      <c r="FE773" s="567"/>
      <c r="FF773" s="567"/>
      <c r="FG773" s="567"/>
      <c r="FH773" s="567"/>
      <c r="FI773" s="567"/>
      <c r="FJ773" s="567"/>
      <c r="FK773" s="567"/>
      <c r="FL773" s="567"/>
      <c r="FM773" s="567"/>
      <c r="FN773" s="567"/>
      <c r="FO773" s="567"/>
      <c r="FP773" s="567"/>
      <c r="FQ773" s="567"/>
      <c r="FR773" s="567"/>
      <c r="FS773" s="567"/>
      <c r="FT773" s="567"/>
      <c r="FU773" s="567"/>
      <c r="FV773" s="567"/>
      <c r="FW773" s="567"/>
      <c r="FX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  <c r="BW774" s="567"/>
      <c r="BX774" s="567"/>
      <c r="BY774" s="567"/>
      <c r="BZ774" s="567"/>
      <c r="CA774" s="567"/>
      <c r="CB774" s="567"/>
      <c r="CC774" s="567"/>
      <c r="CD774" s="567"/>
      <c r="CE774" s="567"/>
      <c r="CF774" s="567"/>
      <c r="CG774" s="567"/>
      <c r="CH774" s="567"/>
      <c r="CI774" s="567"/>
      <c r="CJ774" s="567"/>
      <c r="CK774" s="567"/>
      <c r="CL774" s="567"/>
      <c r="CM774" s="567"/>
      <c r="CN774" s="567"/>
      <c r="CO774" s="567"/>
      <c r="CP774" s="567"/>
      <c r="CQ774" s="567"/>
      <c r="CR774" s="567"/>
      <c r="CS774" s="567"/>
      <c r="CT774" s="567"/>
      <c r="CU774" s="567"/>
      <c r="CV774" s="567"/>
      <c r="CW774" s="567"/>
      <c r="CX774" s="567"/>
      <c r="CY774" s="567"/>
      <c r="CZ774" s="567"/>
      <c r="DA774" s="567"/>
      <c r="DB774" s="567"/>
      <c r="DC774" s="567"/>
      <c r="DD774" s="567"/>
      <c r="DE774" s="567"/>
      <c r="DF774" s="567"/>
      <c r="DG774" s="567"/>
      <c r="DH774" s="567"/>
      <c r="DI774" s="567"/>
      <c r="DJ774" s="567"/>
      <c r="DK774" s="567"/>
      <c r="DL774" s="567"/>
      <c r="DM774" s="567"/>
      <c r="DN774" s="567"/>
      <c r="DO774" s="567"/>
      <c r="DP774" s="567"/>
      <c r="DQ774" s="567"/>
      <c r="DR774" s="567"/>
      <c r="DS774" s="567"/>
      <c r="DT774" s="567"/>
      <c r="DU774" s="567"/>
      <c r="DV774" s="567"/>
      <c r="DW774" s="567"/>
      <c r="DX774" s="567"/>
      <c r="DY774" s="567"/>
      <c r="DZ774" s="567"/>
      <c r="EA774" s="567"/>
      <c r="EB774" s="567"/>
      <c r="EC774" s="567"/>
      <c r="ED774" s="567"/>
      <c r="EE774" s="567"/>
      <c r="EF774" s="567"/>
      <c r="EG774" s="567"/>
      <c r="EH774" s="567"/>
      <c r="EI774" s="567"/>
      <c r="EJ774" s="567"/>
      <c r="EK774" s="567"/>
      <c r="EL774" s="567"/>
      <c r="EM774" s="567"/>
      <c r="EN774" s="567"/>
      <c r="EO774" s="567"/>
      <c r="EP774" s="567"/>
      <c r="EQ774" s="567"/>
      <c r="ER774" s="567"/>
      <c r="ES774" s="567"/>
      <c r="ET774" s="567"/>
      <c r="EU774" s="567"/>
      <c r="EV774" s="567"/>
      <c r="EW774" s="567"/>
      <c r="EX774" s="567"/>
      <c r="EY774" s="567"/>
      <c r="EZ774" s="567"/>
      <c r="FA774" s="567"/>
      <c r="FB774" s="567"/>
      <c r="FC774" s="567"/>
      <c r="FD774" s="567"/>
      <c r="FE774" s="567"/>
      <c r="FF774" s="567"/>
      <c r="FG774" s="567"/>
      <c r="FH774" s="567"/>
      <c r="FI774" s="567"/>
      <c r="FJ774" s="567"/>
      <c r="FK774" s="567"/>
      <c r="FL774" s="567"/>
      <c r="FM774" s="567"/>
      <c r="FN774" s="567"/>
      <c r="FO774" s="567"/>
      <c r="FP774" s="567"/>
      <c r="FQ774" s="567"/>
      <c r="FR774" s="567"/>
      <c r="FS774" s="567"/>
      <c r="FT774" s="567"/>
      <c r="FU774" s="567"/>
      <c r="FV774" s="567"/>
      <c r="FW774" s="567"/>
      <c r="FX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  <c r="BW775" s="567"/>
      <c r="BX775" s="567"/>
      <c r="BY775" s="567"/>
      <c r="BZ775" s="567"/>
      <c r="CA775" s="567"/>
      <c r="CB775" s="567"/>
      <c r="CC775" s="567"/>
      <c r="CD775" s="567"/>
      <c r="CE775" s="567"/>
      <c r="CF775" s="567"/>
      <c r="CG775" s="567"/>
      <c r="CH775" s="567"/>
      <c r="CI775" s="567"/>
      <c r="CJ775" s="567"/>
      <c r="CK775" s="567"/>
      <c r="CL775" s="567"/>
      <c r="CM775" s="567"/>
      <c r="CN775" s="567"/>
      <c r="CO775" s="567"/>
      <c r="CP775" s="567"/>
      <c r="CQ775" s="567"/>
      <c r="CR775" s="567"/>
      <c r="CS775" s="567"/>
      <c r="CT775" s="567"/>
      <c r="CU775" s="567"/>
      <c r="CV775" s="567"/>
      <c r="CW775" s="567"/>
      <c r="CX775" s="567"/>
      <c r="CY775" s="567"/>
      <c r="CZ775" s="567"/>
      <c r="DA775" s="567"/>
      <c r="DB775" s="567"/>
      <c r="DC775" s="567"/>
      <c r="DD775" s="567"/>
      <c r="DE775" s="567"/>
      <c r="DF775" s="567"/>
      <c r="DG775" s="567"/>
      <c r="DH775" s="567"/>
      <c r="DI775" s="567"/>
      <c r="DJ775" s="567"/>
      <c r="DK775" s="567"/>
      <c r="DL775" s="567"/>
      <c r="DM775" s="567"/>
      <c r="DN775" s="567"/>
      <c r="DO775" s="567"/>
      <c r="DP775" s="567"/>
      <c r="DQ775" s="567"/>
      <c r="DR775" s="567"/>
      <c r="DS775" s="567"/>
      <c r="DT775" s="567"/>
      <c r="DU775" s="567"/>
      <c r="DV775" s="567"/>
      <c r="DW775" s="567"/>
      <c r="DX775" s="567"/>
      <c r="DY775" s="567"/>
      <c r="DZ775" s="567"/>
      <c r="EA775" s="567"/>
      <c r="EB775" s="567"/>
      <c r="EC775" s="567"/>
      <c r="ED775" s="567"/>
      <c r="EE775" s="567"/>
      <c r="EF775" s="567"/>
      <c r="EG775" s="567"/>
      <c r="EH775" s="567"/>
      <c r="EI775" s="567"/>
      <c r="EJ775" s="567"/>
      <c r="EK775" s="567"/>
      <c r="EL775" s="567"/>
      <c r="EM775" s="567"/>
      <c r="EN775" s="567"/>
      <c r="EO775" s="567"/>
      <c r="EP775" s="567"/>
      <c r="EQ775" s="567"/>
      <c r="ER775" s="567"/>
      <c r="ES775" s="567"/>
      <c r="ET775" s="567"/>
      <c r="EU775" s="567"/>
      <c r="EV775" s="567"/>
      <c r="EW775" s="567"/>
      <c r="EX775" s="567"/>
      <c r="EY775" s="567"/>
      <c r="EZ775" s="567"/>
      <c r="FA775" s="567"/>
      <c r="FB775" s="567"/>
      <c r="FC775" s="567"/>
      <c r="FD775" s="567"/>
      <c r="FE775" s="567"/>
      <c r="FF775" s="567"/>
      <c r="FG775" s="567"/>
      <c r="FH775" s="567"/>
      <c r="FI775" s="567"/>
      <c r="FJ775" s="567"/>
      <c r="FK775" s="567"/>
      <c r="FL775" s="567"/>
      <c r="FM775" s="567"/>
      <c r="FN775" s="567"/>
      <c r="FO775" s="567"/>
      <c r="FP775" s="567"/>
      <c r="FQ775" s="567"/>
      <c r="FR775" s="567"/>
      <c r="FS775" s="567"/>
      <c r="FT775" s="567"/>
      <c r="FU775" s="567"/>
      <c r="FV775" s="567"/>
      <c r="FW775" s="567"/>
      <c r="FX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  <c r="BW776" s="567"/>
      <c r="BX776" s="567"/>
      <c r="BY776" s="567"/>
      <c r="BZ776" s="567"/>
      <c r="CA776" s="567"/>
      <c r="CB776" s="567"/>
      <c r="CC776" s="567"/>
      <c r="CD776" s="567"/>
      <c r="CE776" s="567"/>
      <c r="CF776" s="567"/>
      <c r="CG776" s="567"/>
      <c r="CH776" s="567"/>
      <c r="CI776" s="567"/>
      <c r="CJ776" s="567"/>
      <c r="CK776" s="567"/>
      <c r="CL776" s="567"/>
      <c r="CM776" s="567"/>
      <c r="CN776" s="567"/>
      <c r="CO776" s="567"/>
      <c r="CP776" s="567"/>
      <c r="CQ776" s="567"/>
      <c r="CR776" s="567"/>
      <c r="CS776" s="567"/>
      <c r="CT776" s="567"/>
      <c r="CU776" s="567"/>
      <c r="CV776" s="567"/>
      <c r="CW776" s="567"/>
      <c r="CX776" s="567"/>
      <c r="CY776" s="567"/>
      <c r="CZ776" s="567"/>
      <c r="DA776" s="567"/>
      <c r="DB776" s="567"/>
      <c r="DC776" s="567"/>
      <c r="DD776" s="567"/>
      <c r="DE776" s="567"/>
      <c r="DF776" s="567"/>
      <c r="DG776" s="567"/>
      <c r="DH776" s="567"/>
      <c r="DI776" s="567"/>
      <c r="DJ776" s="567"/>
      <c r="DK776" s="567"/>
      <c r="DL776" s="567"/>
      <c r="DM776" s="567"/>
      <c r="DN776" s="567"/>
      <c r="DO776" s="567"/>
      <c r="DP776" s="567"/>
      <c r="DQ776" s="567"/>
      <c r="DR776" s="567"/>
      <c r="DS776" s="567"/>
      <c r="DT776" s="567"/>
      <c r="DU776" s="567"/>
      <c r="DV776" s="567"/>
      <c r="DW776" s="567"/>
      <c r="DX776" s="567"/>
      <c r="DY776" s="567"/>
      <c r="DZ776" s="567"/>
      <c r="EA776" s="567"/>
      <c r="EB776" s="567"/>
      <c r="EC776" s="567"/>
      <c r="ED776" s="567"/>
      <c r="EE776" s="567"/>
      <c r="EF776" s="567"/>
      <c r="EG776" s="567"/>
      <c r="EH776" s="567"/>
      <c r="EI776" s="567"/>
      <c r="EJ776" s="567"/>
      <c r="EK776" s="567"/>
      <c r="EL776" s="567"/>
      <c r="EM776" s="567"/>
      <c r="EN776" s="567"/>
      <c r="EO776" s="567"/>
      <c r="EP776" s="567"/>
      <c r="EQ776" s="567"/>
      <c r="ER776" s="567"/>
      <c r="ES776" s="567"/>
      <c r="ET776" s="567"/>
      <c r="EU776" s="567"/>
      <c r="EV776" s="567"/>
      <c r="EW776" s="567"/>
      <c r="EX776" s="567"/>
      <c r="EY776" s="567"/>
      <c r="EZ776" s="567"/>
      <c r="FA776" s="567"/>
      <c r="FB776" s="567"/>
      <c r="FC776" s="567"/>
      <c r="FD776" s="567"/>
      <c r="FE776" s="567"/>
      <c r="FF776" s="567"/>
      <c r="FG776" s="567"/>
      <c r="FH776" s="567"/>
      <c r="FI776" s="567"/>
      <c r="FJ776" s="567"/>
      <c r="FK776" s="567"/>
      <c r="FL776" s="567"/>
      <c r="FM776" s="567"/>
      <c r="FN776" s="567"/>
      <c r="FO776" s="567"/>
      <c r="FP776" s="567"/>
      <c r="FQ776" s="567"/>
      <c r="FR776" s="567"/>
      <c r="FS776" s="567"/>
      <c r="FT776" s="567"/>
      <c r="FU776" s="567"/>
      <c r="FV776" s="567"/>
      <c r="FW776" s="567"/>
      <c r="FX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  <c r="BW777" s="567"/>
      <c r="BX777" s="567"/>
      <c r="BY777" s="567"/>
      <c r="BZ777" s="567"/>
      <c r="CA777" s="567"/>
      <c r="CB777" s="567"/>
      <c r="CC777" s="567"/>
      <c r="CD777" s="567"/>
      <c r="CE777" s="567"/>
      <c r="CF777" s="567"/>
      <c r="CG777" s="567"/>
      <c r="CH777" s="567"/>
      <c r="CI777" s="567"/>
      <c r="CJ777" s="567"/>
      <c r="CK777" s="567"/>
      <c r="CL777" s="567"/>
      <c r="CM777" s="567"/>
      <c r="CN777" s="567"/>
      <c r="CO777" s="567"/>
      <c r="CP777" s="567"/>
      <c r="CQ777" s="567"/>
      <c r="CR777" s="567"/>
      <c r="CS777" s="567"/>
      <c r="CT777" s="567"/>
      <c r="CU777" s="567"/>
      <c r="CV777" s="567"/>
      <c r="CW777" s="567"/>
      <c r="CX777" s="567"/>
      <c r="CY777" s="567"/>
      <c r="CZ777" s="567"/>
      <c r="DA777" s="567"/>
      <c r="DB777" s="567"/>
      <c r="DC777" s="567"/>
      <c r="DD777" s="567"/>
      <c r="DE777" s="567"/>
      <c r="DF777" s="567"/>
      <c r="DG777" s="567"/>
      <c r="DH777" s="567"/>
      <c r="DI777" s="567"/>
      <c r="DJ777" s="567"/>
      <c r="DK777" s="567"/>
      <c r="DL777" s="567"/>
      <c r="DM777" s="567"/>
      <c r="DN777" s="567"/>
      <c r="DO777" s="567"/>
      <c r="DP777" s="567"/>
      <c r="DQ777" s="567"/>
      <c r="DR777" s="567"/>
      <c r="DS777" s="567"/>
      <c r="DT777" s="567"/>
      <c r="DU777" s="567"/>
      <c r="DV777" s="567"/>
      <c r="DW777" s="567"/>
      <c r="DX777" s="567"/>
      <c r="DY777" s="567"/>
      <c r="DZ777" s="567"/>
      <c r="EA777" s="567"/>
      <c r="EB777" s="567"/>
      <c r="EC777" s="567"/>
      <c r="ED777" s="567"/>
      <c r="EE777" s="567"/>
      <c r="EF777" s="567"/>
      <c r="EG777" s="567"/>
      <c r="EH777" s="567"/>
      <c r="EI777" s="567"/>
      <c r="EJ777" s="567"/>
      <c r="EK777" s="567"/>
      <c r="EL777" s="567"/>
      <c r="EM777" s="567"/>
      <c r="EN777" s="567"/>
      <c r="EO777" s="567"/>
      <c r="EP777" s="567"/>
      <c r="EQ777" s="567"/>
      <c r="ER777" s="567"/>
      <c r="ES777" s="567"/>
      <c r="ET777" s="567"/>
      <c r="EU777" s="567"/>
      <c r="EV777" s="567"/>
      <c r="EW777" s="567"/>
      <c r="EX777" s="567"/>
      <c r="EY777" s="567"/>
      <c r="EZ777" s="567"/>
      <c r="FA777" s="567"/>
      <c r="FB777" s="567"/>
      <c r="FC777" s="567"/>
      <c r="FD777" s="567"/>
      <c r="FE777" s="567"/>
      <c r="FF777" s="567"/>
      <c r="FG777" s="567"/>
      <c r="FH777" s="567"/>
      <c r="FI777" s="567"/>
      <c r="FJ777" s="567"/>
      <c r="FK777" s="567"/>
      <c r="FL777" s="567"/>
      <c r="FM777" s="567"/>
      <c r="FN777" s="567"/>
      <c r="FO777" s="567"/>
      <c r="FP777" s="567"/>
      <c r="FQ777" s="567"/>
      <c r="FR777" s="567"/>
      <c r="FS777" s="567"/>
      <c r="FT777" s="567"/>
      <c r="FU777" s="567"/>
      <c r="FV777" s="567"/>
      <c r="FW777" s="567"/>
      <c r="FX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  <c r="BW778" s="567"/>
      <c r="BX778" s="567"/>
      <c r="BY778" s="567"/>
      <c r="BZ778" s="567"/>
      <c r="CA778" s="567"/>
      <c r="CB778" s="567"/>
      <c r="CC778" s="567"/>
      <c r="CD778" s="567"/>
      <c r="CE778" s="567"/>
      <c r="CF778" s="567"/>
      <c r="CG778" s="567"/>
      <c r="CH778" s="567"/>
      <c r="CI778" s="567"/>
      <c r="CJ778" s="567"/>
      <c r="CK778" s="567"/>
      <c r="CL778" s="567"/>
      <c r="CM778" s="567"/>
      <c r="CN778" s="567"/>
      <c r="CO778" s="567"/>
      <c r="CP778" s="567"/>
      <c r="CQ778" s="567"/>
      <c r="CR778" s="567"/>
      <c r="CS778" s="567"/>
      <c r="CT778" s="567"/>
      <c r="CU778" s="567"/>
      <c r="CV778" s="567"/>
      <c r="CW778" s="567"/>
      <c r="CX778" s="567"/>
      <c r="CY778" s="567"/>
      <c r="CZ778" s="567"/>
      <c r="DA778" s="567"/>
      <c r="DB778" s="567"/>
      <c r="DC778" s="567"/>
      <c r="DD778" s="567"/>
      <c r="DE778" s="567"/>
      <c r="DF778" s="567"/>
      <c r="DG778" s="567"/>
      <c r="DH778" s="567"/>
      <c r="DI778" s="567"/>
      <c r="DJ778" s="567"/>
      <c r="DK778" s="567"/>
      <c r="DL778" s="567"/>
      <c r="DM778" s="567"/>
      <c r="DN778" s="567"/>
      <c r="DO778" s="567"/>
      <c r="DP778" s="567"/>
      <c r="DQ778" s="567"/>
      <c r="DR778" s="567"/>
      <c r="DS778" s="567"/>
      <c r="DT778" s="567"/>
      <c r="DU778" s="567"/>
      <c r="DV778" s="567"/>
      <c r="DW778" s="567"/>
      <c r="DX778" s="567"/>
      <c r="DY778" s="567"/>
      <c r="DZ778" s="567"/>
      <c r="EA778" s="567"/>
      <c r="EB778" s="567"/>
      <c r="EC778" s="567"/>
      <c r="ED778" s="567"/>
      <c r="EE778" s="567"/>
      <c r="EF778" s="567"/>
      <c r="EG778" s="567"/>
      <c r="EH778" s="567"/>
      <c r="EI778" s="567"/>
      <c r="EJ778" s="567"/>
      <c r="EK778" s="567"/>
      <c r="EL778" s="567"/>
      <c r="EM778" s="567"/>
      <c r="EN778" s="567"/>
      <c r="EO778" s="567"/>
      <c r="EP778" s="567"/>
      <c r="EQ778" s="567"/>
      <c r="ER778" s="567"/>
      <c r="ES778" s="567"/>
      <c r="ET778" s="567"/>
      <c r="EU778" s="567"/>
      <c r="EV778" s="567"/>
      <c r="EW778" s="567"/>
      <c r="EX778" s="567"/>
      <c r="EY778" s="567"/>
      <c r="EZ778" s="567"/>
      <c r="FA778" s="567"/>
      <c r="FB778" s="567"/>
      <c r="FC778" s="567"/>
      <c r="FD778" s="567"/>
      <c r="FE778" s="567"/>
      <c r="FF778" s="567"/>
      <c r="FG778" s="567"/>
      <c r="FH778" s="567"/>
      <c r="FI778" s="567"/>
      <c r="FJ778" s="567"/>
      <c r="FK778" s="567"/>
      <c r="FL778" s="567"/>
      <c r="FM778" s="567"/>
      <c r="FN778" s="567"/>
      <c r="FO778" s="567"/>
      <c r="FP778" s="567"/>
      <c r="FQ778" s="567"/>
      <c r="FR778" s="567"/>
      <c r="FS778" s="567"/>
      <c r="FT778" s="567"/>
      <c r="FU778" s="567"/>
      <c r="FV778" s="567"/>
      <c r="FW778" s="567"/>
      <c r="FX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  <c r="BW779" s="567"/>
      <c r="BX779" s="567"/>
      <c r="BY779" s="567"/>
      <c r="BZ779" s="567"/>
      <c r="CA779" s="567"/>
      <c r="CB779" s="567"/>
      <c r="CC779" s="567"/>
      <c r="CD779" s="567"/>
      <c r="CE779" s="567"/>
      <c r="CF779" s="567"/>
      <c r="CG779" s="567"/>
      <c r="CH779" s="567"/>
      <c r="CI779" s="567"/>
      <c r="CJ779" s="567"/>
      <c r="CK779" s="567"/>
      <c r="CL779" s="567"/>
      <c r="CM779" s="567"/>
      <c r="CN779" s="567"/>
      <c r="CO779" s="567"/>
      <c r="CP779" s="567"/>
      <c r="CQ779" s="567"/>
      <c r="CR779" s="567"/>
      <c r="CS779" s="567"/>
      <c r="CT779" s="567"/>
      <c r="CU779" s="567"/>
      <c r="CV779" s="567"/>
      <c r="CW779" s="567"/>
      <c r="CX779" s="567"/>
      <c r="CY779" s="567"/>
      <c r="CZ779" s="567"/>
      <c r="DA779" s="567"/>
      <c r="DB779" s="567"/>
      <c r="DC779" s="567"/>
      <c r="DD779" s="567"/>
      <c r="DE779" s="567"/>
      <c r="DF779" s="567"/>
      <c r="DG779" s="567"/>
      <c r="DH779" s="567"/>
      <c r="DI779" s="567"/>
      <c r="DJ779" s="567"/>
      <c r="DK779" s="567"/>
      <c r="DL779" s="567"/>
      <c r="DM779" s="567"/>
      <c r="DN779" s="567"/>
      <c r="DO779" s="567"/>
      <c r="DP779" s="567"/>
      <c r="DQ779" s="567"/>
      <c r="DR779" s="567"/>
      <c r="DS779" s="567"/>
      <c r="DT779" s="567"/>
      <c r="DU779" s="567"/>
      <c r="DV779" s="567"/>
      <c r="DW779" s="567"/>
      <c r="DX779" s="567"/>
      <c r="DY779" s="567"/>
      <c r="DZ779" s="567"/>
      <c r="EA779" s="567"/>
      <c r="EB779" s="567"/>
      <c r="EC779" s="567"/>
      <c r="ED779" s="567"/>
      <c r="EE779" s="567"/>
      <c r="EF779" s="567"/>
      <c r="EG779" s="567"/>
      <c r="EH779" s="567"/>
      <c r="EI779" s="567"/>
      <c r="EJ779" s="567"/>
      <c r="EK779" s="567"/>
      <c r="EL779" s="567"/>
      <c r="EM779" s="567"/>
      <c r="EN779" s="567"/>
      <c r="EO779" s="567"/>
      <c r="EP779" s="567"/>
      <c r="EQ779" s="567"/>
      <c r="ER779" s="567"/>
      <c r="ES779" s="567"/>
      <c r="ET779" s="567"/>
      <c r="EU779" s="567"/>
      <c r="EV779" s="567"/>
      <c r="EW779" s="567"/>
      <c r="EX779" s="567"/>
      <c r="EY779" s="567"/>
      <c r="EZ779" s="567"/>
      <c r="FA779" s="567"/>
      <c r="FB779" s="567"/>
      <c r="FC779" s="567"/>
      <c r="FD779" s="567"/>
      <c r="FE779" s="567"/>
      <c r="FF779" s="567"/>
      <c r="FG779" s="567"/>
      <c r="FH779" s="567"/>
      <c r="FI779" s="567"/>
      <c r="FJ779" s="567"/>
      <c r="FK779" s="567"/>
      <c r="FL779" s="567"/>
      <c r="FM779" s="567"/>
      <c r="FN779" s="567"/>
      <c r="FO779" s="567"/>
      <c r="FP779" s="567"/>
      <c r="FQ779" s="567"/>
      <c r="FR779" s="567"/>
      <c r="FS779" s="567"/>
      <c r="FT779" s="567"/>
      <c r="FU779" s="567"/>
      <c r="FV779" s="567"/>
      <c r="FW779" s="567"/>
      <c r="FX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  <c r="BW780" s="567"/>
      <c r="BX780" s="567"/>
      <c r="BY780" s="567"/>
      <c r="BZ780" s="567"/>
      <c r="CA780" s="567"/>
      <c r="CB780" s="567"/>
      <c r="CC780" s="567"/>
      <c r="CD780" s="567"/>
      <c r="CE780" s="567"/>
      <c r="CF780" s="567"/>
      <c r="CG780" s="567"/>
      <c r="CH780" s="567"/>
      <c r="CI780" s="567"/>
      <c r="CJ780" s="567"/>
      <c r="CK780" s="567"/>
      <c r="CL780" s="567"/>
      <c r="CM780" s="567"/>
      <c r="CN780" s="567"/>
      <c r="CO780" s="567"/>
      <c r="CP780" s="567"/>
      <c r="CQ780" s="567"/>
      <c r="CR780" s="567"/>
      <c r="CS780" s="567"/>
      <c r="CT780" s="567"/>
      <c r="CU780" s="567"/>
      <c r="CV780" s="567"/>
      <c r="CW780" s="567"/>
      <c r="CX780" s="567"/>
      <c r="CY780" s="567"/>
      <c r="CZ780" s="567"/>
      <c r="DA780" s="567"/>
      <c r="DB780" s="567"/>
      <c r="DC780" s="567"/>
      <c r="DD780" s="567"/>
      <c r="DE780" s="567"/>
      <c r="DF780" s="567"/>
      <c r="DG780" s="567"/>
      <c r="DH780" s="567"/>
      <c r="DI780" s="567"/>
      <c r="DJ780" s="567"/>
      <c r="DK780" s="567"/>
      <c r="DL780" s="567"/>
      <c r="DM780" s="567"/>
      <c r="DN780" s="567"/>
      <c r="DO780" s="567"/>
      <c r="DP780" s="567"/>
      <c r="DQ780" s="567"/>
      <c r="DR780" s="567"/>
      <c r="DS780" s="567"/>
      <c r="DT780" s="567"/>
      <c r="DU780" s="567"/>
      <c r="DV780" s="567"/>
      <c r="DW780" s="567"/>
      <c r="DX780" s="567"/>
      <c r="DY780" s="567"/>
      <c r="DZ780" s="567"/>
      <c r="EA780" s="567"/>
      <c r="EB780" s="567"/>
      <c r="EC780" s="567"/>
      <c r="ED780" s="567"/>
      <c r="EE780" s="567"/>
      <c r="EF780" s="567"/>
      <c r="EG780" s="567"/>
      <c r="EH780" s="567"/>
      <c r="EI780" s="567"/>
      <c r="EJ780" s="567"/>
      <c r="EK780" s="567"/>
      <c r="EL780" s="567"/>
      <c r="EM780" s="567"/>
      <c r="EN780" s="567"/>
      <c r="EO780" s="567"/>
      <c r="EP780" s="567"/>
      <c r="EQ780" s="567"/>
      <c r="ER780" s="567"/>
      <c r="ES780" s="567"/>
      <c r="ET780" s="567"/>
      <c r="EU780" s="567"/>
      <c r="EV780" s="567"/>
      <c r="EW780" s="567"/>
      <c r="EX780" s="567"/>
      <c r="EY780" s="567"/>
      <c r="EZ780" s="567"/>
      <c r="FA780" s="567"/>
      <c r="FB780" s="567"/>
      <c r="FC780" s="567"/>
      <c r="FD780" s="567"/>
      <c r="FE780" s="567"/>
      <c r="FF780" s="567"/>
      <c r="FG780" s="567"/>
      <c r="FH780" s="567"/>
      <c r="FI780" s="567"/>
      <c r="FJ780" s="567"/>
      <c r="FK780" s="567"/>
      <c r="FL780" s="567"/>
      <c r="FM780" s="567"/>
      <c r="FN780" s="567"/>
      <c r="FO780" s="567"/>
      <c r="FP780" s="567"/>
      <c r="FQ780" s="567"/>
      <c r="FR780" s="567"/>
      <c r="FS780" s="567"/>
      <c r="FT780" s="567"/>
      <c r="FU780" s="567"/>
      <c r="FV780" s="567"/>
      <c r="FW780" s="567"/>
      <c r="FX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  <c r="BW781" s="567"/>
      <c r="BX781" s="567"/>
      <c r="BY781" s="567"/>
      <c r="BZ781" s="567"/>
      <c r="CA781" s="567"/>
      <c r="CB781" s="567"/>
      <c r="CC781" s="567"/>
      <c r="CD781" s="567"/>
      <c r="CE781" s="567"/>
      <c r="CF781" s="567"/>
      <c r="CG781" s="567"/>
      <c r="CH781" s="567"/>
      <c r="CI781" s="567"/>
      <c r="CJ781" s="567"/>
      <c r="CK781" s="567"/>
      <c r="CL781" s="567"/>
      <c r="CM781" s="567"/>
      <c r="CN781" s="567"/>
      <c r="CO781" s="567"/>
      <c r="CP781" s="567"/>
      <c r="CQ781" s="567"/>
      <c r="CR781" s="567"/>
      <c r="CS781" s="567"/>
      <c r="CT781" s="567"/>
      <c r="CU781" s="567"/>
      <c r="CV781" s="567"/>
      <c r="CW781" s="567"/>
      <c r="CX781" s="567"/>
      <c r="CY781" s="567"/>
      <c r="CZ781" s="567"/>
      <c r="DA781" s="567"/>
      <c r="DB781" s="567"/>
      <c r="DC781" s="567"/>
      <c r="DD781" s="567"/>
      <c r="DE781" s="567"/>
      <c r="DF781" s="567"/>
      <c r="DG781" s="567"/>
      <c r="DH781" s="567"/>
      <c r="DI781" s="567"/>
      <c r="DJ781" s="567"/>
      <c r="DK781" s="567"/>
      <c r="DL781" s="567"/>
      <c r="DM781" s="567"/>
      <c r="DN781" s="567"/>
      <c r="DO781" s="567"/>
      <c r="DP781" s="567"/>
      <c r="DQ781" s="567"/>
      <c r="DR781" s="567"/>
      <c r="DS781" s="567"/>
      <c r="DT781" s="567"/>
      <c r="DU781" s="567"/>
      <c r="DV781" s="567"/>
      <c r="DW781" s="567"/>
      <c r="DX781" s="567"/>
      <c r="DY781" s="567"/>
      <c r="DZ781" s="567"/>
      <c r="EA781" s="567"/>
      <c r="EB781" s="567"/>
      <c r="EC781" s="567"/>
      <c r="ED781" s="567"/>
      <c r="EE781" s="567"/>
      <c r="EF781" s="567"/>
      <c r="EG781" s="567"/>
      <c r="EH781" s="567"/>
      <c r="EI781" s="567"/>
      <c r="EJ781" s="567"/>
      <c r="EK781" s="567"/>
      <c r="EL781" s="567"/>
      <c r="EM781" s="567"/>
      <c r="EN781" s="567"/>
      <c r="EO781" s="567"/>
      <c r="EP781" s="567"/>
      <c r="EQ781" s="567"/>
      <c r="ER781" s="567"/>
      <c r="ES781" s="567"/>
      <c r="ET781" s="567"/>
      <c r="EU781" s="567"/>
      <c r="EV781" s="567"/>
      <c r="EW781" s="567"/>
      <c r="EX781" s="567"/>
      <c r="EY781" s="567"/>
      <c r="EZ781" s="567"/>
      <c r="FA781" s="567"/>
      <c r="FB781" s="567"/>
      <c r="FC781" s="567"/>
      <c r="FD781" s="567"/>
      <c r="FE781" s="567"/>
      <c r="FF781" s="567"/>
      <c r="FG781" s="567"/>
      <c r="FH781" s="567"/>
      <c r="FI781" s="567"/>
      <c r="FJ781" s="567"/>
      <c r="FK781" s="567"/>
      <c r="FL781" s="567"/>
      <c r="FM781" s="567"/>
      <c r="FN781" s="567"/>
      <c r="FO781" s="567"/>
      <c r="FP781" s="567"/>
      <c r="FQ781" s="567"/>
      <c r="FR781" s="567"/>
      <c r="FS781" s="567"/>
      <c r="FT781" s="567"/>
      <c r="FU781" s="567"/>
      <c r="FV781" s="567"/>
      <c r="FW781" s="567"/>
      <c r="FX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  <c r="BW782" s="567"/>
      <c r="BX782" s="567"/>
      <c r="BY782" s="567"/>
      <c r="BZ782" s="567"/>
      <c r="CA782" s="567"/>
      <c r="CB782" s="567"/>
      <c r="CC782" s="567"/>
      <c r="CD782" s="567"/>
      <c r="CE782" s="567"/>
      <c r="CF782" s="567"/>
      <c r="CG782" s="567"/>
      <c r="CH782" s="567"/>
      <c r="CI782" s="567"/>
      <c r="CJ782" s="567"/>
      <c r="CK782" s="567"/>
      <c r="CL782" s="567"/>
      <c r="CM782" s="567"/>
      <c r="CN782" s="567"/>
      <c r="CO782" s="567"/>
      <c r="CP782" s="567"/>
      <c r="CQ782" s="567"/>
      <c r="CR782" s="567"/>
      <c r="CS782" s="567"/>
      <c r="CT782" s="567"/>
      <c r="CU782" s="567"/>
      <c r="CV782" s="567"/>
      <c r="CW782" s="567"/>
      <c r="CX782" s="567"/>
      <c r="CY782" s="567"/>
      <c r="CZ782" s="567"/>
      <c r="DA782" s="567"/>
      <c r="DB782" s="567"/>
      <c r="DC782" s="567"/>
      <c r="DD782" s="567"/>
      <c r="DE782" s="567"/>
      <c r="DF782" s="567"/>
      <c r="DG782" s="567"/>
      <c r="DH782" s="567"/>
      <c r="DI782" s="567"/>
      <c r="DJ782" s="567"/>
      <c r="DK782" s="567"/>
      <c r="DL782" s="567"/>
      <c r="DM782" s="567"/>
      <c r="DN782" s="567"/>
      <c r="DO782" s="567"/>
      <c r="DP782" s="567"/>
      <c r="DQ782" s="567"/>
      <c r="DR782" s="567"/>
      <c r="DS782" s="567"/>
      <c r="DT782" s="567"/>
      <c r="DU782" s="567"/>
      <c r="DV782" s="567"/>
      <c r="DW782" s="567"/>
      <c r="DX782" s="567"/>
      <c r="DY782" s="567"/>
      <c r="DZ782" s="567"/>
      <c r="EA782" s="567"/>
      <c r="EB782" s="567"/>
      <c r="EC782" s="567"/>
      <c r="ED782" s="567"/>
      <c r="EE782" s="567"/>
      <c r="EF782" s="567"/>
      <c r="EG782" s="567"/>
      <c r="EH782" s="567"/>
      <c r="EI782" s="567"/>
      <c r="EJ782" s="567"/>
      <c r="EK782" s="567"/>
      <c r="EL782" s="567"/>
      <c r="EM782" s="567"/>
      <c r="EN782" s="567"/>
      <c r="EO782" s="567"/>
      <c r="EP782" s="567"/>
      <c r="EQ782" s="567"/>
      <c r="ER782" s="567"/>
      <c r="ES782" s="567"/>
      <c r="ET782" s="567"/>
      <c r="EU782" s="567"/>
      <c r="EV782" s="567"/>
      <c r="EW782" s="567"/>
      <c r="EX782" s="567"/>
      <c r="EY782" s="567"/>
      <c r="EZ782" s="567"/>
      <c r="FA782" s="567"/>
      <c r="FB782" s="567"/>
      <c r="FC782" s="567"/>
      <c r="FD782" s="567"/>
      <c r="FE782" s="567"/>
      <c r="FF782" s="567"/>
      <c r="FG782" s="567"/>
      <c r="FH782" s="567"/>
      <c r="FI782" s="567"/>
      <c r="FJ782" s="567"/>
      <c r="FK782" s="567"/>
      <c r="FL782" s="567"/>
      <c r="FM782" s="567"/>
      <c r="FN782" s="567"/>
      <c r="FO782" s="567"/>
      <c r="FP782" s="567"/>
      <c r="FQ782" s="567"/>
      <c r="FR782" s="567"/>
      <c r="FS782" s="567"/>
      <c r="FT782" s="567"/>
      <c r="FU782" s="567"/>
      <c r="FV782" s="567"/>
      <c r="FW782" s="567"/>
      <c r="FX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  <c r="BW783" s="567"/>
      <c r="BX783" s="567"/>
      <c r="BY783" s="567"/>
      <c r="BZ783" s="567"/>
      <c r="CA783" s="567"/>
      <c r="CB783" s="567"/>
      <c r="CC783" s="567"/>
      <c r="CD783" s="567"/>
      <c r="CE783" s="567"/>
      <c r="CF783" s="567"/>
      <c r="CG783" s="567"/>
      <c r="CH783" s="567"/>
      <c r="CI783" s="567"/>
      <c r="CJ783" s="567"/>
      <c r="CK783" s="567"/>
      <c r="CL783" s="567"/>
      <c r="CM783" s="567"/>
      <c r="CN783" s="567"/>
      <c r="CO783" s="567"/>
      <c r="CP783" s="567"/>
      <c r="CQ783" s="567"/>
      <c r="CR783" s="567"/>
      <c r="CS783" s="567"/>
      <c r="CT783" s="567"/>
      <c r="CU783" s="567"/>
      <c r="CV783" s="567"/>
      <c r="CW783" s="567"/>
      <c r="CX783" s="567"/>
      <c r="CY783" s="567"/>
      <c r="CZ783" s="567"/>
      <c r="DA783" s="567"/>
      <c r="DB783" s="567"/>
      <c r="DC783" s="567"/>
      <c r="DD783" s="567"/>
      <c r="DE783" s="567"/>
      <c r="DF783" s="567"/>
      <c r="DG783" s="567"/>
      <c r="DH783" s="567"/>
      <c r="DI783" s="567"/>
      <c r="DJ783" s="567"/>
      <c r="DK783" s="567"/>
      <c r="DL783" s="567"/>
      <c r="DM783" s="567"/>
      <c r="DN783" s="567"/>
      <c r="DO783" s="567"/>
      <c r="DP783" s="567"/>
      <c r="DQ783" s="567"/>
      <c r="DR783" s="567"/>
      <c r="DS783" s="567"/>
      <c r="DT783" s="567"/>
      <c r="DU783" s="567"/>
      <c r="DV783" s="567"/>
      <c r="DW783" s="567"/>
      <c r="DX783" s="567"/>
      <c r="DY783" s="567"/>
      <c r="DZ783" s="567"/>
      <c r="EA783" s="567"/>
      <c r="EB783" s="567"/>
      <c r="EC783" s="567"/>
      <c r="ED783" s="567"/>
      <c r="EE783" s="567"/>
      <c r="EF783" s="567"/>
      <c r="EG783" s="567"/>
      <c r="EH783" s="567"/>
      <c r="EI783" s="567"/>
      <c r="EJ783" s="567"/>
      <c r="EK783" s="567"/>
      <c r="EL783" s="567"/>
      <c r="EM783" s="567"/>
      <c r="EN783" s="567"/>
      <c r="EO783" s="567"/>
      <c r="EP783" s="567"/>
      <c r="EQ783" s="567"/>
      <c r="ER783" s="567"/>
      <c r="ES783" s="567"/>
      <c r="ET783" s="567"/>
      <c r="EU783" s="567"/>
      <c r="EV783" s="567"/>
      <c r="EW783" s="567"/>
      <c r="EX783" s="567"/>
      <c r="EY783" s="567"/>
      <c r="EZ783" s="567"/>
      <c r="FA783" s="567"/>
      <c r="FB783" s="567"/>
      <c r="FC783" s="567"/>
      <c r="FD783" s="567"/>
      <c r="FE783" s="567"/>
      <c r="FF783" s="567"/>
      <c r="FG783" s="567"/>
      <c r="FH783" s="567"/>
      <c r="FI783" s="567"/>
      <c r="FJ783" s="567"/>
      <c r="FK783" s="567"/>
      <c r="FL783" s="567"/>
      <c r="FM783" s="567"/>
      <c r="FN783" s="567"/>
      <c r="FO783" s="567"/>
      <c r="FP783" s="567"/>
      <c r="FQ783" s="567"/>
      <c r="FR783" s="567"/>
      <c r="FS783" s="567"/>
      <c r="FT783" s="567"/>
      <c r="FU783" s="567"/>
      <c r="FV783" s="567"/>
      <c r="FW783" s="567"/>
      <c r="FX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  <c r="BW784" s="567"/>
      <c r="BX784" s="567"/>
      <c r="BY784" s="567"/>
      <c r="BZ784" s="567"/>
      <c r="CA784" s="567"/>
      <c r="CB784" s="567"/>
      <c r="CC784" s="567"/>
      <c r="CD784" s="567"/>
      <c r="CE784" s="567"/>
      <c r="CF784" s="567"/>
      <c r="CG784" s="567"/>
      <c r="CH784" s="567"/>
      <c r="CI784" s="567"/>
      <c r="CJ784" s="567"/>
      <c r="CK784" s="567"/>
      <c r="CL784" s="567"/>
      <c r="CM784" s="567"/>
      <c r="CN784" s="567"/>
      <c r="CO784" s="567"/>
      <c r="CP784" s="567"/>
      <c r="CQ784" s="567"/>
      <c r="CR784" s="567"/>
      <c r="CS784" s="567"/>
      <c r="CT784" s="567"/>
      <c r="CU784" s="567"/>
      <c r="CV784" s="567"/>
      <c r="CW784" s="567"/>
      <c r="CX784" s="567"/>
      <c r="CY784" s="567"/>
      <c r="CZ784" s="567"/>
      <c r="DA784" s="567"/>
      <c r="DB784" s="567"/>
      <c r="DC784" s="567"/>
      <c r="DD784" s="567"/>
      <c r="DE784" s="567"/>
      <c r="DF784" s="567"/>
      <c r="DG784" s="567"/>
      <c r="DH784" s="567"/>
      <c r="DI784" s="567"/>
      <c r="DJ784" s="567"/>
      <c r="DK784" s="567"/>
      <c r="DL784" s="567"/>
      <c r="DM784" s="567"/>
      <c r="DN784" s="567"/>
      <c r="DO784" s="567"/>
      <c r="DP784" s="567"/>
      <c r="DQ784" s="567"/>
      <c r="DR784" s="567"/>
      <c r="DS784" s="567"/>
      <c r="DT784" s="567"/>
      <c r="DU784" s="567"/>
      <c r="DV784" s="567"/>
      <c r="DW784" s="567"/>
      <c r="DX784" s="567"/>
      <c r="DY784" s="567"/>
      <c r="DZ784" s="567"/>
      <c r="EA784" s="567"/>
      <c r="EB784" s="567"/>
      <c r="EC784" s="567"/>
      <c r="ED784" s="567"/>
      <c r="EE784" s="567"/>
      <c r="EF784" s="567"/>
      <c r="EG784" s="567"/>
      <c r="EH784" s="567"/>
      <c r="EI784" s="567"/>
      <c r="EJ784" s="567"/>
      <c r="EK784" s="567"/>
      <c r="EL784" s="567"/>
      <c r="EM784" s="567"/>
      <c r="EN784" s="567"/>
      <c r="EO784" s="567"/>
      <c r="EP784" s="567"/>
      <c r="EQ784" s="567"/>
      <c r="ER784" s="567"/>
      <c r="ES784" s="567"/>
      <c r="ET784" s="567"/>
      <c r="EU784" s="567"/>
      <c r="EV784" s="567"/>
      <c r="EW784" s="567"/>
      <c r="EX784" s="567"/>
      <c r="EY784" s="567"/>
      <c r="EZ784" s="567"/>
      <c r="FA784" s="567"/>
      <c r="FB784" s="567"/>
      <c r="FC784" s="567"/>
      <c r="FD784" s="567"/>
      <c r="FE784" s="567"/>
      <c r="FF784" s="567"/>
      <c r="FG784" s="567"/>
      <c r="FH784" s="567"/>
      <c r="FI784" s="567"/>
      <c r="FJ784" s="567"/>
      <c r="FK784" s="567"/>
      <c r="FL784" s="567"/>
      <c r="FM784" s="567"/>
      <c r="FN784" s="567"/>
      <c r="FO784" s="567"/>
      <c r="FP784" s="567"/>
      <c r="FQ784" s="567"/>
      <c r="FR784" s="567"/>
      <c r="FS784" s="567"/>
      <c r="FT784" s="567"/>
      <c r="FU784" s="567"/>
      <c r="FV784" s="567"/>
      <c r="FW784" s="567"/>
      <c r="FX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  <c r="BW785" s="567"/>
      <c r="BX785" s="567"/>
      <c r="BY785" s="567"/>
      <c r="BZ785" s="567"/>
      <c r="CA785" s="567"/>
      <c r="CB785" s="567"/>
      <c r="CC785" s="567"/>
      <c r="CD785" s="567"/>
      <c r="CE785" s="567"/>
      <c r="CF785" s="567"/>
      <c r="CG785" s="567"/>
      <c r="CH785" s="567"/>
      <c r="CI785" s="567"/>
      <c r="CJ785" s="567"/>
      <c r="CK785" s="567"/>
      <c r="CL785" s="567"/>
      <c r="CM785" s="567"/>
      <c r="CN785" s="567"/>
      <c r="CO785" s="567"/>
      <c r="CP785" s="567"/>
      <c r="CQ785" s="567"/>
      <c r="CR785" s="567"/>
      <c r="CS785" s="567"/>
      <c r="CT785" s="567"/>
      <c r="CU785" s="567"/>
      <c r="CV785" s="567"/>
      <c r="CW785" s="567"/>
      <c r="CX785" s="567"/>
      <c r="CY785" s="567"/>
      <c r="CZ785" s="567"/>
      <c r="DA785" s="567"/>
      <c r="DB785" s="567"/>
      <c r="DC785" s="567"/>
      <c r="DD785" s="567"/>
      <c r="DE785" s="567"/>
      <c r="DF785" s="567"/>
      <c r="DG785" s="567"/>
      <c r="DH785" s="567"/>
      <c r="DI785" s="567"/>
      <c r="DJ785" s="567"/>
      <c r="DK785" s="567"/>
      <c r="DL785" s="567"/>
      <c r="DM785" s="567"/>
      <c r="DN785" s="567"/>
      <c r="DO785" s="567"/>
      <c r="DP785" s="567"/>
      <c r="DQ785" s="567"/>
      <c r="DR785" s="567"/>
      <c r="DS785" s="567"/>
      <c r="DT785" s="567"/>
      <c r="DU785" s="567"/>
      <c r="DV785" s="567"/>
      <c r="DW785" s="567"/>
      <c r="DX785" s="567"/>
      <c r="DY785" s="567"/>
      <c r="DZ785" s="567"/>
      <c r="EA785" s="567"/>
      <c r="EB785" s="567"/>
      <c r="EC785" s="567"/>
      <c r="ED785" s="567"/>
      <c r="EE785" s="567"/>
      <c r="EF785" s="567"/>
      <c r="EG785" s="567"/>
      <c r="EH785" s="567"/>
      <c r="EI785" s="567"/>
      <c r="EJ785" s="567"/>
      <c r="EK785" s="567"/>
      <c r="EL785" s="567"/>
      <c r="EM785" s="567"/>
      <c r="EN785" s="567"/>
      <c r="EO785" s="567"/>
      <c r="EP785" s="567"/>
      <c r="EQ785" s="567"/>
      <c r="ER785" s="567"/>
      <c r="ES785" s="567"/>
      <c r="ET785" s="567"/>
      <c r="EU785" s="567"/>
      <c r="EV785" s="567"/>
      <c r="EW785" s="567"/>
      <c r="EX785" s="567"/>
      <c r="EY785" s="567"/>
      <c r="EZ785" s="567"/>
      <c r="FA785" s="567"/>
      <c r="FB785" s="567"/>
      <c r="FC785" s="567"/>
      <c r="FD785" s="567"/>
      <c r="FE785" s="567"/>
      <c r="FF785" s="567"/>
      <c r="FG785" s="567"/>
      <c r="FH785" s="567"/>
      <c r="FI785" s="567"/>
      <c r="FJ785" s="567"/>
      <c r="FK785" s="567"/>
      <c r="FL785" s="567"/>
      <c r="FM785" s="567"/>
      <c r="FN785" s="567"/>
      <c r="FO785" s="567"/>
      <c r="FP785" s="567"/>
      <c r="FQ785" s="567"/>
      <c r="FR785" s="567"/>
      <c r="FS785" s="567"/>
      <c r="FT785" s="567"/>
      <c r="FU785" s="567"/>
      <c r="FV785" s="567"/>
      <c r="FW785" s="567"/>
      <c r="FX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  <c r="BW786" s="567"/>
      <c r="BX786" s="567"/>
      <c r="BY786" s="567"/>
      <c r="BZ786" s="567"/>
      <c r="CA786" s="567"/>
      <c r="CB786" s="567"/>
      <c r="CC786" s="567"/>
      <c r="CD786" s="567"/>
      <c r="CE786" s="567"/>
      <c r="CF786" s="567"/>
      <c r="CG786" s="567"/>
      <c r="CH786" s="567"/>
      <c r="CI786" s="567"/>
      <c r="CJ786" s="567"/>
      <c r="CK786" s="567"/>
      <c r="CL786" s="567"/>
      <c r="CM786" s="567"/>
      <c r="CN786" s="567"/>
      <c r="CO786" s="567"/>
      <c r="CP786" s="567"/>
      <c r="CQ786" s="567"/>
      <c r="CR786" s="567"/>
      <c r="CS786" s="567"/>
      <c r="CT786" s="567"/>
      <c r="CU786" s="567"/>
      <c r="CV786" s="567"/>
      <c r="CW786" s="567"/>
      <c r="CX786" s="567"/>
      <c r="CY786" s="567"/>
      <c r="CZ786" s="567"/>
      <c r="DA786" s="567"/>
      <c r="DB786" s="567"/>
      <c r="DC786" s="567"/>
      <c r="DD786" s="567"/>
      <c r="DE786" s="567"/>
      <c r="DF786" s="567"/>
      <c r="DG786" s="567"/>
      <c r="DH786" s="567"/>
      <c r="DI786" s="567"/>
      <c r="DJ786" s="567"/>
      <c r="DK786" s="567"/>
      <c r="DL786" s="567"/>
      <c r="DM786" s="567"/>
      <c r="DN786" s="567"/>
      <c r="DO786" s="567"/>
      <c r="DP786" s="567"/>
      <c r="DQ786" s="567"/>
      <c r="DR786" s="567"/>
      <c r="DS786" s="567"/>
      <c r="DT786" s="567"/>
      <c r="DU786" s="567"/>
      <c r="DV786" s="567"/>
      <c r="DW786" s="567"/>
      <c r="DX786" s="567"/>
      <c r="DY786" s="567"/>
      <c r="DZ786" s="567"/>
      <c r="EA786" s="567"/>
      <c r="EB786" s="567"/>
      <c r="EC786" s="567"/>
      <c r="ED786" s="567"/>
      <c r="EE786" s="567"/>
      <c r="EF786" s="567"/>
      <c r="EG786" s="567"/>
      <c r="EH786" s="567"/>
      <c r="EI786" s="567"/>
      <c r="EJ786" s="567"/>
      <c r="EK786" s="567"/>
      <c r="EL786" s="567"/>
      <c r="EM786" s="567"/>
      <c r="EN786" s="567"/>
      <c r="EO786" s="567"/>
      <c r="EP786" s="567"/>
      <c r="EQ786" s="567"/>
      <c r="ER786" s="567"/>
      <c r="ES786" s="567"/>
      <c r="ET786" s="567"/>
      <c r="EU786" s="567"/>
      <c r="EV786" s="567"/>
      <c r="EW786" s="567"/>
      <c r="EX786" s="567"/>
      <c r="EY786" s="567"/>
      <c r="EZ786" s="567"/>
      <c r="FA786" s="567"/>
      <c r="FB786" s="567"/>
      <c r="FC786" s="567"/>
      <c r="FD786" s="567"/>
      <c r="FE786" s="567"/>
      <c r="FF786" s="567"/>
      <c r="FG786" s="567"/>
      <c r="FH786" s="567"/>
      <c r="FI786" s="567"/>
      <c r="FJ786" s="567"/>
      <c r="FK786" s="567"/>
      <c r="FL786" s="567"/>
      <c r="FM786" s="567"/>
      <c r="FN786" s="567"/>
      <c r="FO786" s="567"/>
      <c r="FP786" s="567"/>
      <c r="FQ786" s="567"/>
      <c r="FR786" s="567"/>
      <c r="FS786" s="567"/>
      <c r="FT786" s="567"/>
      <c r="FU786" s="567"/>
      <c r="FV786" s="567"/>
      <c r="FW786" s="567"/>
      <c r="FX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  <c r="BW787" s="567"/>
      <c r="BX787" s="567"/>
      <c r="BY787" s="567"/>
      <c r="BZ787" s="567"/>
      <c r="CA787" s="567"/>
      <c r="CB787" s="567"/>
      <c r="CC787" s="567"/>
      <c r="CD787" s="567"/>
      <c r="CE787" s="567"/>
      <c r="CF787" s="567"/>
      <c r="CG787" s="567"/>
      <c r="CH787" s="567"/>
      <c r="CI787" s="567"/>
      <c r="CJ787" s="567"/>
      <c r="CK787" s="567"/>
      <c r="CL787" s="567"/>
      <c r="CM787" s="567"/>
      <c r="CN787" s="567"/>
      <c r="CO787" s="567"/>
      <c r="CP787" s="567"/>
      <c r="CQ787" s="567"/>
      <c r="CR787" s="567"/>
      <c r="CS787" s="567"/>
      <c r="CT787" s="567"/>
      <c r="CU787" s="567"/>
      <c r="CV787" s="567"/>
      <c r="CW787" s="567"/>
      <c r="CX787" s="567"/>
      <c r="CY787" s="567"/>
      <c r="CZ787" s="567"/>
      <c r="DA787" s="567"/>
      <c r="DB787" s="567"/>
      <c r="DC787" s="567"/>
      <c r="DD787" s="567"/>
      <c r="DE787" s="567"/>
      <c r="DF787" s="567"/>
      <c r="DG787" s="567"/>
      <c r="DH787" s="567"/>
      <c r="DI787" s="567"/>
      <c r="DJ787" s="567"/>
      <c r="DK787" s="567"/>
      <c r="DL787" s="567"/>
      <c r="DM787" s="567"/>
      <c r="DN787" s="567"/>
      <c r="DO787" s="567"/>
      <c r="DP787" s="567"/>
      <c r="DQ787" s="567"/>
      <c r="DR787" s="567"/>
      <c r="DS787" s="567"/>
      <c r="DT787" s="567"/>
      <c r="DU787" s="567"/>
      <c r="DV787" s="567"/>
      <c r="DW787" s="567"/>
      <c r="DX787" s="567"/>
      <c r="DY787" s="567"/>
      <c r="DZ787" s="567"/>
      <c r="EA787" s="567"/>
      <c r="EB787" s="567"/>
      <c r="EC787" s="567"/>
      <c r="ED787" s="567"/>
      <c r="EE787" s="567"/>
      <c r="EF787" s="567"/>
      <c r="EG787" s="567"/>
      <c r="EH787" s="567"/>
      <c r="EI787" s="567"/>
      <c r="EJ787" s="567"/>
      <c r="EK787" s="567"/>
      <c r="EL787" s="567"/>
      <c r="EM787" s="567"/>
      <c r="EN787" s="567"/>
      <c r="EO787" s="567"/>
      <c r="EP787" s="567"/>
      <c r="EQ787" s="567"/>
      <c r="ER787" s="567"/>
      <c r="ES787" s="567"/>
      <c r="ET787" s="567"/>
      <c r="EU787" s="567"/>
      <c r="EV787" s="567"/>
      <c r="EW787" s="567"/>
      <c r="EX787" s="567"/>
      <c r="EY787" s="567"/>
      <c r="EZ787" s="567"/>
      <c r="FA787" s="567"/>
      <c r="FB787" s="567"/>
      <c r="FC787" s="567"/>
      <c r="FD787" s="567"/>
      <c r="FE787" s="567"/>
      <c r="FF787" s="567"/>
      <c r="FG787" s="567"/>
      <c r="FH787" s="567"/>
      <c r="FI787" s="567"/>
      <c r="FJ787" s="567"/>
      <c r="FK787" s="567"/>
      <c r="FL787" s="567"/>
      <c r="FM787" s="567"/>
      <c r="FN787" s="567"/>
      <c r="FO787" s="567"/>
      <c r="FP787" s="567"/>
      <c r="FQ787" s="567"/>
      <c r="FR787" s="567"/>
      <c r="FS787" s="567"/>
      <c r="FT787" s="567"/>
      <c r="FU787" s="567"/>
      <c r="FV787" s="567"/>
      <c r="FW787" s="567"/>
      <c r="FX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  <c r="BW788" s="567"/>
      <c r="BX788" s="567"/>
      <c r="BY788" s="567"/>
      <c r="BZ788" s="567"/>
      <c r="CA788" s="567"/>
      <c r="CB788" s="567"/>
      <c r="CC788" s="567"/>
      <c r="CD788" s="567"/>
      <c r="CE788" s="567"/>
      <c r="CF788" s="567"/>
      <c r="CG788" s="567"/>
      <c r="CH788" s="567"/>
      <c r="CI788" s="567"/>
      <c r="CJ788" s="567"/>
      <c r="CK788" s="567"/>
      <c r="CL788" s="567"/>
      <c r="CM788" s="567"/>
      <c r="CN788" s="567"/>
      <c r="CO788" s="567"/>
      <c r="CP788" s="567"/>
      <c r="CQ788" s="567"/>
      <c r="CR788" s="567"/>
      <c r="CS788" s="567"/>
      <c r="CT788" s="567"/>
      <c r="CU788" s="567"/>
      <c r="CV788" s="567"/>
      <c r="CW788" s="567"/>
      <c r="CX788" s="567"/>
      <c r="CY788" s="567"/>
      <c r="CZ788" s="567"/>
      <c r="DA788" s="567"/>
      <c r="DB788" s="567"/>
      <c r="DC788" s="567"/>
      <c r="DD788" s="567"/>
      <c r="DE788" s="567"/>
      <c r="DF788" s="567"/>
      <c r="DG788" s="567"/>
      <c r="DH788" s="567"/>
      <c r="DI788" s="567"/>
      <c r="DJ788" s="567"/>
      <c r="DK788" s="567"/>
      <c r="DL788" s="567"/>
      <c r="DM788" s="567"/>
      <c r="DN788" s="567"/>
      <c r="DO788" s="567"/>
      <c r="DP788" s="567"/>
      <c r="DQ788" s="567"/>
      <c r="DR788" s="567"/>
      <c r="DS788" s="567"/>
      <c r="DT788" s="567"/>
      <c r="DU788" s="567"/>
      <c r="DV788" s="567"/>
      <c r="DW788" s="567"/>
      <c r="DX788" s="567"/>
      <c r="DY788" s="567"/>
      <c r="DZ788" s="567"/>
      <c r="EA788" s="567"/>
      <c r="EB788" s="567"/>
      <c r="EC788" s="567"/>
      <c r="ED788" s="567"/>
      <c r="EE788" s="567"/>
      <c r="EF788" s="567"/>
      <c r="EG788" s="567"/>
      <c r="EH788" s="567"/>
      <c r="EI788" s="567"/>
      <c r="EJ788" s="567"/>
      <c r="EK788" s="567"/>
      <c r="EL788" s="567"/>
      <c r="EM788" s="567"/>
      <c r="EN788" s="567"/>
      <c r="EO788" s="567"/>
      <c r="EP788" s="567"/>
      <c r="EQ788" s="567"/>
      <c r="ER788" s="567"/>
      <c r="ES788" s="567"/>
      <c r="ET788" s="567"/>
      <c r="EU788" s="567"/>
      <c r="EV788" s="567"/>
      <c r="EW788" s="567"/>
      <c r="EX788" s="567"/>
      <c r="EY788" s="567"/>
      <c r="EZ788" s="567"/>
      <c r="FA788" s="567"/>
      <c r="FB788" s="567"/>
      <c r="FC788" s="567"/>
      <c r="FD788" s="567"/>
      <c r="FE788" s="567"/>
      <c r="FF788" s="567"/>
      <c r="FG788" s="567"/>
      <c r="FH788" s="567"/>
      <c r="FI788" s="567"/>
      <c r="FJ788" s="567"/>
      <c r="FK788" s="567"/>
      <c r="FL788" s="567"/>
      <c r="FM788" s="567"/>
      <c r="FN788" s="567"/>
      <c r="FO788" s="567"/>
      <c r="FP788" s="567"/>
      <c r="FQ788" s="567"/>
      <c r="FR788" s="567"/>
      <c r="FS788" s="567"/>
      <c r="FT788" s="567"/>
      <c r="FU788" s="567"/>
      <c r="FV788" s="567"/>
      <c r="FW788" s="567"/>
      <c r="FX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  <c r="BW789" s="567"/>
      <c r="BX789" s="567"/>
      <c r="BY789" s="567"/>
      <c r="BZ789" s="567"/>
      <c r="CA789" s="567"/>
      <c r="CB789" s="567"/>
      <c r="CC789" s="567"/>
      <c r="CD789" s="567"/>
      <c r="CE789" s="567"/>
      <c r="CF789" s="567"/>
      <c r="CG789" s="567"/>
      <c r="CH789" s="567"/>
      <c r="CI789" s="567"/>
      <c r="CJ789" s="567"/>
      <c r="CK789" s="567"/>
      <c r="CL789" s="567"/>
      <c r="CM789" s="567"/>
      <c r="CN789" s="567"/>
      <c r="CO789" s="567"/>
      <c r="CP789" s="567"/>
      <c r="CQ789" s="567"/>
      <c r="CR789" s="567"/>
      <c r="CS789" s="567"/>
      <c r="CT789" s="567"/>
      <c r="CU789" s="567"/>
      <c r="CV789" s="567"/>
      <c r="CW789" s="567"/>
      <c r="CX789" s="567"/>
      <c r="CY789" s="567"/>
      <c r="CZ789" s="567"/>
      <c r="DA789" s="567"/>
      <c r="DB789" s="567"/>
      <c r="DC789" s="567"/>
      <c r="DD789" s="567"/>
      <c r="DE789" s="567"/>
      <c r="DF789" s="567"/>
      <c r="DG789" s="567"/>
      <c r="DH789" s="567"/>
      <c r="DI789" s="567"/>
      <c r="DJ789" s="567"/>
      <c r="DK789" s="567"/>
      <c r="DL789" s="567"/>
      <c r="DM789" s="567"/>
      <c r="DN789" s="567"/>
      <c r="DO789" s="567"/>
      <c r="DP789" s="567"/>
      <c r="DQ789" s="567"/>
      <c r="DR789" s="567"/>
      <c r="DS789" s="567"/>
      <c r="DT789" s="567"/>
      <c r="DU789" s="567"/>
      <c r="DV789" s="567"/>
      <c r="DW789" s="567"/>
      <c r="DX789" s="567"/>
      <c r="DY789" s="567"/>
      <c r="DZ789" s="567"/>
      <c r="EA789" s="567"/>
      <c r="EB789" s="567"/>
      <c r="EC789" s="567"/>
      <c r="ED789" s="567"/>
      <c r="EE789" s="567"/>
      <c r="EF789" s="567"/>
      <c r="EG789" s="567"/>
      <c r="EH789" s="567"/>
      <c r="EI789" s="567"/>
      <c r="EJ789" s="567"/>
      <c r="EK789" s="567"/>
      <c r="EL789" s="567"/>
      <c r="EM789" s="567"/>
      <c r="EN789" s="567"/>
      <c r="EO789" s="567"/>
      <c r="EP789" s="567"/>
      <c r="EQ789" s="567"/>
      <c r="ER789" s="567"/>
      <c r="ES789" s="567"/>
      <c r="ET789" s="567"/>
      <c r="EU789" s="567"/>
      <c r="EV789" s="567"/>
      <c r="EW789" s="567"/>
      <c r="EX789" s="567"/>
      <c r="EY789" s="567"/>
      <c r="EZ789" s="567"/>
      <c r="FA789" s="567"/>
      <c r="FB789" s="567"/>
      <c r="FC789" s="567"/>
      <c r="FD789" s="567"/>
      <c r="FE789" s="567"/>
      <c r="FF789" s="567"/>
      <c r="FG789" s="567"/>
      <c r="FH789" s="567"/>
      <c r="FI789" s="567"/>
      <c r="FJ789" s="567"/>
      <c r="FK789" s="567"/>
      <c r="FL789" s="567"/>
      <c r="FM789" s="567"/>
      <c r="FN789" s="567"/>
      <c r="FO789" s="567"/>
      <c r="FP789" s="567"/>
      <c r="FQ789" s="567"/>
      <c r="FR789" s="567"/>
      <c r="FS789" s="567"/>
      <c r="FT789" s="567"/>
      <c r="FU789" s="567"/>
      <c r="FV789" s="567"/>
      <c r="FW789" s="567"/>
      <c r="FX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  <c r="BW790" s="567"/>
      <c r="BX790" s="567"/>
      <c r="BY790" s="567"/>
      <c r="BZ790" s="567"/>
      <c r="CA790" s="567"/>
      <c r="CB790" s="567"/>
      <c r="CC790" s="567"/>
      <c r="CD790" s="567"/>
      <c r="CE790" s="567"/>
      <c r="CF790" s="567"/>
      <c r="CG790" s="567"/>
      <c r="CH790" s="567"/>
      <c r="CI790" s="567"/>
      <c r="CJ790" s="567"/>
      <c r="CK790" s="567"/>
      <c r="CL790" s="567"/>
      <c r="CM790" s="567"/>
      <c r="CN790" s="567"/>
      <c r="CO790" s="567"/>
      <c r="CP790" s="567"/>
      <c r="CQ790" s="567"/>
      <c r="CR790" s="567"/>
      <c r="CS790" s="567"/>
      <c r="CT790" s="567"/>
      <c r="CU790" s="567"/>
      <c r="CV790" s="567"/>
      <c r="CW790" s="567"/>
      <c r="CX790" s="567"/>
      <c r="CY790" s="567"/>
      <c r="CZ790" s="567"/>
      <c r="DA790" s="567"/>
      <c r="DB790" s="567"/>
      <c r="DC790" s="567"/>
      <c r="DD790" s="567"/>
      <c r="DE790" s="567"/>
      <c r="DF790" s="567"/>
      <c r="DG790" s="567"/>
      <c r="DH790" s="567"/>
      <c r="DI790" s="567"/>
      <c r="DJ790" s="567"/>
      <c r="DK790" s="567"/>
      <c r="DL790" s="567"/>
      <c r="DM790" s="567"/>
      <c r="DN790" s="567"/>
      <c r="DO790" s="567"/>
      <c r="DP790" s="567"/>
      <c r="DQ790" s="567"/>
      <c r="DR790" s="567"/>
      <c r="DS790" s="567"/>
      <c r="DT790" s="567"/>
      <c r="DU790" s="567"/>
      <c r="DV790" s="567"/>
      <c r="DW790" s="567"/>
      <c r="DX790" s="567"/>
      <c r="DY790" s="567"/>
      <c r="DZ790" s="567"/>
      <c r="EA790" s="567"/>
      <c r="EB790" s="567"/>
      <c r="EC790" s="567"/>
      <c r="ED790" s="567"/>
      <c r="EE790" s="567"/>
      <c r="EF790" s="567"/>
      <c r="EG790" s="567"/>
      <c r="EH790" s="567"/>
      <c r="EI790" s="567"/>
      <c r="EJ790" s="567"/>
      <c r="EK790" s="567"/>
      <c r="EL790" s="567"/>
      <c r="EM790" s="567"/>
      <c r="EN790" s="567"/>
      <c r="EO790" s="567"/>
      <c r="EP790" s="567"/>
      <c r="EQ790" s="567"/>
      <c r="ER790" s="567"/>
      <c r="ES790" s="567"/>
      <c r="ET790" s="567"/>
      <c r="EU790" s="567"/>
      <c r="EV790" s="567"/>
      <c r="EW790" s="567"/>
      <c r="EX790" s="567"/>
      <c r="EY790" s="567"/>
      <c r="EZ790" s="567"/>
      <c r="FA790" s="567"/>
      <c r="FB790" s="567"/>
      <c r="FC790" s="567"/>
      <c r="FD790" s="567"/>
      <c r="FE790" s="567"/>
      <c r="FF790" s="567"/>
      <c r="FG790" s="567"/>
      <c r="FH790" s="567"/>
      <c r="FI790" s="567"/>
      <c r="FJ790" s="567"/>
      <c r="FK790" s="567"/>
      <c r="FL790" s="567"/>
      <c r="FM790" s="567"/>
      <c r="FN790" s="567"/>
      <c r="FO790" s="567"/>
      <c r="FP790" s="567"/>
      <c r="FQ790" s="567"/>
      <c r="FR790" s="567"/>
      <c r="FS790" s="567"/>
      <c r="FT790" s="567"/>
      <c r="FU790" s="567"/>
      <c r="FV790" s="567"/>
      <c r="FW790" s="567"/>
      <c r="FX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  <c r="BW791" s="567"/>
      <c r="BX791" s="567"/>
      <c r="BY791" s="567"/>
      <c r="BZ791" s="567"/>
      <c r="CA791" s="567"/>
      <c r="CB791" s="567"/>
      <c r="CC791" s="567"/>
      <c r="CD791" s="567"/>
      <c r="CE791" s="567"/>
      <c r="CF791" s="567"/>
      <c r="CG791" s="567"/>
      <c r="CH791" s="567"/>
      <c r="CI791" s="567"/>
      <c r="CJ791" s="567"/>
      <c r="CK791" s="567"/>
      <c r="CL791" s="567"/>
      <c r="CM791" s="567"/>
      <c r="CN791" s="567"/>
      <c r="CO791" s="567"/>
      <c r="CP791" s="567"/>
      <c r="CQ791" s="567"/>
      <c r="CR791" s="567"/>
      <c r="CS791" s="567"/>
      <c r="CT791" s="567"/>
      <c r="CU791" s="567"/>
      <c r="CV791" s="567"/>
      <c r="CW791" s="567"/>
      <c r="CX791" s="567"/>
      <c r="CY791" s="567"/>
      <c r="CZ791" s="567"/>
      <c r="DA791" s="567"/>
      <c r="DB791" s="567"/>
      <c r="DC791" s="567"/>
      <c r="DD791" s="567"/>
      <c r="DE791" s="567"/>
      <c r="DF791" s="567"/>
      <c r="DG791" s="567"/>
      <c r="DH791" s="567"/>
      <c r="DI791" s="567"/>
      <c r="DJ791" s="567"/>
      <c r="DK791" s="567"/>
      <c r="DL791" s="567"/>
      <c r="DM791" s="567"/>
      <c r="DN791" s="567"/>
      <c r="DO791" s="567"/>
      <c r="DP791" s="567"/>
      <c r="DQ791" s="567"/>
      <c r="DR791" s="567"/>
      <c r="DS791" s="567"/>
      <c r="DT791" s="567"/>
      <c r="DU791" s="567"/>
      <c r="DV791" s="567"/>
      <c r="DW791" s="567"/>
      <c r="DX791" s="567"/>
      <c r="DY791" s="567"/>
      <c r="DZ791" s="567"/>
      <c r="EA791" s="567"/>
      <c r="EB791" s="567"/>
      <c r="EC791" s="567"/>
      <c r="ED791" s="567"/>
      <c r="EE791" s="567"/>
      <c r="EF791" s="567"/>
      <c r="EG791" s="567"/>
      <c r="EH791" s="567"/>
      <c r="EI791" s="567"/>
      <c r="EJ791" s="567"/>
      <c r="EK791" s="567"/>
      <c r="EL791" s="567"/>
      <c r="EM791" s="567"/>
      <c r="EN791" s="567"/>
      <c r="EO791" s="567"/>
      <c r="EP791" s="567"/>
      <c r="EQ791" s="567"/>
      <c r="ER791" s="567"/>
      <c r="ES791" s="567"/>
      <c r="ET791" s="567"/>
      <c r="EU791" s="567"/>
      <c r="EV791" s="567"/>
      <c r="EW791" s="567"/>
      <c r="EX791" s="567"/>
      <c r="EY791" s="567"/>
      <c r="EZ791" s="567"/>
      <c r="FA791" s="567"/>
      <c r="FB791" s="567"/>
      <c r="FC791" s="567"/>
      <c r="FD791" s="567"/>
      <c r="FE791" s="567"/>
      <c r="FF791" s="567"/>
      <c r="FG791" s="567"/>
      <c r="FH791" s="567"/>
      <c r="FI791" s="567"/>
      <c r="FJ791" s="567"/>
      <c r="FK791" s="567"/>
      <c r="FL791" s="567"/>
      <c r="FM791" s="567"/>
      <c r="FN791" s="567"/>
      <c r="FO791" s="567"/>
      <c r="FP791" s="567"/>
      <c r="FQ791" s="567"/>
      <c r="FR791" s="567"/>
      <c r="FS791" s="567"/>
      <c r="FT791" s="567"/>
      <c r="FU791" s="567"/>
      <c r="FV791" s="567"/>
      <c r="FW791" s="567"/>
      <c r="FX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  <c r="BW792" s="567"/>
      <c r="BX792" s="567"/>
      <c r="BY792" s="567"/>
      <c r="BZ792" s="567"/>
      <c r="CA792" s="567"/>
      <c r="CB792" s="567"/>
      <c r="CC792" s="567"/>
      <c r="CD792" s="567"/>
      <c r="CE792" s="567"/>
      <c r="CF792" s="567"/>
      <c r="CG792" s="567"/>
      <c r="CH792" s="567"/>
      <c r="CI792" s="567"/>
      <c r="CJ792" s="567"/>
      <c r="CK792" s="567"/>
      <c r="CL792" s="567"/>
      <c r="CM792" s="567"/>
      <c r="CN792" s="567"/>
      <c r="CO792" s="567"/>
      <c r="CP792" s="567"/>
      <c r="CQ792" s="567"/>
      <c r="CR792" s="567"/>
      <c r="CS792" s="567"/>
      <c r="CT792" s="567"/>
      <c r="CU792" s="567"/>
      <c r="CV792" s="567"/>
      <c r="CW792" s="567"/>
      <c r="CX792" s="567"/>
      <c r="CY792" s="567"/>
      <c r="CZ792" s="567"/>
      <c r="DA792" s="567"/>
      <c r="DB792" s="567"/>
      <c r="DC792" s="567"/>
      <c r="DD792" s="567"/>
      <c r="DE792" s="567"/>
      <c r="DF792" s="567"/>
      <c r="DG792" s="567"/>
      <c r="DH792" s="567"/>
      <c r="DI792" s="567"/>
      <c r="DJ792" s="567"/>
      <c r="DK792" s="567"/>
      <c r="DL792" s="567"/>
      <c r="DM792" s="567"/>
      <c r="DN792" s="567"/>
      <c r="DO792" s="567"/>
      <c r="DP792" s="567"/>
      <c r="DQ792" s="567"/>
      <c r="DR792" s="567"/>
      <c r="DS792" s="567"/>
      <c r="DT792" s="567"/>
      <c r="DU792" s="567"/>
      <c r="DV792" s="567"/>
      <c r="DW792" s="567"/>
      <c r="DX792" s="567"/>
      <c r="DY792" s="567"/>
      <c r="DZ792" s="567"/>
      <c r="EA792" s="567"/>
      <c r="EB792" s="567"/>
      <c r="EC792" s="567"/>
      <c r="ED792" s="567"/>
      <c r="EE792" s="567"/>
      <c r="EF792" s="567"/>
      <c r="EG792" s="567"/>
      <c r="EH792" s="567"/>
      <c r="EI792" s="567"/>
      <c r="EJ792" s="567"/>
      <c r="EK792" s="567"/>
      <c r="EL792" s="567"/>
      <c r="EM792" s="567"/>
      <c r="EN792" s="567"/>
      <c r="EO792" s="567"/>
      <c r="EP792" s="567"/>
      <c r="EQ792" s="567"/>
      <c r="ER792" s="567"/>
      <c r="ES792" s="567"/>
      <c r="ET792" s="567"/>
      <c r="EU792" s="567"/>
      <c r="EV792" s="567"/>
      <c r="EW792" s="567"/>
      <c r="EX792" s="567"/>
      <c r="EY792" s="567"/>
      <c r="EZ792" s="567"/>
      <c r="FA792" s="567"/>
      <c r="FB792" s="567"/>
      <c r="FC792" s="567"/>
      <c r="FD792" s="567"/>
      <c r="FE792" s="567"/>
      <c r="FF792" s="567"/>
      <c r="FG792" s="567"/>
      <c r="FH792" s="567"/>
      <c r="FI792" s="567"/>
      <c r="FJ792" s="567"/>
      <c r="FK792" s="567"/>
      <c r="FL792" s="567"/>
      <c r="FM792" s="567"/>
      <c r="FN792" s="567"/>
      <c r="FO792" s="567"/>
      <c r="FP792" s="567"/>
      <c r="FQ792" s="567"/>
      <c r="FR792" s="567"/>
      <c r="FS792" s="567"/>
      <c r="FT792" s="567"/>
      <c r="FU792" s="567"/>
      <c r="FV792" s="567"/>
      <c r="FW792" s="567"/>
      <c r="FX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  <c r="BW793" s="567"/>
      <c r="BX793" s="567"/>
      <c r="BY793" s="567"/>
      <c r="BZ793" s="567"/>
      <c r="CA793" s="567"/>
      <c r="CB793" s="567"/>
      <c r="CC793" s="567"/>
      <c r="CD793" s="567"/>
      <c r="CE793" s="567"/>
      <c r="CF793" s="567"/>
      <c r="CG793" s="567"/>
      <c r="CH793" s="567"/>
      <c r="CI793" s="567"/>
      <c r="CJ793" s="567"/>
      <c r="CK793" s="567"/>
      <c r="CL793" s="567"/>
      <c r="CM793" s="567"/>
      <c r="CN793" s="567"/>
      <c r="CO793" s="567"/>
      <c r="CP793" s="567"/>
      <c r="CQ793" s="567"/>
      <c r="CR793" s="567"/>
      <c r="CS793" s="567"/>
      <c r="CT793" s="567"/>
      <c r="CU793" s="567"/>
      <c r="CV793" s="567"/>
      <c r="CW793" s="567"/>
      <c r="CX793" s="567"/>
      <c r="CY793" s="567"/>
      <c r="CZ793" s="567"/>
      <c r="DA793" s="567"/>
      <c r="DB793" s="567"/>
      <c r="DC793" s="567"/>
      <c r="DD793" s="567"/>
      <c r="DE793" s="567"/>
      <c r="DF793" s="567"/>
      <c r="DG793" s="567"/>
      <c r="DH793" s="567"/>
      <c r="DI793" s="567"/>
      <c r="DJ793" s="567"/>
      <c r="DK793" s="567"/>
      <c r="DL793" s="567"/>
      <c r="DM793" s="567"/>
      <c r="DN793" s="567"/>
      <c r="DO793" s="567"/>
      <c r="DP793" s="567"/>
      <c r="DQ793" s="567"/>
      <c r="DR793" s="567"/>
      <c r="DS793" s="567"/>
      <c r="DT793" s="567"/>
      <c r="DU793" s="567"/>
      <c r="DV793" s="567"/>
      <c r="DW793" s="567"/>
      <c r="DX793" s="567"/>
      <c r="DY793" s="567"/>
      <c r="DZ793" s="567"/>
      <c r="EA793" s="567"/>
      <c r="EB793" s="567"/>
      <c r="EC793" s="567"/>
      <c r="ED793" s="567"/>
      <c r="EE793" s="567"/>
      <c r="EF793" s="567"/>
      <c r="EG793" s="567"/>
      <c r="EH793" s="567"/>
      <c r="EI793" s="567"/>
      <c r="EJ793" s="567"/>
      <c r="EK793" s="567"/>
      <c r="EL793" s="567"/>
      <c r="EM793" s="567"/>
      <c r="EN793" s="567"/>
      <c r="EO793" s="567"/>
      <c r="EP793" s="567"/>
      <c r="EQ793" s="567"/>
      <c r="ER793" s="567"/>
      <c r="ES793" s="567"/>
      <c r="ET793" s="567"/>
      <c r="EU793" s="567"/>
      <c r="EV793" s="567"/>
      <c r="EW793" s="567"/>
      <c r="EX793" s="567"/>
      <c r="EY793" s="567"/>
      <c r="EZ793" s="567"/>
      <c r="FA793" s="567"/>
      <c r="FB793" s="567"/>
      <c r="FC793" s="567"/>
      <c r="FD793" s="567"/>
      <c r="FE793" s="567"/>
      <c r="FF793" s="567"/>
      <c r="FG793" s="567"/>
      <c r="FH793" s="567"/>
      <c r="FI793" s="567"/>
      <c r="FJ793" s="567"/>
      <c r="FK793" s="567"/>
      <c r="FL793" s="567"/>
      <c r="FM793" s="567"/>
      <c r="FN793" s="567"/>
      <c r="FO793" s="567"/>
      <c r="FP793" s="567"/>
      <c r="FQ793" s="567"/>
      <c r="FR793" s="567"/>
      <c r="FS793" s="567"/>
      <c r="FT793" s="567"/>
      <c r="FU793" s="567"/>
      <c r="FV793" s="567"/>
      <c r="FW793" s="567"/>
      <c r="FX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  <c r="BW794" s="567"/>
      <c r="BX794" s="567"/>
      <c r="BY794" s="567"/>
      <c r="BZ794" s="567"/>
      <c r="CA794" s="567"/>
      <c r="CB794" s="567"/>
      <c r="CC794" s="567"/>
      <c r="CD794" s="567"/>
      <c r="CE794" s="567"/>
      <c r="CF794" s="567"/>
      <c r="CG794" s="567"/>
      <c r="CH794" s="567"/>
      <c r="CI794" s="567"/>
      <c r="CJ794" s="567"/>
      <c r="CK794" s="567"/>
      <c r="CL794" s="567"/>
      <c r="CM794" s="567"/>
      <c r="CN794" s="567"/>
      <c r="CO794" s="567"/>
      <c r="CP794" s="567"/>
      <c r="CQ794" s="567"/>
      <c r="CR794" s="567"/>
      <c r="CS794" s="567"/>
      <c r="CT794" s="567"/>
      <c r="CU794" s="567"/>
      <c r="CV794" s="567"/>
      <c r="CW794" s="567"/>
      <c r="CX794" s="567"/>
      <c r="CY794" s="567"/>
      <c r="CZ794" s="567"/>
      <c r="DA794" s="567"/>
      <c r="DB794" s="567"/>
      <c r="DC794" s="567"/>
      <c r="DD794" s="567"/>
      <c r="DE794" s="567"/>
      <c r="DF794" s="567"/>
      <c r="DG794" s="567"/>
      <c r="DH794" s="567"/>
      <c r="DI794" s="567"/>
      <c r="DJ794" s="567"/>
      <c r="DK794" s="567"/>
      <c r="DL794" s="567"/>
      <c r="DM794" s="567"/>
      <c r="DN794" s="567"/>
      <c r="DO794" s="567"/>
      <c r="DP794" s="567"/>
      <c r="DQ794" s="567"/>
      <c r="DR794" s="567"/>
      <c r="DS794" s="567"/>
      <c r="DT794" s="567"/>
      <c r="DU794" s="567"/>
      <c r="DV794" s="567"/>
      <c r="DW794" s="567"/>
      <c r="DX794" s="567"/>
      <c r="DY794" s="567"/>
      <c r="DZ794" s="567"/>
      <c r="EA794" s="567"/>
      <c r="EB794" s="567"/>
      <c r="EC794" s="567"/>
      <c r="ED794" s="567"/>
      <c r="EE794" s="567"/>
      <c r="EF794" s="567"/>
      <c r="EG794" s="567"/>
      <c r="EH794" s="567"/>
      <c r="EI794" s="567"/>
      <c r="EJ794" s="567"/>
      <c r="EK794" s="567"/>
      <c r="EL794" s="567"/>
      <c r="EM794" s="567"/>
      <c r="EN794" s="567"/>
      <c r="EO794" s="567"/>
      <c r="EP794" s="567"/>
      <c r="EQ794" s="567"/>
      <c r="ER794" s="567"/>
      <c r="ES794" s="567"/>
      <c r="ET794" s="567"/>
      <c r="EU794" s="567"/>
      <c r="EV794" s="567"/>
      <c r="EW794" s="567"/>
      <c r="EX794" s="567"/>
      <c r="EY794" s="567"/>
      <c r="EZ794" s="567"/>
      <c r="FA794" s="567"/>
      <c r="FB794" s="567"/>
      <c r="FC794" s="567"/>
      <c r="FD794" s="567"/>
      <c r="FE794" s="567"/>
      <c r="FF794" s="567"/>
      <c r="FG794" s="567"/>
      <c r="FH794" s="567"/>
      <c r="FI794" s="567"/>
      <c r="FJ794" s="567"/>
      <c r="FK794" s="567"/>
      <c r="FL794" s="567"/>
      <c r="FM794" s="567"/>
      <c r="FN794" s="567"/>
      <c r="FO794" s="567"/>
      <c r="FP794" s="567"/>
      <c r="FQ794" s="567"/>
      <c r="FR794" s="567"/>
      <c r="FS794" s="567"/>
      <c r="FT794" s="567"/>
      <c r="FU794" s="567"/>
      <c r="FV794" s="567"/>
      <c r="FW794" s="567"/>
      <c r="FX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  <c r="BW795" s="567"/>
      <c r="BX795" s="567"/>
      <c r="BY795" s="567"/>
      <c r="BZ795" s="567"/>
      <c r="CA795" s="567"/>
      <c r="CB795" s="567"/>
      <c r="CC795" s="567"/>
      <c r="CD795" s="567"/>
      <c r="CE795" s="567"/>
      <c r="CF795" s="567"/>
      <c r="CG795" s="567"/>
      <c r="CH795" s="567"/>
      <c r="CI795" s="567"/>
      <c r="CJ795" s="567"/>
      <c r="CK795" s="567"/>
      <c r="CL795" s="567"/>
      <c r="CM795" s="567"/>
      <c r="CN795" s="567"/>
      <c r="CO795" s="567"/>
      <c r="CP795" s="567"/>
      <c r="CQ795" s="567"/>
      <c r="CR795" s="567"/>
      <c r="CS795" s="567"/>
      <c r="CT795" s="567"/>
      <c r="CU795" s="567"/>
      <c r="CV795" s="567"/>
      <c r="CW795" s="567"/>
      <c r="CX795" s="567"/>
      <c r="CY795" s="567"/>
      <c r="CZ795" s="567"/>
      <c r="DA795" s="567"/>
      <c r="DB795" s="567"/>
      <c r="DC795" s="567"/>
      <c r="DD795" s="567"/>
      <c r="DE795" s="567"/>
      <c r="DF795" s="567"/>
      <c r="DG795" s="567"/>
      <c r="DH795" s="567"/>
      <c r="DI795" s="567"/>
      <c r="DJ795" s="567"/>
      <c r="DK795" s="567"/>
      <c r="DL795" s="567"/>
      <c r="DM795" s="567"/>
      <c r="DN795" s="567"/>
      <c r="DO795" s="567"/>
      <c r="DP795" s="567"/>
      <c r="DQ795" s="567"/>
      <c r="DR795" s="567"/>
      <c r="DS795" s="567"/>
      <c r="DT795" s="567"/>
      <c r="DU795" s="567"/>
      <c r="DV795" s="567"/>
      <c r="DW795" s="567"/>
      <c r="DX795" s="567"/>
      <c r="DY795" s="567"/>
      <c r="DZ795" s="567"/>
      <c r="EA795" s="567"/>
      <c r="EB795" s="567"/>
      <c r="EC795" s="567"/>
      <c r="ED795" s="567"/>
      <c r="EE795" s="567"/>
      <c r="EF795" s="567"/>
      <c r="EG795" s="567"/>
      <c r="EH795" s="567"/>
      <c r="EI795" s="567"/>
      <c r="EJ795" s="567"/>
      <c r="EK795" s="567"/>
      <c r="EL795" s="567"/>
      <c r="EM795" s="567"/>
      <c r="EN795" s="567"/>
      <c r="EO795" s="567"/>
      <c r="EP795" s="567"/>
      <c r="EQ795" s="567"/>
      <c r="ER795" s="567"/>
      <c r="ES795" s="567"/>
      <c r="ET795" s="567"/>
      <c r="EU795" s="567"/>
      <c r="EV795" s="567"/>
      <c r="EW795" s="567"/>
      <c r="EX795" s="567"/>
      <c r="EY795" s="567"/>
      <c r="EZ795" s="567"/>
      <c r="FA795" s="567"/>
      <c r="FB795" s="567"/>
      <c r="FC795" s="567"/>
      <c r="FD795" s="567"/>
      <c r="FE795" s="567"/>
      <c r="FF795" s="567"/>
      <c r="FG795" s="567"/>
      <c r="FH795" s="567"/>
      <c r="FI795" s="567"/>
      <c r="FJ795" s="567"/>
      <c r="FK795" s="567"/>
      <c r="FL795" s="567"/>
      <c r="FM795" s="567"/>
      <c r="FN795" s="567"/>
      <c r="FO795" s="567"/>
      <c r="FP795" s="567"/>
      <c r="FQ795" s="567"/>
      <c r="FR795" s="567"/>
      <c r="FS795" s="567"/>
      <c r="FT795" s="567"/>
      <c r="FU795" s="567"/>
      <c r="FV795" s="567"/>
      <c r="FW795" s="567"/>
      <c r="FX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  <c r="BW796" s="567"/>
      <c r="BX796" s="567"/>
      <c r="BY796" s="567"/>
      <c r="BZ796" s="567"/>
      <c r="CA796" s="567"/>
      <c r="CB796" s="567"/>
      <c r="CC796" s="567"/>
      <c r="CD796" s="567"/>
      <c r="CE796" s="567"/>
      <c r="CF796" s="567"/>
      <c r="CG796" s="567"/>
      <c r="CH796" s="567"/>
      <c r="CI796" s="567"/>
      <c r="CJ796" s="567"/>
      <c r="CK796" s="567"/>
      <c r="CL796" s="567"/>
      <c r="CM796" s="567"/>
      <c r="CN796" s="567"/>
      <c r="CO796" s="567"/>
      <c r="CP796" s="567"/>
      <c r="CQ796" s="567"/>
      <c r="CR796" s="567"/>
      <c r="CS796" s="567"/>
      <c r="CT796" s="567"/>
      <c r="CU796" s="567"/>
      <c r="CV796" s="567"/>
      <c r="CW796" s="567"/>
      <c r="CX796" s="567"/>
      <c r="CY796" s="567"/>
      <c r="CZ796" s="567"/>
      <c r="DA796" s="567"/>
      <c r="DB796" s="567"/>
      <c r="DC796" s="567"/>
      <c r="DD796" s="567"/>
      <c r="DE796" s="567"/>
      <c r="DF796" s="567"/>
      <c r="DG796" s="567"/>
      <c r="DH796" s="567"/>
      <c r="DI796" s="567"/>
      <c r="DJ796" s="567"/>
      <c r="DK796" s="567"/>
      <c r="DL796" s="567"/>
      <c r="DM796" s="567"/>
      <c r="DN796" s="567"/>
      <c r="DO796" s="567"/>
      <c r="DP796" s="567"/>
      <c r="DQ796" s="567"/>
      <c r="DR796" s="567"/>
      <c r="DS796" s="567"/>
      <c r="DT796" s="567"/>
      <c r="DU796" s="567"/>
      <c r="DV796" s="567"/>
      <c r="DW796" s="567"/>
      <c r="DX796" s="567"/>
      <c r="DY796" s="567"/>
      <c r="DZ796" s="567"/>
      <c r="EA796" s="567"/>
      <c r="EB796" s="567"/>
      <c r="EC796" s="567"/>
      <c r="ED796" s="567"/>
      <c r="EE796" s="567"/>
      <c r="EF796" s="567"/>
      <c r="EG796" s="567"/>
      <c r="EH796" s="567"/>
      <c r="EI796" s="567"/>
      <c r="EJ796" s="567"/>
      <c r="EK796" s="567"/>
      <c r="EL796" s="567"/>
      <c r="EM796" s="567"/>
      <c r="EN796" s="567"/>
      <c r="EO796" s="567"/>
      <c r="EP796" s="567"/>
      <c r="EQ796" s="567"/>
      <c r="ER796" s="567"/>
      <c r="ES796" s="567"/>
      <c r="ET796" s="567"/>
      <c r="EU796" s="567"/>
      <c r="EV796" s="567"/>
      <c r="EW796" s="567"/>
      <c r="EX796" s="567"/>
      <c r="EY796" s="567"/>
      <c r="EZ796" s="567"/>
      <c r="FA796" s="567"/>
      <c r="FB796" s="567"/>
      <c r="FC796" s="567"/>
      <c r="FD796" s="567"/>
      <c r="FE796" s="567"/>
      <c r="FF796" s="567"/>
      <c r="FG796" s="567"/>
      <c r="FH796" s="567"/>
      <c r="FI796" s="567"/>
      <c r="FJ796" s="567"/>
      <c r="FK796" s="567"/>
      <c r="FL796" s="567"/>
      <c r="FM796" s="567"/>
      <c r="FN796" s="567"/>
      <c r="FO796" s="567"/>
      <c r="FP796" s="567"/>
      <c r="FQ796" s="567"/>
      <c r="FR796" s="567"/>
      <c r="FS796" s="567"/>
      <c r="FT796" s="567"/>
      <c r="FU796" s="567"/>
      <c r="FV796" s="567"/>
      <c r="FW796" s="567"/>
      <c r="FX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  <c r="BW797" s="567"/>
      <c r="BX797" s="567"/>
      <c r="BY797" s="567"/>
      <c r="BZ797" s="567"/>
      <c r="CA797" s="567"/>
      <c r="CB797" s="567"/>
      <c r="CC797" s="567"/>
      <c r="CD797" s="567"/>
      <c r="CE797" s="567"/>
      <c r="CF797" s="567"/>
      <c r="CG797" s="567"/>
      <c r="CH797" s="567"/>
      <c r="CI797" s="567"/>
      <c r="CJ797" s="567"/>
      <c r="CK797" s="567"/>
      <c r="CL797" s="567"/>
      <c r="CM797" s="567"/>
      <c r="CN797" s="567"/>
      <c r="CO797" s="567"/>
      <c r="CP797" s="567"/>
      <c r="CQ797" s="567"/>
      <c r="CR797" s="567"/>
      <c r="CS797" s="567"/>
      <c r="CT797" s="567"/>
      <c r="CU797" s="567"/>
      <c r="CV797" s="567"/>
      <c r="CW797" s="567"/>
      <c r="CX797" s="567"/>
      <c r="CY797" s="567"/>
      <c r="CZ797" s="567"/>
      <c r="DA797" s="567"/>
      <c r="DB797" s="567"/>
      <c r="DC797" s="567"/>
      <c r="DD797" s="567"/>
      <c r="DE797" s="567"/>
      <c r="DF797" s="567"/>
      <c r="DG797" s="567"/>
      <c r="DH797" s="567"/>
      <c r="DI797" s="567"/>
      <c r="DJ797" s="567"/>
      <c r="DK797" s="567"/>
      <c r="DL797" s="567"/>
      <c r="DM797" s="567"/>
      <c r="DN797" s="567"/>
      <c r="DO797" s="567"/>
      <c r="DP797" s="567"/>
      <c r="DQ797" s="567"/>
      <c r="DR797" s="567"/>
      <c r="DS797" s="567"/>
      <c r="DT797" s="567"/>
      <c r="DU797" s="567"/>
      <c r="DV797" s="567"/>
      <c r="DW797" s="567"/>
      <c r="DX797" s="567"/>
      <c r="DY797" s="567"/>
      <c r="DZ797" s="567"/>
      <c r="EA797" s="567"/>
      <c r="EB797" s="567"/>
      <c r="EC797" s="567"/>
      <c r="ED797" s="567"/>
      <c r="EE797" s="567"/>
      <c r="EF797" s="567"/>
      <c r="EG797" s="567"/>
      <c r="EH797" s="567"/>
      <c r="EI797" s="567"/>
      <c r="EJ797" s="567"/>
      <c r="EK797" s="567"/>
      <c r="EL797" s="567"/>
      <c r="EM797" s="567"/>
      <c r="EN797" s="567"/>
      <c r="EO797" s="567"/>
      <c r="EP797" s="567"/>
      <c r="EQ797" s="567"/>
      <c r="ER797" s="567"/>
      <c r="ES797" s="567"/>
      <c r="ET797" s="567"/>
      <c r="EU797" s="567"/>
      <c r="EV797" s="567"/>
      <c r="EW797" s="567"/>
      <c r="EX797" s="567"/>
      <c r="EY797" s="567"/>
      <c r="EZ797" s="567"/>
      <c r="FA797" s="567"/>
      <c r="FB797" s="567"/>
      <c r="FC797" s="567"/>
      <c r="FD797" s="567"/>
      <c r="FE797" s="567"/>
      <c r="FF797" s="567"/>
      <c r="FG797" s="567"/>
      <c r="FH797" s="567"/>
      <c r="FI797" s="567"/>
      <c r="FJ797" s="567"/>
      <c r="FK797" s="567"/>
      <c r="FL797" s="567"/>
      <c r="FM797" s="567"/>
      <c r="FN797" s="567"/>
      <c r="FO797" s="567"/>
      <c r="FP797" s="567"/>
      <c r="FQ797" s="567"/>
      <c r="FR797" s="567"/>
      <c r="FS797" s="567"/>
      <c r="FT797" s="567"/>
      <c r="FU797" s="567"/>
      <c r="FV797" s="567"/>
      <c r="FW797" s="567"/>
      <c r="FX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  <c r="BW798" s="567"/>
      <c r="BX798" s="567"/>
      <c r="BY798" s="567"/>
      <c r="BZ798" s="567"/>
      <c r="CA798" s="567"/>
      <c r="CB798" s="567"/>
      <c r="CC798" s="567"/>
      <c r="CD798" s="567"/>
      <c r="CE798" s="567"/>
      <c r="CF798" s="567"/>
      <c r="CG798" s="567"/>
      <c r="CH798" s="567"/>
      <c r="CI798" s="567"/>
      <c r="CJ798" s="567"/>
      <c r="CK798" s="567"/>
      <c r="CL798" s="567"/>
      <c r="CM798" s="567"/>
      <c r="CN798" s="567"/>
      <c r="CO798" s="567"/>
      <c r="CP798" s="567"/>
      <c r="CQ798" s="567"/>
      <c r="CR798" s="567"/>
      <c r="CS798" s="567"/>
      <c r="CT798" s="567"/>
      <c r="CU798" s="567"/>
      <c r="CV798" s="567"/>
      <c r="CW798" s="567"/>
      <c r="CX798" s="567"/>
      <c r="CY798" s="567"/>
      <c r="CZ798" s="567"/>
      <c r="DA798" s="567"/>
      <c r="DB798" s="567"/>
      <c r="DC798" s="567"/>
      <c r="DD798" s="567"/>
      <c r="DE798" s="567"/>
      <c r="DF798" s="567"/>
      <c r="DG798" s="567"/>
      <c r="DH798" s="567"/>
      <c r="DI798" s="567"/>
      <c r="DJ798" s="567"/>
      <c r="DK798" s="567"/>
      <c r="DL798" s="567"/>
      <c r="DM798" s="567"/>
      <c r="DN798" s="567"/>
      <c r="DO798" s="567"/>
      <c r="DP798" s="567"/>
      <c r="DQ798" s="567"/>
      <c r="DR798" s="567"/>
      <c r="DS798" s="567"/>
      <c r="DT798" s="567"/>
      <c r="DU798" s="567"/>
      <c r="DV798" s="567"/>
      <c r="DW798" s="567"/>
      <c r="DX798" s="567"/>
      <c r="DY798" s="567"/>
      <c r="DZ798" s="567"/>
      <c r="EA798" s="567"/>
      <c r="EB798" s="567"/>
      <c r="EC798" s="567"/>
      <c r="ED798" s="567"/>
      <c r="EE798" s="567"/>
      <c r="EF798" s="567"/>
      <c r="EG798" s="567"/>
      <c r="EH798" s="567"/>
      <c r="EI798" s="567"/>
      <c r="EJ798" s="567"/>
      <c r="EK798" s="567"/>
      <c r="EL798" s="567"/>
      <c r="EM798" s="567"/>
      <c r="EN798" s="567"/>
      <c r="EO798" s="567"/>
      <c r="EP798" s="567"/>
      <c r="EQ798" s="567"/>
      <c r="ER798" s="567"/>
      <c r="ES798" s="567"/>
      <c r="ET798" s="567"/>
      <c r="EU798" s="567"/>
      <c r="EV798" s="567"/>
      <c r="EW798" s="567"/>
      <c r="EX798" s="567"/>
      <c r="EY798" s="567"/>
      <c r="EZ798" s="567"/>
      <c r="FA798" s="567"/>
      <c r="FB798" s="567"/>
      <c r="FC798" s="567"/>
      <c r="FD798" s="567"/>
      <c r="FE798" s="567"/>
      <c r="FF798" s="567"/>
      <c r="FG798" s="567"/>
      <c r="FH798" s="567"/>
      <c r="FI798" s="567"/>
      <c r="FJ798" s="567"/>
      <c r="FK798" s="567"/>
      <c r="FL798" s="567"/>
      <c r="FM798" s="567"/>
      <c r="FN798" s="567"/>
      <c r="FO798" s="567"/>
      <c r="FP798" s="567"/>
      <c r="FQ798" s="567"/>
      <c r="FR798" s="567"/>
      <c r="FS798" s="567"/>
      <c r="FT798" s="567"/>
      <c r="FU798" s="567"/>
      <c r="FV798" s="567"/>
      <c r="FW798" s="567"/>
      <c r="FX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  <c r="BW799" s="567"/>
      <c r="BX799" s="567"/>
      <c r="BY799" s="567"/>
      <c r="BZ799" s="567"/>
      <c r="CA799" s="567"/>
      <c r="CB799" s="567"/>
      <c r="CC799" s="567"/>
      <c r="CD799" s="567"/>
      <c r="CE799" s="567"/>
      <c r="CF799" s="567"/>
      <c r="CG799" s="567"/>
      <c r="CH799" s="567"/>
      <c r="CI799" s="567"/>
      <c r="CJ799" s="567"/>
      <c r="CK799" s="567"/>
      <c r="CL799" s="567"/>
      <c r="CM799" s="567"/>
      <c r="CN799" s="567"/>
      <c r="CO799" s="567"/>
      <c r="CP799" s="567"/>
      <c r="CQ799" s="567"/>
      <c r="CR799" s="567"/>
      <c r="CS799" s="567"/>
      <c r="CT799" s="567"/>
      <c r="CU799" s="567"/>
      <c r="CV799" s="567"/>
      <c r="CW799" s="567"/>
      <c r="CX799" s="567"/>
      <c r="CY799" s="567"/>
      <c r="CZ799" s="567"/>
      <c r="DA799" s="567"/>
      <c r="DB799" s="567"/>
      <c r="DC799" s="567"/>
      <c r="DD799" s="567"/>
      <c r="DE799" s="567"/>
      <c r="DF799" s="567"/>
      <c r="DG799" s="567"/>
      <c r="DH799" s="567"/>
      <c r="DI799" s="567"/>
      <c r="DJ799" s="567"/>
      <c r="DK799" s="567"/>
      <c r="DL799" s="567"/>
      <c r="DM799" s="567"/>
      <c r="DN799" s="567"/>
      <c r="DO799" s="567"/>
      <c r="DP799" s="567"/>
      <c r="DQ799" s="567"/>
      <c r="DR799" s="567"/>
      <c r="DS799" s="567"/>
      <c r="DT799" s="567"/>
      <c r="DU799" s="567"/>
      <c r="DV799" s="567"/>
      <c r="DW799" s="567"/>
      <c r="DX799" s="567"/>
      <c r="DY799" s="567"/>
      <c r="DZ799" s="567"/>
      <c r="EA799" s="567"/>
      <c r="EB799" s="567"/>
      <c r="EC799" s="567"/>
      <c r="ED799" s="567"/>
      <c r="EE799" s="567"/>
      <c r="EF799" s="567"/>
      <c r="EG799" s="567"/>
      <c r="EH799" s="567"/>
      <c r="EI799" s="567"/>
      <c r="EJ799" s="567"/>
      <c r="EK799" s="567"/>
      <c r="EL799" s="567"/>
      <c r="EM799" s="567"/>
      <c r="EN799" s="567"/>
      <c r="EO799" s="567"/>
      <c r="EP799" s="567"/>
      <c r="EQ799" s="567"/>
      <c r="ER799" s="567"/>
      <c r="ES799" s="567"/>
      <c r="ET799" s="567"/>
      <c r="EU799" s="567"/>
      <c r="EV799" s="567"/>
      <c r="EW799" s="567"/>
      <c r="EX799" s="567"/>
      <c r="EY799" s="567"/>
      <c r="EZ799" s="567"/>
      <c r="FA799" s="567"/>
      <c r="FB799" s="567"/>
      <c r="FC799" s="567"/>
      <c r="FD799" s="567"/>
      <c r="FE799" s="567"/>
      <c r="FF799" s="567"/>
      <c r="FG799" s="567"/>
      <c r="FH799" s="567"/>
      <c r="FI799" s="567"/>
      <c r="FJ799" s="567"/>
      <c r="FK799" s="567"/>
      <c r="FL799" s="567"/>
      <c r="FM799" s="567"/>
      <c r="FN799" s="567"/>
      <c r="FO799" s="567"/>
      <c r="FP799" s="567"/>
      <c r="FQ799" s="567"/>
      <c r="FR799" s="567"/>
      <c r="FS799" s="567"/>
      <c r="FT799" s="567"/>
      <c r="FU799" s="567"/>
      <c r="FV799" s="567"/>
      <c r="FW799" s="567"/>
      <c r="FX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  <c r="BW800" s="567"/>
      <c r="BX800" s="567"/>
      <c r="BY800" s="567"/>
      <c r="BZ800" s="567"/>
      <c r="CA800" s="567"/>
      <c r="CB800" s="567"/>
      <c r="CC800" s="567"/>
      <c r="CD800" s="567"/>
      <c r="CE800" s="567"/>
      <c r="CF800" s="567"/>
      <c r="CG800" s="567"/>
      <c r="CH800" s="567"/>
      <c r="CI800" s="567"/>
      <c r="CJ800" s="567"/>
      <c r="CK800" s="567"/>
      <c r="CL800" s="567"/>
      <c r="CM800" s="567"/>
      <c r="CN800" s="567"/>
      <c r="CO800" s="567"/>
      <c r="CP800" s="567"/>
      <c r="CQ800" s="567"/>
      <c r="CR800" s="567"/>
      <c r="CS800" s="567"/>
      <c r="CT800" s="567"/>
      <c r="CU800" s="567"/>
      <c r="CV800" s="567"/>
      <c r="CW800" s="567"/>
      <c r="CX800" s="567"/>
      <c r="CY800" s="567"/>
      <c r="CZ800" s="567"/>
      <c r="DA800" s="567"/>
      <c r="DB800" s="567"/>
      <c r="DC800" s="567"/>
      <c r="DD800" s="567"/>
      <c r="DE800" s="567"/>
      <c r="DF800" s="567"/>
      <c r="DG800" s="567"/>
      <c r="DH800" s="567"/>
      <c r="DI800" s="567"/>
      <c r="DJ800" s="567"/>
      <c r="DK800" s="567"/>
      <c r="DL800" s="567"/>
      <c r="DM800" s="567"/>
      <c r="DN800" s="567"/>
      <c r="DO800" s="567"/>
      <c r="DP800" s="567"/>
      <c r="DQ800" s="567"/>
      <c r="DR800" s="567"/>
      <c r="DS800" s="567"/>
      <c r="DT800" s="567"/>
      <c r="DU800" s="567"/>
      <c r="DV800" s="567"/>
      <c r="DW800" s="567"/>
      <c r="DX800" s="567"/>
      <c r="DY800" s="567"/>
      <c r="DZ800" s="567"/>
      <c r="EA800" s="567"/>
      <c r="EB800" s="567"/>
      <c r="EC800" s="567"/>
      <c r="ED800" s="567"/>
      <c r="EE800" s="567"/>
      <c r="EF800" s="567"/>
      <c r="EG800" s="567"/>
      <c r="EH800" s="567"/>
      <c r="EI800" s="567"/>
      <c r="EJ800" s="567"/>
      <c r="EK800" s="567"/>
      <c r="EL800" s="567"/>
      <c r="EM800" s="567"/>
      <c r="EN800" s="567"/>
      <c r="EO800" s="567"/>
      <c r="EP800" s="567"/>
      <c r="EQ800" s="567"/>
      <c r="ER800" s="567"/>
      <c r="ES800" s="567"/>
      <c r="ET800" s="567"/>
      <c r="EU800" s="567"/>
      <c r="EV800" s="567"/>
      <c r="EW800" s="567"/>
      <c r="EX800" s="567"/>
      <c r="EY800" s="567"/>
      <c r="EZ800" s="567"/>
      <c r="FA800" s="567"/>
      <c r="FB800" s="567"/>
      <c r="FC800" s="567"/>
      <c r="FD800" s="567"/>
      <c r="FE800" s="567"/>
      <c r="FF800" s="567"/>
      <c r="FG800" s="567"/>
      <c r="FH800" s="567"/>
      <c r="FI800" s="567"/>
      <c r="FJ800" s="567"/>
      <c r="FK800" s="567"/>
      <c r="FL800" s="567"/>
      <c r="FM800" s="567"/>
      <c r="FN800" s="567"/>
      <c r="FO800" s="567"/>
      <c r="FP800" s="567"/>
      <c r="FQ800" s="567"/>
      <c r="FR800" s="567"/>
      <c r="FS800" s="567"/>
      <c r="FT800" s="567"/>
      <c r="FU800" s="567"/>
      <c r="FV800" s="567"/>
      <c r="FW800" s="567"/>
      <c r="FX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  <c r="BW801" s="567"/>
      <c r="BX801" s="567"/>
      <c r="BY801" s="567"/>
      <c r="BZ801" s="567"/>
      <c r="CA801" s="567"/>
      <c r="CB801" s="567"/>
      <c r="CC801" s="567"/>
      <c r="CD801" s="567"/>
      <c r="CE801" s="567"/>
      <c r="CF801" s="567"/>
      <c r="CG801" s="567"/>
      <c r="CH801" s="567"/>
      <c r="CI801" s="567"/>
      <c r="CJ801" s="567"/>
      <c r="CK801" s="567"/>
      <c r="CL801" s="567"/>
      <c r="CM801" s="567"/>
      <c r="CN801" s="567"/>
      <c r="CO801" s="567"/>
      <c r="CP801" s="567"/>
      <c r="CQ801" s="567"/>
      <c r="CR801" s="567"/>
      <c r="CS801" s="567"/>
      <c r="CT801" s="567"/>
      <c r="CU801" s="567"/>
      <c r="CV801" s="567"/>
      <c r="CW801" s="567"/>
      <c r="CX801" s="567"/>
      <c r="CY801" s="567"/>
      <c r="CZ801" s="567"/>
      <c r="DA801" s="567"/>
      <c r="DB801" s="567"/>
      <c r="DC801" s="567"/>
      <c r="DD801" s="567"/>
      <c r="DE801" s="567"/>
      <c r="DF801" s="567"/>
      <c r="DG801" s="567"/>
      <c r="DH801" s="567"/>
      <c r="DI801" s="567"/>
      <c r="DJ801" s="567"/>
      <c r="DK801" s="567"/>
      <c r="DL801" s="567"/>
      <c r="DM801" s="567"/>
      <c r="DN801" s="567"/>
      <c r="DO801" s="567"/>
      <c r="DP801" s="567"/>
      <c r="DQ801" s="567"/>
      <c r="DR801" s="567"/>
      <c r="DS801" s="567"/>
      <c r="DT801" s="567"/>
      <c r="DU801" s="567"/>
      <c r="DV801" s="567"/>
      <c r="DW801" s="567"/>
      <c r="DX801" s="567"/>
      <c r="DY801" s="567"/>
      <c r="DZ801" s="567"/>
      <c r="EA801" s="567"/>
      <c r="EB801" s="567"/>
      <c r="EC801" s="567"/>
      <c r="ED801" s="567"/>
      <c r="EE801" s="567"/>
      <c r="EF801" s="567"/>
      <c r="EG801" s="567"/>
      <c r="EH801" s="567"/>
      <c r="EI801" s="567"/>
      <c r="EJ801" s="567"/>
      <c r="EK801" s="567"/>
      <c r="EL801" s="567"/>
      <c r="EM801" s="567"/>
      <c r="EN801" s="567"/>
      <c r="EO801" s="567"/>
      <c r="EP801" s="567"/>
      <c r="EQ801" s="567"/>
      <c r="ER801" s="567"/>
      <c r="ES801" s="567"/>
      <c r="ET801" s="567"/>
      <c r="EU801" s="567"/>
      <c r="EV801" s="567"/>
      <c r="EW801" s="567"/>
      <c r="EX801" s="567"/>
      <c r="EY801" s="567"/>
      <c r="EZ801" s="567"/>
      <c r="FA801" s="567"/>
      <c r="FB801" s="567"/>
      <c r="FC801" s="567"/>
      <c r="FD801" s="567"/>
      <c r="FE801" s="567"/>
      <c r="FF801" s="567"/>
      <c r="FG801" s="567"/>
      <c r="FH801" s="567"/>
      <c r="FI801" s="567"/>
      <c r="FJ801" s="567"/>
      <c r="FK801" s="567"/>
      <c r="FL801" s="567"/>
      <c r="FM801" s="567"/>
      <c r="FN801" s="567"/>
      <c r="FO801" s="567"/>
      <c r="FP801" s="567"/>
      <c r="FQ801" s="567"/>
      <c r="FR801" s="567"/>
      <c r="FS801" s="567"/>
      <c r="FT801" s="567"/>
      <c r="FU801" s="567"/>
      <c r="FV801" s="567"/>
      <c r="FW801" s="567"/>
      <c r="FX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  <c r="BW802" s="567"/>
      <c r="BX802" s="567"/>
      <c r="BY802" s="567"/>
      <c r="BZ802" s="567"/>
      <c r="CA802" s="567"/>
      <c r="CB802" s="567"/>
      <c r="CC802" s="567"/>
      <c r="CD802" s="567"/>
      <c r="CE802" s="567"/>
      <c r="CF802" s="567"/>
      <c r="CG802" s="567"/>
      <c r="CH802" s="567"/>
      <c r="CI802" s="567"/>
      <c r="CJ802" s="567"/>
      <c r="CK802" s="567"/>
      <c r="CL802" s="567"/>
      <c r="CM802" s="567"/>
      <c r="CN802" s="567"/>
      <c r="CO802" s="567"/>
      <c r="CP802" s="567"/>
      <c r="CQ802" s="567"/>
      <c r="CR802" s="567"/>
      <c r="CS802" s="567"/>
      <c r="CT802" s="567"/>
      <c r="CU802" s="567"/>
      <c r="CV802" s="567"/>
      <c r="CW802" s="567"/>
      <c r="CX802" s="567"/>
      <c r="CY802" s="567"/>
      <c r="CZ802" s="567"/>
      <c r="DA802" s="567"/>
      <c r="DB802" s="567"/>
      <c r="DC802" s="567"/>
      <c r="DD802" s="567"/>
      <c r="DE802" s="567"/>
      <c r="DF802" s="567"/>
      <c r="DG802" s="567"/>
      <c r="DH802" s="567"/>
      <c r="DI802" s="567"/>
      <c r="DJ802" s="567"/>
      <c r="DK802" s="567"/>
      <c r="DL802" s="567"/>
      <c r="DM802" s="567"/>
      <c r="DN802" s="567"/>
      <c r="DO802" s="567"/>
      <c r="DP802" s="567"/>
      <c r="DQ802" s="567"/>
      <c r="DR802" s="567"/>
      <c r="DS802" s="567"/>
      <c r="DT802" s="567"/>
      <c r="DU802" s="567"/>
      <c r="DV802" s="567"/>
      <c r="DW802" s="567"/>
      <c r="DX802" s="567"/>
      <c r="DY802" s="567"/>
      <c r="DZ802" s="567"/>
      <c r="EA802" s="567"/>
      <c r="EB802" s="567"/>
      <c r="EC802" s="567"/>
      <c r="ED802" s="567"/>
      <c r="EE802" s="567"/>
      <c r="EF802" s="567"/>
      <c r="EG802" s="567"/>
      <c r="EH802" s="567"/>
      <c r="EI802" s="567"/>
      <c r="EJ802" s="567"/>
      <c r="EK802" s="567"/>
      <c r="EL802" s="567"/>
      <c r="EM802" s="567"/>
      <c r="EN802" s="567"/>
      <c r="EO802" s="567"/>
      <c r="EP802" s="567"/>
      <c r="EQ802" s="567"/>
      <c r="ER802" s="567"/>
      <c r="ES802" s="567"/>
      <c r="ET802" s="567"/>
      <c r="EU802" s="567"/>
      <c r="EV802" s="567"/>
      <c r="EW802" s="567"/>
      <c r="EX802" s="567"/>
      <c r="EY802" s="567"/>
      <c r="EZ802" s="567"/>
      <c r="FA802" s="567"/>
      <c r="FB802" s="567"/>
      <c r="FC802" s="567"/>
      <c r="FD802" s="567"/>
      <c r="FE802" s="567"/>
      <c r="FF802" s="567"/>
      <c r="FG802" s="567"/>
      <c r="FH802" s="567"/>
      <c r="FI802" s="567"/>
      <c r="FJ802" s="567"/>
      <c r="FK802" s="567"/>
      <c r="FL802" s="567"/>
      <c r="FM802" s="567"/>
      <c r="FN802" s="567"/>
      <c r="FO802" s="567"/>
      <c r="FP802" s="567"/>
      <c r="FQ802" s="567"/>
      <c r="FR802" s="567"/>
      <c r="FS802" s="567"/>
      <c r="FT802" s="567"/>
      <c r="FU802" s="567"/>
      <c r="FV802" s="567"/>
      <c r="FW802" s="567"/>
      <c r="FX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  <c r="BW803" s="567"/>
      <c r="BX803" s="567"/>
      <c r="BY803" s="567"/>
      <c r="BZ803" s="567"/>
      <c r="CA803" s="567"/>
      <c r="CB803" s="567"/>
      <c r="CC803" s="567"/>
      <c r="CD803" s="567"/>
      <c r="CE803" s="567"/>
      <c r="CF803" s="567"/>
      <c r="CG803" s="567"/>
      <c r="CH803" s="567"/>
      <c r="CI803" s="567"/>
      <c r="CJ803" s="567"/>
      <c r="CK803" s="567"/>
      <c r="CL803" s="567"/>
      <c r="CM803" s="567"/>
      <c r="CN803" s="567"/>
      <c r="CO803" s="567"/>
      <c r="CP803" s="567"/>
      <c r="CQ803" s="567"/>
      <c r="CR803" s="567"/>
      <c r="CS803" s="567"/>
      <c r="CT803" s="567"/>
      <c r="CU803" s="567"/>
      <c r="CV803" s="567"/>
      <c r="CW803" s="567"/>
      <c r="CX803" s="567"/>
      <c r="CY803" s="567"/>
      <c r="CZ803" s="567"/>
      <c r="DA803" s="567"/>
      <c r="DB803" s="567"/>
      <c r="DC803" s="567"/>
      <c r="DD803" s="567"/>
      <c r="DE803" s="567"/>
      <c r="DF803" s="567"/>
      <c r="DG803" s="567"/>
      <c r="DH803" s="567"/>
      <c r="DI803" s="567"/>
      <c r="DJ803" s="567"/>
      <c r="DK803" s="567"/>
      <c r="DL803" s="567"/>
      <c r="DM803" s="567"/>
      <c r="DN803" s="567"/>
      <c r="DO803" s="567"/>
      <c r="DP803" s="567"/>
      <c r="DQ803" s="567"/>
      <c r="DR803" s="567"/>
      <c r="DS803" s="567"/>
      <c r="DT803" s="567"/>
      <c r="DU803" s="567"/>
      <c r="DV803" s="567"/>
      <c r="DW803" s="567"/>
      <c r="DX803" s="567"/>
      <c r="DY803" s="567"/>
      <c r="DZ803" s="567"/>
      <c r="EA803" s="567"/>
      <c r="EB803" s="567"/>
      <c r="EC803" s="567"/>
      <c r="ED803" s="567"/>
      <c r="EE803" s="567"/>
      <c r="EF803" s="567"/>
      <c r="EG803" s="567"/>
      <c r="EH803" s="567"/>
      <c r="EI803" s="567"/>
      <c r="EJ803" s="567"/>
      <c r="EK803" s="567"/>
      <c r="EL803" s="567"/>
      <c r="EM803" s="567"/>
      <c r="EN803" s="567"/>
      <c r="EO803" s="567"/>
      <c r="EP803" s="567"/>
      <c r="EQ803" s="567"/>
      <c r="ER803" s="567"/>
      <c r="ES803" s="567"/>
      <c r="ET803" s="567"/>
      <c r="EU803" s="567"/>
      <c r="EV803" s="567"/>
      <c r="EW803" s="567"/>
      <c r="EX803" s="567"/>
      <c r="EY803" s="567"/>
      <c r="EZ803" s="567"/>
      <c r="FA803" s="567"/>
      <c r="FB803" s="567"/>
      <c r="FC803" s="567"/>
      <c r="FD803" s="567"/>
      <c r="FE803" s="567"/>
      <c r="FF803" s="567"/>
      <c r="FG803" s="567"/>
      <c r="FH803" s="567"/>
      <c r="FI803" s="567"/>
      <c r="FJ803" s="567"/>
      <c r="FK803" s="567"/>
      <c r="FL803" s="567"/>
      <c r="FM803" s="567"/>
      <c r="FN803" s="567"/>
      <c r="FO803" s="567"/>
      <c r="FP803" s="567"/>
      <c r="FQ803" s="567"/>
      <c r="FR803" s="567"/>
      <c r="FS803" s="567"/>
      <c r="FT803" s="567"/>
      <c r="FU803" s="567"/>
      <c r="FV803" s="567"/>
      <c r="FW803" s="567"/>
      <c r="FX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  <c r="BW804" s="567"/>
      <c r="BX804" s="567"/>
      <c r="BY804" s="567"/>
      <c r="BZ804" s="567"/>
      <c r="CA804" s="567"/>
      <c r="CB804" s="567"/>
      <c r="CC804" s="567"/>
      <c r="CD804" s="567"/>
      <c r="CE804" s="567"/>
      <c r="CF804" s="567"/>
      <c r="CG804" s="567"/>
      <c r="CH804" s="567"/>
      <c r="CI804" s="567"/>
      <c r="CJ804" s="567"/>
      <c r="CK804" s="567"/>
      <c r="CL804" s="567"/>
      <c r="CM804" s="567"/>
      <c r="CN804" s="567"/>
      <c r="CO804" s="567"/>
      <c r="CP804" s="567"/>
      <c r="CQ804" s="567"/>
      <c r="CR804" s="567"/>
      <c r="CS804" s="567"/>
      <c r="CT804" s="567"/>
      <c r="CU804" s="567"/>
      <c r="CV804" s="567"/>
      <c r="CW804" s="567"/>
      <c r="CX804" s="567"/>
      <c r="CY804" s="567"/>
      <c r="CZ804" s="567"/>
      <c r="DA804" s="567"/>
      <c r="DB804" s="567"/>
      <c r="DC804" s="567"/>
      <c r="DD804" s="567"/>
      <c r="DE804" s="567"/>
      <c r="DF804" s="567"/>
      <c r="DG804" s="567"/>
      <c r="DH804" s="567"/>
      <c r="DI804" s="567"/>
      <c r="DJ804" s="567"/>
      <c r="DK804" s="567"/>
      <c r="DL804" s="567"/>
      <c r="DM804" s="567"/>
      <c r="DN804" s="567"/>
      <c r="DO804" s="567"/>
      <c r="DP804" s="567"/>
      <c r="DQ804" s="567"/>
      <c r="DR804" s="567"/>
      <c r="DS804" s="567"/>
      <c r="DT804" s="567"/>
      <c r="DU804" s="567"/>
      <c r="DV804" s="567"/>
      <c r="DW804" s="567"/>
      <c r="DX804" s="567"/>
      <c r="DY804" s="567"/>
      <c r="DZ804" s="567"/>
      <c r="EA804" s="567"/>
      <c r="EB804" s="567"/>
      <c r="EC804" s="567"/>
      <c r="ED804" s="567"/>
      <c r="EE804" s="567"/>
      <c r="EF804" s="567"/>
      <c r="EG804" s="567"/>
      <c r="EH804" s="567"/>
      <c r="EI804" s="567"/>
      <c r="EJ804" s="567"/>
      <c r="EK804" s="567"/>
      <c r="EL804" s="567"/>
      <c r="EM804" s="567"/>
      <c r="EN804" s="567"/>
      <c r="EO804" s="567"/>
      <c r="EP804" s="567"/>
      <c r="EQ804" s="567"/>
      <c r="ER804" s="567"/>
      <c r="ES804" s="567"/>
      <c r="ET804" s="567"/>
      <c r="EU804" s="567"/>
      <c r="EV804" s="567"/>
      <c r="EW804" s="567"/>
      <c r="EX804" s="567"/>
      <c r="EY804" s="567"/>
      <c r="EZ804" s="567"/>
      <c r="FA804" s="567"/>
      <c r="FB804" s="567"/>
      <c r="FC804" s="567"/>
      <c r="FD804" s="567"/>
      <c r="FE804" s="567"/>
      <c r="FF804" s="567"/>
      <c r="FG804" s="567"/>
      <c r="FH804" s="567"/>
      <c r="FI804" s="567"/>
      <c r="FJ804" s="567"/>
      <c r="FK804" s="567"/>
      <c r="FL804" s="567"/>
      <c r="FM804" s="567"/>
      <c r="FN804" s="567"/>
      <c r="FO804" s="567"/>
      <c r="FP804" s="567"/>
      <c r="FQ804" s="567"/>
      <c r="FR804" s="567"/>
      <c r="FS804" s="567"/>
      <c r="FT804" s="567"/>
      <c r="FU804" s="567"/>
      <c r="FV804" s="567"/>
      <c r="FW804" s="567"/>
      <c r="FX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  <c r="BW805" s="567"/>
      <c r="BX805" s="567"/>
      <c r="BY805" s="567"/>
      <c r="BZ805" s="567"/>
      <c r="CA805" s="567"/>
      <c r="CB805" s="567"/>
      <c r="CC805" s="567"/>
      <c r="CD805" s="567"/>
      <c r="CE805" s="567"/>
      <c r="CF805" s="567"/>
      <c r="CG805" s="567"/>
      <c r="CH805" s="567"/>
      <c r="CI805" s="567"/>
      <c r="CJ805" s="567"/>
      <c r="CK805" s="567"/>
      <c r="CL805" s="567"/>
      <c r="CM805" s="567"/>
      <c r="CN805" s="567"/>
      <c r="CO805" s="567"/>
      <c r="CP805" s="567"/>
      <c r="CQ805" s="567"/>
      <c r="CR805" s="567"/>
      <c r="CS805" s="567"/>
      <c r="CT805" s="567"/>
      <c r="CU805" s="567"/>
      <c r="CV805" s="567"/>
      <c r="CW805" s="567"/>
      <c r="CX805" s="567"/>
      <c r="CY805" s="567"/>
      <c r="CZ805" s="567"/>
      <c r="DA805" s="567"/>
      <c r="DB805" s="567"/>
      <c r="DC805" s="567"/>
      <c r="DD805" s="567"/>
      <c r="DE805" s="567"/>
      <c r="DF805" s="567"/>
      <c r="DG805" s="567"/>
      <c r="DH805" s="567"/>
      <c r="DI805" s="567"/>
      <c r="DJ805" s="567"/>
      <c r="DK805" s="567"/>
      <c r="DL805" s="567"/>
      <c r="DM805" s="567"/>
      <c r="DN805" s="567"/>
      <c r="DO805" s="567"/>
      <c r="DP805" s="567"/>
      <c r="DQ805" s="567"/>
      <c r="DR805" s="567"/>
      <c r="DS805" s="567"/>
      <c r="DT805" s="567"/>
      <c r="DU805" s="567"/>
      <c r="DV805" s="567"/>
      <c r="DW805" s="567"/>
      <c r="DX805" s="567"/>
      <c r="DY805" s="567"/>
      <c r="DZ805" s="567"/>
      <c r="EA805" s="567"/>
      <c r="EB805" s="567"/>
      <c r="EC805" s="567"/>
      <c r="ED805" s="567"/>
      <c r="EE805" s="567"/>
      <c r="EF805" s="567"/>
      <c r="EG805" s="567"/>
      <c r="EH805" s="567"/>
      <c r="EI805" s="567"/>
      <c r="EJ805" s="567"/>
      <c r="EK805" s="567"/>
      <c r="EL805" s="567"/>
      <c r="EM805" s="567"/>
      <c r="EN805" s="567"/>
      <c r="EO805" s="567"/>
      <c r="EP805" s="567"/>
      <c r="EQ805" s="567"/>
      <c r="ER805" s="567"/>
      <c r="ES805" s="567"/>
      <c r="ET805" s="567"/>
      <c r="EU805" s="567"/>
      <c r="EV805" s="567"/>
      <c r="EW805" s="567"/>
      <c r="EX805" s="567"/>
      <c r="EY805" s="567"/>
      <c r="EZ805" s="567"/>
      <c r="FA805" s="567"/>
      <c r="FB805" s="567"/>
      <c r="FC805" s="567"/>
      <c r="FD805" s="567"/>
      <c r="FE805" s="567"/>
      <c r="FF805" s="567"/>
      <c r="FG805" s="567"/>
      <c r="FH805" s="567"/>
      <c r="FI805" s="567"/>
      <c r="FJ805" s="567"/>
      <c r="FK805" s="567"/>
      <c r="FL805" s="567"/>
      <c r="FM805" s="567"/>
      <c r="FN805" s="567"/>
      <c r="FO805" s="567"/>
      <c r="FP805" s="567"/>
      <c r="FQ805" s="567"/>
      <c r="FR805" s="567"/>
      <c r="FS805" s="567"/>
      <c r="FT805" s="567"/>
      <c r="FU805" s="567"/>
      <c r="FV805" s="567"/>
      <c r="FW805" s="567"/>
      <c r="FX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  <c r="BW806" s="567"/>
      <c r="BX806" s="567"/>
      <c r="BY806" s="567"/>
      <c r="BZ806" s="567"/>
      <c r="CA806" s="567"/>
      <c r="CB806" s="567"/>
      <c r="CC806" s="567"/>
      <c r="CD806" s="567"/>
      <c r="CE806" s="567"/>
      <c r="CF806" s="567"/>
      <c r="CG806" s="567"/>
      <c r="CH806" s="567"/>
      <c r="CI806" s="567"/>
      <c r="CJ806" s="567"/>
      <c r="CK806" s="567"/>
      <c r="CL806" s="567"/>
      <c r="CM806" s="567"/>
      <c r="CN806" s="567"/>
      <c r="CO806" s="567"/>
      <c r="CP806" s="567"/>
      <c r="CQ806" s="567"/>
      <c r="CR806" s="567"/>
      <c r="CS806" s="567"/>
      <c r="CT806" s="567"/>
      <c r="CU806" s="567"/>
      <c r="CV806" s="567"/>
      <c r="CW806" s="567"/>
      <c r="CX806" s="567"/>
      <c r="CY806" s="567"/>
      <c r="CZ806" s="567"/>
      <c r="DA806" s="567"/>
      <c r="DB806" s="567"/>
      <c r="DC806" s="567"/>
      <c r="DD806" s="567"/>
      <c r="DE806" s="567"/>
      <c r="DF806" s="567"/>
      <c r="DG806" s="567"/>
      <c r="DH806" s="567"/>
      <c r="DI806" s="567"/>
      <c r="DJ806" s="567"/>
      <c r="DK806" s="567"/>
      <c r="DL806" s="567"/>
      <c r="DM806" s="567"/>
      <c r="DN806" s="567"/>
      <c r="DO806" s="567"/>
      <c r="DP806" s="567"/>
      <c r="DQ806" s="567"/>
      <c r="DR806" s="567"/>
      <c r="DS806" s="567"/>
      <c r="DT806" s="567"/>
      <c r="DU806" s="567"/>
      <c r="DV806" s="567"/>
      <c r="DW806" s="567"/>
      <c r="DX806" s="567"/>
      <c r="DY806" s="567"/>
      <c r="DZ806" s="567"/>
      <c r="EA806" s="567"/>
      <c r="EB806" s="567"/>
      <c r="EC806" s="567"/>
      <c r="ED806" s="567"/>
      <c r="EE806" s="567"/>
      <c r="EF806" s="567"/>
      <c r="EG806" s="567"/>
      <c r="EH806" s="567"/>
      <c r="EI806" s="567"/>
      <c r="EJ806" s="567"/>
      <c r="EK806" s="567"/>
      <c r="EL806" s="567"/>
      <c r="EM806" s="567"/>
      <c r="EN806" s="567"/>
      <c r="EO806" s="567"/>
      <c r="EP806" s="567"/>
      <c r="EQ806" s="567"/>
      <c r="ER806" s="567"/>
      <c r="ES806" s="567"/>
      <c r="ET806" s="567"/>
      <c r="EU806" s="567"/>
      <c r="EV806" s="567"/>
      <c r="EW806" s="567"/>
      <c r="EX806" s="567"/>
      <c r="EY806" s="567"/>
      <c r="EZ806" s="567"/>
      <c r="FA806" s="567"/>
      <c r="FB806" s="567"/>
      <c r="FC806" s="567"/>
      <c r="FD806" s="567"/>
      <c r="FE806" s="567"/>
      <c r="FF806" s="567"/>
      <c r="FG806" s="567"/>
      <c r="FH806" s="567"/>
      <c r="FI806" s="567"/>
      <c r="FJ806" s="567"/>
      <c r="FK806" s="567"/>
      <c r="FL806" s="567"/>
      <c r="FM806" s="567"/>
      <c r="FN806" s="567"/>
      <c r="FO806" s="567"/>
      <c r="FP806" s="567"/>
      <c r="FQ806" s="567"/>
      <c r="FR806" s="567"/>
      <c r="FS806" s="567"/>
      <c r="FT806" s="567"/>
      <c r="FU806" s="567"/>
      <c r="FV806" s="567"/>
      <c r="FW806" s="567"/>
      <c r="FX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  <c r="BW807" s="567"/>
      <c r="BX807" s="567"/>
      <c r="BY807" s="567"/>
      <c r="BZ807" s="567"/>
      <c r="CA807" s="567"/>
      <c r="CB807" s="567"/>
      <c r="CC807" s="567"/>
      <c r="CD807" s="567"/>
      <c r="CE807" s="567"/>
      <c r="CF807" s="567"/>
      <c r="CG807" s="567"/>
      <c r="CH807" s="567"/>
      <c r="CI807" s="567"/>
      <c r="CJ807" s="567"/>
      <c r="CK807" s="567"/>
      <c r="CL807" s="567"/>
      <c r="CM807" s="567"/>
      <c r="CN807" s="567"/>
      <c r="CO807" s="567"/>
      <c r="CP807" s="567"/>
      <c r="CQ807" s="567"/>
      <c r="CR807" s="567"/>
      <c r="CS807" s="567"/>
      <c r="CT807" s="567"/>
      <c r="CU807" s="567"/>
      <c r="CV807" s="567"/>
      <c r="CW807" s="567"/>
      <c r="CX807" s="567"/>
      <c r="CY807" s="567"/>
      <c r="CZ807" s="567"/>
      <c r="DA807" s="567"/>
      <c r="DB807" s="567"/>
      <c r="DC807" s="567"/>
      <c r="DD807" s="567"/>
      <c r="DE807" s="567"/>
      <c r="DF807" s="567"/>
      <c r="DG807" s="567"/>
      <c r="DH807" s="567"/>
      <c r="DI807" s="567"/>
      <c r="DJ807" s="567"/>
      <c r="DK807" s="567"/>
      <c r="DL807" s="567"/>
      <c r="DM807" s="567"/>
      <c r="DN807" s="567"/>
      <c r="DO807" s="567"/>
      <c r="DP807" s="567"/>
      <c r="DQ807" s="567"/>
      <c r="DR807" s="567"/>
      <c r="DS807" s="567"/>
      <c r="DT807" s="567"/>
      <c r="DU807" s="567"/>
      <c r="DV807" s="567"/>
      <c r="DW807" s="567"/>
      <c r="DX807" s="567"/>
      <c r="DY807" s="567"/>
      <c r="DZ807" s="567"/>
      <c r="EA807" s="567"/>
      <c r="EB807" s="567"/>
      <c r="EC807" s="567"/>
      <c r="ED807" s="567"/>
      <c r="EE807" s="567"/>
      <c r="EF807" s="567"/>
      <c r="EG807" s="567"/>
      <c r="EH807" s="567"/>
      <c r="EI807" s="567"/>
      <c r="EJ807" s="567"/>
      <c r="EK807" s="567"/>
      <c r="EL807" s="567"/>
      <c r="EM807" s="567"/>
      <c r="EN807" s="567"/>
      <c r="EO807" s="567"/>
      <c r="EP807" s="567"/>
      <c r="EQ807" s="567"/>
      <c r="ER807" s="567"/>
      <c r="ES807" s="567"/>
      <c r="ET807" s="567"/>
      <c r="EU807" s="567"/>
      <c r="EV807" s="567"/>
      <c r="EW807" s="567"/>
      <c r="EX807" s="567"/>
      <c r="EY807" s="567"/>
      <c r="EZ807" s="567"/>
      <c r="FA807" s="567"/>
      <c r="FB807" s="567"/>
      <c r="FC807" s="567"/>
      <c r="FD807" s="567"/>
      <c r="FE807" s="567"/>
      <c r="FF807" s="567"/>
      <c r="FG807" s="567"/>
      <c r="FH807" s="567"/>
      <c r="FI807" s="567"/>
      <c r="FJ807" s="567"/>
      <c r="FK807" s="567"/>
      <c r="FL807" s="567"/>
      <c r="FM807" s="567"/>
      <c r="FN807" s="567"/>
      <c r="FO807" s="567"/>
      <c r="FP807" s="567"/>
      <c r="FQ807" s="567"/>
      <c r="FR807" s="567"/>
      <c r="FS807" s="567"/>
      <c r="FT807" s="567"/>
      <c r="FU807" s="567"/>
      <c r="FV807" s="567"/>
      <c r="FW807" s="567"/>
      <c r="FX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  <c r="BW808" s="567"/>
      <c r="BX808" s="567"/>
      <c r="BY808" s="567"/>
      <c r="BZ808" s="567"/>
      <c r="CA808" s="567"/>
      <c r="CB808" s="567"/>
      <c r="CC808" s="567"/>
      <c r="CD808" s="567"/>
      <c r="CE808" s="567"/>
      <c r="CF808" s="567"/>
      <c r="CG808" s="567"/>
      <c r="CH808" s="567"/>
      <c r="CI808" s="567"/>
      <c r="CJ808" s="567"/>
      <c r="CK808" s="567"/>
      <c r="CL808" s="567"/>
      <c r="CM808" s="567"/>
      <c r="CN808" s="567"/>
      <c r="CO808" s="567"/>
      <c r="CP808" s="567"/>
      <c r="CQ808" s="567"/>
      <c r="CR808" s="567"/>
      <c r="CS808" s="567"/>
      <c r="CT808" s="567"/>
      <c r="CU808" s="567"/>
      <c r="CV808" s="567"/>
      <c r="CW808" s="567"/>
      <c r="CX808" s="567"/>
      <c r="CY808" s="567"/>
      <c r="CZ808" s="567"/>
      <c r="DA808" s="567"/>
      <c r="DB808" s="567"/>
      <c r="DC808" s="567"/>
      <c r="DD808" s="567"/>
      <c r="DE808" s="567"/>
      <c r="DF808" s="567"/>
      <c r="DG808" s="567"/>
      <c r="DH808" s="567"/>
      <c r="DI808" s="567"/>
      <c r="DJ808" s="567"/>
      <c r="DK808" s="567"/>
      <c r="DL808" s="567"/>
      <c r="DM808" s="567"/>
      <c r="DN808" s="567"/>
      <c r="DO808" s="567"/>
      <c r="DP808" s="567"/>
      <c r="DQ808" s="567"/>
      <c r="DR808" s="567"/>
      <c r="DS808" s="567"/>
      <c r="DT808" s="567"/>
      <c r="DU808" s="567"/>
      <c r="DV808" s="567"/>
      <c r="DW808" s="567"/>
      <c r="DX808" s="567"/>
      <c r="DY808" s="567"/>
      <c r="DZ808" s="567"/>
      <c r="EA808" s="567"/>
      <c r="EB808" s="567"/>
      <c r="EC808" s="567"/>
      <c r="ED808" s="567"/>
      <c r="EE808" s="567"/>
      <c r="EF808" s="567"/>
      <c r="EG808" s="567"/>
      <c r="EH808" s="567"/>
      <c r="EI808" s="567"/>
      <c r="EJ808" s="567"/>
      <c r="EK808" s="567"/>
      <c r="EL808" s="567"/>
      <c r="EM808" s="567"/>
      <c r="EN808" s="567"/>
      <c r="EO808" s="567"/>
      <c r="EP808" s="567"/>
      <c r="EQ808" s="567"/>
      <c r="ER808" s="567"/>
      <c r="ES808" s="567"/>
      <c r="ET808" s="567"/>
      <c r="EU808" s="567"/>
      <c r="EV808" s="567"/>
      <c r="EW808" s="567"/>
      <c r="EX808" s="567"/>
      <c r="EY808" s="567"/>
      <c r="EZ808" s="567"/>
      <c r="FA808" s="567"/>
      <c r="FB808" s="567"/>
      <c r="FC808" s="567"/>
      <c r="FD808" s="567"/>
      <c r="FE808" s="567"/>
      <c r="FF808" s="567"/>
      <c r="FG808" s="567"/>
      <c r="FH808" s="567"/>
      <c r="FI808" s="567"/>
      <c r="FJ808" s="567"/>
      <c r="FK808" s="567"/>
      <c r="FL808" s="567"/>
      <c r="FM808" s="567"/>
      <c r="FN808" s="567"/>
      <c r="FO808" s="567"/>
      <c r="FP808" s="567"/>
      <c r="FQ808" s="567"/>
      <c r="FR808" s="567"/>
      <c r="FS808" s="567"/>
      <c r="FT808" s="567"/>
      <c r="FU808" s="567"/>
      <c r="FV808" s="567"/>
      <c r="FW808" s="567"/>
      <c r="FX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  <c r="BW809" s="567"/>
      <c r="BX809" s="567"/>
      <c r="BY809" s="567"/>
      <c r="BZ809" s="567"/>
      <c r="CA809" s="567"/>
      <c r="CB809" s="567"/>
      <c r="CC809" s="567"/>
      <c r="CD809" s="567"/>
      <c r="CE809" s="567"/>
      <c r="CF809" s="567"/>
      <c r="CG809" s="567"/>
      <c r="CH809" s="567"/>
      <c r="CI809" s="567"/>
      <c r="CJ809" s="567"/>
      <c r="CK809" s="567"/>
      <c r="CL809" s="567"/>
      <c r="CM809" s="567"/>
      <c r="CN809" s="567"/>
      <c r="CO809" s="567"/>
      <c r="CP809" s="567"/>
      <c r="CQ809" s="567"/>
      <c r="CR809" s="567"/>
      <c r="CS809" s="567"/>
      <c r="CT809" s="567"/>
      <c r="CU809" s="567"/>
      <c r="CV809" s="567"/>
      <c r="CW809" s="567"/>
      <c r="CX809" s="567"/>
      <c r="CY809" s="567"/>
      <c r="CZ809" s="567"/>
      <c r="DA809" s="567"/>
      <c r="DB809" s="567"/>
      <c r="DC809" s="567"/>
      <c r="DD809" s="567"/>
      <c r="DE809" s="567"/>
      <c r="DF809" s="567"/>
      <c r="DG809" s="567"/>
      <c r="DH809" s="567"/>
      <c r="DI809" s="567"/>
      <c r="DJ809" s="567"/>
      <c r="DK809" s="567"/>
      <c r="DL809" s="567"/>
      <c r="DM809" s="567"/>
      <c r="DN809" s="567"/>
      <c r="DO809" s="567"/>
      <c r="DP809" s="567"/>
      <c r="DQ809" s="567"/>
      <c r="DR809" s="567"/>
      <c r="DS809" s="567"/>
      <c r="DT809" s="567"/>
      <c r="DU809" s="567"/>
      <c r="DV809" s="567"/>
      <c r="DW809" s="567"/>
      <c r="DX809" s="567"/>
      <c r="DY809" s="567"/>
      <c r="DZ809" s="567"/>
      <c r="EA809" s="567"/>
      <c r="EB809" s="567"/>
      <c r="EC809" s="567"/>
      <c r="ED809" s="567"/>
      <c r="EE809" s="567"/>
      <c r="EF809" s="567"/>
      <c r="EG809" s="567"/>
      <c r="EH809" s="567"/>
      <c r="EI809" s="567"/>
      <c r="EJ809" s="567"/>
      <c r="EK809" s="567"/>
      <c r="EL809" s="567"/>
      <c r="EM809" s="567"/>
      <c r="EN809" s="567"/>
      <c r="EO809" s="567"/>
      <c r="EP809" s="567"/>
      <c r="EQ809" s="567"/>
      <c r="ER809" s="567"/>
      <c r="ES809" s="567"/>
      <c r="ET809" s="567"/>
      <c r="EU809" s="567"/>
      <c r="EV809" s="567"/>
      <c r="EW809" s="567"/>
      <c r="EX809" s="567"/>
      <c r="EY809" s="567"/>
      <c r="EZ809" s="567"/>
      <c r="FA809" s="567"/>
      <c r="FB809" s="567"/>
      <c r="FC809" s="567"/>
      <c r="FD809" s="567"/>
      <c r="FE809" s="567"/>
      <c r="FF809" s="567"/>
      <c r="FG809" s="567"/>
      <c r="FH809" s="567"/>
      <c r="FI809" s="567"/>
      <c r="FJ809" s="567"/>
      <c r="FK809" s="567"/>
      <c r="FL809" s="567"/>
      <c r="FM809" s="567"/>
      <c r="FN809" s="567"/>
      <c r="FO809" s="567"/>
      <c r="FP809" s="567"/>
      <c r="FQ809" s="567"/>
      <c r="FR809" s="567"/>
      <c r="FS809" s="567"/>
      <c r="FT809" s="567"/>
      <c r="FU809" s="567"/>
      <c r="FV809" s="567"/>
      <c r="FW809" s="567"/>
      <c r="FX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  <c r="BW810" s="567"/>
      <c r="BX810" s="567"/>
      <c r="BY810" s="567"/>
      <c r="BZ810" s="567"/>
      <c r="CA810" s="567"/>
      <c r="CB810" s="567"/>
      <c r="CC810" s="567"/>
      <c r="CD810" s="567"/>
      <c r="CE810" s="567"/>
      <c r="CF810" s="567"/>
      <c r="CG810" s="567"/>
      <c r="CH810" s="567"/>
      <c r="CI810" s="567"/>
      <c r="CJ810" s="567"/>
      <c r="CK810" s="567"/>
      <c r="CL810" s="567"/>
      <c r="CM810" s="567"/>
      <c r="CN810" s="567"/>
      <c r="CO810" s="567"/>
      <c r="CP810" s="567"/>
      <c r="CQ810" s="567"/>
      <c r="CR810" s="567"/>
      <c r="CS810" s="567"/>
      <c r="CT810" s="567"/>
      <c r="CU810" s="567"/>
      <c r="CV810" s="567"/>
      <c r="CW810" s="567"/>
      <c r="CX810" s="567"/>
      <c r="CY810" s="567"/>
      <c r="CZ810" s="567"/>
      <c r="DA810" s="567"/>
      <c r="DB810" s="567"/>
      <c r="DC810" s="567"/>
      <c r="DD810" s="567"/>
      <c r="DE810" s="567"/>
      <c r="DF810" s="567"/>
      <c r="DG810" s="567"/>
      <c r="DH810" s="567"/>
      <c r="DI810" s="567"/>
      <c r="DJ810" s="567"/>
      <c r="DK810" s="567"/>
      <c r="DL810" s="567"/>
      <c r="DM810" s="567"/>
      <c r="DN810" s="567"/>
      <c r="DO810" s="567"/>
      <c r="DP810" s="567"/>
      <c r="DQ810" s="567"/>
      <c r="DR810" s="567"/>
      <c r="DS810" s="567"/>
      <c r="DT810" s="567"/>
      <c r="DU810" s="567"/>
      <c r="DV810" s="567"/>
      <c r="DW810" s="567"/>
      <c r="DX810" s="567"/>
      <c r="DY810" s="567"/>
      <c r="DZ810" s="567"/>
      <c r="EA810" s="567"/>
      <c r="EB810" s="567"/>
      <c r="EC810" s="567"/>
      <c r="ED810" s="567"/>
      <c r="EE810" s="567"/>
      <c r="EF810" s="567"/>
      <c r="EG810" s="567"/>
      <c r="EH810" s="567"/>
      <c r="EI810" s="567"/>
      <c r="EJ810" s="567"/>
      <c r="EK810" s="567"/>
      <c r="EL810" s="567"/>
      <c r="EM810" s="567"/>
      <c r="EN810" s="567"/>
      <c r="EO810" s="567"/>
      <c r="EP810" s="567"/>
      <c r="EQ810" s="567"/>
      <c r="ER810" s="567"/>
      <c r="ES810" s="567"/>
      <c r="ET810" s="567"/>
      <c r="EU810" s="567"/>
      <c r="EV810" s="567"/>
      <c r="EW810" s="567"/>
      <c r="EX810" s="567"/>
      <c r="EY810" s="567"/>
      <c r="EZ810" s="567"/>
      <c r="FA810" s="567"/>
      <c r="FB810" s="567"/>
      <c r="FC810" s="567"/>
      <c r="FD810" s="567"/>
      <c r="FE810" s="567"/>
      <c r="FF810" s="567"/>
      <c r="FG810" s="567"/>
      <c r="FH810" s="567"/>
      <c r="FI810" s="567"/>
      <c r="FJ810" s="567"/>
      <c r="FK810" s="567"/>
      <c r="FL810" s="567"/>
      <c r="FM810" s="567"/>
      <c r="FN810" s="567"/>
      <c r="FO810" s="567"/>
      <c r="FP810" s="567"/>
      <c r="FQ810" s="567"/>
      <c r="FR810" s="567"/>
      <c r="FS810" s="567"/>
      <c r="FT810" s="567"/>
      <c r="FU810" s="567"/>
      <c r="FV810" s="567"/>
      <c r="FW810" s="567"/>
      <c r="FX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  <c r="BW811" s="567"/>
      <c r="BX811" s="567"/>
      <c r="BY811" s="567"/>
      <c r="BZ811" s="567"/>
      <c r="CA811" s="567"/>
      <c r="CB811" s="567"/>
      <c r="CC811" s="567"/>
      <c r="CD811" s="567"/>
      <c r="CE811" s="567"/>
      <c r="CF811" s="567"/>
      <c r="CG811" s="567"/>
      <c r="CH811" s="567"/>
      <c r="CI811" s="567"/>
      <c r="CJ811" s="567"/>
      <c r="CK811" s="567"/>
      <c r="CL811" s="567"/>
      <c r="CM811" s="567"/>
      <c r="CN811" s="567"/>
      <c r="CO811" s="567"/>
      <c r="CP811" s="567"/>
      <c r="CQ811" s="567"/>
      <c r="CR811" s="567"/>
      <c r="CS811" s="567"/>
      <c r="CT811" s="567"/>
      <c r="CU811" s="567"/>
      <c r="CV811" s="567"/>
      <c r="CW811" s="567"/>
      <c r="CX811" s="567"/>
      <c r="CY811" s="567"/>
      <c r="CZ811" s="567"/>
      <c r="DA811" s="567"/>
      <c r="DB811" s="567"/>
      <c r="DC811" s="567"/>
      <c r="DD811" s="567"/>
      <c r="DE811" s="567"/>
      <c r="DF811" s="567"/>
      <c r="DG811" s="567"/>
      <c r="DH811" s="567"/>
      <c r="DI811" s="567"/>
      <c r="DJ811" s="567"/>
      <c r="DK811" s="567"/>
      <c r="DL811" s="567"/>
      <c r="DM811" s="567"/>
      <c r="DN811" s="567"/>
      <c r="DO811" s="567"/>
      <c r="DP811" s="567"/>
      <c r="DQ811" s="567"/>
      <c r="DR811" s="567"/>
      <c r="DS811" s="567"/>
      <c r="DT811" s="567"/>
      <c r="DU811" s="567"/>
      <c r="DV811" s="567"/>
      <c r="DW811" s="567"/>
      <c r="DX811" s="567"/>
      <c r="DY811" s="567"/>
      <c r="DZ811" s="567"/>
      <c r="EA811" s="567"/>
      <c r="EB811" s="567"/>
      <c r="EC811" s="567"/>
      <c r="ED811" s="567"/>
      <c r="EE811" s="567"/>
      <c r="EF811" s="567"/>
      <c r="EG811" s="567"/>
      <c r="EH811" s="567"/>
      <c r="EI811" s="567"/>
      <c r="EJ811" s="567"/>
      <c r="EK811" s="567"/>
      <c r="EL811" s="567"/>
      <c r="EM811" s="567"/>
      <c r="EN811" s="567"/>
      <c r="EO811" s="567"/>
      <c r="EP811" s="567"/>
      <c r="EQ811" s="567"/>
      <c r="ER811" s="567"/>
      <c r="ES811" s="567"/>
      <c r="ET811" s="567"/>
      <c r="EU811" s="567"/>
      <c r="EV811" s="567"/>
      <c r="EW811" s="567"/>
      <c r="EX811" s="567"/>
      <c r="EY811" s="567"/>
      <c r="EZ811" s="567"/>
      <c r="FA811" s="567"/>
      <c r="FB811" s="567"/>
      <c r="FC811" s="567"/>
      <c r="FD811" s="567"/>
      <c r="FE811" s="567"/>
      <c r="FF811" s="567"/>
      <c r="FG811" s="567"/>
      <c r="FH811" s="567"/>
      <c r="FI811" s="567"/>
      <c r="FJ811" s="567"/>
      <c r="FK811" s="567"/>
      <c r="FL811" s="567"/>
      <c r="FM811" s="567"/>
      <c r="FN811" s="567"/>
      <c r="FO811" s="567"/>
      <c r="FP811" s="567"/>
      <c r="FQ811" s="567"/>
      <c r="FR811" s="567"/>
      <c r="FS811" s="567"/>
      <c r="FT811" s="567"/>
      <c r="FU811" s="567"/>
      <c r="FV811" s="567"/>
      <c r="FW811" s="567"/>
      <c r="FX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  <c r="BW812" s="567"/>
      <c r="BX812" s="567"/>
      <c r="BY812" s="567"/>
      <c r="BZ812" s="567"/>
      <c r="CA812" s="567"/>
      <c r="CB812" s="567"/>
      <c r="CC812" s="567"/>
      <c r="CD812" s="567"/>
      <c r="CE812" s="567"/>
      <c r="CF812" s="567"/>
      <c r="CG812" s="567"/>
      <c r="CH812" s="567"/>
      <c r="CI812" s="567"/>
      <c r="CJ812" s="567"/>
      <c r="CK812" s="567"/>
      <c r="CL812" s="567"/>
      <c r="CM812" s="567"/>
      <c r="CN812" s="567"/>
      <c r="CO812" s="567"/>
      <c r="CP812" s="567"/>
      <c r="CQ812" s="567"/>
      <c r="CR812" s="567"/>
      <c r="CS812" s="567"/>
      <c r="CT812" s="567"/>
      <c r="CU812" s="567"/>
      <c r="CV812" s="567"/>
      <c r="CW812" s="567"/>
      <c r="CX812" s="567"/>
      <c r="CY812" s="567"/>
      <c r="CZ812" s="567"/>
      <c r="DA812" s="567"/>
      <c r="DB812" s="567"/>
      <c r="DC812" s="567"/>
      <c r="DD812" s="567"/>
      <c r="DE812" s="567"/>
      <c r="DF812" s="567"/>
      <c r="DG812" s="567"/>
      <c r="DH812" s="567"/>
      <c r="DI812" s="567"/>
      <c r="DJ812" s="567"/>
      <c r="DK812" s="567"/>
      <c r="DL812" s="567"/>
      <c r="DM812" s="567"/>
      <c r="DN812" s="567"/>
      <c r="DO812" s="567"/>
      <c r="DP812" s="567"/>
      <c r="DQ812" s="567"/>
      <c r="DR812" s="567"/>
      <c r="DS812" s="567"/>
      <c r="DT812" s="567"/>
      <c r="DU812" s="567"/>
      <c r="DV812" s="567"/>
      <c r="DW812" s="567"/>
      <c r="DX812" s="567"/>
      <c r="DY812" s="567"/>
      <c r="DZ812" s="567"/>
      <c r="EA812" s="567"/>
      <c r="EB812" s="567"/>
      <c r="EC812" s="567"/>
      <c r="ED812" s="567"/>
      <c r="EE812" s="567"/>
      <c r="EF812" s="567"/>
      <c r="EG812" s="567"/>
      <c r="EH812" s="567"/>
      <c r="EI812" s="567"/>
      <c r="EJ812" s="567"/>
      <c r="EK812" s="567"/>
      <c r="EL812" s="567"/>
      <c r="EM812" s="567"/>
      <c r="EN812" s="567"/>
      <c r="EO812" s="567"/>
      <c r="EP812" s="567"/>
      <c r="EQ812" s="567"/>
      <c r="ER812" s="567"/>
      <c r="ES812" s="567"/>
      <c r="ET812" s="567"/>
      <c r="EU812" s="567"/>
      <c r="EV812" s="567"/>
      <c r="EW812" s="567"/>
      <c r="EX812" s="567"/>
      <c r="EY812" s="567"/>
      <c r="EZ812" s="567"/>
      <c r="FA812" s="567"/>
      <c r="FB812" s="567"/>
      <c r="FC812" s="567"/>
      <c r="FD812" s="567"/>
      <c r="FE812" s="567"/>
      <c r="FF812" s="567"/>
      <c r="FG812" s="567"/>
      <c r="FH812" s="567"/>
      <c r="FI812" s="567"/>
      <c r="FJ812" s="567"/>
      <c r="FK812" s="567"/>
      <c r="FL812" s="567"/>
      <c r="FM812" s="567"/>
      <c r="FN812" s="567"/>
      <c r="FO812" s="567"/>
      <c r="FP812" s="567"/>
      <c r="FQ812" s="567"/>
      <c r="FR812" s="567"/>
      <c r="FS812" s="567"/>
      <c r="FT812" s="567"/>
      <c r="FU812" s="567"/>
      <c r="FV812" s="567"/>
      <c r="FW812" s="567"/>
      <c r="FX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  <c r="BW813" s="567"/>
      <c r="BX813" s="567"/>
      <c r="BY813" s="567"/>
      <c r="BZ813" s="567"/>
      <c r="CA813" s="567"/>
      <c r="CB813" s="567"/>
      <c r="CC813" s="567"/>
      <c r="CD813" s="567"/>
      <c r="CE813" s="567"/>
      <c r="CF813" s="567"/>
      <c r="CG813" s="567"/>
      <c r="CH813" s="567"/>
      <c r="CI813" s="567"/>
      <c r="CJ813" s="567"/>
      <c r="CK813" s="567"/>
      <c r="CL813" s="567"/>
      <c r="CM813" s="567"/>
      <c r="CN813" s="567"/>
      <c r="CO813" s="567"/>
      <c r="CP813" s="567"/>
      <c r="CQ813" s="567"/>
      <c r="CR813" s="567"/>
      <c r="CS813" s="567"/>
      <c r="CT813" s="567"/>
      <c r="CU813" s="567"/>
      <c r="CV813" s="567"/>
      <c r="CW813" s="567"/>
      <c r="CX813" s="567"/>
      <c r="CY813" s="567"/>
      <c r="CZ813" s="567"/>
      <c r="DA813" s="567"/>
      <c r="DB813" s="567"/>
      <c r="DC813" s="567"/>
      <c r="DD813" s="567"/>
      <c r="DE813" s="567"/>
      <c r="DF813" s="567"/>
      <c r="DG813" s="567"/>
      <c r="DH813" s="567"/>
      <c r="DI813" s="567"/>
      <c r="DJ813" s="567"/>
      <c r="DK813" s="567"/>
      <c r="DL813" s="567"/>
      <c r="DM813" s="567"/>
      <c r="DN813" s="567"/>
      <c r="DO813" s="567"/>
      <c r="DP813" s="567"/>
      <c r="DQ813" s="567"/>
      <c r="DR813" s="567"/>
      <c r="DS813" s="567"/>
      <c r="DT813" s="567"/>
      <c r="DU813" s="567"/>
      <c r="DV813" s="567"/>
      <c r="DW813" s="567"/>
      <c r="DX813" s="567"/>
      <c r="DY813" s="567"/>
      <c r="DZ813" s="567"/>
      <c r="EA813" s="567"/>
      <c r="EB813" s="567"/>
      <c r="EC813" s="567"/>
      <c r="ED813" s="567"/>
      <c r="EE813" s="567"/>
      <c r="EF813" s="567"/>
      <c r="EG813" s="567"/>
      <c r="EH813" s="567"/>
      <c r="EI813" s="567"/>
      <c r="EJ813" s="567"/>
      <c r="EK813" s="567"/>
      <c r="EL813" s="567"/>
      <c r="EM813" s="567"/>
      <c r="EN813" s="567"/>
      <c r="EO813" s="567"/>
      <c r="EP813" s="567"/>
      <c r="EQ813" s="567"/>
      <c r="ER813" s="567"/>
      <c r="ES813" s="567"/>
      <c r="ET813" s="567"/>
      <c r="EU813" s="567"/>
      <c r="EV813" s="567"/>
      <c r="EW813" s="567"/>
      <c r="EX813" s="567"/>
      <c r="EY813" s="567"/>
      <c r="EZ813" s="567"/>
      <c r="FA813" s="567"/>
      <c r="FB813" s="567"/>
      <c r="FC813" s="567"/>
      <c r="FD813" s="567"/>
      <c r="FE813" s="567"/>
      <c r="FF813" s="567"/>
      <c r="FG813" s="567"/>
      <c r="FH813" s="567"/>
      <c r="FI813" s="567"/>
      <c r="FJ813" s="567"/>
      <c r="FK813" s="567"/>
      <c r="FL813" s="567"/>
      <c r="FM813" s="567"/>
      <c r="FN813" s="567"/>
      <c r="FO813" s="567"/>
      <c r="FP813" s="567"/>
      <c r="FQ813" s="567"/>
      <c r="FR813" s="567"/>
      <c r="FS813" s="567"/>
      <c r="FT813" s="567"/>
      <c r="FU813" s="567"/>
      <c r="FV813" s="567"/>
      <c r="FW813" s="567"/>
      <c r="FX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  <c r="BW814" s="567"/>
      <c r="BX814" s="567"/>
      <c r="BY814" s="567"/>
      <c r="BZ814" s="567"/>
      <c r="CA814" s="567"/>
      <c r="CB814" s="567"/>
      <c r="CC814" s="567"/>
      <c r="CD814" s="567"/>
      <c r="CE814" s="567"/>
      <c r="CF814" s="567"/>
      <c r="CG814" s="567"/>
      <c r="CH814" s="567"/>
      <c r="CI814" s="567"/>
      <c r="CJ814" s="567"/>
      <c r="CK814" s="567"/>
      <c r="CL814" s="567"/>
      <c r="CM814" s="567"/>
      <c r="CN814" s="567"/>
      <c r="CO814" s="567"/>
      <c r="CP814" s="567"/>
      <c r="CQ814" s="567"/>
      <c r="CR814" s="567"/>
      <c r="CS814" s="567"/>
      <c r="CT814" s="567"/>
      <c r="CU814" s="567"/>
      <c r="CV814" s="567"/>
      <c r="CW814" s="567"/>
      <c r="CX814" s="567"/>
      <c r="CY814" s="567"/>
      <c r="CZ814" s="567"/>
      <c r="DA814" s="567"/>
      <c r="DB814" s="567"/>
      <c r="DC814" s="567"/>
      <c r="DD814" s="567"/>
      <c r="DE814" s="567"/>
      <c r="DF814" s="567"/>
      <c r="DG814" s="567"/>
      <c r="DH814" s="567"/>
      <c r="DI814" s="567"/>
      <c r="DJ814" s="567"/>
      <c r="DK814" s="567"/>
      <c r="DL814" s="567"/>
      <c r="DM814" s="567"/>
      <c r="DN814" s="567"/>
      <c r="DO814" s="567"/>
      <c r="DP814" s="567"/>
      <c r="DQ814" s="567"/>
      <c r="DR814" s="567"/>
      <c r="DS814" s="567"/>
      <c r="DT814" s="567"/>
      <c r="DU814" s="567"/>
      <c r="DV814" s="567"/>
      <c r="DW814" s="567"/>
      <c r="DX814" s="567"/>
      <c r="DY814" s="567"/>
      <c r="DZ814" s="567"/>
      <c r="EA814" s="567"/>
      <c r="EB814" s="567"/>
      <c r="EC814" s="567"/>
      <c r="ED814" s="567"/>
      <c r="EE814" s="567"/>
      <c r="EF814" s="567"/>
      <c r="EG814" s="567"/>
      <c r="EH814" s="567"/>
      <c r="EI814" s="567"/>
      <c r="EJ814" s="567"/>
      <c r="EK814" s="567"/>
      <c r="EL814" s="567"/>
      <c r="EM814" s="567"/>
      <c r="EN814" s="567"/>
      <c r="EO814" s="567"/>
      <c r="EP814" s="567"/>
      <c r="EQ814" s="567"/>
      <c r="ER814" s="567"/>
      <c r="ES814" s="567"/>
      <c r="ET814" s="567"/>
      <c r="EU814" s="567"/>
      <c r="EV814" s="567"/>
      <c r="EW814" s="567"/>
      <c r="EX814" s="567"/>
      <c r="EY814" s="567"/>
      <c r="EZ814" s="567"/>
      <c r="FA814" s="567"/>
      <c r="FB814" s="567"/>
      <c r="FC814" s="567"/>
      <c r="FD814" s="567"/>
      <c r="FE814" s="567"/>
      <c r="FF814" s="567"/>
      <c r="FG814" s="567"/>
      <c r="FH814" s="567"/>
      <c r="FI814" s="567"/>
      <c r="FJ814" s="567"/>
      <c r="FK814" s="567"/>
      <c r="FL814" s="567"/>
      <c r="FM814" s="567"/>
      <c r="FN814" s="567"/>
      <c r="FO814" s="567"/>
      <c r="FP814" s="567"/>
      <c r="FQ814" s="567"/>
      <c r="FR814" s="567"/>
      <c r="FS814" s="567"/>
      <c r="FT814" s="567"/>
      <c r="FU814" s="567"/>
      <c r="FV814" s="567"/>
      <c r="FW814" s="567"/>
      <c r="FX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  <c r="BW815" s="567"/>
      <c r="BX815" s="567"/>
      <c r="BY815" s="567"/>
      <c r="BZ815" s="567"/>
      <c r="CA815" s="567"/>
      <c r="CB815" s="567"/>
      <c r="CC815" s="567"/>
      <c r="CD815" s="567"/>
      <c r="CE815" s="567"/>
      <c r="CF815" s="567"/>
      <c r="CG815" s="567"/>
      <c r="CH815" s="567"/>
      <c r="CI815" s="567"/>
      <c r="CJ815" s="567"/>
      <c r="CK815" s="567"/>
      <c r="CL815" s="567"/>
      <c r="CM815" s="567"/>
      <c r="CN815" s="567"/>
      <c r="CO815" s="567"/>
      <c r="CP815" s="567"/>
      <c r="CQ815" s="567"/>
      <c r="CR815" s="567"/>
      <c r="CS815" s="567"/>
      <c r="CT815" s="567"/>
      <c r="CU815" s="567"/>
      <c r="CV815" s="567"/>
      <c r="CW815" s="567"/>
      <c r="CX815" s="567"/>
      <c r="CY815" s="567"/>
      <c r="CZ815" s="567"/>
      <c r="DA815" s="567"/>
      <c r="DB815" s="567"/>
      <c r="DC815" s="567"/>
      <c r="DD815" s="567"/>
      <c r="DE815" s="567"/>
      <c r="DF815" s="567"/>
      <c r="DG815" s="567"/>
      <c r="DH815" s="567"/>
      <c r="DI815" s="567"/>
      <c r="DJ815" s="567"/>
      <c r="DK815" s="567"/>
      <c r="DL815" s="567"/>
      <c r="DM815" s="567"/>
      <c r="DN815" s="567"/>
      <c r="DO815" s="567"/>
      <c r="DP815" s="567"/>
      <c r="DQ815" s="567"/>
      <c r="DR815" s="567"/>
      <c r="DS815" s="567"/>
      <c r="DT815" s="567"/>
      <c r="DU815" s="567"/>
      <c r="DV815" s="567"/>
      <c r="DW815" s="567"/>
      <c r="DX815" s="567"/>
      <c r="DY815" s="567"/>
      <c r="DZ815" s="567"/>
      <c r="EA815" s="567"/>
      <c r="EB815" s="567"/>
      <c r="EC815" s="567"/>
      <c r="ED815" s="567"/>
      <c r="EE815" s="567"/>
      <c r="EF815" s="567"/>
      <c r="EG815" s="567"/>
      <c r="EH815" s="567"/>
      <c r="EI815" s="567"/>
      <c r="EJ815" s="567"/>
      <c r="EK815" s="567"/>
      <c r="EL815" s="567"/>
      <c r="EM815" s="567"/>
      <c r="EN815" s="567"/>
      <c r="EO815" s="567"/>
      <c r="EP815" s="567"/>
      <c r="EQ815" s="567"/>
      <c r="ER815" s="567"/>
      <c r="ES815" s="567"/>
      <c r="ET815" s="567"/>
      <c r="EU815" s="567"/>
      <c r="EV815" s="567"/>
      <c r="EW815" s="567"/>
      <c r="EX815" s="567"/>
      <c r="EY815" s="567"/>
      <c r="EZ815" s="567"/>
      <c r="FA815" s="567"/>
      <c r="FB815" s="567"/>
      <c r="FC815" s="567"/>
      <c r="FD815" s="567"/>
      <c r="FE815" s="567"/>
      <c r="FF815" s="567"/>
      <c r="FG815" s="567"/>
      <c r="FH815" s="567"/>
      <c r="FI815" s="567"/>
      <c r="FJ815" s="567"/>
      <c r="FK815" s="567"/>
      <c r="FL815" s="567"/>
      <c r="FM815" s="567"/>
      <c r="FN815" s="567"/>
      <c r="FO815" s="567"/>
      <c r="FP815" s="567"/>
      <c r="FQ815" s="567"/>
      <c r="FR815" s="567"/>
      <c r="FS815" s="567"/>
      <c r="FT815" s="567"/>
      <c r="FU815" s="567"/>
      <c r="FV815" s="567"/>
      <c r="FW815" s="567"/>
      <c r="FX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  <c r="BW816" s="567"/>
      <c r="BX816" s="567"/>
      <c r="BY816" s="567"/>
      <c r="BZ816" s="567"/>
      <c r="CA816" s="567"/>
      <c r="CB816" s="567"/>
      <c r="CC816" s="567"/>
      <c r="CD816" s="567"/>
      <c r="CE816" s="567"/>
      <c r="CF816" s="567"/>
      <c r="CG816" s="567"/>
      <c r="CH816" s="567"/>
      <c r="CI816" s="567"/>
      <c r="CJ816" s="567"/>
      <c r="CK816" s="567"/>
      <c r="CL816" s="567"/>
      <c r="CM816" s="567"/>
      <c r="CN816" s="567"/>
      <c r="CO816" s="567"/>
      <c r="CP816" s="567"/>
      <c r="CQ816" s="567"/>
      <c r="CR816" s="567"/>
      <c r="CS816" s="567"/>
      <c r="CT816" s="567"/>
      <c r="CU816" s="567"/>
      <c r="CV816" s="567"/>
      <c r="CW816" s="567"/>
      <c r="CX816" s="567"/>
      <c r="CY816" s="567"/>
      <c r="CZ816" s="567"/>
      <c r="DA816" s="567"/>
      <c r="DB816" s="567"/>
      <c r="DC816" s="567"/>
      <c r="DD816" s="567"/>
      <c r="DE816" s="567"/>
      <c r="DF816" s="567"/>
      <c r="DG816" s="567"/>
      <c r="DH816" s="567"/>
      <c r="DI816" s="567"/>
      <c r="DJ816" s="567"/>
      <c r="DK816" s="567"/>
      <c r="DL816" s="567"/>
      <c r="DM816" s="567"/>
      <c r="DN816" s="567"/>
      <c r="DO816" s="567"/>
      <c r="DP816" s="567"/>
      <c r="DQ816" s="567"/>
      <c r="DR816" s="567"/>
      <c r="DS816" s="567"/>
      <c r="DT816" s="567"/>
      <c r="DU816" s="567"/>
      <c r="DV816" s="567"/>
      <c r="DW816" s="567"/>
      <c r="DX816" s="567"/>
      <c r="DY816" s="567"/>
      <c r="DZ816" s="567"/>
      <c r="EA816" s="567"/>
      <c r="EB816" s="567"/>
      <c r="EC816" s="567"/>
      <c r="ED816" s="567"/>
      <c r="EE816" s="567"/>
      <c r="EF816" s="567"/>
      <c r="EG816" s="567"/>
      <c r="EH816" s="567"/>
      <c r="EI816" s="567"/>
      <c r="EJ816" s="567"/>
      <c r="EK816" s="567"/>
      <c r="EL816" s="567"/>
      <c r="EM816" s="567"/>
      <c r="EN816" s="567"/>
      <c r="EO816" s="567"/>
      <c r="EP816" s="567"/>
      <c r="EQ816" s="567"/>
      <c r="ER816" s="567"/>
      <c r="ES816" s="567"/>
      <c r="ET816" s="567"/>
      <c r="EU816" s="567"/>
      <c r="EV816" s="567"/>
      <c r="EW816" s="567"/>
      <c r="EX816" s="567"/>
      <c r="EY816" s="567"/>
      <c r="EZ816" s="567"/>
      <c r="FA816" s="567"/>
      <c r="FB816" s="567"/>
      <c r="FC816" s="567"/>
      <c r="FD816" s="567"/>
      <c r="FE816" s="567"/>
      <c r="FF816" s="567"/>
      <c r="FG816" s="567"/>
      <c r="FH816" s="567"/>
      <c r="FI816" s="567"/>
      <c r="FJ816" s="567"/>
      <c r="FK816" s="567"/>
      <c r="FL816" s="567"/>
      <c r="FM816" s="567"/>
      <c r="FN816" s="567"/>
      <c r="FO816" s="567"/>
      <c r="FP816" s="567"/>
      <c r="FQ816" s="567"/>
      <c r="FR816" s="567"/>
      <c r="FS816" s="567"/>
      <c r="FT816" s="567"/>
      <c r="FU816" s="567"/>
      <c r="FV816" s="567"/>
      <c r="FW816" s="567"/>
      <c r="FX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  <c r="BW817" s="567"/>
      <c r="BX817" s="567"/>
      <c r="BY817" s="567"/>
      <c r="BZ817" s="567"/>
      <c r="CA817" s="567"/>
      <c r="CB817" s="567"/>
      <c r="CC817" s="567"/>
      <c r="CD817" s="567"/>
      <c r="CE817" s="567"/>
      <c r="CF817" s="567"/>
      <c r="CG817" s="567"/>
      <c r="CH817" s="567"/>
      <c r="CI817" s="567"/>
      <c r="CJ817" s="567"/>
      <c r="CK817" s="567"/>
      <c r="CL817" s="567"/>
      <c r="CM817" s="567"/>
      <c r="CN817" s="567"/>
      <c r="CO817" s="567"/>
      <c r="CP817" s="567"/>
      <c r="CQ817" s="567"/>
      <c r="CR817" s="567"/>
      <c r="CS817" s="567"/>
      <c r="CT817" s="567"/>
      <c r="CU817" s="567"/>
      <c r="CV817" s="567"/>
      <c r="CW817" s="567"/>
      <c r="CX817" s="567"/>
      <c r="CY817" s="567"/>
      <c r="CZ817" s="567"/>
      <c r="DA817" s="567"/>
      <c r="DB817" s="567"/>
      <c r="DC817" s="567"/>
      <c r="DD817" s="567"/>
      <c r="DE817" s="567"/>
      <c r="DF817" s="567"/>
      <c r="DG817" s="567"/>
      <c r="DH817" s="567"/>
      <c r="DI817" s="567"/>
      <c r="DJ817" s="567"/>
      <c r="DK817" s="567"/>
      <c r="DL817" s="567"/>
      <c r="DM817" s="567"/>
      <c r="DN817" s="567"/>
      <c r="DO817" s="567"/>
      <c r="DP817" s="567"/>
      <c r="DQ817" s="567"/>
      <c r="DR817" s="567"/>
      <c r="DS817" s="567"/>
      <c r="DT817" s="567"/>
      <c r="DU817" s="567"/>
      <c r="DV817" s="567"/>
      <c r="DW817" s="567"/>
      <c r="DX817" s="567"/>
      <c r="DY817" s="567"/>
      <c r="DZ817" s="567"/>
      <c r="EA817" s="567"/>
      <c r="EB817" s="567"/>
      <c r="EC817" s="567"/>
      <c r="ED817" s="567"/>
      <c r="EE817" s="567"/>
      <c r="EF817" s="567"/>
      <c r="EG817" s="567"/>
      <c r="EH817" s="567"/>
      <c r="EI817" s="567"/>
      <c r="EJ817" s="567"/>
      <c r="EK817" s="567"/>
      <c r="EL817" s="567"/>
      <c r="EM817" s="567"/>
      <c r="EN817" s="567"/>
      <c r="EO817" s="567"/>
      <c r="EP817" s="567"/>
      <c r="EQ817" s="567"/>
      <c r="ER817" s="567"/>
      <c r="ES817" s="567"/>
      <c r="ET817" s="567"/>
      <c r="EU817" s="567"/>
      <c r="EV817" s="567"/>
      <c r="EW817" s="567"/>
      <c r="EX817" s="567"/>
      <c r="EY817" s="567"/>
      <c r="EZ817" s="567"/>
      <c r="FA817" s="567"/>
      <c r="FB817" s="567"/>
      <c r="FC817" s="567"/>
      <c r="FD817" s="567"/>
      <c r="FE817" s="567"/>
      <c r="FF817" s="567"/>
      <c r="FG817" s="567"/>
      <c r="FH817" s="567"/>
      <c r="FI817" s="567"/>
      <c r="FJ817" s="567"/>
      <c r="FK817" s="567"/>
      <c r="FL817" s="567"/>
      <c r="FM817" s="567"/>
      <c r="FN817" s="567"/>
      <c r="FO817" s="567"/>
      <c r="FP817" s="567"/>
      <c r="FQ817" s="567"/>
      <c r="FR817" s="567"/>
      <c r="FS817" s="567"/>
      <c r="FT817" s="567"/>
      <c r="FU817" s="567"/>
      <c r="FV817" s="567"/>
      <c r="FW817" s="567"/>
      <c r="FX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  <c r="BW818" s="567"/>
      <c r="BX818" s="567"/>
      <c r="BY818" s="567"/>
      <c r="BZ818" s="567"/>
      <c r="CA818" s="567"/>
      <c r="CB818" s="567"/>
      <c r="CC818" s="567"/>
      <c r="CD818" s="567"/>
      <c r="CE818" s="567"/>
      <c r="CF818" s="567"/>
      <c r="CG818" s="567"/>
      <c r="CH818" s="567"/>
      <c r="CI818" s="567"/>
      <c r="CJ818" s="567"/>
      <c r="CK818" s="567"/>
      <c r="CL818" s="567"/>
      <c r="CM818" s="567"/>
      <c r="CN818" s="567"/>
      <c r="CO818" s="567"/>
      <c r="CP818" s="567"/>
      <c r="CQ818" s="567"/>
      <c r="CR818" s="567"/>
      <c r="CS818" s="567"/>
      <c r="CT818" s="567"/>
      <c r="CU818" s="567"/>
      <c r="CV818" s="567"/>
      <c r="CW818" s="567"/>
      <c r="CX818" s="567"/>
      <c r="CY818" s="567"/>
      <c r="CZ818" s="567"/>
      <c r="DA818" s="567"/>
      <c r="DB818" s="567"/>
      <c r="DC818" s="567"/>
      <c r="DD818" s="567"/>
      <c r="DE818" s="567"/>
      <c r="DF818" s="567"/>
      <c r="DG818" s="567"/>
      <c r="DH818" s="567"/>
      <c r="DI818" s="567"/>
      <c r="DJ818" s="567"/>
      <c r="DK818" s="567"/>
      <c r="DL818" s="567"/>
      <c r="DM818" s="567"/>
      <c r="DN818" s="567"/>
      <c r="DO818" s="567"/>
      <c r="DP818" s="567"/>
      <c r="DQ818" s="567"/>
      <c r="DR818" s="567"/>
      <c r="DS818" s="567"/>
      <c r="DT818" s="567"/>
      <c r="DU818" s="567"/>
      <c r="DV818" s="567"/>
      <c r="DW818" s="567"/>
      <c r="DX818" s="567"/>
      <c r="DY818" s="567"/>
      <c r="DZ818" s="567"/>
      <c r="EA818" s="567"/>
      <c r="EB818" s="567"/>
      <c r="EC818" s="567"/>
      <c r="ED818" s="567"/>
      <c r="EE818" s="567"/>
      <c r="EF818" s="567"/>
      <c r="EG818" s="567"/>
      <c r="EH818" s="567"/>
      <c r="EI818" s="567"/>
      <c r="EJ818" s="567"/>
      <c r="EK818" s="567"/>
      <c r="EL818" s="567"/>
      <c r="EM818" s="567"/>
      <c r="EN818" s="567"/>
      <c r="EO818" s="567"/>
      <c r="EP818" s="567"/>
      <c r="EQ818" s="567"/>
      <c r="ER818" s="567"/>
      <c r="ES818" s="567"/>
      <c r="ET818" s="567"/>
      <c r="EU818" s="567"/>
      <c r="EV818" s="567"/>
      <c r="EW818" s="567"/>
      <c r="EX818" s="567"/>
      <c r="EY818" s="567"/>
      <c r="EZ818" s="567"/>
      <c r="FA818" s="567"/>
      <c r="FB818" s="567"/>
      <c r="FC818" s="567"/>
      <c r="FD818" s="567"/>
      <c r="FE818" s="567"/>
      <c r="FF818" s="567"/>
      <c r="FG818" s="567"/>
      <c r="FH818" s="567"/>
      <c r="FI818" s="567"/>
      <c r="FJ818" s="567"/>
      <c r="FK818" s="567"/>
      <c r="FL818" s="567"/>
      <c r="FM818" s="567"/>
      <c r="FN818" s="567"/>
      <c r="FO818" s="567"/>
      <c r="FP818" s="567"/>
      <c r="FQ818" s="567"/>
      <c r="FR818" s="567"/>
      <c r="FS818" s="567"/>
      <c r="FT818" s="567"/>
      <c r="FU818" s="567"/>
      <c r="FV818" s="567"/>
      <c r="FW818" s="567"/>
      <c r="FX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  <c r="BW819" s="567"/>
      <c r="BX819" s="567"/>
      <c r="BY819" s="567"/>
      <c r="BZ819" s="567"/>
      <c r="CA819" s="567"/>
      <c r="CB819" s="567"/>
      <c r="CC819" s="567"/>
      <c r="CD819" s="567"/>
      <c r="CE819" s="567"/>
      <c r="CF819" s="567"/>
      <c r="CG819" s="567"/>
      <c r="CH819" s="567"/>
      <c r="CI819" s="567"/>
      <c r="CJ819" s="567"/>
      <c r="CK819" s="567"/>
      <c r="CL819" s="567"/>
      <c r="CM819" s="567"/>
      <c r="CN819" s="567"/>
      <c r="CO819" s="567"/>
      <c r="CP819" s="567"/>
      <c r="CQ819" s="567"/>
      <c r="CR819" s="567"/>
      <c r="CS819" s="567"/>
      <c r="CT819" s="567"/>
      <c r="CU819" s="567"/>
      <c r="CV819" s="567"/>
      <c r="CW819" s="567"/>
      <c r="CX819" s="567"/>
      <c r="CY819" s="567"/>
      <c r="CZ819" s="567"/>
      <c r="DA819" s="567"/>
      <c r="DB819" s="567"/>
      <c r="DC819" s="567"/>
      <c r="DD819" s="567"/>
      <c r="DE819" s="567"/>
      <c r="DF819" s="567"/>
      <c r="DG819" s="567"/>
      <c r="DH819" s="567"/>
      <c r="DI819" s="567"/>
      <c r="DJ819" s="567"/>
      <c r="DK819" s="567"/>
      <c r="DL819" s="567"/>
      <c r="DM819" s="567"/>
      <c r="DN819" s="567"/>
      <c r="DO819" s="567"/>
      <c r="DP819" s="567"/>
      <c r="DQ819" s="567"/>
      <c r="DR819" s="567"/>
      <c r="DS819" s="567"/>
      <c r="DT819" s="567"/>
      <c r="DU819" s="567"/>
      <c r="DV819" s="567"/>
      <c r="DW819" s="567"/>
      <c r="DX819" s="567"/>
      <c r="DY819" s="567"/>
      <c r="DZ819" s="567"/>
      <c r="EA819" s="567"/>
      <c r="EB819" s="567"/>
      <c r="EC819" s="567"/>
      <c r="ED819" s="567"/>
      <c r="EE819" s="567"/>
      <c r="EF819" s="567"/>
      <c r="EG819" s="567"/>
      <c r="EH819" s="567"/>
      <c r="EI819" s="567"/>
      <c r="EJ819" s="567"/>
      <c r="EK819" s="567"/>
      <c r="EL819" s="567"/>
      <c r="EM819" s="567"/>
      <c r="EN819" s="567"/>
      <c r="EO819" s="567"/>
      <c r="EP819" s="567"/>
      <c r="EQ819" s="567"/>
      <c r="ER819" s="567"/>
      <c r="ES819" s="567"/>
      <c r="ET819" s="567"/>
      <c r="EU819" s="567"/>
      <c r="EV819" s="567"/>
      <c r="EW819" s="567"/>
      <c r="EX819" s="567"/>
      <c r="EY819" s="567"/>
      <c r="EZ819" s="567"/>
      <c r="FA819" s="567"/>
      <c r="FB819" s="567"/>
      <c r="FC819" s="567"/>
      <c r="FD819" s="567"/>
      <c r="FE819" s="567"/>
      <c r="FF819" s="567"/>
      <c r="FG819" s="567"/>
      <c r="FH819" s="567"/>
      <c r="FI819" s="567"/>
      <c r="FJ819" s="567"/>
      <c r="FK819" s="567"/>
      <c r="FL819" s="567"/>
      <c r="FM819" s="567"/>
      <c r="FN819" s="567"/>
      <c r="FO819" s="567"/>
      <c r="FP819" s="567"/>
      <c r="FQ819" s="567"/>
      <c r="FR819" s="567"/>
      <c r="FS819" s="567"/>
      <c r="FT819" s="567"/>
      <c r="FU819" s="567"/>
      <c r="FV819" s="567"/>
      <c r="FW819" s="567"/>
      <c r="FX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  <c r="BW820" s="567"/>
      <c r="BX820" s="567"/>
      <c r="BY820" s="567"/>
      <c r="BZ820" s="567"/>
      <c r="CA820" s="567"/>
      <c r="CB820" s="567"/>
      <c r="CC820" s="567"/>
      <c r="CD820" s="567"/>
      <c r="CE820" s="567"/>
      <c r="CF820" s="567"/>
      <c r="CG820" s="567"/>
      <c r="CH820" s="567"/>
      <c r="CI820" s="567"/>
      <c r="CJ820" s="567"/>
      <c r="CK820" s="567"/>
      <c r="CL820" s="567"/>
      <c r="CM820" s="567"/>
      <c r="CN820" s="567"/>
      <c r="CO820" s="567"/>
      <c r="CP820" s="567"/>
      <c r="CQ820" s="567"/>
      <c r="CR820" s="567"/>
      <c r="CS820" s="567"/>
      <c r="CT820" s="567"/>
      <c r="CU820" s="567"/>
      <c r="CV820" s="567"/>
      <c r="CW820" s="567"/>
      <c r="CX820" s="567"/>
      <c r="CY820" s="567"/>
      <c r="CZ820" s="567"/>
      <c r="DA820" s="567"/>
      <c r="DB820" s="567"/>
      <c r="DC820" s="567"/>
      <c r="DD820" s="567"/>
      <c r="DE820" s="567"/>
      <c r="DF820" s="567"/>
      <c r="DG820" s="567"/>
      <c r="DH820" s="567"/>
      <c r="DI820" s="567"/>
      <c r="DJ820" s="567"/>
      <c r="DK820" s="567"/>
      <c r="DL820" s="567"/>
      <c r="DM820" s="567"/>
      <c r="DN820" s="567"/>
      <c r="DO820" s="567"/>
      <c r="DP820" s="567"/>
      <c r="DQ820" s="567"/>
      <c r="DR820" s="567"/>
      <c r="DS820" s="567"/>
      <c r="DT820" s="567"/>
      <c r="DU820" s="567"/>
      <c r="DV820" s="567"/>
      <c r="DW820" s="567"/>
      <c r="DX820" s="567"/>
      <c r="DY820" s="567"/>
      <c r="DZ820" s="567"/>
      <c r="EA820" s="567"/>
      <c r="EB820" s="567"/>
      <c r="EC820" s="567"/>
      <c r="ED820" s="567"/>
      <c r="EE820" s="567"/>
      <c r="EF820" s="567"/>
      <c r="EG820" s="567"/>
      <c r="EH820" s="567"/>
      <c r="EI820" s="567"/>
      <c r="EJ820" s="567"/>
      <c r="EK820" s="567"/>
      <c r="EL820" s="567"/>
      <c r="EM820" s="567"/>
      <c r="EN820" s="567"/>
      <c r="EO820" s="567"/>
      <c r="EP820" s="567"/>
      <c r="EQ820" s="567"/>
      <c r="ER820" s="567"/>
      <c r="ES820" s="567"/>
      <c r="ET820" s="567"/>
      <c r="EU820" s="567"/>
      <c r="EV820" s="567"/>
      <c r="EW820" s="567"/>
      <c r="EX820" s="567"/>
      <c r="EY820" s="567"/>
      <c r="EZ820" s="567"/>
      <c r="FA820" s="567"/>
      <c r="FB820" s="567"/>
      <c r="FC820" s="567"/>
      <c r="FD820" s="567"/>
      <c r="FE820" s="567"/>
      <c r="FF820" s="567"/>
      <c r="FG820" s="567"/>
      <c r="FH820" s="567"/>
      <c r="FI820" s="567"/>
      <c r="FJ820" s="567"/>
      <c r="FK820" s="567"/>
      <c r="FL820" s="567"/>
      <c r="FM820" s="567"/>
      <c r="FN820" s="567"/>
      <c r="FO820" s="567"/>
      <c r="FP820" s="567"/>
      <c r="FQ820" s="567"/>
      <c r="FR820" s="567"/>
      <c r="FS820" s="567"/>
      <c r="FT820" s="567"/>
      <c r="FU820" s="567"/>
      <c r="FV820" s="567"/>
      <c r="FW820" s="567"/>
      <c r="FX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  <c r="BW821" s="567"/>
      <c r="BX821" s="567"/>
      <c r="BY821" s="567"/>
      <c r="BZ821" s="567"/>
      <c r="CA821" s="567"/>
      <c r="CB821" s="567"/>
      <c r="CC821" s="567"/>
      <c r="CD821" s="567"/>
      <c r="CE821" s="567"/>
      <c r="CF821" s="567"/>
      <c r="CG821" s="567"/>
      <c r="CH821" s="567"/>
      <c r="CI821" s="567"/>
      <c r="CJ821" s="567"/>
      <c r="CK821" s="567"/>
      <c r="CL821" s="567"/>
      <c r="CM821" s="567"/>
      <c r="CN821" s="567"/>
      <c r="CO821" s="567"/>
      <c r="CP821" s="567"/>
      <c r="CQ821" s="567"/>
      <c r="CR821" s="567"/>
      <c r="CS821" s="567"/>
      <c r="CT821" s="567"/>
      <c r="CU821" s="567"/>
      <c r="CV821" s="567"/>
      <c r="CW821" s="567"/>
      <c r="CX821" s="567"/>
      <c r="CY821" s="567"/>
      <c r="CZ821" s="567"/>
      <c r="DA821" s="567"/>
      <c r="DB821" s="567"/>
      <c r="DC821" s="567"/>
      <c r="DD821" s="567"/>
      <c r="DE821" s="567"/>
      <c r="DF821" s="567"/>
      <c r="DG821" s="567"/>
      <c r="DH821" s="567"/>
      <c r="DI821" s="567"/>
      <c r="DJ821" s="567"/>
      <c r="DK821" s="567"/>
      <c r="DL821" s="567"/>
      <c r="DM821" s="567"/>
      <c r="DN821" s="567"/>
      <c r="DO821" s="567"/>
      <c r="DP821" s="567"/>
      <c r="DQ821" s="567"/>
      <c r="DR821" s="567"/>
      <c r="DS821" s="567"/>
      <c r="DT821" s="567"/>
      <c r="DU821" s="567"/>
      <c r="DV821" s="567"/>
      <c r="DW821" s="567"/>
      <c r="DX821" s="567"/>
      <c r="DY821" s="567"/>
      <c r="DZ821" s="567"/>
      <c r="EA821" s="567"/>
      <c r="EB821" s="567"/>
      <c r="EC821" s="567"/>
      <c r="ED821" s="567"/>
      <c r="EE821" s="567"/>
      <c r="EF821" s="567"/>
      <c r="EG821" s="567"/>
      <c r="EH821" s="567"/>
      <c r="EI821" s="567"/>
      <c r="EJ821" s="567"/>
      <c r="EK821" s="567"/>
      <c r="EL821" s="567"/>
      <c r="EM821" s="567"/>
      <c r="EN821" s="567"/>
      <c r="EO821" s="567"/>
      <c r="EP821" s="567"/>
      <c r="EQ821" s="567"/>
      <c r="ER821" s="567"/>
      <c r="ES821" s="567"/>
      <c r="ET821" s="567"/>
      <c r="EU821" s="567"/>
      <c r="EV821" s="567"/>
      <c r="EW821" s="567"/>
      <c r="EX821" s="567"/>
      <c r="EY821" s="567"/>
      <c r="EZ821" s="567"/>
      <c r="FA821" s="567"/>
      <c r="FB821" s="567"/>
      <c r="FC821" s="567"/>
      <c r="FD821" s="567"/>
      <c r="FE821" s="567"/>
      <c r="FF821" s="567"/>
      <c r="FG821" s="567"/>
      <c r="FH821" s="567"/>
      <c r="FI821" s="567"/>
      <c r="FJ821" s="567"/>
      <c r="FK821" s="567"/>
      <c r="FL821" s="567"/>
      <c r="FM821" s="567"/>
      <c r="FN821" s="567"/>
      <c r="FO821" s="567"/>
      <c r="FP821" s="567"/>
      <c r="FQ821" s="567"/>
      <c r="FR821" s="567"/>
      <c r="FS821" s="567"/>
      <c r="FT821" s="567"/>
      <c r="FU821" s="567"/>
      <c r="FV821" s="567"/>
      <c r="FW821" s="567"/>
      <c r="FX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  <c r="BW822" s="567"/>
      <c r="BX822" s="567"/>
      <c r="BY822" s="567"/>
      <c r="BZ822" s="567"/>
      <c r="CA822" s="567"/>
      <c r="CB822" s="567"/>
      <c r="CC822" s="567"/>
      <c r="CD822" s="567"/>
      <c r="CE822" s="567"/>
      <c r="CF822" s="567"/>
      <c r="CG822" s="567"/>
      <c r="CH822" s="567"/>
      <c r="CI822" s="567"/>
      <c r="CJ822" s="567"/>
      <c r="CK822" s="567"/>
      <c r="CL822" s="567"/>
      <c r="CM822" s="567"/>
      <c r="CN822" s="567"/>
      <c r="CO822" s="567"/>
      <c r="CP822" s="567"/>
      <c r="CQ822" s="567"/>
      <c r="CR822" s="567"/>
      <c r="CS822" s="567"/>
      <c r="CT822" s="567"/>
      <c r="CU822" s="567"/>
      <c r="CV822" s="567"/>
      <c r="CW822" s="567"/>
      <c r="CX822" s="567"/>
      <c r="CY822" s="567"/>
      <c r="CZ822" s="567"/>
      <c r="DA822" s="567"/>
      <c r="DB822" s="567"/>
      <c r="DC822" s="567"/>
      <c r="DD822" s="567"/>
      <c r="DE822" s="567"/>
      <c r="DF822" s="567"/>
      <c r="DG822" s="567"/>
      <c r="DH822" s="567"/>
      <c r="DI822" s="567"/>
      <c r="DJ822" s="567"/>
      <c r="DK822" s="567"/>
      <c r="DL822" s="567"/>
      <c r="DM822" s="567"/>
      <c r="DN822" s="567"/>
      <c r="DO822" s="567"/>
      <c r="DP822" s="567"/>
      <c r="DQ822" s="567"/>
      <c r="DR822" s="567"/>
      <c r="DS822" s="567"/>
      <c r="DT822" s="567"/>
      <c r="DU822" s="567"/>
      <c r="DV822" s="567"/>
      <c r="DW822" s="567"/>
      <c r="DX822" s="567"/>
      <c r="DY822" s="567"/>
      <c r="DZ822" s="567"/>
      <c r="EA822" s="567"/>
      <c r="EB822" s="567"/>
      <c r="EC822" s="567"/>
      <c r="ED822" s="567"/>
      <c r="EE822" s="567"/>
      <c r="EF822" s="567"/>
      <c r="EG822" s="567"/>
      <c r="EH822" s="567"/>
      <c r="EI822" s="567"/>
      <c r="EJ822" s="567"/>
      <c r="EK822" s="567"/>
      <c r="EL822" s="567"/>
      <c r="EM822" s="567"/>
      <c r="EN822" s="567"/>
      <c r="EO822" s="567"/>
      <c r="EP822" s="567"/>
      <c r="EQ822" s="567"/>
      <c r="ER822" s="567"/>
      <c r="ES822" s="567"/>
      <c r="ET822" s="567"/>
      <c r="EU822" s="567"/>
      <c r="EV822" s="567"/>
      <c r="EW822" s="567"/>
      <c r="EX822" s="567"/>
      <c r="EY822" s="567"/>
      <c r="EZ822" s="567"/>
      <c r="FA822" s="567"/>
      <c r="FB822" s="567"/>
      <c r="FC822" s="567"/>
      <c r="FD822" s="567"/>
      <c r="FE822" s="567"/>
      <c r="FF822" s="567"/>
      <c r="FG822" s="567"/>
      <c r="FH822" s="567"/>
      <c r="FI822" s="567"/>
      <c r="FJ822" s="567"/>
      <c r="FK822" s="567"/>
      <c r="FL822" s="567"/>
      <c r="FM822" s="567"/>
      <c r="FN822" s="567"/>
      <c r="FO822" s="567"/>
      <c r="FP822" s="567"/>
      <c r="FQ822" s="567"/>
      <c r="FR822" s="567"/>
      <c r="FS822" s="567"/>
      <c r="FT822" s="567"/>
      <c r="FU822" s="567"/>
      <c r="FV822" s="567"/>
      <c r="FW822" s="567"/>
      <c r="FX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  <c r="BW823" s="567"/>
      <c r="BX823" s="567"/>
      <c r="BY823" s="567"/>
      <c r="BZ823" s="567"/>
      <c r="CA823" s="567"/>
      <c r="CB823" s="567"/>
      <c r="CC823" s="567"/>
      <c r="CD823" s="567"/>
      <c r="CE823" s="567"/>
      <c r="CF823" s="567"/>
      <c r="CG823" s="567"/>
      <c r="CH823" s="567"/>
      <c r="CI823" s="567"/>
      <c r="CJ823" s="567"/>
      <c r="CK823" s="567"/>
      <c r="CL823" s="567"/>
      <c r="CM823" s="567"/>
      <c r="CN823" s="567"/>
      <c r="CO823" s="567"/>
      <c r="CP823" s="567"/>
      <c r="CQ823" s="567"/>
      <c r="CR823" s="567"/>
      <c r="CS823" s="567"/>
      <c r="CT823" s="567"/>
      <c r="CU823" s="567"/>
      <c r="CV823" s="567"/>
      <c r="CW823" s="567"/>
      <c r="CX823" s="567"/>
      <c r="CY823" s="567"/>
      <c r="CZ823" s="567"/>
      <c r="DA823" s="567"/>
      <c r="DB823" s="567"/>
      <c r="DC823" s="567"/>
      <c r="DD823" s="567"/>
      <c r="DE823" s="567"/>
      <c r="DF823" s="567"/>
      <c r="DG823" s="567"/>
      <c r="DH823" s="567"/>
      <c r="DI823" s="567"/>
      <c r="DJ823" s="567"/>
      <c r="DK823" s="567"/>
      <c r="DL823" s="567"/>
      <c r="DM823" s="567"/>
      <c r="DN823" s="567"/>
      <c r="DO823" s="567"/>
      <c r="DP823" s="567"/>
      <c r="DQ823" s="567"/>
      <c r="DR823" s="567"/>
      <c r="DS823" s="567"/>
      <c r="DT823" s="567"/>
      <c r="DU823" s="567"/>
      <c r="DV823" s="567"/>
      <c r="DW823" s="567"/>
      <c r="DX823" s="567"/>
      <c r="DY823" s="567"/>
      <c r="DZ823" s="567"/>
      <c r="EA823" s="567"/>
      <c r="EB823" s="567"/>
      <c r="EC823" s="567"/>
      <c r="ED823" s="567"/>
      <c r="EE823" s="567"/>
      <c r="EF823" s="567"/>
      <c r="EG823" s="567"/>
      <c r="EH823" s="567"/>
      <c r="EI823" s="567"/>
      <c r="EJ823" s="567"/>
      <c r="EK823" s="567"/>
      <c r="EL823" s="567"/>
      <c r="EM823" s="567"/>
      <c r="EN823" s="567"/>
      <c r="EO823" s="567"/>
      <c r="EP823" s="567"/>
      <c r="EQ823" s="567"/>
      <c r="ER823" s="567"/>
      <c r="ES823" s="567"/>
      <c r="ET823" s="567"/>
      <c r="EU823" s="567"/>
      <c r="EV823" s="567"/>
      <c r="EW823" s="567"/>
      <c r="EX823" s="567"/>
      <c r="EY823" s="567"/>
      <c r="EZ823" s="567"/>
      <c r="FA823" s="567"/>
      <c r="FB823" s="567"/>
      <c r="FC823" s="567"/>
      <c r="FD823" s="567"/>
      <c r="FE823" s="567"/>
      <c r="FF823" s="567"/>
      <c r="FG823" s="567"/>
      <c r="FH823" s="567"/>
      <c r="FI823" s="567"/>
      <c r="FJ823" s="567"/>
      <c r="FK823" s="567"/>
      <c r="FL823" s="567"/>
      <c r="FM823" s="567"/>
      <c r="FN823" s="567"/>
      <c r="FO823" s="567"/>
      <c r="FP823" s="567"/>
      <c r="FQ823" s="567"/>
      <c r="FR823" s="567"/>
      <c r="FS823" s="567"/>
      <c r="FT823" s="567"/>
      <c r="FU823" s="567"/>
      <c r="FV823" s="567"/>
      <c r="FW823" s="567"/>
      <c r="FX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  <c r="BW824" s="567"/>
      <c r="BX824" s="567"/>
      <c r="BY824" s="567"/>
      <c r="BZ824" s="567"/>
      <c r="CA824" s="567"/>
      <c r="CB824" s="567"/>
      <c r="CC824" s="567"/>
      <c r="CD824" s="567"/>
      <c r="CE824" s="567"/>
      <c r="CF824" s="567"/>
      <c r="CG824" s="567"/>
      <c r="CH824" s="567"/>
      <c r="CI824" s="567"/>
      <c r="CJ824" s="567"/>
      <c r="CK824" s="567"/>
      <c r="CL824" s="567"/>
      <c r="CM824" s="567"/>
      <c r="CN824" s="567"/>
      <c r="CO824" s="567"/>
      <c r="CP824" s="567"/>
      <c r="CQ824" s="567"/>
      <c r="CR824" s="567"/>
      <c r="CS824" s="567"/>
      <c r="CT824" s="567"/>
      <c r="CU824" s="567"/>
      <c r="CV824" s="567"/>
      <c r="CW824" s="567"/>
      <c r="CX824" s="567"/>
      <c r="CY824" s="567"/>
      <c r="CZ824" s="567"/>
      <c r="DA824" s="567"/>
      <c r="DB824" s="567"/>
      <c r="DC824" s="567"/>
      <c r="DD824" s="567"/>
      <c r="DE824" s="567"/>
      <c r="DF824" s="567"/>
      <c r="DG824" s="567"/>
      <c r="DH824" s="567"/>
      <c r="DI824" s="567"/>
      <c r="DJ824" s="567"/>
      <c r="DK824" s="567"/>
      <c r="DL824" s="567"/>
      <c r="DM824" s="567"/>
      <c r="DN824" s="567"/>
      <c r="DO824" s="567"/>
      <c r="DP824" s="567"/>
      <c r="DQ824" s="567"/>
      <c r="DR824" s="567"/>
      <c r="DS824" s="567"/>
      <c r="DT824" s="567"/>
      <c r="DU824" s="567"/>
      <c r="DV824" s="567"/>
      <c r="DW824" s="567"/>
      <c r="DX824" s="567"/>
      <c r="DY824" s="567"/>
      <c r="DZ824" s="567"/>
      <c r="EA824" s="567"/>
      <c r="EB824" s="567"/>
      <c r="EC824" s="567"/>
      <c r="ED824" s="567"/>
      <c r="EE824" s="567"/>
      <c r="EF824" s="567"/>
      <c r="EG824" s="567"/>
      <c r="EH824" s="567"/>
      <c r="EI824" s="567"/>
      <c r="EJ824" s="567"/>
      <c r="EK824" s="567"/>
      <c r="EL824" s="567"/>
      <c r="EM824" s="567"/>
      <c r="EN824" s="567"/>
      <c r="EO824" s="567"/>
      <c r="EP824" s="567"/>
      <c r="EQ824" s="567"/>
      <c r="ER824" s="567"/>
      <c r="ES824" s="567"/>
      <c r="ET824" s="567"/>
      <c r="EU824" s="567"/>
      <c r="EV824" s="567"/>
      <c r="EW824" s="567"/>
      <c r="EX824" s="567"/>
      <c r="EY824" s="567"/>
      <c r="EZ824" s="567"/>
      <c r="FA824" s="567"/>
      <c r="FB824" s="567"/>
      <c r="FC824" s="567"/>
      <c r="FD824" s="567"/>
      <c r="FE824" s="567"/>
      <c r="FF824" s="567"/>
      <c r="FG824" s="567"/>
      <c r="FH824" s="567"/>
      <c r="FI824" s="567"/>
      <c r="FJ824" s="567"/>
      <c r="FK824" s="567"/>
      <c r="FL824" s="567"/>
      <c r="FM824" s="567"/>
      <c r="FN824" s="567"/>
      <c r="FO824" s="567"/>
      <c r="FP824" s="567"/>
      <c r="FQ824" s="567"/>
      <c r="FR824" s="567"/>
      <c r="FS824" s="567"/>
      <c r="FT824" s="567"/>
      <c r="FU824" s="567"/>
      <c r="FV824" s="567"/>
      <c r="FW824" s="567"/>
      <c r="FX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  <c r="BW825" s="567"/>
      <c r="BX825" s="567"/>
      <c r="BY825" s="567"/>
      <c r="BZ825" s="567"/>
      <c r="CA825" s="567"/>
      <c r="CB825" s="567"/>
      <c r="CC825" s="567"/>
      <c r="CD825" s="567"/>
      <c r="CE825" s="567"/>
      <c r="CF825" s="567"/>
      <c r="CG825" s="567"/>
      <c r="CH825" s="567"/>
      <c r="CI825" s="567"/>
      <c r="CJ825" s="567"/>
      <c r="CK825" s="567"/>
      <c r="CL825" s="567"/>
      <c r="CM825" s="567"/>
      <c r="CN825" s="567"/>
      <c r="CO825" s="567"/>
      <c r="CP825" s="567"/>
      <c r="CQ825" s="567"/>
      <c r="CR825" s="567"/>
      <c r="CS825" s="567"/>
      <c r="CT825" s="567"/>
      <c r="CU825" s="567"/>
      <c r="CV825" s="567"/>
      <c r="CW825" s="567"/>
      <c r="CX825" s="567"/>
      <c r="CY825" s="567"/>
      <c r="CZ825" s="567"/>
      <c r="DA825" s="567"/>
      <c r="DB825" s="567"/>
      <c r="DC825" s="567"/>
      <c r="DD825" s="567"/>
      <c r="DE825" s="567"/>
      <c r="DF825" s="567"/>
      <c r="DG825" s="567"/>
      <c r="DH825" s="567"/>
      <c r="DI825" s="567"/>
      <c r="DJ825" s="567"/>
      <c r="DK825" s="567"/>
      <c r="DL825" s="567"/>
      <c r="DM825" s="567"/>
      <c r="DN825" s="567"/>
      <c r="DO825" s="567"/>
      <c r="DP825" s="567"/>
      <c r="DQ825" s="567"/>
      <c r="DR825" s="567"/>
      <c r="DS825" s="567"/>
      <c r="DT825" s="567"/>
      <c r="DU825" s="567"/>
      <c r="DV825" s="567"/>
      <c r="DW825" s="567"/>
      <c r="DX825" s="567"/>
      <c r="DY825" s="567"/>
      <c r="DZ825" s="567"/>
      <c r="EA825" s="567"/>
      <c r="EB825" s="567"/>
      <c r="EC825" s="567"/>
      <c r="ED825" s="567"/>
      <c r="EE825" s="567"/>
      <c r="EF825" s="567"/>
      <c r="EG825" s="567"/>
      <c r="EH825" s="567"/>
      <c r="EI825" s="567"/>
      <c r="EJ825" s="567"/>
      <c r="EK825" s="567"/>
      <c r="EL825" s="567"/>
      <c r="EM825" s="567"/>
      <c r="EN825" s="567"/>
      <c r="EO825" s="567"/>
      <c r="EP825" s="567"/>
      <c r="EQ825" s="567"/>
      <c r="ER825" s="567"/>
      <c r="ES825" s="567"/>
      <c r="ET825" s="567"/>
      <c r="EU825" s="567"/>
      <c r="EV825" s="567"/>
      <c r="EW825" s="567"/>
      <c r="EX825" s="567"/>
      <c r="EY825" s="567"/>
      <c r="EZ825" s="567"/>
      <c r="FA825" s="567"/>
      <c r="FB825" s="567"/>
      <c r="FC825" s="567"/>
      <c r="FD825" s="567"/>
      <c r="FE825" s="567"/>
      <c r="FF825" s="567"/>
      <c r="FG825" s="567"/>
      <c r="FH825" s="567"/>
      <c r="FI825" s="567"/>
      <c r="FJ825" s="567"/>
      <c r="FK825" s="567"/>
      <c r="FL825" s="567"/>
      <c r="FM825" s="567"/>
      <c r="FN825" s="567"/>
      <c r="FO825" s="567"/>
      <c r="FP825" s="567"/>
      <c r="FQ825" s="567"/>
      <c r="FR825" s="567"/>
      <c r="FS825" s="567"/>
      <c r="FT825" s="567"/>
      <c r="FU825" s="567"/>
      <c r="FV825" s="567"/>
      <c r="FW825" s="567"/>
      <c r="FX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  <c r="BW826" s="567"/>
      <c r="BX826" s="567"/>
      <c r="BY826" s="567"/>
      <c r="BZ826" s="567"/>
      <c r="CA826" s="567"/>
      <c r="CB826" s="567"/>
      <c r="CC826" s="567"/>
      <c r="CD826" s="567"/>
      <c r="CE826" s="567"/>
      <c r="CF826" s="567"/>
      <c r="CG826" s="567"/>
      <c r="CH826" s="567"/>
      <c r="CI826" s="567"/>
      <c r="CJ826" s="567"/>
      <c r="CK826" s="567"/>
      <c r="CL826" s="567"/>
      <c r="CM826" s="567"/>
      <c r="CN826" s="567"/>
      <c r="CO826" s="567"/>
      <c r="CP826" s="567"/>
      <c r="CQ826" s="567"/>
      <c r="CR826" s="567"/>
      <c r="CS826" s="567"/>
      <c r="CT826" s="567"/>
      <c r="CU826" s="567"/>
      <c r="CV826" s="567"/>
      <c r="CW826" s="567"/>
      <c r="CX826" s="567"/>
      <c r="CY826" s="567"/>
      <c r="CZ826" s="567"/>
      <c r="DA826" s="567"/>
      <c r="DB826" s="567"/>
      <c r="DC826" s="567"/>
      <c r="DD826" s="567"/>
      <c r="DE826" s="567"/>
      <c r="DF826" s="567"/>
      <c r="DG826" s="567"/>
      <c r="DH826" s="567"/>
      <c r="DI826" s="567"/>
      <c r="DJ826" s="567"/>
      <c r="DK826" s="567"/>
      <c r="DL826" s="567"/>
      <c r="DM826" s="567"/>
      <c r="DN826" s="567"/>
      <c r="DO826" s="567"/>
      <c r="DP826" s="567"/>
      <c r="DQ826" s="567"/>
      <c r="DR826" s="567"/>
      <c r="DS826" s="567"/>
      <c r="DT826" s="567"/>
      <c r="DU826" s="567"/>
      <c r="DV826" s="567"/>
      <c r="DW826" s="567"/>
      <c r="DX826" s="567"/>
      <c r="DY826" s="567"/>
      <c r="DZ826" s="567"/>
      <c r="EA826" s="567"/>
      <c r="EB826" s="567"/>
      <c r="EC826" s="567"/>
      <c r="ED826" s="567"/>
      <c r="EE826" s="567"/>
      <c r="EF826" s="567"/>
      <c r="EG826" s="567"/>
      <c r="EH826" s="567"/>
      <c r="EI826" s="567"/>
      <c r="EJ826" s="567"/>
      <c r="EK826" s="567"/>
      <c r="EL826" s="567"/>
      <c r="EM826" s="567"/>
      <c r="EN826" s="567"/>
      <c r="EO826" s="567"/>
      <c r="EP826" s="567"/>
      <c r="EQ826" s="567"/>
      <c r="ER826" s="567"/>
      <c r="ES826" s="567"/>
      <c r="ET826" s="567"/>
      <c r="EU826" s="567"/>
      <c r="EV826" s="567"/>
      <c r="EW826" s="567"/>
      <c r="EX826" s="567"/>
      <c r="EY826" s="567"/>
      <c r="EZ826" s="567"/>
      <c r="FA826" s="567"/>
      <c r="FB826" s="567"/>
      <c r="FC826" s="567"/>
      <c r="FD826" s="567"/>
      <c r="FE826" s="567"/>
      <c r="FF826" s="567"/>
      <c r="FG826" s="567"/>
      <c r="FH826" s="567"/>
      <c r="FI826" s="567"/>
      <c r="FJ826" s="567"/>
      <c r="FK826" s="567"/>
      <c r="FL826" s="567"/>
      <c r="FM826" s="567"/>
      <c r="FN826" s="567"/>
      <c r="FO826" s="567"/>
      <c r="FP826" s="567"/>
      <c r="FQ826" s="567"/>
      <c r="FR826" s="567"/>
      <c r="FS826" s="567"/>
      <c r="FT826" s="567"/>
      <c r="FU826" s="567"/>
      <c r="FV826" s="567"/>
      <c r="FW826" s="567"/>
      <c r="FX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  <c r="BW827" s="567"/>
      <c r="BX827" s="567"/>
      <c r="BY827" s="567"/>
      <c r="BZ827" s="567"/>
      <c r="CA827" s="567"/>
      <c r="CB827" s="567"/>
      <c r="CC827" s="567"/>
      <c r="CD827" s="567"/>
      <c r="CE827" s="567"/>
      <c r="CF827" s="567"/>
      <c r="CG827" s="567"/>
      <c r="CH827" s="567"/>
      <c r="CI827" s="567"/>
      <c r="CJ827" s="567"/>
      <c r="CK827" s="567"/>
      <c r="CL827" s="567"/>
      <c r="CM827" s="567"/>
      <c r="CN827" s="567"/>
      <c r="CO827" s="567"/>
      <c r="CP827" s="567"/>
      <c r="CQ827" s="567"/>
      <c r="CR827" s="567"/>
      <c r="CS827" s="567"/>
      <c r="CT827" s="567"/>
      <c r="CU827" s="567"/>
      <c r="CV827" s="567"/>
      <c r="CW827" s="567"/>
      <c r="CX827" s="567"/>
      <c r="CY827" s="567"/>
      <c r="CZ827" s="567"/>
      <c r="DA827" s="567"/>
      <c r="DB827" s="567"/>
      <c r="DC827" s="567"/>
      <c r="DD827" s="567"/>
      <c r="DE827" s="567"/>
      <c r="DF827" s="567"/>
      <c r="DG827" s="567"/>
      <c r="DH827" s="567"/>
      <c r="DI827" s="567"/>
      <c r="DJ827" s="567"/>
      <c r="DK827" s="567"/>
      <c r="DL827" s="567"/>
      <c r="DM827" s="567"/>
      <c r="DN827" s="567"/>
      <c r="DO827" s="567"/>
      <c r="DP827" s="567"/>
      <c r="DQ827" s="567"/>
      <c r="DR827" s="567"/>
      <c r="DS827" s="567"/>
      <c r="DT827" s="567"/>
      <c r="DU827" s="567"/>
      <c r="DV827" s="567"/>
      <c r="DW827" s="567"/>
      <c r="DX827" s="567"/>
      <c r="DY827" s="567"/>
      <c r="DZ827" s="567"/>
      <c r="EA827" s="567"/>
      <c r="EB827" s="567"/>
      <c r="EC827" s="567"/>
      <c r="ED827" s="567"/>
      <c r="EE827" s="567"/>
      <c r="EF827" s="567"/>
      <c r="EG827" s="567"/>
      <c r="EH827" s="567"/>
      <c r="EI827" s="567"/>
      <c r="EJ827" s="567"/>
      <c r="EK827" s="567"/>
      <c r="EL827" s="567"/>
      <c r="EM827" s="567"/>
      <c r="EN827" s="567"/>
      <c r="EO827" s="567"/>
      <c r="EP827" s="567"/>
      <c r="EQ827" s="567"/>
      <c r="ER827" s="567"/>
      <c r="ES827" s="567"/>
      <c r="ET827" s="567"/>
      <c r="EU827" s="567"/>
      <c r="EV827" s="567"/>
      <c r="EW827" s="567"/>
      <c r="EX827" s="567"/>
      <c r="EY827" s="567"/>
      <c r="EZ827" s="567"/>
      <c r="FA827" s="567"/>
      <c r="FB827" s="567"/>
      <c r="FC827" s="567"/>
      <c r="FD827" s="567"/>
      <c r="FE827" s="567"/>
      <c r="FF827" s="567"/>
      <c r="FG827" s="567"/>
      <c r="FH827" s="567"/>
      <c r="FI827" s="567"/>
      <c r="FJ827" s="567"/>
      <c r="FK827" s="567"/>
      <c r="FL827" s="567"/>
      <c r="FM827" s="567"/>
      <c r="FN827" s="567"/>
      <c r="FO827" s="567"/>
      <c r="FP827" s="567"/>
      <c r="FQ827" s="567"/>
      <c r="FR827" s="567"/>
      <c r="FS827" s="567"/>
      <c r="FT827" s="567"/>
      <c r="FU827" s="567"/>
      <c r="FV827" s="567"/>
      <c r="FW827" s="567"/>
      <c r="FX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  <c r="BW828" s="567"/>
      <c r="BX828" s="567"/>
      <c r="BY828" s="567"/>
      <c r="BZ828" s="567"/>
      <c r="CA828" s="567"/>
      <c r="CB828" s="567"/>
      <c r="CC828" s="567"/>
      <c r="CD828" s="567"/>
      <c r="CE828" s="567"/>
      <c r="CF828" s="567"/>
      <c r="CG828" s="567"/>
      <c r="CH828" s="567"/>
      <c r="CI828" s="567"/>
      <c r="CJ828" s="567"/>
      <c r="CK828" s="567"/>
      <c r="CL828" s="567"/>
      <c r="CM828" s="567"/>
      <c r="CN828" s="567"/>
      <c r="CO828" s="567"/>
      <c r="CP828" s="567"/>
      <c r="CQ828" s="567"/>
      <c r="CR828" s="567"/>
      <c r="CS828" s="567"/>
      <c r="CT828" s="567"/>
      <c r="CU828" s="567"/>
      <c r="CV828" s="567"/>
      <c r="CW828" s="567"/>
      <c r="CX828" s="567"/>
      <c r="CY828" s="567"/>
      <c r="CZ828" s="567"/>
      <c r="DA828" s="567"/>
      <c r="DB828" s="567"/>
      <c r="DC828" s="567"/>
      <c r="DD828" s="567"/>
      <c r="DE828" s="567"/>
      <c r="DF828" s="567"/>
      <c r="DG828" s="567"/>
      <c r="DH828" s="567"/>
      <c r="DI828" s="567"/>
      <c r="DJ828" s="567"/>
      <c r="DK828" s="567"/>
      <c r="DL828" s="567"/>
      <c r="DM828" s="567"/>
      <c r="DN828" s="567"/>
      <c r="DO828" s="567"/>
      <c r="DP828" s="567"/>
      <c r="DQ828" s="567"/>
      <c r="DR828" s="567"/>
      <c r="DS828" s="567"/>
      <c r="DT828" s="567"/>
      <c r="DU828" s="567"/>
      <c r="DV828" s="567"/>
      <c r="DW828" s="567"/>
      <c r="DX828" s="567"/>
      <c r="DY828" s="567"/>
      <c r="DZ828" s="567"/>
      <c r="EA828" s="567"/>
      <c r="EB828" s="567"/>
      <c r="EC828" s="567"/>
      <c r="ED828" s="567"/>
      <c r="EE828" s="567"/>
      <c r="EF828" s="567"/>
      <c r="EG828" s="567"/>
      <c r="EH828" s="567"/>
      <c r="EI828" s="567"/>
      <c r="EJ828" s="567"/>
      <c r="EK828" s="567"/>
      <c r="EL828" s="567"/>
      <c r="EM828" s="567"/>
      <c r="EN828" s="567"/>
      <c r="EO828" s="567"/>
      <c r="EP828" s="567"/>
      <c r="EQ828" s="567"/>
      <c r="ER828" s="567"/>
      <c r="ES828" s="567"/>
      <c r="ET828" s="567"/>
      <c r="EU828" s="567"/>
      <c r="EV828" s="567"/>
      <c r="EW828" s="567"/>
      <c r="EX828" s="567"/>
      <c r="EY828" s="567"/>
      <c r="EZ828" s="567"/>
      <c r="FA828" s="567"/>
      <c r="FB828" s="567"/>
      <c r="FC828" s="567"/>
      <c r="FD828" s="567"/>
      <c r="FE828" s="567"/>
      <c r="FF828" s="567"/>
      <c r="FG828" s="567"/>
      <c r="FH828" s="567"/>
      <c r="FI828" s="567"/>
      <c r="FJ828" s="567"/>
      <c r="FK828" s="567"/>
      <c r="FL828" s="567"/>
      <c r="FM828" s="567"/>
      <c r="FN828" s="567"/>
      <c r="FO828" s="567"/>
      <c r="FP828" s="567"/>
      <c r="FQ828" s="567"/>
      <c r="FR828" s="567"/>
      <c r="FS828" s="567"/>
      <c r="FT828" s="567"/>
      <c r="FU828" s="567"/>
      <c r="FV828" s="567"/>
      <c r="FW828" s="567"/>
      <c r="FX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  <c r="BW829" s="567"/>
      <c r="BX829" s="567"/>
      <c r="BY829" s="567"/>
      <c r="BZ829" s="567"/>
      <c r="CA829" s="567"/>
      <c r="CB829" s="567"/>
      <c r="CC829" s="567"/>
      <c r="CD829" s="567"/>
      <c r="CE829" s="567"/>
      <c r="CF829" s="567"/>
      <c r="CG829" s="567"/>
      <c r="CH829" s="567"/>
      <c r="CI829" s="567"/>
      <c r="CJ829" s="567"/>
      <c r="CK829" s="567"/>
      <c r="CL829" s="567"/>
      <c r="CM829" s="567"/>
      <c r="CN829" s="567"/>
      <c r="CO829" s="567"/>
      <c r="CP829" s="567"/>
      <c r="CQ829" s="567"/>
      <c r="CR829" s="567"/>
      <c r="CS829" s="567"/>
      <c r="CT829" s="567"/>
      <c r="CU829" s="567"/>
      <c r="CV829" s="567"/>
      <c r="CW829" s="567"/>
      <c r="CX829" s="567"/>
      <c r="CY829" s="567"/>
      <c r="CZ829" s="567"/>
      <c r="DA829" s="567"/>
      <c r="DB829" s="567"/>
      <c r="DC829" s="567"/>
      <c r="DD829" s="567"/>
      <c r="DE829" s="567"/>
      <c r="DF829" s="567"/>
      <c r="DG829" s="567"/>
      <c r="DH829" s="567"/>
      <c r="DI829" s="567"/>
      <c r="DJ829" s="567"/>
      <c r="DK829" s="567"/>
      <c r="DL829" s="567"/>
      <c r="DM829" s="567"/>
      <c r="DN829" s="567"/>
      <c r="DO829" s="567"/>
      <c r="DP829" s="567"/>
      <c r="DQ829" s="567"/>
      <c r="DR829" s="567"/>
      <c r="DS829" s="567"/>
      <c r="DT829" s="567"/>
      <c r="DU829" s="567"/>
      <c r="DV829" s="567"/>
      <c r="DW829" s="567"/>
      <c r="DX829" s="567"/>
      <c r="DY829" s="567"/>
      <c r="DZ829" s="567"/>
      <c r="EA829" s="567"/>
      <c r="EB829" s="567"/>
      <c r="EC829" s="567"/>
      <c r="ED829" s="567"/>
      <c r="EE829" s="567"/>
      <c r="EF829" s="567"/>
      <c r="EG829" s="567"/>
      <c r="EH829" s="567"/>
      <c r="EI829" s="567"/>
      <c r="EJ829" s="567"/>
      <c r="EK829" s="567"/>
      <c r="EL829" s="567"/>
      <c r="EM829" s="567"/>
      <c r="EN829" s="567"/>
      <c r="EO829" s="567"/>
      <c r="EP829" s="567"/>
      <c r="EQ829" s="567"/>
      <c r="ER829" s="567"/>
      <c r="ES829" s="567"/>
      <c r="ET829" s="567"/>
      <c r="EU829" s="567"/>
      <c r="EV829" s="567"/>
      <c r="EW829" s="567"/>
      <c r="EX829" s="567"/>
      <c r="EY829" s="567"/>
      <c r="EZ829" s="567"/>
      <c r="FA829" s="567"/>
      <c r="FB829" s="567"/>
      <c r="FC829" s="567"/>
      <c r="FD829" s="567"/>
      <c r="FE829" s="567"/>
      <c r="FF829" s="567"/>
      <c r="FG829" s="567"/>
      <c r="FH829" s="567"/>
      <c r="FI829" s="567"/>
      <c r="FJ829" s="567"/>
      <c r="FK829" s="567"/>
      <c r="FL829" s="567"/>
      <c r="FM829" s="567"/>
      <c r="FN829" s="567"/>
      <c r="FO829" s="567"/>
      <c r="FP829" s="567"/>
      <c r="FQ829" s="567"/>
      <c r="FR829" s="567"/>
      <c r="FS829" s="567"/>
      <c r="FT829" s="567"/>
      <c r="FU829" s="567"/>
      <c r="FV829" s="567"/>
      <c r="FW829" s="567"/>
      <c r="FX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  <c r="BW830" s="567"/>
      <c r="BX830" s="567"/>
      <c r="BY830" s="567"/>
      <c r="BZ830" s="567"/>
      <c r="CA830" s="567"/>
      <c r="CB830" s="567"/>
      <c r="CC830" s="567"/>
      <c r="CD830" s="567"/>
      <c r="CE830" s="567"/>
      <c r="CF830" s="567"/>
      <c r="CG830" s="567"/>
      <c r="CH830" s="567"/>
      <c r="CI830" s="567"/>
      <c r="CJ830" s="567"/>
      <c r="CK830" s="567"/>
      <c r="CL830" s="567"/>
      <c r="CM830" s="567"/>
      <c r="CN830" s="567"/>
      <c r="CO830" s="567"/>
      <c r="CP830" s="567"/>
      <c r="CQ830" s="567"/>
      <c r="CR830" s="567"/>
      <c r="CS830" s="567"/>
      <c r="CT830" s="567"/>
      <c r="CU830" s="567"/>
      <c r="CV830" s="567"/>
      <c r="CW830" s="567"/>
      <c r="CX830" s="567"/>
      <c r="CY830" s="567"/>
      <c r="CZ830" s="567"/>
      <c r="DA830" s="567"/>
      <c r="DB830" s="567"/>
      <c r="DC830" s="567"/>
      <c r="DD830" s="567"/>
      <c r="DE830" s="567"/>
      <c r="DF830" s="567"/>
      <c r="DG830" s="567"/>
      <c r="DH830" s="567"/>
      <c r="DI830" s="567"/>
      <c r="DJ830" s="567"/>
      <c r="DK830" s="567"/>
      <c r="DL830" s="567"/>
      <c r="DM830" s="567"/>
      <c r="DN830" s="567"/>
      <c r="DO830" s="567"/>
      <c r="DP830" s="567"/>
      <c r="DQ830" s="567"/>
      <c r="DR830" s="567"/>
      <c r="DS830" s="567"/>
      <c r="DT830" s="567"/>
      <c r="DU830" s="567"/>
      <c r="DV830" s="567"/>
      <c r="DW830" s="567"/>
      <c r="DX830" s="567"/>
      <c r="DY830" s="567"/>
      <c r="DZ830" s="567"/>
      <c r="EA830" s="567"/>
      <c r="EB830" s="567"/>
      <c r="EC830" s="567"/>
      <c r="ED830" s="567"/>
      <c r="EE830" s="567"/>
      <c r="EF830" s="567"/>
      <c r="EG830" s="567"/>
      <c r="EH830" s="567"/>
      <c r="EI830" s="567"/>
      <c r="EJ830" s="567"/>
      <c r="EK830" s="567"/>
      <c r="EL830" s="567"/>
      <c r="EM830" s="567"/>
      <c r="EN830" s="567"/>
      <c r="EO830" s="567"/>
      <c r="EP830" s="567"/>
      <c r="EQ830" s="567"/>
      <c r="ER830" s="567"/>
      <c r="ES830" s="567"/>
      <c r="ET830" s="567"/>
      <c r="EU830" s="567"/>
      <c r="EV830" s="567"/>
      <c r="EW830" s="567"/>
      <c r="EX830" s="567"/>
      <c r="EY830" s="567"/>
      <c r="EZ830" s="567"/>
      <c r="FA830" s="567"/>
      <c r="FB830" s="567"/>
      <c r="FC830" s="567"/>
      <c r="FD830" s="567"/>
      <c r="FE830" s="567"/>
      <c r="FF830" s="567"/>
      <c r="FG830" s="567"/>
      <c r="FH830" s="567"/>
      <c r="FI830" s="567"/>
      <c r="FJ830" s="567"/>
      <c r="FK830" s="567"/>
      <c r="FL830" s="567"/>
      <c r="FM830" s="567"/>
      <c r="FN830" s="567"/>
      <c r="FO830" s="567"/>
      <c r="FP830" s="567"/>
      <c r="FQ830" s="567"/>
      <c r="FR830" s="567"/>
      <c r="FS830" s="567"/>
      <c r="FT830" s="567"/>
      <c r="FU830" s="567"/>
      <c r="FV830" s="567"/>
      <c r="FW830" s="567"/>
      <c r="FX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  <c r="BW831" s="567"/>
      <c r="BX831" s="567"/>
      <c r="BY831" s="567"/>
      <c r="BZ831" s="567"/>
      <c r="CA831" s="567"/>
      <c r="CB831" s="567"/>
      <c r="CC831" s="567"/>
      <c r="CD831" s="567"/>
      <c r="CE831" s="567"/>
      <c r="CF831" s="567"/>
      <c r="CG831" s="567"/>
      <c r="CH831" s="567"/>
      <c r="CI831" s="567"/>
      <c r="CJ831" s="567"/>
      <c r="CK831" s="567"/>
      <c r="CL831" s="567"/>
      <c r="CM831" s="567"/>
      <c r="CN831" s="567"/>
      <c r="CO831" s="567"/>
      <c r="CP831" s="567"/>
      <c r="CQ831" s="567"/>
      <c r="CR831" s="567"/>
      <c r="CS831" s="567"/>
      <c r="CT831" s="567"/>
      <c r="CU831" s="567"/>
      <c r="CV831" s="567"/>
      <c r="CW831" s="567"/>
      <c r="CX831" s="567"/>
      <c r="CY831" s="567"/>
      <c r="CZ831" s="567"/>
      <c r="DA831" s="567"/>
      <c r="DB831" s="567"/>
      <c r="DC831" s="567"/>
      <c r="DD831" s="567"/>
      <c r="DE831" s="567"/>
      <c r="DF831" s="567"/>
      <c r="DG831" s="567"/>
      <c r="DH831" s="567"/>
      <c r="DI831" s="567"/>
      <c r="DJ831" s="567"/>
      <c r="DK831" s="567"/>
      <c r="DL831" s="567"/>
      <c r="DM831" s="567"/>
      <c r="DN831" s="567"/>
      <c r="DO831" s="567"/>
      <c r="DP831" s="567"/>
      <c r="DQ831" s="567"/>
      <c r="DR831" s="567"/>
      <c r="DS831" s="567"/>
      <c r="DT831" s="567"/>
      <c r="DU831" s="567"/>
      <c r="DV831" s="567"/>
      <c r="DW831" s="567"/>
      <c r="DX831" s="567"/>
      <c r="DY831" s="567"/>
      <c r="DZ831" s="567"/>
      <c r="EA831" s="567"/>
      <c r="EB831" s="567"/>
      <c r="EC831" s="567"/>
      <c r="ED831" s="567"/>
      <c r="EE831" s="567"/>
      <c r="EF831" s="567"/>
      <c r="EG831" s="567"/>
      <c r="EH831" s="567"/>
      <c r="EI831" s="567"/>
      <c r="EJ831" s="567"/>
      <c r="EK831" s="567"/>
      <c r="EL831" s="567"/>
      <c r="EM831" s="567"/>
      <c r="EN831" s="567"/>
      <c r="EO831" s="567"/>
      <c r="EP831" s="567"/>
      <c r="EQ831" s="567"/>
      <c r="ER831" s="567"/>
      <c r="ES831" s="567"/>
      <c r="ET831" s="567"/>
      <c r="EU831" s="567"/>
      <c r="EV831" s="567"/>
      <c r="EW831" s="567"/>
      <c r="EX831" s="567"/>
      <c r="EY831" s="567"/>
      <c r="EZ831" s="567"/>
      <c r="FA831" s="567"/>
      <c r="FB831" s="567"/>
      <c r="FC831" s="567"/>
      <c r="FD831" s="567"/>
      <c r="FE831" s="567"/>
      <c r="FF831" s="567"/>
      <c r="FG831" s="567"/>
      <c r="FH831" s="567"/>
      <c r="FI831" s="567"/>
      <c r="FJ831" s="567"/>
      <c r="FK831" s="567"/>
      <c r="FL831" s="567"/>
      <c r="FM831" s="567"/>
      <c r="FN831" s="567"/>
      <c r="FO831" s="567"/>
      <c r="FP831" s="567"/>
      <c r="FQ831" s="567"/>
      <c r="FR831" s="567"/>
      <c r="FS831" s="567"/>
      <c r="FT831" s="567"/>
      <c r="FU831" s="567"/>
      <c r="FV831" s="567"/>
      <c r="FW831" s="567"/>
      <c r="FX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  <c r="BW832" s="567"/>
      <c r="BX832" s="567"/>
      <c r="BY832" s="567"/>
      <c r="BZ832" s="567"/>
      <c r="CA832" s="567"/>
      <c r="CB832" s="567"/>
      <c r="CC832" s="567"/>
      <c r="CD832" s="567"/>
      <c r="CE832" s="567"/>
      <c r="CF832" s="567"/>
      <c r="CG832" s="567"/>
      <c r="CH832" s="567"/>
      <c r="CI832" s="567"/>
      <c r="CJ832" s="567"/>
      <c r="CK832" s="567"/>
      <c r="CL832" s="567"/>
      <c r="CM832" s="567"/>
      <c r="CN832" s="567"/>
      <c r="CO832" s="567"/>
      <c r="CP832" s="567"/>
      <c r="CQ832" s="567"/>
      <c r="CR832" s="567"/>
      <c r="CS832" s="567"/>
      <c r="CT832" s="567"/>
      <c r="CU832" s="567"/>
      <c r="CV832" s="567"/>
      <c r="CW832" s="567"/>
      <c r="CX832" s="567"/>
      <c r="CY832" s="567"/>
      <c r="CZ832" s="567"/>
      <c r="DA832" s="567"/>
      <c r="DB832" s="567"/>
      <c r="DC832" s="567"/>
      <c r="DD832" s="567"/>
      <c r="DE832" s="567"/>
      <c r="DF832" s="567"/>
      <c r="DG832" s="567"/>
      <c r="DH832" s="567"/>
      <c r="DI832" s="567"/>
      <c r="DJ832" s="567"/>
      <c r="DK832" s="567"/>
      <c r="DL832" s="567"/>
      <c r="DM832" s="567"/>
      <c r="DN832" s="567"/>
      <c r="DO832" s="567"/>
      <c r="DP832" s="567"/>
      <c r="DQ832" s="567"/>
      <c r="DR832" s="567"/>
      <c r="DS832" s="567"/>
      <c r="DT832" s="567"/>
      <c r="DU832" s="567"/>
      <c r="DV832" s="567"/>
      <c r="DW832" s="567"/>
      <c r="DX832" s="567"/>
      <c r="DY832" s="567"/>
      <c r="DZ832" s="567"/>
      <c r="EA832" s="567"/>
      <c r="EB832" s="567"/>
      <c r="EC832" s="567"/>
      <c r="ED832" s="567"/>
      <c r="EE832" s="567"/>
      <c r="EF832" s="567"/>
      <c r="EG832" s="567"/>
      <c r="EH832" s="567"/>
      <c r="EI832" s="567"/>
      <c r="EJ832" s="567"/>
      <c r="EK832" s="567"/>
      <c r="EL832" s="567"/>
      <c r="EM832" s="567"/>
      <c r="EN832" s="567"/>
      <c r="EO832" s="567"/>
      <c r="EP832" s="567"/>
      <c r="EQ832" s="567"/>
      <c r="ER832" s="567"/>
      <c r="ES832" s="567"/>
      <c r="ET832" s="567"/>
      <c r="EU832" s="567"/>
      <c r="EV832" s="567"/>
      <c r="EW832" s="567"/>
      <c r="EX832" s="567"/>
      <c r="EY832" s="567"/>
      <c r="EZ832" s="567"/>
      <c r="FA832" s="567"/>
      <c r="FB832" s="567"/>
      <c r="FC832" s="567"/>
      <c r="FD832" s="567"/>
      <c r="FE832" s="567"/>
      <c r="FF832" s="567"/>
      <c r="FG832" s="567"/>
      <c r="FH832" s="567"/>
      <c r="FI832" s="567"/>
      <c r="FJ832" s="567"/>
      <c r="FK832" s="567"/>
      <c r="FL832" s="567"/>
      <c r="FM832" s="567"/>
      <c r="FN832" s="567"/>
      <c r="FO832" s="567"/>
      <c r="FP832" s="567"/>
      <c r="FQ832" s="567"/>
      <c r="FR832" s="567"/>
      <c r="FS832" s="567"/>
      <c r="FT832" s="567"/>
      <c r="FU832" s="567"/>
      <c r="FV832" s="567"/>
      <c r="FW832" s="567"/>
      <c r="FX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  <c r="BW833" s="567"/>
      <c r="BX833" s="567"/>
      <c r="BY833" s="567"/>
      <c r="BZ833" s="567"/>
      <c r="CA833" s="567"/>
      <c r="CB833" s="567"/>
      <c r="CC833" s="567"/>
      <c r="CD833" s="567"/>
      <c r="CE833" s="567"/>
      <c r="CF833" s="567"/>
      <c r="CG833" s="567"/>
      <c r="CH833" s="567"/>
      <c r="CI833" s="567"/>
      <c r="CJ833" s="567"/>
      <c r="CK833" s="567"/>
      <c r="CL833" s="567"/>
      <c r="CM833" s="567"/>
      <c r="CN833" s="567"/>
      <c r="CO833" s="567"/>
      <c r="CP833" s="567"/>
      <c r="CQ833" s="567"/>
      <c r="CR833" s="567"/>
      <c r="CS833" s="567"/>
      <c r="CT833" s="567"/>
      <c r="CU833" s="567"/>
      <c r="CV833" s="567"/>
      <c r="CW833" s="567"/>
      <c r="CX833" s="567"/>
      <c r="CY833" s="567"/>
      <c r="CZ833" s="567"/>
      <c r="DA833" s="567"/>
      <c r="DB833" s="567"/>
      <c r="DC833" s="567"/>
      <c r="DD833" s="567"/>
      <c r="DE833" s="567"/>
      <c r="DF833" s="567"/>
      <c r="DG833" s="567"/>
      <c r="DH833" s="567"/>
      <c r="DI833" s="567"/>
      <c r="DJ833" s="567"/>
      <c r="DK833" s="567"/>
      <c r="DL833" s="567"/>
      <c r="DM833" s="567"/>
      <c r="DN833" s="567"/>
      <c r="DO833" s="567"/>
      <c r="DP833" s="567"/>
      <c r="DQ833" s="567"/>
      <c r="DR833" s="567"/>
      <c r="DS833" s="567"/>
      <c r="DT833" s="567"/>
      <c r="DU833" s="567"/>
      <c r="DV833" s="567"/>
      <c r="DW833" s="567"/>
      <c r="DX833" s="567"/>
      <c r="DY833" s="567"/>
      <c r="DZ833" s="567"/>
      <c r="EA833" s="567"/>
      <c r="EB833" s="567"/>
      <c r="EC833" s="567"/>
      <c r="ED833" s="567"/>
      <c r="EE833" s="567"/>
      <c r="EF833" s="567"/>
      <c r="EG833" s="567"/>
      <c r="EH833" s="567"/>
      <c r="EI833" s="567"/>
      <c r="EJ833" s="567"/>
      <c r="EK833" s="567"/>
      <c r="EL833" s="567"/>
      <c r="EM833" s="567"/>
      <c r="EN833" s="567"/>
      <c r="EO833" s="567"/>
      <c r="EP833" s="567"/>
      <c r="EQ833" s="567"/>
      <c r="ER833" s="567"/>
      <c r="ES833" s="567"/>
      <c r="ET833" s="567"/>
      <c r="EU833" s="567"/>
      <c r="EV833" s="567"/>
      <c r="EW833" s="567"/>
      <c r="EX833" s="567"/>
      <c r="EY833" s="567"/>
      <c r="EZ833" s="567"/>
      <c r="FA833" s="567"/>
      <c r="FB833" s="567"/>
      <c r="FC833" s="567"/>
      <c r="FD833" s="567"/>
      <c r="FE833" s="567"/>
      <c r="FF833" s="567"/>
      <c r="FG833" s="567"/>
      <c r="FH833" s="567"/>
      <c r="FI833" s="567"/>
      <c r="FJ833" s="567"/>
      <c r="FK833" s="567"/>
      <c r="FL833" s="567"/>
      <c r="FM833" s="567"/>
      <c r="FN833" s="567"/>
      <c r="FO833" s="567"/>
      <c r="FP833" s="567"/>
      <c r="FQ833" s="567"/>
      <c r="FR833" s="567"/>
      <c r="FS833" s="567"/>
      <c r="FT833" s="567"/>
      <c r="FU833" s="567"/>
      <c r="FV833" s="567"/>
      <c r="FW833" s="567"/>
      <c r="FX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  <c r="BW834" s="567"/>
      <c r="BX834" s="567"/>
      <c r="BY834" s="567"/>
      <c r="BZ834" s="567"/>
      <c r="CA834" s="567"/>
      <c r="CB834" s="567"/>
      <c r="CC834" s="567"/>
      <c r="CD834" s="567"/>
      <c r="CE834" s="567"/>
      <c r="CF834" s="567"/>
      <c r="CG834" s="567"/>
      <c r="CH834" s="567"/>
      <c r="CI834" s="567"/>
      <c r="CJ834" s="567"/>
      <c r="CK834" s="567"/>
      <c r="CL834" s="567"/>
      <c r="CM834" s="567"/>
      <c r="CN834" s="567"/>
      <c r="CO834" s="567"/>
      <c r="CP834" s="567"/>
      <c r="CQ834" s="567"/>
      <c r="CR834" s="567"/>
      <c r="CS834" s="567"/>
      <c r="CT834" s="567"/>
      <c r="CU834" s="567"/>
      <c r="CV834" s="567"/>
      <c r="CW834" s="567"/>
      <c r="CX834" s="567"/>
      <c r="CY834" s="567"/>
      <c r="CZ834" s="567"/>
      <c r="DA834" s="567"/>
      <c r="DB834" s="567"/>
      <c r="DC834" s="567"/>
      <c r="DD834" s="567"/>
      <c r="DE834" s="567"/>
      <c r="DF834" s="567"/>
      <c r="DG834" s="567"/>
      <c r="DH834" s="567"/>
      <c r="DI834" s="567"/>
      <c r="DJ834" s="567"/>
      <c r="DK834" s="567"/>
      <c r="DL834" s="567"/>
      <c r="DM834" s="567"/>
      <c r="DN834" s="567"/>
      <c r="DO834" s="567"/>
      <c r="DP834" s="567"/>
      <c r="DQ834" s="567"/>
      <c r="DR834" s="567"/>
      <c r="DS834" s="567"/>
      <c r="DT834" s="567"/>
      <c r="DU834" s="567"/>
      <c r="DV834" s="567"/>
      <c r="DW834" s="567"/>
      <c r="DX834" s="567"/>
      <c r="DY834" s="567"/>
      <c r="DZ834" s="567"/>
      <c r="EA834" s="567"/>
      <c r="EB834" s="567"/>
      <c r="EC834" s="567"/>
      <c r="ED834" s="567"/>
      <c r="EE834" s="567"/>
      <c r="EF834" s="567"/>
      <c r="EG834" s="567"/>
      <c r="EH834" s="567"/>
      <c r="EI834" s="567"/>
      <c r="EJ834" s="567"/>
      <c r="EK834" s="567"/>
      <c r="EL834" s="567"/>
      <c r="EM834" s="567"/>
      <c r="EN834" s="567"/>
      <c r="EO834" s="567"/>
      <c r="EP834" s="567"/>
      <c r="EQ834" s="567"/>
      <c r="ER834" s="567"/>
      <c r="ES834" s="567"/>
      <c r="ET834" s="567"/>
      <c r="EU834" s="567"/>
      <c r="EV834" s="567"/>
      <c r="EW834" s="567"/>
      <c r="EX834" s="567"/>
      <c r="EY834" s="567"/>
      <c r="EZ834" s="567"/>
      <c r="FA834" s="567"/>
      <c r="FB834" s="567"/>
      <c r="FC834" s="567"/>
      <c r="FD834" s="567"/>
      <c r="FE834" s="567"/>
      <c r="FF834" s="567"/>
      <c r="FG834" s="567"/>
      <c r="FH834" s="567"/>
      <c r="FI834" s="567"/>
      <c r="FJ834" s="567"/>
      <c r="FK834" s="567"/>
      <c r="FL834" s="567"/>
      <c r="FM834" s="567"/>
      <c r="FN834" s="567"/>
      <c r="FO834" s="567"/>
      <c r="FP834" s="567"/>
      <c r="FQ834" s="567"/>
      <c r="FR834" s="567"/>
      <c r="FS834" s="567"/>
      <c r="FT834" s="567"/>
      <c r="FU834" s="567"/>
      <c r="FV834" s="567"/>
      <c r="FW834" s="567"/>
      <c r="FX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  <c r="BW835" s="567"/>
      <c r="BX835" s="567"/>
      <c r="BY835" s="567"/>
      <c r="BZ835" s="567"/>
      <c r="CA835" s="567"/>
      <c r="CB835" s="567"/>
      <c r="CC835" s="567"/>
      <c r="CD835" s="567"/>
      <c r="CE835" s="567"/>
      <c r="CF835" s="567"/>
      <c r="CG835" s="567"/>
      <c r="CH835" s="567"/>
      <c r="CI835" s="567"/>
      <c r="CJ835" s="567"/>
      <c r="CK835" s="567"/>
      <c r="CL835" s="567"/>
      <c r="CM835" s="567"/>
      <c r="CN835" s="567"/>
      <c r="CO835" s="567"/>
      <c r="CP835" s="567"/>
      <c r="CQ835" s="567"/>
      <c r="CR835" s="567"/>
      <c r="CS835" s="567"/>
      <c r="CT835" s="567"/>
      <c r="CU835" s="567"/>
      <c r="CV835" s="567"/>
      <c r="CW835" s="567"/>
      <c r="CX835" s="567"/>
      <c r="CY835" s="567"/>
      <c r="CZ835" s="567"/>
      <c r="DA835" s="567"/>
      <c r="DB835" s="567"/>
      <c r="DC835" s="567"/>
      <c r="DD835" s="567"/>
      <c r="DE835" s="567"/>
      <c r="DF835" s="567"/>
      <c r="DG835" s="567"/>
      <c r="DH835" s="567"/>
      <c r="DI835" s="567"/>
      <c r="DJ835" s="567"/>
      <c r="DK835" s="567"/>
      <c r="DL835" s="567"/>
      <c r="DM835" s="567"/>
      <c r="DN835" s="567"/>
      <c r="DO835" s="567"/>
      <c r="DP835" s="567"/>
      <c r="DQ835" s="567"/>
      <c r="DR835" s="567"/>
      <c r="DS835" s="567"/>
      <c r="DT835" s="567"/>
      <c r="DU835" s="567"/>
      <c r="DV835" s="567"/>
      <c r="DW835" s="567"/>
      <c r="DX835" s="567"/>
      <c r="DY835" s="567"/>
      <c r="DZ835" s="567"/>
      <c r="EA835" s="567"/>
      <c r="EB835" s="567"/>
      <c r="EC835" s="567"/>
      <c r="ED835" s="567"/>
      <c r="EE835" s="567"/>
      <c r="EF835" s="567"/>
      <c r="EG835" s="567"/>
      <c r="EH835" s="567"/>
      <c r="EI835" s="567"/>
      <c r="EJ835" s="567"/>
      <c r="EK835" s="567"/>
      <c r="EL835" s="567"/>
      <c r="EM835" s="567"/>
      <c r="EN835" s="567"/>
      <c r="EO835" s="567"/>
      <c r="EP835" s="567"/>
      <c r="EQ835" s="567"/>
      <c r="ER835" s="567"/>
      <c r="ES835" s="567"/>
      <c r="ET835" s="567"/>
      <c r="EU835" s="567"/>
      <c r="EV835" s="567"/>
      <c r="EW835" s="567"/>
      <c r="EX835" s="567"/>
      <c r="EY835" s="567"/>
      <c r="EZ835" s="567"/>
      <c r="FA835" s="567"/>
      <c r="FB835" s="567"/>
      <c r="FC835" s="567"/>
      <c r="FD835" s="567"/>
      <c r="FE835" s="567"/>
      <c r="FF835" s="567"/>
      <c r="FG835" s="567"/>
      <c r="FH835" s="567"/>
      <c r="FI835" s="567"/>
      <c r="FJ835" s="567"/>
      <c r="FK835" s="567"/>
      <c r="FL835" s="567"/>
      <c r="FM835" s="567"/>
      <c r="FN835" s="567"/>
      <c r="FO835" s="567"/>
      <c r="FP835" s="567"/>
      <c r="FQ835" s="567"/>
      <c r="FR835" s="567"/>
      <c r="FS835" s="567"/>
      <c r="FT835" s="567"/>
      <c r="FU835" s="567"/>
      <c r="FV835" s="567"/>
      <c r="FW835" s="567"/>
      <c r="FX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  <c r="BW836" s="567"/>
      <c r="BX836" s="567"/>
      <c r="BY836" s="567"/>
      <c r="BZ836" s="567"/>
      <c r="CA836" s="567"/>
      <c r="CB836" s="567"/>
      <c r="CC836" s="567"/>
      <c r="CD836" s="567"/>
      <c r="CE836" s="567"/>
      <c r="CF836" s="567"/>
      <c r="CG836" s="567"/>
      <c r="CH836" s="567"/>
      <c r="CI836" s="567"/>
      <c r="CJ836" s="567"/>
      <c r="CK836" s="567"/>
      <c r="CL836" s="567"/>
      <c r="CM836" s="567"/>
      <c r="CN836" s="567"/>
      <c r="CO836" s="567"/>
      <c r="CP836" s="567"/>
      <c r="CQ836" s="567"/>
      <c r="CR836" s="567"/>
      <c r="CS836" s="567"/>
      <c r="CT836" s="567"/>
      <c r="CU836" s="567"/>
      <c r="CV836" s="567"/>
      <c r="CW836" s="567"/>
      <c r="CX836" s="567"/>
      <c r="CY836" s="567"/>
      <c r="CZ836" s="567"/>
      <c r="DA836" s="567"/>
      <c r="DB836" s="567"/>
      <c r="DC836" s="567"/>
      <c r="DD836" s="567"/>
      <c r="DE836" s="567"/>
      <c r="DF836" s="567"/>
      <c r="DG836" s="567"/>
      <c r="DH836" s="567"/>
      <c r="DI836" s="567"/>
      <c r="DJ836" s="567"/>
      <c r="DK836" s="567"/>
      <c r="DL836" s="567"/>
      <c r="DM836" s="567"/>
      <c r="DN836" s="567"/>
      <c r="DO836" s="567"/>
      <c r="DP836" s="567"/>
      <c r="DQ836" s="567"/>
      <c r="DR836" s="567"/>
      <c r="DS836" s="567"/>
      <c r="DT836" s="567"/>
      <c r="DU836" s="567"/>
      <c r="DV836" s="567"/>
      <c r="DW836" s="567"/>
      <c r="DX836" s="567"/>
      <c r="DY836" s="567"/>
      <c r="DZ836" s="567"/>
      <c r="EA836" s="567"/>
      <c r="EB836" s="567"/>
      <c r="EC836" s="567"/>
      <c r="ED836" s="567"/>
      <c r="EE836" s="567"/>
      <c r="EF836" s="567"/>
      <c r="EG836" s="567"/>
      <c r="EH836" s="567"/>
      <c r="EI836" s="567"/>
      <c r="EJ836" s="567"/>
      <c r="EK836" s="567"/>
      <c r="EL836" s="567"/>
      <c r="EM836" s="567"/>
      <c r="EN836" s="567"/>
      <c r="EO836" s="567"/>
      <c r="EP836" s="567"/>
      <c r="EQ836" s="567"/>
      <c r="ER836" s="567"/>
      <c r="ES836" s="567"/>
      <c r="ET836" s="567"/>
      <c r="EU836" s="567"/>
      <c r="EV836" s="567"/>
      <c r="EW836" s="567"/>
      <c r="EX836" s="567"/>
      <c r="EY836" s="567"/>
      <c r="EZ836" s="567"/>
      <c r="FA836" s="567"/>
      <c r="FB836" s="567"/>
      <c r="FC836" s="567"/>
      <c r="FD836" s="567"/>
      <c r="FE836" s="567"/>
      <c r="FF836" s="567"/>
      <c r="FG836" s="567"/>
      <c r="FH836" s="567"/>
      <c r="FI836" s="567"/>
      <c r="FJ836" s="567"/>
      <c r="FK836" s="567"/>
      <c r="FL836" s="567"/>
      <c r="FM836" s="567"/>
      <c r="FN836" s="567"/>
      <c r="FO836" s="567"/>
      <c r="FP836" s="567"/>
      <c r="FQ836" s="567"/>
      <c r="FR836" s="567"/>
      <c r="FS836" s="567"/>
      <c r="FT836" s="567"/>
      <c r="FU836" s="567"/>
      <c r="FV836" s="567"/>
      <c r="FW836" s="567"/>
      <c r="FX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  <c r="BW837" s="567"/>
      <c r="BX837" s="567"/>
      <c r="BY837" s="567"/>
      <c r="BZ837" s="567"/>
      <c r="CA837" s="567"/>
      <c r="CB837" s="567"/>
      <c r="CC837" s="567"/>
      <c r="CD837" s="567"/>
      <c r="CE837" s="567"/>
      <c r="CF837" s="567"/>
      <c r="CG837" s="567"/>
      <c r="CH837" s="567"/>
      <c r="CI837" s="567"/>
      <c r="CJ837" s="567"/>
      <c r="CK837" s="567"/>
      <c r="CL837" s="567"/>
      <c r="CM837" s="567"/>
      <c r="CN837" s="567"/>
      <c r="CO837" s="567"/>
      <c r="CP837" s="567"/>
      <c r="CQ837" s="567"/>
      <c r="CR837" s="567"/>
      <c r="CS837" s="567"/>
      <c r="CT837" s="567"/>
      <c r="CU837" s="567"/>
      <c r="CV837" s="567"/>
      <c r="CW837" s="567"/>
      <c r="CX837" s="567"/>
      <c r="CY837" s="567"/>
      <c r="CZ837" s="567"/>
      <c r="DA837" s="567"/>
      <c r="DB837" s="567"/>
      <c r="DC837" s="567"/>
      <c r="DD837" s="567"/>
      <c r="DE837" s="567"/>
      <c r="DF837" s="567"/>
      <c r="DG837" s="567"/>
      <c r="DH837" s="567"/>
      <c r="DI837" s="567"/>
      <c r="DJ837" s="567"/>
      <c r="DK837" s="567"/>
      <c r="DL837" s="567"/>
      <c r="DM837" s="567"/>
      <c r="DN837" s="567"/>
      <c r="DO837" s="567"/>
      <c r="DP837" s="567"/>
      <c r="DQ837" s="567"/>
      <c r="DR837" s="567"/>
      <c r="DS837" s="567"/>
      <c r="DT837" s="567"/>
      <c r="DU837" s="567"/>
      <c r="DV837" s="567"/>
      <c r="DW837" s="567"/>
      <c r="DX837" s="567"/>
      <c r="DY837" s="567"/>
      <c r="DZ837" s="567"/>
      <c r="EA837" s="567"/>
      <c r="EB837" s="567"/>
      <c r="EC837" s="567"/>
      <c r="ED837" s="567"/>
      <c r="EE837" s="567"/>
      <c r="EF837" s="567"/>
      <c r="EG837" s="567"/>
      <c r="EH837" s="567"/>
      <c r="EI837" s="567"/>
      <c r="EJ837" s="567"/>
      <c r="EK837" s="567"/>
      <c r="EL837" s="567"/>
      <c r="EM837" s="567"/>
      <c r="EN837" s="567"/>
      <c r="EO837" s="567"/>
      <c r="EP837" s="567"/>
      <c r="EQ837" s="567"/>
      <c r="ER837" s="567"/>
      <c r="ES837" s="567"/>
      <c r="ET837" s="567"/>
      <c r="EU837" s="567"/>
      <c r="EV837" s="567"/>
      <c r="EW837" s="567"/>
      <c r="EX837" s="567"/>
      <c r="EY837" s="567"/>
      <c r="EZ837" s="567"/>
      <c r="FA837" s="567"/>
      <c r="FB837" s="567"/>
      <c r="FC837" s="567"/>
      <c r="FD837" s="567"/>
      <c r="FE837" s="567"/>
      <c r="FF837" s="567"/>
      <c r="FG837" s="567"/>
      <c r="FH837" s="567"/>
      <c r="FI837" s="567"/>
      <c r="FJ837" s="567"/>
      <c r="FK837" s="567"/>
      <c r="FL837" s="567"/>
      <c r="FM837" s="567"/>
      <c r="FN837" s="567"/>
      <c r="FO837" s="567"/>
      <c r="FP837" s="567"/>
      <c r="FQ837" s="567"/>
      <c r="FR837" s="567"/>
      <c r="FS837" s="567"/>
      <c r="FT837" s="567"/>
      <c r="FU837" s="567"/>
      <c r="FV837" s="567"/>
      <c r="FW837" s="567"/>
      <c r="FX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  <c r="BW838" s="567"/>
      <c r="BX838" s="567"/>
      <c r="BY838" s="567"/>
      <c r="BZ838" s="567"/>
      <c r="CA838" s="567"/>
      <c r="CB838" s="567"/>
      <c r="CC838" s="567"/>
      <c r="CD838" s="567"/>
      <c r="CE838" s="567"/>
      <c r="CF838" s="567"/>
      <c r="CG838" s="567"/>
      <c r="CH838" s="567"/>
      <c r="CI838" s="567"/>
      <c r="CJ838" s="567"/>
      <c r="CK838" s="567"/>
      <c r="CL838" s="567"/>
      <c r="CM838" s="567"/>
      <c r="CN838" s="567"/>
      <c r="CO838" s="567"/>
      <c r="CP838" s="567"/>
      <c r="CQ838" s="567"/>
      <c r="CR838" s="567"/>
      <c r="CS838" s="567"/>
      <c r="CT838" s="567"/>
      <c r="CU838" s="567"/>
      <c r="CV838" s="567"/>
      <c r="CW838" s="567"/>
      <c r="CX838" s="567"/>
      <c r="CY838" s="567"/>
      <c r="CZ838" s="567"/>
      <c r="DA838" s="567"/>
      <c r="DB838" s="567"/>
      <c r="DC838" s="567"/>
      <c r="DD838" s="567"/>
      <c r="DE838" s="567"/>
      <c r="DF838" s="567"/>
      <c r="DG838" s="567"/>
      <c r="DH838" s="567"/>
      <c r="DI838" s="567"/>
      <c r="DJ838" s="567"/>
      <c r="DK838" s="567"/>
      <c r="DL838" s="567"/>
      <c r="DM838" s="567"/>
      <c r="DN838" s="567"/>
      <c r="DO838" s="567"/>
      <c r="DP838" s="567"/>
      <c r="DQ838" s="567"/>
      <c r="DR838" s="567"/>
      <c r="DS838" s="567"/>
      <c r="DT838" s="567"/>
      <c r="DU838" s="567"/>
      <c r="DV838" s="567"/>
      <c r="DW838" s="567"/>
      <c r="DX838" s="567"/>
      <c r="DY838" s="567"/>
      <c r="DZ838" s="567"/>
      <c r="EA838" s="567"/>
      <c r="EB838" s="567"/>
      <c r="EC838" s="567"/>
      <c r="ED838" s="567"/>
      <c r="EE838" s="567"/>
      <c r="EF838" s="567"/>
      <c r="EG838" s="567"/>
      <c r="EH838" s="567"/>
      <c r="EI838" s="567"/>
      <c r="EJ838" s="567"/>
      <c r="EK838" s="567"/>
      <c r="EL838" s="567"/>
      <c r="EM838" s="567"/>
      <c r="EN838" s="567"/>
      <c r="EO838" s="567"/>
      <c r="EP838" s="567"/>
      <c r="EQ838" s="567"/>
      <c r="ER838" s="567"/>
      <c r="ES838" s="567"/>
      <c r="ET838" s="567"/>
      <c r="EU838" s="567"/>
      <c r="EV838" s="567"/>
      <c r="EW838" s="567"/>
      <c r="EX838" s="567"/>
      <c r="EY838" s="567"/>
      <c r="EZ838" s="567"/>
      <c r="FA838" s="567"/>
      <c r="FB838" s="567"/>
      <c r="FC838" s="567"/>
      <c r="FD838" s="567"/>
      <c r="FE838" s="567"/>
      <c r="FF838" s="567"/>
      <c r="FG838" s="567"/>
      <c r="FH838" s="567"/>
      <c r="FI838" s="567"/>
      <c r="FJ838" s="567"/>
      <c r="FK838" s="567"/>
      <c r="FL838" s="567"/>
      <c r="FM838" s="567"/>
      <c r="FN838" s="567"/>
      <c r="FO838" s="567"/>
      <c r="FP838" s="567"/>
      <c r="FQ838" s="567"/>
      <c r="FR838" s="567"/>
      <c r="FS838" s="567"/>
      <c r="FT838" s="567"/>
      <c r="FU838" s="567"/>
      <c r="FV838" s="567"/>
      <c r="FW838" s="567"/>
      <c r="FX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  <c r="BW839" s="567"/>
      <c r="BX839" s="567"/>
      <c r="BY839" s="567"/>
      <c r="BZ839" s="567"/>
      <c r="CA839" s="567"/>
      <c r="CB839" s="567"/>
      <c r="CC839" s="567"/>
      <c r="CD839" s="567"/>
      <c r="CE839" s="567"/>
      <c r="CF839" s="567"/>
      <c r="CG839" s="567"/>
      <c r="CH839" s="567"/>
      <c r="CI839" s="567"/>
      <c r="CJ839" s="567"/>
      <c r="CK839" s="567"/>
      <c r="CL839" s="567"/>
      <c r="CM839" s="567"/>
      <c r="CN839" s="567"/>
      <c r="CO839" s="567"/>
      <c r="CP839" s="567"/>
      <c r="CQ839" s="567"/>
      <c r="CR839" s="567"/>
      <c r="CS839" s="567"/>
      <c r="CT839" s="567"/>
      <c r="CU839" s="567"/>
      <c r="CV839" s="567"/>
      <c r="CW839" s="567"/>
      <c r="CX839" s="567"/>
      <c r="CY839" s="567"/>
      <c r="CZ839" s="567"/>
      <c r="DA839" s="567"/>
      <c r="DB839" s="567"/>
      <c r="DC839" s="567"/>
      <c r="DD839" s="567"/>
      <c r="DE839" s="567"/>
      <c r="DF839" s="567"/>
      <c r="DG839" s="567"/>
      <c r="DH839" s="567"/>
      <c r="DI839" s="567"/>
      <c r="DJ839" s="567"/>
      <c r="DK839" s="567"/>
      <c r="DL839" s="567"/>
      <c r="DM839" s="567"/>
      <c r="DN839" s="567"/>
      <c r="DO839" s="567"/>
      <c r="DP839" s="567"/>
      <c r="DQ839" s="567"/>
      <c r="DR839" s="567"/>
      <c r="DS839" s="567"/>
      <c r="DT839" s="567"/>
      <c r="DU839" s="567"/>
      <c r="DV839" s="567"/>
      <c r="DW839" s="567"/>
      <c r="DX839" s="567"/>
      <c r="DY839" s="567"/>
      <c r="DZ839" s="567"/>
      <c r="EA839" s="567"/>
      <c r="EB839" s="567"/>
      <c r="EC839" s="567"/>
      <c r="ED839" s="567"/>
      <c r="EE839" s="567"/>
      <c r="EF839" s="567"/>
      <c r="EG839" s="567"/>
      <c r="EH839" s="567"/>
      <c r="EI839" s="567"/>
      <c r="EJ839" s="567"/>
      <c r="EK839" s="567"/>
      <c r="EL839" s="567"/>
      <c r="EM839" s="567"/>
      <c r="EN839" s="567"/>
      <c r="EO839" s="567"/>
      <c r="EP839" s="567"/>
      <c r="EQ839" s="567"/>
      <c r="ER839" s="567"/>
      <c r="ES839" s="567"/>
      <c r="ET839" s="567"/>
      <c r="EU839" s="567"/>
      <c r="EV839" s="567"/>
      <c r="EW839" s="567"/>
      <c r="EX839" s="567"/>
      <c r="EY839" s="567"/>
      <c r="EZ839" s="567"/>
      <c r="FA839" s="567"/>
      <c r="FB839" s="567"/>
      <c r="FC839" s="567"/>
      <c r="FD839" s="567"/>
      <c r="FE839" s="567"/>
      <c r="FF839" s="567"/>
      <c r="FG839" s="567"/>
      <c r="FH839" s="567"/>
      <c r="FI839" s="567"/>
      <c r="FJ839" s="567"/>
      <c r="FK839" s="567"/>
      <c r="FL839" s="567"/>
      <c r="FM839" s="567"/>
      <c r="FN839" s="567"/>
      <c r="FO839" s="567"/>
      <c r="FP839" s="567"/>
      <c r="FQ839" s="567"/>
      <c r="FR839" s="567"/>
      <c r="FS839" s="567"/>
      <c r="FT839" s="567"/>
      <c r="FU839" s="567"/>
      <c r="FV839" s="567"/>
      <c r="FW839" s="567"/>
      <c r="FX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  <c r="BW840" s="567"/>
      <c r="BX840" s="567"/>
      <c r="BY840" s="567"/>
      <c r="BZ840" s="567"/>
      <c r="CA840" s="567"/>
      <c r="CB840" s="567"/>
      <c r="CC840" s="567"/>
      <c r="CD840" s="567"/>
      <c r="CE840" s="567"/>
      <c r="CF840" s="567"/>
      <c r="CG840" s="567"/>
      <c r="CH840" s="567"/>
      <c r="CI840" s="567"/>
      <c r="CJ840" s="567"/>
      <c r="CK840" s="567"/>
      <c r="CL840" s="567"/>
      <c r="CM840" s="567"/>
      <c r="CN840" s="567"/>
      <c r="CO840" s="567"/>
      <c r="CP840" s="567"/>
      <c r="CQ840" s="567"/>
      <c r="CR840" s="567"/>
      <c r="CS840" s="567"/>
      <c r="CT840" s="567"/>
      <c r="CU840" s="567"/>
      <c r="CV840" s="567"/>
      <c r="CW840" s="567"/>
      <c r="CX840" s="567"/>
      <c r="CY840" s="567"/>
      <c r="CZ840" s="567"/>
      <c r="DA840" s="567"/>
      <c r="DB840" s="567"/>
      <c r="DC840" s="567"/>
      <c r="DD840" s="567"/>
      <c r="DE840" s="567"/>
      <c r="DF840" s="567"/>
      <c r="DG840" s="567"/>
      <c r="DH840" s="567"/>
      <c r="DI840" s="567"/>
      <c r="DJ840" s="567"/>
      <c r="DK840" s="567"/>
      <c r="DL840" s="567"/>
      <c r="DM840" s="567"/>
      <c r="DN840" s="567"/>
      <c r="DO840" s="567"/>
      <c r="DP840" s="567"/>
      <c r="DQ840" s="567"/>
      <c r="DR840" s="567"/>
      <c r="DS840" s="567"/>
      <c r="DT840" s="567"/>
      <c r="DU840" s="567"/>
      <c r="DV840" s="567"/>
      <c r="DW840" s="567"/>
      <c r="DX840" s="567"/>
      <c r="DY840" s="567"/>
      <c r="DZ840" s="567"/>
      <c r="EA840" s="567"/>
      <c r="EB840" s="567"/>
      <c r="EC840" s="567"/>
      <c r="ED840" s="567"/>
      <c r="EE840" s="567"/>
      <c r="EF840" s="567"/>
      <c r="EG840" s="567"/>
      <c r="EH840" s="567"/>
      <c r="EI840" s="567"/>
      <c r="EJ840" s="567"/>
      <c r="EK840" s="567"/>
      <c r="EL840" s="567"/>
      <c r="EM840" s="567"/>
      <c r="EN840" s="567"/>
      <c r="EO840" s="567"/>
      <c r="EP840" s="567"/>
      <c r="EQ840" s="567"/>
      <c r="ER840" s="567"/>
      <c r="ES840" s="567"/>
      <c r="ET840" s="567"/>
      <c r="EU840" s="567"/>
      <c r="EV840" s="567"/>
      <c r="EW840" s="567"/>
      <c r="EX840" s="567"/>
      <c r="EY840" s="567"/>
      <c r="EZ840" s="567"/>
      <c r="FA840" s="567"/>
      <c r="FB840" s="567"/>
      <c r="FC840" s="567"/>
      <c r="FD840" s="567"/>
      <c r="FE840" s="567"/>
      <c r="FF840" s="567"/>
      <c r="FG840" s="567"/>
      <c r="FH840" s="567"/>
      <c r="FI840" s="567"/>
      <c r="FJ840" s="567"/>
      <c r="FK840" s="567"/>
      <c r="FL840" s="567"/>
      <c r="FM840" s="567"/>
      <c r="FN840" s="567"/>
      <c r="FO840" s="567"/>
      <c r="FP840" s="567"/>
      <c r="FQ840" s="567"/>
      <c r="FR840" s="567"/>
      <c r="FS840" s="567"/>
      <c r="FT840" s="567"/>
      <c r="FU840" s="567"/>
      <c r="FV840" s="567"/>
      <c r="FW840" s="567"/>
      <c r="FX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  <c r="BW841" s="567"/>
      <c r="BX841" s="567"/>
      <c r="BY841" s="567"/>
      <c r="BZ841" s="567"/>
      <c r="CA841" s="567"/>
      <c r="CB841" s="567"/>
      <c r="CC841" s="567"/>
      <c r="CD841" s="567"/>
      <c r="CE841" s="567"/>
      <c r="CF841" s="567"/>
      <c r="CG841" s="567"/>
      <c r="CH841" s="567"/>
      <c r="CI841" s="567"/>
      <c r="CJ841" s="567"/>
      <c r="CK841" s="567"/>
      <c r="CL841" s="567"/>
      <c r="CM841" s="567"/>
      <c r="CN841" s="567"/>
      <c r="CO841" s="567"/>
      <c r="CP841" s="567"/>
      <c r="CQ841" s="567"/>
      <c r="CR841" s="567"/>
      <c r="CS841" s="567"/>
      <c r="CT841" s="567"/>
      <c r="CU841" s="567"/>
      <c r="CV841" s="567"/>
      <c r="CW841" s="567"/>
      <c r="CX841" s="567"/>
      <c r="CY841" s="567"/>
      <c r="CZ841" s="567"/>
      <c r="DA841" s="567"/>
      <c r="DB841" s="567"/>
      <c r="DC841" s="567"/>
      <c r="DD841" s="567"/>
      <c r="DE841" s="567"/>
      <c r="DF841" s="567"/>
      <c r="DG841" s="567"/>
      <c r="DH841" s="567"/>
      <c r="DI841" s="567"/>
      <c r="DJ841" s="567"/>
      <c r="DK841" s="567"/>
      <c r="DL841" s="567"/>
      <c r="DM841" s="567"/>
      <c r="DN841" s="567"/>
      <c r="DO841" s="567"/>
      <c r="DP841" s="567"/>
      <c r="DQ841" s="567"/>
      <c r="DR841" s="567"/>
      <c r="DS841" s="567"/>
      <c r="DT841" s="567"/>
      <c r="DU841" s="567"/>
      <c r="DV841" s="567"/>
      <c r="DW841" s="567"/>
      <c r="DX841" s="567"/>
      <c r="DY841" s="567"/>
      <c r="DZ841" s="567"/>
      <c r="EA841" s="567"/>
      <c r="EB841" s="567"/>
      <c r="EC841" s="567"/>
      <c r="ED841" s="567"/>
      <c r="EE841" s="567"/>
      <c r="EF841" s="567"/>
      <c r="EG841" s="567"/>
      <c r="EH841" s="567"/>
      <c r="EI841" s="567"/>
      <c r="EJ841" s="567"/>
      <c r="EK841" s="567"/>
      <c r="EL841" s="567"/>
      <c r="EM841" s="567"/>
      <c r="EN841" s="567"/>
      <c r="EO841" s="567"/>
      <c r="EP841" s="567"/>
      <c r="EQ841" s="567"/>
      <c r="ER841" s="567"/>
      <c r="ES841" s="567"/>
      <c r="ET841" s="567"/>
      <c r="EU841" s="567"/>
      <c r="EV841" s="567"/>
      <c r="EW841" s="567"/>
      <c r="EX841" s="567"/>
      <c r="EY841" s="567"/>
      <c r="EZ841" s="567"/>
      <c r="FA841" s="567"/>
      <c r="FB841" s="567"/>
      <c r="FC841" s="567"/>
      <c r="FD841" s="567"/>
      <c r="FE841" s="567"/>
      <c r="FF841" s="567"/>
      <c r="FG841" s="567"/>
      <c r="FH841" s="567"/>
      <c r="FI841" s="567"/>
      <c r="FJ841" s="567"/>
      <c r="FK841" s="567"/>
      <c r="FL841" s="567"/>
      <c r="FM841" s="567"/>
      <c r="FN841" s="567"/>
      <c r="FO841" s="567"/>
      <c r="FP841" s="567"/>
      <c r="FQ841" s="567"/>
      <c r="FR841" s="567"/>
      <c r="FS841" s="567"/>
      <c r="FT841" s="567"/>
      <c r="FU841" s="567"/>
      <c r="FV841" s="567"/>
      <c r="FW841" s="567"/>
      <c r="FX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  <c r="BW842" s="567"/>
      <c r="BX842" s="567"/>
      <c r="BY842" s="567"/>
      <c r="BZ842" s="567"/>
      <c r="CA842" s="567"/>
      <c r="CB842" s="567"/>
      <c r="CC842" s="567"/>
      <c r="CD842" s="567"/>
      <c r="CE842" s="567"/>
      <c r="CF842" s="567"/>
      <c r="CG842" s="567"/>
      <c r="CH842" s="567"/>
      <c r="CI842" s="567"/>
      <c r="CJ842" s="567"/>
      <c r="CK842" s="567"/>
      <c r="CL842" s="567"/>
      <c r="CM842" s="567"/>
      <c r="CN842" s="567"/>
      <c r="CO842" s="567"/>
      <c r="CP842" s="567"/>
      <c r="CQ842" s="567"/>
      <c r="CR842" s="567"/>
      <c r="CS842" s="567"/>
      <c r="CT842" s="567"/>
      <c r="CU842" s="567"/>
      <c r="CV842" s="567"/>
      <c r="CW842" s="567"/>
      <c r="CX842" s="567"/>
      <c r="CY842" s="567"/>
      <c r="CZ842" s="567"/>
      <c r="DA842" s="567"/>
      <c r="DB842" s="567"/>
      <c r="DC842" s="567"/>
      <c r="DD842" s="567"/>
      <c r="DE842" s="567"/>
      <c r="DF842" s="567"/>
      <c r="DG842" s="567"/>
      <c r="DH842" s="567"/>
      <c r="DI842" s="567"/>
      <c r="DJ842" s="567"/>
      <c r="DK842" s="567"/>
      <c r="DL842" s="567"/>
      <c r="DM842" s="567"/>
      <c r="DN842" s="567"/>
      <c r="DO842" s="567"/>
      <c r="DP842" s="567"/>
      <c r="DQ842" s="567"/>
      <c r="DR842" s="567"/>
      <c r="DS842" s="567"/>
      <c r="DT842" s="567"/>
      <c r="DU842" s="567"/>
      <c r="DV842" s="567"/>
      <c r="DW842" s="567"/>
      <c r="DX842" s="567"/>
      <c r="DY842" s="567"/>
      <c r="DZ842" s="567"/>
      <c r="EA842" s="567"/>
      <c r="EB842" s="567"/>
      <c r="EC842" s="567"/>
      <c r="ED842" s="567"/>
      <c r="EE842" s="567"/>
      <c r="EF842" s="567"/>
      <c r="EG842" s="567"/>
      <c r="EH842" s="567"/>
      <c r="EI842" s="567"/>
      <c r="EJ842" s="567"/>
      <c r="EK842" s="567"/>
      <c r="EL842" s="567"/>
      <c r="EM842" s="567"/>
      <c r="EN842" s="567"/>
      <c r="EO842" s="567"/>
      <c r="EP842" s="567"/>
      <c r="EQ842" s="567"/>
      <c r="ER842" s="567"/>
      <c r="ES842" s="567"/>
      <c r="ET842" s="567"/>
      <c r="EU842" s="567"/>
      <c r="EV842" s="567"/>
      <c r="EW842" s="567"/>
      <c r="EX842" s="567"/>
      <c r="EY842" s="567"/>
      <c r="EZ842" s="567"/>
      <c r="FA842" s="567"/>
      <c r="FB842" s="567"/>
      <c r="FC842" s="567"/>
      <c r="FD842" s="567"/>
      <c r="FE842" s="567"/>
      <c r="FF842" s="567"/>
      <c r="FG842" s="567"/>
      <c r="FH842" s="567"/>
      <c r="FI842" s="567"/>
      <c r="FJ842" s="567"/>
      <c r="FK842" s="567"/>
      <c r="FL842" s="567"/>
      <c r="FM842" s="567"/>
      <c r="FN842" s="567"/>
      <c r="FO842" s="567"/>
      <c r="FP842" s="567"/>
      <c r="FQ842" s="567"/>
      <c r="FR842" s="567"/>
      <c r="FS842" s="567"/>
      <c r="FT842" s="567"/>
      <c r="FU842" s="567"/>
      <c r="FV842" s="567"/>
      <c r="FW842" s="567"/>
      <c r="FX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  <c r="BW843" s="567"/>
      <c r="BX843" s="567"/>
      <c r="BY843" s="567"/>
      <c r="BZ843" s="567"/>
      <c r="CA843" s="567"/>
      <c r="CB843" s="567"/>
      <c r="CC843" s="567"/>
      <c r="CD843" s="567"/>
      <c r="CE843" s="567"/>
      <c r="CF843" s="567"/>
      <c r="CG843" s="567"/>
      <c r="CH843" s="567"/>
      <c r="CI843" s="567"/>
      <c r="CJ843" s="567"/>
      <c r="CK843" s="567"/>
      <c r="CL843" s="567"/>
      <c r="CM843" s="567"/>
      <c r="CN843" s="567"/>
      <c r="CO843" s="567"/>
      <c r="CP843" s="567"/>
      <c r="CQ843" s="567"/>
      <c r="CR843" s="567"/>
      <c r="CS843" s="567"/>
      <c r="CT843" s="567"/>
      <c r="CU843" s="567"/>
      <c r="CV843" s="567"/>
      <c r="CW843" s="567"/>
      <c r="CX843" s="567"/>
      <c r="CY843" s="567"/>
      <c r="CZ843" s="567"/>
      <c r="DA843" s="567"/>
      <c r="DB843" s="567"/>
      <c r="DC843" s="567"/>
      <c r="DD843" s="567"/>
      <c r="DE843" s="567"/>
      <c r="DF843" s="567"/>
      <c r="DG843" s="567"/>
      <c r="DH843" s="567"/>
      <c r="DI843" s="567"/>
      <c r="DJ843" s="567"/>
      <c r="DK843" s="567"/>
      <c r="DL843" s="567"/>
      <c r="DM843" s="567"/>
      <c r="DN843" s="567"/>
      <c r="DO843" s="567"/>
      <c r="DP843" s="567"/>
      <c r="DQ843" s="567"/>
      <c r="DR843" s="567"/>
      <c r="DS843" s="567"/>
      <c r="DT843" s="567"/>
      <c r="DU843" s="567"/>
      <c r="DV843" s="567"/>
      <c r="DW843" s="567"/>
      <c r="DX843" s="567"/>
      <c r="DY843" s="567"/>
      <c r="DZ843" s="567"/>
      <c r="EA843" s="567"/>
      <c r="EB843" s="567"/>
      <c r="EC843" s="567"/>
      <c r="ED843" s="567"/>
      <c r="EE843" s="567"/>
      <c r="EF843" s="567"/>
      <c r="EG843" s="567"/>
      <c r="EH843" s="567"/>
      <c r="EI843" s="567"/>
      <c r="EJ843" s="567"/>
      <c r="EK843" s="567"/>
      <c r="EL843" s="567"/>
      <c r="EM843" s="567"/>
      <c r="EN843" s="567"/>
      <c r="EO843" s="567"/>
      <c r="EP843" s="567"/>
      <c r="EQ843" s="567"/>
      <c r="ER843" s="567"/>
      <c r="ES843" s="567"/>
      <c r="ET843" s="567"/>
      <c r="EU843" s="567"/>
      <c r="EV843" s="567"/>
      <c r="EW843" s="567"/>
      <c r="EX843" s="567"/>
      <c r="EY843" s="567"/>
      <c r="EZ843" s="567"/>
      <c r="FA843" s="567"/>
      <c r="FB843" s="567"/>
      <c r="FC843" s="567"/>
      <c r="FD843" s="567"/>
      <c r="FE843" s="567"/>
      <c r="FF843" s="567"/>
      <c r="FG843" s="567"/>
      <c r="FH843" s="567"/>
      <c r="FI843" s="567"/>
      <c r="FJ843" s="567"/>
      <c r="FK843" s="567"/>
      <c r="FL843" s="567"/>
      <c r="FM843" s="567"/>
      <c r="FN843" s="567"/>
      <c r="FO843" s="567"/>
      <c r="FP843" s="567"/>
      <c r="FQ843" s="567"/>
      <c r="FR843" s="567"/>
      <c r="FS843" s="567"/>
      <c r="FT843" s="567"/>
      <c r="FU843" s="567"/>
      <c r="FV843" s="567"/>
      <c r="FW843" s="567"/>
      <c r="FX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  <c r="BW844" s="567"/>
      <c r="BX844" s="567"/>
      <c r="BY844" s="567"/>
      <c r="BZ844" s="567"/>
      <c r="CA844" s="567"/>
      <c r="CB844" s="567"/>
      <c r="CC844" s="567"/>
      <c r="CD844" s="567"/>
      <c r="CE844" s="567"/>
      <c r="CF844" s="567"/>
      <c r="CG844" s="567"/>
      <c r="CH844" s="567"/>
      <c r="CI844" s="567"/>
      <c r="CJ844" s="567"/>
      <c r="CK844" s="567"/>
      <c r="CL844" s="567"/>
      <c r="CM844" s="567"/>
      <c r="CN844" s="567"/>
      <c r="CO844" s="567"/>
      <c r="CP844" s="567"/>
      <c r="CQ844" s="567"/>
      <c r="CR844" s="567"/>
      <c r="CS844" s="567"/>
      <c r="CT844" s="567"/>
      <c r="CU844" s="567"/>
      <c r="CV844" s="567"/>
      <c r="CW844" s="567"/>
      <c r="CX844" s="567"/>
      <c r="CY844" s="567"/>
      <c r="CZ844" s="567"/>
      <c r="DA844" s="567"/>
      <c r="DB844" s="567"/>
      <c r="DC844" s="567"/>
      <c r="DD844" s="567"/>
      <c r="DE844" s="567"/>
      <c r="DF844" s="567"/>
      <c r="DG844" s="567"/>
      <c r="DH844" s="567"/>
      <c r="DI844" s="567"/>
      <c r="DJ844" s="567"/>
      <c r="DK844" s="567"/>
      <c r="DL844" s="567"/>
      <c r="DM844" s="567"/>
      <c r="DN844" s="567"/>
      <c r="DO844" s="567"/>
      <c r="DP844" s="567"/>
      <c r="DQ844" s="567"/>
      <c r="DR844" s="567"/>
      <c r="DS844" s="567"/>
      <c r="DT844" s="567"/>
      <c r="DU844" s="567"/>
      <c r="DV844" s="567"/>
      <c r="DW844" s="567"/>
      <c r="DX844" s="567"/>
      <c r="DY844" s="567"/>
      <c r="DZ844" s="567"/>
      <c r="EA844" s="567"/>
      <c r="EB844" s="567"/>
      <c r="EC844" s="567"/>
      <c r="ED844" s="567"/>
      <c r="EE844" s="567"/>
      <c r="EF844" s="567"/>
      <c r="EG844" s="567"/>
      <c r="EH844" s="567"/>
      <c r="EI844" s="567"/>
      <c r="EJ844" s="567"/>
      <c r="EK844" s="567"/>
      <c r="EL844" s="567"/>
      <c r="EM844" s="567"/>
      <c r="EN844" s="567"/>
      <c r="EO844" s="567"/>
      <c r="EP844" s="567"/>
      <c r="EQ844" s="567"/>
      <c r="ER844" s="567"/>
      <c r="ES844" s="567"/>
      <c r="ET844" s="567"/>
      <c r="EU844" s="567"/>
      <c r="EV844" s="567"/>
      <c r="EW844" s="567"/>
      <c r="EX844" s="567"/>
      <c r="EY844" s="567"/>
      <c r="EZ844" s="567"/>
      <c r="FA844" s="567"/>
      <c r="FB844" s="567"/>
      <c r="FC844" s="567"/>
      <c r="FD844" s="567"/>
      <c r="FE844" s="567"/>
      <c r="FF844" s="567"/>
      <c r="FG844" s="567"/>
      <c r="FH844" s="567"/>
      <c r="FI844" s="567"/>
      <c r="FJ844" s="567"/>
      <c r="FK844" s="567"/>
      <c r="FL844" s="567"/>
      <c r="FM844" s="567"/>
      <c r="FN844" s="567"/>
      <c r="FO844" s="567"/>
      <c r="FP844" s="567"/>
      <c r="FQ844" s="567"/>
      <c r="FR844" s="567"/>
      <c r="FS844" s="567"/>
      <c r="FT844" s="567"/>
      <c r="FU844" s="567"/>
      <c r="FV844" s="567"/>
      <c r="FW844" s="567"/>
      <c r="FX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  <c r="BW845" s="567"/>
      <c r="BX845" s="567"/>
      <c r="BY845" s="567"/>
      <c r="BZ845" s="567"/>
      <c r="CA845" s="567"/>
      <c r="CB845" s="567"/>
      <c r="CC845" s="567"/>
      <c r="CD845" s="567"/>
      <c r="CE845" s="567"/>
      <c r="CF845" s="567"/>
      <c r="CG845" s="567"/>
      <c r="CH845" s="567"/>
      <c r="CI845" s="567"/>
      <c r="CJ845" s="567"/>
      <c r="CK845" s="567"/>
      <c r="CL845" s="567"/>
      <c r="CM845" s="567"/>
      <c r="CN845" s="567"/>
      <c r="CO845" s="567"/>
      <c r="CP845" s="567"/>
      <c r="CQ845" s="567"/>
      <c r="CR845" s="567"/>
      <c r="CS845" s="567"/>
      <c r="CT845" s="567"/>
      <c r="CU845" s="567"/>
      <c r="CV845" s="567"/>
      <c r="CW845" s="567"/>
      <c r="CX845" s="567"/>
      <c r="CY845" s="567"/>
      <c r="CZ845" s="567"/>
      <c r="DA845" s="567"/>
      <c r="DB845" s="567"/>
      <c r="DC845" s="567"/>
      <c r="DD845" s="567"/>
      <c r="DE845" s="567"/>
      <c r="DF845" s="567"/>
      <c r="DG845" s="567"/>
      <c r="DH845" s="567"/>
      <c r="DI845" s="567"/>
      <c r="DJ845" s="567"/>
      <c r="DK845" s="567"/>
      <c r="DL845" s="567"/>
      <c r="DM845" s="567"/>
      <c r="DN845" s="567"/>
      <c r="DO845" s="567"/>
      <c r="DP845" s="567"/>
      <c r="DQ845" s="567"/>
      <c r="DR845" s="567"/>
      <c r="DS845" s="567"/>
      <c r="DT845" s="567"/>
      <c r="DU845" s="567"/>
      <c r="DV845" s="567"/>
      <c r="DW845" s="567"/>
      <c r="DX845" s="567"/>
      <c r="DY845" s="567"/>
      <c r="DZ845" s="567"/>
      <c r="EA845" s="567"/>
      <c r="EB845" s="567"/>
      <c r="EC845" s="567"/>
      <c r="ED845" s="567"/>
      <c r="EE845" s="567"/>
      <c r="EF845" s="567"/>
      <c r="EG845" s="567"/>
      <c r="EH845" s="567"/>
      <c r="EI845" s="567"/>
      <c r="EJ845" s="567"/>
      <c r="EK845" s="567"/>
      <c r="EL845" s="567"/>
      <c r="EM845" s="567"/>
      <c r="EN845" s="567"/>
      <c r="EO845" s="567"/>
      <c r="EP845" s="567"/>
      <c r="EQ845" s="567"/>
      <c r="ER845" s="567"/>
      <c r="ES845" s="567"/>
      <c r="ET845" s="567"/>
      <c r="EU845" s="567"/>
      <c r="EV845" s="567"/>
      <c r="EW845" s="567"/>
      <c r="EX845" s="567"/>
      <c r="EY845" s="567"/>
      <c r="EZ845" s="567"/>
      <c r="FA845" s="567"/>
      <c r="FB845" s="567"/>
      <c r="FC845" s="567"/>
      <c r="FD845" s="567"/>
      <c r="FE845" s="567"/>
      <c r="FF845" s="567"/>
      <c r="FG845" s="567"/>
      <c r="FH845" s="567"/>
      <c r="FI845" s="567"/>
      <c r="FJ845" s="567"/>
      <c r="FK845" s="567"/>
      <c r="FL845" s="567"/>
      <c r="FM845" s="567"/>
      <c r="FN845" s="567"/>
      <c r="FO845" s="567"/>
      <c r="FP845" s="567"/>
      <c r="FQ845" s="567"/>
      <c r="FR845" s="567"/>
      <c r="FS845" s="567"/>
      <c r="FT845" s="567"/>
      <c r="FU845" s="567"/>
      <c r="FV845" s="567"/>
      <c r="FW845" s="567"/>
      <c r="FX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  <c r="BW846" s="567"/>
      <c r="BX846" s="567"/>
      <c r="BY846" s="567"/>
      <c r="BZ846" s="567"/>
      <c r="CA846" s="567"/>
      <c r="CB846" s="567"/>
      <c r="CC846" s="567"/>
      <c r="CD846" s="567"/>
      <c r="CE846" s="567"/>
      <c r="CF846" s="567"/>
      <c r="CG846" s="567"/>
      <c r="CH846" s="567"/>
      <c r="CI846" s="567"/>
      <c r="CJ846" s="567"/>
      <c r="CK846" s="567"/>
      <c r="CL846" s="567"/>
      <c r="CM846" s="567"/>
      <c r="CN846" s="567"/>
      <c r="CO846" s="567"/>
      <c r="CP846" s="567"/>
      <c r="CQ846" s="567"/>
      <c r="CR846" s="567"/>
      <c r="CS846" s="567"/>
      <c r="CT846" s="567"/>
      <c r="CU846" s="567"/>
      <c r="CV846" s="567"/>
      <c r="CW846" s="567"/>
      <c r="CX846" s="567"/>
      <c r="CY846" s="567"/>
      <c r="CZ846" s="567"/>
      <c r="DA846" s="567"/>
      <c r="DB846" s="567"/>
      <c r="DC846" s="567"/>
      <c r="DD846" s="567"/>
      <c r="DE846" s="567"/>
      <c r="DF846" s="567"/>
      <c r="DG846" s="567"/>
      <c r="DH846" s="567"/>
      <c r="DI846" s="567"/>
      <c r="DJ846" s="567"/>
      <c r="DK846" s="567"/>
      <c r="DL846" s="567"/>
      <c r="DM846" s="567"/>
      <c r="DN846" s="567"/>
      <c r="DO846" s="567"/>
      <c r="DP846" s="567"/>
      <c r="DQ846" s="567"/>
      <c r="DR846" s="567"/>
      <c r="DS846" s="567"/>
      <c r="DT846" s="567"/>
      <c r="DU846" s="567"/>
      <c r="DV846" s="567"/>
      <c r="DW846" s="567"/>
      <c r="DX846" s="567"/>
      <c r="DY846" s="567"/>
      <c r="DZ846" s="567"/>
      <c r="EA846" s="567"/>
      <c r="EB846" s="567"/>
      <c r="EC846" s="567"/>
      <c r="ED846" s="567"/>
      <c r="EE846" s="567"/>
      <c r="EF846" s="567"/>
      <c r="EG846" s="567"/>
      <c r="EH846" s="567"/>
      <c r="EI846" s="567"/>
      <c r="EJ846" s="567"/>
      <c r="EK846" s="567"/>
      <c r="EL846" s="567"/>
      <c r="EM846" s="567"/>
      <c r="EN846" s="567"/>
      <c r="EO846" s="567"/>
      <c r="EP846" s="567"/>
      <c r="EQ846" s="567"/>
      <c r="ER846" s="567"/>
      <c r="ES846" s="567"/>
      <c r="ET846" s="567"/>
      <c r="EU846" s="567"/>
      <c r="EV846" s="567"/>
      <c r="EW846" s="567"/>
      <c r="EX846" s="567"/>
      <c r="EY846" s="567"/>
      <c r="EZ846" s="567"/>
      <c r="FA846" s="567"/>
      <c r="FB846" s="567"/>
      <c r="FC846" s="567"/>
      <c r="FD846" s="567"/>
      <c r="FE846" s="567"/>
      <c r="FF846" s="567"/>
      <c r="FG846" s="567"/>
      <c r="FH846" s="567"/>
      <c r="FI846" s="567"/>
      <c r="FJ846" s="567"/>
      <c r="FK846" s="567"/>
      <c r="FL846" s="567"/>
      <c r="FM846" s="567"/>
      <c r="FN846" s="567"/>
      <c r="FO846" s="567"/>
      <c r="FP846" s="567"/>
      <c r="FQ846" s="567"/>
      <c r="FR846" s="567"/>
      <c r="FS846" s="567"/>
      <c r="FT846" s="567"/>
      <c r="FU846" s="567"/>
      <c r="FV846" s="567"/>
      <c r="FW846" s="567"/>
      <c r="FX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  <c r="BW847" s="567"/>
      <c r="BX847" s="567"/>
      <c r="BY847" s="567"/>
      <c r="BZ847" s="567"/>
      <c r="CA847" s="567"/>
      <c r="CB847" s="567"/>
      <c r="CC847" s="567"/>
      <c r="CD847" s="567"/>
      <c r="CE847" s="567"/>
      <c r="CF847" s="567"/>
      <c r="CG847" s="567"/>
      <c r="CH847" s="567"/>
      <c r="CI847" s="567"/>
      <c r="CJ847" s="567"/>
      <c r="CK847" s="567"/>
      <c r="CL847" s="567"/>
      <c r="CM847" s="567"/>
      <c r="CN847" s="567"/>
      <c r="CO847" s="567"/>
      <c r="CP847" s="567"/>
      <c r="CQ847" s="567"/>
      <c r="CR847" s="567"/>
      <c r="CS847" s="567"/>
      <c r="CT847" s="567"/>
      <c r="CU847" s="567"/>
      <c r="CV847" s="567"/>
      <c r="CW847" s="567"/>
      <c r="CX847" s="567"/>
      <c r="CY847" s="567"/>
      <c r="CZ847" s="567"/>
      <c r="DA847" s="567"/>
      <c r="DB847" s="567"/>
      <c r="DC847" s="567"/>
      <c r="DD847" s="567"/>
      <c r="DE847" s="567"/>
      <c r="DF847" s="567"/>
      <c r="DG847" s="567"/>
      <c r="DH847" s="567"/>
      <c r="DI847" s="567"/>
      <c r="DJ847" s="567"/>
      <c r="DK847" s="567"/>
      <c r="DL847" s="567"/>
      <c r="DM847" s="567"/>
      <c r="DN847" s="567"/>
      <c r="DO847" s="567"/>
      <c r="DP847" s="567"/>
      <c r="DQ847" s="567"/>
      <c r="DR847" s="567"/>
      <c r="DS847" s="567"/>
      <c r="DT847" s="567"/>
      <c r="DU847" s="567"/>
      <c r="DV847" s="567"/>
      <c r="DW847" s="567"/>
      <c r="DX847" s="567"/>
      <c r="DY847" s="567"/>
      <c r="DZ847" s="567"/>
      <c r="EA847" s="567"/>
      <c r="EB847" s="567"/>
      <c r="EC847" s="567"/>
      <c r="ED847" s="567"/>
      <c r="EE847" s="567"/>
      <c r="EF847" s="567"/>
      <c r="EG847" s="567"/>
      <c r="EH847" s="567"/>
      <c r="EI847" s="567"/>
      <c r="EJ847" s="567"/>
      <c r="EK847" s="567"/>
      <c r="EL847" s="567"/>
      <c r="EM847" s="567"/>
      <c r="EN847" s="567"/>
      <c r="EO847" s="567"/>
      <c r="EP847" s="567"/>
      <c r="EQ847" s="567"/>
      <c r="ER847" s="567"/>
      <c r="ES847" s="567"/>
      <c r="ET847" s="567"/>
      <c r="EU847" s="567"/>
      <c r="EV847" s="567"/>
      <c r="EW847" s="567"/>
      <c r="EX847" s="567"/>
      <c r="EY847" s="567"/>
      <c r="EZ847" s="567"/>
      <c r="FA847" s="567"/>
      <c r="FB847" s="567"/>
      <c r="FC847" s="567"/>
      <c r="FD847" s="567"/>
      <c r="FE847" s="567"/>
      <c r="FF847" s="567"/>
      <c r="FG847" s="567"/>
      <c r="FH847" s="567"/>
      <c r="FI847" s="567"/>
      <c r="FJ847" s="567"/>
      <c r="FK847" s="567"/>
      <c r="FL847" s="567"/>
      <c r="FM847" s="567"/>
      <c r="FN847" s="567"/>
      <c r="FO847" s="567"/>
      <c r="FP847" s="567"/>
      <c r="FQ847" s="567"/>
      <c r="FR847" s="567"/>
      <c r="FS847" s="567"/>
      <c r="FT847" s="567"/>
      <c r="FU847" s="567"/>
      <c r="FV847" s="567"/>
      <c r="FW847" s="567"/>
      <c r="FX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  <c r="BW848" s="567"/>
      <c r="BX848" s="567"/>
      <c r="BY848" s="567"/>
      <c r="BZ848" s="567"/>
      <c r="CA848" s="567"/>
      <c r="CB848" s="567"/>
      <c r="CC848" s="567"/>
      <c r="CD848" s="567"/>
      <c r="CE848" s="567"/>
      <c r="CF848" s="567"/>
      <c r="CG848" s="567"/>
      <c r="CH848" s="567"/>
      <c r="CI848" s="567"/>
      <c r="CJ848" s="567"/>
      <c r="CK848" s="567"/>
      <c r="CL848" s="567"/>
      <c r="CM848" s="567"/>
      <c r="CN848" s="567"/>
      <c r="CO848" s="567"/>
      <c r="CP848" s="567"/>
      <c r="CQ848" s="567"/>
      <c r="CR848" s="567"/>
      <c r="CS848" s="567"/>
      <c r="CT848" s="567"/>
      <c r="CU848" s="567"/>
      <c r="CV848" s="567"/>
      <c r="CW848" s="567"/>
      <c r="CX848" s="567"/>
      <c r="CY848" s="567"/>
      <c r="CZ848" s="567"/>
      <c r="DA848" s="567"/>
      <c r="DB848" s="567"/>
      <c r="DC848" s="567"/>
      <c r="DD848" s="567"/>
      <c r="DE848" s="567"/>
      <c r="DF848" s="567"/>
      <c r="DG848" s="567"/>
      <c r="DH848" s="567"/>
      <c r="DI848" s="567"/>
      <c r="DJ848" s="567"/>
      <c r="DK848" s="567"/>
      <c r="DL848" s="567"/>
      <c r="DM848" s="567"/>
      <c r="DN848" s="567"/>
      <c r="DO848" s="567"/>
      <c r="DP848" s="567"/>
      <c r="DQ848" s="567"/>
      <c r="DR848" s="567"/>
      <c r="DS848" s="567"/>
      <c r="DT848" s="567"/>
      <c r="DU848" s="567"/>
      <c r="DV848" s="567"/>
      <c r="DW848" s="567"/>
      <c r="DX848" s="567"/>
      <c r="DY848" s="567"/>
      <c r="DZ848" s="567"/>
      <c r="EA848" s="567"/>
      <c r="EB848" s="567"/>
      <c r="EC848" s="567"/>
      <c r="ED848" s="567"/>
      <c r="EE848" s="567"/>
      <c r="EF848" s="567"/>
      <c r="EG848" s="567"/>
      <c r="EH848" s="567"/>
      <c r="EI848" s="567"/>
      <c r="EJ848" s="567"/>
      <c r="EK848" s="567"/>
      <c r="EL848" s="567"/>
      <c r="EM848" s="567"/>
      <c r="EN848" s="567"/>
      <c r="EO848" s="567"/>
      <c r="EP848" s="567"/>
      <c r="EQ848" s="567"/>
      <c r="ER848" s="567"/>
      <c r="ES848" s="567"/>
      <c r="ET848" s="567"/>
      <c r="EU848" s="567"/>
      <c r="EV848" s="567"/>
      <c r="EW848" s="567"/>
      <c r="EX848" s="567"/>
      <c r="EY848" s="567"/>
      <c r="EZ848" s="567"/>
      <c r="FA848" s="567"/>
      <c r="FB848" s="567"/>
      <c r="FC848" s="567"/>
      <c r="FD848" s="567"/>
      <c r="FE848" s="567"/>
      <c r="FF848" s="567"/>
      <c r="FG848" s="567"/>
      <c r="FH848" s="567"/>
      <c r="FI848" s="567"/>
      <c r="FJ848" s="567"/>
      <c r="FK848" s="567"/>
      <c r="FL848" s="567"/>
      <c r="FM848" s="567"/>
      <c r="FN848" s="567"/>
      <c r="FO848" s="567"/>
      <c r="FP848" s="567"/>
      <c r="FQ848" s="567"/>
      <c r="FR848" s="567"/>
      <c r="FS848" s="567"/>
      <c r="FT848" s="567"/>
      <c r="FU848" s="567"/>
      <c r="FV848" s="567"/>
      <c r="FW848" s="567"/>
      <c r="FX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  <c r="BW849" s="567"/>
      <c r="BX849" s="567"/>
      <c r="BY849" s="567"/>
      <c r="BZ849" s="567"/>
      <c r="CA849" s="567"/>
      <c r="CB849" s="567"/>
      <c r="CC849" s="567"/>
      <c r="CD849" s="567"/>
      <c r="CE849" s="567"/>
      <c r="CF849" s="567"/>
      <c r="CG849" s="567"/>
      <c r="CH849" s="567"/>
      <c r="CI849" s="567"/>
      <c r="CJ849" s="567"/>
      <c r="CK849" s="567"/>
      <c r="CL849" s="567"/>
      <c r="CM849" s="567"/>
      <c r="CN849" s="567"/>
      <c r="CO849" s="567"/>
      <c r="CP849" s="567"/>
      <c r="CQ849" s="567"/>
      <c r="CR849" s="567"/>
      <c r="CS849" s="567"/>
      <c r="CT849" s="567"/>
      <c r="CU849" s="567"/>
      <c r="CV849" s="567"/>
      <c r="CW849" s="567"/>
      <c r="CX849" s="567"/>
      <c r="CY849" s="567"/>
      <c r="CZ849" s="567"/>
      <c r="DA849" s="567"/>
      <c r="DB849" s="567"/>
      <c r="DC849" s="567"/>
      <c r="DD849" s="567"/>
      <c r="DE849" s="567"/>
      <c r="DF849" s="567"/>
      <c r="DG849" s="567"/>
      <c r="DH849" s="567"/>
      <c r="DI849" s="567"/>
      <c r="DJ849" s="567"/>
      <c r="DK849" s="567"/>
      <c r="DL849" s="567"/>
      <c r="DM849" s="567"/>
      <c r="DN849" s="567"/>
      <c r="DO849" s="567"/>
      <c r="DP849" s="567"/>
      <c r="DQ849" s="567"/>
      <c r="DR849" s="567"/>
      <c r="DS849" s="567"/>
      <c r="DT849" s="567"/>
      <c r="DU849" s="567"/>
      <c r="DV849" s="567"/>
      <c r="DW849" s="567"/>
      <c r="DX849" s="567"/>
      <c r="DY849" s="567"/>
      <c r="DZ849" s="567"/>
      <c r="EA849" s="567"/>
      <c r="EB849" s="567"/>
      <c r="EC849" s="567"/>
      <c r="ED849" s="567"/>
      <c r="EE849" s="567"/>
      <c r="EF849" s="567"/>
      <c r="EG849" s="567"/>
      <c r="EH849" s="567"/>
      <c r="EI849" s="567"/>
      <c r="EJ849" s="567"/>
      <c r="EK849" s="567"/>
      <c r="EL849" s="567"/>
      <c r="EM849" s="567"/>
      <c r="EN849" s="567"/>
      <c r="EO849" s="567"/>
      <c r="EP849" s="567"/>
      <c r="EQ849" s="567"/>
      <c r="ER849" s="567"/>
      <c r="ES849" s="567"/>
      <c r="ET849" s="567"/>
      <c r="EU849" s="567"/>
      <c r="EV849" s="567"/>
      <c r="EW849" s="567"/>
      <c r="EX849" s="567"/>
      <c r="EY849" s="567"/>
      <c r="EZ849" s="567"/>
      <c r="FA849" s="567"/>
      <c r="FB849" s="567"/>
      <c r="FC849" s="567"/>
      <c r="FD849" s="567"/>
      <c r="FE849" s="567"/>
      <c r="FF849" s="567"/>
      <c r="FG849" s="567"/>
      <c r="FH849" s="567"/>
      <c r="FI849" s="567"/>
      <c r="FJ849" s="567"/>
      <c r="FK849" s="567"/>
      <c r="FL849" s="567"/>
      <c r="FM849" s="567"/>
      <c r="FN849" s="567"/>
      <c r="FO849" s="567"/>
      <c r="FP849" s="567"/>
      <c r="FQ849" s="567"/>
      <c r="FR849" s="567"/>
      <c r="FS849" s="567"/>
      <c r="FT849" s="567"/>
      <c r="FU849" s="567"/>
      <c r="FV849" s="567"/>
      <c r="FW849" s="567"/>
      <c r="FX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  <c r="BW850" s="567"/>
      <c r="BX850" s="567"/>
      <c r="BY850" s="567"/>
      <c r="BZ850" s="567"/>
      <c r="CA850" s="567"/>
      <c r="CB850" s="567"/>
      <c r="CC850" s="567"/>
      <c r="CD850" s="567"/>
      <c r="CE850" s="567"/>
      <c r="CF850" s="567"/>
      <c r="CG850" s="567"/>
      <c r="CH850" s="567"/>
      <c r="CI850" s="567"/>
      <c r="CJ850" s="567"/>
      <c r="CK850" s="567"/>
      <c r="CL850" s="567"/>
      <c r="CM850" s="567"/>
      <c r="CN850" s="567"/>
      <c r="CO850" s="567"/>
      <c r="CP850" s="567"/>
      <c r="CQ850" s="567"/>
      <c r="CR850" s="567"/>
      <c r="CS850" s="567"/>
      <c r="CT850" s="567"/>
      <c r="CU850" s="567"/>
      <c r="CV850" s="567"/>
      <c r="CW850" s="567"/>
      <c r="CX850" s="567"/>
      <c r="CY850" s="567"/>
      <c r="CZ850" s="567"/>
      <c r="DA850" s="567"/>
      <c r="DB850" s="567"/>
      <c r="DC850" s="567"/>
      <c r="DD850" s="567"/>
      <c r="DE850" s="567"/>
      <c r="DF850" s="567"/>
      <c r="DG850" s="567"/>
      <c r="DH850" s="567"/>
      <c r="DI850" s="567"/>
      <c r="DJ850" s="567"/>
      <c r="DK850" s="567"/>
      <c r="DL850" s="567"/>
      <c r="DM850" s="567"/>
      <c r="DN850" s="567"/>
      <c r="DO850" s="567"/>
      <c r="DP850" s="567"/>
      <c r="DQ850" s="567"/>
      <c r="DR850" s="567"/>
      <c r="DS850" s="567"/>
      <c r="DT850" s="567"/>
      <c r="DU850" s="567"/>
      <c r="DV850" s="567"/>
      <c r="DW850" s="567"/>
      <c r="DX850" s="567"/>
      <c r="DY850" s="567"/>
      <c r="DZ850" s="567"/>
      <c r="EA850" s="567"/>
      <c r="EB850" s="567"/>
      <c r="EC850" s="567"/>
      <c r="ED850" s="567"/>
      <c r="EE850" s="567"/>
      <c r="EF850" s="567"/>
      <c r="EG850" s="567"/>
      <c r="EH850" s="567"/>
      <c r="EI850" s="567"/>
      <c r="EJ850" s="567"/>
      <c r="EK850" s="567"/>
      <c r="EL850" s="567"/>
      <c r="EM850" s="567"/>
      <c r="EN850" s="567"/>
      <c r="EO850" s="567"/>
      <c r="EP850" s="567"/>
      <c r="EQ850" s="567"/>
      <c r="ER850" s="567"/>
      <c r="ES850" s="567"/>
      <c r="ET850" s="567"/>
      <c r="EU850" s="567"/>
      <c r="EV850" s="567"/>
      <c r="EW850" s="567"/>
      <c r="EX850" s="567"/>
      <c r="EY850" s="567"/>
      <c r="EZ850" s="567"/>
      <c r="FA850" s="567"/>
      <c r="FB850" s="567"/>
      <c r="FC850" s="567"/>
      <c r="FD850" s="567"/>
      <c r="FE850" s="567"/>
      <c r="FF850" s="567"/>
      <c r="FG850" s="567"/>
      <c r="FH850" s="567"/>
      <c r="FI850" s="567"/>
      <c r="FJ850" s="567"/>
      <c r="FK850" s="567"/>
      <c r="FL850" s="567"/>
      <c r="FM850" s="567"/>
      <c r="FN850" s="567"/>
      <c r="FO850" s="567"/>
      <c r="FP850" s="567"/>
      <c r="FQ850" s="567"/>
      <c r="FR850" s="567"/>
      <c r="FS850" s="567"/>
      <c r="FT850" s="567"/>
      <c r="FU850" s="567"/>
      <c r="FV850" s="567"/>
      <c r="FW850" s="567"/>
      <c r="FX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  <c r="BW851" s="567"/>
      <c r="BX851" s="567"/>
      <c r="BY851" s="567"/>
      <c r="BZ851" s="567"/>
      <c r="CA851" s="567"/>
      <c r="CB851" s="567"/>
      <c r="CC851" s="567"/>
      <c r="CD851" s="567"/>
      <c r="CE851" s="567"/>
      <c r="CF851" s="567"/>
      <c r="CG851" s="567"/>
      <c r="CH851" s="567"/>
      <c r="CI851" s="567"/>
      <c r="CJ851" s="567"/>
      <c r="CK851" s="567"/>
      <c r="CL851" s="567"/>
      <c r="CM851" s="567"/>
      <c r="CN851" s="567"/>
      <c r="CO851" s="567"/>
      <c r="CP851" s="567"/>
      <c r="CQ851" s="567"/>
      <c r="CR851" s="567"/>
      <c r="CS851" s="567"/>
      <c r="CT851" s="567"/>
      <c r="CU851" s="567"/>
      <c r="CV851" s="567"/>
      <c r="CW851" s="567"/>
      <c r="CX851" s="567"/>
      <c r="CY851" s="567"/>
      <c r="CZ851" s="567"/>
      <c r="DA851" s="567"/>
      <c r="DB851" s="567"/>
      <c r="DC851" s="567"/>
      <c r="DD851" s="567"/>
      <c r="DE851" s="567"/>
      <c r="DF851" s="567"/>
      <c r="DG851" s="567"/>
      <c r="DH851" s="567"/>
      <c r="DI851" s="567"/>
      <c r="DJ851" s="567"/>
      <c r="DK851" s="567"/>
      <c r="DL851" s="567"/>
      <c r="DM851" s="567"/>
      <c r="DN851" s="567"/>
      <c r="DO851" s="567"/>
      <c r="DP851" s="567"/>
      <c r="DQ851" s="567"/>
      <c r="DR851" s="567"/>
      <c r="DS851" s="567"/>
      <c r="DT851" s="567"/>
      <c r="DU851" s="567"/>
      <c r="DV851" s="567"/>
      <c r="DW851" s="567"/>
      <c r="DX851" s="567"/>
      <c r="DY851" s="567"/>
      <c r="DZ851" s="567"/>
      <c r="EA851" s="567"/>
      <c r="EB851" s="567"/>
      <c r="EC851" s="567"/>
      <c r="ED851" s="567"/>
      <c r="EE851" s="567"/>
      <c r="EF851" s="567"/>
      <c r="EG851" s="567"/>
      <c r="EH851" s="567"/>
      <c r="EI851" s="567"/>
      <c r="EJ851" s="567"/>
      <c r="EK851" s="567"/>
      <c r="EL851" s="567"/>
      <c r="EM851" s="567"/>
      <c r="EN851" s="567"/>
      <c r="EO851" s="567"/>
      <c r="EP851" s="567"/>
      <c r="EQ851" s="567"/>
      <c r="ER851" s="567"/>
      <c r="ES851" s="567"/>
      <c r="ET851" s="567"/>
      <c r="EU851" s="567"/>
      <c r="EV851" s="567"/>
      <c r="EW851" s="567"/>
      <c r="EX851" s="567"/>
      <c r="EY851" s="567"/>
      <c r="EZ851" s="567"/>
      <c r="FA851" s="567"/>
      <c r="FB851" s="567"/>
      <c r="FC851" s="567"/>
      <c r="FD851" s="567"/>
      <c r="FE851" s="567"/>
      <c r="FF851" s="567"/>
      <c r="FG851" s="567"/>
      <c r="FH851" s="567"/>
      <c r="FI851" s="567"/>
      <c r="FJ851" s="567"/>
      <c r="FK851" s="567"/>
      <c r="FL851" s="567"/>
      <c r="FM851" s="567"/>
      <c r="FN851" s="567"/>
      <c r="FO851" s="567"/>
      <c r="FP851" s="567"/>
      <c r="FQ851" s="567"/>
      <c r="FR851" s="567"/>
      <c r="FS851" s="567"/>
      <c r="FT851" s="567"/>
      <c r="FU851" s="567"/>
      <c r="FV851" s="567"/>
      <c r="FW851" s="567"/>
      <c r="FX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  <c r="BW852" s="567"/>
      <c r="BX852" s="567"/>
      <c r="BY852" s="567"/>
      <c r="BZ852" s="567"/>
      <c r="CA852" s="567"/>
      <c r="CB852" s="567"/>
      <c r="CC852" s="567"/>
      <c r="CD852" s="567"/>
      <c r="CE852" s="567"/>
      <c r="CF852" s="567"/>
      <c r="CG852" s="567"/>
      <c r="CH852" s="567"/>
      <c r="CI852" s="567"/>
      <c r="CJ852" s="567"/>
      <c r="CK852" s="567"/>
      <c r="CL852" s="567"/>
      <c r="CM852" s="567"/>
      <c r="CN852" s="567"/>
      <c r="CO852" s="567"/>
      <c r="CP852" s="567"/>
      <c r="CQ852" s="567"/>
      <c r="CR852" s="567"/>
      <c r="CS852" s="567"/>
      <c r="CT852" s="567"/>
      <c r="CU852" s="567"/>
      <c r="CV852" s="567"/>
      <c r="CW852" s="567"/>
      <c r="CX852" s="567"/>
      <c r="CY852" s="567"/>
      <c r="CZ852" s="567"/>
      <c r="DA852" s="567"/>
      <c r="DB852" s="567"/>
      <c r="DC852" s="567"/>
      <c r="DD852" s="567"/>
      <c r="DE852" s="567"/>
      <c r="DF852" s="567"/>
      <c r="DG852" s="567"/>
      <c r="DH852" s="567"/>
      <c r="DI852" s="567"/>
      <c r="DJ852" s="567"/>
      <c r="DK852" s="567"/>
      <c r="DL852" s="567"/>
      <c r="DM852" s="567"/>
      <c r="DN852" s="567"/>
      <c r="DO852" s="567"/>
      <c r="DP852" s="567"/>
      <c r="DQ852" s="567"/>
      <c r="DR852" s="567"/>
      <c r="DS852" s="567"/>
      <c r="DT852" s="567"/>
      <c r="DU852" s="567"/>
      <c r="DV852" s="567"/>
      <c r="DW852" s="567"/>
      <c r="DX852" s="567"/>
      <c r="DY852" s="567"/>
      <c r="DZ852" s="567"/>
      <c r="EA852" s="567"/>
      <c r="EB852" s="567"/>
      <c r="EC852" s="567"/>
      <c r="ED852" s="567"/>
      <c r="EE852" s="567"/>
      <c r="EF852" s="567"/>
      <c r="EG852" s="567"/>
      <c r="EH852" s="567"/>
      <c r="EI852" s="567"/>
      <c r="EJ852" s="567"/>
      <c r="EK852" s="567"/>
      <c r="EL852" s="567"/>
      <c r="EM852" s="567"/>
      <c r="EN852" s="567"/>
      <c r="EO852" s="567"/>
      <c r="EP852" s="567"/>
      <c r="EQ852" s="567"/>
      <c r="ER852" s="567"/>
      <c r="ES852" s="567"/>
      <c r="ET852" s="567"/>
      <c r="EU852" s="567"/>
      <c r="EV852" s="567"/>
      <c r="EW852" s="567"/>
      <c r="EX852" s="567"/>
      <c r="EY852" s="567"/>
      <c r="EZ852" s="567"/>
      <c r="FA852" s="567"/>
      <c r="FB852" s="567"/>
      <c r="FC852" s="567"/>
      <c r="FD852" s="567"/>
      <c r="FE852" s="567"/>
      <c r="FF852" s="567"/>
      <c r="FG852" s="567"/>
      <c r="FH852" s="567"/>
      <c r="FI852" s="567"/>
      <c r="FJ852" s="567"/>
      <c r="FK852" s="567"/>
      <c r="FL852" s="567"/>
      <c r="FM852" s="567"/>
      <c r="FN852" s="567"/>
      <c r="FO852" s="567"/>
      <c r="FP852" s="567"/>
      <c r="FQ852" s="567"/>
      <c r="FR852" s="567"/>
      <c r="FS852" s="567"/>
      <c r="FT852" s="567"/>
      <c r="FU852" s="567"/>
      <c r="FV852" s="567"/>
      <c r="FW852" s="567"/>
      <c r="FX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  <c r="BW853" s="567"/>
      <c r="BX853" s="567"/>
      <c r="BY853" s="567"/>
      <c r="BZ853" s="567"/>
      <c r="CA853" s="567"/>
      <c r="CB853" s="567"/>
      <c r="CC853" s="567"/>
      <c r="CD853" s="567"/>
      <c r="CE853" s="567"/>
      <c r="CF853" s="567"/>
      <c r="CG853" s="567"/>
      <c r="CH853" s="567"/>
      <c r="CI853" s="567"/>
      <c r="CJ853" s="567"/>
      <c r="CK853" s="567"/>
      <c r="CL853" s="567"/>
      <c r="CM853" s="567"/>
      <c r="CN853" s="567"/>
      <c r="CO853" s="567"/>
      <c r="CP853" s="567"/>
      <c r="CQ853" s="567"/>
      <c r="CR853" s="567"/>
      <c r="CS853" s="567"/>
      <c r="CT853" s="567"/>
      <c r="CU853" s="567"/>
      <c r="CV853" s="567"/>
      <c r="CW853" s="567"/>
      <c r="CX853" s="567"/>
      <c r="CY853" s="567"/>
      <c r="CZ853" s="567"/>
      <c r="DA853" s="567"/>
      <c r="DB853" s="567"/>
      <c r="DC853" s="567"/>
      <c r="DD853" s="567"/>
      <c r="DE853" s="567"/>
      <c r="DF853" s="567"/>
      <c r="DG853" s="567"/>
      <c r="DH853" s="567"/>
      <c r="DI853" s="567"/>
      <c r="DJ853" s="567"/>
      <c r="DK853" s="567"/>
      <c r="DL853" s="567"/>
      <c r="DM853" s="567"/>
      <c r="DN853" s="567"/>
      <c r="DO853" s="567"/>
      <c r="DP853" s="567"/>
      <c r="DQ853" s="567"/>
      <c r="DR853" s="567"/>
      <c r="DS853" s="567"/>
      <c r="DT853" s="567"/>
      <c r="DU853" s="567"/>
      <c r="DV853" s="567"/>
      <c r="DW853" s="567"/>
      <c r="DX853" s="567"/>
      <c r="DY853" s="567"/>
      <c r="DZ853" s="567"/>
      <c r="EA853" s="567"/>
      <c r="EB853" s="567"/>
      <c r="EC853" s="567"/>
      <c r="ED853" s="567"/>
      <c r="EE853" s="567"/>
      <c r="EF853" s="567"/>
      <c r="EG853" s="567"/>
      <c r="EH853" s="567"/>
      <c r="EI853" s="567"/>
      <c r="EJ853" s="567"/>
      <c r="EK853" s="567"/>
      <c r="EL853" s="567"/>
      <c r="EM853" s="567"/>
      <c r="EN853" s="567"/>
      <c r="EO853" s="567"/>
      <c r="EP853" s="567"/>
      <c r="EQ853" s="567"/>
      <c r="ER853" s="567"/>
      <c r="ES853" s="567"/>
      <c r="ET853" s="567"/>
      <c r="EU853" s="567"/>
      <c r="EV853" s="567"/>
      <c r="EW853" s="567"/>
      <c r="EX853" s="567"/>
      <c r="EY853" s="567"/>
      <c r="EZ853" s="567"/>
      <c r="FA853" s="567"/>
      <c r="FB853" s="567"/>
      <c r="FC853" s="567"/>
      <c r="FD853" s="567"/>
      <c r="FE853" s="567"/>
      <c r="FF853" s="567"/>
      <c r="FG853" s="567"/>
      <c r="FH853" s="567"/>
      <c r="FI853" s="567"/>
      <c r="FJ853" s="567"/>
      <c r="FK853" s="567"/>
      <c r="FL853" s="567"/>
      <c r="FM853" s="567"/>
      <c r="FN853" s="567"/>
      <c r="FO853" s="567"/>
      <c r="FP853" s="567"/>
      <c r="FQ853" s="567"/>
      <c r="FR853" s="567"/>
      <c r="FS853" s="567"/>
      <c r="FT853" s="567"/>
      <c r="FU853" s="567"/>
      <c r="FV853" s="567"/>
      <c r="FW853" s="567"/>
      <c r="FX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  <c r="BW854" s="567"/>
      <c r="BX854" s="567"/>
      <c r="BY854" s="567"/>
      <c r="BZ854" s="567"/>
      <c r="CA854" s="567"/>
      <c r="CB854" s="567"/>
      <c r="CC854" s="567"/>
      <c r="CD854" s="567"/>
      <c r="CE854" s="567"/>
      <c r="CF854" s="567"/>
      <c r="CG854" s="567"/>
      <c r="CH854" s="567"/>
      <c r="CI854" s="567"/>
      <c r="CJ854" s="567"/>
      <c r="CK854" s="567"/>
      <c r="CL854" s="567"/>
      <c r="CM854" s="567"/>
      <c r="CN854" s="567"/>
      <c r="CO854" s="567"/>
      <c r="CP854" s="567"/>
      <c r="CQ854" s="567"/>
      <c r="CR854" s="567"/>
      <c r="CS854" s="567"/>
      <c r="CT854" s="567"/>
      <c r="CU854" s="567"/>
      <c r="CV854" s="567"/>
      <c r="CW854" s="567"/>
      <c r="CX854" s="567"/>
      <c r="CY854" s="567"/>
      <c r="CZ854" s="567"/>
      <c r="DA854" s="567"/>
      <c r="DB854" s="567"/>
      <c r="DC854" s="567"/>
      <c r="DD854" s="567"/>
      <c r="DE854" s="567"/>
      <c r="DF854" s="567"/>
      <c r="DG854" s="567"/>
      <c r="DH854" s="567"/>
      <c r="DI854" s="567"/>
      <c r="DJ854" s="567"/>
      <c r="DK854" s="567"/>
      <c r="DL854" s="567"/>
      <c r="DM854" s="567"/>
      <c r="DN854" s="567"/>
      <c r="DO854" s="567"/>
      <c r="DP854" s="567"/>
      <c r="DQ854" s="567"/>
      <c r="DR854" s="567"/>
      <c r="DS854" s="567"/>
      <c r="DT854" s="567"/>
      <c r="DU854" s="567"/>
      <c r="DV854" s="567"/>
      <c r="DW854" s="567"/>
      <c r="DX854" s="567"/>
      <c r="DY854" s="567"/>
      <c r="DZ854" s="567"/>
      <c r="EA854" s="567"/>
      <c r="EB854" s="567"/>
      <c r="EC854" s="567"/>
      <c r="ED854" s="567"/>
      <c r="EE854" s="567"/>
      <c r="EF854" s="567"/>
      <c r="EG854" s="567"/>
      <c r="EH854" s="567"/>
      <c r="EI854" s="567"/>
      <c r="EJ854" s="567"/>
      <c r="EK854" s="567"/>
      <c r="EL854" s="567"/>
      <c r="EM854" s="567"/>
      <c r="EN854" s="567"/>
      <c r="EO854" s="567"/>
      <c r="EP854" s="567"/>
      <c r="EQ854" s="567"/>
      <c r="ER854" s="567"/>
      <c r="ES854" s="567"/>
      <c r="ET854" s="567"/>
      <c r="EU854" s="567"/>
      <c r="EV854" s="567"/>
      <c r="EW854" s="567"/>
      <c r="EX854" s="567"/>
      <c r="EY854" s="567"/>
      <c r="EZ854" s="567"/>
      <c r="FA854" s="567"/>
      <c r="FB854" s="567"/>
      <c r="FC854" s="567"/>
      <c r="FD854" s="567"/>
      <c r="FE854" s="567"/>
      <c r="FF854" s="567"/>
      <c r="FG854" s="567"/>
      <c r="FH854" s="567"/>
      <c r="FI854" s="567"/>
      <c r="FJ854" s="567"/>
      <c r="FK854" s="567"/>
      <c r="FL854" s="567"/>
      <c r="FM854" s="567"/>
      <c r="FN854" s="567"/>
      <c r="FO854" s="567"/>
      <c r="FP854" s="567"/>
      <c r="FQ854" s="567"/>
      <c r="FR854" s="567"/>
      <c r="FS854" s="567"/>
      <c r="FT854" s="567"/>
      <c r="FU854" s="567"/>
      <c r="FV854" s="567"/>
      <c r="FW854" s="567"/>
      <c r="FX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  <c r="BW855" s="567"/>
      <c r="BX855" s="567"/>
      <c r="BY855" s="567"/>
      <c r="BZ855" s="567"/>
      <c r="CA855" s="567"/>
      <c r="CB855" s="567"/>
      <c r="CC855" s="567"/>
      <c r="CD855" s="567"/>
      <c r="CE855" s="567"/>
      <c r="CF855" s="567"/>
      <c r="CG855" s="567"/>
      <c r="CH855" s="567"/>
      <c r="CI855" s="567"/>
      <c r="CJ855" s="567"/>
      <c r="CK855" s="567"/>
      <c r="CL855" s="567"/>
      <c r="CM855" s="567"/>
      <c r="CN855" s="567"/>
      <c r="CO855" s="567"/>
      <c r="CP855" s="567"/>
      <c r="CQ855" s="567"/>
      <c r="CR855" s="567"/>
      <c r="CS855" s="567"/>
      <c r="CT855" s="567"/>
      <c r="CU855" s="567"/>
      <c r="CV855" s="567"/>
      <c r="CW855" s="567"/>
      <c r="CX855" s="567"/>
      <c r="CY855" s="567"/>
      <c r="CZ855" s="567"/>
      <c r="DA855" s="567"/>
      <c r="DB855" s="567"/>
      <c r="DC855" s="567"/>
      <c r="DD855" s="567"/>
      <c r="DE855" s="567"/>
      <c r="DF855" s="567"/>
      <c r="DG855" s="567"/>
      <c r="DH855" s="567"/>
      <c r="DI855" s="567"/>
      <c r="DJ855" s="567"/>
      <c r="DK855" s="567"/>
      <c r="DL855" s="567"/>
      <c r="DM855" s="567"/>
      <c r="DN855" s="567"/>
      <c r="DO855" s="567"/>
      <c r="DP855" s="567"/>
      <c r="DQ855" s="567"/>
      <c r="DR855" s="567"/>
      <c r="DS855" s="567"/>
      <c r="DT855" s="567"/>
      <c r="DU855" s="567"/>
      <c r="DV855" s="567"/>
      <c r="DW855" s="567"/>
      <c r="DX855" s="567"/>
      <c r="DY855" s="567"/>
      <c r="DZ855" s="567"/>
      <c r="EA855" s="567"/>
      <c r="EB855" s="567"/>
      <c r="EC855" s="567"/>
      <c r="ED855" s="567"/>
      <c r="EE855" s="567"/>
      <c r="EF855" s="567"/>
      <c r="EG855" s="567"/>
      <c r="EH855" s="567"/>
      <c r="EI855" s="567"/>
      <c r="EJ855" s="567"/>
      <c r="EK855" s="567"/>
      <c r="EL855" s="567"/>
      <c r="EM855" s="567"/>
      <c r="EN855" s="567"/>
      <c r="EO855" s="567"/>
      <c r="EP855" s="567"/>
      <c r="EQ855" s="567"/>
      <c r="ER855" s="567"/>
      <c r="ES855" s="567"/>
      <c r="ET855" s="567"/>
      <c r="EU855" s="567"/>
      <c r="EV855" s="567"/>
      <c r="EW855" s="567"/>
      <c r="EX855" s="567"/>
      <c r="EY855" s="567"/>
      <c r="EZ855" s="567"/>
      <c r="FA855" s="567"/>
      <c r="FB855" s="567"/>
      <c r="FC855" s="567"/>
      <c r="FD855" s="567"/>
      <c r="FE855" s="567"/>
      <c r="FF855" s="567"/>
      <c r="FG855" s="567"/>
      <c r="FH855" s="567"/>
      <c r="FI855" s="567"/>
      <c r="FJ855" s="567"/>
      <c r="FK855" s="567"/>
      <c r="FL855" s="567"/>
      <c r="FM855" s="567"/>
      <c r="FN855" s="567"/>
      <c r="FO855" s="567"/>
      <c r="FP855" s="567"/>
      <c r="FQ855" s="567"/>
      <c r="FR855" s="567"/>
      <c r="FS855" s="567"/>
      <c r="FT855" s="567"/>
      <c r="FU855" s="567"/>
      <c r="FV855" s="567"/>
      <c r="FW855" s="567"/>
      <c r="FX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  <c r="BW856" s="567"/>
      <c r="BX856" s="567"/>
      <c r="BY856" s="567"/>
      <c r="BZ856" s="567"/>
      <c r="CA856" s="567"/>
      <c r="CB856" s="567"/>
      <c r="CC856" s="567"/>
      <c r="CD856" s="567"/>
      <c r="CE856" s="567"/>
      <c r="CF856" s="567"/>
      <c r="CG856" s="567"/>
      <c r="CH856" s="567"/>
      <c r="CI856" s="567"/>
      <c r="CJ856" s="567"/>
      <c r="CK856" s="567"/>
      <c r="CL856" s="567"/>
      <c r="CM856" s="567"/>
      <c r="CN856" s="567"/>
      <c r="CO856" s="567"/>
      <c r="CP856" s="567"/>
      <c r="CQ856" s="567"/>
      <c r="CR856" s="567"/>
      <c r="CS856" s="567"/>
      <c r="CT856" s="567"/>
      <c r="CU856" s="567"/>
      <c r="CV856" s="567"/>
      <c r="CW856" s="567"/>
      <c r="CX856" s="567"/>
      <c r="CY856" s="567"/>
      <c r="CZ856" s="567"/>
      <c r="DA856" s="567"/>
      <c r="DB856" s="567"/>
      <c r="DC856" s="567"/>
      <c r="DD856" s="567"/>
      <c r="DE856" s="567"/>
      <c r="DF856" s="567"/>
      <c r="DG856" s="567"/>
      <c r="DH856" s="567"/>
      <c r="DI856" s="567"/>
      <c r="DJ856" s="567"/>
      <c r="DK856" s="567"/>
      <c r="DL856" s="567"/>
      <c r="DM856" s="567"/>
      <c r="DN856" s="567"/>
      <c r="DO856" s="567"/>
      <c r="DP856" s="567"/>
      <c r="DQ856" s="567"/>
      <c r="DR856" s="567"/>
      <c r="DS856" s="567"/>
      <c r="DT856" s="567"/>
      <c r="DU856" s="567"/>
      <c r="DV856" s="567"/>
      <c r="DW856" s="567"/>
      <c r="DX856" s="567"/>
      <c r="DY856" s="567"/>
      <c r="DZ856" s="567"/>
      <c r="EA856" s="567"/>
      <c r="EB856" s="567"/>
      <c r="EC856" s="567"/>
      <c r="ED856" s="567"/>
      <c r="EE856" s="567"/>
      <c r="EF856" s="567"/>
      <c r="EG856" s="567"/>
      <c r="EH856" s="567"/>
      <c r="EI856" s="567"/>
      <c r="EJ856" s="567"/>
      <c r="EK856" s="567"/>
      <c r="EL856" s="567"/>
      <c r="EM856" s="567"/>
      <c r="EN856" s="567"/>
      <c r="EO856" s="567"/>
      <c r="EP856" s="567"/>
      <c r="EQ856" s="567"/>
      <c r="ER856" s="567"/>
      <c r="ES856" s="567"/>
      <c r="ET856" s="567"/>
      <c r="EU856" s="567"/>
      <c r="EV856" s="567"/>
      <c r="EW856" s="567"/>
      <c r="EX856" s="567"/>
      <c r="EY856" s="567"/>
      <c r="EZ856" s="567"/>
      <c r="FA856" s="567"/>
      <c r="FB856" s="567"/>
      <c r="FC856" s="567"/>
      <c r="FD856" s="567"/>
      <c r="FE856" s="567"/>
      <c r="FF856" s="567"/>
      <c r="FG856" s="567"/>
      <c r="FH856" s="567"/>
      <c r="FI856" s="567"/>
      <c r="FJ856" s="567"/>
      <c r="FK856" s="567"/>
      <c r="FL856" s="567"/>
      <c r="FM856" s="567"/>
      <c r="FN856" s="567"/>
      <c r="FO856" s="567"/>
      <c r="FP856" s="567"/>
      <c r="FQ856" s="567"/>
      <c r="FR856" s="567"/>
      <c r="FS856" s="567"/>
      <c r="FT856" s="567"/>
      <c r="FU856" s="567"/>
      <c r="FV856" s="567"/>
      <c r="FW856" s="567"/>
      <c r="FX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  <c r="BW857" s="567"/>
      <c r="BX857" s="567"/>
      <c r="BY857" s="567"/>
      <c r="BZ857" s="567"/>
      <c r="CA857" s="567"/>
      <c r="CB857" s="567"/>
      <c r="CC857" s="567"/>
      <c r="CD857" s="567"/>
      <c r="CE857" s="567"/>
      <c r="CF857" s="567"/>
      <c r="CG857" s="567"/>
      <c r="CH857" s="567"/>
      <c r="CI857" s="567"/>
      <c r="CJ857" s="567"/>
      <c r="CK857" s="567"/>
      <c r="CL857" s="567"/>
      <c r="CM857" s="567"/>
      <c r="CN857" s="567"/>
      <c r="CO857" s="567"/>
      <c r="CP857" s="567"/>
      <c r="CQ857" s="567"/>
      <c r="CR857" s="567"/>
      <c r="CS857" s="567"/>
      <c r="CT857" s="567"/>
      <c r="CU857" s="567"/>
      <c r="CV857" s="567"/>
      <c r="CW857" s="567"/>
      <c r="CX857" s="567"/>
      <c r="CY857" s="567"/>
      <c r="CZ857" s="567"/>
      <c r="DA857" s="567"/>
      <c r="DB857" s="567"/>
      <c r="DC857" s="567"/>
      <c r="DD857" s="567"/>
      <c r="DE857" s="567"/>
      <c r="DF857" s="567"/>
      <c r="DG857" s="567"/>
      <c r="DH857" s="567"/>
      <c r="DI857" s="567"/>
      <c r="DJ857" s="567"/>
      <c r="DK857" s="567"/>
      <c r="DL857" s="567"/>
      <c r="DM857" s="567"/>
      <c r="DN857" s="567"/>
      <c r="DO857" s="567"/>
      <c r="DP857" s="567"/>
      <c r="DQ857" s="567"/>
      <c r="DR857" s="567"/>
      <c r="DS857" s="567"/>
      <c r="DT857" s="567"/>
      <c r="DU857" s="567"/>
      <c r="DV857" s="567"/>
      <c r="DW857" s="567"/>
      <c r="DX857" s="567"/>
      <c r="DY857" s="567"/>
      <c r="DZ857" s="567"/>
      <c r="EA857" s="567"/>
      <c r="EB857" s="567"/>
      <c r="EC857" s="567"/>
      <c r="ED857" s="567"/>
      <c r="EE857" s="567"/>
      <c r="EF857" s="567"/>
      <c r="EG857" s="567"/>
      <c r="EH857" s="567"/>
      <c r="EI857" s="567"/>
      <c r="EJ857" s="567"/>
      <c r="EK857" s="567"/>
      <c r="EL857" s="567"/>
      <c r="EM857" s="567"/>
      <c r="EN857" s="567"/>
      <c r="EO857" s="567"/>
      <c r="EP857" s="567"/>
      <c r="EQ857" s="567"/>
      <c r="ER857" s="567"/>
      <c r="ES857" s="567"/>
      <c r="ET857" s="567"/>
      <c r="EU857" s="567"/>
      <c r="EV857" s="567"/>
      <c r="EW857" s="567"/>
      <c r="EX857" s="567"/>
      <c r="EY857" s="567"/>
      <c r="EZ857" s="567"/>
      <c r="FA857" s="567"/>
      <c r="FB857" s="567"/>
      <c r="FC857" s="567"/>
      <c r="FD857" s="567"/>
      <c r="FE857" s="567"/>
      <c r="FF857" s="567"/>
      <c r="FG857" s="567"/>
      <c r="FH857" s="567"/>
      <c r="FI857" s="567"/>
      <c r="FJ857" s="567"/>
      <c r="FK857" s="567"/>
      <c r="FL857" s="567"/>
      <c r="FM857" s="567"/>
      <c r="FN857" s="567"/>
      <c r="FO857" s="567"/>
      <c r="FP857" s="567"/>
      <c r="FQ857" s="567"/>
      <c r="FR857" s="567"/>
      <c r="FS857" s="567"/>
      <c r="FT857" s="567"/>
      <c r="FU857" s="567"/>
      <c r="FV857" s="567"/>
      <c r="FW857" s="567"/>
      <c r="FX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  <c r="BW858" s="567"/>
      <c r="BX858" s="567"/>
      <c r="BY858" s="567"/>
      <c r="BZ858" s="567"/>
      <c r="CA858" s="567"/>
      <c r="CB858" s="567"/>
      <c r="CC858" s="567"/>
      <c r="CD858" s="567"/>
      <c r="CE858" s="567"/>
      <c r="CF858" s="567"/>
      <c r="CG858" s="567"/>
      <c r="CH858" s="567"/>
      <c r="CI858" s="567"/>
      <c r="CJ858" s="567"/>
      <c r="CK858" s="567"/>
      <c r="CL858" s="567"/>
      <c r="CM858" s="567"/>
      <c r="CN858" s="567"/>
      <c r="CO858" s="567"/>
      <c r="CP858" s="567"/>
      <c r="CQ858" s="567"/>
      <c r="CR858" s="567"/>
      <c r="CS858" s="567"/>
      <c r="CT858" s="567"/>
      <c r="CU858" s="567"/>
      <c r="CV858" s="567"/>
      <c r="CW858" s="567"/>
      <c r="CX858" s="567"/>
      <c r="CY858" s="567"/>
      <c r="CZ858" s="567"/>
      <c r="DA858" s="567"/>
      <c r="DB858" s="567"/>
      <c r="DC858" s="567"/>
      <c r="DD858" s="567"/>
      <c r="DE858" s="567"/>
      <c r="DF858" s="567"/>
      <c r="DG858" s="567"/>
      <c r="DH858" s="567"/>
      <c r="DI858" s="567"/>
      <c r="DJ858" s="567"/>
      <c r="DK858" s="567"/>
      <c r="DL858" s="567"/>
      <c r="DM858" s="567"/>
      <c r="DN858" s="567"/>
      <c r="DO858" s="567"/>
      <c r="DP858" s="567"/>
      <c r="DQ858" s="567"/>
      <c r="DR858" s="567"/>
      <c r="DS858" s="567"/>
      <c r="DT858" s="567"/>
      <c r="DU858" s="567"/>
      <c r="DV858" s="567"/>
      <c r="DW858" s="567"/>
      <c r="DX858" s="567"/>
      <c r="DY858" s="567"/>
      <c r="DZ858" s="567"/>
      <c r="EA858" s="567"/>
      <c r="EB858" s="567"/>
      <c r="EC858" s="567"/>
      <c r="ED858" s="567"/>
      <c r="EE858" s="567"/>
      <c r="EF858" s="567"/>
      <c r="EG858" s="567"/>
      <c r="EH858" s="567"/>
      <c r="EI858" s="567"/>
      <c r="EJ858" s="567"/>
      <c r="EK858" s="567"/>
      <c r="EL858" s="567"/>
      <c r="EM858" s="567"/>
      <c r="EN858" s="567"/>
      <c r="EO858" s="567"/>
      <c r="EP858" s="567"/>
      <c r="EQ858" s="567"/>
      <c r="ER858" s="567"/>
      <c r="ES858" s="567"/>
      <c r="ET858" s="567"/>
      <c r="EU858" s="567"/>
      <c r="EV858" s="567"/>
      <c r="EW858" s="567"/>
      <c r="EX858" s="567"/>
      <c r="EY858" s="567"/>
      <c r="EZ858" s="567"/>
      <c r="FA858" s="567"/>
      <c r="FB858" s="567"/>
      <c r="FC858" s="567"/>
      <c r="FD858" s="567"/>
      <c r="FE858" s="567"/>
      <c r="FF858" s="567"/>
      <c r="FG858" s="567"/>
      <c r="FH858" s="567"/>
      <c r="FI858" s="567"/>
      <c r="FJ858" s="567"/>
      <c r="FK858" s="567"/>
      <c r="FL858" s="567"/>
      <c r="FM858" s="567"/>
      <c r="FN858" s="567"/>
      <c r="FO858" s="567"/>
      <c r="FP858" s="567"/>
      <c r="FQ858" s="567"/>
      <c r="FR858" s="567"/>
      <c r="FS858" s="567"/>
      <c r="FT858" s="567"/>
      <c r="FU858" s="567"/>
      <c r="FV858" s="567"/>
      <c r="FW858" s="567"/>
      <c r="FX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  <c r="BW859" s="567"/>
      <c r="BX859" s="567"/>
      <c r="BY859" s="567"/>
      <c r="BZ859" s="567"/>
      <c r="CA859" s="567"/>
      <c r="CB859" s="567"/>
      <c r="CC859" s="567"/>
      <c r="CD859" s="567"/>
      <c r="CE859" s="567"/>
      <c r="CF859" s="567"/>
      <c r="CG859" s="567"/>
      <c r="CH859" s="567"/>
      <c r="CI859" s="567"/>
      <c r="CJ859" s="567"/>
      <c r="CK859" s="567"/>
      <c r="CL859" s="567"/>
      <c r="CM859" s="567"/>
      <c r="CN859" s="567"/>
      <c r="CO859" s="567"/>
      <c r="CP859" s="567"/>
      <c r="CQ859" s="567"/>
      <c r="CR859" s="567"/>
      <c r="CS859" s="567"/>
      <c r="CT859" s="567"/>
      <c r="CU859" s="567"/>
      <c r="CV859" s="567"/>
      <c r="CW859" s="567"/>
      <c r="CX859" s="567"/>
      <c r="CY859" s="567"/>
      <c r="CZ859" s="567"/>
      <c r="DA859" s="567"/>
      <c r="DB859" s="567"/>
      <c r="DC859" s="567"/>
      <c r="DD859" s="567"/>
      <c r="DE859" s="567"/>
      <c r="DF859" s="567"/>
      <c r="DG859" s="567"/>
      <c r="DH859" s="567"/>
      <c r="DI859" s="567"/>
      <c r="DJ859" s="567"/>
      <c r="DK859" s="567"/>
      <c r="DL859" s="567"/>
      <c r="DM859" s="567"/>
      <c r="DN859" s="567"/>
      <c r="DO859" s="567"/>
      <c r="DP859" s="567"/>
      <c r="DQ859" s="567"/>
      <c r="DR859" s="567"/>
      <c r="DS859" s="567"/>
      <c r="DT859" s="567"/>
      <c r="DU859" s="567"/>
      <c r="DV859" s="567"/>
      <c r="DW859" s="567"/>
      <c r="DX859" s="567"/>
      <c r="DY859" s="567"/>
      <c r="DZ859" s="567"/>
      <c r="EA859" s="567"/>
      <c r="EB859" s="567"/>
      <c r="EC859" s="567"/>
      <c r="ED859" s="567"/>
      <c r="EE859" s="567"/>
      <c r="EF859" s="567"/>
      <c r="EG859" s="567"/>
      <c r="EH859" s="567"/>
      <c r="EI859" s="567"/>
      <c r="EJ859" s="567"/>
      <c r="EK859" s="567"/>
      <c r="EL859" s="567"/>
      <c r="EM859" s="567"/>
      <c r="EN859" s="567"/>
      <c r="EO859" s="567"/>
      <c r="EP859" s="567"/>
      <c r="EQ859" s="567"/>
      <c r="ER859" s="567"/>
      <c r="ES859" s="567"/>
      <c r="ET859" s="567"/>
      <c r="EU859" s="567"/>
      <c r="EV859" s="567"/>
      <c r="EW859" s="567"/>
      <c r="EX859" s="567"/>
      <c r="EY859" s="567"/>
      <c r="EZ859" s="567"/>
      <c r="FA859" s="567"/>
      <c r="FB859" s="567"/>
      <c r="FC859" s="567"/>
      <c r="FD859" s="567"/>
      <c r="FE859" s="567"/>
      <c r="FF859" s="567"/>
      <c r="FG859" s="567"/>
      <c r="FH859" s="567"/>
      <c r="FI859" s="567"/>
      <c r="FJ859" s="567"/>
      <c r="FK859" s="567"/>
      <c r="FL859" s="567"/>
      <c r="FM859" s="567"/>
      <c r="FN859" s="567"/>
      <c r="FO859" s="567"/>
      <c r="FP859" s="567"/>
      <c r="FQ859" s="567"/>
      <c r="FR859" s="567"/>
      <c r="FS859" s="567"/>
      <c r="FT859" s="567"/>
      <c r="FU859" s="567"/>
      <c r="FV859" s="567"/>
      <c r="FW859" s="567"/>
      <c r="FX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  <c r="BW860" s="567"/>
      <c r="BX860" s="567"/>
      <c r="BY860" s="567"/>
      <c r="BZ860" s="567"/>
      <c r="CA860" s="567"/>
      <c r="CB860" s="567"/>
      <c r="CC860" s="567"/>
      <c r="CD860" s="567"/>
      <c r="CE860" s="567"/>
      <c r="CF860" s="567"/>
      <c r="CG860" s="567"/>
      <c r="CH860" s="567"/>
      <c r="CI860" s="567"/>
      <c r="CJ860" s="567"/>
      <c r="CK860" s="567"/>
      <c r="CL860" s="567"/>
      <c r="CM860" s="567"/>
      <c r="CN860" s="567"/>
      <c r="CO860" s="567"/>
      <c r="CP860" s="567"/>
      <c r="CQ860" s="567"/>
      <c r="CR860" s="567"/>
      <c r="CS860" s="567"/>
      <c r="CT860" s="567"/>
      <c r="CU860" s="567"/>
      <c r="CV860" s="567"/>
      <c r="CW860" s="567"/>
      <c r="CX860" s="567"/>
      <c r="CY860" s="567"/>
      <c r="CZ860" s="567"/>
      <c r="DA860" s="567"/>
      <c r="DB860" s="567"/>
      <c r="DC860" s="567"/>
      <c r="DD860" s="567"/>
      <c r="DE860" s="567"/>
      <c r="DF860" s="567"/>
      <c r="DG860" s="567"/>
      <c r="DH860" s="567"/>
      <c r="DI860" s="567"/>
      <c r="DJ860" s="567"/>
      <c r="DK860" s="567"/>
      <c r="DL860" s="567"/>
      <c r="DM860" s="567"/>
      <c r="DN860" s="567"/>
      <c r="DO860" s="567"/>
      <c r="DP860" s="567"/>
      <c r="DQ860" s="567"/>
      <c r="DR860" s="567"/>
      <c r="DS860" s="567"/>
      <c r="DT860" s="567"/>
      <c r="DU860" s="567"/>
      <c r="DV860" s="567"/>
      <c r="DW860" s="567"/>
      <c r="DX860" s="567"/>
      <c r="DY860" s="567"/>
      <c r="DZ860" s="567"/>
      <c r="EA860" s="567"/>
      <c r="EB860" s="567"/>
      <c r="EC860" s="567"/>
      <c r="ED860" s="567"/>
      <c r="EE860" s="567"/>
      <c r="EF860" s="567"/>
      <c r="EG860" s="567"/>
      <c r="EH860" s="567"/>
      <c r="EI860" s="567"/>
      <c r="EJ860" s="567"/>
      <c r="EK860" s="567"/>
      <c r="EL860" s="567"/>
      <c r="EM860" s="567"/>
      <c r="EN860" s="567"/>
      <c r="EO860" s="567"/>
      <c r="EP860" s="567"/>
      <c r="EQ860" s="567"/>
      <c r="ER860" s="567"/>
      <c r="ES860" s="567"/>
      <c r="ET860" s="567"/>
      <c r="EU860" s="567"/>
      <c r="EV860" s="567"/>
      <c r="EW860" s="567"/>
      <c r="EX860" s="567"/>
      <c r="EY860" s="567"/>
      <c r="EZ860" s="567"/>
      <c r="FA860" s="567"/>
      <c r="FB860" s="567"/>
      <c r="FC860" s="567"/>
      <c r="FD860" s="567"/>
      <c r="FE860" s="567"/>
      <c r="FF860" s="567"/>
      <c r="FG860" s="567"/>
      <c r="FH860" s="567"/>
      <c r="FI860" s="567"/>
      <c r="FJ860" s="567"/>
      <c r="FK860" s="567"/>
      <c r="FL860" s="567"/>
      <c r="FM860" s="567"/>
      <c r="FN860" s="567"/>
      <c r="FO860" s="567"/>
      <c r="FP860" s="567"/>
      <c r="FQ860" s="567"/>
      <c r="FR860" s="567"/>
      <c r="FS860" s="567"/>
      <c r="FT860" s="567"/>
      <c r="FU860" s="567"/>
      <c r="FV860" s="567"/>
      <c r="FW860" s="567"/>
      <c r="FX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  <c r="BW861" s="567"/>
      <c r="BX861" s="567"/>
      <c r="BY861" s="567"/>
      <c r="BZ861" s="567"/>
      <c r="CA861" s="567"/>
      <c r="CB861" s="567"/>
      <c r="CC861" s="567"/>
      <c r="CD861" s="567"/>
      <c r="CE861" s="567"/>
      <c r="CF861" s="567"/>
      <c r="CG861" s="567"/>
      <c r="CH861" s="567"/>
      <c r="CI861" s="567"/>
      <c r="CJ861" s="567"/>
      <c r="CK861" s="567"/>
      <c r="CL861" s="567"/>
      <c r="CM861" s="567"/>
      <c r="CN861" s="567"/>
      <c r="CO861" s="567"/>
      <c r="CP861" s="567"/>
      <c r="CQ861" s="567"/>
      <c r="CR861" s="567"/>
      <c r="CS861" s="567"/>
      <c r="CT861" s="567"/>
      <c r="CU861" s="567"/>
      <c r="CV861" s="567"/>
      <c r="CW861" s="567"/>
      <c r="CX861" s="567"/>
      <c r="CY861" s="567"/>
      <c r="CZ861" s="567"/>
      <c r="DA861" s="567"/>
      <c r="DB861" s="567"/>
      <c r="DC861" s="567"/>
      <c r="DD861" s="567"/>
      <c r="DE861" s="567"/>
      <c r="DF861" s="567"/>
      <c r="DG861" s="567"/>
      <c r="DH861" s="567"/>
      <c r="DI861" s="567"/>
      <c r="DJ861" s="567"/>
      <c r="DK861" s="567"/>
      <c r="DL861" s="567"/>
      <c r="DM861" s="567"/>
      <c r="DN861" s="567"/>
      <c r="DO861" s="567"/>
      <c r="DP861" s="567"/>
      <c r="DQ861" s="567"/>
      <c r="DR861" s="567"/>
      <c r="DS861" s="567"/>
      <c r="DT861" s="567"/>
      <c r="DU861" s="567"/>
      <c r="DV861" s="567"/>
      <c r="DW861" s="567"/>
      <c r="DX861" s="567"/>
      <c r="DY861" s="567"/>
      <c r="DZ861" s="567"/>
      <c r="EA861" s="567"/>
      <c r="EB861" s="567"/>
      <c r="EC861" s="567"/>
      <c r="ED861" s="567"/>
      <c r="EE861" s="567"/>
      <c r="EF861" s="567"/>
      <c r="EG861" s="567"/>
      <c r="EH861" s="567"/>
      <c r="EI861" s="567"/>
      <c r="EJ861" s="567"/>
      <c r="EK861" s="567"/>
      <c r="EL861" s="567"/>
      <c r="EM861" s="567"/>
      <c r="EN861" s="567"/>
      <c r="EO861" s="567"/>
      <c r="EP861" s="567"/>
      <c r="EQ861" s="567"/>
      <c r="ER861" s="567"/>
      <c r="ES861" s="567"/>
      <c r="ET861" s="567"/>
      <c r="EU861" s="567"/>
      <c r="EV861" s="567"/>
      <c r="EW861" s="567"/>
      <c r="EX861" s="567"/>
      <c r="EY861" s="567"/>
      <c r="EZ861" s="567"/>
      <c r="FA861" s="567"/>
      <c r="FB861" s="567"/>
      <c r="FC861" s="567"/>
      <c r="FD861" s="567"/>
      <c r="FE861" s="567"/>
      <c r="FF861" s="567"/>
      <c r="FG861" s="567"/>
      <c r="FH861" s="567"/>
      <c r="FI861" s="567"/>
      <c r="FJ861" s="567"/>
      <c r="FK861" s="567"/>
      <c r="FL861" s="567"/>
      <c r="FM861" s="567"/>
      <c r="FN861" s="567"/>
      <c r="FO861" s="567"/>
      <c r="FP861" s="567"/>
      <c r="FQ861" s="567"/>
      <c r="FR861" s="567"/>
      <c r="FS861" s="567"/>
      <c r="FT861" s="567"/>
      <c r="FU861" s="567"/>
      <c r="FV861" s="567"/>
      <c r="FW861" s="567"/>
      <c r="FX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  <c r="BW862" s="567"/>
      <c r="BX862" s="567"/>
      <c r="BY862" s="567"/>
      <c r="BZ862" s="567"/>
      <c r="CA862" s="567"/>
      <c r="CB862" s="567"/>
      <c r="CC862" s="567"/>
      <c r="CD862" s="567"/>
      <c r="CE862" s="567"/>
      <c r="CF862" s="567"/>
      <c r="CG862" s="567"/>
      <c r="CH862" s="567"/>
      <c r="CI862" s="567"/>
      <c r="CJ862" s="567"/>
      <c r="CK862" s="567"/>
      <c r="CL862" s="567"/>
      <c r="CM862" s="567"/>
      <c r="CN862" s="567"/>
      <c r="CO862" s="567"/>
      <c r="CP862" s="567"/>
      <c r="CQ862" s="567"/>
      <c r="CR862" s="567"/>
      <c r="CS862" s="567"/>
      <c r="CT862" s="567"/>
      <c r="CU862" s="567"/>
      <c r="CV862" s="567"/>
      <c r="CW862" s="567"/>
      <c r="CX862" s="567"/>
      <c r="CY862" s="567"/>
      <c r="CZ862" s="567"/>
      <c r="DA862" s="567"/>
      <c r="DB862" s="567"/>
      <c r="DC862" s="567"/>
      <c r="DD862" s="567"/>
      <c r="DE862" s="567"/>
      <c r="DF862" s="567"/>
      <c r="DG862" s="567"/>
      <c r="DH862" s="567"/>
      <c r="DI862" s="567"/>
      <c r="DJ862" s="567"/>
      <c r="DK862" s="567"/>
      <c r="DL862" s="567"/>
      <c r="DM862" s="567"/>
      <c r="DN862" s="567"/>
      <c r="DO862" s="567"/>
      <c r="DP862" s="567"/>
      <c r="DQ862" s="567"/>
      <c r="DR862" s="567"/>
      <c r="DS862" s="567"/>
      <c r="DT862" s="567"/>
      <c r="DU862" s="567"/>
      <c r="DV862" s="567"/>
      <c r="DW862" s="567"/>
      <c r="DX862" s="567"/>
      <c r="DY862" s="567"/>
      <c r="DZ862" s="567"/>
      <c r="EA862" s="567"/>
      <c r="EB862" s="567"/>
      <c r="EC862" s="567"/>
      <c r="ED862" s="567"/>
      <c r="EE862" s="567"/>
      <c r="EF862" s="567"/>
      <c r="EG862" s="567"/>
      <c r="EH862" s="567"/>
      <c r="EI862" s="567"/>
      <c r="EJ862" s="567"/>
      <c r="EK862" s="567"/>
      <c r="EL862" s="567"/>
      <c r="EM862" s="567"/>
      <c r="EN862" s="567"/>
      <c r="EO862" s="567"/>
      <c r="EP862" s="567"/>
      <c r="EQ862" s="567"/>
      <c r="ER862" s="567"/>
      <c r="ES862" s="567"/>
      <c r="ET862" s="567"/>
      <c r="EU862" s="567"/>
      <c r="EV862" s="567"/>
      <c r="EW862" s="567"/>
      <c r="EX862" s="567"/>
      <c r="EY862" s="567"/>
      <c r="EZ862" s="567"/>
      <c r="FA862" s="567"/>
      <c r="FB862" s="567"/>
      <c r="FC862" s="567"/>
      <c r="FD862" s="567"/>
      <c r="FE862" s="567"/>
      <c r="FF862" s="567"/>
      <c r="FG862" s="567"/>
      <c r="FH862" s="567"/>
      <c r="FI862" s="567"/>
      <c r="FJ862" s="567"/>
      <c r="FK862" s="567"/>
      <c r="FL862" s="567"/>
      <c r="FM862" s="567"/>
      <c r="FN862" s="567"/>
      <c r="FO862" s="567"/>
      <c r="FP862" s="567"/>
      <c r="FQ862" s="567"/>
      <c r="FR862" s="567"/>
      <c r="FS862" s="567"/>
      <c r="FT862" s="567"/>
      <c r="FU862" s="567"/>
      <c r="FV862" s="567"/>
      <c r="FW862" s="567"/>
      <c r="FX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  <c r="BW863" s="567"/>
      <c r="BX863" s="567"/>
      <c r="BY863" s="567"/>
      <c r="BZ863" s="567"/>
      <c r="CA863" s="567"/>
      <c r="CB863" s="567"/>
      <c r="CC863" s="567"/>
      <c r="CD863" s="567"/>
      <c r="CE863" s="567"/>
      <c r="CF863" s="567"/>
      <c r="CG863" s="567"/>
      <c r="CH863" s="567"/>
      <c r="CI863" s="567"/>
      <c r="CJ863" s="567"/>
      <c r="CK863" s="567"/>
      <c r="CL863" s="567"/>
      <c r="CM863" s="567"/>
      <c r="CN863" s="567"/>
      <c r="CO863" s="567"/>
      <c r="CP863" s="567"/>
      <c r="CQ863" s="567"/>
      <c r="CR863" s="567"/>
      <c r="CS863" s="567"/>
      <c r="CT863" s="567"/>
      <c r="CU863" s="567"/>
      <c r="CV863" s="567"/>
      <c r="CW863" s="567"/>
      <c r="CX863" s="567"/>
      <c r="CY863" s="567"/>
      <c r="CZ863" s="567"/>
      <c r="DA863" s="567"/>
      <c r="DB863" s="567"/>
      <c r="DC863" s="567"/>
      <c r="DD863" s="567"/>
      <c r="DE863" s="567"/>
      <c r="DF863" s="567"/>
      <c r="DG863" s="567"/>
      <c r="DH863" s="567"/>
      <c r="DI863" s="567"/>
      <c r="DJ863" s="567"/>
      <c r="DK863" s="567"/>
      <c r="DL863" s="567"/>
      <c r="DM863" s="567"/>
      <c r="DN863" s="567"/>
      <c r="DO863" s="567"/>
      <c r="DP863" s="567"/>
      <c r="DQ863" s="567"/>
      <c r="DR863" s="567"/>
      <c r="DS863" s="567"/>
      <c r="DT863" s="567"/>
      <c r="DU863" s="567"/>
      <c r="DV863" s="567"/>
      <c r="DW863" s="567"/>
      <c r="DX863" s="567"/>
      <c r="DY863" s="567"/>
      <c r="DZ863" s="567"/>
      <c r="EA863" s="567"/>
      <c r="EB863" s="567"/>
      <c r="EC863" s="567"/>
      <c r="ED863" s="567"/>
      <c r="EE863" s="567"/>
      <c r="EF863" s="567"/>
      <c r="EG863" s="567"/>
      <c r="EH863" s="567"/>
      <c r="EI863" s="567"/>
      <c r="EJ863" s="567"/>
      <c r="EK863" s="567"/>
      <c r="EL863" s="567"/>
      <c r="EM863" s="567"/>
      <c r="EN863" s="567"/>
      <c r="EO863" s="567"/>
      <c r="EP863" s="567"/>
      <c r="EQ863" s="567"/>
      <c r="ER863" s="567"/>
      <c r="ES863" s="567"/>
      <c r="ET863" s="567"/>
      <c r="EU863" s="567"/>
      <c r="EV863" s="567"/>
      <c r="EW863" s="567"/>
      <c r="EX863" s="567"/>
      <c r="EY863" s="567"/>
      <c r="EZ863" s="567"/>
      <c r="FA863" s="567"/>
      <c r="FB863" s="567"/>
      <c r="FC863" s="567"/>
      <c r="FD863" s="567"/>
      <c r="FE863" s="567"/>
      <c r="FF863" s="567"/>
      <c r="FG863" s="567"/>
      <c r="FH863" s="567"/>
      <c r="FI863" s="567"/>
      <c r="FJ863" s="567"/>
      <c r="FK863" s="567"/>
      <c r="FL863" s="567"/>
      <c r="FM863" s="567"/>
      <c r="FN863" s="567"/>
      <c r="FO863" s="567"/>
      <c r="FP863" s="567"/>
      <c r="FQ863" s="567"/>
      <c r="FR863" s="567"/>
      <c r="FS863" s="567"/>
      <c r="FT863" s="567"/>
      <c r="FU863" s="567"/>
      <c r="FV863" s="567"/>
      <c r="FW863" s="567"/>
      <c r="FX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  <c r="BW864" s="567"/>
      <c r="BX864" s="567"/>
      <c r="BY864" s="567"/>
      <c r="BZ864" s="567"/>
      <c r="CA864" s="567"/>
      <c r="CB864" s="567"/>
      <c r="CC864" s="567"/>
      <c r="CD864" s="567"/>
      <c r="CE864" s="567"/>
      <c r="CF864" s="567"/>
      <c r="CG864" s="567"/>
      <c r="CH864" s="567"/>
      <c r="CI864" s="567"/>
      <c r="CJ864" s="567"/>
      <c r="CK864" s="567"/>
      <c r="CL864" s="567"/>
      <c r="CM864" s="567"/>
      <c r="CN864" s="567"/>
      <c r="CO864" s="567"/>
      <c r="CP864" s="567"/>
      <c r="CQ864" s="567"/>
      <c r="CR864" s="567"/>
      <c r="CS864" s="567"/>
      <c r="CT864" s="567"/>
      <c r="CU864" s="567"/>
      <c r="CV864" s="567"/>
      <c r="CW864" s="567"/>
      <c r="CX864" s="567"/>
      <c r="CY864" s="567"/>
      <c r="CZ864" s="567"/>
      <c r="DA864" s="567"/>
      <c r="DB864" s="567"/>
      <c r="DC864" s="567"/>
      <c r="DD864" s="567"/>
      <c r="DE864" s="567"/>
      <c r="DF864" s="567"/>
      <c r="DG864" s="567"/>
      <c r="DH864" s="567"/>
      <c r="DI864" s="567"/>
      <c r="DJ864" s="567"/>
      <c r="DK864" s="567"/>
      <c r="DL864" s="567"/>
      <c r="DM864" s="567"/>
      <c r="DN864" s="567"/>
      <c r="DO864" s="567"/>
      <c r="DP864" s="567"/>
      <c r="DQ864" s="567"/>
      <c r="DR864" s="567"/>
      <c r="DS864" s="567"/>
      <c r="DT864" s="567"/>
      <c r="DU864" s="567"/>
      <c r="DV864" s="567"/>
      <c r="DW864" s="567"/>
      <c r="DX864" s="567"/>
      <c r="DY864" s="567"/>
      <c r="DZ864" s="567"/>
      <c r="EA864" s="567"/>
      <c r="EB864" s="567"/>
      <c r="EC864" s="567"/>
      <c r="ED864" s="567"/>
      <c r="EE864" s="567"/>
      <c r="EF864" s="567"/>
      <c r="EG864" s="567"/>
      <c r="EH864" s="567"/>
      <c r="EI864" s="567"/>
      <c r="EJ864" s="567"/>
      <c r="EK864" s="567"/>
      <c r="EL864" s="567"/>
      <c r="EM864" s="567"/>
      <c r="EN864" s="567"/>
      <c r="EO864" s="567"/>
      <c r="EP864" s="567"/>
      <c r="EQ864" s="567"/>
      <c r="ER864" s="567"/>
      <c r="ES864" s="567"/>
      <c r="ET864" s="567"/>
      <c r="EU864" s="567"/>
      <c r="EV864" s="567"/>
      <c r="EW864" s="567"/>
      <c r="EX864" s="567"/>
      <c r="EY864" s="567"/>
      <c r="EZ864" s="567"/>
      <c r="FA864" s="567"/>
      <c r="FB864" s="567"/>
      <c r="FC864" s="567"/>
      <c r="FD864" s="567"/>
      <c r="FE864" s="567"/>
      <c r="FF864" s="567"/>
      <c r="FG864" s="567"/>
      <c r="FH864" s="567"/>
      <c r="FI864" s="567"/>
      <c r="FJ864" s="567"/>
      <c r="FK864" s="567"/>
      <c r="FL864" s="567"/>
      <c r="FM864" s="567"/>
      <c r="FN864" s="567"/>
      <c r="FO864" s="567"/>
      <c r="FP864" s="567"/>
      <c r="FQ864" s="567"/>
      <c r="FR864" s="567"/>
      <c r="FS864" s="567"/>
      <c r="FT864" s="567"/>
      <c r="FU864" s="567"/>
      <c r="FV864" s="567"/>
      <c r="FW864" s="567"/>
      <c r="FX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  <c r="BW865" s="567"/>
      <c r="BX865" s="567"/>
      <c r="BY865" s="567"/>
      <c r="BZ865" s="567"/>
      <c r="CA865" s="567"/>
      <c r="CB865" s="567"/>
      <c r="CC865" s="567"/>
      <c r="CD865" s="567"/>
      <c r="CE865" s="567"/>
      <c r="CF865" s="567"/>
      <c r="CG865" s="567"/>
      <c r="CH865" s="567"/>
      <c r="CI865" s="567"/>
      <c r="CJ865" s="567"/>
      <c r="CK865" s="567"/>
      <c r="CL865" s="567"/>
      <c r="CM865" s="567"/>
      <c r="CN865" s="567"/>
      <c r="CO865" s="567"/>
      <c r="CP865" s="567"/>
      <c r="CQ865" s="567"/>
      <c r="CR865" s="567"/>
      <c r="CS865" s="567"/>
      <c r="CT865" s="567"/>
      <c r="CU865" s="567"/>
      <c r="CV865" s="567"/>
      <c r="CW865" s="567"/>
      <c r="CX865" s="567"/>
      <c r="CY865" s="567"/>
      <c r="CZ865" s="567"/>
      <c r="DA865" s="567"/>
      <c r="DB865" s="567"/>
      <c r="DC865" s="567"/>
      <c r="DD865" s="567"/>
      <c r="DE865" s="567"/>
      <c r="DF865" s="567"/>
      <c r="DG865" s="567"/>
      <c r="DH865" s="567"/>
      <c r="DI865" s="567"/>
      <c r="DJ865" s="567"/>
      <c r="DK865" s="567"/>
      <c r="DL865" s="567"/>
      <c r="DM865" s="567"/>
      <c r="DN865" s="567"/>
      <c r="DO865" s="567"/>
      <c r="DP865" s="567"/>
      <c r="DQ865" s="567"/>
      <c r="DR865" s="567"/>
      <c r="DS865" s="567"/>
      <c r="DT865" s="567"/>
      <c r="DU865" s="567"/>
      <c r="DV865" s="567"/>
      <c r="DW865" s="567"/>
      <c r="DX865" s="567"/>
      <c r="DY865" s="567"/>
      <c r="DZ865" s="567"/>
      <c r="EA865" s="567"/>
      <c r="EB865" s="567"/>
      <c r="EC865" s="567"/>
      <c r="ED865" s="567"/>
      <c r="EE865" s="567"/>
      <c r="EF865" s="567"/>
      <c r="EG865" s="567"/>
      <c r="EH865" s="567"/>
      <c r="EI865" s="567"/>
      <c r="EJ865" s="567"/>
      <c r="EK865" s="567"/>
      <c r="EL865" s="567"/>
      <c r="EM865" s="567"/>
      <c r="EN865" s="567"/>
      <c r="EO865" s="567"/>
      <c r="EP865" s="567"/>
      <c r="EQ865" s="567"/>
      <c r="ER865" s="567"/>
      <c r="ES865" s="567"/>
      <c r="ET865" s="567"/>
      <c r="EU865" s="567"/>
      <c r="EV865" s="567"/>
      <c r="EW865" s="567"/>
      <c r="EX865" s="567"/>
      <c r="EY865" s="567"/>
      <c r="EZ865" s="567"/>
      <c r="FA865" s="567"/>
      <c r="FB865" s="567"/>
      <c r="FC865" s="567"/>
      <c r="FD865" s="567"/>
      <c r="FE865" s="567"/>
      <c r="FF865" s="567"/>
      <c r="FG865" s="567"/>
      <c r="FH865" s="567"/>
      <c r="FI865" s="567"/>
      <c r="FJ865" s="567"/>
      <c r="FK865" s="567"/>
      <c r="FL865" s="567"/>
      <c r="FM865" s="567"/>
      <c r="FN865" s="567"/>
      <c r="FO865" s="567"/>
      <c r="FP865" s="567"/>
      <c r="FQ865" s="567"/>
      <c r="FR865" s="567"/>
      <c r="FS865" s="567"/>
      <c r="FT865" s="567"/>
      <c r="FU865" s="567"/>
      <c r="FV865" s="567"/>
      <c r="FW865" s="567"/>
      <c r="FX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  <c r="BW866" s="567"/>
      <c r="BX866" s="567"/>
      <c r="BY866" s="567"/>
      <c r="BZ866" s="567"/>
      <c r="CA866" s="567"/>
      <c r="CB866" s="567"/>
      <c r="CC866" s="567"/>
      <c r="CD866" s="567"/>
      <c r="CE866" s="567"/>
      <c r="CF866" s="567"/>
      <c r="CG866" s="567"/>
      <c r="CH866" s="567"/>
      <c r="CI866" s="567"/>
      <c r="CJ866" s="567"/>
      <c r="CK866" s="567"/>
      <c r="CL866" s="567"/>
      <c r="CM866" s="567"/>
      <c r="CN866" s="567"/>
      <c r="CO866" s="567"/>
      <c r="CP866" s="567"/>
      <c r="CQ866" s="567"/>
      <c r="CR866" s="567"/>
      <c r="CS866" s="567"/>
      <c r="CT866" s="567"/>
      <c r="CU866" s="567"/>
      <c r="CV866" s="567"/>
      <c r="CW866" s="567"/>
      <c r="CX866" s="567"/>
      <c r="CY866" s="567"/>
      <c r="CZ866" s="567"/>
      <c r="DA866" s="567"/>
      <c r="DB866" s="567"/>
      <c r="DC866" s="567"/>
      <c r="DD866" s="567"/>
      <c r="DE866" s="567"/>
      <c r="DF866" s="567"/>
      <c r="DG866" s="567"/>
      <c r="DH866" s="567"/>
      <c r="DI866" s="567"/>
      <c r="DJ866" s="567"/>
      <c r="DK866" s="567"/>
      <c r="DL866" s="567"/>
      <c r="DM866" s="567"/>
      <c r="DN866" s="567"/>
      <c r="DO866" s="567"/>
      <c r="DP866" s="567"/>
      <c r="DQ866" s="567"/>
      <c r="DR866" s="567"/>
      <c r="DS866" s="567"/>
      <c r="DT866" s="567"/>
      <c r="DU866" s="567"/>
      <c r="DV866" s="567"/>
      <c r="DW866" s="567"/>
      <c r="DX866" s="567"/>
      <c r="DY866" s="567"/>
      <c r="DZ866" s="567"/>
      <c r="EA866" s="567"/>
      <c r="EB866" s="567"/>
      <c r="EC866" s="567"/>
      <c r="ED866" s="567"/>
      <c r="EE866" s="567"/>
      <c r="EF866" s="567"/>
      <c r="EG866" s="567"/>
      <c r="EH866" s="567"/>
      <c r="EI866" s="567"/>
      <c r="EJ866" s="567"/>
      <c r="EK866" s="567"/>
      <c r="EL866" s="567"/>
      <c r="EM866" s="567"/>
      <c r="EN866" s="567"/>
      <c r="EO866" s="567"/>
      <c r="EP866" s="567"/>
      <c r="EQ866" s="567"/>
      <c r="ER866" s="567"/>
      <c r="ES866" s="567"/>
      <c r="ET866" s="567"/>
      <c r="EU866" s="567"/>
      <c r="EV866" s="567"/>
      <c r="EW866" s="567"/>
      <c r="EX866" s="567"/>
      <c r="EY866" s="567"/>
      <c r="EZ866" s="567"/>
      <c r="FA866" s="567"/>
      <c r="FB866" s="567"/>
      <c r="FC866" s="567"/>
      <c r="FD866" s="567"/>
      <c r="FE866" s="567"/>
      <c r="FF866" s="567"/>
      <c r="FG866" s="567"/>
      <c r="FH866" s="567"/>
      <c r="FI866" s="567"/>
      <c r="FJ866" s="567"/>
      <c r="FK866" s="567"/>
      <c r="FL866" s="567"/>
      <c r="FM866" s="567"/>
      <c r="FN866" s="567"/>
      <c r="FO866" s="567"/>
      <c r="FP866" s="567"/>
      <c r="FQ866" s="567"/>
      <c r="FR866" s="567"/>
      <c r="FS866" s="567"/>
      <c r="FT866" s="567"/>
      <c r="FU866" s="567"/>
      <c r="FV866" s="567"/>
      <c r="FW866" s="567"/>
      <c r="FX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  <c r="BW867" s="567"/>
      <c r="BX867" s="567"/>
      <c r="BY867" s="567"/>
      <c r="BZ867" s="567"/>
      <c r="CA867" s="567"/>
      <c r="CB867" s="567"/>
      <c r="CC867" s="567"/>
      <c r="CD867" s="567"/>
      <c r="CE867" s="567"/>
      <c r="CF867" s="567"/>
      <c r="CG867" s="567"/>
      <c r="CH867" s="567"/>
      <c r="CI867" s="567"/>
      <c r="CJ867" s="567"/>
      <c r="CK867" s="567"/>
      <c r="CL867" s="567"/>
      <c r="CM867" s="567"/>
      <c r="CN867" s="567"/>
      <c r="CO867" s="567"/>
      <c r="CP867" s="567"/>
      <c r="CQ867" s="567"/>
      <c r="CR867" s="567"/>
      <c r="CS867" s="567"/>
      <c r="CT867" s="567"/>
      <c r="CU867" s="567"/>
      <c r="CV867" s="567"/>
      <c r="CW867" s="567"/>
      <c r="CX867" s="567"/>
      <c r="CY867" s="567"/>
      <c r="CZ867" s="567"/>
      <c r="DA867" s="567"/>
      <c r="DB867" s="567"/>
      <c r="DC867" s="567"/>
      <c r="DD867" s="567"/>
      <c r="DE867" s="567"/>
      <c r="DF867" s="567"/>
      <c r="DG867" s="567"/>
      <c r="DH867" s="567"/>
      <c r="DI867" s="567"/>
      <c r="DJ867" s="567"/>
      <c r="DK867" s="567"/>
      <c r="DL867" s="567"/>
      <c r="DM867" s="567"/>
      <c r="DN867" s="567"/>
      <c r="DO867" s="567"/>
      <c r="DP867" s="567"/>
      <c r="DQ867" s="567"/>
      <c r="DR867" s="567"/>
      <c r="DS867" s="567"/>
      <c r="DT867" s="567"/>
      <c r="DU867" s="567"/>
      <c r="DV867" s="567"/>
      <c r="DW867" s="567"/>
      <c r="DX867" s="567"/>
      <c r="DY867" s="567"/>
      <c r="DZ867" s="567"/>
      <c r="EA867" s="567"/>
      <c r="EB867" s="567"/>
      <c r="EC867" s="567"/>
      <c r="ED867" s="567"/>
      <c r="EE867" s="567"/>
      <c r="EF867" s="567"/>
      <c r="EG867" s="567"/>
      <c r="EH867" s="567"/>
      <c r="EI867" s="567"/>
      <c r="EJ867" s="567"/>
      <c r="EK867" s="567"/>
      <c r="EL867" s="567"/>
      <c r="EM867" s="567"/>
      <c r="EN867" s="567"/>
      <c r="EO867" s="567"/>
      <c r="EP867" s="567"/>
      <c r="EQ867" s="567"/>
      <c r="ER867" s="567"/>
      <c r="ES867" s="567"/>
      <c r="ET867" s="567"/>
      <c r="EU867" s="567"/>
      <c r="EV867" s="567"/>
      <c r="EW867" s="567"/>
      <c r="EX867" s="567"/>
      <c r="EY867" s="567"/>
      <c r="EZ867" s="567"/>
      <c r="FA867" s="567"/>
      <c r="FB867" s="567"/>
      <c r="FC867" s="567"/>
      <c r="FD867" s="567"/>
      <c r="FE867" s="567"/>
      <c r="FF867" s="567"/>
      <c r="FG867" s="567"/>
      <c r="FH867" s="567"/>
      <c r="FI867" s="567"/>
      <c r="FJ867" s="567"/>
      <c r="FK867" s="567"/>
      <c r="FL867" s="567"/>
      <c r="FM867" s="567"/>
      <c r="FN867" s="567"/>
      <c r="FO867" s="567"/>
      <c r="FP867" s="567"/>
      <c r="FQ867" s="567"/>
      <c r="FR867" s="567"/>
      <c r="FS867" s="567"/>
      <c r="FT867" s="567"/>
      <c r="FU867" s="567"/>
      <c r="FV867" s="567"/>
      <c r="FW867" s="567"/>
      <c r="FX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  <c r="BW868" s="567"/>
      <c r="BX868" s="567"/>
      <c r="BY868" s="567"/>
      <c r="BZ868" s="567"/>
      <c r="CA868" s="567"/>
      <c r="CB868" s="567"/>
      <c r="CC868" s="567"/>
      <c r="CD868" s="567"/>
      <c r="CE868" s="567"/>
      <c r="CF868" s="567"/>
      <c r="CG868" s="567"/>
      <c r="CH868" s="567"/>
      <c r="CI868" s="567"/>
      <c r="CJ868" s="567"/>
      <c r="CK868" s="567"/>
      <c r="CL868" s="567"/>
      <c r="CM868" s="567"/>
      <c r="CN868" s="567"/>
      <c r="CO868" s="567"/>
      <c r="CP868" s="567"/>
      <c r="CQ868" s="567"/>
      <c r="CR868" s="567"/>
      <c r="CS868" s="567"/>
      <c r="CT868" s="567"/>
      <c r="CU868" s="567"/>
      <c r="CV868" s="567"/>
      <c r="CW868" s="567"/>
      <c r="CX868" s="567"/>
      <c r="CY868" s="567"/>
      <c r="CZ868" s="567"/>
      <c r="DA868" s="567"/>
      <c r="DB868" s="567"/>
      <c r="DC868" s="567"/>
      <c r="DD868" s="567"/>
      <c r="DE868" s="567"/>
      <c r="DF868" s="567"/>
      <c r="DG868" s="567"/>
      <c r="DH868" s="567"/>
      <c r="DI868" s="567"/>
      <c r="DJ868" s="567"/>
      <c r="DK868" s="567"/>
      <c r="DL868" s="567"/>
      <c r="DM868" s="567"/>
      <c r="DN868" s="567"/>
      <c r="DO868" s="567"/>
      <c r="DP868" s="567"/>
      <c r="DQ868" s="567"/>
      <c r="DR868" s="567"/>
      <c r="DS868" s="567"/>
      <c r="DT868" s="567"/>
      <c r="DU868" s="567"/>
      <c r="DV868" s="567"/>
      <c r="DW868" s="567"/>
      <c r="DX868" s="567"/>
      <c r="DY868" s="567"/>
      <c r="DZ868" s="567"/>
      <c r="EA868" s="567"/>
      <c r="EB868" s="567"/>
      <c r="EC868" s="567"/>
      <c r="ED868" s="567"/>
      <c r="EE868" s="567"/>
      <c r="EF868" s="567"/>
      <c r="EG868" s="567"/>
      <c r="EH868" s="567"/>
      <c r="EI868" s="567"/>
      <c r="EJ868" s="567"/>
      <c r="EK868" s="567"/>
      <c r="EL868" s="567"/>
      <c r="EM868" s="567"/>
      <c r="EN868" s="567"/>
      <c r="EO868" s="567"/>
      <c r="EP868" s="567"/>
      <c r="EQ868" s="567"/>
      <c r="ER868" s="567"/>
      <c r="ES868" s="567"/>
      <c r="ET868" s="567"/>
      <c r="EU868" s="567"/>
      <c r="EV868" s="567"/>
      <c r="EW868" s="567"/>
      <c r="EX868" s="567"/>
      <c r="EY868" s="567"/>
      <c r="EZ868" s="567"/>
      <c r="FA868" s="567"/>
      <c r="FB868" s="567"/>
      <c r="FC868" s="567"/>
      <c r="FD868" s="567"/>
      <c r="FE868" s="567"/>
      <c r="FF868" s="567"/>
      <c r="FG868" s="567"/>
      <c r="FH868" s="567"/>
      <c r="FI868" s="567"/>
      <c r="FJ868" s="567"/>
      <c r="FK868" s="567"/>
      <c r="FL868" s="567"/>
      <c r="FM868" s="567"/>
      <c r="FN868" s="567"/>
      <c r="FO868" s="567"/>
      <c r="FP868" s="567"/>
      <c r="FQ868" s="567"/>
      <c r="FR868" s="567"/>
      <c r="FS868" s="567"/>
      <c r="FT868" s="567"/>
      <c r="FU868" s="567"/>
      <c r="FV868" s="567"/>
      <c r="FW868" s="567"/>
      <c r="FX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  <c r="BW869" s="567"/>
      <c r="BX869" s="567"/>
      <c r="BY869" s="567"/>
      <c r="BZ869" s="567"/>
      <c r="CA869" s="567"/>
      <c r="CB869" s="567"/>
      <c r="CC869" s="567"/>
      <c r="CD869" s="567"/>
      <c r="CE869" s="567"/>
      <c r="CF869" s="567"/>
      <c r="CG869" s="567"/>
      <c r="CH869" s="567"/>
      <c r="CI869" s="567"/>
      <c r="CJ869" s="567"/>
      <c r="CK869" s="567"/>
      <c r="CL869" s="567"/>
      <c r="CM869" s="567"/>
      <c r="CN869" s="567"/>
      <c r="CO869" s="567"/>
      <c r="CP869" s="567"/>
      <c r="CQ869" s="567"/>
      <c r="CR869" s="567"/>
      <c r="CS869" s="567"/>
      <c r="CT869" s="567"/>
      <c r="CU869" s="567"/>
      <c r="CV869" s="567"/>
      <c r="CW869" s="567"/>
      <c r="CX869" s="567"/>
      <c r="CY869" s="567"/>
      <c r="CZ869" s="567"/>
      <c r="DA869" s="567"/>
      <c r="DB869" s="567"/>
      <c r="DC869" s="567"/>
      <c r="DD869" s="567"/>
      <c r="DE869" s="567"/>
      <c r="DF869" s="567"/>
      <c r="DG869" s="567"/>
      <c r="DH869" s="567"/>
      <c r="DI869" s="567"/>
      <c r="DJ869" s="567"/>
      <c r="DK869" s="567"/>
      <c r="DL869" s="567"/>
      <c r="DM869" s="567"/>
      <c r="DN869" s="567"/>
      <c r="DO869" s="567"/>
      <c r="DP869" s="567"/>
      <c r="DQ869" s="567"/>
      <c r="DR869" s="567"/>
      <c r="DS869" s="567"/>
      <c r="DT869" s="567"/>
      <c r="DU869" s="567"/>
      <c r="DV869" s="567"/>
      <c r="DW869" s="567"/>
      <c r="DX869" s="567"/>
      <c r="DY869" s="567"/>
      <c r="DZ869" s="567"/>
      <c r="EA869" s="567"/>
      <c r="EB869" s="567"/>
      <c r="EC869" s="567"/>
      <c r="ED869" s="567"/>
      <c r="EE869" s="567"/>
      <c r="EF869" s="567"/>
      <c r="EG869" s="567"/>
      <c r="EH869" s="567"/>
      <c r="EI869" s="567"/>
      <c r="EJ869" s="567"/>
      <c r="EK869" s="567"/>
      <c r="EL869" s="567"/>
      <c r="EM869" s="567"/>
      <c r="EN869" s="567"/>
      <c r="EO869" s="567"/>
      <c r="EP869" s="567"/>
      <c r="EQ869" s="567"/>
      <c r="ER869" s="567"/>
      <c r="ES869" s="567"/>
      <c r="ET869" s="567"/>
      <c r="EU869" s="567"/>
      <c r="EV869" s="567"/>
      <c r="EW869" s="567"/>
      <c r="EX869" s="567"/>
      <c r="EY869" s="567"/>
      <c r="EZ869" s="567"/>
      <c r="FA869" s="567"/>
      <c r="FB869" s="567"/>
      <c r="FC869" s="567"/>
      <c r="FD869" s="567"/>
      <c r="FE869" s="567"/>
      <c r="FF869" s="567"/>
      <c r="FG869" s="567"/>
      <c r="FH869" s="567"/>
      <c r="FI869" s="567"/>
      <c r="FJ869" s="567"/>
      <c r="FK869" s="567"/>
      <c r="FL869" s="567"/>
      <c r="FM869" s="567"/>
      <c r="FN869" s="567"/>
      <c r="FO869" s="567"/>
      <c r="FP869" s="567"/>
      <c r="FQ869" s="567"/>
      <c r="FR869" s="567"/>
      <c r="FS869" s="567"/>
      <c r="FT869" s="567"/>
      <c r="FU869" s="567"/>
      <c r="FV869" s="567"/>
      <c r="FW869" s="567"/>
      <c r="FX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  <c r="BW870" s="567"/>
      <c r="BX870" s="567"/>
      <c r="BY870" s="567"/>
      <c r="BZ870" s="567"/>
      <c r="CA870" s="567"/>
      <c r="CB870" s="567"/>
      <c r="CC870" s="567"/>
      <c r="CD870" s="567"/>
      <c r="CE870" s="567"/>
      <c r="CF870" s="567"/>
      <c r="CG870" s="567"/>
      <c r="CH870" s="567"/>
      <c r="CI870" s="567"/>
      <c r="CJ870" s="567"/>
      <c r="CK870" s="567"/>
      <c r="CL870" s="567"/>
      <c r="CM870" s="567"/>
      <c r="CN870" s="567"/>
      <c r="CO870" s="567"/>
      <c r="CP870" s="567"/>
      <c r="CQ870" s="567"/>
      <c r="CR870" s="567"/>
      <c r="CS870" s="567"/>
      <c r="CT870" s="567"/>
      <c r="CU870" s="567"/>
      <c r="CV870" s="567"/>
      <c r="CW870" s="567"/>
      <c r="CX870" s="567"/>
      <c r="CY870" s="567"/>
      <c r="CZ870" s="567"/>
      <c r="DA870" s="567"/>
      <c r="DB870" s="567"/>
      <c r="DC870" s="567"/>
      <c r="DD870" s="567"/>
      <c r="DE870" s="567"/>
      <c r="DF870" s="567"/>
      <c r="DG870" s="567"/>
      <c r="DH870" s="567"/>
      <c r="DI870" s="567"/>
      <c r="DJ870" s="567"/>
      <c r="DK870" s="567"/>
      <c r="DL870" s="567"/>
      <c r="DM870" s="567"/>
      <c r="DN870" s="567"/>
      <c r="DO870" s="567"/>
      <c r="DP870" s="567"/>
      <c r="DQ870" s="567"/>
      <c r="DR870" s="567"/>
      <c r="DS870" s="567"/>
      <c r="DT870" s="567"/>
      <c r="DU870" s="567"/>
      <c r="DV870" s="567"/>
      <c r="DW870" s="567"/>
      <c r="DX870" s="567"/>
      <c r="DY870" s="567"/>
      <c r="DZ870" s="567"/>
      <c r="EA870" s="567"/>
      <c r="EB870" s="567"/>
      <c r="EC870" s="567"/>
      <c r="ED870" s="567"/>
      <c r="EE870" s="567"/>
      <c r="EF870" s="567"/>
      <c r="EG870" s="567"/>
      <c r="EH870" s="567"/>
      <c r="EI870" s="567"/>
      <c r="EJ870" s="567"/>
      <c r="EK870" s="567"/>
      <c r="EL870" s="567"/>
      <c r="EM870" s="567"/>
      <c r="EN870" s="567"/>
      <c r="EO870" s="567"/>
      <c r="EP870" s="567"/>
      <c r="EQ870" s="567"/>
      <c r="ER870" s="567"/>
      <c r="ES870" s="567"/>
      <c r="ET870" s="567"/>
      <c r="EU870" s="567"/>
      <c r="EV870" s="567"/>
      <c r="EW870" s="567"/>
      <c r="EX870" s="567"/>
      <c r="EY870" s="567"/>
      <c r="EZ870" s="567"/>
      <c r="FA870" s="567"/>
      <c r="FB870" s="567"/>
      <c r="FC870" s="567"/>
      <c r="FD870" s="567"/>
      <c r="FE870" s="567"/>
      <c r="FF870" s="567"/>
      <c r="FG870" s="567"/>
      <c r="FH870" s="567"/>
      <c r="FI870" s="567"/>
      <c r="FJ870" s="567"/>
      <c r="FK870" s="567"/>
      <c r="FL870" s="567"/>
      <c r="FM870" s="567"/>
      <c r="FN870" s="567"/>
      <c r="FO870" s="567"/>
      <c r="FP870" s="567"/>
      <c r="FQ870" s="567"/>
      <c r="FR870" s="567"/>
      <c r="FS870" s="567"/>
      <c r="FT870" s="567"/>
      <c r="FU870" s="567"/>
      <c r="FV870" s="567"/>
      <c r="FW870" s="567"/>
      <c r="FX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  <c r="BW871" s="567"/>
      <c r="BX871" s="567"/>
      <c r="BY871" s="567"/>
      <c r="BZ871" s="567"/>
      <c r="CA871" s="567"/>
      <c r="CB871" s="567"/>
      <c r="CC871" s="567"/>
      <c r="CD871" s="567"/>
      <c r="CE871" s="567"/>
      <c r="CF871" s="567"/>
      <c r="CG871" s="567"/>
      <c r="CH871" s="567"/>
      <c r="CI871" s="567"/>
      <c r="CJ871" s="567"/>
      <c r="CK871" s="567"/>
      <c r="CL871" s="567"/>
      <c r="CM871" s="567"/>
      <c r="CN871" s="567"/>
      <c r="CO871" s="567"/>
      <c r="CP871" s="567"/>
      <c r="CQ871" s="567"/>
      <c r="CR871" s="567"/>
      <c r="CS871" s="567"/>
      <c r="CT871" s="567"/>
      <c r="CU871" s="567"/>
      <c r="CV871" s="567"/>
      <c r="CW871" s="567"/>
      <c r="CX871" s="567"/>
      <c r="CY871" s="567"/>
      <c r="CZ871" s="567"/>
      <c r="DA871" s="567"/>
      <c r="DB871" s="567"/>
      <c r="DC871" s="567"/>
      <c r="DD871" s="567"/>
      <c r="DE871" s="567"/>
      <c r="DF871" s="567"/>
      <c r="DG871" s="567"/>
      <c r="DH871" s="567"/>
      <c r="DI871" s="567"/>
      <c r="DJ871" s="567"/>
      <c r="DK871" s="567"/>
      <c r="DL871" s="567"/>
      <c r="DM871" s="567"/>
      <c r="DN871" s="567"/>
      <c r="DO871" s="567"/>
      <c r="DP871" s="567"/>
      <c r="DQ871" s="567"/>
      <c r="DR871" s="567"/>
      <c r="DS871" s="567"/>
      <c r="DT871" s="567"/>
      <c r="DU871" s="567"/>
      <c r="DV871" s="567"/>
      <c r="DW871" s="567"/>
      <c r="DX871" s="567"/>
      <c r="DY871" s="567"/>
      <c r="DZ871" s="567"/>
      <c r="EA871" s="567"/>
      <c r="EB871" s="567"/>
      <c r="EC871" s="567"/>
      <c r="ED871" s="567"/>
      <c r="EE871" s="567"/>
      <c r="EF871" s="567"/>
      <c r="EG871" s="567"/>
      <c r="EH871" s="567"/>
      <c r="EI871" s="567"/>
      <c r="EJ871" s="567"/>
      <c r="EK871" s="567"/>
      <c r="EL871" s="567"/>
      <c r="EM871" s="567"/>
      <c r="EN871" s="567"/>
      <c r="EO871" s="567"/>
      <c r="EP871" s="567"/>
      <c r="EQ871" s="567"/>
      <c r="ER871" s="567"/>
      <c r="ES871" s="567"/>
      <c r="ET871" s="567"/>
      <c r="EU871" s="567"/>
      <c r="EV871" s="567"/>
      <c r="EW871" s="567"/>
      <c r="EX871" s="567"/>
      <c r="EY871" s="567"/>
      <c r="EZ871" s="567"/>
      <c r="FA871" s="567"/>
      <c r="FB871" s="567"/>
      <c r="FC871" s="567"/>
      <c r="FD871" s="567"/>
      <c r="FE871" s="567"/>
      <c r="FF871" s="567"/>
      <c r="FG871" s="567"/>
      <c r="FH871" s="567"/>
      <c r="FI871" s="567"/>
      <c r="FJ871" s="567"/>
      <c r="FK871" s="567"/>
      <c r="FL871" s="567"/>
      <c r="FM871" s="567"/>
      <c r="FN871" s="567"/>
      <c r="FO871" s="567"/>
      <c r="FP871" s="567"/>
      <c r="FQ871" s="567"/>
      <c r="FR871" s="567"/>
      <c r="FS871" s="567"/>
      <c r="FT871" s="567"/>
      <c r="FU871" s="567"/>
      <c r="FV871" s="567"/>
      <c r="FW871" s="567"/>
      <c r="FX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  <c r="BW872" s="567"/>
      <c r="BX872" s="567"/>
      <c r="BY872" s="567"/>
      <c r="BZ872" s="567"/>
      <c r="CA872" s="567"/>
      <c r="CB872" s="567"/>
      <c r="CC872" s="567"/>
      <c r="CD872" s="567"/>
      <c r="CE872" s="567"/>
      <c r="CF872" s="567"/>
      <c r="CG872" s="567"/>
      <c r="CH872" s="567"/>
      <c r="CI872" s="567"/>
      <c r="CJ872" s="567"/>
      <c r="CK872" s="567"/>
      <c r="CL872" s="567"/>
      <c r="CM872" s="567"/>
      <c r="CN872" s="567"/>
      <c r="CO872" s="567"/>
      <c r="CP872" s="567"/>
      <c r="CQ872" s="567"/>
      <c r="CR872" s="567"/>
      <c r="CS872" s="567"/>
      <c r="CT872" s="567"/>
      <c r="CU872" s="567"/>
      <c r="CV872" s="567"/>
      <c r="CW872" s="567"/>
      <c r="CX872" s="567"/>
      <c r="CY872" s="567"/>
      <c r="CZ872" s="567"/>
      <c r="DA872" s="567"/>
      <c r="DB872" s="567"/>
      <c r="DC872" s="567"/>
      <c r="DD872" s="567"/>
      <c r="DE872" s="567"/>
      <c r="DF872" s="567"/>
      <c r="DG872" s="567"/>
      <c r="DH872" s="567"/>
      <c r="DI872" s="567"/>
      <c r="DJ872" s="567"/>
      <c r="DK872" s="567"/>
      <c r="DL872" s="567"/>
      <c r="DM872" s="567"/>
      <c r="DN872" s="567"/>
      <c r="DO872" s="567"/>
      <c r="DP872" s="567"/>
      <c r="DQ872" s="567"/>
      <c r="DR872" s="567"/>
      <c r="DS872" s="567"/>
      <c r="DT872" s="567"/>
      <c r="DU872" s="567"/>
      <c r="DV872" s="567"/>
      <c r="DW872" s="567"/>
      <c r="DX872" s="567"/>
      <c r="DY872" s="567"/>
      <c r="DZ872" s="567"/>
      <c r="EA872" s="567"/>
      <c r="EB872" s="567"/>
      <c r="EC872" s="567"/>
      <c r="ED872" s="567"/>
      <c r="EE872" s="567"/>
      <c r="EF872" s="567"/>
      <c r="EG872" s="567"/>
      <c r="EH872" s="567"/>
      <c r="EI872" s="567"/>
      <c r="EJ872" s="567"/>
      <c r="EK872" s="567"/>
      <c r="EL872" s="567"/>
      <c r="EM872" s="567"/>
      <c r="EN872" s="567"/>
      <c r="EO872" s="567"/>
      <c r="EP872" s="567"/>
      <c r="EQ872" s="567"/>
      <c r="ER872" s="567"/>
      <c r="ES872" s="567"/>
      <c r="ET872" s="567"/>
      <c r="EU872" s="567"/>
      <c r="EV872" s="567"/>
      <c r="EW872" s="567"/>
      <c r="EX872" s="567"/>
      <c r="EY872" s="567"/>
      <c r="EZ872" s="567"/>
      <c r="FA872" s="567"/>
      <c r="FB872" s="567"/>
      <c r="FC872" s="567"/>
      <c r="FD872" s="567"/>
      <c r="FE872" s="567"/>
      <c r="FF872" s="567"/>
      <c r="FG872" s="567"/>
      <c r="FH872" s="567"/>
      <c r="FI872" s="567"/>
      <c r="FJ872" s="567"/>
      <c r="FK872" s="567"/>
      <c r="FL872" s="567"/>
      <c r="FM872" s="567"/>
      <c r="FN872" s="567"/>
      <c r="FO872" s="567"/>
      <c r="FP872" s="567"/>
      <c r="FQ872" s="567"/>
      <c r="FR872" s="567"/>
      <c r="FS872" s="567"/>
      <c r="FT872" s="567"/>
      <c r="FU872" s="567"/>
      <c r="FV872" s="567"/>
      <c r="FW872" s="567"/>
      <c r="FX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  <c r="BW873" s="567"/>
      <c r="BX873" s="567"/>
      <c r="BY873" s="567"/>
      <c r="BZ873" s="567"/>
      <c r="CA873" s="567"/>
      <c r="CB873" s="567"/>
      <c r="CC873" s="567"/>
      <c r="CD873" s="567"/>
      <c r="CE873" s="567"/>
      <c r="CF873" s="567"/>
      <c r="CG873" s="567"/>
      <c r="CH873" s="567"/>
      <c r="CI873" s="567"/>
      <c r="CJ873" s="567"/>
      <c r="CK873" s="567"/>
      <c r="CL873" s="567"/>
      <c r="CM873" s="567"/>
      <c r="CN873" s="567"/>
      <c r="CO873" s="567"/>
      <c r="CP873" s="567"/>
      <c r="CQ873" s="567"/>
      <c r="CR873" s="567"/>
      <c r="CS873" s="567"/>
      <c r="CT873" s="567"/>
      <c r="CU873" s="567"/>
      <c r="CV873" s="567"/>
      <c r="CW873" s="567"/>
      <c r="CX873" s="567"/>
      <c r="CY873" s="567"/>
      <c r="CZ873" s="567"/>
      <c r="DA873" s="567"/>
      <c r="DB873" s="567"/>
      <c r="DC873" s="567"/>
      <c r="DD873" s="567"/>
      <c r="DE873" s="567"/>
      <c r="DF873" s="567"/>
      <c r="DG873" s="567"/>
      <c r="DH873" s="567"/>
      <c r="DI873" s="567"/>
      <c r="DJ873" s="567"/>
      <c r="DK873" s="567"/>
      <c r="DL873" s="567"/>
      <c r="DM873" s="567"/>
      <c r="DN873" s="567"/>
      <c r="DO873" s="567"/>
      <c r="DP873" s="567"/>
      <c r="DQ873" s="567"/>
      <c r="DR873" s="567"/>
      <c r="DS873" s="567"/>
      <c r="DT873" s="567"/>
      <c r="DU873" s="567"/>
      <c r="DV873" s="567"/>
      <c r="DW873" s="567"/>
      <c r="DX873" s="567"/>
      <c r="DY873" s="567"/>
      <c r="DZ873" s="567"/>
      <c r="EA873" s="567"/>
      <c r="EB873" s="567"/>
      <c r="EC873" s="567"/>
      <c r="ED873" s="567"/>
      <c r="EE873" s="567"/>
      <c r="EF873" s="567"/>
      <c r="EG873" s="567"/>
      <c r="EH873" s="567"/>
      <c r="EI873" s="567"/>
      <c r="EJ873" s="567"/>
      <c r="EK873" s="567"/>
      <c r="EL873" s="567"/>
      <c r="EM873" s="567"/>
      <c r="EN873" s="567"/>
      <c r="EO873" s="567"/>
      <c r="EP873" s="567"/>
      <c r="EQ873" s="567"/>
      <c r="ER873" s="567"/>
      <c r="ES873" s="567"/>
      <c r="ET873" s="567"/>
      <c r="EU873" s="567"/>
      <c r="EV873" s="567"/>
      <c r="EW873" s="567"/>
      <c r="EX873" s="567"/>
      <c r="EY873" s="567"/>
      <c r="EZ873" s="567"/>
      <c r="FA873" s="567"/>
      <c r="FB873" s="567"/>
      <c r="FC873" s="567"/>
      <c r="FD873" s="567"/>
      <c r="FE873" s="567"/>
      <c r="FF873" s="567"/>
      <c r="FG873" s="567"/>
      <c r="FH873" s="567"/>
      <c r="FI873" s="567"/>
      <c r="FJ873" s="567"/>
      <c r="FK873" s="567"/>
      <c r="FL873" s="567"/>
      <c r="FM873" s="567"/>
      <c r="FN873" s="567"/>
      <c r="FO873" s="567"/>
      <c r="FP873" s="567"/>
      <c r="FQ873" s="567"/>
      <c r="FR873" s="567"/>
      <c r="FS873" s="567"/>
      <c r="FT873" s="567"/>
      <c r="FU873" s="567"/>
      <c r="FV873" s="567"/>
      <c r="FW873" s="567"/>
      <c r="FX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  <c r="BW874" s="567"/>
      <c r="BX874" s="567"/>
      <c r="BY874" s="567"/>
      <c r="BZ874" s="567"/>
      <c r="CA874" s="567"/>
      <c r="CB874" s="567"/>
      <c r="CC874" s="567"/>
      <c r="CD874" s="567"/>
      <c r="CE874" s="567"/>
      <c r="CF874" s="567"/>
      <c r="CG874" s="567"/>
      <c r="CH874" s="567"/>
      <c r="CI874" s="567"/>
      <c r="CJ874" s="567"/>
      <c r="CK874" s="567"/>
      <c r="CL874" s="567"/>
      <c r="CM874" s="567"/>
      <c r="CN874" s="567"/>
      <c r="CO874" s="567"/>
      <c r="CP874" s="567"/>
      <c r="CQ874" s="567"/>
      <c r="CR874" s="567"/>
      <c r="CS874" s="567"/>
      <c r="CT874" s="567"/>
      <c r="CU874" s="567"/>
      <c r="CV874" s="567"/>
      <c r="CW874" s="567"/>
      <c r="CX874" s="567"/>
      <c r="CY874" s="567"/>
      <c r="CZ874" s="567"/>
      <c r="DA874" s="567"/>
      <c r="DB874" s="567"/>
      <c r="DC874" s="567"/>
      <c r="DD874" s="567"/>
      <c r="DE874" s="567"/>
      <c r="DF874" s="567"/>
      <c r="DG874" s="567"/>
      <c r="DH874" s="567"/>
      <c r="DI874" s="567"/>
      <c r="DJ874" s="567"/>
      <c r="DK874" s="567"/>
      <c r="DL874" s="567"/>
      <c r="DM874" s="567"/>
      <c r="DN874" s="567"/>
      <c r="DO874" s="567"/>
      <c r="DP874" s="567"/>
      <c r="DQ874" s="567"/>
      <c r="DR874" s="567"/>
      <c r="DS874" s="567"/>
      <c r="DT874" s="567"/>
      <c r="DU874" s="567"/>
      <c r="DV874" s="567"/>
      <c r="DW874" s="567"/>
      <c r="DX874" s="567"/>
      <c r="DY874" s="567"/>
      <c r="DZ874" s="567"/>
      <c r="EA874" s="567"/>
      <c r="EB874" s="567"/>
      <c r="EC874" s="567"/>
      <c r="ED874" s="567"/>
      <c r="EE874" s="567"/>
      <c r="EF874" s="567"/>
      <c r="EG874" s="567"/>
      <c r="EH874" s="567"/>
      <c r="EI874" s="567"/>
      <c r="EJ874" s="567"/>
      <c r="EK874" s="567"/>
      <c r="EL874" s="567"/>
      <c r="EM874" s="567"/>
      <c r="EN874" s="567"/>
      <c r="EO874" s="567"/>
      <c r="EP874" s="567"/>
      <c r="EQ874" s="567"/>
      <c r="ER874" s="567"/>
      <c r="ES874" s="567"/>
      <c r="ET874" s="567"/>
      <c r="EU874" s="567"/>
      <c r="EV874" s="567"/>
      <c r="EW874" s="567"/>
      <c r="EX874" s="567"/>
      <c r="EY874" s="567"/>
      <c r="EZ874" s="567"/>
      <c r="FA874" s="567"/>
      <c r="FB874" s="567"/>
      <c r="FC874" s="567"/>
      <c r="FD874" s="567"/>
      <c r="FE874" s="567"/>
      <c r="FF874" s="567"/>
      <c r="FG874" s="567"/>
      <c r="FH874" s="567"/>
      <c r="FI874" s="567"/>
      <c r="FJ874" s="567"/>
      <c r="FK874" s="567"/>
      <c r="FL874" s="567"/>
      <c r="FM874" s="567"/>
      <c r="FN874" s="567"/>
      <c r="FO874" s="567"/>
      <c r="FP874" s="567"/>
      <c r="FQ874" s="567"/>
      <c r="FR874" s="567"/>
      <c r="FS874" s="567"/>
      <c r="FT874" s="567"/>
      <c r="FU874" s="567"/>
      <c r="FV874" s="567"/>
      <c r="FW874" s="567"/>
      <c r="FX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  <c r="BW875" s="567"/>
      <c r="BX875" s="567"/>
      <c r="BY875" s="567"/>
      <c r="BZ875" s="567"/>
      <c r="CA875" s="567"/>
      <c r="CB875" s="567"/>
      <c r="CC875" s="567"/>
      <c r="CD875" s="567"/>
      <c r="CE875" s="567"/>
      <c r="CF875" s="567"/>
      <c r="CG875" s="567"/>
      <c r="CH875" s="567"/>
      <c r="CI875" s="567"/>
      <c r="CJ875" s="567"/>
      <c r="CK875" s="567"/>
      <c r="CL875" s="567"/>
      <c r="CM875" s="567"/>
      <c r="CN875" s="567"/>
      <c r="CO875" s="567"/>
      <c r="CP875" s="567"/>
      <c r="CQ875" s="567"/>
      <c r="CR875" s="567"/>
      <c r="CS875" s="567"/>
      <c r="CT875" s="567"/>
      <c r="CU875" s="567"/>
      <c r="CV875" s="567"/>
      <c r="CW875" s="567"/>
      <c r="CX875" s="567"/>
      <c r="CY875" s="567"/>
      <c r="CZ875" s="567"/>
      <c r="DA875" s="567"/>
      <c r="DB875" s="567"/>
      <c r="DC875" s="567"/>
      <c r="DD875" s="567"/>
      <c r="DE875" s="567"/>
      <c r="DF875" s="567"/>
      <c r="DG875" s="567"/>
      <c r="DH875" s="567"/>
      <c r="DI875" s="567"/>
      <c r="DJ875" s="567"/>
      <c r="DK875" s="567"/>
      <c r="DL875" s="567"/>
      <c r="DM875" s="567"/>
      <c r="DN875" s="567"/>
      <c r="DO875" s="567"/>
      <c r="DP875" s="567"/>
      <c r="DQ875" s="567"/>
      <c r="DR875" s="567"/>
      <c r="DS875" s="567"/>
      <c r="DT875" s="567"/>
      <c r="DU875" s="567"/>
      <c r="DV875" s="567"/>
      <c r="DW875" s="567"/>
      <c r="DX875" s="567"/>
      <c r="DY875" s="567"/>
      <c r="DZ875" s="567"/>
      <c r="EA875" s="567"/>
      <c r="EB875" s="567"/>
      <c r="EC875" s="567"/>
      <c r="ED875" s="567"/>
      <c r="EE875" s="567"/>
      <c r="EF875" s="567"/>
      <c r="EG875" s="567"/>
      <c r="EH875" s="567"/>
      <c r="EI875" s="567"/>
      <c r="EJ875" s="567"/>
      <c r="EK875" s="567"/>
      <c r="EL875" s="567"/>
      <c r="EM875" s="567"/>
      <c r="EN875" s="567"/>
      <c r="EO875" s="567"/>
      <c r="EP875" s="567"/>
      <c r="EQ875" s="567"/>
      <c r="ER875" s="567"/>
      <c r="ES875" s="567"/>
      <c r="ET875" s="567"/>
      <c r="EU875" s="567"/>
      <c r="EV875" s="567"/>
      <c r="EW875" s="567"/>
      <c r="EX875" s="567"/>
      <c r="EY875" s="567"/>
      <c r="EZ875" s="567"/>
      <c r="FA875" s="567"/>
      <c r="FB875" s="567"/>
      <c r="FC875" s="567"/>
      <c r="FD875" s="567"/>
      <c r="FE875" s="567"/>
      <c r="FF875" s="567"/>
      <c r="FG875" s="567"/>
      <c r="FH875" s="567"/>
      <c r="FI875" s="567"/>
      <c r="FJ875" s="567"/>
      <c r="FK875" s="567"/>
      <c r="FL875" s="567"/>
      <c r="FM875" s="567"/>
      <c r="FN875" s="567"/>
      <c r="FO875" s="567"/>
      <c r="FP875" s="567"/>
      <c r="FQ875" s="567"/>
      <c r="FR875" s="567"/>
      <c r="FS875" s="567"/>
      <c r="FT875" s="567"/>
      <c r="FU875" s="567"/>
      <c r="FV875" s="567"/>
      <c r="FW875" s="567"/>
      <c r="FX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  <c r="BW876" s="567"/>
      <c r="BX876" s="567"/>
      <c r="BY876" s="567"/>
      <c r="BZ876" s="567"/>
      <c r="CA876" s="567"/>
      <c r="CB876" s="567"/>
      <c r="CC876" s="567"/>
      <c r="CD876" s="567"/>
      <c r="CE876" s="567"/>
      <c r="CF876" s="567"/>
      <c r="CG876" s="567"/>
      <c r="CH876" s="567"/>
      <c r="CI876" s="567"/>
      <c r="CJ876" s="567"/>
      <c r="CK876" s="567"/>
      <c r="CL876" s="567"/>
      <c r="CM876" s="567"/>
      <c r="CN876" s="567"/>
      <c r="CO876" s="567"/>
      <c r="CP876" s="567"/>
      <c r="CQ876" s="567"/>
      <c r="CR876" s="567"/>
      <c r="CS876" s="567"/>
      <c r="CT876" s="567"/>
      <c r="CU876" s="567"/>
      <c r="CV876" s="567"/>
      <c r="CW876" s="567"/>
      <c r="CX876" s="567"/>
      <c r="CY876" s="567"/>
      <c r="CZ876" s="567"/>
      <c r="DA876" s="567"/>
      <c r="DB876" s="567"/>
      <c r="DC876" s="567"/>
      <c r="DD876" s="567"/>
      <c r="DE876" s="567"/>
      <c r="DF876" s="567"/>
      <c r="DG876" s="567"/>
      <c r="DH876" s="567"/>
      <c r="DI876" s="567"/>
      <c r="DJ876" s="567"/>
      <c r="DK876" s="567"/>
      <c r="DL876" s="567"/>
      <c r="DM876" s="567"/>
      <c r="DN876" s="567"/>
      <c r="DO876" s="567"/>
      <c r="DP876" s="567"/>
      <c r="DQ876" s="567"/>
      <c r="DR876" s="567"/>
      <c r="DS876" s="567"/>
      <c r="DT876" s="567"/>
      <c r="DU876" s="567"/>
      <c r="DV876" s="567"/>
      <c r="DW876" s="567"/>
      <c r="DX876" s="567"/>
      <c r="DY876" s="567"/>
      <c r="DZ876" s="567"/>
      <c r="EA876" s="567"/>
      <c r="EB876" s="567"/>
      <c r="EC876" s="567"/>
      <c r="ED876" s="567"/>
      <c r="EE876" s="567"/>
      <c r="EF876" s="567"/>
      <c r="EG876" s="567"/>
      <c r="EH876" s="567"/>
      <c r="EI876" s="567"/>
      <c r="EJ876" s="567"/>
      <c r="EK876" s="567"/>
      <c r="EL876" s="567"/>
      <c r="EM876" s="567"/>
      <c r="EN876" s="567"/>
      <c r="EO876" s="567"/>
      <c r="EP876" s="567"/>
      <c r="EQ876" s="567"/>
      <c r="ER876" s="567"/>
      <c r="ES876" s="567"/>
      <c r="ET876" s="567"/>
      <c r="EU876" s="567"/>
      <c r="EV876" s="567"/>
      <c r="EW876" s="567"/>
      <c r="EX876" s="567"/>
      <c r="EY876" s="567"/>
      <c r="EZ876" s="567"/>
      <c r="FA876" s="567"/>
      <c r="FB876" s="567"/>
      <c r="FC876" s="567"/>
      <c r="FD876" s="567"/>
      <c r="FE876" s="567"/>
      <c r="FF876" s="567"/>
      <c r="FG876" s="567"/>
      <c r="FH876" s="567"/>
      <c r="FI876" s="567"/>
      <c r="FJ876" s="567"/>
      <c r="FK876" s="567"/>
      <c r="FL876" s="567"/>
      <c r="FM876" s="567"/>
      <c r="FN876" s="567"/>
      <c r="FO876" s="567"/>
      <c r="FP876" s="567"/>
      <c r="FQ876" s="567"/>
      <c r="FR876" s="567"/>
      <c r="FS876" s="567"/>
      <c r="FT876" s="567"/>
      <c r="FU876" s="567"/>
      <c r="FV876" s="567"/>
      <c r="FW876" s="567"/>
      <c r="FX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  <c r="BW877" s="567"/>
      <c r="BX877" s="567"/>
      <c r="BY877" s="567"/>
      <c r="BZ877" s="567"/>
      <c r="CA877" s="567"/>
      <c r="CB877" s="567"/>
      <c r="CC877" s="567"/>
      <c r="CD877" s="567"/>
      <c r="CE877" s="567"/>
      <c r="CF877" s="567"/>
      <c r="CG877" s="567"/>
      <c r="CH877" s="567"/>
      <c r="CI877" s="567"/>
      <c r="CJ877" s="567"/>
      <c r="CK877" s="567"/>
      <c r="CL877" s="567"/>
      <c r="CM877" s="567"/>
      <c r="CN877" s="567"/>
      <c r="CO877" s="567"/>
      <c r="CP877" s="567"/>
      <c r="CQ877" s="567"/>
      <c r="CR877" s="567"/>
      <c r="CS877" s="567"/>
      <c r="CT877" s="567"/>
      <c r="CU877" s="567"/>
      <c r="CV877" s="567"/>
      <c r="CW877" s="567"/>
      <c r="CX877" s="567"/>
      <c r="CY877" s="567"/>
      <c r="CZ877" s="567"/>
      <c r="DA877" s="567"/>
      <c r="DB877" s="567"/>
      <c r="DC877" s="567"/>
      <c r="DD877" s="567"/>
      <c r="DE877" s="567"/>
      <c r="DF877" s="567"/>
      <c r="DG877" s="567"/>
      <c r="DH877" s="567"/>
      <c r="DI877" s="567"/>
      <c r="DJ877" s="567"/>
      <c r="DK877" s="567"/>
      <c r="DL877" s="567"/>
      <c r="DM877" s="567"/>
      <c r="DN877" s="567"/>
      <c r="DO877" s="567"/>
      <c r="DP877" s="567"/>
      <c r="DQ877" s="567"/>
      <c r="DR877" s="567"/>
      <c r="DS877" s="567"/>
      <c r="DT877" s="567"/>
      <c r="DU877" s="567"/>
      <c r="DV877" s="567"/>
      <c r="DW877" s="567"/>
      <c r="DX877" s="567"/>
      <c r="DY877" s="567"/>
      <c r="DZ877" s="567"/>
      <c r="EA877" s="567"/>
      <c r="EB877" s="567"/>
      <c r="EC877" s="567"/>
      <c r="ED877" s="567"/>
      <c r="EE877" s="567"/>
      <c r="EF877" s="567"/>
      <c r="EG877" s="567"/>
      <c r="EH877" s="567"/>
      <c r="EI877" s="567"/>
      <c r="EJ877" s="567"/>
      <c r="EK877" s="567"/>
      <c r="EL877" s="567"/>
      <c r="EM877" s="567"/>
      <c r="EN877" s="567"/>
      <c r="EO877" s="567"/>
      <c r="EP877" s="567"/>
      <c r="EQ877" s="567"/>
      <c r="ER877" s="567"/>
      <c r="ES877" s="567"/>
      <c r="ET877" s="567"/>
      <c r="EU877" s="567"/>
      <c r="EV877" s="567"/>
      <c r="EW877" s="567"/>
      <c r="EX877" s="567"/>
      <c r="EY877" s="567"/>
      <c r="EZ877" s="567"/>
      <c r="FA877" s="567"/>
      <c r="FB877" s="567"/>
      <c r="FC877" s="567"/>
      <c r="FD877" s="567"/>
      <c r="FE877" s="567"/>
      <c r="FF877" s="567"/>
      <c r="FG877" s="567"/>
      <c r="FH877" s="567"/>
      <c r="FI877" s="567"/>
      <c r="FJ877" s="567"/>
      <c r="FK877" s="567"/>
      <c r="FL877" s="567"/>
      <c r="FM877" s="567"/>
      <c r="FN877" s="567"/>
      <c r="FO877" s="567"/>
      <c r="FP877" s="567"/>
      <c r="FQ877" s="567"/>
      <c r="FR877" s="567"/>
      <c r="FS877" s="567"/>
      <c r="FT877" s="567"/>
      <c r="FU877" s="567"/>
      <c r="FV877" s="567"/>
      <c r="FW877" s="567"/>
      <c r="FX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  <c r="BW878" s="567"/>
      <c r="BX878" s="567"/>
      <c r="BY878" s="567"/>
      <c r="BZ878" s="567"/>
      <c r="CA878" s="567"/>
      <c r="CB878" s="567"/>
      <c r="CC878" s="567"/>
      <c r="CD878" s="567"/>
      <c r="CE878" s="567"/>
      <c r="CF878" s="567"/>
      <c r="CG878" s="567"/>
      <c r="CH878" s="567"/>
      <c r="CI878" s="567"/>
      <c r="CJ878" s="567"/>
      <c r="CK878" s="567"/>
      <c r="CL878" s="567"/>
      <c r="CM878" s="567"/>
      <c r="CN878" s="567"/>
      <c r="CO878" s="567"/>
      <c r="CP878" s="567"/>
      <c r="CQ878" s="567"/>
      <c r="CR878" s="567"/>
      <c r="CS878" s="567"/>
      <c r="CT878" s="567"/>
      <c r="CU878" s="567"/>
      <c r="CV878" s="567"/>
      <c r="CW878" s="567"/>
      <c r="CX878" s="567"/>
      <c r="CY878" s="567"/>
      <c r="CZ878" s="567"/>
      <c r="DA878" s="567"/>
      <c r="DB878" s="567"/>
      <c r="DC878" s="567"/>
      <c r="DD878" s="567"/>
      <c r="DE878" s="567"/>
      <c r="DF878" s="567"/>
      <c r="DG878" s="567"/>
      <c r="DH878" s="567"/>
      <c r="DI878" s="567"/>
      <c r="DJ878" s="567"/>
      <c r="DK878" s="567"/>
      <c r="DL878" s="567"/>
      <c r="DM878" s="567"/>
      <c r="DN878" s="567"/>
      <c r="DO878" s="567"/>
      <c r="DP878" s="567"/>
      <c r="DQ878" s="567"/>
      <c r="DR878" s="567"/>
      <c r="DS878" s="567"/>
      <c r="DT878" s="567"/>
      <c r="DU878" s="567"/>
      <c r="DV878" s="567"/>
      <c r="DW878" s="567"/>
      <c r="DX878" s="567"/>
      <c r="DY878" s="567"/>
      <c r="DZ878" s="567"/>
      <c r="EA878" s="567"/>
      <c r="EB878" s="567"/>
      <c r="EC878" s="567"/>
      <c r="ED878" s="567"/>
      <c r="EE878" s="567"/>
      <c r="EF878" s="567"/>
      <c r="EG878" s="567"/>
      <c r="EH878" s="567"/>
      <c r="EI878" s="567"/>
      <c r="EJ878" s="567"/>
      <c r="EK878" s="567"/>
      <c r="EL878" s="567"/>
      <c r="EM878" s="567"/>
      <c r="EN878" s="567"/>
      <c r="EO878" s="567"/>
      <c r="EP878" s="567"/>
      <c r="EQ878" s="567"/>
      <c r="ER878" s="567"/>
      <c r="ES878" s="567"/>
      <c r="ET878" s="567"/>
      <c r="EU878" s="567"/>
      <c r="EV878" s="567"/>
      <c r="EW878" s="567"/>
      <c r="EX878" s="567"/>
      <c r="EY878" s="567"/>
      <c r="EZ878" s="567"/>
      <c r="FA878" s="567"/>
      <c r="FB878" s="567"/>
      <c r="FC878" s="567"/>
      <c r="FD878" s="567"/>
      <c r="FE878" s="567"/>
      <c r="FF878" s="567"/>
      <c r="FG878" s="567"/>
      <c r="FH878" s="567"/>
      <c r="FI878" s="567"/>
      <c r="FJ878" s="567"/>
      <c r="FK878" s="567"/>
      <c r="FL878" s="567"/>
      <c r="FM878" s="567"/>
      <c r="FN878" s="567"/>
      <c r="FO878" s="567"/>
      <c r="FP878" s="567"/>
      <c r="FQ878" s="567"/>
      <c r="FR878" s="567"/>
      <c r="FS878" s="567"/>
      <c r="FT878" s="567"/>
      <c r="FU878" s="567"/>
      <c r="FV878" s="567"/>
      <c r="FW878" s="567"/>
      <c r="FX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  <c r="BW879" s="567"/>
      <c r="BX879" s="567"/>
      <c r="BY879" s="567"/>
      <c r="BZ879" s="567"/>
      <c r="CA879" s="567"/>
      <c r="CB879" s="567"/>
      <c r="CC879" s="567"/>
      <c r="CD879" s="567"/>
      <c r="CE879" s="567"/>
      <c r="CF879" s="567"/>
      <c r="CG879" s="567"/>
      <c r="CH879" s="567"/>
      <c r="CI879" s="567"/>
      <c r="CJ879" s="567"/>
      <c r="CK879" s="567"/>
      <c r="CL879" s="567"/>
      <c r="CM879" s="567"/>
      <c r="CN879" s="567"/>
      <c r="CO879" s="567"/>
      <c r="CP879" s="567"/>
      <c r="CQ879" s="567"/>
      <c r="CR879" s="567"/>
      <c r="CS879" s="567"/>
      <c r="CT879" s="567"/>
      <c r="CU879" s="567"/>
      <c r="CV879" s="567"/>
      <c r="CW879" s="567"/>
      <c r="CX879" s="567"/>
      <c r="CY879" s="567"/>
      <c r="CZ879" s="567"/>
      <c r="DA879" s="567"/>
      <c r="DB879" s="567"/>
      <c r="DC879" s="567"/>
      <c r="DD879" s="567"/>
      <c r="DE879" s="567"/>
      <c r="DF879" s="567"/>
      <c r="DG879" s="567"/>
      <c r="DH879" s="567"/>
      <c r="DI879" s="567"/>
      <c r="DJ879" s="567"/>
      <c r="DK879" s="567"/>
      <c r="DL879" s="567"/>
      <c r="DM879" s="567"/>
      <c r="DN879" s="567"/>
      <c r="DO879" s="567"/>
      <c r="DP879" s="567"/>
      <c r="DQ879" s="567"/>
      <c r="DR879" s="567"/>
      <c r="DS879" s="567"/>
      <c r="DT879" s="567"/>
      <c r="DU879" s="567"/>
      <c r="DV879" s="567"/>
      <c r="DW879" s="567"/>
      <c r="DX879" s="567"/>
      <c r="DY879" s="567"/>
      <c r="DZ879" s="567"/>
      <c r="EA879" s="567"/>
      <c r="EB879" s="567"/>
      <c r="EC879" s="567"/>
      <c r="ED879" s="567"/>
      <c r="EE879" s="567"/>
      <c r="EF879" s="567"/>
      <c r="EG879" s="567"/>
      <c r="EH879" s="567"/>
      <c r="EI879" s="567"/>
      <c r="EJ879" s="567"/>
      <c r="EK879" s="567"/>
      <c r="EL879" s="567"/>
      <c r="EM879" s="567"/>
      <c r="EN879" s="567"/>
      <c r="EO879" s="567"/>
      <c r="EP879" s="567"/>
      <c r="EQ879" s="567"/>
      <c r="ER879" s="567"/>
      <c r="ES879" s="567"/>
      <c r="ET879" s="567"/>
      <c r="EU879" s="567"/>
      <c r="EV879" s="567"/>
      <c r="EW879" s="567"/>
      <c r="EX879" s="567"/>
      <c r="EY879" s="567"/>
      <c r="EZ879" s="567"/>
      <c r="FA879" s="567"/>
      <c r="FB879" s="567"/>
      <c r="FC879" s="567"/>
      <c r="FD879" s="567"/>
      <c r="FE879" s="567"/>
      <c r="FF879" s="567"/>
      <c r="FG879" s="567"/>
      <c r="FH879" s="567"/>
      <c r="FI879" s="567"/>
      <c r="FJ879" s="567"/>
      <c r="FK879" s="567"/>
      <c r="FL879" s="567"/>
      <c r="FM879" s="567"/>
      <c r="FN879" s="567"/>
      <c r="FO879" s="567"/>
      <c r="FP879" s="567"/>
      <c r="FQ879" s="567"/>
      <c r="FR879" s="567"/>
      <c r="FS879" s="567"/>
      <c r="FT879" s="567"/>
      <c r="FU879" s="567"/>
      <c r="FV879" s="567"/>
      <c r="FW879" s="567"/>
      <c r="FX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  <c r="BW880" s="567"/>
      <c r="BX880" s="567"/>
      <c r="BY880" s="567"/>
      <c r="BZ880" s="567"/>
      <c r="CA880" s="567"/>
      <c r="CB880" s="567"/>
      <c r="CC880" s="567"/>
      <c r="CD880" s="567"/>
      <c r="CE880" s="567"/>
      <c r="CF880" s="567"/>
      <c r="CG880" s="567"/>
      <c r="CH880" s="567"/>
      <c r="CI880" s="567"/>
      <c r="CJ880" s="567"/>
      <c r="CK880" s="567"/>
      <c r="CL880" s="567"/>
      <c r="CM880" s="567"/>
      <c r="CN880" s="567"/>
      <c r="CO880" s="567"/>
      <c r="CP880" s="567"/>
      <c r="CQ880" s="567"/>
      <c r="CR880" s="567"/>
      <c r="CS880" s="567"/>
      <c r="CT880" s="567"/>
      <c r="CU880" s="567"/>
      <c r="CV880" s="567"/>
      <c r="CW880" s="567"/>
      <c r="CX880" s="567"/>
      <c r="CY880" s="567"/>
      <c r="CZ880" s="567"/>
      <c r="DA880" s="567"/>
      <c r="DB880" s="567"/>
      <c r="DC880" s="567"/>
      <c r="DD880" s="567"/>
      <c r="DE880" s="567"/>
      <c r="DF880" s="567"/>
      <c r="DG880" s="567"/>
      <c r="DH880" s="567"/>
      <c r="DI880" s="567"/>
      <c r="DJ880" s="567"/>
      <c r="DK880" s="567"/>
      <c r="DL880" s="567"/>
      <c r="DM880" s="567"/>
      <c r="DN880" s="567"/>
      <c r="DO880" s="567"/>
      <c r="DP880" s="567"/>
      <c r="DQ880" s="567"/>
      <c r="DR880" s="567"/>
      <c r="DS880" s="567"/>
      <c r="DT880" s="567"/>
      <c r="DU880" s="567"/>
      <c r="DV880" s="567"/>
      <c r="DW880" s="567"/>
      <c r="DX880" s="567"/>
      <c r="DY880" s="567"/>
      <c r="DZ880" s="567"/>
      <c r="EA880" s="567"/>
      <c r="EB880" s="567"/>
      <c r="EC880" s="567"/>
      <c r="ED880" s="567"/>
      <c r="EE880" s="567"/>
      <c r="EF880" s="567"/>
      <c r="EG880" s="567"/>
      <c r="EH880" s="567"/>
      <c r="EI880" s="567"/>
      <c r="EJ880" s="567"/>
      <c r="EK880" s="567"/>
      <c r="EL880" s="567"/>
      <c r="EM880" s="567"/>
      <c r="EN880" s="567"/>
      <c r="EO880" s="567"/>
      <c r="EP880" s="567"/>
      <c r="EQ880" s="567"/>
      <c r="ER880" s="567"/>
      <c r="ES880" s="567"/>
      <c r="ET880" s="567"/>
      <c r="EU880" s="567"/>
      <c r="EV880" s="567"/>
      <c r="EW880" s="567"/>
      <c r="EX880" s="567"/>
      <c r="EY880" s="567"/>
      <c r="EZ880" s="567"/>
      <c r="FA880" s="567"/>
      <c r="FB880" s="567"/>
      <c r="FC880" s="567"/>
      <c r="FD880" s="567"/>
      <c r="FE880" s="567"/>
      <c r="FF880" s="567"/>
      <c r="FG880" s="567"/>
      <c r="FH880" s="567"/>
      <c r="FI880" s="567"/>
      <c r="FJ880" s="567"/>
      <c r="FK880" s="567"/>
      <c r="FL880" s="567"/>
      <c r="FM880" s="567"/>
      <c r="FN880" s="567"/>
      <c r="FO880" s="567"/>
      <c r="FP880" s="567"/>
      <c r="FQ880" s="567"/>
      <c r="FR880" s="567"/>
      <c r="FS880" s="567"/>
      <c r="FT880" s="567"/>
      <c r="FU880" s="567"/>
      <c r="FV880" s="567"/>
      <c r="FW880" s="567"/>
      <c r="FX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  <c r="BW881" s="567"/>
      <c r="BX881" s="567"/>
      <c r="BY881" s="567"/>
      <c r="BZ881" s="567"/>
      <c r="CA881" s="567"/>
      <c r="CB881" s="567"/>
      <c r="CC881" s="567"/>
      <c r="CD881" s="567"/>
      <c r="CE881" s="567"/>
      <c r="CF881" s="567"/>
      <c r="CG881" s="567"/>
      <c r="CH881" s="567"/>
      <c r="CI881" s="567"/>
      <c r="CJ881" s="567"/>
      <c r="CK881" s="567"/>
      <c r="CL881" s="567"/>
      <c r="CM881" s="567"/>
      <c r="CN881" s="567"/>
      <c r="CO881" s="567"/>
      <c r="CP881" s="567"/>
      <c r="CQ881" s="567"/>
      <c r="CR881" s="567"/>
      <c r="CS881" s="567"/>
      <c r="CT881" s="567"/>
      <c r="CU881" s="567"/>
      <c r="CV881" s="567"/>
      <c r="CW881" s="567"/>
      <c r="CX881" s="567"/>
      <c r="CY881" s="567"/>
      <c r="CZ881" s="567"/>
      <c r="DA881" s="567"/>
      <c r="DB881" s="567"/>
      <c r="DC881" s="567"/>
      <c r="DD881" s="567"/>
      <c r="DE881" s="567"/>
      <c r="DF881" s="567"/>
      <c r="DG881" s="567"/>
      <c r="DH881" s="567"/>
      <c r="DI881" s="567"/>
      <c r="DJ881" s="567"/>
      <c r="DK881" s="567"/>
      <c r="DL881" s="567"/>
      <c r="DM881" s="567"/>
      <c r="DN881" s="567"/>
      <c r="DO881" s="567"/>
      <c r="DP881" s="567"/>
      <c r="DQ881" s="567"/>
      <c r="DR881" s="567"/>
      <c r="DS881" s="567"/>
      <c r="DT881" s="567"/>
      <c r="DU881" s="567"/>
      <c r="DV881" s="567"/>
      <c r="DW881" s="567"/>
      <c r="DX881" s="567"/>
      <c r="DY881" s="567"/>
      <c r="DZ881" s="567"/>
      <c r="EA881" s="567"/>
      <c r="EB881" s="567"/>
      <c r="EC881" s="567"/>
      <c r="ED881" s="567"/>
      <c r="EE881" s="567"/>
      <c r="EF881" s="567"/>
      <c r="EG881" s="567"/>
      <c r="EH881" s="567"/>
      <c r="EI881" s="567"/>
      <c r="EJ881" s="567"/>
      <c r="EK881" s="567"/>
      <c r="EL881" s="567"/>
      <c r="EM881" s="567"/>
      <c r="EN881" s="567"/>
      <c r="EO881" s="567"/>
      <c r="EP881" s="567"/>
      <c r="EQ881" s="567"/>
      <c r="ER881" s="567"/>
      <c r="ES881" s="567"/>
      <c r="ET881" s="567"/>
      <c r="EU881" s="567"/>
      <c r="EV881" s="567"/>
      <c r="EW881" s="567"/>
      <c r="EX881" s="567"/>
      <c r="EY881" s="567"/>
      <c r="EZ881" s="567"/>
      <c r="FA881" s="567"/>
      <c r="FB881" s="567"/>
      <c r="FC881" s="567"/>
      <c r="FD881" s="567"/>
      <c r="FE881" s="567"/>
      <c r="FF881" s="567"/>
      <c r="FG881" s="567"/>
      <c r="FH881" s="567"/>
      <c r="FI881" s="567"/>
      <c r="FJ881" s="567"/>
      <c r="FK881" s="567"/>
      <c r="FL881" s="567"/>
      <c r="FM881" s="567"/>
      <c r="FN881" s="567"/>
      <c r="FO881" s="567"/>
      <c r="FP881" s="567"/>
      <c r="FQ881" s="567"/>
      <c r="FR881" s="567"/>
      <c r="FS881" s="567"/>
      <c r="FT881" s="567"/>
      <c r="FU881" s="567"/>
      <c r="FV881" s="567"/>
      <c r="FW881" s="567"/>
      <c r="FX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  <c r="BW882" s="567"/>
      <c r="BX882" s="567"/>
      <c r="BY882" s="567"/>
      <c r="BZ882" s="567"/>
      <c r="CA882" s="567"/>
      <c r="CB882" s="567"/>
      <c r="CC882" s="567"/>
      <c r="CD882" s="567"/>
      <c r="CE882" s="567"/>
      <c r="CF882" s="567"/>
      <c r="CG882" s="567"/>
      <c r="CH882" s="567"/>
      <c r="CI882" s="567"/>
      <c r="CJ882" s="567"/>
      <c r="CK882" s="567"/>
      <c r="CL882" s="567"/>
      <c r="CM882" s="567"/>
      <c r="CN882" s="567"/>
      <c r="CO882" s="567"/>
      <c r="CP882" s="567"/>
      <c r="CQ882" s="567"/>
      <c r="CR882" s="567"/>
      <c r="CS882" s="567"/>
      <c r="CT882" s="567"/>
      <c r="CU882" s="567"/>
      <c r="CV882" s="567"/>
      <c r="CW882" s="567"/>
      <c r="CX882" s="567"/>
      <c r="CY882" s="567"/>
      <c r="CZ882" s="567"/>
      <c r="DA882" s="567"/>
      <c r="DB882" s="567"/>
      <c r="DC882" s="567"/>
      <c r="DD882" s="567"/>
      <c r="DE882" s="567"/>
      <c r="DF882" s="567"/>
      <c r="DG882" s="567"/>
      <c r="DH882" s="567"/>
      <c r="DI882" s="567"/>
      <c r="DJ882" s="567"/>
      <c r="DK882" s="567"/>
      <c r="DL882" s="567"/>
      <c r="DM882" s="567"/>
      <c r="DN882" s="567"/>
      <c r="DO882" s="567"/>
      <c r="DP882" s="567"/>
      <c r="DQ882" s="567"/>
      <c r="DR882" s="567"/>
      <c r="DS882" s="567"/>
      <c r="DT882" s="567"/>
      <c r="DU882" s="567"/>
      <c r="DV882" s="567"/>
      <c r="DW882" s="567"/>
      <c r="DX882" s="567"/>
      <c r="DY882" s="567"/>
      <c r="DZ882" s="567"/>
      <c r="EA882" s="567"/>
      <c r="EB882" s="567"/>
      <c r="EC882" s="567"/>
      <c r="ED882" s="567"/>
      <c r="EE882" s="567"/>
      <c r="EF882" s="567"/>
      <c r="EG882" s="567"/>
      <c r="EH882" s="567"/>
      <c r="EI882" s="567"/>
      <c r="EJ882" s="567"/>
      <c r="EK882" s="567"/>
      <c r="EL882" s="567"/>
      <c r="EM882" s="567"/>
      <c r="EN882" s="567"/>
      <c r="EO882" s="567"/>
      <c r="EP882" s="567"/>
      <c r="EQ882" s="567"/>
      <c r="ER882" s="567"/>
      <c r="ES882" s="567"/>
      <c r="ET882" s="567"/>
      <c r="EU882" s="567"/>
      <c r="EV882" s="567"/>
      <c r="EW882" s="567"/>
      <c r="EX882" s="567"/>
      <c r="EY882" s="567"/>
      <c r="EZ882" s="567"/>
      <c r="FA882" s="567"/>
      <c r="FB882" s="567"/>
      <c r="FC882" s="567"/>
      <c r="FD882" s="567"/>
      <c r="FE882" s="567"/>
      <c r="FF882" s="567"/>
      <c r="FG882" s="567"/>
      <c r="FH882" s="567"/>
      <c r="FI882" s="567"/>
      <c r="FJ882" s="567"/>
      <c r="FK882" s="567"/>
      <c r="FL882" s="567"/>
      <c r="FM882" s="567"/>
      <c r="FN882" s="567"/>
      <c r="FO882" s="567"/>
      <c r="FP882" s="567"/>
      <c r="FQ882" s="567"/>
      <c r="FR882" s="567"/>
      <c r="FS882" s="567"/>
      <c r="FT882" s="567"/>
      <c r="FU882" s="567"/>
      <c r="FV882" s="567"/>
      <c r="FW882" s="567"/>
      <c r="FX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  <c r="BW883" s="567"/>
      <c r="BX883" s="567"/>
      <c r="BY883" s="567"/>
      <c r="BZ883" s="567"/>
      <c r="CA883" s="567"/>
      <c r="CB883" s="567"/>
      <c r="CC883" s="567"/>
      <c r="CD883" s="567"/>
      <c r="CE883" s="567"/>
      <c r="CF883" s="567"/>
      <c r="CG883" s="567"/>
      <c r="CH883" s="567"/>
      <c r="CI883" s="567"/>
      <c r="CJ883" s="567"/>
      <c r="CK883" s="567"/>
      <c r="CL883" s="567"/>
      <c r="CM883" s="567"/>
      <c r="CN883" s="567"/>
      <c r="CO883" s="567"/>
      <c r="CP883" s="567"/>
      <c r="CQ883" s="567"/>
      <c r="CR883" s="567"/>
      <c r="CS883" s="567"/>
      <c r="CT883" s="567"/>
      <c r="CU883" s="567"/>
      <c r="CV883" s="567"/>
      <c r="CW883" s="567"/>
      <c r="CX883" s="567"/>
      <c r="CY883" s="567"/>
      <c r="CZ883" s="567"/>
      <c r="DA883" s="567"/>
      <c r="DB883" s="567"/>
      <c r="DC883" s="567"/>
      <c r="DD883" s="567"/>
      <c r="DE883" s="567"/>
      <c r="DF883" s="567"/>
      <c r="DG883" s="567"/>
      <c r="DH883" s="567"/>
      <c r="DI883" s="567"/>
      <c r="DJ883" s="567"/>
      <c r="DK883" s="567"/>
      <c r="DL883" s="567"/>
      <c r="DM883" s="567"/>
      <c r="DN883" s="567"/>
      <c r="DO883" s="567"/>
      <c r="DP883" s="567"/>
      <c r="DQ883" s="567"/>
      <c r="DR883" s="567"/>
      <c r="DS883" s="567"/>
      <c r="DT883" s="567"/>
      <c r="DU883" s="567"/>
      <c r="DV883" s="567"/>
      <c r="DW883" s="567"/>
      <c r="DX883" s="567"/>
      <c r="DY883" s="567"/>
      <c r="DZ883" s="567"/>
      <c r="EA883" s="567"/>
      <c r="EB883" s="567"/>
      <c r="EC883" s="567"/>
      <c r="ED883" s="567"/>
      <c r="EE883" s="567"/>
      <c r="EF883" s="567"/>
      <c r="EG883" s="567"/>
      <c r="EH883" s="567"/>
      <c r="EI883" s="567"/>
      <c r="EJ883" s="567"/>
      <c r="EK883" s="567"/>
      <c r="EL883" s="567"/>
      <c r="EM883" s="567"/>
      <c r="EN883" s="567"/>
      <c r="EO883" s="567"/>
      <c r="EP883" s="567"/>
      <c r="EQ883" s="567"/>
      <c r="ER883" s="567"/>
      <c r="ES883" s="567"/>
      <c r="ET883" s="567"/>
      <c r="EU883" s="567"/>
      <c r="EV883" s="567"/>
      <c r="EW883" s="567"/>
      <c r="EX883" s="567"/>
      <c r="EY883" s="567"/>
      <c r="EZ883" s="567"/>
      <c r="FA883" s="567"/>
      <c r="FB883" s="567"/>
      <c r="FC883" s="567"/>
      <c r="FD883" s="567"/>
      <c r="FE883" s="567"/>
      <c r="FF883" s="567"/>
      <c r="FG883" s="567"/>
      <c r="FH883" s="567"/>
      <c r="FI883" s="567"/>
      <c r="FJ883" s="567"/>
      <c r="FK883" s="567"/>
      <c r="FL883" s="567"/>
      <c r="FM883" s="567"/>
      <c r="FN883" s="567"/>
      <c r="FO883" s="567"/>
      <c r="FP883" s="567"/>
      <c r="FQ883" s="567"/>
      <c r="FR883" s="567"/>
      <c r="FS883" s="567"/>
      <c r="FT883" s="567"/>
      <c r="FU883" s="567"/>
      <c r="FV883" s="567"/>
      <c r="FW883" s="567"/>
      <c r="FX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  <c r="BW884" s="567"/>
      <c r="BX884" s="567"/>
      <c r="BY884" s="567"/>
      <c r="BZ884" s="567"/>
      <c r="CA884" s="567"/>
      <c r="CB884" s="567"/>
      <c r="CC884" s="567"/>
      <c r="CD884" s="567"/>
      <c r="CE884" s="567"/>
      <c r="CF884" s="567"/>
      <c r="CG884" s="567"/>
      <c r="CH884" s="567"/>
      <c r="CI884" s="567"/>
      <c r="CJ884" s="567"/>
      <c r="CK884" s="567"/>
      <c r="CL884" s="567"/>
      <c r="CM884" s="567"/>
      <c r="CN884" s="567"/>
      <c r="CO884" s="567"/>
      <c r="CP884" s="567"/>
      <c r="CQ884" s="567"/>
      <c r="CR884" s="567"/>
      <c r="CS884" s="567"/>
      <c r="CT884" s="567"/>
      <c r="CU884" s="567"/>
      <c r="CV884" s="567"/>
      <c r="CW884" s="567"/>
      <c r="CX884" s="567"/>
      <c r="CY884" s="567"/>
      <c r="CZ884" s="567"/>
      <c r="DA884" s="567"/>
      <c r="DB884" s="567"/>
      <c r="DC884" s="567"/>
      <c r="DD884" s="567"/>
      <c r="DE884" s="567"/>
      <c r="DF884" s="567"/>
      <c r="DG884" s="567"/>
      <c r="DH884" s="567"/>
      <c r="DI884" s="567"/>
      <c r="DJ884" s="567"/>
      <c r="DK884" s="567"/>
      <c r="DL884" s="567"/>
      <c r="DM884" s="567"/>
      <c r="DN884" s="567"/>
      <c r="DO884" s="567"/>
      <c r="DP884" s="567"/>
      <c r="DQ884" s="567"/>
      <c r="DR884" s="567"/>
      <c r="DS884" s="567"/>
      <c r="DT884" s="567"/>
      <c r="DU884" s="567"/>
      <c r="DV884" s="567"/>
      <c r="DW884" s="567"/>
      <c r="DX884" s="567"/>
      <c r="DY884" s="567"/>
      <c r="DZ884" s="567"/>
      <c r="EA884" s="567"/>
      <c r="EB884" s="567"/>
      <c r="EC884" s="567"/>
      <c r="ED884" s="567"/>
      <c r="EE884" s="567"/>
      <c r="EF884" s="567"/>
      <c r="EG884" s="567"/>
      <c r="EH884" s="567"/>
      <c r="EI884" s="567"/>
      <c r="EJ884" s="567"/>
      <c r="EK884" s="567"/>
      <c r="EL884" s="567"/>
      <c r="EM884" s="567"/>
      <c r="EN884" s="567"/>
      <c r="EO884" s="567"/>
      <c r="EP884" s="567"/>
      <c r="EQ884" s="567"/>
      <c r="ER884" s="567"/>
      <c r="ES884" s="567"/>
      <c r="ET884" s="567"/>
      <c r="EU884" s="567"/>
      <c r="EV884" s="567"/>
      <c r="EW884" s="567"/>
      <c r="EX884" s="567"/>
      <c r="EY884" s="567"/>
      <c r="EZ884" s="567"/>
      <c r="FA884" s="567"/>
      <c r="FB884" s="567"/>
      <c r="FC884" s="567"/>
      <c r="FD884" s="567"/>
      <c r="FE884" s="567"/>
      <c r="FF884" s="567"/>
      <c r="FG884" s="567"/>
      <c r="FH884" s="567"/>
      <c r="FI884" s="567"/>
      <c r="FJ884" s="567"/>
      <c r="FK884" s="567"/>
      <c r="FL884" s="567"/>
      <c r="FM884" s="567"/>
      <c r="FN884" s="567"/>
      <c r="FO884" s="567"/>
      <c r="FP884" s="567"/>
      <c r="FQ884" s="567"/>
      <c r="FR884" s="567"/>
      <c r="FS884" s="567"/>
      <c r="FT884" s="567"/>
      <c r="FU884" s="567"/>
      <c r="FV884" s="567"/>
      <c r="FW884" s="567"/>
      <c r="FX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  <c r="BW885" s="567"/>
      <c r="BX885" s="567"/>
      <c r="BY885" s="567"/>
      <c r="BZ885" s="567"/>
      <c r="CA885" s="567"/>
      <c r="CB885" s="567"/>
      <c r="CC885" s="567"/>
      <c r="CD885" s="567"/>
      <c r="CE885" s="567"/>
      <c r="CF885" s="567"/>
      <c r="CG885" s="567"/>
      <c r="CH885" s="567"/>
      <c r="CI885" s="567"/>
      <c r="CJ885" s="567"/>
      <c r="CK885" s="567"/>
      <c r="CL885" s="567"/>
      <c r="CM885" s="567"/>
      <c r="CN885" s="567"/>
      <c r="CO885" s="567"/>
      <c r="CP885" s="567"/>
      <c r="CQ885" s="567"/>
      <c r="CR885" s="567"/>
      <c r="CS885" s="567"/>
      <c r="CT885" s="567"/>
      <c r="CU885" s="567"/>
      <c r="CV885" s="567"/>
      <c r="CW885" s="567"/>
      <c r="CX885" s="567"/>
      <c r="CY885" s="567"/>
      <c r="CZ885" s="567"/>
      <c r="DA885" s="567"/>
      <c r="DB885" s="567"/>
      <c r="DC885" s="567"/>
      <c r="DD885" s="567"/>
      <c r="DE885" s="567"/>
      <c r="DF885" s="567"/>
      <c r="DG885" s="567"/>
      <c r="DH885" s="567"/>
      <c r="DI885" s="567"/>
      <c r="DJ885" s="567"/>
      <c r="DK885" s="567"/>
      <c r="DL885" s="567"/>
      <c r="DM885" s="567"/>
      <c r="DN885" s="567"/>
      <c r="DO885" s="567"/>
      <c r="DP885" s="567"/>
      <c r="DQ885" s="567"/>
      <c r="DR885" s="567"/>
      <c r="DS885" s="567"/>
      <c r="DT885" s="567"/>
      <c r="DU885" s="567"/>
      <c r="DV885" s="567"/>
      <c r="DW885" s="567"/>
      <c r="DX885" s="567"/>
      <c r="DY885" s="567"/>
      <c r="DZ885" s="567"/>
      <c r="EA885" s="567"/>
      <c r="EB885" s="567"/>
      <c r="EC885" s="567"/>
      <c r="ED885" s="567"/>
      <c r="EE885" s="567"/>
      <c r="EF885" s="567"/>
      <c r="EG885" s="567"/>
      <c r="EH885" s="567"/>
      <c r="EI885" s="567"/>
      <c r="EJ885" s="567"/>
      <c r="EK885" s="567"/>
      <c r="EL885" s="567"/>
      <c r="EM885" s="567"/>
      <c r="EN885" s="567"/>
      <c r="EO885" s="567"/>
      <c r="EP885" s="567"/>
      <c r="EQ885" s="567"/>
      <c r="ER885" s="567"/>
      <c r="ES885" s="567"/>
      <c r="ET885" s="567"/>
      <c r="EU885" s="567"/>
      <c r="EV885" s="567"/>
      <c r="EW885" s="567"/>
      <c r="EX885" s="567"/>
      <c r="EY885" s="567"/>
      <c r="EZ885" s="567"/>
      <c r="FA885" s="567"/>
      <c r="FB885" s="567"/>
      <c r="FC885" s="567"/>
      <c r="FD885" s="567"/>
      <c r="FE885" s="567"/>
      <c r="FF885" s="567"/>
      <c r="FG885" s="567"/>
      <c r="FH885" s="567"/>
      <c r="FI885" s="567"/>
      <c r="FJ885" s="567"/>
      <c r="FK885" s="567"/>
      <c r="FL885" s="567"/>
      <c r="FM885" s="567"/>
      <c r="FN885" s="567"/>
      <c r="FO885" s="567"/>
      <c r="FP885" s="567"/>
      <c r="FQ885" s="567"/>
      <c r="FR885" s="567"/>
      <c r="FS885" s="567"/>
      <c r="FT885" s="567"/>
      <c r="FU885" s="567"/>
      <c r="FV885" s="567"/>
      <c r="FW885" s="567"/>
      <c r="FX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  <c r="BW886" s="567"/>
      <c r="BX886" s="567"/>
      <c r="BY886" s="567"/>
      <c r="BZ886" s="567"/>
      <c r="CA886" s="567"/>
      <c r="CB886" s="567"/>
      <c r="CC886" s="567"/>
      <c r="CD886" s="567"/>
      <c r="CE886" s="567"/>
      <c r="CF886" s="567"/>
      <c r="CG886" s="567"/>
      <c r="CH886" s="567"/>
      <c r="CI886" s="567"/>
      <c r="CJ886" s="567"/>
      <c r="CK886" s="567"/>
      <c r="CL886" s="567"/>
      <c r="CM886" s="567"/>
      <c r="CN886" s="567"/>
      <c r="CO886" s="567"/>
      <c r="CP886" s="567"/>
      <c r="CQ886" s="567"/>
      <c r="CR886" s="567"/>
      <c r="CS886" s="567"/>
      <c r="CT886" s="567"/>
      <c r="CU886" s="567"/>
      <c r="CV886" s="567"/>
      <c r="CW886" s="567"/>
      <c r="CX886" s="567"/>
      <c r="CY886" s="567"/>
      <c r="CZ886" s="567"/>
      <c r="DA886" s="567"/>
      <c r="DB886" s="567"/>
      <c r="DC886" s="567"/>
      <c r="DD886" s="567"/>
      <c r="DE886" s="567"/>
      <c r="DF886" s="567"/>
      <c r="DG886" s="567"/>
      <c r="DH886" s="567"/>
      <c r="DI886" s="567"/>
      <c r="DJ886" s="567"/>
      <c r="DK886" s="567"/>
      <c r="DL886" s="567"/>
      <c r="DM886" s="567"/>
      <c r="DN886" s="567"/>
      <c r="DO886" s="567"/>
      <c r="DP886" s="567"/>
      <c r="DQ886" s="567"/>
      <c r="DR886" s="567"/>
      <c r="DS886" s="567"/>
      <c r="DT886" s="567"/>
      <c r="DU886" s="567"/>
      <c r="DV886" s="567"/>
      <c r="DW886" s="567"/>
      <c r="DX886" s="567"/>
      <c r="DY886" s="567"/>
      <c r="DZ886" s="567"/>
      <c r="EA886" s="567"/>
      <c r="EB886" s="567"/>
      <c r="EC886" s="567"/>
      <c r="ED886" s="567"/>
      <c r="EE886" s="567"/>
      <c r="EF886" s="567"/>
      <c r="EG886" s="567"/>
      <c r="EH886" s="567"/>
      <c r="EI886" s="567"/>
      <c r="EJ886" s="567"/>
      <c r="EK886" s="567"/>
      <c r="EL886" s="567"/>
      <c r="EM886" s="567"/>
      <c r="EN886" s="567"/>
      <c r="EO886" s="567"/>
      <c r="EP886" s="567"/>
      <c r="EQ886" s="567"/>
      <c r="ER886" s="567"/>
      <c r="ES886" s="567"/>
      <c r="ET886" s="567"/>
      <c r="EU886" s="567"/>
      <c r="EV886" s="567"/>
      <c r="EW886" s="567"/>
      <c r="EX886" s="567"/>
      <c r="EY886" s="567"/>
      <c r="EZ886" s="567"/>
      <c r="FA886" s="567"/>
      <c r="FB886" s="567"/>
      <c r="FC886" s="567"/>
      <c r="FD886" s="567"/>
      <c r="FE886" s="567"/>
      <c r="FF886" s="567"/>
      <c r="FG886" s="567"/>
      <c r="FH886" s="567"/>
      <c r="FI886" s="567"/>
      <c r="FJ886" s="567"/>
      <c r="FK886" s="567"/>
      <c r="FL886" s="567"/>
      <c r="FM886" s="567"/>
      <c r="FN886" s="567"/>
      <c r="FO886" s="567"/>
      <c r="FP886" s="567"/>
      <c r="FQ886" s="567"/>
      <c r="FR886" s="567"/>
      <c r="FS886" s="567"/>
      <c r="FT886" s="567"/>
      <c r="FU886" s="567"/>
      <c r="FV886" s="567"/>
      <c r="FW886" s="567"/>
      <c r="FX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  <c r="BW887" s="567"/>
      <c r="BX887" s="567"/>
      <c r="BY887" s="567"/>
      <c r="BZ887" s="567"/>
      <c r="CA887" s="567"/>
      <c r="CB887" s="567"/>
      <c r="CC887" s="567"/>
      <c r="CD887" s="567"/>
      <c r="CE887" s="567"/>
      <c r="CF887" s="567"/>
      <c r="CG887" s="567"/>
      <c r="CH887" s="567"/>
      <c r="CI887" s="567"/>
      <c r="CJ887" s="567"/>
      <c r="CK887" s="567"/>
      <c r="CL887" s="567"/>
      <c r="CM887" s="567"/>
      <c r="CN887" s="567"/>
      <c r="CO887" s="567"/>
      <c r="CP887" s="567"/>
      <c r="CQ887" s="567"/>
      <c r="CR887" s="567"/>
      <c r="CS887" s="567"/>
      <c r="CT887" s="567"/>
      <c r="CU887" s="567"/>
      <c r="CV887" s="567"/>
      <c r="CW887" s="567"/>
      <c r="CX887" s="567"/>
      <c r="CY887" s="567"/>
      <c r="CZ887" s="567"/>
      <c r="DA887" s="567"/>
      <c r="DB887" s="567"/>
      <c r="DC887" s="567"/>
      <c r="DD887" s="567"/>
      <c r="DE887" s="567"/>
      <c r="DF887" s="567"/>
      <c r="DG887" s="567"/>
      <c r="DH887" s="567"/>
      <c r="DI887" s="567"/>
      <c r="DJ887" s="567"/>
      <c r="DK887" s="567"/>
      <c r="DL887" s="567"/>
      <c r="DM887" s="567"/>
      <c r="DN887" s="567"/>
      <c r="DO887" s="567"/>
      <c r="DP887" s="567"/>
      <c r="DQ887" s="567"/>
      <c r="DR887" s="567"/>
      <c r="DS887" s="567"/>
      <c r="DT887" s="567"/>
      <c r="DU887" s="567"/>
      <c r="DV887" s="567"/>
      <c r="DW887" s="567"/>
      <c r="DX887" s="567"/>
      <c r="DY887" s="567"/>
      <c r="DZ887" s="567"/>
      <c r="EA887" s="567"/>
      <c r="EB887" s="567"/>
      <c r="EC887" s="567"/>
      <c r="ED887" s="567"/>
      <c r="EE887" s="567"/>
      <c r="EF887" s="567"/>
      <c r="EG887" s="567"/>
      <c r="EH887" s="567"/>
      <c r="EI887" s="567"/>
      <c r="EJ887" s="567"/>
      <c r="EK887" s="567"/>
      <c r="EL887" s="567"/>
      <c r="EM887" s="567"/>
      <c r="EN887" s="567"/>
      <c r="EO887" s="567"/>
      <c r="EP887" s="567"/>
      <c r="EQ887" s="567"/>
      <c r="ER887" s="567"/>
      <c r="ES887" s="567"/>
      <c r="ET887" s="567"/>
      <c r="EU887" s="567"/>
      <c r="EV887" s="567"/>
      <c r="EW887" s="567"/>
      <c r="EX887" s="567"/>
      <c r="EY887" s="567"/>
      <c r="EZ887" s="567"/>
      <c r="FA887" s="567"/>
      <c r="FB887" s="567"/>
      <c r="FC887" s="567"/>
      <c r="FD887" s="567"/>
      <c r="FE887" s="567"/>
      <c r="FF887" s="567"/>
      <c r="FG887" s="567"/>
      <c r="FH887" s="567"/>
      <c r="FI887" s="567"/>
      <c r="FJ887" s="567"/>
      <c r="FK887" s="567"/>
      <c r="FL887" s="567"/>
      <c r="FM887" s="567"/>
      <c r="FN887" s="567"/>
      <c r="FO887" s="567"/>
      <c r="FP887" s="567"/>
      <c r="FQ887" s="567"/>
      <c r="FR887" s="567"/>
      <c r="FS887" s="567"/>
      <c r="FT887" s="567"/>
      <c r="FU887" s="567"/>
      <c r="FV887" s="567"/>
      <c r="FW887" s="567"/>
      <c r="FX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  <c r="BW888" s="567"/>
      <c r="BX888" s="567"/>
      <c r="BY888" s="567"/>
      <c r="BZ888" s="567"/>
      <c r="CA888" s="567"/>
      <c r="CB888" s="567"/>
      <c r="CC888" s="567"/>
      <c r="CD888" s="567"/>
      <c r="CE888" s="567"/>
      <c r="CF888" s="567"/>
      <c r="CG888" s="567"/>
      <c r="CH888" s="567"/>
      <c r="CI888" s="567"/>
      <c r="CJ888" s="567"/>
      <c r="CK888" s="567"/>
      <c r="CL888" s="567"/>
      <c r="CM888" s="567"/>
      <c r="CN888" s="567"/>
      <c r="CO888" s="567"/>
      <c r="CP888" s="567"/>
      <c r="CQ888" s="567"/>
      <c r="CR888" s="567"/>
      <c r="CS888" s="567"/>
      <c r="CT888" s="567"/>
      <c r="CU888" s="567"/>
      <c r="CV888" s="567"/>
      <c r="CW888" s="567"/>
      <c r="CX888" s="567"/>
      <c r="CY888" s="567"/>
      <c r="CZ888" s="567"/>
      <c r="DA888" s="567"/>
      <c r="DB888" s="567"/>
      <c r="DC888" s="567"/>
      <c r="DD888" s="567"/>
      <c r="DE888" s="567"/>
      <c r="DF888" s="567"/>
      <c r="DG888" s="567"/>
      <c r="DH888" s="567"/>
      <c r="DI888" s="567"/>
      <c r="DJ888" s="567"/>
      <c r="DK888" s="567"/>
      <c r="DL888" s="567"/>
      <c r="DM888" s="567"/>
      <c r="DN888" s="567"/>
      <c r="DO888" s="567"/>
      <c r="DP888" s="567"/>
      <c r="DQ888" s="567"/>
      <c r="DR888" s="567"/>
      <c r="DS888" s="567"/>
      <c r="DT888" s="567"/>
      <c r="DU888" s="567"/>
      <c r="DV888" s="567"/>
      <c r="DW888" s="567"/>
      <c r="DX888" s="567"/>
      <c r="DY888" s="567"/>
      <c r="DZ888" s="567"/>
      <c r="EA888" s="567"/>
      <c r="EB888" s="567"/>
      <c r="EC888" s="567"/>
      <c r="ED888" s="567"/>
      <c r="EE888" s="567"/>
      <c r="EF888" s="567"/>
      <c r="EG888" s="567"/>
      <c r="EH888" s="567"/>
      <c r="EI888" s="567"/>
      <c r="EJ888" s="567"/>
      <c r="EK888" s="567"/>
      <c r="EL888" s="567"/>
      <c r="EM888" s="567"/>
      <c r="EN888" s="567"/>
      <c r="EO888" s="567"/>
      <c r="EP888" s="567"/>
      <c r="EQ888" s="567"/>
      <c r="ER888" s="567"/>
      <c r="ES888" s="567"/>
      <c r="ET888" s="567"/>
      <c r="EU888" s="567"/>
      <c r="EV888" s="567"/>
      <c r="EW888" s="567"/>
      <c r="EX888" s="567"/>
      <c r="EY888" s="567"/>
      <c r="EZ888" s="567"/>
      <c r="FA888" s="567"/>
      <c r="FB888" s="567"/>
      <c r="FC888" s="567"/>
      <c r="FD888" s="567"/>
      <c r="FE888" s="567"/>
      <c r="FF888" s="567"/>
      <c r="FG888" s="567"/>
      <c r="FH888" s="567"/>
      <c r="FI888" s="567"/>
      <c r="FJ888" s="567"/>
      <c r="FK888" s="567"/>
      <c r="FL888" s="567"/>
      <c r="FM888" s="567"/>
      <c r="FN888" s="567"/>
      <c r="FO888" s="567"/>
      <c r="FP888" s="567"/>
      <c r="FQ888" s="567"/>
      <c r="FR888" s="567"/>
      <c r="FS888" s="567"/>
      <c r="FT888" s="567"/>
      <c r="FU888" s="567"/>
      <c r="FV888" s="567"/>
      <c r="FW888" s="567"/>
      <c r="FX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  <c r="BW889" s="567"/>
      <c r="BX889" s="567"/>
      <c r="BY889" s="567"/>
      <c r="BZ889" s="567"/>
      <c r="CA889" s="567"/>
      <c r="CB889" s="567"/>
      <c r="CC889" s="567"/>
      <c r="CD889" s="567"/>
      <c r="CE889" s="567"/>
      <c r="CF889" s="567"/>
      <c r="CG889" s="567"/>
      <c r="CH889" s="567"/>
      <c r="CI889" s="567"/>
      <c r="CJ889" s="567"/>
      <c r="CK889" s="567"/>
      <c r="CL889" s="567"/>
      <c r="CM889" s="567"/>
      <c r="CN889" s="567"/>
      <c r="CO889" s="567"/>
      <c r="CP889" s="567"/>
      <c r="CQ889" s="567"/>
      <c r="CR889" s="567"/>
      <c r="CS889" s="567"/>
      <c r="CT889" s="567"/>
      <c r="CU889" s="567"/>
      <c r="CV889" s="567"/>
      <c r="CW889" s="567"/>
      <c r="CX889" s="567"/>
      <c r="CY889" s="567"/>
      <c r="CZ889" s="567"/>
      <c r="DA889" s="567"/>
      <c r="DB889" s="567"/>
      <c r="DC889" s="567"/>
      <c r="DD889" s="567"/>
      <c r="DE889" s="567"/>
      <c r="DF889" s="567"/>
      <c r="DG889" s="567"/>
      <c r="DH889" s="567"/>
      <c r="DI889" s="567"/>
      <c r="DJ889" s="567"/>
      <c r="DK889" s="567"/>
      <c r="DL889" s="567"/>
      <c r="DM889" s="567"/>
      <c r="DN889" s="567"/>
      <c r="DO889" s="567"/>
      <c r="DP889" s="567"/>
      <c r="DQ889" s="567"/>
      <c r="DR889" s="567"/>
      <c r="DS889" s="567"/>
      <c r="DT889" s="567"/>
      <c r="DU889" s="567"/>
      <c r="DV889" s="567"/>
      <c r="DW889" s="567"/>
      <c r="DX889" s="567"/>
      <c r="DY889" s="567"/>
      <c r="DZ889" s="567"/>
      <c r="EA889" s="567"/>
      <c r="EB889" s="567"/>
      <c r="EC889" s="567"/>
      <c r="ED889" s="567"/>
      <c r="EE889" s="567"/>
      <c r="EF889" s="567"/>
      <c r="EG889" s="567"/>
      <c r="EH889" s="567"/>
      <c r="EI889" s="567"/>
      <c r="EJ889" s="567"/>
      <c r="EK889" s="567"/>
      <c r="EL889" s="567"/>
      <c r="EM889" s="567"/>
      <c r="EN889" s="567"/>
      <c r="EO889" s="567"/>
      <c r="EP889" s="567"/>
      <c r="EQ889" s="567"/>
      <c r="ER889" s="567"/>
      <c r="ES889" s="567"/>
      <c r="ET889" s="567"/>
      <c r="EU889" s="567"/>
      <c r="EV889" s="567"/>
      <c r="EW889" s="567"/>
      <c r="EX889" s="567"/>
      <c r="EY889" s="567"/>
      <c r="EZ889" s="567"/>
      <c r="FA889" s="567"/>
      <c r="FB889" s="567"/>
      <c r="FC889" s="567"/>
      <c r="FD889" s="567"/>
      <c r="FE889" s="567"/>
      <c r="FF889" s="567"/>
      <c r="FG889" s="567"/>
      <c r="FH889" s="567"/>
      <c r="FI889" s="567"/>
      <c r="FJ889" s="567"/>
      <c r="FK889" s="567"/>
      <c r="FL889" s="567"/>
      <c r="FM889" s="567"/>
      <c r="FN889" s="567"/>
      <c r="FO889" s="567"/>
      <c r="FP889" s="567"/>
      <c r="FQ889" s="567"/>
      <c r="FR889" s="567"/>
      <c r="FS889" s="567"/>
      <c r="FT889" s="567"/>
      <c r="FU889" s="567"/>
      <c r="FV889" s="567"/>
      <c r="FW889" s="567"/>
      <c r="FX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  <c r="BW890" s="567"/>
      <c r="BX890" s="567"/>
      <c r="BY890" s="567"/>
      <c r="BZ890" s="567"/>
      <c r="CA890" s="567"/>
      <c r="CB890" s="567"/>
      <c r="CC890" s="567"/>
      <c r="CD890" s="567"/>
      <c r="CE890" s="567"/>
      <c r="CF890" s="567"/>
      <c r="CG890" s="567"/>
      <c r="CH890" s="567"/>
      <c r="CI890" s="567"/>
      <c r="CJ890" s="567"/>
      <c r="CK890" s="567"/>
      <c r="CL890" s="567"/>
      <c r="CM890" s="567"/>
      <c r="CN890" s="567"/>
      <c r="CO890" s="567"/>
      <c r="CP890" s="567"/>
      <c r="CQ890" s="567"/>
      <c r="CR890" s="567"/>
      <c r="CS890" s="567"/>
      <c r="CT890" s="567"/>
      <c r="CU890" s="567"/>
      <c r="CV890" s="567"/>
      <c r="CW890" s="567"/>
      <c r="CX890" s="567"/>
      <c r="CY890" s="567"/>
      <c r="CZ890" s="567"/>
      <c r="DA890" s="567"/>
      <c r="DB890" s="567"/>
      <c r="DC890" s="567"/>
      <c r="DD890" s="567"/>
      <c r="DE890" s="567"/>
      <c r="DF890" s="567"/>
      <c r="DG890" s="567"/>
      <c r="DH890" s="567"/>
      <c r="DI890" s="567"/>
      <c r="DJ890" s="567"/>
      <c r="DK890" s="567"/>
      <c r="DL890" s="567"/>
      <c r="DM890" s="567"/>
      <c r="DN890" s="567"/>
      <c r="DO890" s="567"/>
      <c r="DP890" s="567"/>
      <c r="DQ890" s="567"/>
      <c r="DR890" s="567"/>
      <c r="DS890" s="567"/>
      <c r="DT890" s="567"/>
      <c r="DU890" s="567"/>
      <c r="DV890" s="567"/>
      <c r="DW890" s="567"/>
      <c r="DX890" s="567"/>
      <c r="DY890" s="567"/>
      <c r="DZ890" s="567"/>
      <c r="EA890" s="567"/>
      <c r="EB890" s="567"/>
      <c r="EC890" s="567"/>
      <c r="ED890" s="567"/>
      <c r="EE890" s="567"/>
      <c r="EF890" s="567"/>
      <c r="EG890" s="567"/>
      <c r="EH890" s="567"/>
      <c r="EI890" s="567"/>
      <c r="EJ890" s="567"/>
      <c r="EK890" s="567"/>
      <c r="EL890" s="567"/>
      <c r="EM890" s="567"/>
      <c r="EN890" s="567"/>
      <c r="EO890" s="567"/>
      <c r="EP890" s="567"/>
      <c r="EQ890" s="567"/>
      <c r="ER890" s="567"/>
      <c r="ES890" s="567"/>
      <c r="ET890" s="567"/>
      <c r="EU890" s="567"/>
      <c r="EV890" s="567"/>
      <c r="EW890" s="567"/>
      <c r="EX890" s="567"/>
      <c r="EY890" s="567"/>
      <c r="EZ890" s="567"/>
      <c r="FA890" s="567"/>
      <c r="FB890" s="567"/>
      <c r="FC890" s="567"/>
      <c r="FD890" s="567"/>
      <c r="FE890" s="567"/>
      <c r="FF890" s="567"/>
      <c r="FG890" s="567"/>
      <c r="FH890" s="567"/>
      <c r="FI890" s="567"/>
      <c r="FJ890" s="567"/>
      <c r="FK890" s="567"/>
      <c r="FL890" s="567"/>
      <c r="FM890" s="567"/>
      <c r="FN890" s="567"/>
      <c r="FO890" s="567"/>
      <c r="FP890" s="567"/>
      <c r="FQ890" s="567"/>
      <c r="FR890" s="567"/>
      <c r="FS890" s="567"/>
      <c r="FT890" s="567"/>
      <c r="FU890" s="567"/>
      <c r="FV890" s="567"/>
      <c r="FW890" s="567"/>
      <c r="FX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  <c r="BW891" s="567"/>
      <c r="BX891" s="567"/>
      <c r="BY891" s="567"/>
      <c r="BZ891" s="567"/>
      <c r="CA891" s="567"/>
      <c r="CB891" s="567"/>
      <c r="CC891" s="567"/>
      <c r="CD891" s="567"/>
      <c r="CE891" s="567"/>
      <c r="CF891" s="567"/>
      <c r="CG891" s="567"/>
      <c r="CH891" s="567"/>
      <c r="CI891" s="567"/>
      <c r="CJ891" s="567"/>
      <c r="CK891" s="567"/>
      <c r="CL891" s="567"/>
      <c r="CM891" s="567"/>
      <c r="CN891" s="567"/>
      <c r="CO891" s="567"/>
      <c r="CP891" s="567"/>
      <c r="CQ891" s="567"/>
      <c r="CR891" s="567"/>
      <c r="CS891" s="567"/>
      <c r="CT891" s="567"/>
      <c r="CU891" s="567"/>
      <c r="CV891" s="567"/>
      <c r="CW891" s="567"/>
      <c r="CX891" s="567"/>
      <c r="CY891" s="567"/>
      <c r="CZ891" s="567"/>
      <c r="DA891" s="567"/>
      <c r="DB891" s="567"/>
      <c r="DC891" s="567"/>
      <c r="DD891" s="567"/>
      <c r="DE891" s="567"/>
      <c r="DF891" s="567"/>
      <c r="DG891" s="567"/>
      <c r="DH891" s="567"/>
      <c r="DI891" s="567"/>
      <c r="DJ891" s="567"/>
      <c r="DK891" s="567"/>
      <c r="DL891" s="567"/>
      <c r="DM891" s="567"/>
      <c r="DN891" s="567"/>
      <c r="DO891" s="567"/>
      <c r="DP891" s="567"/>
      <c r="DQ891" s="567"/>
      <c r="DR891" s="567"/>
      <c r="DS891" s="567"/>
      <c r="DT891" s="567"/>
      <c r="DU891" s="567"/>
      <c r="DV891" s="567"/>
      <c r="DW891" s="567"/>
      <c r="DX891" s="567"/>
      <c r="DY891" s="567"/>
      <c r="DZ891" s="567"/>
      <c r="EA891" s="567"/>
      <c r="EB891" s="567"/>
      <c r="EC891" s="567"/>
      <c r="ED891" s="567"/>
      <c r="EE891" s="567"/>
      <c r="EF891" s="567"/>
      <c r="EG891" s="567"/>
      <c r="EH891" s="567"/>
      <c r="EI891" s="567"/>
      <c r="EJ891" s="567"/>
      <c r="EK891" s="567"/>
      <c r="EL891" s="567"/>
      <c r="EM891" s="567"/>
      <c r="EN891" s="567"/>
      <c r="EO891" s="567"/>
      <c r="EP891" s="567"/>
      <c r="EQ891" s="567"/>
      <c r="ER891" s="567"/>
      <c r="ES891" s="567"/>
      <c r="ET891" s="567"/>
      <c r="EU891" s="567"/>
      <c r="EV891" s="567"/>
      <c r="EW891" s="567"/>
      <c r="EX891" s="567"/>
      <c r="EY891" s="567"/>
      <c r="EZ891" s="567"/>
      <c r="FA891" s="567"/>
      <c r="FB891" s="567"/>
      <c r="FC891" s="567"/>
      <c r="FD891" s="567"/>
      <c r="FE891" s="567"/>
      <c r="FF891" s="567"/>
      <c r="FG891" s="567"/>
      <c r="FH891" s="567"/>
      <c r="FI891" s="567"/>
      <c r="FJ891" s="567"/>
      <c r="FK891" s="567"/>
      <c r="FL891" s="567"/>
      <c r="FM891" s="567"/>
      <c r="FN891" s="567"/>
      <c r="FO891" s="567"/>
      <c r="FP891" s="567"/>
      <c r="FQ891" s="567"/>
      <c r="FR891" s="567"/>
      <c r="FS891" s="567"/>
      <c r="FT891" s="567"/>
      <c r="FU891" s="567"/>
      <c r="FV891" s="567"/>
      <c r="FW891" s="567"/>
      <c r="FX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  <c r="BW892" s="567"/>
      <c r="BX892" s="567"/>
      <c r="BY892" s="567"/>
      <c r="BZ892" s="567"/>
      <c r="CA892" s="567"/>
      <c r="CB892" s="567"/>
      <c r="CC892" s="567"/>
      <c r="CD892" s="567"/>
      <c r="CE892" s="567"/>
      <c r="CF892" s="567"/>
      <c r="CG892" s="567"/>
      <c r="CH892" s="567"/>
      <c r="CI892" s="567"/>
      <c r="CJ892" s="567"/>
      <c r="CK892" s="567"/>
      <c r="CL892" s="567"/>
      <c r="CM892" s="567"/>
      <c r="CN892" s="567"/>
      <c r="CO892" s="567"/>
      <c r="CP892" s="567"/>
      <c r="CQ892" s="567"/>
      <c r="CR892" s="567"/>
      <c r="CS892" s="567"/>
      <c r="CT892" s="567"/>
      <c r="CU892" s="567"/>
      <c r="CV892" s="567"/>
      <c r="CW892" s="567"/>
      <c r="CX892" s="567"/>
      <c r="CY892" s="567"/>
      <c r="CZ892" s="567"/>
      <c r="DA892" s="567"/>
      <c r="DB892" s="567"/>
      <c r="DC892" s="567"/>
      <c r="DD892" s="567"/>
      <c r="DE892" s="567"/>
      <c r="DF892" s="567"/>
      <c r="DG892" s="567"/>
      <c r="DH892" s="567"/>
      <c r="DI892" s="567"/>
      <c r="DJ892" s="567"/>
      <c r="DK892" s="567"/>
      <c r="DL892" s="567"/>
      <c r="DM892" s="567"/>
      <c r="DN892" s="567"/>
      <c r="DO892" s="567"/>
      <c r="DP892" s="567"/>
      <c r="DQ892" s="567"/>
      <c r="DR892" s="567"/>
      <c r="DS892" s="567"/>
      <c r="DT892" s="567"/>
      <c r="DU892" s="567"/>
      <c r="DV892" s="567"/>
      <c r="DW892" s="567"/>
      <c r="DX892" s="567"/>
      <c r="DY892" s="567"/>
      <c r="DZ892" s="567"/>
      <c r="EA892" s="567"/>
      <c r="EB892" s="567"/>
      <c r="EC892" s="567"/>
      <c r="ED892" s="567"/>
      <c r="EE892" s="567"/>
      <c r="EF892" s="567"/>
      <c r="EG892" s="567"/>
      <c r="EH892" s="567"/>
      <c r="EI892" s="567"/>
      <c r="EJ892" s="567"/>
      <c r="EK892" s="567"/>
      <c r="EL892" s="567"/>
      <c r="EM892" s="567"/>
      <c r="EN892" s="567"/>
      <c r="EO892" s="567"/>
      <c r="EP892" s="567"/>
      <c r="EQ892" s="567"/>
      <c r="ER892" s="567"/>
      <c r="ES892" s="567"/>
      <c r="ET892" s="567"/>
      <c r="EU892" s="567"/>
      <c r="EV892" s="567"/>
      <c r="EW892" s="567"/>
      <c r="EX892" s="567"/>
      <c r="EY892" s="567"/>
      <c r="EZ892" s="567"/>
      <c r="FA892" s="567"/>
      <c r="FB892" s="567"/>
      <c r="FC892" s="567"/>
      <c r="FD892" s="567"/>
      <c r="FE892" s="567"/>
      <c r="FF892" s="567"/>
      <c r="FG892" s="567"/>
      <c r="FH892" s="567"/>
      <c r="FI892" s="567"/>
      <c r="FJ892" s="567"/>
      <c r="FK892" s="567"/>
      <c r="FL892" s="567"/>
      <c r="FM892" s="567"/>
      <c r="FN892" s="567"/>
      <c r="FO892" s="567"/>
      <c r="FP892" s="567"/>
      <c r="FQ892" s="567"/>
      <c r="FR892" s="567"/>
      <c r="FS892" s="567"/>
      <c r="FT892" s="567"/>
      <c r="FU892" s="567"/>
      <c r="FV892" s="567"/>
      <c r="FW892" s="567"/>
      <c r="FX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  <c r="BW893" s="567"/>
      <c r="BX893" s="567"/>
      <c r="BY893" s="567"/>
      <c r="BZ893" s="567"/>
      <c r="CA893" s="567"/>
      <c r="CB893" s="567"/>
      <c r="CC893" s="567"/>
      <c r="CD893" s="567"/>
      <c r="CE893" s="567"/>
      <c r="CF893" s="567"/>
      <c r="CG893" s="567"/>
      <c r="CH893" s="567"/>
      <c r="CI893" s="567"/>
      <c r="CJ893" s="567"/>
      <c r="CK893" s="567"/>
      <c r="CL893" s="567"/>
      <c r="CM893" s="567"/>
      <c r="CN893" s="567"/>
      <c r="CO893" s="567"/>
      <c r="CP893" s="567"/>
      <c r="CQ893" s="567"/>
      <c r="CR893" s="567"/>
      <c r="CS893" s="567"/>
      <c r="CT893" s="567"/>
      <c r="CU893" s="567"/>
      <c r="CV893" s="567"/>
      <c r="CW893" s="567"/>
      <c r="CX893" s="567"/>
      <c r="CY893" s="567"/>
      <c r="CZ893" s="567"/>
      <c r="DA893" s="567"/>
      <c r="DB893" s="567"/>
      <c r="DC893" s="567"/>
      <c r="DD893" s="567"/>
      <c r="DE893" s="567"/>
      <c r="DF893" s="567"/>
      <c r="DG893" s="567"/>
      <c r="DH893" s="567"/>
      <c r="DI893" s="567"/>
      <c r="DJ893" s="567"/>
      <c r="DK893" s="567"/>
      <c r="DL893" s="567"/>
      <c r="DM893" s="567"/>
      <c r="DN893" s="567"/>
      <c r="DO893" s="567"/>
      <c r="DP893" s="567"/>
      <c r="DQ893" s="567"/>
      <c r="DR893" s="567"/>
      <c r="DS893" s="567"/>
      <c r="DT893" s="567"/>
      <c r="DU893" s="567"/>
      <c r="DV893" s="567"/>
      <c r="DW893" s="567"/>
      <c r="DX893" s="567"/>
      <c r="DY893" s="567"/>
      <c r="DZ893" s="567"/>
      <c r="EA893" s="567"/>
      <c r="EB893" s="567"/>
      <c r="EC893" s="567"/>
      <c r="ED893" s="567"/>
      <c r="EE893" s="567"/>
      <c r="EF893" s="567"/>
      <c r="EG893" s="567"/>
      <c r="EH893" s="567"/>
      <c r="EI893" s="567"/>
      <c r="EJ893" s="567"/>
      <c r="EK893" s="567"/>
      <c r="EL893" s="567"/>
      <c r="EM893" s="567"/>
      <c r="EN893" s="567"/>
      <c r="EO893" s="567"/>
      <c r="EP893" s="567"/>
      <c r="EQ893" s="567"/>
      <c r="ER893" s="567"/>
      <c r="ES893" s="567"/>
      <c r="ET893" s="567"/>
      <c r="EU893" s="567"/>
      <c r="EV893" s="567"/>
      <c r="EW893" s="567"/>
      <c r="EX893" s="567"/>
      <c r="EY893" s="567"/>
      <c r="EZ893" s="567"/>
      <c r="FA893" s="567"/>
      <c r="FB893" s="567"/>
      <c r="FC893" s="567"/>
      <c r="FD893" s="567"/>
      <c r="FE893" s="567"/>
      <c r="FF893" s="567"/>
      <c r="FG893" s="567"/>
      <c r="FH893" s="567"/>
      <c r="FI893" s="567"/>
      <c r="FJ893" s="567"/>
      <c r="FK893" s="567"/>
      <c r="FL893" s="567"/>
      <c r="FM893" s="567"/>
      <c r="FN893" s="567"/>
      <c r="FO893" s="567"/>
      <c r="FP893" s="567"/>
      <c r="FQ893" s="567"/>
      <c r="FR893" s="567"/>
      <c r="FS893" s="567"/>
      <c r="FT893" s="567"/>
      <c r="FU893" s="567"/>
      <c r="FV893" s="567"/>
      <c r="FW893" s="567"/>
      <c r="FX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  <c r="BW894" s="567"/>
      <c r="BX894" s="567"/>
      <c r="BY894" s="567"/>
      <c r="BZ894" s="567"/>
      <c r="CA894" s="567"/>
      <c r="CB894" s="567"/>
      <c r="CC894" s="567"/>
      <c r="CD894" s="567"/>
      <c r="CE894" s="567"/>
      <c r="CF894" s="567"/>
      <c r="CG894" s="567"/>
      <c r="CH894" s="567"/>
      <c r="CI894" s="567"/>
      <c r="CJ894" s="567"/>
      <c r="CK894" s="567"/>
      <c r="CL894" s="567"/>
      <c r="CM894" s="567"/>
      <c r="CN894" s="567"/>
      <c r="CO894" s="567"/>
      <c r="CP894" s="567"/>
      <c r="CQ894" s="567"/>
      <c r="CR894" s="567"/>
      <c r="CS894" s="567"/>
      <c r="CT894" s="567"/>
      <c r="CU894" s="567"/>
      <c r="CV894" s="567"/>
      <c r="CW894" s="567"/>
      <c r="CX894" s="567"/>
      <c r="CY894" s="567"/>
      <c r="CZ894" s="567"/>
      <c r="DA894" s="567"/>
      <c r="DB894" s="567"/>
      <c r="DC894" s="567"/>
      <c r="DD894" s="567"/>
      <c r="DE894" s="567"/>
      <c r="DF894" s="567"/>
      <c r="DG894" s="567"/>
      <c r="DH894" s="567"/>
      <c r="DI894" s="567"/>
      <c r="DJ894" s="567"/>
      <c r="DK894" s="567"/>
      <c r="DL894" s="567"/>
      <c r="DM894" s="567"/>
      <c r="DN894" s="567"/>
      <c r="DO894" s="567"/>
      <c r="DP894" s="567"/>
      <c r="DQ894" s="567"/>
      <c r="DR894" s="567"/>
      <c r="DS894" s="567"/>
      <c r="DT894" s="567"/>
      <c r="DU894" s="567"/>
      <c r="DV894" s="567"/>
      <c r="DW894" s="567"/>
      <c r="DX894" s="567"/>
      <c r="DY894" s="567"/>
      <c r="DZ894" s="567"/>
      <c r="EA894" s="567"/>
      <c r="EB894" s="567"/>
      <c r="EC894" s="567"/>
      <c r="ED894" s="567"/>
      <c r="EE894" s="567"/>
      <c r="EF894" s="567"/>
      <c r="EG894" s="567"/>
      <c r="EH894" s="567"/>
      <c r="EI894" s="567"/>
      <c r="EJ894" s="567"/>
      <c r="EK894" s="567"/>
      <c r="EL894" s="567"/>
      <c r="EM894" s="567"/>
      <c r="EN894" s="567"/>
      <c r="EO894" s="567"/>
      <c r="EP894" s="567"/>
      <c r="EQ894" s="567"/>
      <c r="ER894" s="567"/>
      <c r="ES894" s="567"/>
      <c r="ET894" s="567"/>
      <c r="EU894" s="567"/>
      <c r="EV894" s="567"/>
      <c r="EW894" s="567"/>
      <c r="EX894" s="567"/>
      <c r="EY894" s="567"/>
      <c r="EZ894" s="567"/>
      <c r="FA894" s="567"/>
      <c r="FB894" s="567"/>
      <c r="FC894" s="567"/>
      <c r="FD894" s="567"/>
      <c r="FE894" s="567"/>
      <c r="FF894" s="567"/>
      <c r="FG894" s="567"/>
      <c r="FH894" s="567"/>
      <c r="FI894" s="567"/>
      <c r="FJ894" s="567"/>
      <c r="FK894" s="567"/>
      <c r="FL894" s="567"/>
      <c r="FM894" s="567"/>
      <c r="FN894" s="567"/>
      <c r="FO894" s="567"/>
      <c r="FP894" s="567"/>
      <c r="FQ894" s="567"/>
      <c r="FR894" s="567"/>
      <c r="FS894" s="567"/>
      <c r="FT894" s="567"/>
      <c r="FU894" s="567"/>
      <c r="FV894" s="567"/>
      <c r="FW894" s="567"/>
      <c r="FX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  <c r="BW895" s="567"/>
      <c r="BX895" s="567"/>
      <c r="BY895" s="567"/>
      <c r="BZ895" s="567"/>
      <c r="CA895" s="567"/>
      <c r="CB895" s="567"/>
      <c r="CC895" s="567"/>
      <c r="CD895" s="567"/>
      <c r="CE895" s="567"/>
      <c r="CF895" s="567"/>
      <c r="CG895" s="567"/>
      <c r="CH895" s="567"/>
      <c r="CI895" s="567"/>
      <c r="CJ895" s="567"/>
      <c r="CK895" s="567"/>
      <c r="CL895" s="567"/>
      <c r="CM895" s="567"/>
      <c r="CN895" s="567"/>
      <c r="CO895" s="567"/>
      <c r="CP895" s="567"/>
      <c r="CQ895" s="567"/>
      <c r="CR895" s="567"/>
      <c r="CS895" s="567"/>
      <c r="CT895" s="567"/>
      <c r="CU895" s="567"/>
      <c r="CV895" s="567"/>
      <c r="CW895" s="567"/>
      <c r="CX895" s="567"/>
      <c r="CY895" s="567"/>
      <c r="CZ895" s="567"/>
      <c r="DA895" s="567"/>
      <c r="DB895" s="567"/>
      <c r="DC895" s="567"/>
      <c r="DD895" s="567"/>
      <c r="DE895" s="567"/>
      <c r="DF895" s="567"/>
      <c r="DG895" s="567"/>
      <c r="DH895" s="567"/>
      <c r="DI895" s="567"/>
      <c r="DJ895" s="567"/>
      <c r="DK895" s="567"/>
      <c r="DL895" s="567"/>
      <c r="DM895" s="567"/>
      <c r="DN895" s="567"/>
      <c r="DO895" s="567"/>
      <c r="DP895" s="567"/>
      <c r="DQ895" s="567"/>
      <c r="DR895" s="567"/>
      <c r="DS895" s="567"/>
      <c r="DT895" s="567"/>
      <c r="DU895" s="567"/>
      <c r="DV895" s="567"/>
      <c r="DW895" s="567"/>
      <c r="DX895" s="567"/>
      <c r="DY895" s="567"/>
      <c r="DZ895" s="567"/>
      <c r="EA895" s="567"/>
      <c r="EB895" s="567"/>
      <c r="EC895" s="567"/>
      <c r="ED895" s="567"/>
      <c r="EE895" s="567"/>
      <c r="EF895" s="567"/>
      <c r="EG895" s="567"/>
      <c r="EH895" s="567"/>
      <c r="EI895" s="567"/>
      <c r="EJ895" s="567"/>
      <c r="EK895" s="567"/>
      <c r="EL895" s="567"/>
      <c r="EM895" s="567"/>
      <c r="EN895" s="567"/>
      <c r="EO895" s="567"/>
      <c r="EP895" s="567"/>
      <c r="EQ895" s="567"/>
      <c r="ER895" s="567"/>
      <c r="ES895" s="567"/>
      <c r="ET895" s="567"/>
      <c r="EU895" s="567"/>
      <c r="EV895" s="567"/>
      <c r="EW895" s="567"/>
      <c r="EX895" s="567"/>
      <c r="EY895" s="567"/>
      <c r="EZ895" s="567"/>
      <c r="FA895" s="567"/>
      <c r="FB895" s="567"/>
      <c r="FC895" s="567"/>
      <c r="FD895" s="567"/>
      <c r="FE895" s="567"/>
      <c r="FF895" s="567"/>
      <c r="FG895" s="567"/>
      <c r="FH895" s="567"/>
      <c r="FI895" s="567"/>
      <c r="FJ895" s="567"/>
      <c r="FK895" s="567"/>
      <c r="FL895" s="567"/>
      <c r="FM895" s="567"/>
      <c r="FN895" s="567"/>
      <c r="FO895" s="567"/>
      <c r="FP895" s="567"/>
      <c r="FQ895" s="567"/>
      <c r="FR895" s="567"/>
      <c r="FS895" s="567"/>
      <c r="FT895" s="567"/>
      <c r="FU895" s="567"/>
      <c r="FV895" s="567"/>
      <c r="FW895" s="567"/>
      <c r="FX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  <c r="BW896" s="567"/>
      <c r="BX896" s="567"/>
      <c r="BY896" s="567"/>
      <c r="BZ896" s="567"/>
      <c r="CA896" s="567"/>
      <c r="CB896" s="567"/>
      <c r="CC896" s="567"/>
      <c r="CD896" s="567"/>
      <c r="CE896" s="567"/>
      <c r="CF896" s="567"/>
      <c r="CG896" s="567"/>
      <c r="CH896" s="567"/>
      <c r="CI896" s="567"/>
      <c r="CJ896" s="567"/>
      <c r="CK896" s="567"/>
      <c r="CL896" s="567"/>
      <c r="CM896" s="567"/>
      <c r="CN896" s="567"/>
      <c r="CO896" s="567"/>
      <c r="CP896" s="567"/>
      <c r="CQ896" s="567"/>
      <c r="CR896" s="567"/>
      <c r="CS896" s="567"/>
      <c r="CT896" s="567"/>
      <c r="CU896" s="567"/>
      <c r="CV896" s="567"/>
      <c r="CW896" s="567"/>
      <c r="CX896" s="567"/>
      <c r="CY896" s="567"/>
      <c r="CZ896" s="567"/>
      <c r="DA896" s="567"/>
      <c r="DB896" s="567"/>
      <c r="DC896" s="567"/>
      <c r="DD896" s="567"/>
      <c r="DE896" s="567"/>
      <c r="DF896" s="567"/>
      <c r="DG896" s="567"/>
      <c r="DH896" s="567"/>
      <c r="DI896" s="567"/>
      <c r="DJ896" s="567"/>
      <c r="DK896" s="567"/>
      <c r="DL896" s="567"/>
      <c r="DM896" s="567"/>
      <c r="DN896" s="567"/>
      <c r="DO896" s="567"/>
      <c r="DP896" s="567"/>
      <c r="DQ896" s="567"/>
      <c r="DR896" s="567"/>
      <c r="DS896" s="567"/>
      <c r="DT896" s="567"/>
      <c r="DU896" s="567"/>
      <c r="DV896" s="567"/>
      <c r="DW896" s="567"/>
      <c r="DX896" s="567"/>
      <c r="DY896" s="567"/>
      <c r="DZ896" s="567"/>
      <c r="EA896" s="567"/>
      <c r="EB896" s="567"/>
      <c r="EC896" s="567"/>
      <c r="ED896" s="567"/>
      <c r="EE896" s="567"/>
      <c r="EF896" s="567"/>
      <c r="EG896" s="567"/>
      <c r="EH896" s="567"/>
      <c r="EI896" s="567"/>
      <c r="EJ896" s="567"/>
      <c r="EK896" s="567"/>
      <c r="EL896" s="567"/>
      <c r="EM896" s="567"/>
      <c r="EN896" s="567"/>
      <c r="EO896" s="567"/>
      <c r="EP896" s="567"/>
      <c r="EQ896" s="567"/>
      <c r="ER896" s="567"/>
      <c r="ES896" s="567"/>
      <c r="ET896" s="567"/>
      <c r="EU896" s="567"/>
      <c r="EV896" s="567"/>
      <c r="EW896" s="567"/>
      <c r="EX896" s="567"/>
      <c r="EY896" s="567"/>
      <c r="EZ896" s="567"/>
      <c r="FA896" s="567"/>
      <c r="FB896" s="567"/>
      <c r="FC896" s="567"/>
      <c r="FD896" s="567"/>
      <c r="FE896" s="567"/>
      <c r="FF896" s="567"/>
      <c r="FG896" s="567"/>
      <c r="FH896" s="567"/>
      <c r="FI896" s="567"/>
      <c r="FJ896" s="567"/>
      <c r="FK896" s="567"/>
      <c r="FL896" s="567"/>
      <c r="FM896" s="567"/>
      <c r="FN896" s="567"/>
      <c r="FO896" s="567"/>
      <c r="FP896" s="567"/>
      <c r="FQ896" s="567"/>
      <c r="FR896" s="567"/>
      <c r="FS896" s="567"/>
      <c r="FT896" s="567"/>
      <c r="FU896" s="567"/>
      <c r="FV896" s="567"/>
      <c r="FW896" s="567"/>
      <c r="FX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  <c r="BW897" s="567"/>
      <c r="BX897" s="567"/>
      <c r="BY897" s="567"/>
      <c r="BZ897" s="567"/>
      <c r="CA897" s="567"/>
      <c r="CB897" s="567"/>
      <c r="CC897" s="567"/>
      <c r="CD897" s="567"/>
      <c r="CE897" s="567"/>
      <c r="CF897" s="567"/>
      <c r="CG897" s="567"/>
      <c r="CH897" s="567"/>
      <c r="CI897" s="567"/>
      <c r="CJ897" s="567"/>
      <c r="CK897" s="567"/>
      <c r="CL897" s="567"/>
      <c r="CM897" s="567"/>
      <c r="CN897" s="567"/>
      <c r="CO897" s="567"/>
      <c r="CP897" s="567"/>
      <c r="CQ897" s="567"/>
      <c r="CR897" s="567"/>
      <c r="CS897" s="567"/>
      <c r="CT897" s="567"/>
      <c r="CU897" s="567"/>
      <c r="CV897" s="567"/>
      <c r="CW897" s="567"/>
      <c r="CX897" s="567"/>
      <c r="CY897" s="567"/>
      <c r="CZ897" s="567"/>
      <c r="DA897" s="567"/>
      <c r="DB897" s="567"/>
      <c r="DC897" s="567"/>
      <c r="DD897" s="567"/>
      <c r="DE897" s="567"/>
      <c r="DF897" s="567"/>
      <c r="DG897" s="567"/>
      <c r="DH897" s="567"/>
      <c r="DI897" s="567"/>
      <c r="DJ897" s="567"/>
      <c r="DK897" s="567"/>
      <c r="DL897" s="567"/>
      <c r="DM897" s="567"/>
      <c r="DN897" s="567"/>
      <c r="DO897" s="567"/>
      <c r="DP897" s="567"/>
      <c r="DQ897" s="567"/>
      <c r="DR897" s="567"/>
      <c r="DS897" s="567"/>
      <c r="DT897" s="567"/>
      <c r="DU897" s="567"/>
      <c r="DV897" s="567"/>
      <c r="DW897" s="567"/>
      <c r="DX897" s="567"/>
      <c r="DY897" s="567"/>
      <c r="DZ897" s="567"/>
      <c r="EA897" s="567"/>
      <c r="EB897" s="567"/>
      <c r="EC897" s="567"/>
      <c r="ED897" s="567"/>
      <c r="EE897" s="567"/>
      <c r="EF897" s="567"/>
      <c r="EG897" s="567"/>
      <c r="EH897" s="567"/>
      <c r="EI897" s="567"/>
      <c r="EJ897" s="567"/>
      <c r="EK897" s="567"/>
      <c r="EL897" s="567"/>
      <c r="EM897" s="567"/>
      <c r="EN897" s="567"/>
      <c r="EO897" s="567"/>
      <c r="EP897" s="567"/>
      <c r="EQ897" s="567"/>
      <c r="ER897" s="567"/>
      <c r="ES897" s="567"/>
      <c r="ET897" s="567"/>
      <c r="EU897" s="567"/>
      <c r="EV897" s="567"/>
      <c r="EW897" s="567"/>
      <c r="EX897" s="567"/>
      <c r="EY897" s="567"/>
      <c r="EZ897" s="567"/>
      <c r="FA897" s="567"/>
      <c r="FB897" s="567"/>
      <c r="FC897" s="567"/>
      <c r="FD897" s="567"/>
      <c r="FE897" s="567"/>
      <c r="FF897" s="567"/>
      <c r="FG897" s="567"/>
      <c r="FH897" s="567"/>
      <c r="FI897" s="567"/>
      <c r="FJ897" s="567"/>
      <c r="FK897" s="567"/>
      <c r="FL897" s="567"/>
      <c r="FM897" s="567"/>
      <c r="FN897" s="567"/>
      <c r="FO897" s="567"/>
      <c r="FP897" s="567"/>
      <c r="FQ897" s="567"/>
      <c r="FR897" s="567"/>
      <c r="FS897" s="567"/>
      <c r="FT897" s="567"/>
      <c r="FU897" s="567"/>
      <c r="FV897" s="567"/>
      <c r="FW897" s="567"/>
      <c r="FX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  <c r="BW898" s="567"/>
      <c r="BX898" s="567"/>
      <c r="BY898" s="567"/>
      <c r="BZ898" s="567"/>
      <c r="CA898" s="567"/>
      <c r="CB898" s="567"/>
      <c r="CC898" s="567"/>
      <c r="CD898" s="567"/>
      <c r="CE898" s="567"/>
      <c r="CF898" s="567"/>
      <c r="CG898" s="567"/>
      <c r="CH898" s="567"/>
      <c r="CI898" s="567"/>
      <c r="CJ898" s="567"/>
      <c r="CK898" s="567"/>
      <c r="CL898" s="567"/>
      <c r="CM898" s="567"/>
      <c r="CN898" s="567"/>
      <c r="CO898" s="567"/>
      <c r="CP898" s="567"/>
      <c r="CQ898" s="567"/>
      <c r="CR898" s="567"/>
      <c r="CS898" s="567"/>
      <c r="CT898" s="567"/>
      <c r="CU898" s="567"/>
      <c r="CV898" s="567"/>
      <c r="CW898" s="567"/>
      <c r="CX898" s="567"/>
      <c r="CY898" s="567"/>
      <c r="CZ898" s="567"/>
      <c r="DA898" s="567"/>
      <c r="DB898" s="567"/>
      <c r="DC898" s="567"/>
      <c r="DD898" s="567"/>
      <c r="DE898" s="567"/>
      <c r="DF898" s="567"/>
      <c r="DG898" s="567"/>
      <c r="DH898" s="567"/>
      <c r="DI898" s="567"/>
      <c r="DJ898" s="567"/>
      <c r="DK898" s="567"/>
      <c r="DL898" s="567"/>
      <c r="DM898" s="567"/>
      <c r="DN898" s="567"/>
      <c r="DO898" s="567"/>
      <c r="DP898" s="567"/>
      <c r="DQ898" s="567"/>
      <c r="DR898" s="567"/>
      <c r="DS898" s="567"/>
      <c r="DT898" s="567"/>
      <c r="DU898" s="567"/>
      <c r="DV898" s="567"/>
      <c r="DW898" s="567"/>
      <c r="DX898" s="567"/>
      <c r="DY898" s="567"/>
      <c r="DZ898" s="567"/>
      <c r="EA898" s="567"/>
      <c r="EB898" s="567"/>
      <c r="EC898" s="567"/>
      <c r="ED898" s="567"/>
      <c r="EE898" s="567"/>
      <c r="EF898" s="567"/>
      <c r="EG898" s="567"/>
      <c r="EH898" s="567"/>
      <c r="EI898" s="567"/>
      <c r="EJ898" s="567"/>
      <c r="EK898" s="567"/>
      <c r="EL898" s="567"/>
      <c r="EM898" s="567"/>
      <c r="EN898" s="567"/>
      <c r="EO898" s="567"/>
      <c r="EP898" s="567"/>
      <c r="EQ898" s="567"/>
      <c r="ER898" s="567"/>
      <c r="ES898" s="567"/>
      <c r="ET898" s="567"/>
      <c r="EU898" s="567"/>
      <c r="EV898" s="567"/>
      <c r="EW898" s="567"/>
      <c r="EX898" s="567"/>
      <c r="EY898" s="567"/>
      <c r="EZ898" s="567"/>
      <c r="FA898" s="567"/>
      <c r="FB898" s="567"/>
      <c r="FC898" s="567"/>
      <c r="FD898" s="567"/>
      <c r="FE898" s="567"/>
      <c r="FF898" s="567"/>
      <c r="FG898" s="567"/>
      <c r="FH898" s="567"/>
      <c r="FI898" s="567"/>
      <c r="FJ898" s="567"/>
      <c r="FK898" s="567"/>
      <c r="FL898" s="567"/>
      <c r="FM898" s="567"/>
      <c r="FN898" s="567"/>
      <c r="FO898" s="567"/>
      <c r="FP898" s="567"/>
      <c r="FQ898" s="567"/>
      <c r="FR898" s="567"/>
      <c r="FS898" s="567"/>
      <c r="FT898" s="567"/>
      <c r="FU898" s="567"/>
      <c r="FV898" s="567"/>
      <c r="FW898" s="567"/>
      <c r="FX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  <c r="BW899" s="567"/>
      <c r="BX899" s="567"/>
      <c r="BY899" s="567"/>
      <c r="BZ899" s="567"/>
      <c r="CA899" s="567"/>
      <c r="CB899" s="567"/>
      <c r="CC899" s="567"/>
      <c r="CD899" s="567"/>
      <c r="CE899" s="567"/>
      <c r="CF899" s="567"/>
      <c r="CG899" s="567"/>
      <c r="CH899" s="567"/>
      <c r="CI899" s="567"/>
      <c r="CJ899" s="567"/>
      <c r="CK899" s="567"/>
      <c r="CL899" s="567"/>
      <c r="CM899" s="567"/>
      <c r="CN899" s="567"/>
      <c r="CO899" s="567"/>
      <c r="CP899" s="567"/>
      <c r="CQ899" s="567"/>
      <c r="CR899" s="567"/>
      <c r="CS899" s="567"/>
      <c r="CT899" s="567"/>
      <c r="CU899" s="567"/>
      <c r="CV899" s="567"/>
      <c r="CW899" s="567"/>
      <c r="CX899" s="567"/>
      <c r="CY899" s="567"/>
      <c r="CZ899" s="567"/>
      <c r="DA899" s="567"/>
      <c r="DB899" s="567"/>
      <c r="DC899" s="567"/>
      <c r="DD899" s="567"/>
      <c r="DE899" s="567"/>
      <c r="DF899" s="567"/>
      <c r="DG899" s="567"/>
      <c r="DH899" s="567"/>
      <c r="DI899" s="567"/>
      <c r="DJ899" s="567"/>
      <c r="DK899" s="567"/>
      <c r="DL899" s="567"/>
      <c r="DM899" s="567"/>
      <c r="DN899" s="567"/>
      <c r="DO899" s="567"/>
      <c r="DP899" s="567"/>
      <c r="DQ899" s="567"/>
      <c r="DR899" s="567"/>
      <c r="DS899" s="567"/>
      <c r="DT899" s="567"/>
      <c r="DU899" s="567"/>
      <c r="DV899" s="567"/>
      <c r="DW899" s="567"/>
      <c r="DX899" s="567"/>
      <c r="DY899" s="567"/>
      <c r="DZ899" s="567"/>
      <c r="EA899" s="567"/>
      <c r="EB899" s="567"/>
      <c r="EC899" s="567"/>
      <c r="ED899" s="567"/>
      <c r="EE899" s="567"/>
      <c r="EF899" s="567"/>
      <c r="EG899" s="567"/>
      <c r="EH899" s="567"/>
      <c r="EI899" s="567"/>
      <c r="EJ899" s="567"/>
      <c r="EK899" s="567"/>
      <c r="EL899" s="567"/>
      <c r="EM899" s="567"/>
      <c r="EN899" s="567"/>
      <c r="EO899" s="567"/>
      <c r="EP899" s="567"/>
      <c r="EQ899" s="567"/>
      <c r="ER899" s="567"/>
      <c r="ES899" s="567"/>
      <c r="ET899" s="567"/>
      <c r="EU899" s="567"/>
      <c r="EV899" s="567"/>
      <c r="EW899" s="567"/>
      <c r="EX899" s="567"/>
      <c r="EY899" s="567"/>
      <c r="EZ899" s="567"/>
      <c r="FA899" s="567"/>
      <c r="FB899" s="567"/>
      <c r="FC899" s="567"/>
      <c r="FD899" s="567"/>
      <c r="FE899" s="567"/>
      <c r="FF899" s="567"/>
      <c r="FG899" s="567"/>
      <c r="FH899" s="567"/>
      <c r="FI899" s="567"/>
      <c r="FJ899" s="567"/>
      <c r="FK899" s="567"/>
      <c r="FL899" s="567"/>
      <c r="FM899" s="567"/>
      <c r="FN899" s="567"/>
      <c r="FO899" s="567"/>
      <c r="FP899" s="567"/>
      <c r="FQ899" s="567"/>
      <c r="FR899" s="567"/>
      <c r="FS899" s="567"/>
      <c r="FT899" s="567"/>
      <c r="FU899" s="567"/>
      <c r="FV899" s="567"/>
      <c r="FW899" s="567"/>
      <c r="FX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  <c r="BW900" s="567"/>
      <c r="BX900" s="567"/>
      <c r="BY900" s="567"/>
      <c r="BZ900" s="567"/>
      <c r="CA900" s="567"/>
      <c r="CB900" s="567"/>
      <c r="CC900" s="567"/>
      <c r="CD900" s="567"/>
      <c r="CE900" s="567"/>
      <c r="CF900" s="567"/>
      <c r="CG900" s="567"/>
      <c r="CH900" s="567"/>
      <c r="CI900" s="567"/>
      <c r="CJ900" s="567"/>
      <c r="CK900" s="567"/>
      <c r="CL900" s="567"/>
      <c r="CM900" s="567"/>
      <c r="CN900" s="567"/>
      <c r="CO900" s="567"/>
      <c r="CP900" s="567"/>
      <c r="CQ900" s="567"/>
      <c r="CR900" s="567"/>
      <c r="CS900" s="567"/>
      <c r="CT900" s="567"/>
      <c r="CU900" s="567"/>
      <c r="CV900" s="567"/>
      <c r="CW900" s="567"/>
      <c r="CX900" s="567"/>
      <c r="CY900" s="567"/>
      <c r="CZ900" s="567"/>
      <c r="DA900" s="567"/>
      <c r="DB900" s="567"/>
      <c r="DC900" s="567"/>
      <c r="DD900" s="567"/>
      <c r="DE900" s="567"/>
      <c r="DF900" s="567"/>
      <c r="DG900" s="567"/>
      <c r="DH900" s="567"/>
      <c r="DI900" s="567"/>
      <c r="DJ900" s="567"/>
      <c r="DK900" s="567"/>
      <c r="DL900" s="567"/>
      <c r="DM900" s="567"/>
      <c r="DN900" s="567"/>
      <c r="DO900" s="567"/>
      <c r="DP900" s="567"/>
      <c r="DQ900" s="567"/>
      <c r="DR900" s="567"/>
      <c r="DS900" s="567"/>
      <c r="DT900" s="567"/>
      <c r="DU900" s="567"/>
      <c r="DV900" s="567"/>
      <c r="DW900" s="567"/>
      <c r="DX900" s="567"/>
      <c r="DY900" s="567"/>
      <c r="DZ900" s="567"/>
      <c r="EA900" s="567"/>
      <c r="EB900" s="567"/>
      <c r="EC900" s="567"/>
      <c r="ED900" s="567"/>
      <c r="EE900" s="567"/>
      <c r="EF900" s="567"/>
      <c r="EG900" s="567"/>
      <c r="EH900" s="567"/>
      <c r="EI900" s="567"/>
      <c r="EJ900" s="567"/>
      <c r="EK900" s="567"/>
      <c r="EL900" s="567"/>
      <c r="EM900" s="567"/>
      <c r="EN900" s="567"/>
      <c r="EO900" s="567"/>
      <c r="EP900" s="567"/>
      <c r="EQ900" s="567"/>
      <c r="ER900" s="567"/>
      <c r="ES900" s="567"/>
      <c r="ET900" s="567"/>
      <c r="EU900" s="567"/>
      <c r="EV900" s="567"/>
      <c r="EW900" s="567"/>
      <c r="EX900" s="567"/>
      <c r="EY900" s="567"/>
      <c r="EZ900" s="567"/>
      <c r="FA900" s="567"/>
      <c r="FB900" s="567"/>
      <c r="FC900" s="567"/>
      <c r="FD900" s="567"/>
      <c r="FE900" s="567"/>
      <c r="FF900" s="567"/>
      <c r="FG900" s="567"/>
      <c r="FH900" s="567"/>
      <c r="FI900" s="567"/>
      <c r="FJ900" s="567"/>
      <c r="FK900" s="567"/>
      <c r="FL900" s="567"/>
      <c r="FM900" s="567"/>
      <c r="FN900" s="567"/>
      <c r="FO900" s="567"/>
      <c r="FP900" s="567"/>
      <c r="FQ900" s="567"/>
      <c r="FR900" s="567"/>
      <c r="FS900" s="567"/>
      <c r="FT900" s="567"/>
      <c r="FU900" s="567"/>
      <c r="FV900" s="567"/>
      <c r="FW900" s="567"/>
      <c r="FX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  <c r="BW901" s="567"/>
      <c r="BX901" s="567"/>
      <c r="BY901" s="567"/>
      <c r="BZ901" s="567"/>
      <c r="CA901" s="567"/>
      <c r="CB901" s="567"/>
      <c r="CC901" s="567"/>
      <c r="CD901" s="567"/>
      <c r="CE901" s="567"/>
      <c r="CF901" s="567"/>
      <c r="CG901" s="567"/>
      <c r="CH901" s="567"/>
      <c r="CI901" s="567"/>
      <c r="CJ901" s="567"/>
      <c r="CK901" s="567"/>
      <c r="CL901" s="567"/>
      <c r="CM901" s="567"/>
      <c r="CN901" s="567"/>
      <c r="CO901" s="567"/>
      <c r="CP901" s="567"/>
      <c r="CQ901" s="567"/>
      <c r="CR901" s="567"/>
      <c r="CS901" s="567"/>
      <c r="CT901" s="567"/>
      <c r="CU901" s="567"/>
      <c r="CV901" s="567"/>
      <c r="CW901" s="567"/>
      <c r="CX901" s="567"/>
      <c r="CY901" s="567"/>
      <c r="CZ901" s="567"/>
      <c r="DA901" s="567"/>
      <c r="DB901" s="567"/>
      <c r="DC901" s="567"/>
      <c r="DD901" s="567"/>
      <c r="DE901" s="567"/>
      <c r="DF901" s="567"/>
      <c r="DG901" s="567"/>
      <c r="DH901" s="567"/>
      <c r="DI901" s="567"/>
      <c r="DJ901" s="567"/>
      <c r="DK901" s="567"/>
      <c r="DL901" s="567"/>
      <c r="DM901" s="567"/>
      <c r="DN901" s="567"/>
      <c r="DO901" s="567"/>
      <c r="DP901" s="567"/>
      <c r="DQ901" s="567"/>
      <c r="DR901" s="567"/>
      <c r="DS901" s="567"/>
      <c r="DT901" s="567"/>
      <c r="DU901" s="567"/>
      <c r="DV901" s="567"/>
      <c r="DW901" s="567"/>
      <c r="DX901" s="567"/>
      <c r="DY901" s="567"/>
      <c r="DZ901" s="567"/>
      <c r="EA901" s="567"/>
      <c r="EB901" s="567"/>
      <c r="EC901" s="567"/>
      <c r="ED901" s="567"/>
      <c r="EE901" s="567"/>
      <c r="EF901" s="567"/>
      <c r="EG901" s="567"/>
      <c r="EH901" s="567"/>
      <c r="EI901" s="567"/>
      <c r="EJ901" s="567"/>
      <c r="EK901" s="567"/>
      <c r="EL901" s="567"/>
      <c r="EM901" s="567"/>
      <c r="EN901" s="567"/>
      <c r="EO901" s="567"/>
      <c r="EP901" s="567"/>
      <c r="EQ901" s="567"/>
      <c r="ER901" s="567"/>
      <c r="ES901" s="567"/>
      <c r="ET901" s="567"/>
      <c r="EU901" s="567"/>
      <c r="EV901" s="567"/>
      <c r="EW901" s="567"/>
      <c r="EX901" s="567"/>
      <c r="EY901" s="567"/>
      <c r="EZ901" s="567"/>
      <c r="FA901" s="567"/>
      <c r="FB901" s="567"/>
      <c r="FC901" s="567"/>
      <c r="FD901" s="567"/>
      <c r="FE901" s="567"/>
      <c r="FF901" s="567"/>
      <c r="FG901" s="567"/>
      <c r="FH901" s="567"/>
      <c r="FI901" s="567"/>
      <c r="FJ901" s="567"/>
      <c r="FK901" s="567"/>
      <c r="FL901" s="567"/>
      <c r="FM901" s="567"/>
      <c r="FN901" s="567"/>
      <c r="FO901" s="567"/>
      <c r="FP901" s="567"/>
      <c r="FQ901" s="567"/>
      <c r="FR901" s="567"/>
      <c r="FS901" s="567"/>
      <c r="FT901" s="567"/>
      <c r="FU901" s="567"/>
      <c r="FV901" s="567"/>
      <c r="FW901" s="567"/>
      <c r="FX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  <c r="BW902" s="567"/>
      <c r="BX902" s="567"/>
      <c r="BY902" s="567"/>
      <c r="BZ902" s="567"/>
      <c r="CA902" s="567"/>
      <c r="CB902" s="567"/>
      <c r="CC902" s="567"/>
      <c r="CD902" s="567"/>
      <c r="CE902" s="567"/>
      <c r="CF902" s="567"/>
      <c r="CG902" s="567"/>
      <c r="CH902" s="567"/>
      <c r="CI902" s="567"/>
      <c r="CJ902" s="567"/>
      <c r="CK902" s="567"/>
      <c r="CL902" s="567"/>
      <c r="CM902" s="567"/>
      <c r="CN902" s="567"/>
      <c r="CO902" s="567"/>
      <c r="CP902" s="567"/>
      <c r="CQ902" s="567"/>
      <c r="CR902" s="567"/>
      <c r="CS902" s="567"/>
      <c r="CT902" s="567"/>
      <c r="CU902" s="567"/>
      <c r="CV902" s="567"/>
      <c r="CW902" s="567"/>
      <c r="CX902" s="567"/>
      <c r="CY902" s="567"/>
      <c r="CZ902" s="567"/>
      <c r="DA902" s="567"/>
      <c r="DB902" s="567"/>
      <c r="DC902" s="567"/>
      <c r="DD902" s="567"/>
      <c r="DE902" s="567"/>
      <c r="DF902" s="567"/>
      <c r="DG902" s="567"/>
      <c r="DH902" s="567"/>
      <c r="DI902" s="567"/>
      <c r="DJ902" s="567"/>
      <c r="DK902" s="567"/>
      <c r="DL902" s="567"/>
      <c r="DM902" s="567"/>
      <c r="DN902" s="567"/>
      <c r="DO902" s="567"/>
      <c r="DP902" s="567"/>
      <c r="DQ902" s="567"/>
      <c r="DR902" s="567"/>
      <c r="DS902" s="567"/>
      <c r="DT902" s="567"/>
      <c r="DU902" s="567"/>
      <c r="DV902" s="567"/>
      <c r="DW902" s="567"/>
      <c r="DX902" s="567"/>
      <c r="DY902" s="567"/>
      <c r="DZ902" s="567"/>
      <c r="EA902" s="567"/>
      <c r="EB902" s="567"/>
      <c r="EC902" s="567"/>
      <c r="ED902" s="567"/>
      <c r="EE902" s="567"/>
      <c r="EF902" s="567"/>
      <c r="EG902" s="567"/>
      <c r="EH902" s="567"/>
      <c r="EI902" s="567"/>
      <c r="EJ902" s="567"/>
      <c r="EK902" s="567"/>
      <c r="EL902" s="567"/>
      <c r="EM902" s="567"/>
      <c r="EN902" s="567"/>
      <c r="EO902" s="567"/>
      <c r="EP902" s="567"/>
      <c r="EQ902" s="567"/>
      <c r="ER902" s="567"/>
      <c r="ES902" s="567"/>
      <c r="ET902" s="567"/>
      <c r="EU902" s="567"/>
      <c r="EV902" s="567"/>
      <c r="EW902" s="567"/>
      <c r="EX902" s="567"/>
      <c r="EY902" s="567"/>
      <c r="EZ902" s="567"/>
      <c r="FA902" s="567"/>
      <c r="FB902" s="567"/>
      <c r="FC902" s="567"/>
      <c r="FD902" s="567"/>
      <c r="FE902" s="567"/>
      <c r="FF902" s="567"/>
      <c r="FG902" s="567"/>
      <c r="FH902" s="567"/>
      <c r="FI902" s="567"/>
      <c r="FJ902" s="567"/>
      <c r="FK902" s="567"/>
      <c r="FL902" s="567"/>
      <c r="FM902" s="567"/>
      <c r="FN902" s="567"/>
      <c r="FO902" s="567"/>
      <c r="FP902" s="567"/>
      <c r="FQ902" s="567"/>
      <c r="FR902" s="567"/>
      <c r="FS902" s="567"/>
      <c r="FT902" s="567"/>
      <c r="FU902" s="567"/>
      <c r="FV902" s="567"/>
      <c r="FW902" s="567"/>
      <c r="FX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  <c r="BW903" s="567"/>
      <c r="BX903" s="567"/>
      <c r="BY903" s="567"/>
      <c r="BZ903" s="567"/>
      <c r="CA903" s="567"/>
      <c r="CB903" s="567"/>
      <c r="CC903" s="567"/>
      <c r="CD903" s="567"/>
      <c r="CE903" s="567"/>
      <c r="CF903" s="567"/>
      <c r="CG903" s="567"/>
      <c r="CH903" s="567"/>
      <c r="CI903" s="567"/>
      <c r="CJ903" s="567"/>
      <c r="CK903" s="567"/>
      <c r="CL903" s="567"/>
      <c r="CM903" s="567"/>
      <c r="CN903" s="567"/>
      <c r="CO903" s="567"/>
      <c r="CP903" s="567"/>
      <c r="CQ903" s="567"/>
      <c r="CR903" s="567"/>
      <c r="CS903" s="567"/>
      <c r="CT903" s="567"/>
      <c r="CU903" s="567"/>
      <c r="CV903" s="567"/>
      <c r="CW903" s="567"/>
      <c r="CX903" s="567"/>
      <c r="CY903" s="567"/>
      <c r="CZ903" s="567"/>
      <c r="DA903" s="567"/>
      <c r="DB903" s="567"/>
      <c r="DC903" s="567"/>
      <c r="DD903" s="567"/>
      <c r="DE903" s="567"/>
      <c r="DF903" s="567"/>
      <c r="DG903" s="567"/>
      <c r="DH903" s="567"/>
      <c r="DI903" s="567"/>
      <c r="DJ903" s="567"/>
      <c r="DK903" s="567"/>
      <c r="DL903" s="567"/>
      <c r="DM903" s="567"/>
      <c r="DN903" s="567"/>
      <c r="DO903" s="567"/>
      <c r="DP903" s="567"/>
      <c r="DQ903" s="567"/>
      <c r="DR903" s="567"/>
      <c r="DS903" s="567"/>
      <c r="DT903" s="567"/>
      <c r="DU903" s="567"/>
      <c r="DV903" s="567"/>
      <c r="DW903" s="567"/>
      <c r="DX903" s="567"/>
      <c r="DY903" s="567"/>
      <c r="DZ903" s="567"/>
      <c r="EA903" s="567"/>
      <c r="EB903" s="567"/>
      <c r="EC903" s="567"/>
      <c r="ED903" s="567"/>
      <c r="EE903" s="567"/>
      <c r="EF903" s="567"/>
      <c r="EG903" s="567"/>
      <c r="EH903" s="567"/>
      <c r="EI903" s="567"/>
      <c r="EJ903" s="567"/>
      <c r="EK903" s="567"/>
      <c r="EL903" s="567"/>
      <c r="EM903" s="567"/>
      <c r="EN903" s="567"/>
      <c r="EO903" s="567"/>
      <c r="EP903" s="567"/>
      <c r="EQ903" s="567"/>
      <c r="ER903" s="567"/>
      <c r="ES903" s="567"/>
      <c r="ET903" s="567"/>
      <c r="EU903" s="567"/>
      <c r="EV903" s="567"/>
      <c r="EW903" s="567"/>
      <c r="EX903" s="567"/>
      <c r="EY903" s="567"/>
      <c r="EZ903" s="567"/>
      <c r="FA903" s="567"/>
      <c r="FB903" s="567"/>
      <c r="FC903" s="567"/>
      <c r="FD903" s="567"/>
      <c r="FE903" s="567"/>
      <c r="FF903" s="567"/>
      <c r="FG903" s="567"/>
      <c r="FH903" s="567"/>
      <c r="FI903" s="567"/>
      <c r="FJ903" s="567"/>
      <c r="FK903" s="567"/>
      <c r="FL903" s="567"/>
      <c r="FM903" s="567"/>
      <c r="FN903" s="567"/>
      <c r="FO903" s="567"/>
      <c r="FP903" s="567"/>
      <c r="FQ903" s="567"/>
      <c r="FR903" s="567"/>
      <c r="FS903" s="567"/>
      <c r="FT903" s="567"/>
      <c r="FU903" s="567"/>
      <c r="FV903" s="567"/>
      <c r="FW903" s="567"/>
      <c r="FX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  <c r="BW904" s="567"/>
      <c r="BX904" s="567"/>
      <c r="BY904" s="567"/>
      <c r="BZ904" s="567"/>
      <c r="CA904" s="567"/>
      <c r="CB904" s="567"/>
      <c r="CC904" s="567"/>
      <c r="CD904" s="567"/>
      <c r="CE904" s="567"/>
      <c r="CF904" s="567"/>
      <c r="CG904" s="567"/>
      <c r="CH904" s="567"/>
      <c r="CI904" s="567"/>
      <c r="CJ904" s="567"/>
      <c r="CK904" s="567"/>
      <c r="CL904" s="567"/>
      <c r="CM904" s="567"/>
      <c r="CN904" s="567"/>
      <c r="CO904" s="567"/>
      <c r="CP904" s="567"/>
      <c r="CQ904" s="567"/>
      <c r="CR904" s="567"/>
      <c r="CS904" s="567"/>
      <c r="CT904" s="567"/>
      <c r="CU904" s="567"/>
      <c r="CV904" s="567"/>
      <c r="CW904" s="567"/>
      <c r="CX904" s="567"/>
      <c r="CY904" s="567"/>
      <c r="CZ904" s="567"/>
      <c r="DA904" s="567"/>
      <c r="DB904" s="567"/>
      <c r="DC904" s="567"/>
      <c r="DD904" s="567"/>
      <c r="DE904" s="567"/>
      <c r="DF904" s="567"/>
      <c r="DG904" s="567"/>
      <c r="DH904" s="567"/>
      <c r="DI904" s="567"/>
      <c r="DJ904" s="567"/>
      <c r="DK904" s="567"/>
      <c r="DL904" s="567"/>
      <c r="DM904" s="567"/>
      <c r="DN904" s="567"/>
      <c r="DO904" s="567"/>
      <c r="DP904" s="567"/>
      <c r="DQ904" s="567"/>
      <c r="DR904" s="567"/>
      <c r="DS904" s="567"/>
      <c r="DT904" s="567"/>
      <c r="DU904" s="567"/>
      <c r="DV904" s="567"/>
      <c r="DW904" s="567"/>
      <c r="DX904" s="567"/>
      <c r="DY904" s="567"/>
      <c r="DZ904" s="567"/>
      <c r="EA904" s="567"/>
      <c r="EB904" s="567"/>
      <c r="EC904" s="567"/>
      <c r="ED904" s="567"/>
      <c r="EE904" s="567"/>
      <c r="EF904" s="567"/>
      <c r="EG904" s="567"/>
      <c r="EH904" s="567"/>
      <c r="EI904" s="567"/>
      <c r="EJ904" s="567"/>
      <c r="EK904" s="567"/>
      <c r="EL904" s="567"/>
      <c r="EM904" s="567"/>
      <c r="EN904" s="567"/>
      <c r="EO904" s="567"/>
      <c r="EP904" s="567"/>
      <c r="EQ904" s="567"/>
      <c r="ER904" s="567"/>
      <c r="ES904" s="567"/>
      <c r="ET904" s="567"/>
      <c r="EU904" s="567"/>
      <c r="EV904" s="567"/>
      <c r="EW904" s="567"/>
      <c r="EX904" s="567"/>
      <c r="EY904" s="567"/>
      <c r="EZ904" s="567"/>
      <c r="FA904" s="567"/>
      <c r="FB904" s="567"/>
      <c r="FC904" s="567"/>
      <c r="FD904" s="567"/>
      <c r="FE904" s="567"/>
      <c r="FF904" s="567"/>
      <c r="FG904" s="567"/>
      <c r="FH904" s="567"/>
      <c r="FI904" s="567"/>
      <c r="FJ904" s="567"/>
      <c r="FK904" s="567"/>
      <c r="FL904" s="567"/>
      <c r="FM904" s="567"/>
      <c r="FN904" s="567"/>
      <c r="FO904" s="567"/>
      <c r="FP904" s="567"/>
      <c r="FQ904" s="567"/>
      <c r="FR904" s="567"/>
      <c r="FS904" s="567"/>
      <c r="FT904" s="567"/>
      <c r="FU904" s="567"/>
      <c r="FV904" s="567"/>
      <c r="FW904" s="567"/>
      <c r="FX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  <c r="BW905" s="567"/>
      <c r="BX905" s="567"/>
      <c r="BY905" s="567"/>
      <c r="BZ905" s="567"/>
      <c r="CA905" s="567"/>
      <c r="CB905" s="567"/>
      <c r="CC905" s="567"/>
      <c r="CD905" s="567"/>
      <c r="CE905" s="567"/>
      <c r="CF905" s="567"/>
      <c r="CG905" s="567"/>
      <c r="CH905" s="567"/>
      <c r="CI905" s="567"/>
      <c r="CJ905" s="567"/>
      <c r="CK905" s="567"/>
      <c r="CL905" s="567"/>
      <c r="CM905" s="567"/>
      <c r="CN905" s="567"/>
      <c r="CO905" s="567"/>
      <c r="CP905" s="567"/>
      <c r="CQ905" s="567"/>
      <c r="CR905" s="567"/>
      <c r="CS905" s="567"/>
      <c r="CT905" s="567"/>
      <c r="CU905" s="567"/>
      <c r="CV905" s="567"/>
      <c r="CW905" s="567"/>
      <c r="CX905" s="567"/>
      <c r="CY905" s="567"/>
      <c r="CZ905" s="567"/>
      <c r="DA905" s="567"/>
      <c r="DB905" s="567"/>
      <c r="DC905" s="567"/>
      <c r="DD905" s="567"/>
      <c r="DE905" s="567"/>
      <c r="DF905" s="567"/>
      <c r="DG905" s="567"/>
      <c r="DH905" s="567"/>
      <c r="DI905" s="567"/>
      <c r="DJ905" s="567"/>
      <c r="DK905" s="567"/>
      <c r="DL905" s="567"/>
      <c r="DM905" s="567"/>
      <c r="DN905" s="567"/>
      <c r="DO905" s="567"/>
      <c r="DP905" s="567"/>
      <c r="DQ905" s="567"/>
      <c r="DR905" s="567"/>
      <c r="DS905" s="567"/>
      <c r="DT905" s="567"/>
      <c r="DU905" s="567"/>
      <c r="DV905" s="567"/>
      <c r="DW905" s="567"/>
      <c r="DX905" s="567"/>
      <c r="DY905" s="567"/>
      <c r="DZ905" s="567"/>
      <c r="EA905" s="567"/>
      <c r="EB905" s="567"/>
      <c r="EC905" s="567"/>
      <c r="ED905" s="567"/>
      <c r="EE905" s="567"/>
      <c r="EF905" s="567"/>
      <c r="EG905" s="567"/>
      <c r="EH905" s="567"/>
      <c r="EI905" s="567"/>
      <c r="EJ905" s="567"/>
      <c r="EK905" s="567"/>
      <c r="EL905" s="567"/>
      <c r="EM905" s="567"/>
      <c r="EN905" s="567"/>
      <c r="EO905" s="567"/>
      <c r="EP905" s="567"/>
      <c r="EQ905" s="567"/>
      <c r="ER905" s="567"/>
      <c r="ES905" s="567"/>
      <c r="ET905" s="567"/>
      <c r="EU905" s="567"/>
      <c r="EV905" s="567"/>
      <c r="EW905" s="567"/>
      <c r="EX905" s="567"/>
      <c r="EY905" s="567"/>
      <c r="EZ905" s="567"/>
      <c r="FA905" s="567"/>
      <c r="FB905" s="567"/>
      <c r="FC905" s="567"/>
      <c r="FD905" s="567"/>
      <c r="FE905" s="567"/>
      <c r="FF905" s="567"/>
      <c r="FG905" s="567"/>
      <c r="FH905" s="567"/>
      <c r="FI905" s="567"/>
      <c r="FJ905" s="567"/>
      <c r="FK905" s="567"/>
      <c r="FL905" s="567"/>
      <c r="FM905" s="567"/>
      <c r="FN905" s="567"/>
      <c r="FO905" s="567"/>
      <c r="FP905" s="567"/>
      <c r="FQ905" s="567"/>
      <c r="FR905" s="567"/>
      <c r="FS905" s="567"/>
      <c r="FT905" s="567"/>
      <c r="FU905" s="567"/>
      <c r="FV905" s="567"/>
      <c r="FW905" s="567"/>
      <c r="FX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  <c r="BW906" s="567"/>
      <c r="BX906" s="567"/>
      <c r="BY906" s="567"/>
      <c r="BZ906" s="567"/>
      <c r="CA906" s="567"/>
      <c r="CB906" s="567"/>
      <c r="CC906" s="567"/>
      <c r="CD906" s="567"/>
      <c r="CE906" s="567"/>
      <c r="CF906" s="567"/>
      <c r="CG906" s="567"/>
      <c r="CH906" s="567"/>
      <c r="CI906" s="567"/>
      <c r="CJ906" s="567"/>
      <c r="CK906" s="567"/>
      <c r="CL906" s="567"/>
      <c r="CM906" s="567"/>
      <c r="CN906" s="567"/>
      <c r="CO906" s="567"/>
      <c r="CP906" s="567"/>
      <c r="CQ906" s="567"/>
      <c r="CR906" s="567"/>
      <c r="CS906" s="567"/>
      <c r="CT906" s="567"/>
      <c r="CU906" s="567"/>
      <c r="CV906" s="567"/>
      <c r="CW906" s="567"/>
      <c r="CX906" s="567"/>
      <c r="CY906" s="567"/>
      <c r="CZ906" s="567"/>
      <c r="DA906" s="567"/>
      <c r="DB906" s="567"/>
      <c r="DC906" s="567"/>
      <c r="DD906" s="567"/>
      <c r="DE906" s="567"/>
      <c r="DF906" s="567"/>
      <c r="DG906" s="567"/>
      <c r="DH906" s="567"/>
      <c r="DI906" s="567"/>
      <c r="DJ906" s="567"/>
      <c r="DK906" s="567"/>
      <c r="DL906" s="567"/>
      <c r="DM906" s="567"/>
      <c r="DN906" s="567"/>
      <c r="DO906" s="567"/>
      <c r="DP906" s="567"/>
      <c r="DQ906" s="567"/>
      <c r="DR906" s="567"/>
      <c r="DS906" s="567"/>
      <c r="DT906" s="567"/>
      <c r="DU906" s="567"/>
      <c r="DV906" s="567"/>
      <c r="DW906" s="567"/>
      <c r="DX906" s="567"/>
      <c r="DY906" s="567"/>
      <c r="DZ906" s="567"/>
      <c r="EA906" s="567"/>
      <c r="EB906" s="567"/>
      <c r="EC906" s="567"/>
      <c r="ED906" s="567"/>
      <c r="EE906" s="567"/>
      <c r="EF906" s="567"/>
      <c r="EG906" s="567"/>
      <c r="EH906" s="567"/>
      <c r="EI906" s="567"/>
      <c r="EJ906" s="567"/>
      <c r="EK906" s="567"/>
      <c r="EL906" s="567"/>
      <c r="EM906" s="567"/>
      <c r="EN906" s="567"/>
      <c r="EO906" s="567"/>
      <c r="EP906" s="567"/>
      <c r="EQ906" s="567"/>
      <c r="ER906" s="567"/>
      <c r="ES906" s="567"/>
      <c r="ET906" s="567"/>
      <c r="EU906" s="567"/>
      <c r="EV906" s="567"/>
      <c r="EW906" s="567"/>
      <c r="EX906" s="567"/>
      <c r="EY906" s="567"/>
      <c r="EZ906" s="567"/>
      <c r="FA906" s="567"/>
      <c r="FB906" s="567"/>
      <c r="FC906" s="567"/>
      <c r="FD906" s="567"/>
      <c r="FE906" s="567"/>
      <c r="FF906" s="567"/>
      <c r="FG906" s="567"/>
      <c r="FH906" s="567"/>
      <c r="FI906" s="567"/>
      <c r="FJ906" s="567"/>
      <c r="FK906" s="567"/>
      <c r="FL906" s="567"/>
      <c r="FM906" s="567"/>
      <c r="FN906" s="567"/>
      <c r="FO906" s="567"/>
      <c r="FP906" s="567"/>
      <c r="FQ906" s="567"/>
      <c r="FR906" s="567"/>
      <c r="FS906" s="567"/>
      <c r="FT906" s="567"/>
      <c r="FU906" s="567"/>
      <c r="FV906" s="567"/>
      <c r="FW906" s="567"/>
      <c r="FX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  <c r="BW907" s="567"/>
      <c r="BX907" s="567"/>
      <c r="BY907" s="567"/>
      <c r="BZ907" s="567"/>
      <c r="CA907" s="567"/>
      <c r="CB907" s="567"/>
      <c r="CC907" s="567"/>
      <c r="CD907" s="567"/>
      <c r="CE907" s="567"/>
      <c r="CF907" s="567"/>
      <c r="CG907" s="567"/>
      <c r="CH907" s="567"/>
      <c r="CI907" s="567"/>
      <c r="CJ907" s="567"/>
      <c r="CK907" s="567"/>
      <c r="CL907" s="567"/>
      <c r="CM907" s="567"/>
      <c r="CN907" s="567"/>
      <c r="CO907" s="567"/>
      <c r="CP907" s="567"/>
      <c r="CQ907" s="567"/>
      <c r="CR907" s="567"/>
      <c r="CS907" s="567"/>
      <c r="CT907" s="567"/>
      <c r="CU907" s="567"/>
      <c r="CV907" s="567"/>
      <c r="CW907" s="567"/>
      <c r="CX907" s="567"/>
      <c r="CY907" s="567"/>
      <c r="CZ907" s="567"/>
      <c r="DA907" s="567"/>
      <c r="DB907" s="567"/>
      <c r="DC907" s="567"/>
      <c r="DD907" s="567"/>
      <c r="DE907" s="567"/>
      <c r="DF907" s="567"/>
      <c r="DG907" s="567"/>
      <c r="DH907" s="567"/>
      <c r="DI907" s="567"/>
      <c r="DJ907" s="567"/>
      <c r="DK907" s="567"/>
      <c r="DL907" s="567"/>
      <c r="DM907" s="567"/>
      <c r="DN907" s="567"/>
      <c r="DO907" s="567"/>
      <c r="DP907" s="567"/>
      <c r="DQ907" s="567"/>
      <c r="DR907" s="567"/>
      <c r="DS907" s="567"/>
      <c r="DT907" s="567"/>
      <c r="DU907" s="567"/>
      <c r="DV907" s="567"/>
      <c r="DW907" s="567"/>
      <c r="DX907" s="567"/>
      <c r="DY907" s="567"/>
      <c r="DZ907" s="567"/>
      <c r="EA907" s="567"/>
      <c r="EB907" s="567"/>
      <c r="EC907" s="567"/>
      <c r="ED907" s="567"/>
      <c r="EE907" s="567"/>
      <c r="EF907" s="567"/>
      <c r="EG907" s="567"/>
      <c r="EH907" s="567"/>
      <c r="EI907" s="567"/>
      <c r="EJ907" s="567"/>
      <c r="EK907" s="567"/>
      <c r="EL907" s="567"/>
      <c r="EM907" s="567"/>
      <c r="EN907" s="567"/>
      <c r="EO907" s="567"/>
      <c r="EP907" s="567"/>
      <c r="EQ907" s="567"/>
      <c r="ER907" s="567"/>
      <c r="ES907" s="567"/>
      <c r="ET907" s="567"/>
      <c r="EU907" s="567"/>
      <c r="EV907" s="567"/>
      <c r="EW907" s="567"/>
      <c r="EX907" s="567"/>
      <c r="EY907" s="567"/>
      <c r="EZ907" s="567"/>
      <c r="FA907" s="567"/>
      <c r="FB907" s="567"/>
      <c r="FC907" s="567"/>
      <c r="FD907" s="567"/>
      <c r="FE907" s="567"/>
      <c r="FF907" s="567"/>
      <c r="FG907" s="567"/>
      <c r="FH907" s="567"/>
      <c r="FI907" s="567"/>
      <c r="FJ907" s="567"/>
      <c r="FK907" s="567"/>
      <c r="FL907" s="567"/>
      <c r="FM907" s="567"/>
      <c r="FN907" s="567"/>
      <c r="FO907" s="567"/>
      <c r="FP907" s="567"/>
      <c r="FQ907" s="567"/>
      <c r="FR907" s="567"/>
      <c r="FS907" s="567"/>
      <c r="FT907" s="567"/>
      <c r="FU907" s="567"/>
      <c r="FV907" s="567"/>
      <c r="FW907" s="567"/>
      <c r="FX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  <c r="BW908" s="567"/>
      <c r="BX908" s="567"/>
      <c r="BY908" s="567"/>
      <c r="BZ908" s="567"/>
      <c r="CA908" s="567"/>
      <c r="CB908" s="567"/>
      <c r="CC908" s="567"/>
      <c r="CD908" s="567"/>
      <c r="CE908" s="567"/>
      <c r="CF908" s="567"/>
      <c r="CG908" s="567"/>
      <c r="CH908" s="567"/>
      <c r="CI908" s="567"/>
      <c r="CJ908" s="567"/>
      <c r="CK908" s="567"/>
      <c r="CL908" s="567"/>
      <c r="CM908" s="567"/>
      <c r="CN908" s="567"/>
      <c r="CO908" s="567"/>
      <c r="CP908" s="567"/>
      <c r="CQ908" s="567"/>
      <c r="CR908" s="567"/>
      <c r="CS908" s="567"/>
      <c r="CT908" s="567"/>
      <c r="CU908" s="567"/>
      <c r="CV908" s="567"/>
      <c r="CW908" s="567"/>
      <c r="CX908" s="567"/>
      <c r="CY908" s="567"/>
      <c r="CZ908" s="567"/>
      <c r="DA908" s="567"/>
      <c r="DB908" s="567"/>
      <c r="DC908" s="567"/>
      <c r="DD908" s="567"/>
      <c r="DE908" s="567"/>
      <c r="DF908" s="567"/>
      <c r="DG908" s="567"/>
      <c r="DH908" s="567"/>
      <c r="DI908" s="567"/>
      <c r="DJ908" s="567"/>
      <c r="DK908" s="567"/>
      <c r="DL908" s="567"/>
      <c r="DM908" s="567"/>
      <c r="DN908" s="567"/>
      <c r="DO908" s="567"/>
      <c r="DP908" s="567"/>
      <c r="DQ908" s="567"/>
      <c r="DR908" s="567"/>
      <c r="DS908" s="567"/>
      <c r="DT908" s="567"/>
      <c r="DU908" s="567"/>
      <c r="DV908" s="567"/>
      <c r="DW908" s="567"/>
      <c r="DX908" s="567"/>
      <c r="DY908" s="567"/>
      <c r="DZ908" s="567"/>
      <c r="EA908" s="567"/>
      <c r="EB908" s="567"/>
      <c r="EC908" s="567"/>
      <c r="ED908" s="567"/>
      <c r="EE908" s="567"/>
      <c r="EF908" s="567"/>
      <c r="EG908" s="567"/>
      <c r="EH908" s="567"/>
      <c r="EI908" s="567"/>
      <c r="EJ908" s="567"/>
      <c r="EK908" s="567"/>
      <c r="EL908" s="567"/>
      <c r="EM908" s="567"/>
      <c r="EN908" s="567"/>
      <c r="EO908" s="567"/>
      <c r="EP908" s="567"/>
      <c r="EQ908" s="567"/>
      <c r="ER908" s="567"/>
      <c r="ES908" s="567"/>
      <c r="ET908" s="567"/>
      <c r="EU908" s="567"/>
      <c r="EV908" s="567"/>
      <c r="EW908" s="567"/>
      <c r="EX908" s="567"/>
      <c r="EY908" s="567"/>
      <c r="EZ908" s="567"/>
      <c r="FA908" s="567"/>
      <c r="FB908" s="567"/>
      <c r="FC908" s="567"/>
      <c r="FD908" s="567"/>
      <c r="FE908" s="567"/>
      <c r="FF908" s="567"/>
      <c r="FG908" s="567"/>
      <c r="FH908" s="567"/>
      <c r="FI908" s="567"/>
      <c r="FJ908" s="567"/>
      <c r="FK908" s="567"/>
      <c r="FL908" s="567"/>
      <c r="FM908" s="567"/>
      <c r="FN908" s="567"/>
      <c r="FO908" s="567"/>
      <c r="FP908" s="567"/>
      <c r="FQ908" s="567"/>
      <c r="FR908" s="567"/>
      <c r="FS908" s="567"/>
      <c r="FT908" s="567"/>
      <c r="FU908" s="567"/>
      <c r="FV908" s="567"/>
      <c r="FW908" s="567"/>
      <c r="FX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  <c r="BW909" s="567"/>
      <c r="BX909" s="567"/>
      <c r="BY909" s="567"/>
      <c r="BZ909" s="567"/>
      <c r="CA909" s="567"/>
      <c r="CB909" s="567"/>
      <c r="CC909" s="567"/>
      <c r="CD909" s="567"/>
      <c r="CE909" s="567"/>
      <c r="CF909" s="567"/>
      <c r="CG909" s="567"/>
      <c r="CH909" s="567"/>
      <c r="CI909" s="567"/>
      <c r="CJ909" s="567"/>
      <c r="CK909" s="567"/>
      <c r="CL909" s="567"/>
      <c r="CM909" s="567"/>
      <c r="CN909" s="567"/>
      <c r="CO909" s="567"/>
      <c r="CP909" s="567"/>
      <c r="CQ909" s="567"/>
      <c r="CR909" s="567"/>
      <c r="CS909" s="567"/>
      <c r="CT909" s="567"/>
      <c r="CU909" s="567"/>
      <c r="CV909" s="567"/>
      <c r="CW909" s="567"/>
      <c r="CX909" s="567"/>
      <c r="CY909" s="567"/>
      <c r="CZ909" s="567"/>
      <c r="DA909" s="567"/>
      <c r="DB909" s="567"/>
      <c r="DC909" s="567"/>
      <c r="DD909" s="567"/>
      <c r="DE909" s="567"/>
      <c r="DF909" s="567"/>
      <c r="DG909" s="567"/>
      <c r="DH909" s="567"/>
      <c r="DI909" s="567"/>
      <c r="DJ909" s="567"/>
      <c r="DK909" s="567"/>
      <c r="DL909" s="567"/>
      <c r="DM909" s="567"/>
      <c r="DN909" s="567"/>
      <c r="DO909" s="567"/>
      <c r="DP909" s="567"/>
      <c r="DQ909" s="567"/>
      <c r="DR909" s="567"/>
      <c r="DS909" s="567"/>
      <c r="DT909" s="567"/>
      <c r="DU909" s="567"/>
      <c r="DV909" s="567"/>
      <c r="DW909" s="567"/>
      <c r="DX909" s="567"/>
      <c r="DY909" s="567"/>
      <c r="DZ909" s="567"/>
      <c r="EA909" s="567"/>
      <c r="EB909" s="567"/>
      <c r="EC909" s="567"/>
      <c r="ED909" s="567"/>
      <c r="EE909" s="567"/>
      <c r="EF909" s="567"/>
      <c r="EG909" s="567"/>
      <c r="EH909" s="567"/>
      <c r="EI909" s="567"/>
      <c r="EJ909" s="567"/>
      <c r="EK909" s="567"/>
      <c r="EL909" s="567"/>
      <c r="EM909" s="567"/>
      <c r="EN909" s="567"/>
      <c r="EO909" s="567"/>
      <c r="EP909" s="567"/>
      <c r="EQ909" s="567"/>
      <c r="ER909" s="567"/>
      <c r="ES909" s="567"/>
      <c r="ET909" s="567"/>
      <c r="EU909" s="567"/>
      <c r="EV909" s="567"/>
      <c r="EW909" s="567"/>
      <c r="EX909" s="567"/>
      <c r="EY909" s="567"/>
      <c r="EZ909" s="567"/>
      <c r="FA909" s="567"/>
      <c r="FB909" s="567"/>
      <c r="FC909" s="567"/>
      <c r="FD909" s="567"/>
      <c r="FE909" s="567"/>
      <c r="FF909" s="567"/>
      <c r="FG909" s="567"/>
      <c r="FH909" s="567"/>
      <c r="FI909" s="567"/>
      <c r="FJ909" s="567"/>
      <c r="FK909" s="567"/>
      <c r="FL909" s="567"/>
      <c r="FM909" s="567"/>
      <c r="FN909" s="567"/>
      <c r="FO909" s="567"/>
      <c r="FP909" s="567"/>
      <c r="FQ909" s="567"/>
      <c r="FR909" s="567"/>
      <c r="FS909" s="567"/>
      <c r="FT909" s="567"/>
      <c r="FU909" s="567"/>
      <c r="FV909" s="567"/>
      <c r="FW909" s="567"/>
      <c r="FX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  <c r="BW910" s="567"/>
      <c r="BX910" s="567"/>
      <c r="BY910" s="567"/>
      <c r="BZ910" s="567"/>
      <c r="CA910" s="567"/>
      <c r="CB910" s="567"/>
      <c r="CC910" s="567"/>
      <c r="CD910" s="567"/>
      <c r="CE910" s="567"/>
      <c r="CF910" s="567"/>
      <c r="CG910" s="567"/>
      <c r="CH910" s="567"/>
      <c r="CI910" s="567"/>
      <c r="CJ910" s="567"/>
      <c r="CK910" s="567"/>
      <c r="CL910" s="567"/>
      <c r="CM910" s="567"/>
      <c r="CN910" s="567"/>
      <c r="CO910" s="567"/>
      <c r="CP910" s="567"/>
      <c r="CQ910" s="567"/>
      <c r="CR910" s="567"/>
      <c r="CS910" s="567"/>
      <c r="CT910" s="567"/>
      <c r="CU910" s="567"/>
      <c r="CV910" s="567"/>
      <c r="CW910" s="567"/>
      <c r="CX910" s="567"/>
      <c r="CY910" s="567"/>
      <c r="CZ910" s="567"/>
      <c r="DA910" s="567"/>
      <c r="DB910" s="567"/>
      <c r="DC910" s="567"/>
      <c r="DD910" s="567"/>
      <c r="DE910" s="567"/>
      <c r="DF910" s="567"/>
      <c r="DG910" s="567"/>
      <c r="DH910" s="567"/>
      <c r="DI910" s="567"/>
      <c r="DJ910" s="567"/>
      <c r="DK910" s="567"/>
      <c r="DL910" s="567"/>
      <c r="DM910" s="567"/>
      <c r="DN910" s="567"/>
      <c r="DO910" s="567"/>
      <c r="DP910" s="567"/>
      <c r="DQ910" s="567"/>
      <c r="DR910" s="567"/>
      <c r="DS910" s="567"/>
      <c r="DT910" s="567"/>
      <c r="DU910" s="567"/>
      <c r="DV910" s="567"/>
      <c r="DW910" s="567"/>
      <c r="DX910" s="567"/>
      <c r="DY910" s="567"/>
      <c r="DZ910" s="567"/>
      <c r="EA910" s="567"/>
      <c r="EB910" s="567"/>
      <c r="EC910" s="567"/>
      <c r="ED910" s="567"/>
      <c r="EE910" s="567"/>
      <c r="EF910" s="567"/>
      <c r="EG910" s="567"/>
      <c r="EH910" s="567"/>
      <c r="EI910" s="567"/>
      <c r="EJ910" s="567"/>
      <c r="EK910" s="567"/>
      <c r="EL910" s="567"/>
      <c r="EM910" s="567"/>
      <c r="EN910" s="567"/>
      <c r="EO910" s="567"/>
      <c r="EP910" s="567"/>
      <c r="EQ910" s="567"/>
      <c r="ER910" s="567"/>
      <c r="ES910" s="567"/>
      <c r="ET910" s="567"/>
      <c r="EU910" s="567"/>
      <c r="EV910" s="567"/>
      <c r="EW910" s="567"/>
      <c r="EX910" s="567"/>
      <c r="EY910" s="567"/>
      <c r="EZ910" s="567"/>
      <c r="FA910" s="567"/>
      <c r="FB910" s="567"/>
      <c r="FC910" s="567"/>
      <c r="FD910" s="567"/>
      <c r="FE910" s="567"/>
      <c r="FF910" s="567"/>
      <c r="FG910" s="567"/>
      <c r="FH910" s="567"/>
      <c r="FI910" s="567"/>
      <c r="FJ910" s="567"/>
      <c r="FK910" s="567"/>
      <c r="FL910" s="567"/>
      <c r="FM910" s="567"/>
      <c r="FN910" s="567"/>
      <c r="FO910" s="567"/>
      <c r="FP910" s="567"/>
      <c r="FQ910" s="567"/>
      <c r="FR910" s="567"/>
      <c r="FS910" s="567"/>
      <c r="FT910" s="567"/>
      <c r="FU910" s="567"/>
      <c r="FV910" s="567"/>
      <c r="FW910" s="567"/>
      <c r="FX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  <c r="BW911" s="567"/>
      <c r="BX911" s="567"/>
      <c r="BY911" s="567"/>
      <c r="BZ911" s="567"/>
      <c r="CA911" s="567"/>
      <c r="CB911" s="567"/>
      <c r="CC911" s="567"/>
      <c r="CD911" s="567"/>
      <c r="CE911" s="567"/>
      <c r="CF911" s="567"/>
      <c r="CG911" s="567"/>
      <c r="CH911" s="567"/>
      <c r="CI911" s="567"/>
      <c r="CJ911" s="567"/>
      <c r="CK911" s="567"/>
      <c r="CL911" s="567"/>
      <c r="CM911" s="567"/>
      <c r="CN911" s="567"/>
      <c r="CO911" s="567"/>
      <c r="CP911" s="567"/>
      <c r="CQ911" s="567"/>
      <c r="CR911" s="567"/>
      <c r="CS911" s="567"/>
      <c r="CT911" s="567"/>
      <c r="CU911" s="567"/>
      <c r="CV911" s="567"/>
      <c r="CW911" s="567"/>
      <c r="CX911" s="567"/>
      <c r="CY911" s="567"/>
      <c r="CZ911" s="567"/>
      <c r="DA911" s="567"/>
      <c r="DB911" s="567"/>
      <c r="DC911" s="567"/>
      <c r="DD911" s="567"/>
      <c r="DE911" s="567"/>
      <c r="DF911" s="567"/>
      <c r="DG911" s="567"/>
      <c r="DH911" s="567"/>
      <c r="DI911" s="567"/>
      <c r="DJ911" s="567"/>
      <c r="DK911" s="567"/>
      <c r="DL911" s="567"/>
      <c r="DM911" s="567"/>
      <c r="DN911" s="567"/>
      <c r="DO911" s="567"/>
      <c r="DP911" s="567"/>
      <c r="DQ911" s="567"/>
      <c r="DR911" s="567"/>
      <c r="DS911" s="567"/>
      <c r="DT911" s="567"/>
      <c r="DU911" s="567"/>
      <c r="DV911" s="567"/>
      <c r="DW911" s="567"/>
      <c r="DX911" s="567"/>
      <c r="DY911" s="567"/>
      <c r="DZ911" s="567"/>
      <c r="EA911" s="567"/>
      <c r="EB911" s="567"/>
      <c r="EC911" s="567"/>
      <c r="ED911" s="567"/>
      <c r="EE911" s="567"/>
      <c r="EF911" s="567"/>
      <c r="EG911" s="567"/>
      <c r="EH911" s="567"/>
      <c r="EI911" s="567"/>
      <c r="EJ911" s="567"/>
      <c r="EK911" s="567"/>
      <c r="EL911" s="567"/>
      <c r="EM911" s="567"/>
      <c r="EN911" s="567"/>
      <c r="EO911" s="567"/>
      <c r="EP911" s="567"/>
      <c r="EQ911" s="567"/>
      <c r="ER911" s="567"/>
      <c r="ES911" s="567"/>
      <c r="ET911" s="567"/>
      <c r="EU911" s="567"/>
      <c r="EV911" s="567"/>
      <c r="EW911" s="567"/>
      <c r="EX911" s="567"/>
      <c r="EY911" s="567"/>
      <c r="EZ911" s="567"/>
      <c r="FA911" s="567"/>
      <c r="FB911" s="567"/>
      <c r="FC911" s="567"/>
      <c r="FD911" s="567"/>
      <c r="FE911" s="567"/>
      <c r="FF911" s="567"/>
      <c r="FG911" s="567"/>
      <c r="FH911" s="567"/>
      <c r="FI911" s="567"/>
      <c r="FJ911" s="567"/>
      <c r="FK911" s="567"/>
      <c r="FL911" s="567"/>
      <c r="FM911" s="567"/>
      <c r="FN911" s="567"/>
      <c r="FO911" s="567"/>
      <c r="FP911" s="567"/>
      <c r="FQ911" s="567"/>
      <c r="FR911" s="567"/>
      <c r="FS911" s="567"/>
      <c r="FT911" s="567"/>
      <c r="FU911" s="567"/>
      <c r="FV911" s="567"/>
      <c r="FW911" s="567"/>
      <c r="FX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  <c r="BW912" s="567"/>
      <c r="BX912" s="567"/>
      <c r="BY912" s="567"/>
      <c r="BZ912" s="567"/>
      <c r="CA912" s="567"/>
      <c r="CB912" s="567"/>
      <c r="CC912" s="567"/>
      <c r="CD912" s="567"/>
      <c r="CE912" s="567"/>
      <c r="CF912" s="567"/>
      <c r="CG912" s="567"/>
      <c r="CH912" s="567"/>
      <c r="CI912" s="567"/>
      <c r="CJ912" s="567"/>
      <c r="CK912" s="567"/>
      <c r="CL912" s="567"/>
      <c r="CM912" s="567"/>
      <c r="CN912" s="567"/>
      <c r="CO912" s="567"/>
      <c r="CP912" s="567"/>
      <c r="CQ912" s="567"/>
      <c r="CR912" s="567"/>
      <c r="CS912" s="567"/>
      <c r="CT912" s="567"/>
      <c r="CU912" s="567"/>
      <c r="CV912" s="567"/>
      <c r="CW912" s="567"/>
      <c r="CX912" s="567"/>
      <c r="CY912" s="567"/>
      <c r="CZ912" s="567"/>
      <c r="DA912" s="567"/>
      <c r="DB912" s="567"/>
      <c r="DC912" s="567"/>
      <c r="DD912" s="567"/>
      <c r="DE912" s="567"/>
      <c r="DF912" s="567"/>
      <c r="DG912" s="567"/>
      <c r="DH912" s="567"/>
      <c r="DI912" s="567"/>
      <c r="DJ912" s="567"/>
      <c r="DK912" s="567"/>
      <c r="DL912" s="567"/>
      <c r="DM912" s="567"/>
      <c r="DN912" s="567"/>
      <c r="DO912" s="567"/>
      <c r="DP912" s="567"/>
      <c r="DQ912" s="567"/>
      <c r="DR912" s="567"/>
      <c r="DS912" s="567"/>
      <c r="DT912" s="567"/>
      <c r="DU912" s="567"/>
      <c r="DV912" s="567"/>
      <c r="DW912" s="567"/>
      <c r="DX912" s="567"/>
      <c r="DY912" s="567"/>
      <c r="DZ912" s="567"/>
      <c r="EA912" s="567"/>
      <c r="EB912" s="567"/>
      <c r="EC912" s="567"/>
      <c r="ED912" s="567"/>
      <c r="EE912" s="567"/>
      <c r="EF912" s="567"/>
      <c r="EG912" s="567"/>
      <c r="EH912" s="567"/>
      <c r="EI912" s="567"/>
      <c r="EJ912" s="567"/>
      <c r="EK912" s="567"/>
      <c r="EL912" s="567"/>
      <c r="EM912" s="567"/>
      <c r="EN912" s="567"/>
      <c r="EO912" s="567"/>
      <c r="EP912" s="567"/>
      <c r="EQ912" s="567"/>
      <c r="ER912" s="567"/>
      <c r="ES912" s="567"/>
      <c r="ET912" s="567"/>
      <c r="EU912" s="567"/>
      <c r="EV912" s="567"/>
      <c r="EW912" s="567"/>
      <c r="EX912" s="567"/>
      <c r="EY912" s="567"/>
      <c r="EZ912" s="567"/>
      <c r="FA912" s="567"/>
      <c r="FB912" s="567"/>
      <c r="FC912" s="567"/>
      <c r="FD912" s="567"/>
      <c r="FE912" s="567"/>
      <c r="FF912" s="567"/>
      <c r="FG912" s="567"/>
      <c r="FH912" s="567"/>
      <c r="FI912" s="567"/>
      <c r="FJ912" s="567"/>
      <c r="FK912" s="567"/>
      <c r="FL912" s="567"/>
      <c r="FM912" s="567"/>
      <c r="FN912" s="567"/>
      <c r="FO912" s="567"/>
      <c r="FP912" s="567"/>
      <c r="FQ912" s="567"/>
      <c r="FR912" s="567"/>
      <c r="FS912" s="567"/>
      <c r="FT912" s="567"/>
      <c r="FU912" s="567"/>
      <c r="FV912" s="567"/>
      <c r="FW912" s="567"/>
      <c r="FX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  <c r="BW913" s="567"/>
      <c r="BX913" s="567"/>
      <c r="BY913" s="567"/>
      <c r="BZ913" s="567"/>
      <c r="CA913" s="567"/>
      <c r="CB913" s="567"/>
      <c r="CC913" s="567"/>
      <c r="CD913" s="567"/>
      <c r="CE913" s="567"/>
      <c r="CF913" s="567"/>
      <c r="CG913" s="567"/>
      <c r="CH913" s="567"/>
      <c r="CI913" s="567"/>
      <c r="CJ913" s="567"/>
      <c r="CK913" s="567"/>
      <c r="CL913" s="567"/>
      <c r="CM913" s="567"/>
      <c r="CN913" s="567"/>
      <c r="CO913" s="567"/>
      <c r="CP913" s="567"/>
      <c r="CQ913" s="567"/>
      <c r="CR913" s="567"/>
      <c r="CS913" s="567"/>
      <c r="CT913" s="567"/>
      <c r="CU913" s="567"/>
      <c r="CV913" s="567"/>
      <c r="CW913" s="567"/>
      <c r="CX913" s="567"/>
      <c r="CY913" s="567"/>
      <c r="CZ913" s="567"/>
      <c r="DA913" s="567"/>
      <c r="DB913" s="567"/>
      <c r="DC913" s="567"/>
      <c r="DD913" s="567"/>
      <c r="DE913" s="567"/>
      <c r="DF913" s="567"/>
      <c r="DG913" s="567"/>
      <c r="DH913" s="567"/>
      <c r="DI913" s="567"/>
      <c r="DJ913" s="567"/>
      <c r="DK913" s="567"/>
      <c r="DL913" s="567"/>
      <c r="DM913" s="567"/>
      <c r="DN913" s="567"/>
      <c r="DO913" s="567"/>
      <c r="DP913" s="567"/>
      <c r="DQ913" s="567"/>
      <c r="DR913" s="567"/>
      <c r="DS913" s="567"/>
      <c r="DT913" s="567"/>
      <c r="DU913" s="567"/>
      <c r="DV913" s="567"/>
      <c r="DW913" s="567"/>
      <c r="DX913" s="567"/>
      <c r="DY913" s="567"/>
      <c r="DZ913" s="567"/>
      <c r="EA913" s="567"/>
      <c r="EB913" s="567"/>
      <c r="EC913" s="567"/>
      <c r="ED913" s="567"/>
      <c r="EE913" s="567"/>
      <c r="EF913" s="567"/>
      <c r="EG913" s="567"/>
      <c r="EH913" s="567"/>
      <c r="EI913" s="567"/>
      <c r="EJ913" s="567"/>
      <c r="EK913" s="567"/>
      <c r="EL913" s="567"/>
      <c r="EM913" s="567"/>
      <c r="EN913" s="567"/>
      <c r="EO913" s="567"/>
      <c r="EP913" s="567"/>
      <c r="EQ913" s="567"/>
      <c r="ER913" s="567"/>
      <c r="ES913" s="567"/>
      <c r="ET913" s="567"/>
      <c r="EU913" s="567"/>
      <c r="EV913" s="567"/>
      <c r="EW913" s="567"/>
      <c r="EX913" s="567"/>
      <c r="EY913" s="567"/>
      <c r="EZ913" s="567"/>
      <c r="FA913" s="567"/>
      <c r="FB913" s="567"/>
      <c r="FC913" s="567"/>
      <c r="FD913" s="567"/>
      <c r="FE913" s="567"/>
      <c r="FF913" s="567"/>
      <c r="FG913" s="567"/>
      <c r="FH913" s="567"/>
      <c r="FI913" s="567"/>
      <c r="FJ913" s="567"/>
      <c r="FK913" s="567"/>
      <c r="FL913" s="567"/>
      <c r="FM913" s="567"/>
      <c r="FN913" s="567"/>
      <c r="FO913" s="567"/>
      <c r="FP913" s="567"/>
      <c r="FQ913" s="567"/>
      <c r="FR913" s="567"/>
      <c r="FS913" s="567"/>
      <c r="FT913" s="567"/>
      <c r="FU913" s="567"/>
      <c r="FV913" s="567"/>
      <c r="FW913" s="567"/>
      <c r="FX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  <c r="BW914" s="567"/>
      <c r="BX914" s="567"/>
      <c r="BY914" s="567"/>
      <c r="BZ914" s="567"/>
      <c r="CA914" s="567"/>
      <c r="CB914" s="567"/>
      <c r="CC914" s="567"/>
      <c r="CD914" s="567"/>
      <c r="CE914" s="567"/>
      <c r="CF914" s="567"/>
      <c r="CG914" s="567"/>
      <c r="CH914" s="567"/>
      <c r="CI914" s="567"/>
      <c r="CJ914" s="567"/>
      <c r="CK914" s="567"/>
      <c r="CL914" s="567"/>
      <c r="CM914" s="567"/>
      <c r="CN914" s="567"/>
      <c r="CO914" s="567"/>
      <c r="CP914" s="567"/>
      <c r="CQ914" s="567"/>
      <c r="CR914" s="567"/>
      <c r="CS914" s="567"/>
      <c r="CT914" s="567"/>
      <c r="CU914" s="567"/>
      <c r="CV914" s="567"/>
      <c r="CW914" s="567"/>
      <c r="CX914" s="567"/>
      <c r="CY914" s="567"/>
      <c r="CZ914" s="567"/>
      <c r="DA914" s="567"/>
      <c r="DB914" s="567"/>
      <c r="DC914" s="567"/>
      <c r="DD914" s="567"/>
      <c r="DE914" s="567"/>
      <c r="DF914" s="567"/>
      <c r="DG914" s="567"/>
      <c r="DH914" s="567"/>
      <c r="DI914" s="567"/>
      <c r="DJ914" s="567"/>
      <c r="DK914" s="567"/>
      <c r="DL914" s="567"/>
      <c r="DM914" s="567"/>
      <c r="DN914" s="567"/>
      <c r="DO914" s="567"/>
      <c r="DP914" s="567"/>
      <c r="DQ914" s="567"/>
      <c r="DR914" s="567"/>
      <c r="DS914" s="567"/>
      <c r="DT914" s="567"/>
      <c r="DU914" s="567"/>
      <c r="DV914" s="567"/>
      <c r="DW914" s="567"/>
      <c r="DX914" s="567"/>
      <c r="DY914" s="567"/>
      <c r="DZ914" s="567"/>
      <c r="EA914" s="567"/>
      <c r="EB914" s="567"/>
      <c r="EC914" s="567"/>
      <c r="ED914" s="567"/>
      <c r="EE914" s="567"/>
      <c r="EF914" s="567"/>
      <c r="EG914" s="567"/>
      <c r="EH914" s="567"/>
      <c r="EI914" s="567"/>
      <c r="EJ914" s="567"/>
      <c r="EK914" s="567"/>
      <c r="EL914" s="567"/>
      <c r="EM914" s="567"/>
      <c r="EN914" s="567"/>
      <c r="EO914" s="567"/>
      <c r="EP914" s="567"/>
      <c r="EQ914" s="567"/>
      <c r="ER914" s="567"/>
      <c r="ES914" s="567"/>
      <c r="ET914" s="567"/>
      <c r="EU914" s="567"/>
      <c r="EV914" s="567"/>
      <c r="EW914" s="567"/>
      <c r="EX914" s="567"/>
      <c r="EY914" s="567"/>
      <c r="EZ914" s="567"/>
      <c r="FA914" s="567"/>
      <c r="FB914" s="567"/>
      <c r="FC914" s="567"/>
      <c r="FD914" s="567"/>
      <c r="FE914" s="567"/>
      <c r="FF914" s="567"/>
      <c r="FG914" s="567"/>
      <c r="FH914" s="567"/>
      <c r="FI914" s="567"/>
      <c r="FJ914" s="567"/>
      <c r="FK914" s="567"/>
      <c r="FL914" s="567"/>
      <c r="FM914" s="567"/>
      <c r="FN914" s="567"/>
      <c r="FO914" s="567"/>
      <c r="FP914" s="567"/>
      <c r="FQ914" s="567"/>
      <c r="FR914" s="567"/>
      <c r="FS914" s="567"/>
      <c r="FT914" s="567"/>
      <c r="FU914" s="567"/>
      <c r="FV914" s="567"/>
      <c r="FW914" s="567"/>
      <c r="FX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  <c r="BW915" s="567"/>
      <c r="BX915" s="567"/>
      <c r="BY915" s="567"/>
      <c r="BZ915" s="567"/>
      <c r="CA915" s="567"/>
      <c r="CB915" s="567"/>
      <c r="CC915" s="567"/>
      <c r="CD915" s="567"/>
      <c r="CE915" s="567"/>
      <c r="CF915" s="567"/>
      <c r="CG915" s="567"/>
      <c r="CH915" s="567"/>
      <c r="CI915" s="567"/>
      <c r="CJ915" s="567"/>
      <c r="CK915" s="567"/>
      <c r="CL915" s="567"/>
      <c r="CM915" s="567"/>
      <c r="CN915" s="567"/>
      <c r="CO915" s="567"/>
      <c r="CP915" s="567"/>
      <c r="CQ915" s="567"/>
      <c r="CR915" s="567"/>
      <c r="CS915" s="567"/>
      <c r="CT915" s="567"/>
      <c r="CU915" s="567"/>
      <c r="CV915" s="567"/>
      <c r="CW915" s="567"/>
      <c r="CX915" s="567"/>
      <c r="CY915" s="567"/>
      <c r="CZ915" s="567"/>
      <c r="DA915" s="567"/>
      <c r="DB915" s="567"/>
      <c r="DC915" s="567"/>
      <c r="DD915" s="567"/>
      <c r="DE915" s="567"/>
      <c r="DF915" s="567"/>
      <c r="DG915" s="567"/>
      <c r="DH915" s="567"/>
      <c r="DI915" s="567"/>
      <c r="DJ915" s="567"/>
      <c r="DK915" s="567"/>
      <c r="DL915" s="567"/>
      <c r="DM915" s="567"/>
      <c r="DN915" s="567"/>
      <c r="DO915" s="567"/>
      <c r="DP915" s="567"/>
      <c r="DQ915" s="567"/>
      <c r="DR915" s="567"/>
      <c r="DS915" s="567"/>
      <c r="DT915" s="567"/>
      <c r="DU915" s="567"/>
      <c r="DV915" s="567"/>
      <c r="DW915" s="567"/>
      <c r="DX915" s="567"/>
      <c r="DY915" s="567"/>
      <c r="DZ915" s="567"/>
      <c r="EA915" s="567"/>
      <c r="EB915" s="567"/>
      <c r="EC915" s="567"/>
      <c r="ED915" s="567"/>
      <c r="EE915" s="567"/>
      <c r="EF915" s="567"/>
      <c r="EG915" s="567"/>
      <c r="EH915" s="567"/>
      <c r="EI915" s="567"/>
      <c r="EJ915" s="567"/>
      <c r="EK915" s="567"/>
      <c r="EL915" s="567"/>
      <c r="EM915" s="567"/>
      <c r="EN915" s="567"/>
      <c r="EO915" s="567"/>
      <c r="EP915" s="567"/>
      <c r="EQ915" s="567"/>
      <c r="ER915" s="567"/>
      <c r="ES915" s="567"/>
      <c r="ET915" s="567"/>
      <c r="EU915" s="567"/>
      <c r="EV915" s="567"/>
      <c r="EW915" s="567"/>
      <c r="EX915" s="567"/>
      <c r="EY915" s="567"/>
      <c r="EZ915" s="567"/>
      <c r="FA915" s="567"/>
      <c r="FB915" s="567"/>
      <c r="FC915" s="567"/>
      <c r="FD915" s="567"/>
      <c r="FE915" s="567"/>
      <c r="FF915" s="567"/>
      <c r="FG915" s="567"/>
      <c r="FH915" s="567"/>
      <c r="FI915" s="567"/>
      <c r="FJ915" s="567"/>
      <c r="FK915" s="567"/>
      <c r="FL915" s="567"/>
      <c r="FM915" s="567"/>
      <c r="FN915" s="567"/>
      <c r="FO915" s="567"/>
      <c r="FP915" s="567"/>
      <c r="FQ915" s="567"/>
      <c r="FR915" s="567"/>
      <c r="FS915" s="567"/>
      <c r="FT915" s="567"/>
      <c r="FU915" s="567"/>
      <c r="FV915" s="567"/>
      <c r="FW915" s="567"/>
      <c r="FX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  <c r="BW916" s="567"/>
      <c r="BX916" s="567"/>
      <c r="BY916" s="567"/>
      <c r="BZ916" s="567"/>
      <c r="CA916" s="567"/>
      <c r="CB916" s="567"/>
      <c r="CC916" s="567"/>
      <c r="CD916" s="567"/>
      <c r="CE916" s="567"/>
      <c r="CF916" s="567"/>
      <c r="CG916" s="567"/>
      <c r="CH916" s="567"/>
      <c r="CI916" s="567"/>
      <c r="CJ916" s="567"/>
      <c r="CK916" s="567"/>
      <c r="CL916" s="567"/>
      <c r="CM916" s="567"/>
      <c r="CN916" s="567"/>
      <c r="CO916" s="567"/>
      <c r="CP916" s="567"/>
      <c r="CQ916" s="567"/>
      <c r="CR916" s="567"/>
      <c r="CS916" s="567"/>
      <c r="CT916" s="567"/>
      <c r="CU916" s="567"/>
      <c r="CV916" s="567"/>
      <c r="CW916" s="567"/>
      <c r="CX916" s="567"/>
      <c r="CY916" s="567"/>
      <c r="CZ916" s="567"/>
      <c r="DA916" s="567"/>
      <c r="DB916" s="567"/>
      <c r="DC916" s="567"/>
      <c r="DD916" s="567"/>
      <c r="DE916" s="567"/>
      <c r="DF916" s="567"/>
      <c r="DG916" s="567"/>
      <c r="DH916" s="567"/>
      <c r="DI916" s="567"/>
      <c r="DJ916" s="567"/>
      <c r="DK916" s="567"/>
      <c r="DL916" s="567"/>
      <c r="DM916" s="567"/>
      <c r="DN916" s="567"/>
      <c r="DO916" s="567"/>
      <c r="DP916" s="567"/>
      <c r="DQ916" s="567"/>
      <c r="DR916" s="567"/>
      <c r="DS916" s="567"/>
      <c r="DT916" s="567"/>
      <c r="DU916" s="567"/>
      <c r="DV916" s="567"/>
      <c r="DW916" s="567"/>
      <c r="DX916" s="567"/>
      <c r="DY916" s="567"/>
      <c r="DZ916" s="567"/>
      <c r="EA916" s="567"/>
      <c r="EB916" s="567"/>
      <c r="EC916" s="567"/>
      <c r="ED916" s="567"/>
      <c r="EE916" s="567"/>
      <c r="EF916" s="567"/>
      <c r="EG916" s="567"/>
      <c r="EH916" s="567"/>
      <c r="EI916" s="567"/>
      <c r="EJ916" s="567"/>
      <c r="EK916" s="567"/>
      <c r="EL916" s="567"/>
      <c r="EM916" s="567"/>
      <c r="EN916" s="567"/>
      <c r="EO916" s="567"/>
      <c r="EP916" s="567"/>
      <c r="EQ916" s="567"/>
      <c r="ER916" s="567"/>
      <c r="ES916" s="567"/>
      <c r="ET916" s="567"/>
      <c r="EU916" s="567"/>
      <c r="EV916" s="567"/>
      <c r="EW916" s="567"/>
      <c r="EX916" s="567"/>
      <c r="EY916" s="567"/>
      <c r="EZ916" s="567"/>
      <c r="FA916" s="567"/>
      <c r="FB916" s="567"/>
      <c r="FC916" s="567"/>
      <c r="FD916" s="567"/>
      <c r="FE916" s="567"/>
      <c r="FF916" s="567"/>
      <c r="FG916" s="567"/>
      <c r="FH916" s="567"/>
      <c r="FI916" s="567"/>
      <c r="FJ916" s="567"/>
      <c r="FK916" s="567"/>
      <c r="FL916" s="567"/>
      <c r="FM916" s="567"/>
      <c r="FN916" s="567"/>
      <c r="FO916" s="567"/>
      <c r="FP916" s="567"/>
      <c r="FQ916" s="567"/>
      <c r="FR916" s="567"/>
      <c r="FS916" s="567"/>
      <c r="FT916" s="567"/>
      <c r="FU916" s="567"/>
      <c r="FV916" s="567"/>
      <c r="FW916" s="567"/>
      <c r="FX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  <c r="BW917" s="567"/>
      <c r="BX917" s="567"/>
      <c r="BY917" s="567"/>
      <c r="BZ917" s="567"/>
      <c r="CA917" s="567"/>
      <c r="CB917" s="567"/>
      <c r="CC917" s="567"/>
      <c r="CD917" s="567"/>
      <c r="CE917" s="567"/>
      <c r="CF917" s="567"/>
      <c r="CG917" s="567"/>
      <c r="CH917" s="567"/>
      <c r="CI917" s="567"/>
      <c r="CJ917" s="567"/>
      <c r="CK917" s="567"/>
      <c r="CL917" s="567"/>
      <c r="CM917" s="567"/>
      <c r="CN917" s="567"/>
      <c r="CO917" s="567"/>
      <c r="CP917" s="567"/>
      <c r="CQ917" s="567"/>
      <c r="CR917" s="567"/>
      <c r="CS917" s="567"/>
      <c r="CT917" s="567"/>
      <c r="CU917" s="567"/>
      <c r="CV917" s="567"/>
      <c r="CW917" s="567"/>
      <c r="CX917" s="567"/>
      <c r="CY917" s="567"/>
      <c r="CZ917" s="567"/>
      <c r="DA917" s="567"/>
      <c r="DB917" s="567"/>
      <c r="DC917" s="567"/>
      <c r="DD917" s="567"/>
      <c r="DE917" s="567"/>
      <c r="DF917" s="567"/>
      <c r="DG917" s="567"/>
      <c r="DH917" s="567"/>
      <c r="DI917" s="567"/>
      <c r="DJ917" s="567"/>
      <c r="DK917" s="567"/>
      <c r="DL917" s="567"/>
      <c r="DM917" s="567"/>
      <c r="DN917" s="567"/>
      <c r="DO917" s="567"/>
      <c r="DP917" s="567"/>
      <c r="DQ917" s="567"/>
      <c r="DR917" s="567"/>
      <c r="DS917" s="567"/>
      <c r="DT917" s="567"/>
      <c r="DU917" s="567"/>
      <c r="DV917" s="567"/>
      <c r="DW917" s="567"/>
      <c r="DX917" s="567"/>
      <c r="DY917" s="567"/>
      <c r="DZ917" s="567"/>
      <c r="EA917" s="567"/>
      <c r="EB917" s="567"/>
      <c r="EC917" s="567"/>
      <c r="ED917" s="567"/>
      <c r="EE917" s="567"/>
      <c r="EF917" s="567"/>
      <c r="EG917" s="567"/>
      <c r="EH917" s="567"/>
      <c r="EI917" s="567"/>
      <c r="EJ917" s="567"/>
      <c r="EK917" s="567"/>
      <c r="EL917" s="567"/>
      <c r="EM917" s="567"/>
      <c r="EN917" s="567"/>
      <c r="EO917" s="567"/>
      <c r="EP917" s="567"/>
      <c r="EQ917" s="567"/>
      <c r="ER917" s="567"/>
      <c r="ES917" s="567"/>
      <c r="ET917" s="567"/>
      <c r="EU917" s="567"/>
      <c r="EV917" s="567"/>
      <c r="EW917" s="567"/>
      <c r="EX917" s="567"/>
      <c r="EY917" s="567"/>
      <c r="EZ917" s="567"/>
      <c r="FA917" s="567"/>
      <c r="FB917" s="567"/>
      <c r="FC917" s="567"/>
      <c r="FD917" s="567"/>
      <c r="FE917" s="567"/>
      <c r="FF917" s="567"/>
      <c r="FG917" s="567"/>
      <c r="FH917" s="567"/>
      <c r="FI917" s="567"/>
      <c r="FJ917" s="567"/>
      <c r="FK917" s="567"/>
      <c r="FL917" s="567"/>
      <c r="FM917" s="567"/>
      <c r="FN917" s="567"/>
      <c r="FO917" s="567"/>
      <c r="FP917" s="567"/>
      <c r="FQ917" s="567"/>
      <c r="FR917" s="567"/>
      <c r="FS917" s="567"/>
      <c r="FT917" s="567"/>
      <c r="FU917" s="567"/>
      <c r="FV917" s="567"/>
      <c r="FW917" s="567"/>
      <c r="FX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  <c r="BW918" s="567"/>
      <c r="BX918" s="567"/>
      <c r="BY918" s="567"/>
      <c r="BZ918" s="567"/>
      <c r="CA918" s="567"/>
      <c r="CB918" s="567"/>
      <c r="CC918" s="567"/>
      <c r="CD918" s="567"/>
      <c r="CE918" s="567"/>
      <c r="CF918" s="567"/>
      <c r="CG918" s="567"/>
      <c r="CH918" s="567"/>
      <c r="CI918" s="567"/>
      <c r="CJ918" s="567"/>
      <c r="CK918" s="567"/>
      <c r="CL918" s="567"/>
      <c r="CM918" s="567"/>
      <c r="CN918" s="567"/>
      <c r="CO918" s="567"/>
      <c r="CP918" s="567"/>
      <c r="CQ918" s="567"/>
      <c r="CR918" s="567"/>
      <c r="CS918" s="567"/>
      <c r="CT918" s="567"/>
      <c r="CU918" s="567"/>
      <c r="CV918" s="567"/>
      <c r="CW918" s="567"/>
      <c r="CX918" s="567"/>
      <c r="CY918" s="567"/>
      <c r="CZ918" s="567"/>
      <c r="DA918" s="567"/>
      <c r="DB918" s="567"/>
      <c r="DC918" s="567"/>
      <c r="DD918" s="567"/>
      <c r="DE918" s="567"/>
      <c r="DF918" s="567"/>
      <c r="DG918" s="567"/>
      <c r="DH918" s="567"/>
      <c r="DI918" s="567"/>
      <c r="DJ918" s="567"/>
      <c r="DK918" s="567"/>
      <c r="DL918" s="567"/>
      <c r="DM918" s="567"/>
      <c r="DN918" s="567"/>
      <c r="DO918" s="567"/>
      <c r="DP918" s="567"/>
      <c r="DQ918" s="567"/>
      <c r="DR918" s="567"/>
      <c r="DS918" s="567"/>
      <c r="DT918" s="567"/>
      <c r="DU918" s="567"/>
      <c r="DV918" s="567"/>
      <c r="DW918" s="567"/>
      <c r="DX918" s="567"/>
      <c r="DY918" s="567"/>
      <c r="DZ918" s="567"/>
      <c r="EA918" s="567"/>
      <c r="EB918" s="567"/>
      <c r="EC918" s="567"/>
      <c r="ED918" s="567"/>
      <c r="EE918" s="567"/>
      <c r="EF918" s="567"/>
      <c r="EG918" s="567"/>
      <c r="EH918" s="567"/>
      <c r="EI918" s="567"/>
      <c r="EJ918" s="567"/>
      <c r="EK918" s="567"/>
      <c r="EL918" s="567"/>
      <c r="EM918" s="567"/>
      <c r="EN918" s="567"/>
      <c r="EO918" s="567"/>
      <c r="EP918" s="567"/>
      <c r="EQ918" s="567"/>
      <c r="ER918" s="567"/>
      <c r="ES918" s="567"/>
      <c r="ET918" s="567"/>
      <c r="EU918" s="567"/>
      <c r="EV918" s="567"/>
      <c r="EW918" s="567"/>
      <c r="EX918" s="567"/>
      <c r="EY918" s="567"/>
      <c r="EZ918" s="567"/>
      <c r="FA918" s="567"/>
      <c r="FB918" s="567"/>
      <c r="FC918" s="567"/>
      <c r="FD918" s="567"/>
      <c r="FE918" s="567"/>
      <c r="FF918" s="567"/>
      <c r="FG918" s="567"/>
      <c r="FH918" s="567"/>
      <c r="FI918" s="567"/>
      <c r="FJ918" s="567"/>
      <c r="FK918" s="567"/>
      <c r="FL918" s="567"/>
      <c r="FM918" s="567"/>
      <c r="FN918" s="567"/>
      <c r="FO918" s="567"/>
      <c r="FP918" s="567"/>
      <c r="FQ918" s="567"/>
      <c r="FR918" s="567"/>
      <c r="FS918" s="567"/>
      <c r="FT918" s="567"/>
      <c r="FU918" s="567"/>
      <c r="FV918" s="567"/>
      <c r="FW918" s="567"/>
      <c r="FX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  <c r="BW919" s="567"/>
      <c r="BX919" s="567"/>
      <c r="BY919" s="567"/>
      <c r="BZ919" s="567"/>
      <c r="CA919" s="567"/>
      <c r="CB919" s="567"/>
      <c r="CC919" s="567"/>
      <c r="CD919" s="567"/>
      <c r="CE919" s="567"/>
      <c r="CF919" s="567"/>
      <c r="CG919" s="567"/>
      <c r="CH919" s="567"/>
      <c r="CI919" s="567"/>
      <c r="CJ919" s="567"/>
      <c r="CK919" s="567"/>
      <c r="CL919" s="567"/>
      <c r="CM919" s="567"/>
      <c r="CN919" s="567"/>
      <c r="CO919" s="567"/>
      <c r="CP919" s="567"/>
      <c r="CQ919" s="567"/>
      <c r="CR919" s="567"/>
      <c r="CS919" s="567"/>
      <c r="CT919" s="567"/>
      <c r="CU919" s="567"/>
      <c r="CV919" s="567"/>
      <c r="CW919" s="567"/>
      <c r="CX919" s="567"/>
      <c r="CY919" s="567"/>
      <c r="CZ919" s="567"/>
      <c r="DA919" s="567"/>
      <c r="DB919" s="567"/>
      <c r="DC919" s="567"/>
      <c r="DD919" s="567"/>
      <c r="DE919" s="567"/>
      <c r="DF919" s="567"/>
      <c r="DG919" s="567"/>
      <c r="DH919" s="567"/>
      <c r="DI919" s="567"/>
      <c r="DJ919" s="567"/>
      <c r="DK919" s="567"/>
      <c r="DL919" s="567"/>
      <c r="DM919" s="567"/>
      <c r="DN919" s="567"/>
      <c r="DO919" s="567"/>
      <c r="DP919" s="567"/>
      <c r="DQ919" s="567"/>
      <c r="DR919" s="567"/>
      <c r="DS919" s="567"/>
      <c r="DT919" s="567"/>
      <c r="DU919" s="567"/>
      <c r="DV919" s="567"/>
      <c r="DW919" s="567"/>
      <c r="DX919" s="567"/>
      <c r="DY919" s="567"/>
      <c r="DZ919" s="567"/>
      <c r="EA919" s="567"/>
      <c r="EB919" s="567"/>
      <c r="EC919" s="567"/>
      <c r="ED919" s="567"/>
      <c r="EE919" s="567"/>
      <c r="EF919" s="567"/>
      <c r="EG919" s="567"/>
      <c r="EH919" s="567"/>
      <c r="EI919" s="567"/>
      <c r="EJ919" s="567"/>
      <c r="EK919" s="567"/>
      <c r="EL919" s="567"/>
      <c r="EM919" s="567"/>
      <c r="EN919" s="567"/>
      <c r="EO919" s="567"/>
      <c r="EP919" s="567"/>
      <c r="EQ919" s="567"/>
      <c r="ER919" s="567"/>
      <c r="ES919" s="567"/>
      <c r="ET919" s="567"/>
      <c r="EU919" s="567"/>
      <c r="EV919" s="567"/>
      <c r="EW919" s="567"/>
      <c r="EX919" s="567"/>
      <c r="EY919" s="567"/>
      <c r="EZ919" s="567"/>
      <c r="FA919" s="567"/>
      <c r="FB919" s="567"/>
      <c r="FC919" s="567"/>
      <c r="FD919" s="567"/>
      <c r="FE919" s="567"/>
      <c r="FF919" s="567"/>
      <c r="FG919" s="567"/>
      <c r="FH919" s="567"/>
      <c r="FI919" s="567"/>
      <c r="FJ919" s="567"/>
      <c r="FK919" s="567"/>
      <c r="FL919" s="567"/>
      <c r="FM919" s="567"/>
      <c r="FN919" s="567"/>
      <c r="FO919" s="567"/>
      <c r="FP919" s="567"/>
      <c r="FQ919" s="567"/>
      <c r="FR919" s="567"/>
      <c r="FS919" s="567"/>
      <c r="FT919" s="567"/>
      <c r="FU919" s="567"/>
      <c r="FV919" s="567"/>
      <c r="FW919" s="567"/>
      <c r="FX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  <c r="BW920" s="567"/>
      <c r="BX920" s="567"/>
      <c r="BY920" s="567"/>
      <c r="BZ920" s="567"/>
      <c r="CA920" s="567"/>
      <c r="CB920" s="567"/>
      <c r="CC920" s="567"/>
      <c r="CD920" s="567"/>
      <c r="CE920" s="567"/>
      <c r="CF920" s="567"/>
      <c r="CG920" s="567"/>
      <c r="CH920" s="567"/>
      <c r="CI920" s="567"/>
      <c r="CJ920" s="567"/>
      <c r="CK920" s="567"/>
      <c r="CL920" s="567"/>
      <c r="CM920" s="567"/>
      <c r="CN920" s="567"/>
      <c r="CO920" s="567"/>
      <c r="CP920" s="567"/>
      <c r="CQ920" s="567"/>
      <c r="CR920" s="567"/>
      <c r="CS920" s="567"/>
      <c r="CT920" s="567"/>
      <c r="CU920" s="567"/>
      <c r="CV920" s="567"/>
      <c r="CW920" s="567"/>
      <c r="CX920" s="567"/>
      <c r="CY920" s="567"/>
      <c r="CZ920" s="567"/>
      <c r="DA920" s="567"/>
      <c r="DB920" s="567"/>
      <c r="DC920" s="567"/>
      <c r="DD920" s="567"/>
      <c r="DE920" s="567"/>
      <c r="DF920" s="567"/>
      <c r="DG920" s="567"/>
      <c r="DH920" s="567"/>
      <c r="DI920" s="567"/>
      <c r="DJ920" s="567"/>
      <c r="DK920" s="567"/>
      <c r="DL920" s="567"/>
      <c r="DM920" s="567"/>
      <c r="DN920" s="567"/>
      <c r="DO920" s="567"/>
      <c r="DP920" s="567"/>
      <c r="DQ920" s="567"/>
      <c r="DR920" s="567"/>
      <c r="DS920" s="567"/>
      <c r="DT920" s="567"/>
      <c r="DU920" s="567"/>
      <c r="DV920" s="567"/>
      <c r="DW920" s="567"/>
      <c r="DX920" s="567"/>
      <c r="DY920" s="567"/>
      <c r="DZ920" s="567"/>
      <c r="EA920" s="567"/>
      <c r="EB920" s="567"/>
      <c r="EC920" s="567"/>
      <c r="ED920" s="567"/>
      <c r="EE920" s="567"/>
      <c r="EF920" s="567"/>
      <c r="EG920" s="567"/>
      <c r="EH920" s="567"/>
      <c r="EI920" s="567"/>
      <c r="EJ920" s="567"/>
      <c r="EK920" s="567"/>
      <c r="EL920" s="567"/>
      <c r="EM920" s="567"/>
      <c r="EN920" s="567"/>
      <c r="EO920" s="567"/>
      <c r="EP920" s="567"/>
      <c r="EQ920" s="567"/>
      <c r="ER920" s="567"/>
      <c r="ES920" s="567"/>
      <c r="ET920" s="567"/>
      <c r="EU920" s="567"/>
      <c r="EV920" s="567"/>
      <c r="EW920" s="567"/>
      <c r="EX920" s="567"/>
      <c r="EY920" s="567"/>
      <c r="EZ920" s="567"/>
      <c r="FA920" s="567"/>
      <c r="FB920" s="567"/>
      <c r="FC920" s="567"/>
      <c r="FD920" s="567"/>
      <c r="FE920" s="567"/>
      <c r="FF920" s="567"/>
      <c r="FG920" s="567"/>
      <c r="FH920" s="567"/>
      <c r="FI920" s="567"/>
      <c r="FJ920" s="567"/>
      <c r="FK920" s="567"/>
      <c r="FL920" s="567"/>
      <c r="FM920" s="567"/>
      <c r="FN920" s="567"/>
      <c r="FO920" s="567"/>
      <c r="FP920" s="567"/>
      <c r="FQ920" s="567"/>
      <c r="FR920" s="567"/>
      <c r="FS920" s="567"/>
      <c r="FT920" s="567"/>
      <c r="FU920" s="567"/>
      <c r="FV920" s="567"/>
      <c r="FW920" s="567"/>
      <c r="FX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  <c r="BW921" s="567"/>
      <c r="BX921" s="567"/>
      <c r="BY921" s="567"/>
      <c r="BZ921" s="567"/>
      <c r="CA921" s="567"/>
      <c r="CB921" s="567"/>
      <c r="CC921" s="567"/>
      <c r="CD921" s="567"/>
      <c r="CE921" s="567"/>
      <c r="CF921" s="567"/>
      <c r="CG921" s="567"/>
      <c r="CH921" s="567"/>
      <c r="CI921" s="567"/>
      <c r="CJ921" s="567"/>
      <c r="CK921" s="567"/>
      <c r="CL921" s="567"/>
      <c r="CM921" s="567"/>
      <c r="CN921" s="567"/>
      <c r="CO921" s="567"/>
      <c r="CP921" s="567"/>
      <c r="CQ921" s="567"/>
      <c r="CR921" s="567"/>
      <c r="CS921" s="567"/>
      <c r="CT921" s="567"/>
      <c r="CU921" s="567"/>
      <c r="CV921" s="567"/>
      <c r="CW921" s="567"/>
      <c r="CX921" s="567"/>
      <c r="CY921" s="567"/>
      <c r="CZ921" s="567"/>
      <c r="DA921" s="567"/>
      <c r="DB921" s="567"/>
      <c r="DC921" s="567"/>
      <c r="DD921" s="567"/>
      <c r="DE921" s="567"/>
      <c r="DF921" s="567"/>
      <c r="DG921" s="567"/>
      <c r="DH921" s="567"/>
      <c r="DI921" s="567"/>
      <c r="DJ921" s="567"/>
      <c r="DK921" s="567"/>
      <c r="DL921" s="567"/>
      <c r="DM921" s="567"/>
      <c r="DN921" s="567"/>
      <c r="DO921" s="567"/>
      <c r="DP921" s="567"/>
      <c r="DQ921" s="567"/>
      <c r="DR921" s="567"/>
      <c r="DS921" s="567"/>
      <c r="DT921" s="567"/>
      <c r="DU921" s="567"/>
      <c r="DV921" s="567"/>
      <c r="DW921" s="567"/>
      <c r="DX921" s="567"/>
      <c r="DY921" s="567"/>
      <c r="DZ921" s="567"/>
      <c r="EA921" s="567"/>
      <c r="EB921" s="567"/>
      <c r="EC921" s="567"/>
      <c r="ED921" s="567"/>
      <c r="EE921" s="567"/>
      <c r="EF921" s="567"/>
      <c r="EG921" s="567"/>
      <c r="EH921" s="567"/>
      <c r="EI921" s="567"/>
      <c r="EJ921" s="567"/>
      <c r="EK921" s="567"/>
      <c r="EL921" s="567"/>
      <c r="EM921" s="567"/>
      <c r="EN921" s="567"/>
      <c r="EO921" s="567"/>
      <c r="EP921" s="567"/>
      <c r="EQ921" s="567"/>
      <c r="ER921" s="567"/>
      <c r="ES921" s="567"/>
      <c r="ET921" s="567"/>
      <c r="EU921" s="567"/>
      <c r="EV921" s="567"/>
      <c r="EW921" s="567"/>
      <c r="EX921" s="567"/>
      <c r="EY921" s="567"/>
      <c r="EZ921" s="567"/>
      <c r="FA921" s="567"/>
      <c r="FB921" s="567"/>
      <c r="FC921" s="567"/>
      <c r="FD921" s="567"/>
      <c r="FE921" s="567"/>
      <c r="FF921" s="567"/>
      <c r="FG921" s="567"/>
      <c r="FH921" s="567"/>
      <c r="FI921" s="567"/>
      <c r="FJ921" s="567"/>
      <c r="FK921" s="567"/>
      <c r="FL921" s="567"/>
      <c r="FM921" s="567"/>
      <c r="FN921" s="567"/>
      <c r="FO921" s="567"/>
      <c r="FP921" s="567"/>
      <c r="FQ921" s="567"/>
      <c r="FR921" s="567"/>
      <c r="FS921" s="567"/>
      <c r="FT921" s="567"/>
      <c r="FU921" s="567"/>
      <c r="FV921" s="567"/>
      <c r="FW921" s="567"/>
      <c r="FX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  <c r="BW922" s="567"/>
      <c r="BX922" s="567"/>
      <c r="BY922" s="567"/>
      <c r="BZ922" s="567"/>
      <c r="CA922" s="567"/>
      <c r="CB922" s="567"/>
      <c r="CC922" s="567"/>
      <c r="CD922" s="567"/>
      <c r="CE922" s="567"/>
      <c r="CF922" s="567"/>
      <c r="CG922" s="567"/>
      <c r="CH922" s="567"/>
      <c r="CI922" s="567"/>
      <c r="CJ922" s="567"/>
      <c r="CK922" s="567"/>
      <c r="CL922" s="567"/>
      <c r="CM922" s="567"/>
      <c r="CN922" s="567"/>
      <c r="CO922" s="567"/>
      <c r="CP922" s="567"/>
      <c r="CQ922" s="567"/>
      <c r="CR922" s="567"/>
      <c r="CS922" s="567"/>
      <c r="CT922" s="567"/>
      <c r="CU922" s="567"/>
      <c r="CV922" s="567"/>
      <c r="CW922" s="567"/>
      <c r="CX922" s="567"/>
      <c r="CY922" s="567"/>
      <c r="CZ922" s="567"/>
      <c r="DA922" s="567"/>
      <c r="DB922" s="567"/>
      <c r="DC922" s="567"/>
      <c r="DD922" s="567"/>
      <c r="DE922" s="567"/>
      <c r="DF922" s="567"/>
      <c r="DG922" s="567"/>
      <c r="DH922" s="567"/>
      <c r="DI922" s="567"/>
      <c r="DJ922" s="567"/>
      <c r="DK922" s="567"/>
      <c r="DL922" s="567"/>
      <c r="DM922" s="567"/>
      <c r="DN922" s="567"/>
      <c r="DO922" s="567"/>
      <c r="DP922" s="567"/>
      <c r="DQ922" s="567"/>
      <c r="DR922" s="567"/>
      <c r="DS922" s="567"/>
      <c r="DT922" s="567"/>
      <c r="DU922" s="567"/>
      <c r="DV922" s="567"/>
      <c r="DW922" s="567"/>
      <c r="DX922" s="567"/>
      <c r="DY922" s="567"/>
      <c r="DZ922" s="567"/>
      <c r="EA922" s="567"/>
      <c r="EB922" s="567"/>
      <c r="EC922" s="567"/>
      <c r="ED922" s="567"/>
      <c r="EE922" s="567"/>
      <c r="EF922" s="567"/>
      <c r="EG922" s="567"/>
      <c r="EH922" s="567"/>
      <c r="EI922" s="567"/>
      <c r="EJ922" s="567"/>
      <c r="EK922" s="567"/>
      <c r="EL922" s="567"/>
      <c r="EM922" s="567"/>
      <c r="EN922" s="567"/>
      <c r="EO922" s="567"/>
      <c r="EP922" s="567"/>
      <c r="EQ922" s="567"/>
      <c r="ER922" s="567"/>
      <c r="ES922" s="567"/>
      <c r="ET922" s="567"/>
      <c r="EU922" s="567"/>
      <c r="EV922" s="567"/>
      <c r="EW922" s="567"/>
      <c r="EX922" s="567"/>
      <c r="EY922" s="567"/>
      <c r="EZ922" s="567"/>
      <c r="FA922" s="567"/>
      <c r="FB922" s="567"/>
      <c r="FC922" s="567"/>
      <c r="FD922" s="567"/>
      <c r="FE922" s="567"/>
      <c r="FF922" s="567"/>
      <c r="FG922" s="567"/>
      <c r="FH922" s="567"/>
      <c r="FI922" s="567"/>
      <c r="FJ922" s="567"/>
      <c r="FK922" s="567"/>
      <c r="FL922" s="567"/>
      <c r="FM922" s="567"/>
      <c r="FN922" s="567"/>
      <c r="FO922" s="567"/>
      <c r="FP922" s="567"/>
      <c r="FQ922" s="567"/>
      <c r="FR922" s="567"/>
      <c r="FS922" s="567"/>
      <c r="FT922" s="567"/>
      <c r="FU922" s="567"/>
      <c r="FV922" s="567"/>
      <c r="FW922" s="567"/>
      <c r="FX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  <c r="BW923" s="567"/>
      <c r="BX923" s="567"/>
      <c r="BY923" s="567"/>
      <c r="BZ923" s="567"/>
      <c r="CA923" s="567"/>
      <c r="CB923" s="567"/>
      <c r="CC923" s="567"/>
      <c r="CD923" s="567"/>
      <c r="CE923" s="567"/>
      <c r="CF923" s="567"/>
      <c r="CG923" s="567"/>
      <c r="CH923" s="567"/>
      <c r="CI923" s="567"/>
      <c r="CJ923" s="567"/>
      <c r="CK923" s="567"/>
      <c r="CL923" s="567"/>
      <c r="CM923" s="567"/>
      <c r="CN923" s="567"/>
      <c r="CO923" s="567"/>
      <c r="CP923" s="567"/>
      <c r="CQ923" s="567"/>
      <c r="CR923" s="567"/>
      <c r="CS923" s="567"/>
      <c r="CT923" s="567"/>
      <c r="CU923" s="567"/>
      <c r="CV923" s="567"/>
      <c r="CW923" s="567"/>
      <c r="CX923" s="567"/>
      <c r="CY923" s="567"/>
      <c r="CZ923" s="567"/>
      <c r="DA923" s="567"/>
      <c r="DB923" s="567"/>
      <c r="DC923" s="567"/>
      <c r="DD923" s="567"/>
      <c r="DE923" s="567"/>
      <c r="DF923" s="567"/>
      <c r="DG923" s="567"/>
      <c r="DH923" s="567"/>
      <c r="DI923" s="567"/>
      <c r="DJ923" s="567"/>
      <c r="DK923" s="567"/>
      <c r="DL923" s="567"/>
      <c r="DM923" s="567"/>
      <c r="DN923" s="567"/>
      <c r="DO923" s="567"/>
      <c r="DP923" s="567"/>
      <c r="DQ923" s="567"/>
      <c r="DR923" s="567"/>
      <c r="DS923" s="567"/>
      <c r="DT923" s="567"/>
      <c r="DU923" s="567"/>
      <c r="DV923" s="567"/>
      <c r="DW923" s="567"/>
      <c r="DX923" s="567"/>
      <c r="DY923" s="567"/>
      <c r="DZ923" s="567"/>
      <c r="EA923" s="567"/>
      <c r="EB923" s="567"/>
      <c r="EC923" s="567"/>
      <c r="ED923" s="567"/>
      <c r="EE923" s="567"/>
      <c r="EF923" s="567"/>
      <c r="EG923" s="567"/>
      <c r="EH923" s="567"/>
      <c r="EI923" s="567"/>
      <c r="EJ923" s="567"/>
      <c r="EK923" s="567"/>
      <c r="EL923" s="567"/>
      <c r="EM923" s="567"/>
      <c r="EN923" s="567"/>
      <c r="EO923" s="567"/>
      <c r="EP923" s="567"/>
      <c r="EQ923" s="567"/>
      <c r="ER923" s="567"/>
      <c r="ES923" s="567"/>
      <c r="ET923" s="567"/>
      <c r="EU923" s="567"/>
      <c r="EV923" s="567"/>
      <c r="EW923" s="567"/>
      <c r="EX923" s="567"/>
      <c r="EY923" s="567"/>
      <c r="EZ923" s="567"/>
      <c r="FA923" s="567"/>
      <c r="FB923" s="567"/>
      <c r="FC923" s="567"/>
      <c r="FD923" s="567"/>
      <c r="FE923" s="567"/>
      <c r="FF923" s="567"/>
      <c r="FG923" s="567"/>
      <c r="FH923" s="567"/>
      <c r="FI923" s="567"/>
      <c r="FJ923" s="567"/>
      <c r="FK923" s="567"/>
      <c r="FL923" s="567"/>
      <c r="FM923" s="567"/>
      <c r="FN923" s="567"/>
      <c r="FO923" s="567"/>
      <c r="FP923" s="567"/>
      <c r="FQ923" s="567"/>
      <c r="FR923" s="567"/>
      <c r="FS923" s="567"/>
      <c r="FT923" s="567"/>
      <c r="FU923" s="567"/>
      <c r="FV923" s="567"/>
      <c r="FW923" s="567"/>
      <c r="FX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  <c r="BW924" s="567"/>
      <c r="BX924" s="567"/>
      <c r="BY924" s="567"/>
      <c r="BZ924" s="567"/>
      <c r="CA924" s="567"/>
      <c r="CB924" s="567"/>
      <c r="CC924" s="567"/>
      <c r="CD924" s="567"/>
      <c r="CE924" s="567"/>
      <c r="CF924" s="567"/>
      <c r="CG924" s="567"/>
      <c r="CH924" s="567"/>
      <c r="CI924" s="567"/>
      <c r="CJ924" s="567"/>
      <c r="CK924" s="567"/>
      <c r="CL924" s="567"/>
      <c r="CM924" s="567"/>
      <c r="CN924" s="567"/>
      <c r="CO924" s="567"/>
      <c r="CP924" s="567"/>
      <c r="CQ924" s="567"/>
      <c r="CR924" s="567"/>
      <c r="CS924" s="567"/>
      <c r="CT924" s="567"/>
      <c r="CU924" s="567"/>
      <c r="CV924" s="567"/>
      <c r="CW924" s="567"/>
      <c r="CX924" s="567"/>
      <c r="CY924" s="567"/>
      <c r="CZ924" s="567"/>
      <c r="DA924" s="567"/>
      <c r="DB924" s="567"/>
      <c r="DC924" s="567"/>
      <c r="DD924" s="567"/>
      <c r="DE924" s="567"/>
      <c r="DF924" s="567"/>
      <c r="DG924" s="567"/>
      <c r="DH924" s="567"/>
      <c r="DI924" s="567"/>
      <c r="DJ924" s="567"/>
      <c r="DK924" s="567"/>
      <c r="DL924" s="567"/>
      <c r="DM924" s="567"/>
      <c r="DN924" s="567"/>
      <c r="DO924" s="567"/>
      <c r="DP924" s="567"/>
      <c r="DQ924" s="567"/>
      <c r="DR924" s="567"/>
      <c r="DS924" s="567"/>
      <c r="DT924" s="567"/>
      <c r="DU924" s="567"/>
      <c r="DV924" s="567"/>
      <c r="DW924" s="567"/>
      <c r="DX924" s="567"/>
      <c r="DY924" s="567"/>
      <c r="DZ924" s="567"/>
      <c r="EA924" s="567"/>
      <c r="EB924" s="567"/>
      <c r="EC924" s="567"/>
      <c r="ED924" s="567"/>
      <c r="EE924" s="567"/>
      <c r="EF924" s="567"/>
      <c r="EG924" s="567"/>
      <c r="EH924" s="567"/>
      <c r="EI924" s="567"/>
      <c r="EJ924" s="567"/>
      <c r="EK924" s="567"/>
      <c r="EL924" s="567"/>
      <c r="EM924" s="567"/>
      <c r="EN924" s="567"/>
      <c r="EO924" s="567"/>
      <c r="EP924" s="567"/>
      <c r="EQ924" s="567"/>
      <c r="ER924" s="567"/>
      <c r="ES924" s="567"/>
      <c r="ET924" s="567"/>
      <c r="EU924" s="567"/>
      <c r="EV924" s="567"/>
      <c r="EW924" s="567"/>
      <c r="EX924" s="567"/>
      <c r="EY924" s="567"/>
      <c r="EZ924" s="567"/>
      <c r="FA924" s="567"/>
      <c r="FB924" s="567"/>
      <c r="FC924" s="567"/>
      <c r="FD924" s="567"/>
      <c r="FE924" s="567"/>
      <c r="FF924" s="567"/>
      <c r="FG924" s="567"/>
      <c r="FH924" s="567"/>
      <c r="FI924" s="567"/>
      <c r="FJ924" s="567"/>
      <c r="FK924" s="567"/>
      <c r="FL924" s="567"/>
      <c r="FM924" s="567"/>
      <c r="FN924" s="567"/>
      <c r="FO924" s="567"/>
      <c r="FP924" s="567"/>
      <c r="FQ924" s="567"/>
      <c r="FR924" s="567"/>
      <c r="FS924" s="567"/>
      <c r="FT924" s="567"/>
      <c r="FU924" s="567"/>
      <c r="FV924" s="567"/>
      <c r="FW924" s="567"/>
      <c r="FX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  <c r="BW925" s="567"/>
      <c r="BX925" s="567"/>
      <c r="BY925" s="567"/>
      <c r="BZ925" s="567"/>
      <c r="CA925" s="567"/>
      <c r="CB925" s="567"/>
      <c r="CC925" s="567"/>
      <c r="CD925" s="567"/>
      <c r="CE925" s="567"/>
      <c r="CF925" s="567"/>
      <c r="CG925" s="567"/>
      <c r="CH925" s="567"/>
      <c r="CI925" s="567"/>
      <c r="CJ925" s="567"/>
      <c r="CK925" s="567"/>
      <c r="CL925" s="567"/>
      <c r="CM925" s="567"/>
      <c r="CN925" s="567"/>
      <c r="CO925" s="567"/>
      <c r="CP925" s="567"/>
      <c r="CQ925" s="567"/>
      <c r="CR925" s="567"/>
      <c r="CS925" s="567"/>
      <c r="CT925" s="567"/>
      <c r="CU925" s="567"/>
      <c r="CV925" s="567"/>
      <c r="CW925" s="567"/>
      <c r="CX925" s="567"/>
      <c r="CY925" s="567"/>
      <c r="CZ925" s="567"/>
      <c r="DA925" s="567"/>
      <c r="DB925" s="567"/>
      <c r="DC925" s="567"/>
      <c r="DD925" s="567"/>
      <c r="DE925" s="567"/>
      <c r="DF925" s="567"/>
      <c r="DG925" s="567"/>
      <c r="DH925" s="567"/>
      <c r="DI925" s="567"/>
      <c r="DJ925" s="567"/>
      <c r="DK925" s="567"/>
      <c r="DL925" s="567"/>
      <c r="DM925" s="567"/>
      <c r="DN925" s="567"/>
      <c r="DO925" s="567"/>
      <c r="DP925" s="567"/>
      <c r="DQ925" s="567"/>
      <c r="DR925" s="567"/>
      <c r="DS925" s="567"/>
      <c r="DT925" s="567"/>
      <c r="DU925" s="567"/>
      <c r="DV925" s="567"/>
      <c r="DW925" s="567"/>
      <c r="DX925" s="567"/>
      <c r="DY925" s="567"/>
      <c r="DZ925" s="567"/>
      <c r="EA925" s="567"/>
      <c r="EB925" s="567"/>
      <c r="EC925" s="567"/>
      <c r="ED925" s="567"/>
      <c r="EE925" s="567"/>
      <c r="EF925" s="567"/>
      <c r="EG925" s="567"/>
      <c r="EH925" s="567"/>
      <c r="EI925" s="567"/>
      <c r="EJ925" s="567"/>
      <c r="EK925" s="567"/>
      <c r="EL925" s="567"/>
      <c r="EM925" s="567"/>
      <c r="EN925" s="567"/>
      <c r="EO925" s="567"/>
      <c r="EP925" s="567"/>
      <c r="EQ925" s="567"/>
      <c r="ER925" s="567"/>
      <c r="ES925" s="567"/>
      <c r="ET925" s="567"/>
      <c r="EU925" s="567"/>
      <c r="EV925" s="567"/>
      <c r="EW925" s="567"/>
      <c r="EX925" s="567"/>
      <c r="EY925" s="567"/>
      <c r="EZ925" s="567"/>
      <c r="FA925" s="567"/>
      <c r="FB925" s="567"/>
      <c r="FC925" s="567"/>
      <c r="FD925" s="567"/>
      <c r="FE925" s="567"/>
      <c r="FF925" s="567"/>
      <c r="FG925" s="567"/>
      <c r="FH925" s="567"/>
      <c r="FI925" s="567"/>
      <c r="FJ925" s="567"/>
      <c r="FK925" s="567"/>
      <c r="FL925" s="567"/>
      <c r="FM925" s="567"/>
      <c r="FN925" s="567"/>
      <c r="FO925" s="567"/>
      <c r="FP925" s="567"/>
      <c r="FQ925" s="567"/>
      <c r="FR925" s="567"/>
      <c r="FS925" s="567"/>
      <c r="FT925" s="567"/>
      <c r="FU925" s="567"/>
      <c r="FV925" s="567"/>
      <c r="FW925" s="567"/>
      <c r="FX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  <c r="BW926" s="567"/>
      <c r="BX926" s="567"/>
      <c r="BY926" s="567"/>
      <c r="BZ926" s="567"/>
      <c r="CA926" s="567"/>
      <c r="CB926" s="567"/>
      <c r="CC926" s="567"/>
      <c r="CD926" s="567"/>
      <c r="CE926" s="567"/>
      <c r="CF926" s="567"/>
      <c r="CG926" s="567"/>
      <c r="CH926" s="567"/>
      <c r="CI926" s="567"/>
      <c r="CJ926" s="567"/>
      <c r="CK926" s="567"/>
      <c r="CL926" s="567"/>
      <c r="CM926" s="567"/>
      <c r="CN926" s="567"/>
      <c r="CO926" s="567"/>
      <c r="CP926" s="567"/>
      <c r="CQ926" s="567"/>
      <c r="CR926" s="567"/>
      <c r="CS926" s="567"/>
      <c r="CT926" s="567"/>
      <c r="CU926" s="567"/>
      <c r="CV926" s="567"/>
      <c r="CW926" s="567"/>
      <c r="CX926" s="567"/>
      <c r="CY926" s="567"/>
      <c r="CZ926" s="567"/>
      <c r="DA926" s="567"/>
      <c r="DB926" s="567"/>
      <c r="DC926" s="567"/>
      <c r="DD926" s="567"/>
      <c r="DE926" s="567"/>
      <c r="DF926" s="567"/>
      <c r="DG926" s="567"/>
      <c r="DH926" s="567"/>
      <c r="DI926" s="567"/>
      <c r="DJ926" s="567"/>
      <c r="DK926" s="567"/>
      <c r="DL926" s="567"/>
      <c r="DM926" s="567"/>
      <c r="DN926" s="567"/>
      <c r="DO926" s="567"/>
      <c r="DP926" s="567"/>
      <c r="DQ926" s="567"/>
      <c r="DR926" s="567"/>
      <c r="DS926" s="567"/>
      <c r="DT926" s="567"/>
      <c r="DU926" s="567"/>
      <c r="DV926" s="567"/>
      <c r="DW926" s="567"/>
      <c r="DX926" s="567"/>
      <c r="DY926" s="567"/>
      <c r="DZ926" s="567"/>
      <c r="EA926" s="567"/>
      <c r="EB926" s="567"/>
      <c r="EC926" s="567"/>
      <c r="ED926" s="567"/>
      <c r="EE926" s="567"/>
      <c r="EF926" s="567"/>
      <c r="EG926" s="567"/>
      <c r="EH926" s="567"/>
      <c r="EI926" s="567"/>
      <c r="EJ926" s="567"/>
      <c r="EK926" s="567"/>
      <c r="EL926" s="567"/>
      <c r="EM926" s="567"/>
      <c r="EN926" s="567"/>
      <c r="EO926" s="567"/>
      <c r="EP926" s="567"/>
      <c r="EQ926" s="567"/>
      <c r="ER926" s="567"/>
      <c r="ES926" s="567"/>
      <c r="ET926" s="567"/>
      <c r="EU926" s="567"/>
      <c r="EV926" s="567"/>
      <c r="EW926" s="567"/>
      <c r="EX926" s="567"/>
      <c r="EY926" s="567"/>
      <c r="EZ926" s="567"/>
      <c r="FA926" s="567"/>
      <c r="FB926" s="567"/>
      <c r="FC926" s="567"/>
      <c r="FD926" s="567"/>
      <c r="FE926" s="567"/>
      <c r="FF926" s="567"/>
      <c r="FG926" s="567"/>
      <c r="FH926" s="567"/>
      <c r="FI926" s="567"/>
      <c r="FJ926" s="567"/>
      <c r="FK926" s="567"/>
      <c r="FL926" s="567"/>
      <c r="FM926" s="567"/>
      <c r="FN926" s="567"/>
      <c r="FO926" s="567"/>
      <c r="FP926" s="567"/>
      <c r="FQ926" s="567"/>
      <c r="FR926" s="567"/>
      <c r="FS926" s="567"/>
      <c r="FT926" s="567"/>
      <c r="FU926" s="567"/>
      <c r="FV926" s="567"/>
      <c r="FW926" s="567"/>
      <c r="FX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  <c r="BW927" s="567"/>
      <c r="BX927" s="567"/>
      <c r="BY927" s="567"/>
      <c r="BZ927" s="567"/>
      <c r="CA927" s="567"/>
      <c r="CB927" s="567"/>
      <c r="CC927" s="567"/>
      <c r="CD927" s="567"/>
      <c r="CE927" s="567"/>
      <c r="CF927" s="567"/>
      <c r="CG927" s="567"/>
      <c r="CH927" s="567"/>
      <c r="CI927" s="567"/>
      <c r="CJ927" s="567"/>
      <c r="CK927" s="567"/>
      <c r="CL927" s="567"/>
      <c r="CM927" s="567"/>
      <c r="CN927" s="567"/>
      <c r="CO927" s="567"/>
      <c r="CP927" s="567"/>
      <c r="CQ927" s="567"/>
      <c r="CR927" s="567"/>
      <c r="CS927" s="567"/>
      <c r="CT927" s="567"/>
      <c r="CU927" s="567"/>
      <c r="CV927" s="567"/>
      <c r="CW927" s="567"/>
      <c r="CX927" s="567"/>
      <c r="CY927" s="567"/>
      <c r="CZ927" s="567"/>
      <c r="DA927" s="567"/>
      <c r="DB927" s="567"/>
      <c r="DC927" s="567"/>
      <c r="DD927" s="567"/>
      <c r="DE927" s="567"/>
      <c r="DF927" s="567"/>
      <c r="DG927" s="567"/>
      <c r="DH927" s="567"/>
      <c r="DI927" s="567"/>
      <c r="DJ927" s="567"/>
      <c r="DK927" s="567"/>
      <c r="DL927" s="567"/>
      <c r="DM927" s="567"/>
      <c r="DN927" s="567"/>
      <c r="DO927" s="567"/>
      <c r="DP927" s="567"/>
      <c r="DQ927" s="567"/>
      <c r="DR927" s="567"/>
      <c r="DS927" s="567"/>
      <c r="DT927" s="567"/>
      <c r="DU927" s="567"/>
      <c r="DV927" s="567"/>
      <c r="DW927" s="567"/>
      <c r="DX927" s="567"/>
      <c r="DY927" s="567"/>
      <c r="DZ927" s="567"/>
      <c r="EA927" s="567"/>
      <c r="EB927" s="567"/>
      <c r="EC927" s="567"/>
      <c r="ED927" s="567"/>
      <c r="EE927" s="567"/>
      <c r="EF927" s="567"/>
      <c r="EG927" s="567"/>
      <c r="EH927" s="567"/>
      <c r="EI927" s="567"/>
      <c r="EJ927" s="567"/>
      <c r="EK927" s="567"/>
      <c r="EL927" s="567"/>
      <c r="EM927" s="567"/>
      <c r="EN927" s="567"/>
      <c r="EO927" s="567"/>
      <c r="EP927" s="567"/>
      <c r="EQ927" s="567"/>
      <c r="ER927" s="567"/>
      <c r="ES927" s="567"/>
      <c r="ET927" s="567"/>
      <c r="EU927" s="567"/>
      <c r="EV927" s="567"/>
      <c r="EW927" s="567"/>
      <c r="EX927" s="567"/>
      <c r="EY927" s="567"/>
      <c r="EZ927" s="567"/>
      <c r="FA927" s="567"/>
      <c r="FB927" s="567"/>
      <c r="FC927" s="567"/>
      <c r="FD927" s="567"/>
      <c r="FE927" s="567"/>
      <c r="FF927" s="567"/>
      <c r="FG927" s="567"/>
      <c r="FH927" s="567"/>
      <c r="FI927" s="567"/>
      <c r="FJ927" s="567"/>
      <c r="FK927" s="567"/>
      <c r="FL927" s="567"/>
      <c r="FM927" s="567"/>
      <c r="FN927" s="567"/>
      <c r="FO927" s="567"/>
      <c r="FP927" s="567"/>
      <c r="FQ927" s="567"/>
      <c r="FR927" s="567"/>
      <c r="FS927" s="567"/>
      <c r="FT927" s="567"/>
      <c r="FU927" s="567"/>
      <c r="FV927" s="567"/>
      <c r="FW927" s="567"/>
      <c r="FX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  <c r="BW928" s="567"/>
      <c r="BX928" s="567"/>
      <c r="BY928" s="567"/>
      <c r="BZ928" s="567"/>
      <c r="CA928" s="567"/>
      <c r="CB928" s="567"/>
      <c r="CC928" s="567"/>
      <c r="CD928" s="567"/>
      <c r="CE928" s="567"/>
      <c r="CF928" s="567"/>
      <c r="CG928" s="567"/>
      <c r="CH928" s="567"/>
      <c r="CI928" s="567"/>
      <c r="CJ928" s="567"/>
      <c r="CK928" s="567"/>
      <c r="CL928" s="567"/>
      <c r="CM928" s="567"/>
      <c r="CN928" s="567"/>
      <c r="CO928" s="567"/>
      <c r="CP928" s="567"/>
      <c r="CQ928" s="567"/>
      <c r="CR928" s="567"/>
      <c r="CS928" s="567"/>
      <c r="CT928" s="567"/>
      <c r="CU928" s="567"/>
      <c r="CV928" s="567"/>
      <c r="CW928" s="567"/>
      <c r="CX928" s="567"/>
      <c r="CY928" s="567"/>
      <c r="CZ928" s="567"/>
      <c r="DA928" s="567"/>
      <c r="DB928" s="567"/>
      <c r="DC928" s="567"/>
      <c r="DD928" s="567"/>
      <c r="DE928" s="567"/>
      <c r="DF928" s="567"/>
      <c r="DG928" s="567"/>
      <c r="DH928" s="567"/>
      <c r="DI928" s="567"/>
      <c r="DJ928" s="567"/>
      <c r="DK928" s="567"/>
      <c r="DL928" s="567"/>
      <c r="DM928" s="567"/>
      <c r="DN928" s="567"/>
      <c r="DO928" s="567"/>
      <c r="DP928" s="567"/>
      <c r="DQ928" s="567"/>
      <c r="DR928" s="567"/>
      <c r="DS928" s="567"/>
      <c r="DT928" s="567"/>
      <c r="DU928" s="567"/>
      <c r="DV928" s="567"/>
      <c r="DW928" s="567"/>
      <c r="DX928" s="567"/>
      <c r="DY928" s="567"/>
      <c r="DZ928" s="567"/>
      <c r="EA928" s="567"/>
      <c r="EB928" s="567"/>
      <c r="EC928" s="567"/>
      <c r="ED928" s="567"/>
      <c r="EE928" s="567"/>
      <c r="EF928" s="567"/>
      <c r="EG928" s="567"/>
      <c r="EH928" s="567"/>
      <c r="EI928" s="567"/>
      <c r="EJ928" s="567"/>
      <c r="EK928" s="567"/>
      <c r="EL928" s="567"/>
      <c r="EM928" s="567"/>
      <c r="EN928" s="567"/>
      <c r="EO928" s="567"/>
      <c r="EP928" s="567"/>
      <c r="EQ928" s="567"/>
      <c r="ER928" s="567"/>
      <c r="ES928" s="567"/>
      <c r="ET928" s="567"/>
      <c r="EU928" s="567"/>
      <c r="EV928" s="567"/>
      <c r="EW928" s="567"/>
      <c r="EX928" s="567"/>
      <c r="EY928" s="567"/>
      <c r="EZ928" s="567"/>
      <c r="FA928" s="567"/>
      <c r="FB928" s="567"/>
      <c r="FC928" s="567"/>
      <c r="FD928" s="567"/>
      <c r="FE928" s="567"/>
      <c r="FF928" s="567"/>
      <c r="FG928" s="567"/>
      <c r="FH928" s="567"/>
      <c r="FI928" s="567"/>
      <c r="FJ928" s="567"/>
      <c r="FK928" s="567"/>
      <c r="FL928" s="567"/>
      <c r="FM928" s="567"/>
      <c r="FN928" s="567"/>
      <c r="FO928" s="567"/>
      <c r="FP928" s="567"/>
      <c r="FQ928" s="567"/>
      <c r="FR928" s="567"/>
      <c r="FS928" s="567"/>
      <c r="FT928" s="567"/>
      <c r="FU928" s="567"/>
      <c r="FV928" s="567"/>
      <c r="FW928" s="567"/>
      <c r="FX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  <c r="BW929" s="567"/>
      <c r="BX929" s="567"/>
      <c r="BY929" s="567"/>
      <c r="BZ929" s="567"/>
      <c r="CA929" s="567"/>
      <c r="CB929" s="567"/>
      <c r="CC929" s="567"/>
      <c r="CD929" s="567"/>
      <c r="CE929" s="567"/>
      <c r="CF929" s="567"/>
      <c r="CG929" s="567"/>
      <c r="CH929" s="567"/>
      <c r="CI929" s="567"/>
      <c r="CJ929" s="567"/>
      <c r="CK929" s="567"/>
      <c r="CL929" s="567"/>
      <c r="CM929" s="567"/>
      <c r="CN929" s="567"/>
      <c r="CO929" s="567"/>
      <c r="CP929" s="567"/>
      <c r="CQ929" s="567"/>
      <c r="CR929" s="567"/>
      <c r="CS929" s="567"/>
      <c r="CT929" s="567"/>
      <c r="CU929" s="567"/>
      <c r="CV929" s="567"/>
      <c r="CW929" s="567"/>
      <c r="CX929" s="567"/>
      <c r="CY929" s="567"/>
      <c r="CZ929" s="567"/>
      <c r="DA929" s="567"/>
      <c r="DB929" s="567"/>
      <c r="DC929" s="567"/>
      <c r="DD929" s="567"/>
      <c r="DE929" s="567"/>
      <c r="DF929" s="567"/>
      <c r="DG929" s="567"/>
      <c r="DH929" s="567"/>
      <c r="DI929" s="567"/>
      <c r="DJ929" s="567"/>
      <c r="DK929" s="567"/>
      <c r="DL929" s="567"/>
      <c r="DM929" s="567"/>
      <c r="DN929" s="567"/>
      <c r="DO929" s="567"/>
      <c r="DP929" s="567"/>
      <c r="DQ929" s="567"/>
      <c r="DR929" s="567"/>
      <c r="DS929" s="567"/>
      <c r="DT929" s="567"/>
      <c r="DU929" s="567"/>
      <c r="DV929" s="567"/>
      <c r="DW929" s="567"/>
      <c r="DX929" s="567"/>
      <c r="DY929" s="567"/>
      <c r="DZ929" s="567"/>
      <c r="EA929" s="567"/>
      <c r="EB929" s="567"/>
      <c r="EC929" s="567"/>
      <c r="ED929" s="567"/>
      <c r="EE929" s="567"/>
      <c r="EF929" s="567"/>
      <c r="EG929" s="567"/>
      <c r="EH929" s="567"/>
      <c r="EI929" s="567"/>
      <c r="EJ929" s="567"/>
      <c r="EK929" s="567"/>
      <c r="EL929" s="567"/>
      <c r="EM929" s="567"/>
      <c r="EN929" s="567"/>
      <c r="EO929" s="567"/>
      <c r="EP929" s="567"/>
      <c r="EQ929" s="567"/>
      <c r="ER929" s="567"/>
      <c r="ES929" s="567"/>
      <c r="ET929" s="567"/>
      <c r="EU929" s="567"/>
      <c r="EV929" s="567"/>
      <c r="EW929" s="567"/>
      <c r="EX929" s="567"/>
      <c r="EY929" s="567"/>
      <c r="EZ929" s="567"/>
      <c r="FA929" s="567"/>
      <c r="FB929" s="567"/>
      <c r="FC929" s="567"/>
      <c r="FD929" s="567"/>
      <c r="FE929" s="567"/>
      <c r="FF929" s="567"/>
      <c r="FG929" s="567"/>
      <c r="FH929" s="567"/>
      <c r="FI929" s="567"/>
      <c r="FJ929" s="567"/>
      <c r="FK929" s="567"/>
      <c r="FL929" s="567"/>
      <c r="FM929" s="567"/>
      <c r="FN929" s="567"/>
      <c r="FO929" s="567"/>
      <c r="FP929" s="567"/>
      <c r="FQ929" s="567"/>
      <c r="FR929" s="567"/>
      <c r="FS929" s="567"/>
      <c r="FT929" s="567"/>
      <c r="FU929" s="567"/>
      <c r="FV929" s="567"/>
      <c r="FW929" s="567"/>
      <c r="FX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  <c r="BW930" s="567"/>
      <c r="BX930" s="567"/>
      <c r="BY930" s="567"/>
      <c r="BZ930" s="567"/>
      <c r="CA930" s="567"/>
      <c r="CB930" s="567"/>
      <c r="CC930" s="567"/>
      <c r="CD930" s="567"/>
      <c r="CE930" s="567"/>
      <c r="CF930" s="567"/>
      <c r="CG930" s="567"/>
      <c r="CH930" s="567"/>
      <c r="CI930" s="567"/>
      <c r="CJ930" s="567"/>
      <c r="CK930" s="567"/>
      <c r="CL930" s="567"/>
      <c r="CM930" s="567"/>
      <c r="CN930" s="567"/>
      <c r="CO930" s="567"/>
      <c r="CP930" s="567"/>
      <c r="CQ930" s="567"/>
      <c r="CR930" s="567"/>
      <c r="CS930" s="567"/>
      <c r="CT930" s="567"/>
      <c r="CU930" s="567"/>
      <c r="CV930" s="567"/>
      <c r="CW930" s="567"/>
      <c r="CX930" s="567"/>
      <c r="CY930" s="567"/>
      <c r="CZ930" s="567"/>
      <c r="DA930" s="567"/>
      <c r="DB930" s="567"/>
      <c r="DC930" s="567"/>
      <c r="DD930" s="567"/>
      <c r="DE930" s="567"/>
      <c r="DF930" s="567"/>
      <c r="DG930" s="567"/>
      <c r="DH930" s="567"/>
      <c r="DI930" s="567"/>
      <c r="DJ930" s="567"/>
      <c r="DK930" s="567"/>
      <c r="DL930" s="567"/>
      <c r="DM930" s="567"/>
      <c r="DN930" s="567"/>
      <c r="DO930" s="567"/>
      <c r="DP930" s="567"/>
      <c r="DQ930" s="567"/>
      <c r="DR930" s="567"/>
      <c r="DS930" s="567"/>
      <c r="DT930" s="567"/>
      <c r="DU930" s="567"/>
      <c r="DV930" s="567"/>
      <c r="DW930" s="567"/>
      <c r="DX930" s="567"/>
      <c r="DY930" s="567"/>
      <c r="DZ930" s="567"/>
      <c r="EA930" s="567"/>
      <c r="EB930" s="567"/>
      <c r="EC930" s="567"/>
      <c r="ED930" s="567"/>
      <c r="EE930" s="567"/>
      <c r="EF930" s="567"/>
      <c r="EG930" s="567"/>
      <c r="EH930" s="567"/>
      <c r="EI930" s="567"/>
      <c r="EJ930" s="567"/>
      <c r="EK930" s="567"/>
      <c r="EL930" s="567"/>
      <c r="EM930" s="567"/>
      <c r="EN930" s="567"/>
      <c r="EO930" s="567"/>
      <c r="EP930" s="567"/>
      <c r="EQ930" s="567"/>
      <c r="ER930" s="567"/>
      <c r="ES930" s="567"/>
      <c r="ET930" s="567"/>
      <c r="EU930" s="567"/>
      <c r="EV930" s="567"/>
      <c r="EW930" s="567"/>
      <c r="EX930" s="567"/>
      <c r="EY930" s="567"/>
      <c r="EZ930" s="567"/>
      <c r="FA930" s="567"/>
      <c r="FB930" s="567"/>
      <c r="FC930" s="567"/>
      <c r="FD930" s="567"/>
      <c r="FE930" s="567"/>
      <c r="FF930" s="567"/>
      <c r="FG930" s="567"/>
      <c r="FH930" s="567"/>
      <c r="FI930" s="567"/>
      <c r="FJ930" s="567"/>
      <c r="FK930" s="567"/>
      <c r="FL930" s="567"/>
      <c r="FM930" s="567"/>
      <c r="FN930" s="567"/>
      <c r="FO930" s="567"/>
      <c r="FP930" s="567"/>
      <c r="FQ930" s="567"/>
      <c r="FR930" s="567"/>
      <c r="FS930" s="567"/>
      <c r="FT930" s="567"/>
      <c r="FU930" s="567"/>
      <c r="FV930" s="567"/>
      <c r="FW930" s="567"/>
      <c r="FX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  <c r="BW931" s="567"/>
      <c r="BX931" s="567"/>
      <c r="BY931" s="567"/>
      <c r="BZ931" s="567"/>
      <c r="CA931" s="567"/>
      <c r="CB931" s="567"/>
      <c r="CC931" s="567"/>
      <c r="CD931" s="567"/>
      <c r="CE931" s="567"/>
      <c r="CF931" s="567"/>
      <c r="CG931" s="567"/>
      <c r="CH931" s="567"/>
      <c r="CI931" s="567"/>
      <c r="CJ931" s="567"/>
      <c r="CK931" s="567"/>
      <c r="CL931" s="567"/>
      <c r="CM931" s="567"/>
      <c r="CN931" s="567"/>
      <c r="CO931" s="567"/>
      <c r="CP931" s="567"/>
      <c r="CQ931" s="567"/>
      <c r="CR931" s="567"/>
      <c r="CS931" s="567"/>
      <c r="CT931" s="567"/>
      <c r="CU931" s="567"/>
      <c r="CV931" s="567"/>
      <c r="CW931" s="567"/>
      <c r="CX931" s="567"/>
      <c r="CY931" s="567"/>
      <c r="CZ931" s="567"/>
      <c r="DA931" s="567"/>
      <c r="DB931" s="567"/>
      <c r="DC931" s="567"/>
      <c r="DD931" s="567"/>
      <c r="DE931" s="567"/>
      <c r="DF931" s="567"/>
      <c r="DG931" s="567"/>
      <c r="DH931" s="567"/>
      <c r="DI931" s="567"/>
      <c r="DJ931" s="567"/>
      <c r="DK931" s="567"/>
      <c r="DL931" s="567"/>
      <c r="DM931" s="567"/>
      <c r="DN931" s="567"/>
      <c r="DO931" s="567"/>
      <c r="DP931" s="567"/>
      <c r="DQ931" s="567"/>
      <c r="DR931" s="567"/>
      <c r="DS931" s="567"/>
      <c r="DT931" s="567"/>
      <c r="DU931" s="567"/>
      <c r="DV931" s="567"/>
      <c r="DW931" s="567"/>
      <c r="DX931" s="567"/>
      <c r="DY931" s="567"/>
      <c r="DZ931" s="567"/>
      <c r="EA931" s="567"/>
      <c r="EB931" s="567"/>
      <c r="EC931" s="567"/>
      <c r="ED931" s="567"/>
      <c r="EE931" s="567"/>
      <c r="EF931" s="567"/>
      <c r="EG931" s="567"/>
      <c r="EH931" s="567"/>
      <c r="EI931" s="567"/>
      <c r="EJ931" s="567"/>
      <c r="EK931" s="567"/>
      <c r="EL931" s="567"/>
      <c r="EM931" s="567"/>
      <c r="EN931" s="567"/>
      <c r="EO931" s="567"/>
      <c r="EP931" s="567"/>
      <c r="EQ931" s="567"/>
      <c r="ER931" s="567"/>
      <c r="ES931" s="567"/>
      <c r="ET931" s="567"/>
      <c r="EU931" s="567"/>
      <c r="EV931" s="567"/>
      <c r="EW931" s="567"/>
      <c r="EX931" s="567"/>
      <c r="EY931" s="567"/>
      <c r="EZ931" s="567"/>
      <c r="FA931" s="567"/>
      <c r="FB931" s="567"/>
      <c r="FC931" s="567"/>
      <c r="FD931" s="567"/>
      <c r="FE931" s="567"/>
      <c r="FF931" s="567"/>
      <c r="FG931" s="567"/>
      <c r="FH931" s="567"/>
      <c r="FI931" s="567"/>
      <c r="FJ931" s="567"/>
      <c r="FK931" s="567"/>
      <c r="FL931" s="567"/>
      <c r="FM931" s="567"/>
      <c r="FN931" s="567"/>
      <c r="FO931" s="567"/>
      <c r="FP931" s="567"/>
      <c r="FQ931" s="567"/>
      <c r="FR931" s="567"/>
      <c r="FS931" s="567"/>
      <c r="FT931" s="567"/>
      <c r="FU931" s="567"/>
      <c r="FV931" s="567"/>
      <c r="FW931" s="567"/>
      <c r="FX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  <c r="BW932" s="567"/>
      <c r="BX932" s="567"/>
      <c r="BY932" s="567"/>
      <c r="BZ932" s="567"/>
      <c r="CA932" s="567"/>
      <c r="CB932" s="567"/>
      <c r="CC932" s="567"/>
      <c r="CD932" s="567"/>
      <c r="CE932" s="567"/>
      <c r="CF932" s="567"/>
      <c r="CG932" s="567"/>
      <c r="CH932" s="567"/>
      <c r="CI932" s="567"/>
      <c r="CJ932" s="567"/>
      <c r="CK932" s="567"/>
      <c r="CL932" s="567"/>
      <c r="CM932" s="567"/>
      <c r="CN932" s="567"/>
      <c r="CO932" s="567"/>
      <c r="CP932" s="567"/>
      <c r="CQ932" s="567"/>
      <c r="CR932" s="567"/>
      <c r="CS932" s="567"/>
      <c r="CT932" s="567"/>
      <c r="CU932" s="567"/>
      <c r="CV932" s="567"/>
      <c r="CW932" s="567"/>
      <c r="CX932" s="567"/>
      <c r="CY932" s="567"/>
      <c r="CZ932" s="567"/>
      <c r="DA932" s="567"/>
      <c r="DB932" s="567"/>
      <c r="DC932" s="567"/>
      <c r="DD932" s="567"/>
      <c r="DE932" s="567"/>
      <c r="DF932" s="567"/>
      <c r="DG932" s="567"/>
      <c r="DH932" s="567"/>
      <c r="DI932" s="567"/>
      <c r="DJ932" s="567"/>
      <c r="DK932" s="567"/>
      <c r="DL932" s="567"/>
      <c r="DM932" s="567"/>
      <c r="DN932" s="567"/>
      <c r="DO932" s="567"/>
      <c r="DP932" s="567"/>
      <c r="DQ932" s="567"/>
      <c r="DR932" s="567"/>
      <c r="DS932" s="567"/>
      <c r="DT932" s="567"/>
      <c r="DU932" s="567"/>
      <c r="DV932" s="567"/>
      <c r="DW932" s="567"/>
      <c r="DX932" s="567"/>
      <c r="DY932" s="567"/>
      <c r="DZ932" s="567"/>
      <c r="EA932" s="567"/>
      <c r="EB932" s="567"/>
      <c r="EC932" s="567"/>
      <c r="ED932" s="567"/>
      <c r="EE932" s="567"/>
      <c r="EF932" s="567"/>
      <c r="EG932" s="567"/>
      <c r="EH932" s="567"/>
      <c r="EI932" s="567"/>
      <c r="EJ932" s="567"/>
      <c r="EK932" s="567"/>
      <c r="EL932" s="567"/>
      <c r="EM932" s="567"/>
      <c r="EN932" s="567"/>
      <c r="EO932" s="567"/>
      <c r="EP932" s="567"/>
      <c r="EQ932" s="567"/>
      <c r="ER932" s="567"/>
      <c r="ES932" s="567"/>
      <c r="ET932" s="567"/>
      <c r="EU932" s="567"/>
      <c r="EV932" s="567"/>
      <c r="EW932" s="567"/>
      <c r="EX932" s="567"/>
      <c r="EY932" s="567"/>
      <c r="EZ932" s="567"/>
      <c r="FA932" s="567"/>
      <c r="FB932" s="567"/>
      <c r="FC932" s="567"/>
      <c r="FD932" s="567"/>
      <c r="FE932" s="567"/>
      <c r="FF932" s="567"/>
      <c r="FG932" s="567"/>
      <c r="FH932" s="567"/>
      <c r="FI932" s="567"/>
      <c r="FJ932" s="567"/>
      <c r="FK932" s="567"/>
      <c r="FL932" s="567"/>
      <c r="FM932" s="567"/>
      <c r="FN932" s="567"/>
      <c r="FO932" s="567"/>
      <c r="FP932" s="567"/>
      <c r="FQ932" s="567"/>
      <c r="FR932" s="567"/>
      <c r="FS932" s="567"/>
      <c r="FT932" s="567"/>
      <c r="FU932" s="567"/>
      <c r="FV932" s="567"/>
      <c r="FW932" s="567"/>
      <c r="FX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  <c r="BW933" s="567"/>
      <c r="BX933" s="567"/>
      <c r="BY933" s="567"/>
      <c r="BZ933" s="567"/>
      <c r="CA933" s="567"/>
      <c r="CB933" s="567"/>
      <c r="CC933" s="567"/>
      <c r="CD933" s="567"/>
      <c r="CE933" s="567"/>
      <c r="CF933" s="567"/>
      <c r="CG933" s="567"/>
      <c r="CH933" s="567"/>
      <c r="CI933" s="567"/>
      <c r="CJ933" s="567"/>
      <c r="CK933" s="567"/>
      <c r="CL933" s="567"/>
      <c r="CM933" s="567"/>
      <c r="CN933" s="567"/>
      <c r="CO933" s="567"/>
      <c r="CP933" s="567"/>
      <c r="CQ933" s="567"/>
      <c r="CR933" s="567"/>
      <c r="CS933" s="567"/>
      <c r="CT933" s="567"/>
      <c r="CU933" s="567"/>
      <c r="CV933" s="567"/>
      <c r="CW933" s="567"/>
      <c r="CX933" s="567"/>
      <c r="CY933" s="567"/>
      <c r="CZ933" s="567"/>
      <c r="DA933" s="567"/>
      <c r="DB933" s="567"/>
      <c r="DC933" s="567"/>
      <c r="DD933" s="567"/>
      <c r="DE933" s="567"/>
      <c r="DF933" s="567"/>
      <c r="DG933" s="567"/>
      <c r="DH933" s="567"/>
      <c r="DI933" s="567"/>
      <c r="DJ933" s="567"/>
      <c r="DK933" s="567"/>
      <c r="DL933" s="567"/>
      <c r="DM933" s="567"/>
      <c r="DN933" s="567"/>
      <c r="DO933" s="567"/>
      <c r="DP933" s="567"/>
      <c r="DQ933" s="567"/>
      <c r="DR933" s="567"/>
      <c r="DS933" s="567"/>
      <c r="DT933" s="567"/>
      <c r="DU933" s="567"/>
      <c r="DV933" s="567"/>
      <c r="DW933" s="567"/>
      <c r="DX933" s="567"/>
      <c r="DY933" s="567"/>
      <c r="DZ933" s="567"/>
      <c r="EA933" s="567"/>
      <c r="EB933" s="567"/>
      <c r="EC933" s="567"/>
      <c r="ED933" s="567"/>
      <c r="EE933" s="567"/>
      <c r="EF933" s="567"/>
      <c r="EG933" s="567"/>
      <c r="EH933" s="567"/>
      <c r="EI933" s="567"/>
      <c r="EJ933" s="567"/>
      <c r="EK933" s="567"/>
      <c r="EL933" s="567"/>
      <c r="EM933" s="567"/>
      <c r="EN933" s="567"/>
      <c r="EO933" s="567"/>
      <c r="EP933" s="567"/>
      <c r="EQ933" s="567"/>
      <c r="ER933" s="567"/>
      <c r="ES933" s="567"/>
      <c r="ET933" s="567"/>
      <c r="EU933" s="567"/>
      <c r="EV933" s="567"/>
      <c r="EW933" s="567"/>
      <c r="EX933" s="567"/>
      <c r="EY933" s="567"/>
      <c r="EZ933" s="567"/>
      <c r="FA933" s="567"/>
      <c r="FB933" s="567"/>
      <c r="FC933" s="567"/>
      <c r="FD933" s="567"/>
      <c r="FE933" s="567"/>
      <c r="FF933" s="567"/>
      <c r="FG933" s="567"/>
      <c r="FH933" s="567"/>
      <c r="FI933" s="567"/>
      <c r="FJ933" s="567"/>
      <c r="FK933" s="567"/>
      <c r="FL933" s="567"/>
      <c r="FM933" s="567"/>
      <c r="FN933" s="567"/>
      <c r="FO933" s="567"/>
      <c r="FP933" s="567"/>
      <c r="FQ933" s="567"/>
      <c r="FR933" s="567"/>
      <c r="FS933" s="567"/>
      <c r="FT933" s="567"/>
      <c r="FU933" s="567"/>
      <c r="FV933" s="567"/>
      <c r="FW933" s="567"/>
      <c r="FX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  <c r="BW934" s="567"/>
      <c r="BX934" s="567"/>
      <c r="BY934" s="567"/>
      <c r="BZ934" s="567"/>
      <c r="CA934" s="567"/>
      <c r="CB934" s="567"/>
      <c r="CC934" s="567"/>
      <c r="CD934" s="567"/>
      <c r="CE934" s="567"/>
      <c r="CF934" s="567"/>
      <c r="CG934" s="567"/>
      <c r="CH934" s="567"/>
      <c r="CI934" s="567"/>
      <c r="CJ934" s="567"/>
      <c r="CK934" s="567"/>
      <c r="CL934" s="567"/>
      <c r="CM934" s="567"/>
      <c r="CN934" s="567"/>
      <c r="CO934" s="567"/>
      <c r="CP934" s="567"/>
      <c r="CQ934" s="567"/>
      <c r="CR934" s="567"/>
      <c r="CS934" s="567"/>
      <c r="CT934" s="567"/>
      <c r="CU934" s="567"/>
      <c r="CV934" s="567"/>
      <c r="CW934" s="567"/>
      <c r="CX934" s="567"/>
      <c r="CY934" s="567"/>
      <c r="CZ934" s="567"/>
      <c r="DA934" s="567"/>
      <c r="DB934" s="567"/>
      <c r="DC934" s="567"/>
      <c r="DD934" s="567"/>
      <c r="DE934" s="567"/>
      <c r="DF934" s="567"/>
      <c r="DG934" s="567"/>
      <c r="DH934" s="567"/>
      <c r="DI934" s="567"/>
      <c r="DJ934" s="567"/>
      <c r="DK934" s="567"/>
      <c r="DL934" s="567"/>
      <c r="DM934" s="567"/>
      <c r="DN934" s="567"/>
      <c r="DO934" s="567"/>
      <c r="DP934" s="567"/>
      <c r="DQ934" s="567"/>
      <c r="DR934" s="567"/>
      <c r="DS934" s="567"/>
      <c r="DT934" s="567"/>
      <c r="DU934" s="567"/>
      <c r="DV934" s="567"/>
      <c r="DW934" s="567"/>
      <c r="DX934" s="567"/>
      <c r="DY934" s="567"/>
      <c r="DZ934" s="567"/>
      <c r="EA934" s="567"/>
      <c r="EB934" s="567"/>
      <c r="EC934" s="567"/>
      <c r="ED934" s="567"/>
      <c r="EE934" s="567"/>
      <c r="EF934" s="567"/>
      <c r="EG934" s="567"/>
      <c r="EH934" s="567"/>
      <c r="EI934" s="567"/>
      <c r="EJ934" s="567"/>
      <c r="EK934" s="567"/>
      <c r="EL934" s="567"/>
      <c r="EM934" s="567"/>
      <c r="EN934" s="567"/>
      <c r="EO934" s="567"/>
      <c r="EP934" s="567"/>
      <c r="EQ934" s="567"/>
      <c r="ER934" s="567"/>
      <c r="ES934" s="567"/>
      <c r="ET934" s="567"/>
      <c r="EU934" s="567"/>
      <c r="EV934" s="567"/>
      <c r="EW934" s="567"/>
      <c r="EX934" s="567"/>
      <c r="EY934" s="567"/>
      <c r="EZ934" s="567"/>
      <c r="FA934" s="567"/>
      <c r="FB934" s="567"/>
      <c r="FC934" s="567"/>
      <c r="FD934" s="567"/>
      <c r="FE934" s="567"/>
      <c r="FF934" s="567"/>
      <c r="FG934" s="567"/>
      <c r="FH934" s="567"/>
      <c r="FI934" s="567"/>
      <c r="FJ934" s="567"/>
      <c r="FK934" s="567"/>
      <c r="FL934" s="567"/>
      <c r="FM934" s="567"/>
      <c r="FN934" s="567"/>
      <c r="FO934" s="567"/>
      <c r="FP934" s="567"/>
      <c r="FQ934" s="567"/>
      <c r="FR934" s="567"/>
      <c r="FS934" s="567"/>
      <c r="FT934" s="567"/>
      <c r="FU934" s="567"/>
      <c r="FV934" s="567"/>
      <c r="FW934" s="567"/>
      <c r="FX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  <c r="BW935" s="567"/>
      <c r="BX935" s="567"/>
      <c r="BY935" s="567"/>
      <c r="BZ935" s="567"/>
      <c r="CA935" s="567"/>
      <c r="CB935" s="567"/>
      <c r="CC935" s="567"/>
      <c r="CD935" s="567"/>
      <c r="CE935" s="567"/>
      <c r="CF935" s="567"/>
      <c r="CG935" s="567"/>
      <c r="CH935" s="567"/>
      <c r="CI935" s="567"/>
      <c r="CJ935" s="567"/>
      <c r="CK935" s="567"/>
      <c r="CL935" s="567"/>
      <c r="CM935" s="567"/>
      <c r="CN935" s="567"/>
      <c r="CO935" s="567"/>
      <c r="CP935" s="567"/>
      <c r="CQ935" s="567"/>
      <c r="CR935" s="567"/>
      <c r="CS935" s="567"/>
      <c r="CT935" s="567"/>
      <c r="CU935" s="567"/>
      <c r="CV935" s="567"/>
      <c r="CW935" s="567"/>
      <c r="CX935" s="567"/>
      <c r="CY935" s="567"/>
      <c r="CZ935" s="567"/>
      <c r="DA935" s="567"/>
      <c r="DB935" s="567"/>
      <c r="DC935" s="567"/>
      <c r="DD935" s="567"/>
      <c r="DE935" s="567"/>
      <c r="DF935" s="567"/>
      <c r="DG935" s="567"/>
      <c r="DH935" s="567"/>
      <c r="DI935" s="567"/>
      <c r="DJ935" s="567"/>
      <c r="DK935" s="567"/>
      <c r="DL935" s="567"/>
      <c r="DM935" s="567"/>
      <c r="DN935" s="567"/>
      <c r="DO935" s="567"/>
      <c r="DP935" s="567"/>
      <c r="DQ935" s="567"/>
      <c r="DR935" s="567"/>
      <c r="DS935" s="567"/>
      <c r="DT935" s="567"/>
      <c r="DU935" s="567"/>
      <c r="DV935" s="567"/>
      <c r="DW935" s="567"/>
      <c r="DX935" s="567"/>
      <c r="DY935" s="567"/>
      <c r="DZ935" s="567"/>
      <c r="EA935" s="567"/>
      <c r="EB935" s="567"/>
      <c r="EC935" s="567"/>
      <c r="ED935" s="567"/>
      <c r="EE935" s="567"/>
      <c r="EF935" s="567"/>
      <c r="EG935" s="567"/>
      <c r="EH935" s="567"/>
      <c r="EI935" s="567"/>
      <c r="EJ935" s="567"/>
      <c r="EK935" s="567"/>
      <c r="EL935" s="567"/>
      <c r="EM935" s="567"/>
      <c r="EN935" s="567"/>
      <c r="EO935" s="567"/>
      <c r="EP935" s="567"/>
      <c r="EQ935" s="567"/>
      <c r="ER935" s="567"/>
      <c r="ES935" s="567"/>
      <c r="ET935" s="567"/>
      <c r="EU935" s="567"/>
      <c r="EV935" s="567"/>
      <c r="EW935" s="567"/>
      <c r="EX935" s="567"/>
      <c r="EY935" s="567"/>
      <c r="EZ935" s="567"/>
      <c r="FA935" s="567"/>
      <c r="FB935" s="567"/>
      <c r="FC935" s="567"/>
      <c r="FD935" s="567"/>
      <c r="FE935" s="567"/>
      <c r="FF935" s="567"/>
      <c r="FG935" s="567"/>
      <c r="FH935" s="567"/>
      <c r="FI935" s="567"/>
      <c r="FJ935" s="567"/>
      <c r="FK935" s="567"/>
      <c r="FL935" s="567"/>
      <c r="FM935" s="567"/>
      <c r="FN935" s="567"/>
      <c r="FO935" s="567"/>
      <c r="FP935" s="567"/>
      <c r="FQ935" s="567"/>
      <c r="FR935" s="567"/>
      <c r="FS935" s="567"/>
      <c r="FT935" s="567"/>
      <c r="FU935" s="567"/>
      <c r="FV935" s="567"/>
      <c r="FW935" s="567"/>
      <c r="FX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  <c r="BW936" s="567"/>
      <c r="BX936" s="567"/>
      <c r="BY936" s="567"/>
      <c r="BZ936" s="567"/>
      <c r="CA936" s="567"/>
      <c r="CB936" s="567"/>
      <c r="CC936" s="567"/>
      <c r="CD936" s="567"/>
      <c r="CE936" s="567"/>
      <c r="CF936" s="567"/>
      <c r="CG936" s="567"/>
      <c r="CH936" s="567"/>
      <c r="CI936" s="567"/>
      <c r="CJ936" s="567"/>
      <c r="CK936" s="567"/>
      <c r="CL936" s="567"/>
      <c r="CM936" s="567"/>
      <c r="CN936" s="567"/>
      <c r="CO936" s="567"/>
      <c r="CP936" s="567"/>
      <c r="CQ936" s="567"/>
      <c r="CR936" s="567"/>
      <c r="CS936" s="567"/>
      <c r="CT936" s="567"/>
      <c r="CU936" s="567"/>
      <c r="CV936" s="567"/>
      <c r="CW936" s="567"/>
      <c r="CX936" s="567"/>
      <c r="CY936" s="567"/>
      <c r="CZ936" s="567"/>
      <c r="DA936" s="567"/>
      <c r="DB936" s="567"/>
      <c r="DC936" s="567"/>
      <c r="DD936" s="567"/>
      <c r="DE936" s="567"/>
      <c r="DF936" s="567"/>
      <c r="DG936" s="567"/>
      <c r="DH936" s="567"/>
      <c r="DI936" s="567"/>
      <c r="DJ936" s="567"/>
      <c r="DK936" s="567"/>
      <c r="DL936" s="567"/>
      <c r="DM936" s="567"/>
      <c r="DN936" s="567"/>
      <c r="DO936" s="567"/>
      <c r="DP936" s="567"/>
      <c r="DQ936" s="567"/>
      <c r="DR936" s="567"/>
      <c r="DS936" s="567"/>
      <c r="DT936" s="567"/>
      <c r="DU936" s="567"/>
      <c r="DV936" s="567"/>
      <c r="DW936" s="567"/>
      <c r="DX936" s="567"/>
      <c r="DY936" s="567"/>
      <c r="DZ936" s="567"/>
      <c r="EA936" s="567"/>
      <c r="EB936" s="567"/>
      <c r="EC936" s="567"/>
      <c r="ED936" s="567"/>
      <c r="EE936" s="567"/>
      <c r="EF936" s="567"/>
      <c r="EG936" s="567"/>
      <c r="EH936" s="567"/>
      <c r="EI936" s="567"/>
      <c r="EJ936" s="567"/>
      <c r="EK936" s="567"/>
      <c r="EL936" s="567"/>
      <c r="EM936" s="567"/>
      <c r="EN936" s="567"/>
      <c r="EO936" s="567"/>
      <c r="EP936" s="567"/>
      <c r="EQ936" s="567"/>
      <c r="ER936" s="567"/>
      <c r="ES936" s="567"/>
      <c r="ET936" s="567"/>
      <c r="EU936" s="567"/>
      <c r="EV936" s="567"/>
      <c r="EW936" s="567"/>
      <c r="EX936" s="567"/>
      <c r="EY936" s="567"/>
      <c r="EZ936" s="567"/>
      <c r="FA936" s="567"/>
      <c r="FB936" s="567"/>
      <c r="FC936" s="567"/>
      <c r="FD936" s="567"/>
      <c r="FE936" s="567"/>
      <c r="FF936" s="567"/>
      <c r="FG936" s="567"/>
      <c r="FH936" s="567"/>
      <c r="FI936" s="567"/>
      <c r="FJ936" s="567"/>
      <c r="FK936" s="567"/>
      <c r="FL936" s="567"/>
      <c r="FM936" s="567"/>
      <c r="FN936" s="567"/>
      <c r="FO936" s="567"/>
      <c r="FP936" s="567"/>
      <c r="FQ936" s="567"/>
      <c r="FR936" s="567"/>
      <c r="FS936" s="567"/>
      <c r="FT936" s="567"/>
      <c r="FU936" s="567"/>
      <c r="FV936" s="567"/>
      <c r="FW936" s="567"/>
      <c r="FX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  <c r="BW937" s="567"/>
      <c r="BX937" s="567"/>
      <c r="BY937" s="567"/>
      <c r="BZ937" s="567"/>
      <c r="CA937" s="567"/>
      <c r="CB937" s="567"/>
      <c r="CC937" s="567"/>
      <c r="CD937" s="567"/>
      <c r="CE937" s="567"/>
      <c r="CF937" s="567"/>
      <c r="CG937" s="567"/>
      <c r="CH937" s="567"/>
      <c r="CI937" s="567"/>
      <c r="CJ937" s="567"/>
      <c r="CK937" s="567"/>
      <c r="CL937" s="567"/>
      <c r="CM937" s="567"/>
      <c r="CN937" s="567"/>
      <c r="CO937" s="567"/>
      <c r="CP937" s="567"/>
      <c r="CQ937" s="567"/>
      <c r="CR937" s="567"/>
      <c r="CS937" s="567"/>
      <c r="CT937" s="567"/>
      <c r="CU937" s="567"/>
      <c r="CV937" s="567"/>
      <c r="CW937" s="567"/>
      <c r="CX937" s="567"/>
      <c r="CY937" s="567"/>
      <c r="CZ937" s="567"/>
      <c r="DA937" s="567"/>
      <c r="DB937" s="567"/>
      <c r="DC937" s="567"/>
      <c r="DD937" s="567"/>
      <c r="DE937" s="567"/>
      <c r="DF937" s="567"/>
      <c r="DG937" s="567"/>
      <c r="DH937" s="567"/>
      <c r="DI937" s="567"/>
      <c r="DJ937" s="567"/>
      <c r="DK937" s="567"/>
      <c r="DL937" s="567"/>
      <c r="DM937" s="567"/>
      <c r="DN937" s="567"/>
      <c r="DO937" s="567"/>
      <c r="DP937" s="567"/>
      <c r="DQ937" s="567"/>
      <c r="DR937" s="567"/>
      <c r="DS937" s="567"/>
      <c r="DT937" s="567"/>
      <c r="DU937" s="567"/>
      <c r="DV937" s="567"/>
      <c r="DW937" s="567"/>
      <c r="DX937" s="567"/>
      <c r="DY937" s="567"/>
      <c r="DZ937" s="567"/>
      <c r="EA937" s="567"/>
      <c r="EB937" s="567"/>
      <c r="EC937" s="567"/>
      <c r="ED937" s="567"/>
      <c r="EE937" s="567"/>
      <c r="EF937" s="567"/>
      <c r="EG937" s="567"/>
      <c r="EH937" s="567"/>
      <c r="EI937" s="567"/>
      <c r="EJ937" s="567"/>
      <c r="EK937" s="567"/>
      <c r="EL937" s="567"/>
      <c r="EM937" s="567"/>
      <c r="EN937" s="567"/>
      <c r="EO937" s="567"/>
      <c r="EP937" s="567"/>
      <c r="EQ937" s="567"/>
      <c r="ER937" s="567"/>
      <c r="ES937" s="567"/>
      <c r="ET937" s="567"/>
      <c r="EU937" s="567"/>
      <c r="EV937" s="567"/>
      <c r="EW937" s="567"/>
      <c r="EX937" s="567"/>
      <c r="EY937" s="567"/>
      <c r="EZ937" s="567"/>
      <c r="FA937" s="567"/>
      <c r="FB937" s="567"/>
      <c r="FC937" s="567"/>
      <c r="FD937" s="567"/>
      <c r="FE937" s="567"/>
      <c r="FF937" s="567"/>
      <c r="FG937" s="567"/>
      <c r="FH937" s="567"/>
      <c r="FI937" s="567"/>
      <c r="FJ937" s="567"/>
      <c r="FK937" s="567"/>
      <c r="FL937" s="567"/>
      <c r="FM937" s="567"/>
      <c r="FN937" s="567"/>
      <c r="FO937" s="567"/>
      <c r="FP937" s="567"/>
      <c r="FQ937" s="567"/>
      <c r="FR937" s="567"/>
      <c r="FS937" s="567"/>
      <c r="FT937" s="567"/>
      <c r="FU937" s="567"/>
      <c r="FV937" s="567"/>
      <c r="FW937" s="567"/>
      <c r="FX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  <c r="BW938" s="567"/>
      <c r="BX938" s="567"/>
      <c r="BY938" s="567"/>
      <c r="BZ938" s="567"/>
      <c r="CA938" s="567"/>
      <c r="CB938" s="567"/>
      <c r="CC938" s="567"/>
      <c r="CD938" s="567"/>
      <c r="CE938" s="567"/>
      <c r="CF938" s="567"/>
      <c r="CG938" s="567"/>
      <c r="CH938" s="567"/>
      <c r="CI938" s="567"/>
      <c r="CJ938" s="567"/>
      <c r="CK938" s="567"/>
      <c r="CL938" s="567"/>
      <c r="CM938" s="567"/>
      <c r="CN938" s="567"/>
      <c r="CO938" s="567"/>
      <c r="CP938" s="567"/>
      <c r="CQ938" s="567"/>
      <c r="CR938" s="567"/>
      <c r="CS938" s="567"/>
      <c r="CT938" s="567"/>
      <c r="CU938" s="567"/>
      <c r="CV938" s="567"/>
      <c r="CW938" s="567"/>
      <c r="CX938" s="567"/>
      <c r="CY938" s="567"/>
      <c r="CZ938" s="567"/>
      <c r="DA938" s="567"/>
      <c r="DB938" s="567"/>
      <c r="DC938" s="567"/>
      <c r="DD938" s="567"/>
      <c r="DE938" s="567"/>
      <c r="DF938" s="567"/>
      <c r="DG938" s="567"/>
      <c r="DH938" s="567"/>
      <c r="DI938" s="567"/>
      <c r="DJ938" s="567"/>
      <c r="DK938" s="567"/>
      <c r="DL938" s="567"/>
      <c r="DM938" s="567"/>
      <c r="DN938" s="567"/>
      <c r="DO938" s="567"/>
      <c r="DP938" s="567"/>
      <c r="DQ938" s="567"/>
      <c r="DR938" s="567"/>
      <c r="DS938" s="567"/>
      <c r="DT938" s="567"/>
      <c r="DU938" s="567"/>
      <c r="DV938" s="567"/>
      <c r="DW938" s="567"/>
      <c r="DX938" s="567"/>
      <c r="DY938" s="567"/>
      <c r="DZ938" s="567"/>
      <c r="EA938" s="567"/>
      <c r="EB938" s="567"/>
      <c r="EC938" s="567"/>
      <c r="ED938" s="567"/>
      <c r="EE938" s="567"/>
      <c r="EF938" s="567"/>
      <c r="EG938" s="567"/>
      <c r="EH938" s="567"/>
      <c r="EI938" s="567"/>
      <c r="EJ938" s="567"/>
      <c r="EK938" s="567"/>
      <c r="EL938" s="567"/>
      <c r="EM938" s="567"/>
      <c r="EN938" s="567"/>
      <c r="EO938" s="567"/>
      <c r="EP938" s="567"/>
      <c r="EQ938" s="567"/>
      <c r="ER938" s="567"/>
      <c r="ES938" s="567"/>
      <c r="ET938" s="567"/>
      <c r="EU938" s="567"/>
      <c r="EV938" s="567"/>
      <c r="EW938" s="567"/>
      <c r="EX938" s="567"/>
      <c r="EY938" s="567"/>
      <c r="EZ938" s="567"/>
      <c r="FA938" s="567"/>
      <c r="FB938" s="567"/>
      <c r="FC938" s="567"/>
      <c r="FD938" s="567"/>
      <c r="FE938" s="567"/>
      <c r="FF938" s="567"/>
      <c r="FG938" s="567"/>
      <c r="FH938" s="567"/>
      <c r="FI938" s="567"/>
      <c r="FJ938" s="567"/>
      <c r="FK938" s="567"/>
      <c r="FL938" s="567"/>
      <c r="FM938" s="567"/>
      <c r="FN938" s="567"/>
      <c r="FO938" s="567"/>
      <c r="FP938" s="567"/>
      <c r="FQ938" s="567"/>
      <c r="FR938" s="567"/>
      <c r="FS938" s="567"/>
      <c r="FT938" s="567"/>
      <c r="FU938" s="567"/>
      <c r="FV938" s="567"/>
      <c r="FW938" s="567"/>
      <c r="FX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  <c r="BW939" s="567"/>
      <c r="BX939" s="567"/>
      <c r="BY939" s="567"/>
      <c r="BZ939" s="567"/>
      <c r="CA939" s="567"/>
      <c r="CB939" s="567"/>
      <c r="CC939" s="567"/>
      <c r="CD939" s="567"/>
      <c r="CE939" s="567"/>
      <c r="CF939" s="567"/>
      <c r="CG939" s="567"/>
      <c r="CH939" s="567"/>
      <c r="CI939" s="567"/>
      <c r="CJ939" s="567"/>
      <c r="CK939" s="567"/>
      <c r="CL939" s="567"/>
      <c r="CM939" s="567"/>
      <c r="CN939" s="567"/>
      <c r="CO939" s="567"/>
      <c r="CP939" s="567"/>
      <c r="CQ939" s="567"/>
      <c r="CR939" s="567"/>
      <c r="CS939" s="567"/>
      <c r="CT939" s="567"/>
      <c r="CU939" s="567"/>
      <c r="CV939" s="567"/>
      <c r="CW939" s="567"/>
      <c r="CX939" s="567"/>
      <c r="CY939" s="567"/>
      <c r="CZ939" s="567"/>
      <c r="DA939" s="567"/>
      <c r="DB939" s="567"/>
      <c r="DC939" s="567"/>
      <c r="DD939" s="567"/>
      <c r="DE939" s="567"/>
      <c r="DF939" s="567"/>
      <c r="DG939" s="567"/>
      <c r="DH939" s="567"/>
      <c r="DI939" s="567"/>
      <c r="DJ939" s="567"/>
      <c r="DK939" s="567"/>
      <c r="DL939" s="567"/>
      <c r="DM939" s="567"/>
      <c r="DN939" s="567"/>
      <c r="DO939" s="567"/>
      <c r="DP939" s="567"/>
      <c r="DQ939" s="567"/>
      <c r="DR939" s="567"/>
      <c r="DS939" s="567"/>
      <c r="DT939" s="567"/>
      <c r="DU939" s="567"/>
      <c r="DV939" s="567"/>
      <c r="DW939" s="567"/>
      <c r="DX939" s="567"/>
      <c r="DY939" s="567"/>
      <c r="DZ939" s="567"/>
      <c r="EA939" s="567"/>
      <c r="EB939" s="567"/>
      <c r="EC939" s="567"/>
      <c r="ED939" s="567"/>
      <c r="EE939" s="567"/>
      <c r="EF939" s="567"/>
      <c r="EG939" s="567"/>
      <c r="EH939" s="567"/>
      <c r="EI939" s="567"/>
      <c r="EJ939" s="567"/>
      <c r="EK939" s="567"/>
      <c r="EL939" s="567"/>
      <c r="EM939" s="567"/>
      <c r="EN939" s="567"/>
      <c r="EO939" s="567"/>
      <c r="EP939" s="567"/>
      <c r="EQ939" s="567"/>
      <c r="ER939" s="567"/>
      <c r="ES939" s="567"/>
      <c r="ET939" s="567"/>
      <c r="EU939" s="567"/>
      <c r="EV939" s="567"/>
      <c r="EW939" s="567"/>
      <c r="EX939" s="567"/>
      <c r="EY939" s="567"/>
      <c r="EZ939" s="567"/>
      <c r="FA939" s="567"/>
      <c r="FB939" s="567"/>
      <c r="FC939" s="567"/>
      <c r="FD939" s="567"/>
      <c r="FE939" s="567"/>
      <c r="FF939" s="567"/>
      <c r="FG939" s="567"/>
      <c r="FH939" s="567"/>
      <c r="FI939" s="567"/>
      <c r="FJ939" s="567"/>
      <c r="FK939" s="567"/>
      <c r="FL939" s="567"/>
      <c r="FM939" s="567"/>
      <c r="FN939" s="567"/>
      <c r="FO939" s="567"/>
      <c r="FP939" s="567"/>
      <c r="FQ939" s="567"/>
      <c r="FR939" s="567"/>
      <c r="FS939" s="567"/>
      <c r="FT939" s="567"/>
      <c r="FU939" s="567"/>
      <c r="FV939" s="567"/>
      <c r="FW939" s="567"/>
      <c r="FX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  <c r="BW940" s="567"/>
      <c r="BX940" s="567"/>
      <c r="BY940" s="567"/>
      <c r="BZ940" s="567"/>
      <c r="CA940" s="567"/>
      <c r="CB940" s="567"/>
      <c r="CC940" s="567"/>
      <c r="CD940" s="567"/>
      <c r="CE940" s="567"/>
      <c r="CF940" s="567"/>
      <c r="CG940" s="567"/>
      <c r="CH940" s="567"/>
      <c r="CI940" s="567"/>
      <c r="CJ940" s="567"/>
      <c r="CK940" s="567"/>
      <c r="CL940" s="567"/>
      <c r="CM940" s="567"/>
      <c r="CN940" s="567"/>
      <c r="CO940" s="567"/>
      <c r="CP940" s="567"/>
      <c r="CQ940" s="567"/>
      <c r="CR940" s="567"/>
      <c r="CS940" s="567"/>
      <c r="CT940" s="567"/>
      <c r="CU940" s="567"/>
      <c r="CV940" s="567"/>
      <c r="CW940" s="567"/>
      <c r="CX940" s="567"/>
      <c r="CY940" s="567"/>
      <c r="CZ940" s="567"/>
      <c r="DA940" s="567"/>
      <c r="DB940" s="567"/>
      <c r="DC940" s="567"/>
      <c r="DD940" s="567"/>
      <c r="DE940" s="567"/>
      <c r="DF940" s="567"/>
      <c r="DG940" s="567"/>
      <c r="DH940" s="567"/>
      <c r="DI940" s="567"/>
      <c r="DJ940" s="567"/>
      <c r="DK940" s="567"/>
      <c r="DL940" s="567"/>
      <c r="DM940" s="567"/>
      <c r="DN940" s="567"/>
      <c r="DO940" s="567"/>
      <c r="DP940" s="567"/>
      <c r="DQ940" s="567"/>
      <c r="DR940" s="567"/>
      <c r="DS940" s="567"/>
      <c r="DT940" s="567"/>
      <c r="DU940" s="567"/>
      <c r="DV940" s="567"/>
      <c r="DW940" s="567"/>
      <c r="DX940" s="567"/>
      <c r="DY940" s="567"/>
      <c r="DZ940" s="567"/>
      <c r="EA940" s="567"/>
      <c r="EB940" s="567"/>
      <c r="EC940" s="567"/>
      <c r="ED940" s="567"/>
      <c r="EE940" s="567"/>
      <c r="EF940" s="567"/>
      <c r="EG940" s="567"/>
      <c r="EH940" s="567"/>
      <c r="EI940" s="567"/>
      <c r="EJ940" s="567"/>
      <c r="EK940" s="567"/>
      <c r="EL940" s="567"/>
      <c r="EM940" s="567"/>
      <c r="EN940" s="567"/>
      <c r="EO940" s="567"/>
      <c r="EP940" s="567"/>
      <c r="EQ940" s="567"/>
      <c r="ER940" s="567"/>
      <c r="ES940" s="567"/>
      <c r="ET940" s="567"/>
      <c r="EU940" s="567"/>
      <c r="EV940" s="567"/>
      <c r="EW940" s="567"/>
      <c r="EX940" s="567"/>
      <c r="EY940" s="567"/>
      <c r="EZ940" s="567"/>
      <c r="FA940" s="567"/>
      <c r="FB940" s="567"/>
      <c r="FC940" s="567"/>
      <c r="FD940" s="567"/>
      <c r="FE940" s="567"/>
      <c r="FF940" s="567"/>
      <c r="FG940" s="567"/>
      <c r="FH940" s="567"/>
      <c r="FI940" s="567"/>
      <c r="FJ940" s="567"/>
      <c r="FK940" s="567"/>
      <c r="FL940" s="567"/>
      <c r="FM940" s="567"/>
      <c r="FN940" s="567"/>
      <c r="FO940" s="567"/>
      <c r="FP940" s="567"/>
      <c r="FQ940" s="567"/>
      <c r="FR940" s="567"/>
      <c r="FS940" s="567"/>
      <c r="FT940" s="567"/>
      <c r="FU940" s="567"/>
      <c r="FV940" s="567"/>
      <c r="FW940" s="567"/>
      <c r="FX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  <c r="BW941" s="567"/>
      <c r="BX941" s="567"/>
      <c r="BY941" s="567"/>
      <c r="BZ941" s="567"/>
      <c r="CA941" s="567"/>
      <c r="CB941" s="567"/>
      <c r="CC941" s="567"/>
      <c r="CD941" s="567"/>
      <c r="CE941" s="567"/>
      <c r="CF941" s="567"/>
      <c r="CG941" s="567"/>
      <c r="CH941" s="567"/>
      <c r="CI941" s="567"/>
      <c r="CJ941" s="567"/>
      <c r="CK941" s="567"/>
      <c r="CL941" s="567"/>
      <c r="CM941" s="567"/>
      <c r="CN941" s="567"/>
      <c r="CO941" s="567"/>
      <c r="CP941" s="567"/>
      <c r="CQ941" s="567"/>
      <c r="CR941" s="567"/>
      <c r="CS941" s="567"/>
      <c r="CT941" s="567"/>
      <c r="CU941" s="567"/>
      <c r="CV941" s="567"/>
      <c r="CW941" s="567"/>
      <c r="CX941" s="567"/>
      <c r="CY941" s="567"/>
      <c r="CZ941" s="567"/>
      <c r="DA941" s="567"/>
      <c r="DB941" s="567"/>
      <c r="DC941" s="567"/>
      <c r="DD941" s="567"/>
      <c r="DE941" s="567"/>
      <c r="DF941" s="567"/>
      <c r="DG941" s="567"/>
      <c r="DH941" s="567"/>
      <c r="DI941" s="567"/>
      <c r="DJ941" s="567"/>
      <c r="DK941" s="567"/>
      <c r="DL941" s="567"/>
      <c r="DM941" s="567"/>
      <c r="DN941" s="567"/>
      <c r="DO941" s="567"/>
      <c r="DP941" s="567"/>
      <c r="DQ941" s="567"/>
      <c r="DR941" s="567"/>
      <c r="DS941" s="567"/>
      <c r="DT941" s="567"/>
      <c r="DU941" s="567"/>
      <c r="DV941" s="567"/>
      <c r="DW941" s="567"/>
      <c r="DX941" s="567"/>
      <c r="DY941" s="567"/>
      <c r="DZ941" s="567"/>
      <c r="EA941" s="567"/>
      <c r="EB941" s="567"/>
      <c r="EC941" s="567"/>
      <c r="ED941" s="567"/>
      <c r="EE941" s="567"/>
      <c r="EF941" s="567"/>
      <c r="EG941" s="567"/>
      <c r="EH941" s="567"/>
      <c r="EI941" s="567"/>
      <c r="EJ941" s="567"/>
      <c r="EK941" s="567"/>
      <c r="EL941" s="567"/>
      <c r="EM941" s="567"/>
      <c r="EN941" s="567"/>
      <c r="EO941" s="567"/>
      <c r="EP941" s="567"/>
      <c r="EQ941" s="567"/>
      <c r="ER941" s="567"/>
      <c r="ES941" s="567"/>
      <c r="ET941" s="567"/>
      <c r="EU941" s="567"/>
      <c r="EV941" s="567"/>
      <c r="EW941" s="567"/>
      <c r="EX941" s="567"/>
      <c r="EY941" s="567"/>
      <c r="EZ941" s="567"/>
      <c r="FA941" s="567"/>
      <c r="FB941" s="567"/>
      <c r="FC941" s="567"/>
      <c r="FD941" s="567"/>
      <c r="FE941" s="567"/>
      <c r="FF941" s="567"/>
      <c r="FG941" s="567"/>
      <c r="FH941" s="567"/>
      <c r="FI941" s="567"/>
      <c r="FJ941" s="567"/>
      <c r="FK941" s="567"/>
      <c r="FL941" s="567"/>
      <c r="FM941" s="567"/>
      <c r="FN941" s="567"/>
      <c r="FO941" s="567"/>
      <c r="FP941" s="567"/>
      <c r="FQ941" s="567"/>
      <c r="FR941" s="567"/>
      <c r="FS941" s="567"/>
      <c r="FT941" s="567"/>
      <c r="FU941" s="567"/>
      <c r="FV941" s="567"/>
      <c r="FW941" s="567"/>
      <c r="FX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  <c r="BW942" s="567"/>
      <c r="BX942" s="567"/>
      <c r="BY942" s="567"/>
      <c r="BZ942" s="567"/>
      <c r="CA942" s="567"/>
      <c r="CB942" s="567"/>
      <c r="CC942" s="567"/>
      <c r="CD942" s="567"/>
      <c r="CE942" s="567"/>
      <c r="CF942" s="567"/>
      <c r="CG942" s="567"/>
      <c r="CH942" s="567"/>
      <c r="CI942" s="567"/>
      <c r="CJ942" s="567"/>
      <c r="CK942" s="567"/>
      <c r="CL942" s="567"/>
      <c r="CM942" s="567"/>
      <c r="CN942" s="567"/>
      <c r="CO942" s="567"/>
      <c r="CP942" s="567"/>
      <c r="CQ942" s="567"/>
      <c r="CR942" s="567"/>
      <c r="CS942" s="567"/>
      <c r="CT942" s="567"/>
      <c r="CU942" s="567"/>
      <c r="CV942" s="567"/>
      <c r="CW942" s="567"/>
      <c r="CX942" s="567"/>
      <c r="CY942" s="567"/>
      <c r="CZ942" s="567"/>
      <c r="DA942" s="567"/>
      <c r="DB942" s="567"/>
      <c r="DC942" s="567"/>
      <c r="DD942" s="567"/>
      <c r="DE942" s="567"/>
      <c r="DF942" s="567"/>
      <c r="DG942" s="567"/>
      <c r="DH942" s="567"/>
      <c r="DI942" s="567"/>
      <c r="DJ942" s="567"/>
      <c r="DK942" s="567"/>
      <c r="DL942" s="567"/>
      <c r="DM942" s="567"/>
      <c r="DN942" s="567"/>
      <c r="DO942" s="567"/>
      <c r="DP942" s="567"/>
      <c r="DQ942" s="567"/>
      <c r="DR942" s="567"/>
      <c r="DS942" s="567"/>
      <c r="DT942" s="567"/>
      <c r="DU942" s="567"/>
      <c r="DV942" s="567"/>
      <c r="DW942" s="567"/>
      <c r="DX942" s="567"/>
      <c r="DY942" s="567"/>
      <c r="DZ942" s="567"/>
      <c r="EA942" s="567"/>
      <c r="EB942" s="567"/>
      <c r="EC942" s="567"/>
      <c r="ED942" s="567"/>
      <c r="EE942" s="567"/>
      <c r="EF942" s="567"/>
      <c r="EG942" s="567"/>
      <c r="EH942" s="567"/>
      <c r="EI942" s="567"/>
      <c r="EJ942" s="567"/>
      <c r="EK942" s="567"/>
      <c r="EL942" s="567"/>
      <c r="EM942" s="567"/>
      <c r="EN942" s="567"/>
      <c r="EO942" s="567"/>
      <c r="EP942" s="567"/>
      <c r="EQ942" s="567"/>
      <c r="ER942" s="567"/>
      <c r="ES942" s="567"/>
      <c r="ET942" s="567"/>
      <c r="EU942" s="567"/>
      <c r="EV942" s="567"/>
      <c r="EW942" s="567"/>
      <c r="EX942" s="567"/>
      <c r="EY942" s="567"/>
      <c r="EZ942" s="567"/>
      <c r="FA942" s="567"/>
      <c r="FB942" s="567"/>
      <c r="FC942" s="567"/>
      <c r="FD942" s="567"/>
      <c r="FE942" s="567"/>
      <c r="FF942" s="567"/>
      <c r="FG942" s="567"/>
      <c r="FH942" s="567"/>
      <c r="FI942" s="567"/>
      <c r="FJ942" s="567"/>
      <c r="FK942" s="567"/>
      <c r="FL942" s="567"/>
      <c r="FM942" s="567"/>
      <c r="FN942" s="567"/>
      <c r="FO942" s="567"/>
      <c r="FP942" s="567"/>
      <c r="FQ942" s="567"/>
      <c r="FR942" s="567"/>
      <c r="FS942" s="567"/>
      <c r="FT942" s="567"/>
      <c r="FU942" s="567"/>
      <c r="FV942" s="567"/>
      <c r="FW942" s="567"/>
      <c r="FX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  <c r="BW943" s="567"/>
      <c r="BX943" s="567"/>
      <c r="BY943" s="567"/>
      <c r="BZ943" s="567"/>
      <c r="CA943" s="567"/>
      <c r="CB943" s="567"/>
      <c r="CC943" s="567"/>
      <c r="CD943" s="567"/>
      <c r="CE943" s="567"/>
      <c r="CF943" s="567"/>
      <c r="CG943" s="567"/>
      <c r="CH943" s="567"/>
      <c r="CI943" s="567"/>
      <c r="CJ943" s="567"/>
      <c r="CK943" s="567"/>
      <c r="CL943" s="567"/>
      <c r="CM943" s="567"/>
      <c r="CN943" s="567"/>
      <c r="CO943" s="567"/>
      <c r="CP943" s="567"/>
      <c r="CQ943" s="567"/>
      <c r="CR943" s="567"/>
      <c r="CS943" s="567"/>
      <c r="CT943" s="567"/>
      <c r="CU943" s="567"/>
      <c r="CV943" s="567"/>
      <c r="CW943" s="567"/>
      <c r="CX943" s="567"/>
      <c r="CY943" s="567"/>
      <c r="CZ943" s="567"/>
      <c r="DA943" s="567"/>
      <c r="DB943" s="567"/>
      <c r="DC943" s="567"/>
      <c r="DD943" s="567"/>
      <c r="DE943" s="567"/>
      <c r="DF943" s="567"/>
      <c r="DG943" s="567"/>
      <c r="DH943" s="567"/>
      <c r="DI943" s="567"/>
      <c r="DJ943" s="567"/>
      <c r="DK943" s="567"/>
      <c r="DL943" s="567"/>
      <c r="DM943" s="567"/>
      <c r="DN943" s="567"/>
      <c r="DO943" s="567"/>
      <c r="DP943" s="567"/>
      <c r="DQ943" s="567"/>
      <c r="DR943" s="567"/>
      <c r="DS943" s="567"/>
      <c r="DT943" s="567"/>
      <c r="DU943" s="567"/>
      <c r="DV943" s="567"/>
      <c r="DW943" s="567"/>
      <c r="DX943" s="567"/>
      <c r="DY943" s="567"/>
      <c r="DZ943" s="567"/>
      <c r="EA943" s="567"/>
      <c r="EB943" s="567"/>
      <c r="EC943" s="567"/>
      <c r="ED943" s="567"/>
      <c r="EE943" s="567"/>
      <c r="EF943" s="567"/>
      <c r="EG943" s="567"/>
      <c r="EH943" s="567"/>
      <c r="EI943" s="567"/>
      <c r="EJ943" s="567"/>
      <c r="EK943" s="567"/>
      <c r="EL943" s="567"/>
      <c r="EM943" s="567"/>
      <c r="EN943" s="567"/>
      <c r="EO943" s="567"/>
      <c r="EP943" s="567"/>
      <c r="EQ943" s="567"/>
      <c r="ER943" s="567"/>
      <c r="ES943" s="567"/>
      <c r="ET943" s="567"/>
      <c r="EU943" s="567"/>
      <c r="EV943" s="567"/>
      <c r="EW943" s="567"/>
      <c r="EX943" s="567"/>
      <c r="EY943" s="567"/>
      <c r="EZ943" s="567"/>
      <c r="FA943" s="567"/>
      <c r="FB943" s="567"/>
      <c r="FC943" s="567"/>
      <c r="FD943" s="567"/>
      <c r="FE943" s="567"/>
      <c r="FF943" s="567"/>
      <c r="FG943" s="567"/>
      <c r="FH943" s="567"/>
      <c r="FI943" s="567"/>
      <c r="FJ943" s="567"/>
      <c r="FK943" s="567"/>
      <c r="FL943" s="567"/>
      <c r="FM943" s="567"/>
      <c r="FN943" s="567"/>
      <c r="FO943" s="567"/>
      <c r="FP943" s="567"/>
      <c r="FQ943" s="567"/>
      <c r="FR943" s="567"/>
      <c r="FS943" s="567"/>
      <c r="FT943" s="567"/>
      <c r="FU943" s="567"/>
      <c r="FV943" s="567"/>
      <c r="FW943" s="567"/>
      <c r="FX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  <c r="BW944" s="567"/>
      <c r="BX944" s="567"/>
      <c r="BY944" s="567"/>
      <c r="BZ944" s="567"/>
      <c r="CA944" s="567"/>
      <c r="CB944" s="567"/>
      <c r="CC944" s="567"/>
      <c r="CD944" s="567"/>
      <c r="CE944" s="567"/>
      <c r="CF944" s="567"/>
      <c r="CG944" s="567"/>
      <c r="CH944" s="567"/>
      <c r="CI944" s="567"/>
      <c r="CJ944" s="567"/>
      <c r="CK944" s="567"/>
      <c r="CL944" s="567"/>
      <c r="CM944" s="567"/>
      <c r="CN944" s="567"/>
      <c r="CO944" s="567"/>
      <c r="CP944" s="567"/>
      <c r="CQ944" s="567"/>
      <c r="CR944" s="567"/>
      <c r="CS944" s="567"/>
      <c r="CT944" s="567"/>
      <c r="CU944" s="567"/>
      <c r="CV944" s="567"/>
      <c r="CW944" s="567"/>
      <c r="CX944" s="567"/>
      <c r="CY944" s="567"/>
      <c r="CZ944" s="567"/>
      <c r="DA944" s="567"/>
      <c r="DB944" s="567"/>
      <c r="DC944" s="567"/>
      <c r="DD944" s="567"/>
      <c r="DE944" s="567"/>
      <c r="DF944" s="567"/>
      <c r="DG944" s="567"/>
      <c r="DH944" s="567"/>
      <c r="DI944" s="567"/>
      <c r="DJ944" s="567"/>
      <c r="DK944" s="567"/>
      <c r="DL944" s="567"/>
      <c r="DM944" s="567"/>
      <c r="DN944" s="567"/>
      <c r="DO944" s="567"/>
      <c r="DP944" s="567"/>
      <c r="DQ944" s="567"/>
      <c r="DR944" s="567"/>
      <c r="DS944" s="567"/>
      <c r="DT944" s="567"/>
      <c r="DU944" s="567"/>
      <c r="DV944" s="567"/>
      <c r="DW944" s="567"/>
      <c r="DX944" s="567"/>
      <c r="DY944" s="567"/>
      <c r="DZ944" s="567"/>
      <c r="EA944" s="567"/>
      <c r="EB944" s="567"/>
      <c r="EC944" s="567"/>
      <c r="ED944" s="567"/>
      <c r="EE944" s="567"/>
      <c r="EF944" s="567"/>
      <c r="EG944" s="567"/>
      <c r="EH944" s="567"/>
      <c r="EI944" s="567"/>
      <c r="EJ944" s="567"/>
      <c r="EK944" s="567"/>
      <c r="EL944" s="567"/>
      <c r="EM944" s="567"/>
      <c r="EN944" s="567"/>
      <c r="EO944" s="567"/>
      <c r="EP944" s="567"/>
      <c r="EQ944" s="567"/>
      <c r="ER944" s="567"/>
      <c r="ES944" s="567"/>
      <c r="ET944" s="567"/>
      <c r="EU944" s="567"/>
      <c r="EV944" s="567"/>
      <c r="EW944" s="567"/>
      <c r="EX944" s="567"/>
      <c r="EY944" s="567"/>
      <c r="EZ944" s="567"/>
      <c r="FA944" s="567"/>
      <c r="FB944" s="567"/>
      <c r="FC944" s="567"/>
      <c r="FD944" s="567"/>
      <c r="FE944" s="567"/>
      <c r="FF944" s="567"/>
      <c r="FG944" s="567"/>
      <c r="FH944" s="567"/>
      <c r="FI944" s="567"/>
      <c r="FJ944" s="567"/>
      <c r="FK944" s="567"/>
      <c r="FL944" s="567"/>
      <c r="FM944" s="567"/>
      <c r="FN944" s="567"/>
      <c r="FO944" s="567"/>
      <c r="FP944" s="567"/>
      <c r="FQ944" s="567"/>
      <c r="FR944" s="567"/>
      <c r="FS944" s="567"/>
      <c r="FT944" s="567"/>
      <c r="FU944" s="567"/>
      <c r="FV944" s="567"/>
      <c r="FW944" s="567"/>
      <c r="FX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  <c r="BW945" s="567"/>
      <c r="BX945" s="567"/>
      <c r="BY945" s="567"/>
      <c r="BZ945" s="567"/>
      <c r="CA945" s="567"/>
      <c r="CB945" s="567"/>
      <c r="CC945" s="567"/>
      <c r="CD945" s="567"/>
      <c r="CE945" s="567"/>
      <c r="CF945" s="567"/>
      <c r="CG945" s="567"/>
      <c r="CH945" s="567"/>
      <c r="CI945" s="567"/>
      <c r="CJ945" s="567"/>
      <c r="CK945" s="567"/>
      <c r="CL945" s="567"/>
      <c r="CM945" s="567"/>
      <c r="CN945" s="567"/>
      <c r="CO945" s="567"/>
      <c r="CP945" s="567"/>
      <c r="CQ945" s="567"/>
      <c r="CR945" s="567"/>
      <c r="CS945" s="567"/>
      <c r="CT945" s="567"/>
      <c r="CU945" s="567"/>
      <c r="CV945" s="567"/>
      <c r="CW945" s="567"/>
      <c r="CX945" s="567"/>
      <c r="CY945" s="567"/>
      <c r="CZ945" s="567"/>
      <c r="DA945" s="567"/>
      <c r="DB945" s="567"/>
      <c r="DC945" s="567"/>
      <c r="DD945" s="567"/>
      <c r="DE945" s="567"/>
      <c r="DF945" s="567"/>
      <c r="DG945" s="567"/>
      <c r="DH945" s="567"/>
      <c r="DI945" s="567"/>
      <c r="DJ945" s="567"/>
      <c r="DK945" s="567"/>
      <c r="DL945" s="567"/>
      <c r="DM945" s="567"/>
      <c r="DN945" s="567"/>
      <c r="DO945" s="567"/>
      <c r="DP945" s="567"/>
      <c r="DQ945" s="567"/>
      <c r="DR945" s="567"/>
      <c r="DS945" s="567"/>
      <c r="DT945" s="567"/>
      <c r="DU945" s="567"/>
      <c r="DV945" s="567"/>
      <c r="DW945" s="567"/>
      <c r="DX945" s="567"/>
      <c r="DY945" s="567"/>
      <c r="DZ945" s="567"/>
      <c r="EA945" s="567"/>
      <c r="EB945" s="567"/>
      <c r="EC945" s="567"/>
      <c r="ED945" s="567"/>
      <c r="EE945" s="567"/>
      <c r="EF945" s="567"/>
      <c r="EG945" s="567"/>
      <c r="EH945" s="567"/>
      <c r="EI945" s="567"/>
      <c r="EJ945" s="567"/>
      <c r="EK945" s="567"/>
      <c r="EL945" s="567"/>
      <c r="EM945" s="567"/>
      <c r="EN945" s="567"/>
      <c r="EO945" s="567"/>
      <c r="EP945" s="567"/>
      <c r="EQ945" s="567"/>
      <c r="ER945" s="567"/>
      <c r="ES945" s="567"/>
      <c r="ET945" s="567"/>
      <c r="EU945" s="567"/>
      <c r="EV945" s="567"/>
      <c r="EW945" s="567"/>
      <c r="EX945" s="567"/>
      <c r="EY945" s="567"/>
      <c r="EZ945" s="567"/>
      <c r="FA945" s="567"/>
      <c r="FB945" s="567"/>
      <c r="FC945" s="567"/>
      <c r="FD945" s="567"/>
      <c r="FE945" s="567"/>
      <c r="FF945" s="567"/>
      <c r="FG945" s="567"/>
      <c r="FH945" s="567"/>
      <c r="FI945" s="567"/>
      <c r="FJ945" s="567"/>
      <c r="FK945" s="567"/>
      <c r="FL945" s="567"/>
      <c r="FM945" s="567"/>
      <c r="FN945" s="567"/>
      <c r="FO945" s="567"/>
      <c r="FP945" s="567"/>
      <c r="FQ945" s="567"/>
      <c r="FR945" s="567"/>
      <c r="FS945" s="567"/>
      <c r="FT945" s="567"/>
      <c r="FU945" s="567"/>
      <c r="FV945" s="567"/>
      <c r="FW945" s="567"/>
      <c r="FX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  <c r="BW946" s="567"/>
      <c r="BX946" s="567"/>
      <c r="BY946" s="567"/>
      <c r="BZ946" s="567"/>
      <c r="CA946" s="567"/>
      <c r="CB946" s="567"/>
      <c r="CC946" s="567"/>
      <c r="CD946" s="567"/>
      <c r="CE946" s="567"/>
      <c r="CF946" s="567"/>
      <c r="CG946" s="567"/>
      <c r="CH946" s="567"/>
      <c r="CI946" s="567"/>
      <c r="CJ946" s="567"/>
      <c r="CK946" s="567"/>
      <c r="CL946" s="567"/>
      <c r="CM946" s="567"/>
      <c r="CN946" s="567"/>
      <c r="CO946" s="567"/>
      <c r="CP946" s="567"/>
      <c r="CQ946" s="567"/>
      <c r="CR946" s="567"/>
      <c r="CS946" s="567"/>
      <c r="CT946" s="567"/>
      <c r="CU946" s="567"/>
      <c r="CV946" s="567"/>
      <c r="CW946" s="567"/>
      <c r="CX946" s="567"/>
      <c r="CY946" s="567"/>
      <c r="CZ946" s="567"/>
      <c r="DA946" s="567"/>
      <c r="DB946" s="567"/>
      <c r="DC946" s="567"/>
      <c r="DD946" s="567"/>
      <c r="DE946" s="567"/>
      <c r="DF946" s="567"/>
      <c r="DG946" s="567"/>
      <c r="DH946" s="567"/>
      <c r="DI946" s="567"/>
      <c r="DJ946" s="567"/>
      <c r="DK946" s="567"/>
      <c r="DL946" s="567"/>
      <c r="DM946" s="567"/>
      <c r="DN946" s="567"/>
      <c r="DO946" s="567"/>
      <c r="DP946" s="567"/>
      <c r="DQ946" s="567"/>
      <c r="DR946" s="567"/>
      <c r="DS946" s="567"/>
      <c r="DT946" s="567"/>
      <c r="DU946" s="567"/>
      <c r="DV946" s="567"/>
      <c r="DW946" s="567"/>
      <c r="DX946" s="567"/>
      <c r="DY946" s="567"/>
      <c r="DZ946" s="567"/>
      <c r="EA946" s="567"/>
      <c r="EB946" s="567"/>
      <c r="EC946" s="567"/>
      <c r="ED946" s="567"/>
      <c r="EE946" s="567"/>
      <c r="EF946" s="567"/>
      <c r="EG946" s="567"/>
      <c r="EH946" s="567"/>
      <c r="EI946" s="567"/>
      <c r="EJ946" s="567"/>
      <c r="EK946" s="567"/>
      <c r="EL946" s="567"/>
      <c r="EM946" s="567"/>
      <c r="EN946" s="567"/>
      <c r="EO946" s="567"/>
      <c r="EP946" s="567"/>
      <c r="EQ946" s="567"/>
      <c r="ER946" s="567"/>
      <c r="ES946" s="567"/>
      <c r="ET946" s="567"/>
      <c r="EU946" s="567"/>
      <c r="EV946" s="567"/>
      <c r="EW946" s="567"/>
      <c r="EX946" s="567"/>
      <c r="EY946" s="567"/>
      <c r="EZ946" s="567"/>
      <c r="FA946" s="567"/>
      <c r="FB946" s="567"/>
      <c r="FC946" s="567"/>
      <c r="FD946" s="567"/>
      <c r="FE946" s="567"/>
      <c r="FF946" s="567"/>
      <c r="FG946" s="567"/>
      <c r="FH946" s="567"/>
      <c r="FI946" s="567"/>
      <c r="FJ946" s="567"/>
      <c r="FK946" s="567"/>
      <c r="FL946" s="567"/>
      <c r="FM946" s="567"/>
      <c r="FN946" s="567"/>
      <c r="FO946" s="567"/>
      <c r="FP946" s="567"/>
      <c r="FQ946" s="567"/>
      <c r="FR946" s="567"/>
      <c r="FS946" s="567"/>
      <c r="FT946" s="567"/>
      <c r="FU946" s="567"/>
      <c r="FV946" s="567"/>
      <c r="FW946" s="567"/>
      <c r="FX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  <c r="BW947" s="567"/>
      <c r="BX947" s="567"/>
      <c r="BY947" s="567"/>
      <c r="BZ947" s="567"/>
      <c r="CA947" s="567"/>
      <c r="CB947" s="567"/>
      <c r="CC947" s="567"/>
      <c r="CD947" s="567"/>
      <c r="CE947" s="567"/>
      <c r="CF947" s="567"/>
      <c r="CG947" s="567"/>
      <c r="CH947" s="567"/>
      <c r="CI947" s="567"/>
      <c r="CJ947" s="567"/>
      <c r="CK947" s="567"/>
      <c r="CL947" s="567"/>
      <c r="CM947" s="567"/>
      <c r="CN947" s="567"/>
      <c r="CO947" s="567"/>
      <c r="CP947" s="567"/>
      <c r="CQ947" s="567"/>
      <c r="CR947" s="567"/>
      <c r="CS947" s="567"/>
      <c r="CT947" s="567"/>
      <c r="CU947" s="567"/>
      <c r="CV947" s="567"/>
      <c r="CW947" s="567"/>
      <c r="CX947" s="567"/>
      <c r="CY947" s="567"/>
      <c r="CZ947" s="567"/>
      <c r="DA947" s="567"/>
      <c r="DB947" s="567"/>
      <c r="DC947" s="567"/>
      <c r="DD947" s="567"/>
      <c r="DE947" s="567"/>
      <c r="DF947" s="567"/>
      <c r="DG947" s="567"/>
      <c r="DH947" s="567"/>
      <c r="DI947" s="567"/>
      <c r="DJ947" s="567"/>
      <c r="DK947" s="567"/>
      <c r="DL947" s="567"/>
      <c r="DM947" s="567"/>
      <c r="DN947" s="567"/>
      <c r="DO947" s="567"/>
      <c r="DP947" s="567"/>
      <c r="DQ947" s="567"/>
      <c r="DR947" s="567"/>
      <c r="DS947" s="567"/>
      <c r="DT947" s="567"/>
      <c r="DU947" s="567"/>
      <c r="DV947" s="567"/>
      <c r="DW947" s="567"/>
      <c r="DX947" s="567"/>
      <c r="DY947" s="567"/>
      <c r="DZ947" s="567"/>
      <c r="EA947" s="567"/>
      <c r="EB947" s="567"/>
      <c r="EC947" s="567"/>
      <c r="ED947" s="567"/>
      <c r="EE947" s="567"/>
      <c r="EF947" s="567"/>
      <c r="EG947" s="567"/>
      <c r="EH947" s="567"/>
      <c r="EI947" s="567"/>
      <c r="EJ947" s="567"/>
      <c r="EK947" s="567"/>
      <c r="EL947" s="567"/>
      <c r="EM947" s="567"/>
      <c r="EN947" s="567"/>
      <c r="EO947" s="567"/>
      <c r="EP947" s="567"/>
      <c r="EQ947" s="567"/>
      <c r="ER947" s="567"/>
      <c r="ES947" s="567"/>
      <c r="ET947" s="567"/>
      <c r="EU947" s="567"/>
      <c r="EV947" s="567"/>
      <c r="EW947" s="567"/>
      <c r="EX947" s="567"/>
      <c r="EY947" s="567"/>
      <c r="EZ947" s="567"/>
      <c r="FA947" s="567"/>
      <c r="FB947" s="567"/>
      <c r="FC947" s="567"/>
      <c r="FD947" s="567"/>
      <c r="FE947" s="567"/>
      <c r="FF947" s="567"/>
      <c r="FG947" s="567"/>
      <c r="FH947" s="567"/>
      <c r="FI947" s="567"/>
      <c r="FJ947" s="567"/>
      <c r="FK947" s="567"/>
      <c r="FL947" s="567"/>
      <c r="FM947" s="567"/>
      <c r="FN947" s="567"/>
      <c r="FO947" s="567"/>
      <c r="FP947" s="567"/>
      <c r="FQ947" s="567"/>
      <c r="FR947" s="567"/>
      <c r="FS947" s="567"/>
      <c r="FT947" s="567"/>
      <c r="FU947" s="567"/>
      <c r="FV947" s="567"/>
      <c r="FW947" s="567"/>
      <c r="FX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  <c r="BW948" s="567"/>
      <c r="BX948" s="567"/>
      <c r="BY948" s="567"/>
      <c r="BZ948" s="567"/>
      <c r="CA948" s="567"/>
      <c r="CB948" s="567"/>
      <c r="CC948" s="567"/>
      <c r="CD948" s="567"/>
      <c r="CE948" s="567"/>
      <c r="CF948" s="567"/>
      <c r="CG948" s="567"/>
      <c r="CH948" s="567"/>
      <c r="CI948" s="567"/>
      <c r="CJ948" s="567"/>
      <c r="CK948" s="567"/>
      <c r="CL948" s="567"/>
      <c r="CM948" s="567"/>
      <c r="CN948" s="567"/>
      <c r="CO948" s="567"/>
      <c r="CP948" s="567"/>
      <c r="CQ948" s="567"/>
      <c r="CR948" s="567"/>
      <c r="CS948" s="567"/>
      <c r="CT948" s="567"/>
      <c r="CU948" s="567"/>
      <c r="CV948" s="567"/>
      <c r="CW948" s="567"/>
      <c r="CX948" s="567"/>
      <c r="CY948" s="567"/>
      <c r="CZ948" s="567"/>
      <c r="DA948" s="567"/>
      <c r="DB948" s="567"/>
      <c r="DC948" s="567"/>
      <c r="DD948" s="567"/>
      <c r="DE948" s="567"/>
      <c r="DF948" s="567"/>
      <c r="DG948" s="567"/>
      <c r="DH948" s="567"/>
      <c r="DI948" s="567"/>
      <c r="DJ948" s="567"/>
      <c r="DK948" s="567"/>
      <c r="DL948" s="567"/>
      <c r="DM948" s="567"/>
      <c r="DN948" s="567"/>
      <c r="DO948" s="567"/>
      <c r="DP948" s="567"/>
      <c r="DQ948" s="567"/>
      <c r="DR948" s="567"/>
      <c r="DS948" s="567"/>
      <c r="DT948" s="567"/>
      <c r="DU948" s="567"/>
      <c r="DV948" s="567"/>
      <c r="DW948" s="567"/>
      <c r="DX948" s="567"/>
      <c r="DY948" s="567"/>
      <c r="DZ948" s="567"/>
      <c r="EA948" s="567"/>
      <c r="EB948" s="567"/>
      <c r="EC948" s="567"/>
      <c r="ED948" s="567"/>
      <c r="EE948" s="567"/>
      <c r="EF948" s="567"/>
      <c r="EG948" s="567"/>
      <c r="EH948" s="567"/>
      <c r="EI948" s="567"/>
      <c r="EJ948" s="567"/>
      <c r="EK948" s="567"/>
      <c r="EL948" s="567"/>
      <c r="EM948" s="567"/>
      <c r="EN948" s="567"/>
      <c r="EO948" s="567"/>
      <c r="EP948" s="567"/>
      <c r="EQ948" s="567"/>
      <c r="ER948" s="567"/>
      <c r="ES948" s="567"/>
      <c r="ET948" s="567"/>
      <c r="EU948" s="567"/>
      <c r="EV948" s="567"/>
      <c r="EW948" s="567"/>
      <c r="EX948" s="567"/>
      <c r="EY948" s="567"/>
      <c r="EZ948" s="567"/>
      <c r="FA948" s="567"/>
      <c r="FB948" s="567"/>
      <c r="FC948" s="567"/>
      <c r="FD948" s="567"/>
      <c r="FE948" s="567"/>
      <c r="FF948" s="567"/>
      <c r="FG948" s="567"/>
      <c r="FH948" s="567"/>
      <c r="FI948" s="567"/>
      <c r="FJ948" s="567"/>
      <c r="FK948" s="567"/>
      <c r="FL948" s="567"/>
      <c r="FM948" s="567"/>
      <c r="FN948" s="567"/>
      <c r="FO948" s="567"/>
      <c r="FP948" s="567"/>
      <c r="FQ948" s="567"/>
      <c r="FR948" s="567"/>
      <c r="FS948" s="567"/>
      <c r="FT948" s="567"/>
      <c r="FU948" s="567"/>
      <c r="FV948" s="567"/>
      <c r="FW948" s="567"/>
      <c r="FX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  <c r="BW949" s="567"/>
      <c r="BX949" s="567"/>
      <c r="BY949" s="567"/>
      <c r="BZ949" s="567"/>
      <c r="CA949" s="567"/>
      <c r="CB949" s="567"/>
      <c r="CC949" s="567"/>
      <c r="CD949" s="567"/>
      <c r="CE949" s="567"/>
      <c r="CF949" s="567"/>
      <c r="CG949" s="567"/>
      <c r="CH949" s="567"/>
      <c r="CI949" s="567"/>
      <c r="CJ949" s="567"/>
      <c r="CK949" s="567"/>
      <c r="CL949" s="567"/>
      <c r="CM949" s="567"/>
      <c r="CN949" s="567"/>
      <c r="CO949" s="567"/>
      <c r="CP949" s="567"/>
      <c r="CQ949" s="567"/>
      <c r="CR949" s="567"/>
      <c r="CS949" s="567"/>
      <c r="CT949" s="567"/>
      <c r="CU949" s="567"/>
      <c r="CV949" s="567"/>
      <c r="CW949" s="567"/>
      <c r="CX949" s="567"/>
      <c r="CY949" s="567"/>
      <c r="CZ949" s="567"/>
      <c r="DA949" s="567"/>
      <c r="DB949" s="567"/>
      <c r="DC949" s="567"/>
      <c r="DD949" s="567"/>
      <c r="DE949" s="567"/>
      <c r="DF949" s="567"/>
      <c r="DG949" s="567"/>
      <c r="DH949" s="567"/>
      <c r="DI949" s="567"/>
      <c r="DJ949" s="567"/>
      <c r="DK949" s="567"/>
      <c r="DL949" s="567"/>
      <c r="DM949" s="567"/>
      <c r="DN949" s="567"/>
      <c r="DO949" s="567"/>
      <c r="DP949" s="567"/>
      <c r="DQ949" s="567"/>
      <c r="DR949" s="567"/>
      <c r="DS949" s="567"/>
      <c r="DT949" s="567"/>
      <c r="DU949" s="567"/>
      <c r="DV949" s="567"/>
      <c r="DW949" s="567"/>
      <c r="DX949" s="567"/>
      <c r="DY949" s="567"/>
      <c r="DZ949" s="567"/>
      <c r="EA949" s="567"/>
      <c r="EB949" s="567"/>
      <c r="EC949" s="567"/>
      <c r="ED949" s="567"/>
      <c r="EE949" s="567"/>
      <c r="EF949" s="567"/>
      <c r="EG949" s="567"/>
      <c r="EH949" s="567"/>
      <c r="EI949" s="567"/>
      <c r="EJ949" s="567"/>
      <c r="EK949" s="567"/>
      <c r="EL949" s="567"/>
      <c r="EM949" s="567"/>
      <c r="EN949" s="567"/>
      <c r="EO949" s="567"/>
      <c r="EP949" s="567"/>
      <c r="EQ949" s="567"/>
      <c r="ER949" s="567"/>
      <c r="ES949" s="567"/>
      <c r="ET949" s="567"/>
      <c r="EU949" s="567"/>
      <c r="EV949" s="567"/>
      <c r="EW949" s="567"/>
      <c r="EX949" s="567"/>
      <c r="EY949" s="567"/>
      <c r="EZ949" s="567"/>
      <c r="FA949" s="567"/>
      <c r="FB949" s="567"/>
      <c r="FC949" s="567"/>
      <c r="FD949" s="567"/>
      <c r="FE949" s="567"/>
      <c r="FF949" s="567"/>
      <c r="FG949" s="567"/>
      <c r="FH949" s="567"/>
      <c r="FI949" s="567"/>
      <c r="FJ949" s="567"/>
      <c r="FK949" s="567"/>
      <c r="FL949" s="567"/>
      <c r="FM949" s="567"/>
      <c r="FN949" s="567"/>
      <c r="FO949" s="567"/>
      <c r="FP949" s="567"/>
      <c r="FQ949" s="567"/>
      <c r="FR949" s="567"/>
      <c r="FS949" s="567"/>
      <c r="FT949" s="567"/>
      <c r="FU949" s="567"/>
      <c r="FV949" s="567"/>
      <c r="FW949" s="567"/>
      <c r="FX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  <c r="BW950" s="567"/>
      <c r="BX950" s="567"/>
      <c r="BY950" s="567"/>
      <c r="BZ950" s="567"/>
      <c r="CA950" s="567"/>
      <c r="CB950" s="567"/>
      <c r="CC950" s="567"/>
      <c r="CD950" s="567"/>
      <c r="CE950" s="567"/>
      <c r="CF950" s="567"/>
      <c r="CG950" s="567"/>
      <c r="CH950" s="567"/>
      <c r="CI950" s="567"/>
      <c r="CJ950" s="567"/>
      <c r="CK950" s="567"/>
      <c r="CL950" s="567"/>
      <c r="CM950" s="567"/>
      <c r="CN950" s="567"/>
      <c r="CO950" s="567"/>
      <c r="CP950" s="567"/>
      <c r="CQ950" s="567"/>
      <c r="CR950" s="567"/>
      <c r="CS950" s="567"/>
      <c r="CT950" s="567"/>
      <c r="CU950" s="567"/>
      <c r="CV950" s="567"/>
      <c r="CW950" s="567"/>
      <c r="CX950" s="567"/>
      <c r="CY950" s="567"/>
      <c r="CZ950" s="567"/>
      <c r="DA950" s="567"/>
      <c r="DB950" s="567"/>
      <c r="DC950" s="567"/>
      <c r="DD950" s="567"/>
      <c r="DE950" s="567"/>
      <c r="DF950" s="567"/>
      <c r="DG950" s="567"/>
      <c r="DH950" s="567"/>
      <c r="DI950" s="567"/>
      <c r="DJ950" s="567"/>
      <c r="DK950" s="567"/>
      <c r="DL950" s="567"/>
      <c r="DM950" s="567"/>
      <c r="DN950" s="567"/>
      <c r="DO950" s="567"/>
      <c r="DP950" s="567"/>
      <c r="DQ950" s="567"/>
      <c r="DR950" s="567"/>
      <c r="DS950" s="567"/>
      <c r="DT950" s="567"/>
      <c r="DU950" s="567"/>
      <c r="DV950" s="567"/>
      <c r="DW950" s="567"/>
      <c r="DX950" s="567"/>
      <c r="DY950" s="567"/>
      <c r="DZ950" s="567"/>
      <c r="EA950" s="567"/>
      <c r="EB950" s="567"/>
      <c r="EC950" s="567"/>
      <c r="ED950" s="567"/>
      <c r="EE950" s="567"/>
      <c r="EF950" s="567"/>
      <c r="EG950" s="567"/>
      <c r="EH950" s="567"/>
      <c r="EI950" s="567"/>
      <c r="EJ950" s="567"/>
      <c r="EK950" s="567"/>
      <c r="EL950" s="567"/>
      <c r="EM950" s="567"/>
      <c r="EN950" s="567"/>
      <c r="EO950" s="567"/>
      <c r="EP950" s="567"/>
      <c r="EQ950" s="567"/>
      <c r="ER950" s="567"/>
      <c r="ES950" s="567"/>
      <c r="ET950" s="567"/>
      <c r="EU950" s="567"/>
      <c r="EV950" s="567"/>
      <c r="EW950" s="567"/>
      <c r="EX950" s="567"/>
      <c r="EY950" s="567"/>
      <c r="EZ950" s="567"/>
      <c r="FA950" s="567"/>
      <c r="FB950" s="567"/>
      <c r="FC950" s="567"/>
      <c r="FD950" s="567"/>
      <c r="FE950" s="567"/>
      <c r="FF950" s="567"/>
      <c r="FG950" s="567"/>
      <c r="FH950" s="567"/>
      <c r="FI950" s="567"/>
      <c r="FJ950" s="567"/>
      <c r="FK950" s="567"/>
      <c r="FL950" s="567"/>
      <c r="FM950" s="567"/>
      <c r="FN950" s="567"/>
      <c r="FO950" s="567"/>
      <c r="FP950" s="567"/>
      <c r="FQ950" s="567"/>
      <c r="FR950" s="567"/>
      <c r="FS950" s="567"/>
      <c r="FT950" s="567"/>
      <c r="FU950" s="567"/>
      <c r="FV950" s="567"/>
      <c r="FW950" s="567"/>
      <c r="FX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  <c r="BW951" s="567"/>
      <c r="BX951" s="567"/>
      <c r="BY951" s="567"/>
      <c r="BZ951" s="567"/>
      <c r="CA951" s="567"/>
      <c r="CB951" s="567"/>
      <c r="CC951" s="567"/>
      <c r="CD951" s="567"/>
      <c r="CE951" s="567"/>
      <c r="CF951" s="567"/>
      <c r="CG951" s="567"/>
      <c r="CH951" s="567"/>
      <c r="CI951" s="567"/>
      <c r="CJ951" s="567"/>
      <c r="CK951" s="567"/>
      <c r="CL951" s="567"/>
      <c r="CM951" s="567"/>
      <c r="CN951" s="567"/>
      <c r="CO951" s="567"/>
      <c r="CP951" s="567"/>
      <c r="CQ951" s="567"/>
      <c r="CR951" s="567"/>
      <c r="CS951" s="567"/>
      <c r="CT951" s="567"/>
      <c r="CU951" s="567"/>
      <c r="CV951" s="567"/>
      <c r="CW951" s="567"/>
      <c r="CX951" s="567"/>
      <c r="CY951" s="567"/>
      <c r="CZ951" s="567"/>
      <c r="DA951" s="567"/>
      <c r="DB951" s="567"/>
      <c r="DC951" s="567"/>
      <c r="DD951" s="567"/>
      <c r="DE951" s="567"/>
      <c r="DF951" s="567"/>
      <c r="DG951" s="567"/>
      <c r="DH951" s="567"/>
      <c r="DI951" s="567"/>
      <c r="DJ951" s="567"/>
      <c r="DK951" s="567"/>
      <c r="DL951" s="567"/>
      <c r="DM951" s="567"/>
      <c r="DN951" s="567"/>
      <c r="DO951" s="567"/>
      <c r="DP951" s="567"/>
      <c r="DQ951" s="567"/>
      <c r="DR951" s="567"/>
      <c r="DS951" s="567"/>
      <c r="DT951" s="567"/>
      <c r="DU951" s="567"/>
      <c r="DV951" s="567"/>
      <c r="DW951" s="567"/>
      <c r="DX951" s="567"/>
      <c r="DY951" s="567"/>
      <c r="DZ951" s="567"/>
      <c r="EA951" s="567"/>
      <c r="EB951" s="567"/>
      <c r="EC951" s="567"/>
      <c r="ED951" s="567"/>
      <c r="EE951" s="567"/>
      <c r="EF951" s="567"/>
      <c r="EG951" s="567"/>
      <c r="EH951" s="567"/>
      <c r="EI951" s="567"/>
      <c r="EJ951" s="567"/>
      <c r="EK951" s="567"/>
      <c r="EL951" s="567"/>
      <c r="EM951" s="567"/>
      <c r="EN951" s="567"/>
      <c r="EO951" s="567"/>
      <c r="EP951" s="567"/>
      <c r="EQ951" s="567"/>
      <c r="ER951" s="567"/>
      <c r="ES951" s="567"/>
      <c r="ET951" s="567"/>
      <c r="EU951" s="567"/>
      <c r="EV951" s="567"/>
      <c r="EW951" s="567"/>
      <c r="EX951" s="567"/>
      <c r="EY951" s="567"/>
      <c r="EZ951" s="567"/>
      <c r="FA951" s="567"/>
      <c r="FB951" s="567"/>
      <c r="FC951" s="567"/>
      <c r="FD951" s="567"/>
      <c r="FE951" s="567"/>
      <c r="FF951" s="567"/>
      <c r="FG951" s="567"/>
      <c r="FH951" s="567"/>
      <c r="FI951" s="567"/>
      <c r="FJ951" s="567"/>
      <c r="FK951" s="567"/>
      <c r="FL951" s="567"/>
      <c r="FM951" s="567"/>
      <c r="FN951" s="567"/>
      <c r="FO951" s="567"/>
      <c r="FP951" s="567"/>
      <c r="FQ951" s="567"/>
      <c r="FR951" s="567"/>
      <c r="FS951" s="567"/>
      <c r="FT951" s="567"/>
      <c r="FU951" s="567"/>
      <c r="FV951" s="567"/>
      <c r="FW951" s="567"/>
      <c r="FX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  <c r="BW952" s="567"/>
      <c r="BX952" s="567"/>
      <c r="BY952" s="567"/>
      <c r="BZ952" s="567"/>
      <c r="CA952" s="567"/>
      <c r="CB952" s="567"/>
      <c r="CC952" s="567"/>
      <c r="CD952" s="567"/>
      <c r="CE952" s="567"/>
      <c r="CF952" s="567"/>
      <c r="CG952" s="567"/>
      <c r="CH952" s="567"/>
      <c r="CI952" s="567"/>
      <c r="CJ952" s="567"/>
      <c r="CK952" s="567"/>
      <c r="CL952" s="567"/>
      <c r="CM952" s="567"/>
      <c r="CN952" s="567"/>
      <c r="CO952" s="567"/>
      <c r="CP952" s="567"/>
      <c r="CQ952" s="567"/>
      <c r="CR952" s="567"/>
      <c r="CS952" s="567"/>
      <c r="CT952" s="567"/>
      <c r="CU952" s="567"/>
      <c r="CV952" s="567"/>
      <c r="CW952" s="567"/>
      <c r="CX952" s="567"/>
      <c r="CY952" s="567"/>
      <c r="CZ952" s="567"/>
      <c r="DA952" s="567"/>
      <c r="DB952" s="567"/>
      <c r="DC952" s="567"/>
      <c r="DD952" s="567"/>
      <c r="DE952" s="567"/>
      <c r="DF952" s="567"/>
      <c r="DG952" s="567"/>
      <c r="DH952" s="567"/>
      <c r="DI952" s="567"/>
      <c r="DJ952" s="567"/>
      <c r="DK952" s="567"/>
      <c r="DL952" s="567"/>
      <c r="DM952" s="567"/>
      <c r="DN952" s="567"/>
      <c r="DO952" s="567"/>
      <c r="DP952" s="567"/>
      <c r="DQ952" s="567"/>
      <c r="DR952" s="567"/>
      <c r="DS952" s="567"/>
      <c r="DT952" s="567"/>
      <c r="DU952" s="567"/>
      <c r="DV952" s="567"/>
      <c r="DW952" s="567"/>
      <c r="DX952" s="567"/>
      <c r="DY952" s="567"/>
      <c r="DZ952" s="567"/>
      <c r="EA952" s="567"/>
      <c r="EB952" s="567"/>
      <c r="EC952" s="567"/>
      <c r="ED952" s="567"/>
      <c r="EE952" s="567"/>
      <c r="EF952" s="567"/>
      <c r="EG952" s="567"/>
      <c r="EH952" s="567"/>
      <c r="EI952" s="567"/>
      <c r="EJ952" s="567"/>
      <c r="EK952" s="567"/>
      <c r="EL952" s="567"/>
      <c r="EM952" s="567"/>
      <c r="EN952" s="567"/>
      <c r="EO952" s="567"/>
      <c r="EP952" s="567"/>
      <c r="EQ952" s="567"/>
      <c r="ER952" s="567"/>
      <c r="ES952" s="567"/>
      <c r="ET952" s="567"/>
      <c r="EU952" s="567"/>
      <c r="EV952" s="567"/>
      <c r="EW952" s="567"/>
      <c r="EX952" s="567"/>
      <c r="EY952" s="567"/>
      <c r="EZ952" s="567"/>
      <c r="FA952" s="567"/>
      <c r="FB952" s="567"/>
      <c r="FC952" s="567"/>
      <c r="FD952" s="567"/>
      <c r="FE952" s="567"/>
      <c r="FF952" s="567"/>
      <c r="FG952" s="567"/>
      <c r="FH952" s="567"/>
      <c r="FI952" s="567"/>
      <c r="FJ952" s="567"/>
      <c r="FK952" s="567"/>
      <c r="FL952" s="567"/>
      <c r="FM952" s="567"/>
      <c r="FN952" s="567"/>
      <c r="FO952" s="567"/>
      <c r="FP952" s="567"/>
      <c r="FQ952" s="567"/>
      <c r="FR952" s="567"/>
      <c r="FS952" s="567"/>
      <c r="FT952" s="567"/>
      <c r="FU952" s="567"/>
      <c r="FV952" s="567"/>
      <c r="FW952" s="567"/>
      <c r="FX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  <c r="BW953" s="567"/>
      <c r="BX953" s="567"/>
      <c r="BY953" s="567"/>
      <c r="BZ953" s="567"/>
      <c r="CA953" s="567"/>
      <c r="CB953" s="567"/>
      <c r="CC953" s="567"/>
      <c r="CD953" s="567"/>
      <c r="CE953" s="567"/>
      <c r="CF953" s="567"/>
      <c r="CG953" s="567"/>
      <c r="CH953" s="567"/>
      <c r="CI953" s="567"/>
      <c r="CJ953" s="567"/>
      <c r="CK953" s="567"/>
      <c r="CL953" s="567"/>
      <c r="CM953" s="567"/>
      <c r="CN953" s="567"/>
      <c r="CO953" s="567"/>
      <c r="CP953" s="567"/>
      <c r="CQ953" s="567"/>
      <c r="CR953" s="567"/>
      <c r="CS953" s="567"/>
      <c r="CT953" s="567"/>
      <c r="CU953" s="567"/>
      <c r="CV953" s="567"/>
      <c r="CW953" s="567"/>
      <c r="CX953" s="567"/>
      <c r="CY953" s="567"/>
      <c r="CZ953" s="567"/>
      <c r="DA953" s="567"/>
      <c r="DB953" s="567"/>
      <c r="DC953" s="567"/>
      <c r="DD953" s="567"/>
      <c r="DE953" s="567"/>
      <c r="DF953" s="567"/>
      <c r="DG953" s="567"/>
      <c r="DH953" s="567"/>
      <c r="DI953" s="567"/>
      <c r="DJ953" s="567"/>
      <c r="DK953" s="567"/>
      <c r="DL953" s="567"/>
      <c r="DM953" s="567"/>
      <c r="DN953" s="567"/>
      <c r="DO953" s="567"/>
      <c r="DP953" s="567"/>
      <c r="DQ953" s="567"/>
      <c r="DR953" s="567"/>
      <c r="DS953" s="567"/>
      <c r="DT953" s="567"/>
      <c r="DU953" s="567"/>
      <c r="DV953" s="567"/>
      <c r="DW953" s="567"/>
      <c r="DX953" s="567"/>
      <c r="DY953" s="567"/>
      <c r="DZ953" s="567"/>
      <c r="EA953" s="567"/>
      <c r="EB953" s="567"/>
      <c r="EC953" s="567"/>
      <c r="ED953" s="567"/>
      <c r="EE953" s="567"/>
      <c r="EF953" s="567"/>
      <c r="EG953" s="567"/>
      <c r="EH953" s="567"/>
      <c r="EI953" s="567"/>
      <c r="EJ953" s="567"/>
      <c r="EK953" s="567"/>
      <c r="EL953" s="567"/>
      <c r="EM953" s="567"/>
      <c r="EN953" s="567"/>
      <c r="EO953" s="567"/>
      <c r="EP953" s="567"/>
      <c r="EQ953" s="567"/>
      <c r="ER953" s="567"/>
      <c r="ES953" s="567"/>
      <c r="ET953" s="567"/>
      <c r="EU953" s="567"/>
      <c r="EV953" s="567"/>
      <c r="EW953" s="567"/>
      <c r="EX953" s="567"/>
      <c r="EY953" s="567"/>
      <c r="EZ953" s="567"/>
      <c r="FA953" s="567"/>
      <c r="FB953" s="567"/>
      <c r="FC953" s="567"/>
      <c r="FD953" s="567"/>
      <c r="FE953" s="567"/>
      <c r="FF953" s="567"/>
      <c r="FG953" s="567"/>
      <c r="FH953" s="567"/>
      <c r="FI953" s="567"/>
      <c r="FJ953" s="567"/>
      <c r="FK953" s="567"/>
      <c r="FL953" s="567"/>
      <c r="FM953" s="567"/>
      <c r="FN953" s="567"/>
      <c r="FO953" s="567"/>
      <c r="FP953" s="567"/>
      <c r="FQ953" s="567"/>
      <c r="FR953" s="567"/>
      <c r="FS953" s="567"/>
      <c r="FT953" s="567"/>
      <c r="FU953" s="567"/>
      <c r="FV953" s="567"/>
      <c r="FW953" s="567"/>
      <c r="FX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  <c r="BW954" s="567"/>
      <c r="BX954" s="567"/>
      <c r="BY954" s="567"/>
      <c r="BZ954" s="567"/>
      <c r="CA954" s="567"/>
      <c r="CB954" s="567"/>
      <c r="CC954" s="567"/>
      <c r="CD954" s="567"/>
      <c r="CE954" s="567"/>
      <c r="CF954" s="567"/>
      <c r="CG954" s="567"/>
      <c r="CH954" s="567"/>
      <c r="CI954" s="567"/>
      <c r="CJ954" s="567"/>
      <c r="CK954" s="567"/>
      <c r="CL954" s="567"/>
      <c r="CM954" s="567"/>
      <c r="CN954" s="567"/>
      <c r="CO954" s="567"/>
      <c r="CP954" s="567"/>
      <c r="CQ954" s="567"/>
      <c r="CR954" s="567"/>
      <c r="CS954" s="567"/>
      <c r="CT954" s="567"/>
      <c r="CU954" s="567"/>
      <c r="CV954" s="567"/>
      <c r="CW954" s="567"/>
      <c r="CX954" s="567"/>
      <c r="CY954" s="567"/>
      <c r="CZ954" s="567"/>
      <c r="DA954" s="567"/>
      <c r="DB954" s="567"/>
      <c r="DC954" s="567"/>
      <c r="DD954" s="567"/>
      <c r="DE954" s="567"/>
      <c r="DF954" s="567"/>
      <c r="DG954" s="567"/>
      <c r="DH954" s="567"/>
      <c r="DI954" s="567"/>
      <c r="DJ954" s="567"/>
      <c r="DK954" s="567"/>
      <c r="DL954" s="567"/>
      <c r="DM954" s="567"/>
      <c r="DN954" s="567"/>
      <c r="DO954" s="567"/>
      <c r="DP954" s="567"/>
      <c r="DQ954" s="567"/>
      <c r="DR954" s="567"/>
      <c r="DS954" s="567"/>
      <c r="DT954" s="567"/>
      <c r="DU954" s="567"/>
      <c r="DV954" s="567"/>
      <c r="DW954" s="567"/>
      <c r="DX954" s="567"/>
      <c r="DY954" s="567"/>
      <c r="DZ954" s="567"/>
      <c r="EA954" s="567"/>
      <c r="EB954" s="567"/>
      <c r="EC954" s="567"/>
      <c r="ED954" s="567"/>
      <c r="EE954" s="567"/>
      <c r="EF954" s="567"/>
      <c r="EG954" s="567"/>
      <c r="EH954" s="567"/>
      <c r="EI954" s="567"/>
      <c r="EJ954" s="567"/>
      <c r="EK954" s="567"/>
      <c r="EL954" s="567"/>
      <c r="EM954" s="567"/>
      <c r="EN954" s="567"/>
      <c r="EO954" s="567"/>
      <c r="EP954" s="567"/>
      <c r="EQ954" s="567"/>
      <c r="ER954" s="567"/>
      <c r="ES954" s="567"/>
      <c r="ET954" s="567"/>
      <c r="EU954" s="567"/>
      <c r="EV954" s="567"/>
      <c r="EW954" s="567"/>
      <c r="EX954" s="567"/>
      <c r="EY954" s="567"/>
      <c r="EZ954" s="567"/>
      <c r="FA954" s="567"/>
      <c r="FB954" s="567"/>
      <c r="FC954" s="567"/>
      <c r="FD954" s="567"/>
      <c r="FE954" s="567"/>
      <c r="FF954" s="567"/>
      <c r="FG954" s="567"/>
      <c r="FH954" s="567"/>
      <c r="FI954" s="567"/>
      <c r="FJ954" s="567"/>
      <c r="FK954" s="567"/>
      <c r="FL954" s="567"/>
      <c r="FM954" s="567"/>
      <c r="FN954" s="567"/>
      <c r="FO954" s="567"/>
      <c r="FP954" s="567"/>
      <c r="FQ954" s="567"/>
      <c r="FR954" s="567"/>
      <c r="FS954" s="567"/>
      <c r="FT954" s="567"/>
      <c r="FU954" s="567"/>
      <c r="FV954" s="567"/>
      <c r="FW954" s="567"/>
      <c r="FX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  <c r="BW955" s="567"/>
      <c r="BX955" s="567"/>
      <c r="BY955" s="567"/>
      <c r="BZ955" s="567"/>
      <c r="CA955" s="567"/>
      <c r="CB955" s="567"/>
      <c r="CC955" s="567"/>
      <c r="CD955" s="567"/>
      <c r="CE955" s="567"/>
      <c r="CF955" s="567"/>
      <c r="CG955" s="567"/>
      <c r="CH955" s="567"/>
      <c r="CI955" s="567"/>
      <c r="CJ955" s="567"/>
      <c r="CK955" s="567"/>
      <c r="CL955" s="567"/>
      <c r="CM955" s="567"/>
      <c r="CN955" s="567"/>
      <c r="CO955" s="567"/>
      <c r="CP955" s="567"/>
      <c r="CQ955" s="567"/>
      <c r="CR955" s="567"/>
      <c r="CS955" s="567"/>
      <c r="CT955" s="567"/>
      <c r="CU955" s="567"/>
      <c r="CV955" s="567"/>
      <c r="CW955" s="567"/>
      <c r="CX955" s="567"/>
      <c r="CY955" s="567"/>
      <c r="CZ955" s="567"/>
      <c r="DA955" s="567"/>
      <c r="DB955" s="567"/>
      <c r="DC955" s="567"/>
      <c r="DD955" s="567"/>
      <c r="DE955" s="567"/>
      <c r="DF955" s="567"/>
      <c r="DG955" s="567"/>
      <c r="DH955" s="567"/>
      <c r="DI955" s="567"/>
      <c r="DJ955" s="567"/>
      <c r="DK955" s="567"/>
      <c r="DL955" s="567"/>
      <c r="DM955" s="567"/>
      <c r="DN955" s="567"/>
      <c r="DO955" s="567"/>
      <c r="DP955" s="567"/>
      <c r="DQ955" s="567"/>
      <c r="DR955" s="567"/>
      <c r="DS955" s="567"/>
      <c r="DT955" s="567"/>
      <c r="DU955" s="567"/>
      <c r="DV955" s="567"/>
      <c r="DW955" s="567"/>
      <c r="DX955" s="567"/>
      <c r="DY955" s="567"/>
      <c r="DZ955" s="567"/>
      <c r="EA955" s="567"/>
      <c r="EB955" s="567"/>
      <c r="EC955" s="567"/>
      <c r="ED955" s="567"/>
      <c r="EE955" s="567"/>
      <c r="EF955" s="567"/>
      <c r="EG955" s="567"/>
      <c r="EH955" s="567"/>
      <c r="EI955" s="567"/>
      <c r="EJ955" s="567"/>
      <c r="EK955" s="567"/>
      <c r="EL955" s="567"/>
      <c r="EM955" s="567"/>
      <c r="EN955" s="567"/>
      <c r="EO955" s="567"/>
      <c r="EP955" s="567"/>
      <c r="EQ955" s="567"/>
      <c r="ER955" s="567"/>
      <c r="ES955" s="567"/>
      <c r="ET955" s="567"/>
      <c r="EU955" s="567"/>
      <c r="EV955" s="567"/>
      <c r="EW955" s="567"/>
      <c r="EX955" s="567"/>
      <c r="EY955" s="567"/>
      <c r="EZ955" s="567"/>
      <c r="FA955" s="567"/>
      <c r="FB955" s="567"/>
      <c r="FC955" s="567"/>
      <c r="FD955" s="567"/>
      <c r="FE955" s="567"/>
      <c r="FF955" s="567"/>
      <c r="FG955" s="567"/>
      <c r="FH955" s="567"/>
      <c r="FI955" s="567"/>
      <c r="FJ955" s="567"/>
      <c r="FK955" s="567"/>
      <c r="FL955" s="567"/>
      <c r="FM955" s="567"/>
      <c r="FN955" s="567"/>
      <c r="FO955" s="567"/>
      <c r="FP955" s="567"/>
      <c r="FQ955" s="567"/>
      <c r="FR955" s="567"/>
      <c r="FS955" s="567"/>
      <c r="FT955" s="567"/>
      <c r="FU955" s="567"/>
      <c r="FV955" s="567"/>
      <c r="FW955" s="567"/>
      <c r="FX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  <c r="BW956" s="567"/>
      <c r="BX956" s="567"/>
      <c r="BY956" s="567"/>
      <c r="BZ956" s="567"/>
      <c r="CA956" s="567"/>
      <c r="CB956" s="567"/>
      <c r="CC956" s="567"/>
      <c r="CD956" s="567"/>
      <c r="CE956" s="567"/>
      <c r="CF956" s="567"/>
      <c r="CG956" s="567"/>
      <c r="CH956" s="567"/>
      <c r="CI956" s="567"/>
      <c r="CJ956" s="567"/>
      <c r="CK956" s="567"/>
      <c r="CL956" s="567"/>
      <c r="CM956" s="567"/>
      <c r="CN956" s="567"/>
      <c r="CO956" s="567"/>
      <c r="CP956" s="567"/>
      <c r="CQ956" s="567"/>
      <c r="CR956" s="567"/>
      <c r="CS956" s="567"/>
      <c r="CT956" s="567"/>
      <c r="CU956" s="567"/>
      <c r="CV956" s="567"/>
      <c r="CW956" s="567"/>
      <c r="CX956" s="567"/>
      <c r="CY956" s="567"/>
      <c r="CZ956" s="567"/>
      <c r="DA956" s="567"/>
      <c r="DB956" s="567"/>
      <c r="DC956" s="567"/>
      <c r="DD956" s="567"/>
      <c r="DE956" s="567"/>
      <c r="DF956" s="567"/>
      <c r="DG956" s="567"/>
      <c r="DH956" s="567"/>
      <c r="DI956" s="567"/>
      <c r="DJ956" s="567"/>
      <c r="DK956" s="567"/>
      <c r="DL956" s="567"/>
      <c r="DM956" s="567"/>
      <c r="DN956" s="567"/>
      <c r="DO956" s="567"/>
      <c r="DP956" s="567"/>
      <c r="DQ956" s="567"/>
      <c r="DR956" s="567"/>
      <c r="DS956" s="567"/>
      <c r="DT956" s="567"/>
      <c r="DU956" s="567"/>
      <c r="DV956" s="567"/>
      <c r="DW956" s="567"/>
      <c r="DX956" s="567"/>
      <c r="DY956" s="567"/>
      <c r="DZ956" s="567"/>
      <c r="EA956" s="567"/>
      <c r="EB956" s="567"/>
      <c r="EC956" s="567"/>
      <c r="ED956" s="567"/>
      <c r="EE956" s="567"/>
      <c r="EF956" s="567"/>
      <c r="EG956" s="567"/>
      <c r="EH956" s="567"/>
      <c r="EI956" s="567"/>
      <c r="EJ956" s="567"/>
      <c r="EK956" s="567"/>
      <c r="EL956" s="567"/>
      <c r="EM956" s="567"/>
      <c r="EN956" s="567"/>
      <c r="EO956" s="567"/>
      <c r="EP956" s="567"/>
      <c r="EQ956" s="567"/>
      <c r="ER956" s="567"/>
      <c r="ES956" s="567"/>
      <c r="ET956" s="567"/>
      <c r="EU956" s="567"/>
      <c r="EV956" s="567"/>
      <c r="EW956" s="567"/>
      <c r="EX956" s="567"/>
      <c r="EY956" s="567"/>
      <c r="EZ956" s="567"/>
      <c r="FA956" s="567"/>
      <c r="FB956" s="567"/>
      <c r="FC956" s="567"/>
      <c r="FD956" s="567"/>
      <c r="FE956" s="567"/>
      <c r="FF956" s="567"/>
      <c r="FG956" s="567"/>
      <c r="FH956" s="567"/>
      <c r="FI956" s="567"/>
      <c r="FJ956" s="567"/>
      <c r="FK956" s="567"/>
      <c r="FL956" s="567"/>
      <c r="FM956" s="567"/>
      <c r="FN956" s="567"/>
      <c r="FO956" s="567"/>
      <c r="FP956" s="567"/>
      <c r="FQ956" s="567"/>
      <c r="FR956" s="567"/>
      <c r="FS956" s="567"/>
      <c r="FT956" s="567"/>
      <c r="FU956" s="567"/>
      <c r="FV956" s="567"/>
      <c r="FW956" s="567"/>
      <c r="FX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  <c r="BW957" s="567"/>
      <c r="BX957" s="567"/>
      <c r="BY957" s="567"/>
      <c r="BZ957" s="567"/>
      <c r="CA957" s="567"/>
      <c r="CB957" s="567"/>
      <c r="CC957" s="567"/>
      <c r="CD957" s="567"/>
      <c r="CE957" s="567"/>
      <c r="CF957" s="567"/>
      <c r="CG957" s="567"/>
      <c r="CH957" s="567"/>
      <c r="CI957" s="567"/>
      <c r="CJ957" s="567"/>
      <c r="CK957" s="567"/>
      <c r="CL957" s="567"/>
      <c r="CM957" s="567"/>
      <c r="CN957" s="567"/>
      <c r="CO957" s="567"/>
      <c r="CP957" s="567"/>
      <c r="CQ957" s="567"/>
      <c r="CR957" s="567"/>
      <c r="CS957" s="567"/>
      <c r="CT957" s="567"/>
      <c r="CU957" s="567"/>
      <c r="CV957" s="567"/>
      <c r="CW957" s="567"/>
      <c r="CX957" s="567"/>
      <c r="CY957" s="567"/>
      <c r="CZ957" s="567"/>
      <c r="DA957" s="567"/>
      <c r="DB957" s="567"/>
      <c r="DC957" s="567"/>
      <c r="DD957" s="567"/>
      <c r="DE957" s="567"/>
      <c r="DF957" s="567"/>
      <c r="DG957" s="567"/>
      <c r="DH957" s="567"/>
      <c r="DI957" s="567"/>
      <c r="DJ957" s="567"/>
      <c r="DK957" s="567"/>
      <c r="DL957" s="567"/>
      <c r="DM957" s="567"/>
      <c r="DN957" s="567"/>
      <c r="DO957" s="567"/>
      <c r="DP957" s="567"/>
      <c r="DQ957" s="567"/>
      <c r="DR957" s="567"/>
      <c r="DS957" s="567"/>
      <c r="DT957" s="567"/>
      <c r="DU957" s="567"/>
      <c r="DV957" s="567"/>
      <c r="DW957" s="567"/>
      <c r="DX957" s="567"/>
      <c r="DY957" s="567"/>
      <c r="DZ957" s="567"/>
      <c r="EA957" s="567"/>
      <c r="EB957" s="567"/>
      <c r="EC957" s="567"/>
      <c r="ED957" s="567"/>
      <c r="EE957" s="567"/>
      <c r="EF957" s="567"/>
      <c r="EG957" s="567"/>
      <c r="EH957" s="567"/>
      <c r="EI957" s="567"/>
      <c r="EJ957" s="567"/>
      <c r="EK957" s="567"/>
      <c r="EL957" s="567"/>
      <c r="EM957" s="567"/>
      <c r="EN957" s="567"/>
      <c r="EO957" s="567"/>
      <c r="EP957" s="567"/>
      <c r="EQ957" s="567"/>
      <c r="ER957" s="567"/>
      <c r="ES957" s="567"/>
      <c r="ET957" s="567"/>
      <c r="EU957" s="567"/>
      <c r="EV957" s="567"/>
      <c r="EW957" s="567"/>
      <c r="EX957" s="567"/>
      <c r="EY957" s="567"/>
      <c r="EZ957" s="567"/>
      <c r="FA957" s="567"/>
      <c r="FB957" s="567"/>
      <c r="FC957" s="567"/>
      <c r="FD957" s="567"/>
      <c r="FE957" s="567"/>
      <c r="FF957" s="567"/>
      <c r="FG957" s="567"/>
      <c r="FH957" s="567"/>
      <c r="FI957" s="567"/>
      <c r="FJ957" s="567"/>
      <c r="FK957" s="567"/>
      <c r="FL957" s="567"/>
      <c r="FM957" s="567"/>
      <c r="FN957" s="567"/>
      <c r="FO957" s="567"/>
      <c r="FP957" s="567"/>
      <c r="FQ957" s="567"/>
      <c r="FR957" s="567"/>
      <c r="FS957" s="567"/>
      <c r="FT957" s="567"/>
      <c r="FU957" s="567"/>
      <c r="FV957" s="567"/>
      <c r="FW957" s="567"/>
      <c r="FX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  <c r="BW958" s="567"/>
      <c r="BX958" s="567"/>
      <c r="BY958" s="567"/>
      <c r="BZ958" s="567"/>
      <c r="CA958" s="567"/>
      <c r="CB958" s="567"/>
      <c r="CC958" s="567"/>
      <c r="CD958" s="567"/>
      <c r="CE958" s="567"/>
      <c r="CF958" s="567"/>
      <c r="CG958" s="567"/>
      <c r="CH958" s="567"/>
      <c r="CI958" s="567"/>
      <c r="CJ958" s="567"/>
      <c r="CK958" s="567"/>
      <c r="CL958" s="567"/>
      <c r="CM958" s="567"/>
      <c r="CN958" s="567"/>
      <c r="CO958" s="567"/>
      <c r="CP958" s="567"/>
      <c r="CQ958" s="567"/>
      <c r="CR958" s="567"/>
      <c r="CS958" s="567"/>
      <c r="CT958" s="567"/>
      <c r="CU958" s="567"/>
      <c r="CV958" s="567"/>
      <c r="CW958" s="567"/>
      <c r="CX958" s="567"/>
      <c r="CY958" s="567"/>
      <c r="CZ958" s="567"/>
      <c r="DA958" s="567"/>
      <c r="DB958" s="567"/>
      <c r="DC958" s="567"/>
      <c r="DD958" s="567"/>
      <c r="DE958" s="567"/>
      <c r="DF958" s="567"/>
      <c r="DG958" s="567"/>
      <c r="DH958" s="567"/>
      <c r="DI958" s="567"/>
      <c r="DJ958" s="567"/>
      <c r="DK958" s="567"/>
      <c r="DL958" s="567"/>
      <c r="DM958" s="567"/>
      <c r="DN958" s="567"/>
      <c r="DO958" s="567"/>
      <c r="DP958" s="567"/>
      <c r="DQ958" s="567"/>
      <c r="DR958" s="567"/>
      <c r="DS958" s="567"/>
      <c r="DT958" s="567"/>
      <c r="DU958" s="567"/>
      <c r="DV958" s="567"/>
      <c r="DW958" s="567"/>
      <c r="DX958" s="567"/>
      <c r="DY958" s="567"/>
      <c r="DZ958" s="567"/>
      <c r="EA958" s="567"/>
      <c r="EB958" s="567"/>
      <c r="EC958" s="567"/>
      <c r="ED958" s="567"/>
      <c r="EE958" s="567"/>
      <c r="EF958" s="567"/>
      <c r="EG958" s="567"/>
      <c r="EH958" s="567"/>
      <c r="EI958" s="567"/>
      <c r="EJ958" s="567"/>
      <c r="EK958" s="567"/>
      <c r="EL958" s="567"/>
      <c r="EM958" s="567"/>
      <c r="EN958" s="567"/>
      <c r="EO958" s="567"/>
      <c r="EP958" s="567"/>
      <c r="EQ958" s="567"/>
      <c r="ER958" s="567"/>
      <c r="ES958" s="567"/>
      <c r="ET958" s="567"/>
      <c r="EU958" s="567"/>
      <c r="EV958" s="567"/>
      <c r="EW958" s="567"/>
      <c r="EX958" s="567"/>
      <c r="EY958" s="567"/>
      <c r="EZ958" s="567"/>
      <c r="FA958" s="567"/>
      <c r="FB958" s="567"/>
      <c r="FC958" s="567"/>
      <c r="FD958" s="567"/>
      <c r="FE958" s="567"/>
      <c r="FF958" s="567"/>
      <c r="FG958" s="567"/>
      <c r="FH958" s="567"/>
      <c r="FI958" s="567"/>
      <c r="FJ958" s="567"/>
      <c r="FK958" s="567"/>
      <c r="FL958" s="567"/>
      <c r="FM958" s="567"/>
      <c r="FN958" s="567"/>
      <c r="FO958" s="567"/>
      <c r="FP958" s="567"/>
      <c r="FQ958" s="567"/>
      <c r="FR958" s="567"/>
      <c r="FS958" s="567"/>
      <c r="FT958" s="567"/>
      <c r="FU958" s="567"/>
      <c r="FV958" s="567"/>
      <c r="FW958" s="567"/>
      <c r="FX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  <c r="BW959" s="567"/>
      <c r="BX959" s="567"/>
      <c r="BY959" s="567"/>
      <c r="BZ959" s="567"/>
      <c r="CA959" s="567"/>
      <c r="CB959" s="567"/>
      <c r="CC959" s="567"/>
      <c r="CD959" s="567"/>
      <c r="CE959" s="567"/>
      <c r="CF959" s="567"/>
      <c r="CG959" s="567"/>
      <c r="CH959" s="567"/>
      <c r="CI959" s="567"/>
      <c r="CJ959" s="567"/>
      <c r="CK959" s="567"/>
      <c r="CL959" s="567"/>
      <c r="CM959" s="567"/>
      <c r="CN959" s="567"/>
      <c r="CO959" s="567"/>
      <c r="CP959" s="567"/>
      <c r="CQ959" s="567"/>
      <c r="CR959" s="567"/>
      <c r="CS959" s="567"/>
      <c r="CT959" s="567"/>
      <c r="CU959" s="567"/>
      <c r="CV959" s="567"/>
      <c r="CW959" s="567"/>
      <c r="CX959" s="567"/>
      <c r="CY959" s="567"/>
      <c r="CZ959" s="567"/>
      <c r="DA959" s="567"/>
      <c r="DB959" s="567"/>
      <c r="DC959" s="567"/>
      <c r="DD959" s="567"/>
      <c r="DE959" s="567"/>
      <c r="DF959" s="567"/>
      <c r="DG959" s="567"/>
      <c r="DH959" s="567"/>
      <c r="DI959" s="567"/>
      <c r="DJ959" s="567"/>
      <c r="DK959" s="567"/>
      <c r="DL959" s="567"/>
      <c r="DM959" s="567"/>
      <c r="DN959" s="567"/>
      <c r="DO959" s="567"/>
      <c r="DP959" s="567"/>
      <c r="DQ959" s="567"/>
      <c r="DR959" s="567"/>
      <c r="DS959" s="567"/>
      <c r="DT959" s="567"/>
      <c r="DU959" s="567"/>
      <c r="DV959" s="567"/>
      <c r="DW959" s="567"/>
      <c r="DX959" s="567"/>
      <c r="DY959" s="567"/>
      <c r="DZ959" s="567"/>
      <c r="EA959" s="567"/>
      <c r="EB959" s="567"/>
      <c r="EC959" s="567"/>
      <c r="ED959" s="567"/>
      <c r="EE959" s="567"/>
      <c r="EF959" s="567"/>
      <c r="EG959" s="567"/>
      <c r="EH959" s="567"/>
      <c r="EI959" s="567"/>
      <c r="EJ959" s="567"/>
      <c r="EK959" s="567"/>
      <c r="EL959" s="567"/>
      <c r="EM959" s="567"/>
      <c r="EN959" s="567"/>
      <c r="EO959" s="567"/>
      <c r="EP959" s="567"/>
      <c r="EQ959" s="567"/>
      <c r="ER959" s="567"/>
      <c r="ES959" s="567"/>
      <c r="ET959" s="567"/>
      <c r="EU959" s="567"/>
      <c r="EV959" s="567"/>
      <c r="EW959" s="567"/>
      <c r="EX959" s="567"/>
      <c r="EY959" s="567"/>
      <c r="EZ959" s="567"/>
      <c r="FA959" s="567"/>
      <c r="FB959" s="567"/>
      <c r="FC959" s="567"/>
      <c r="FD959" s="567"/>
      <c r="FE959" s="567"/>
      <c r="FF959" s="567"/>
      <c r="FG959" s="567"/>
      <c r="FH959" s="567"/>
      <c r="FI959" s="567"/>
      <c r="FJ959" s="567"/>
      <c r="FK959" s="567"/>
      <c r="FL959" s="567"/>
      <c r="FM959" s="567"/>
      <c r="FN959" s="567"/>
      <c r="FO959" s="567"/>
      <c r="FP959" s="567"/>
      <c r="FQ959" s="567"/>
      <c r="FR959" s="567"/>
      <c r="FS959" s="567"/>
      <c r="FT959" s="567"/>
      <c r="FU959" s="567"/>
      <c r="FV959" s="567"/>
      <c r="FW959" s="567"/>
      <c r="FX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  <c r="BW960" s="567"/>
      <c r="BX960" s="567"/>
      <c r="BY960" s="567"/>
      <c r="BZ960" s="567"/>
      <c r="CA960" s="567"/>
      <c r="CB960" s="567"/>
      <c r="CC960" s="567"/>
      <c r="CD960" s="567"/>
      <c r="CE960" s="567"/>
      <c r="CF960" s="567"/>
      <c r="CG960" s="567"/>
      <c r="CH960" s="567"/>
      <c r="CI960" s="567"/>
      <c r="CJ960" s="567"/>
      <c r="CK960" s="567"/>
      <c r="CL960" s="567"/>
      <c r="CM960" s="567"/>
      <c r="CN960" s="567"/>
      <c r="CO960" s="567"/>
      <c r="CP960" s="567"/>
      <c r="CQ960" s="567"/>
      <c r="CR960" s="567"/>
      <c r="CS960" s="567"/>
      <c r="CT960" s="567"/>
      <c r="CU960" s="567"/>
      <c r="CV960" s="567"/>
      <c r="CW960" s="567"/>
      <c r="CX960" s="567"/>
      <c r="CY960" s="567"/>
      <c r="CZ960" s="567"/>
      <c r="DA960" s="567"/>
      <c r="DB960" s="567"/>
      <c r="DC960" s="567"/>
      <c r="DD960" s="567"/>
      <c r="DE960" s="567"/>
      <c r="DF960" s="567"/>
      <c r="DG960" s="567"/>
      <c r="DH960" s="567"/>
      <c r="DI960" s="567"/>
      <c r="DJ960" s="567"/>
      <c r="DK960" s="567"/>
      <c r="DL960" s="567"/>
      <c r="DM960" s="567"/>
      <c r="DN960" s="567"/>
      <c r="DO960" s="567"/>
      <c r="DP960" s="567"/>
      <c r="DQ960" s="567"/>
      <c r="DR960" s="567"/>
      <c r="DS960" s="567"/>
      <c r="DT960" s="567"/>
      <c r="DU960" s="567"/>
      <c r="DV960" s="567"/>
      <c r="DW960" s="567"/>
      <c r="DX960" s="567"/>
      <c r="DY960" s="567"/>
      <c r="DZ960" s="567"/>
      <c r="EA960" s="567"/>
      <c r="EB960" s="567"/>
      <c r="EC960" s="567"/>
      <c r="ED960" s="567"/>
      <c r="EE960" s="567"/>
      <c r="EF960" s="567"/>
      <c r="EG960" s="567"/>
      <c r="EH960" s="567"/>
      <c r="EI960" s="567"/>
      <c r="EJ960" s="567"/>
      <c r="EK960" s="567"/>
      <c r="EL960" s="567"/>
      <c r="EM960" s="567"/>
      <c r="EN960" s="567"/>
      <c r="EO960" s="567"/>
      <c r="EP960" s="567"/>
      <c r="EQ960" s="567"/>
      <c r="ER960" s="567"/>
      <c r="ES960" s="567"/>
      <c r="ET960" s="567"/>
      <c r="EU960" s="567"/>
      <c r="EV960" s="567"/>
      <c r="EW960" s="567"/>
      <c r="EX960" s="567"/>
      <c r="EY960" s="567"/>
      <c r="EZ960" s="567"/>
      <c r="FA960" s="567"/>
      <c r="FB960" s="567"/>
      <c r="FC960" s="567"/>
      <c r="FD960" s="567"/>
      <c r="FE960" s="567"/>
      <c r="FF960" s="567"/>
      <c r="FG960" s="567"/>
      <c r="FH960" s="567"/>
      <c r="FI960" s="567"/>
      <c r="FJ960" s="567"/>
      <c r="FK960" s="567"/>
      <c r="FL960" s="567"/>
      <c r="FM960" s="567"/>
      <c r="FN960" s="567"/>
      <c r="FO960" s="567"/>
      <c r="FP960" s="567"/>
      <c r="FQ960" s="567"/>
      <c r="FR960" s="567"/>
      <c r="FS960" s="567"/>
      <c r="FT960" s="567"/>
      <c r="FU960" s="567"/>
      <c r="FV960" s="567"/>
      <c r="FW960" s="567"/>
      <c r="FX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  <c r="BW961" s="567"/>
      <c r="BX961" s="567"/>
      <c r="BY961" s="567"/>
      <c r="BZ961" s="567"/>
      <c r="CA961" s="567"/>
      <c r="CB961" s="567"/>
      <c r="CC961" s="567"/>
      <c r="CD961" s="567"/>
      <c r="CE961" s="567"/>
      <c r="CF961" s="567"/>
      <c r="CG961" s="567"/>
      <c r="CH961" s="567"/>
      <c r="CI961" s="567"/>
      <c r="CJ961" s="567"/>
      <c r="CK961" s="567"/>
      <c r="CL961" s="567"/>
      <c r="CM961" s="567"/>
      <c r="CN961" s="567"/>
      <c r="CO961" s="567"/>
      <c r="CP961" s="567"/>
      <c r="CQ961" s="567"/>
      <c r="CR961" s="567"/>
      <c r="CS961" s="567"/>
      <c r="CT961" s="567"/>
      <c r="CU961" s="567"/>
      <c r="CV961" s="567"/>
      <c r="CW961" s="567"/>
      <c r="CX961" s="567"/>
      <c r="CY961" s="567"/>
      <c r="CZ961" s="567"/>
      <c r="DA961" s="567"/>
      <c r="DB961" s="567"/>
      <c r="DC961" s="567"/>
      <c r="DD961" s="567"/>
      <c r="DE961" s="567"/>
      <c r="DF961" s="567"/>
      <c r="DG961" s="567"/>
      <c r="DH961" s="567"/>
      <c r="DI961" s="567"/>
      <c r="DJ961" s="567"/>
      <c r="DK961" s="567"/>
      <c r="DL961" s="567"/>
      <c r="DM961" s="567"/>
      <c r="DN961" s="567"/>
      <c r="DO961" s="567"/>
      <c r="DP961" s="567"/>
      <c r="DQ961" s="567"/>
      <c r="DR961" s="567"/>
      <c r="DS961" s="567"/>
      <c r="DT961" s="567"/>
      <c r="DU961" s="567"/>
      <c r="DV961" s="567"/>
      <c r="DW961" s="567"/>
      <c r="DX961" s="567"/>
      <c r="DY961" s="567"/>
      <c r="DZ961" s="567"/>
      <c r="EA961" s="567"/>
      <c r="EB961" s="567"/>
      <c r="EC961" s="567"/>
      <c r="ED961" s="567"/>
      <c r="EE961" s="567"/>
      <c r="EF961" s="567"/>
      <c r="EG961" s="567"/>
      <c r="EH961" s="567"/>
      <c r="EI961" s="567"/>
      <c r="EJ961" s="567"/>
      <c r="EK961" s="567"/>
      <c r="EL961" s="567"/>
      <c r="EM961" s="567"/>
      <c r="EN961" s="567"/>
      <c r="EO961" s="567"/>
      <c r="EP961" s="567"/>
      <c r="EQ961" s="567"/>
      <c r="ER961" s="567"/>
      <c r="ES961" s="567"/>
      <c r="ET961" s="567"/>
      <c r="EU961" s="567"/>
      <c r="EV961" s="567"/>
      <c r="EW961" s="567"/>
      <c r="EX961" s="567"/>
      <c r="EY961" s="567"/>
      <c r="EZ961" s="567"/>
      <c r="FA961" s="567"/>
      <c r="FB961" s="567"/>
      <c r="FC961" s="567"/>
      <c r="FD961" s="567"/>
      <c r="FE961" s="567"/>
      <c r="FF961" s="567"/>
      <c r="FG961" s="567"/>
      <c r="FH961" s="567"/>
      <c r="FI961" s="567"/>
      <c r="FJ961" s="567"/>
      <c r="FK961" s="567"/>
      <c r="FL961" s="567"/>
      <c r="FM961" s="567"/>
      <c r="FN961" s="567"/>
      <c r="FO961" s="567"/>
      <c r="FP961" s="567"/>
      <c r="FQ961" s="567"/>
      <c r="FR961" s="567"/>
      <c r="FS961" s="567"/>
      <c r="FT961" s="567"/>
      <c r="FU961" s="567"/>
      <c r="FV961" s="567"/>
      <c r="FW961" s="567"/>
      <c r="FX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  <c r="BW962" s="567"/>
      <c r="BX962" s="567"/>
      <c r="BY962" s="567"/>
      <c r="BZ962" s="567"/>
      <c r="CA962" s="567"/>
      <c r="CB962" s="567"/>
      <c r="CC962" s="567"/>
      <c r="CD962" s="567"/>
      <c r="CE962" s="567"/>
      <c r="CF962" s="567"/>
      <c r="CG962" s="567"/>
      <c r="CH962" s="567"/>
      <c r="CI962" s="567"/>
      <c r="CJ962" s="567"/>
      <c r="CK962" s="567"/>
      <c r="CL962" s="567"/>
      <c r="CM962" s="567"/>
      <c r="CN962" s="567"/>
      <c r="CO962" s="567"/>
      <c r="CP962" s="567"/>
      <c r="CQ962" s="567"/>
      <c r="CR962" s="567"/>
      <c r="CS962" s="567"/>
      <c r="CT962" s="567"/>
      <c r="CU962" s="567"/>
      <c r="CV962" s="567"/>
      <c r="CW962" s="567"/>
      <c r="CX962" s="567"/>
      <c r="CY962" s="567"/>
      <c r="CZ962" s="567"/>
      <c r="DA962" s="567"/>
      <c r="DB962" s="567"/>
      <c r="DC962" s="567"/>
      <c r="DD962" s="567"/>
      <c r="DE962" s="567"/>
      <c r="DF962" s="567"/>
      <c r="DG962" s="567"/>
      <c r="DH962" s="567"/>
      <c r="DI962" s="567"/>
      <c r="DJ962" s="567"/>
      <c r="DK962" s="567"/>
      <c r="DL962" s="567"/>
      <c r="DM962" s="567"/>
      <c r="DN962" s="567"/>
      <c r="DO962" s="567"/>
      <c r="DP962" s="567"/>
      <c r="DQ962" s="567"/>
      <c r="DR962" s="567"/>
      <c r="DS962" s="567"/>
      <c r="DT962" s="567"/>
      <c r="DU962" s="567"/>
      <c r="DV962" s="567"/>
      <c r="DW962" s="567"/>
      <c r="DX962" s="567"/>
      <c r="DY962" s="567"/>
      <c r="DZ962" s="567"/>
      <c r="EA962" s="567"/>
      <c r="EB962" s="567"/>
      <c r="EC962" s="567"/>
      <c r="ED962" s="567"/>
      <c r="EE962" s="567"/>
      <c r="EF962" s="567"/>
      <c r="EG962" s="567"/>
      <c r="EH962" s="567"/>
      <c r="EI962" s="567"/>
      <c r="EJ962" s="567"/>
      <c r="EK962" s="567"/>
      <c r="EL962" s="567"/>
      <c r="EM962" s="567"/>
      <c r="EN962" s="567"/>
      <c r="EO962" s="567"/>
      <c r="EP962" s="567"/>
      <c r="EQ962" s="567"/>
      <c r="ER962" s="567"/>
      <c r="ES962" s="567"/>
      <c r="ET962" s="567"/>
      <c r="EU962" s="567"/>
      <c r="EV962" s="567"/>
      <c r="EW962" s="567"/>
      <c r="EX962" s="567"/>
      <c r="EY962" s="567"/>
      <c r="EZ962" s="567"/>
      <c r="FA962" s="567"/>
      <c r="FB962" s="567"/>
      <c r="FC962" s="567"/>
      <c r="FD962" s="567"/>
      <c r="FE962" s="567"/>
      <c r="FF962" s="567"/>
      <c r="FG962" s="567"/>
      <c r="FH962" s="567"/>
      <c r="FI962" s="567"/>
      <c r="FJ962" s="567"/>
      <c r="FK962" s="567"/>
      <c r="FL962" s="567"/>
      <c r="FM962" s="567"/>
      <c r="FN962" s="567"/>
      <c r="FO962" s="567"/>
      <c r="FP962" s="567"/>
      <c r="FQ962" s="567"/>
      <c r="FR962" s="567"/>
      <c r="FS962" s="567"/>
      <c r="FT962" s="567"/>
      <c r="FU962" s="567"/>
      <c r="FV962" s="567"/>
      <c r="FW962" s="567"/>
      <c r="FX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  <c r="BW963" s="567"/>
      <c r="BX963" s="567"/>
      <c r="BY963" s="567"/>
      <c r="BZ963" s="567"/>
      <c r="CA963" s="567"/>
      <c r="CB963" s="567"/>
      <c r="CC963" s="567"/>
      <c r="CD963" s="567"/>
      <c r="CE963" s="567"/>
      <c r="CF963" s="567"/>
      <c r="CG963" s="567"/>
      <c r="CH963" s="567"/>
      <c r="CI963" s="567"/>
      <c r="CJ963" s="567"/>
      <c r="CK963" s="567"/>
      <c r="CL963" s="567"/>
      <c r="CM963" s="567"/>
      <c r="CN963" s="567"/>
      <c r="CO963" s="567"/>
      <c r="CP963" s="567"/>
      <c r="CQ963" s="567"/>
      <c r="CR963" s="567"/>
      <c r="CS963" s="567"/>
      <c r="CT963" s="567"/>
      <c r="CU963" s="567"/>
      <c r="CV963" s="567"/>
      <c r="CW963" s="567"/>
      <c r="CX963" s="567"/>
      <c r="CY963" s="567"/>
      <c r="CZ963" s="567"/>
      <c r="DA963" s="567"/>
      <c r="DB963" s="567"/>
      <c r="DC963" s="567"/>
      <c r="DD963" s="567"/>
      <c r="DE963" s="567"/>
      <c r="DF963" s="567"/>
      <c r="DG963" s="567"/>
      <c r="DH963" s="567"/>
      <c r="DI963" s="567"/>
      <c r="DJ963" s="567"/>
      <c r="DK963" s="567"/>
      <c r="DL963" s="567"/>
      <c r="DM963" s="567"/>
      <c r="DN963" s="567"/>
      <c r="DO963" s="567"/>
      <c r="DP963" s="567"/>
      <c r="DQ963" s="567"/>
      <c r="DR963" s="567"/>
      <c r="DS963" s="567"/>
      <c r="DT963" s="567"/>
      <c r="DU963" s="567"/>
      <c r="DV963" s="567"/>
      <c r="DW963" s="567"/>
      <c r="DX963" s="567"/>
      <c r="DY963" s="567"/>
      <c r="DZ963" s="567"/>
      <c r="EA963" s="567"/>
      <c r="EB963" s="567"/>
      <c r="EC963" s="567"/>
      <c r="ED963" s="567"/>
      <c r="EE963" s="567"/>
      <c r="EF963" s="567"/>
      <c r="EG963" s="567"/>
      <c r="EH963" s="567"/>
      <c r="EI963" s="567"/>
      <c r="EJ963" s="567"/>
      <c r="EK963" s="567"/>
      <c r="EL963" s="567"/>
      <c r="EM963" s="567"/>
      <c r="EN963" s="567"/>
      <c r="EO963" s="567"/>
      <c r="EP963" s="567"/>
      <c r="EQ963" s="567"/>
      <c r="ER963" s="567"/>
      <c r="ES963" s="567"/>
      <c r="ET963" s="567"/>
      <c r="EU963" s="567"/>
      <c r="EV963" s="567"/>
      <c r="EW963" s="567"/>
      <c r="EX963" s="567"/>
      <c r="EY963" s="567"/>
      <c r="EZ963" s="567"/>
      <c r="FA963" s="567"/>
      <c r="FB963" s="567"/>
      <c r="FC963" s="567"/>
      <c r="FD963" s="567"/>
      <c r="FE963" s="567"/>
      <c r="FF963" s="567"/>
      <c r="FG963" s="567"/>
      <c r="FH963" s="567"/>
      <c r="FI963" s="567"/>
      <c r="FJ963" s="567"/>
      <c r="FK963" s="567"/>
      <c r="FL963" s="567"/>
      <c r="FM963" s="567"/>
      <c r="FN963" s="567"/>
      <c r="FO963" s="567"/>
      <c r="FP963" s="567"/>
      <c r="FQ963" s="567"/>
      <c r="FR963" s="567"/>
      <c r="FS963" s="567"/>
      <c r="FT963" s="567"/>
      <c r="FU963" s="567"/>
      <c r="FV963" s="567"/>
      <c r="FW963" s="567"/>
      <c r="FX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  <c r="BW964" s="567"/>
      <c r="BX964" s="567"/>
      <c r="BY964" s="567"/>
      <c r="BZ964" s="567"/>
      <c r="CA964" s="567"/>
      <c r="CB964" s="567"/>
      <c r="CC964" s="567"/>
      <c r="CD964" s="567"/>
      <c r="CE964" s="567"/>
      <c r="CF964" s="567"/>
      <c r="CG964" s="567"/>
      <c r="CH964" s="567"/>
      <c r="CI964" s="567"/>
      <c r="CJ964" s="567"/>
      <c r="CK964" s="567"/>
      <c r="CL964" s="567"/>
      <c r="CM964" s="567"/>
      <c r="CN964" s="567"/>
      <c r="CO964" s="567"/>
      <c r="CP964" s="567"/>
      <c r="CQ964" s="567"/>
      <c r="CR964" s="567"/>
      <c r="CS964" s="567"/>
      <c r="CT964" s="567"/>
      <c r="CU964" s="567"/>
      <c r="CV964" s="567"/>
      <c r="CW964" s="567"/>
      <c r="CX964" s="567"/>
      <c r="CY964" s="567"/>
      <c r="CZ964" s="567"/>
      <c r="DA964" s="567"/>
      <c r="DB964" s="567"/>
      <c r="DC964" s="567"/>
      <c r="DD964" s="567"/>
      <c r="DE964" s="567"/>
      <c r="DF964" s="567"/>
      <c r="DG964" s="567"/>
      <c r="DH964" s="567"/>
      <c r="DI964" s="567"/>
      <c r="DJ964" s="567"/>
      <c r="DK964" s="567"/>
      <c r="DL964" s="567"/>
      <c r="DM964" s="567"/>
      <c r="DN964" s="567"/>
      <c r="DO964" s="567"/>
      <c r="DP964" s="567"/>
      <c r="DQ964" s="567"/>
      <c r="DR964" s="567"/>
      <c r="DS964" s="567"/>
      <c r="DT964" s="567"/>
      <c r="DU964" s="567"/>
      <c r="DV964" s="567"/>
      <c r="DW964" s="567"/>
      <c r="DX964" s="567"/>
      <c r="DY964" s="567"/>
      <c r="DZ964" s="567"/>
      <c r="EA964" s="567"/>
      <c r="EB964" s="567"/>
      <c r="EC964" s="567"/>
      <c r="ED964" s="567"/>
      <c r="EE964" s="567"/>
      <c r="EF964" s="567"/>
      <c r="EG964" s="567"/>
      <c r="EH964" s="567"/>
      <c r="EI964" s="567"/>
      <c r="EJ964" s="567"/>
      <c r="EK964" s="567"/>
      <c r="EL964" s="567"/>
      <c r="EM964" s="567"/>
      <c r="EN964" s="567"/>
      <c r="EO964" s="567"/>
      <c r="EP964" s="567"/>
      <c r="EQ964" s="567"/>
      <c r="ER964" s="567"/>
      <c r="ES964" s="567"/>
      <c r="ET964" s="567"/>
      <c r="EU964" s="567"/>
      <c r="EV964" s="567"/>
      <c r="EW964" s="567"/>
      <c r="EX964" s="567"/>
      <c r="EY964" s="567"/>
      <c r="EZ964" s="567"/>
      <c r="FA964" s="567"/>
      <c r="FB964" s="567"/>
      <c r="FC964" s="567"/>
      <c r="FD964" s="567"/>
      <c r="FE964" s="567"/>
      <c r="FF964" s="567"/>
      <c r="FG964" s="567"/>
      <c r="FH964" s="567"/>
      <c r="FI964" s="567"/>
      <c r="FJ964" s="567"/>
      <c r="FK964" s="567"/>
      <c r="FL964" s="567"/>
      <c r="FM964" s="567"/>
      <c r="FN964" s="567"/>
      <c r="FO964" s="567"/>
      <c r="FP964" s="567"/>
      <c r="FQ964" s="567"/>
      <c r="FR964" s="567"/>
      <c r="FS964" s="567"/>
      <c r="FT964" s="567"/>
      <c r="FU964" s="567"/>
      <c r="FV964" s="567"/>
      <c r="FW964" s="567"/>
      <c r="FX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  <c r="BW965" s="567"/>
      <c r="BX965" s="567"/>
      <c r="BY965" s="567"/>
      <c r="BZ965" s="567"/>
      <c r="CA965" s="567"/>
      <c r="CB965" s="567"/>
      <c r="CC965" s="567"/>
      <c r="CD965" s="567"/>
      <c r="CE965" s="567"/>
      <c r="CF965" s="567"/>
      <c r="CG965" s="567"/>
      <c r="CH965" s="567"/>
      <c r="CI965" s="567"/>
      <c r="CJ965" s="567"/>
      <c r="CK965" s="567"/>
      <c r="CL965" s="567"/>
      <c r="CM965" s="567"/>
      <c r="CN965" s="567"/>
      <c r="CO965" s="567"/>
      <c r="CP965" s="567"/>
      <c r="CQ965" s="567"/>
      <c r="CR965" s="567"/>
      <c r="CS965" s="567"/>
      <c r="CT965" s="567"/>
      <c r="CU965" s="567"/>
      <c r="CV965" s="567"/>
      <c r="CW965" s="567"/>
      <c r="CX965" s="567"/>
      <c r="CY965" s="567"/>
      <c r="CZ965" s="567"/>
      <c r="DA965" s="567"/>
      <c r="DB965" s="567"/>
      <c r="DC965" s="567"/>
      <c r="DD965" s="567"/>
      <c r="DE965" s="567"/>
      <c r="DF965" s="567"/>
      <c r="DG965" s="567"/>
      <c r="DH965" s="567"/>
      <c r="DI965" s="567"/>
      <c r="DJ965" s="567"/>
      <c r="DK965" s="567"/>
      <c r="DL965" s="567"/>
      <c r="DM965" s="567"/>
      <c r="DN965" s="567"/>
      <c r="DO965" s="567"/>
      <c r="DP965" s="567"/>
      <c r="DQ965" s="567"/>
      <c r="DR965" s="567"/>
      <c r="DS965" s="567"/>
      <c r="DT965" s="567"/>
      <c r="DU965" s="567"/>
      <c r="DV965" s="567"/>
      <c r="DW965" s="567"/>
      <c r="DX965" s="567"/>
      <c r="DY965" s="567"/>
      <c r="DZ965" s="567"/>
      <c r="EA965" s="567"/>
      <c r="EB965" s="567"/>
      <c r="EC965" s="567"/>
      <c r="ED965" s="567"/>
      <c r="EE965" s="567"/>
      <c r="EF965" s="567"/>
      <c r="EG965" s="567"/>
      <c r="EH965" s="567"/>
      <c r="EI965" s="567"/>
      <c r="EJ965" s="567"/>
      <c r="EK965" s="567"/>
      <c r="EL965" s="567"/>
      <c r="EM965" s="567"/>
      <c r="EN965" s="567"/>
      <c r="EO965" s="567"/>
      <c r="EP965" s="567"/>
      <c r="EQ965" s="567"/>
      <c r="ER965" s="567"/>
      <c r="ES965" s="567"/>
      <c r="ET965" s="567"/>
      <c r="EU965" s="567"/>
      <c r="EV965" s="567"/>
      <c r="EW965" s="567"/>
      <c r="EX965" s="567"/>
      <c r="EY965" s="567"/>
      <c r="EZ965" s="567"/>
      <c r="FA965" s="567"/>
      <c r="FB965" s="567"/>
      <c r="FC965" s="567"/>
      <c r="FD965" s="567"/>
      <c r="FE965" s="567"/>
      <c r="FF965" s="567"/>
      <c r="FG965" s="567"/>
      <c r="FH965" s="567"/>
      <c r="FI965" s="567"/>
      <c r="FJ965" s="567"/>
      <c r="FK965" s="567"/>
      <c r="FL965" s="567"/>
      <c r="FM965" s="567"/>
      <c r="FN965" s="567"/>
      <c r="FO965" s="567"/>
      <c r="FP965" s="567"/>
      <c r="FQ965" s="567"/>
      <c r="FR965" s="567"/>
      <c r="FS965" s="567"/>
      <c r="FT965" s="567"/>
      <c r="FU965" s="567"/>
      <c r="FV965" s="567"/>
      <c r="FW965" s="567"/>
      <c r="FX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  <c r="BW966" s="567"/>
      <c r="BX966" s="567"/>
      <c r="BY966" s="567"/>
      <c r="BZ966" s="567"/>
      <c r="CA966" s="567"/>
      <c r="CB966" s="567"/>
      <c r="CC966" s="567"/>
      <c r="CD966" s="567"/>
      <c r="CE966" s="567"/>
      <c r="CF966" s="567"/>
      <c r="CG966" s="567"/>
      <c r="CH966" s="567"/>
      <c r="CI966" s="567"/>
      <c r="CJ966" s="567"/>
      <c r="CK966" s="567"/>
      <c r="CL966" s="567"/>
      <c r="CM966" s="567"/>
      <c r="CN966" s="567"/>
      <c r="CO966" s="567"/>
      <c r="CP966" s="567"/>
      <c r="CQ966" s="567"/>
      <c r="CR966" s="567"/>
      <c r="CS966" s="567"/>
      <c r="CT966" s="567"/>
      <c r="CU966" s="567"/>
      <c r="CV966" s="567"/>
      <c r="CW966" s="567"/>
      <c r="CX966" s="567"/>
      <c r="CY966" s="567"/>
      <c r="CZ966" s="567"/>
      <c r="DA966" s="567"/>
      <c r="DB966" s="567"/>
      <c r="DC966" s="567"/>
      <c r="DD966" s="567"/>
      <c r="DE966" s="567"/>
      <c r="DF966" s="567"/>
      <c r="DG966" s="567"/>
      <c r="DH966" s="567"/>
      <c r="DI966" s="567"/>
      <c r="DJ966" s="567"/>
      <c r="DK966" s="567"/>
      <c r="DL966" s="567"/>
      <c r="DM966" s="567"/>
      <c r="DN966" s="567"/>
      <c r="DO966" s="567"/>
      <c r="DP966" s="567"/>
      <c r="DQ966" s="567"/>
      <c r="DR966" s="567"/>
      <c r="DS966" s="567"/>
      <c r="DT966" s="567"/>
      <c r="DU966" s="567"/>
      <c r="DV966" s="567"/>
      <c r="DW966" s="567"/>
      <c r="DX966" s="567"/>
      <c r="DY966" s="567"/>
      <c r="DZ966" s="567"/>
      <c r="EA966" s="567"/>
      <c r="EB966" s="567"/>
      <c r="EC966" s="567"/>
      <c r="ED966" s="567"/>
      <c r="EE966" s="567"/>
      <c r="EF966" s="567"/>
      <c r="EG966" s="567"/>
      <c r="EH966" s="567"/>
      <c r="EI966" s="567"/>
      <c r="EJ966" s="567"/>
      <c r="EK966" s="567"/>
      <c r="EL966" s="567"/>
      <c r="EM966" s="567"/>
      <c r="EN966" s="567"/>
      <c r="EO966" s="567"/>
      <c r="EP966" s="567"/>
      <c r="EQ966" s="567"/>
      <c r="ER966" s="567"/>
      <c r="ES966" s="567"/>
      <c r="ET966" s="567"/>
      <c r="EU966" s="567"/>
      <c r="EV966" s="567"/>
      <c r="EW966" s="567"/>
      <c r="EX966" s="567"/>
      <c r="EY966" s="567"/>
      <c r="EZ966" s="567"/>
      <c r="FA966" s="567"/>
      <c r="FB966" s="567"/>
      <c r="FC966" s="567"/>
      <c r="FD966" s="567"/>
      <c r="FE966" s="567"/>
      <c r="FF966" s="567"/>
      <c r="FG966" s="567"/>
      <c r="FH966" s="567"/>
      <c r="FI966" s="567"/>
      <c r="FJ966" s="567"/>
      <c r="FK966" s="567"/>
      <c r="FL966" s="567"/>
      <c r="FM966" s="567"/>
      <c r="FN966" s="567"/>
      <c r="FO966" s="567"/>
      <c r="FP966" s="567"/>
      <c r="FQ966" s="567"/>
      <c r="FR966" s="567"/>
      <c r="FS966" s="567"/>
      <c r="FT966" s="567"/>
      <c r="FU966" s="567"/>
      <c r="FV966" s="567"/>
      <c r="FW966" s="567"/>
      <c r="FX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  <c r="BW967" s="567"/>
      <c r="BX967" s="567"/>
      <c r="BY967" s="567"/>
      <c r="BZ967" s="567"/>
      <c r="CA967" s="567"/>
      <c r="CB967" s="567"/>
      <c r="CC967" s="567"/>
      <c r="CD967" s="567"/>
      <c r="CE967" s="567"/>
      <c r="CF967" s="567"/>
      <c r="CG967" s="567"/>
      <c r="CH967" s="567"/>
      <c r="CI967" s="567"/>
      <c r="CJ967" s="567"/>
      <c r="CK967" s="567"/>
      <c r="CL967" s="567"/>
      <c r="CM967" s="567"/>
      <c r="CN967" s="567"/>
      <c r="CO967" s="567"/>
      <c r="CP967" s="567"/>
      <c r="CQ967" s="567"/>
      <c r="CR967" s="567"/>
      <c r="CS967" s="567"/>
      <c r="CT967" s="567"/>
      <c r="CU967" s="567"/>
      <c r="CV967" s="567"/>
      <c r="CW967" s="567"/>
      <c r="CX967" s="567"/>
      <c r="CY967" s="567"/>
      <c r="CZ967" s="567"/>
      <c r="DA967" s="567"/>
      <c r="DB967" s="567"/>
      <c r="DC967" s="567"/>
      <c r="DD967" s="567"/>
      <c r="DE967" s="567"/>
      <c r="DF967" s="567"/>
      <c r="DG967" s="567"/>
      <c r="DH967" s="567"/>
      <c r="DI967" s="567"/>
      <c r="DJ967" s="567"/>
      <c r="DK967" s="567"/>
      <c r="DL967" s="567"/>
      <c r="DM967" s="567"/>
      <c r="DN967" s="567"/>
      <c r="DO967" s="567"/>
      <c r="DP967" s="567"/>
      <c r="DQ967" s="567"/>
      <c r="DR967" s="567"/>
      <c r="DS967" s="567"/>
      <c r="DT967" s="567"/>
      <c r="DU967" s="567"/>
      <c r="DV967" s="567"/>
      <c r="DW967" s="567"/>
      <c r="DX967" s="567"/>
      <c r="DY967" s="567"/>
      <c r="DZ967" s="567"/>
      <c r="EA967" s="567"/>
      <c r="EB967" s="567"/>
      <c r="EC967" s="567"/>
      <c r="ED967" s="567"/>
      <c r="EE967" s="567"/>
      <c r="EF967" s="567"/>
      <c r="EG967" s="567"/>
      <c r="EH967" s="567"/>
      <c r="EI967" s="567"/>
      <c r="EJ967" s="567"/>
      <c r="EK967" s="567"/>
      <c r="EL967" s="567"/>
      <c r="EM967" s="567"/>
      <c r="EN967" s="567"/>
      <c r="EO967" s="567"/>
      <c r="EP967" s="567"/>
      <c r="EQ967" s="567"/>
      <c r="ER967" s="567"/>
      <c r="ES967" s="567"/>
      <c r="ET967" s="567"/>
      <c r="EU967" s="567"/>
      <c r="EV967" s="567"/>
      <c r="EW967" s="567"/>
      <c r="EX967" s="567"/>
      <c r="EY967" s="567"/>
      <c r="EZ967" s="567"/>
      <c r="FA967" s="567"/>
      <c r="FB967" s="567"/>
      <c r="FC967" s="567"/>
      <c r="FD967" s="567"/>
      <c r="FE967" s="567"/>
      <c r="FF967" s="567"/>
      <c r="FG967" s="567"/>
      <c r="FH967" s="567"/>
      <c r="FI967" s="567"/>
      <c r="FJ967" s="567"/>
      <c r="FK967" s="567"/>
      <c r="FL967" s="567"/>
      <c r="FM967" s="567"/>
      <c r="FN967" s="567"/>
      <c r="FO967" s="567"/>
      <c r="FP967" s="567"/>
      <c r="FQ967" s="567"/>
      <c r="FR967" s="567"/>
      <c r="FS967" s="567"/>
      <c r="FT967" s="567"/>
      <c r="FU967" s="567"/>
      <c r="FV967" s="567"/>
      <c r="FW967" s="567"/>
      <c r="FX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  <c r="BW968" s="567"/>
      <c r="BX968" s="567"/>
      <c r="BY968" s="567"/>
      <c r="BZ968" s="567"/>
      <c r="CA968" s="567"/>
      <c r="CB968" s="567"/>
      <c r="CC968" s="567"/>
      <c r="CD968" s="567"/>
      <c r="CE968" s="567"/>
      <c r="CF968" s="567"/>
      <c r="CG968" s="567"/>
      <c r="CH968" s="567"/>
      <c r="CI968" s="567"/>
      <c r="CJ968" s="567"/>
      <c r="CK968" s="567"/>
      <c r="CL968" s="567"/>
      <c r="CM968" s="567"/>
      <c r="CN968" s="567"/>
      <c r="CO968" s="567"/>
      <c r="CP968" s="567"/>
      <c r="CQ968" s="567"/>
      <c r="CR968" s="567"/>
      <c r="CS968" s="567"/>
      <c r="CT968" s="567"/>
      <c r="CU968" s="567"/>
      <c r="CV968" s="567"/>
      <c r="CW968" s="567"/>
      <c r="CX968" s="567"/>
      <c r="CY968" s="567"/>
      <c r="CZ968" s="567"/>
      <c r="DA968" s="567"/>
      <c r="DB968" s="567"/>
      <c r="DC968" s="567"/>
      <c r="DD968" s="567"/>
      <c r="DE968" s="567"/>
      <c r="DF968" s="567"/>
      <c r="DG968" s="567"/>
      <c r="DH968" s="567"/>
      <c r="DI968" s="567"/>
      <c r="DJ968" s="567"/>
      <c r="DK968" s="567"/>
      <c r="DL968" s="567"/>
      <c r="DM968" s="567"/>
      <c r="DN968" s="567"/>
      <c r="DO968" s="567"/>
      <c r="DP968" s="567"/>
      <c r="DQ968" s="567"/>
      <c r="DR968" s="567"/>
      <c r="DS968" s="567"/>
      <c r="DT968" s="567"/>
      <c r="DU968" s="567"/>
      <c r="DV968" s="567"/>
      <c r="DW968" s="567"/>
      <c r="DX968" s="567"/>
      <c r="DY968" s="567"/>
      <c r="DZ968" s="567"/>
      <c r="EA968" s="567"/>
      <c r="EB968" s="567"/>
      <c r="EC968" s="567"/>
      <c r="ED968" s="567"/>
      <c r="EE968" s="567"/>
      <c r="EF968" s="567"/>
      <c r="EG968" s="567"/>
      <c r="EH968" s="567"/>
      <c r="EI968" s="567"/>
      <c r="EJ968" s="567"/>
      <c r="EK968" s="567"/>
      <c r="EL968" s="567"/>
      <c r="EM968" s="567"/>
      <c r="EN968" s="567"/>
      <c r="EO968" s="567"/>
      <c r="EP968" s="567"/>
      <c r="EQ968" s="567"/>
      <c r="ER968" s="567"/>
      <c r="ES968" s="567"/>
      <c r="ET968" s="567"/>
      <c r="EU968" s="567"/>
      <c r="EV968" s="567"/>
      <c r="EW968" s="567"/>
      <c r="EX968" s="567"/>
      <c r="EY968" s="567"/>
      <c r="EZ968" s="567"/>
      <c r="FA968" s="567"/>
      <c r="FB968" s="567"/>
      <c r="FC968" s="567"/>
      <c r="FD968" s="567"/>
      <c r="FE968" s="567"/>
      <c r="FF968" s="567"/>
      <c r="FG968" s="567"/>
      <c r="FH968" s="567"/>
      <c r="FI968" s="567"/>
      <c r="FJ968" s="567"/>
      <c r="FK968" s="567"/>
      <c r="FL968" s="567"/>
      <c r="FM968" s="567"/>
      <c r="FN968" s="567"/>
      <c r="FO968" s="567"/>
      <c r="FP968" s="567"/>
      <c r="FQ968" s="567"/>
      <c r="FR968" s="567"/>
      <c r="FS968" s="567"/>
      <c r="FT968" s="567"/>
      <c r="FU968" s="567"/>
      <c r="FV968" s="567"/>
      <c r="FW968" s="567"/>
      <c r="FX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  <c r="BW969" s="567"/>
      <c r="BX969" s="567"/>
      <c r="BY969" s="567"/>
      <c r="BZ969" s="567"/>
      <c r="CA969" s="567"/>
      <c r="CB969" s="567"/>
      <c r="CC969" s="567"/>
      <c r="CD969" s="567"/>
      <c r="CE969" s="567"/>
      <c r="CF969" s="567"/>
      <c r="CG969" s="567"/>
      <c r="CH969" s="567"/>
      <c r="CI969" s="567"/>
      <c r="CJ969" s="567"/>
      <c r="CK969" s="567"/>
      <c r="CL969" s="567"/>
      <c r="CM969" s="567"/>
      <c r="CN969" s="567"/>
      <c r="CO969" s="567"/>
      <c r="CP969" s="567"/>
      <c r="CQ969" s="567"/>
      <c r="CR969" s="567"/>
      <c r="CS969" s="567"/>
      <c r="CT969" s="567"/>
      <c r="CU969" s="567"/>
      <c r="CV969" s="567"/>
      <c r="CW969" s="567"/>
      <c r="CX969" s="567"/>
      <c r="CY969" s="567"/>
      <c r="CZ969" s="567"/>
      <c r="DA969" s="567"/>
      <c r="DB969" s="567"/>
      <c r="DC969" s="567"/>
      <c r="DD969" s="567"/>
      <c r="DE969" s="567"/>
      <c r="DF969" s="567"/>
      <c r="DG969" s="567"/>
      <c r="DH969" s="567"/>
      <c r="DI969" s="567"/>
      <c r="DJ969" s="567"/>
      <c r="DK969" s="567"/>
      <c r="DL969" s="567"/>
      <c r="DM969" s="567"/>
      <c r="DN969" s="567"/>
      <c r="DO969" s="567"/>
      <c r="DP969" s="567"/>
      <c r="DQ969" s="567"/>
      <c r="DR969" s="567"/>
      <c r="DS969" s="567"/>
      <c r="DT969" s="567"/>
      <c r="DU969" s="567"/>
      <c r="DV969" s="567"/>
      <c r="DW969" s="567"/>
      <c r="DX969" s="567"/>
      <c r="DY969" s="567"/>
      <c r="DZ969" s="567"/>
      <c r="EA969" s="567"/>
      <c r="EB969" s="567"/>
      <c r="EC969" s="567"/>
      <c r="ED969" s="567"/>
      <c r="EE969" s="567"/>
      <c r="EF969" s="567"/>
      <c r="EG969" s="567"/>
      <c r="EH969" s="567"/>
      <c r="EI969" s="567"/>
      <c r="EJ969" s="567"/>
      <c r="EK969" s="567"/>
      <c r="EL969" s="567"/>
      <c r="EM969" s="567"/>
      <c r="EN969" s="567"/>
      <c r="EO969" s="567"/>
      <c r="EP969" s="567"/>
      <c r="EQ969" s="567"/>
      <c r="ER969" s="567"/>
      <c r="ES969" s="567"/>
      <c r="ET969" s="567"/>
      <c r="EU969" s="567"/>
      <c r="EV969" s="567"/>
      <c r="EW969" s="567"/>
      <c r="EX969" s="567"/>
      <c r="EY969" s="567"/>
      <c r="EZ969" s="567"/>
      <c r="FA969" s="567"/>
      <c r="FB969" s="567"/>
      <c r="FC969" s="567"/>
      <c r="FD969" s="567"/>
      <c r="FE969" s="567"/>
      <c r="FF969" s="567"/>
      <c r="FG969" s="567"/>
      <c r="FH969" s="567"/>
      <c r="FI969" s="567"/>
      <c r="FJ969" s="567"/>
      <c r="FK969" s="567"/>
      <c r="FL969" s="567"/>
      <c r="FM969" s="567"/>
      <c r="FN969" s="567"/>
      <c r="FO969" s="567"/>
      <c r="FP969" s="567"/>
      <c r="FQ969" s="567"/>
      <c r="FR969" s="567"/>
      <c r="FS969" s="567"/>
      <c r="FT969" s="567"/>
      <c r="FU969" s="567"/>
      <c r="FV969" s="567"/>
      <c r="FW969" s="567"/>
      <c r="FX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  <c r="BW970" s="567"/>
      <c r="BX970" s="567"/>
      <c r="BY970" s="567"/>
      <c r="BZ970" s="567"/>
      <c r="CA970" s="567"/>
      <c r="CB970" s="567"/>
      <c r="CC970" s="567"/>
      <c r="CD970" s="567"/>
      <c r="CE970" s="567"/>
      <c r="CF970" s="567"/>
      <c r="CG970" s="567"/>
      <c r="CH970" s="567"/>
      <c r="CI970" s="567"/>
      <c r="CJ970" s="567"/>
      <c r="CK970" s="567"/>
      <c r="CL970" s="567"/>
      <c r="CM970" s="567"/>
      <c r="CN970" s="567"/>
      <c r="CO970" s="567"/>
      <c r="CP970" s="567"/>
      <c r="CQ970" s="567"/>
      <c r="CR970" s="567"/>
      <c r="CS970" s="567"/>
      <c r="CT970" s="567"/>
      <c r="CU970" s="567"/>
      <c r="CV970" s="567"/>
      <c r="CW970" s="567"/>
      <c r="CX970" s="567"/>
      <c r="CY970" s="567"/>
      <c r="CZ970" s="567"/>
      <c r="DA970" s="567"/>
      <c r="DB970" s="567"/>
      <c r="DC970" s="567"/>
      <c r="DD970" s="567"/>
      <c r="DE970" s="567"/>
      <c r="DF970" s="567"/>
      <c r="DG970" s="567"/>
      <c r="DH970" s="567"/>
      <c r="DI970" s="567"/>
      <c r="DJ970" s="567"/>
      <c r="DK970" s="567"/>
      <c r="DL970" s="567"/>
      <c r="DM970" s="567"/>
      <c r="DN970" s="567"/>
      <c r="DO970" s="567"/>
      <c r="DP970" s="567"/>
      <c r="DQ970" s="567"/>
      <c r="DR970" s="567"/>
      <c r="DS970" s="567"/>
      <c r="DT970" s="567"/>
      <c r="DU970" s="567"/>
      <c r="DV970" s="567"/>
      <c r="DW970" s="567"/>
      <c r="DX970" s="567"/>
      <c r="DY970" s="567"/>
      <c r="DZ970" s="567"/>
      <c r="EA970" s="567"/>
      <c r="EB970" s="567"/>
      <c r="EC970" s="567"/>
      <c r="ED970" s="567"/>
      <c r="EE970" s="567"/>
      <c r="EF970" s="567"/>
      <c r="EG970" s="567"/>
      <c r="EH970" s="567"/>
      <c r="EI970" s="567"/>
      <c r="EJ970" s="567"/>
      <c r="EK970" s="567"/>
      <c r="EL970" s="567"/>
      <c r="EM970" s="567"/>
      <c r="EN970" s="567"/>
      <c r="EO970" s="567"/>
      <c r="EP970" s="567"/>
      <c r="EQ970" s="567"/>
      <c r="ER970" s="567"/>
      <c r="ES970" s="567"/>
      <c r="ET970" s="567"/>
      <c r="EU970" s="567"/>
      <c r="EV970" s="567"/>
      <c r="EW970" s="567"/>
      <c r="EX970" s="567"/>
      <c r="EY970" s="567"/>
      <c r="EZ970" s="567"/>
      <c r="FA970" s="567"/>
      <c r="FB970" s="567"/>
      <c r="FC970" s="567"/>
      <c r="FD970" s="567"/>
      <c r="FE970" s="567"/>
      <c r="FF970" s="567"/>
      <c r="FG970" s="567"/>
      <c r="FH970" s="567"/>
      <c r="FI970" s="567"/>
      <c r="FJ970" s="567"/>
      <c r="FK970" s="567"/>
      <c r="FL970" s="567"/>
      <c r="FM970" s="567"/>
      <c r="FN970" s="567"/>
      <c r="FO970" s="567"/>
      <c r="FP970" s="567"/>
      <c r="FQ970" s="567"/>
      <c r="FR970" s="567"/>
      <c r="FS970" s="567"/>
      <c r="FT970" s="567"/>
      <c r="FU970" s="567"/>
      <c r="FV970" s="567"/>
      <c r="FW970" s="567"/>
      <c r="FX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  <c r="BW971" s="567"/>
      <c r="BX971" s="567"/>
      <c r="BY971" s="567"/>
      <c r="BZ971" s="567"/>
      <c r="CA971" s="567"/>
      <c r="CB971" s="567"/>
      <c r="CC971" s="567"/>
      <c r="CD971" s="567"/>
      <c r="CE971" s="567"/>
      <c r="CF971" s="567"/>
      <c r="CG971" s="567"/>
      <c r="CH971" s="567"/>
      <c r="CI971" s="567"/>
      <c r="CJ971" s="567"/>
      <c r="CK971" s="567"/>
      <c r="CL971" s="567"/>
      <c r="CM971" s="567"/>
      <c r="CN971" s="567"/>
      <c r="CO971" s="567"/>
      <c r="CP971" s="567"/>
      <c r="CQ971" s="567"/>
      <c r="CR971" s="567"/>
      <c r="CS971" s="567"/>
      <c r="CT971" s="567"/>
      <c r="CU971" s="567"/>
      <c r="CV971" s="567"/>
      <c r="CW971" s="567"/>
      <c r="CX971" s="567"/>
      <c r="CY971" s="567"/>
      <c r="CZ971" s="567"/>
      <c r="DA971" s="567"/>
      <c r="DB971" s="567"/>
      <c r="DC971" s="567"/>
      <c r="DD971" s="567"/>
      <c r="DE971" s="567"/>
      <c r="DF971" s="567"/>
      <c r="DG971" s="567"/>
      <c r="DH971" s="567"/>
      <c r="DI971" s="567"/>
      <c r="DJ971" s="567"/>
      <c r="DK971" s="567"/>
      <c r="DL971" s="567"/>
      <c r="DM971" s="567"/>
      <c r="DN971" s="567"/>
      <c r="DO971" s="567"/>
      <c r="DP971" s="567"/>
      <c r="DQ971" s="567"/>
      <c r="DR971" s="567"/>
      <c r="DS971" s="567"/>
      <c r="DT971" s="567"/>
      <c r="DU971" s="567"/>
      <c r="DV971" s="567"/>
      <c r="DW971" s="567"/>
      <c r="DX971" s="567"/>
      <c r="DY971" s="567"/>
      <c r="DZ971" s="567"/>
      <c r="EA971" s="567"/>
      <c r="EB971" s="567"/>
      <c r="EC971" s="567"/>
      <c r="ED971" s="567"/>
      <c r="EE971" s="567"/>
      <c r="EF971" s="567"/>
      <c r="EG971" s="567"/>
      <c r="EH971" s="567"/>
      <c r="EI971" s="567"/>
      <c r="EJ971" s="567"/>
      <c r="EK971" s="567"/>
      <c r="EL971" s="567"/>
      <c r="EM971" s="567"/>
      <c r="EN971" s="567"/>
      <c r="EO971" s="567"/>
      <c r="EP971" s="567"/>
      <c r="EQ971" s="567"/>
      <c r="ER971" s="567"/>
      <c r="ES971" s="567"/>
      <c r="ET971" s="567"/>
      <c r="EU971" s="567"/>
      <c r="EV971" s="567"/>
      <c r="EW971" s="567"/>
      <c r="EX971" s="567"/>
      <c r="EY971" s="567"/>
      <c r="EZ971" s="567"/>
      <c r="FA971" s="567"/>
      <c r="FB971" s="567"/>
      <c r="FC971" s="567"/>
      <c r="FD971" s="567"/>
      <c r="FE971" s="567"/>
      <c r="FF971" s="567"/>
      <c r="FG971" s="567"/>
      <c r="FH971" s="567"/>
      <c r="FI971" s="567"/>
      <c r="FJ971" s="567"/>
      <c r="FK971" s="567"/>
      <c r="FL971" s="567"/>
      <c r="FM971" s="567"/>
      <c r="FN971" s="567"/>
      <c r="FO971" s="567"/>
      <c r="FP971" s="567"/>
      <c r="FQ971" s="567"/>
      <c r="FR971" s="567"/>
      <c r="FS971" s="567"/>
      <c r="FT971" s="567"/>
      <c r="FU971" s="567"/>
      <c r="FV971" s="567"/>
      <c r="FW971" s="567"/>
      <c r="FX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  <c r="BW972" s="567"/>
      <c r="BX972" s="567"/>
      <c r="BY972" s="567"/>
      <c r="BZ972" s="567"/>
      <c r="CA972" s="567"/>
      <c r="CB972" s="567"/>
      <c r="CC972" s="567"/>
      <c r="CD972" s="567"/>
      <c r="CE972" s="567"/>
      <c r="CF972" s="567"/>
      <c r="CG972" s="567"/>
      <c r="CH972" s="567"/>
      <c r="CI972" s="567"/>
      <c r="CJ972" s="567"/>
      <c r="CK972" s="567"/>
      <c r="CL972" s="567"/>
      <c r="CM972" s="567"/>
      <c r="CN972" s="567"/>
      <c r="CO972" s="567"/>
      <c r="CP972" s="567"/>
      <c r="CQ972" s="567"/>
      <c r="CR972" s="567"/>
      <c r="CS972" s="567"/>
      <c r="CT972" s="567"/>
      <c r="CU972" s="567"/>
      <c r="CV972" s="567"/>
      <c r="CW972" s="567"/>
      <c r="CX972" s="567"/>
      <c r="CY972" s="567"/>
      <c r="CZ972" s="567"/>
      <c r="DA972" s="567"/>
      <c r="DB972" s="567"/>
      <c r="DC972" s="567"/>
      <c r="DD972" s="567"/>
      <c r="DE972" s="567"/>
      <c r="DF972" s="567"/>
      <c r="DG972" s="567"/>
      <c r="DH972" s="567"/>
      <c r="DI972" s="567"/>
      <c r="DJ972" s="567"/>
      <c r="DK972" s="567"/>
      <c r="DL972" s="567"/>
      <c r="DM972" s="567"/>
      <c r="DN972" s="567"/>
      <c r="DO972" s="567"/>
      <c r="DP972" s="567"/>
      <c r="DQ972" s="567"/>
      <c r="DR972" s="567"/>
      <c r="DS972" s="567"/>
      <c r="DT972" s="567"/>
      <c r="DU972" s="567"/>
      <c r="DV972" s="567"/>
      <c r="DW972" s="567"/>
      <c r="DX972" s="567"/>
      <c r="DY972" s="567"/>
      <c r="DZ972" s="567"/>
      <c r="EA972" s="567"/>
      <c r="EB972" s="567"/>
      <c r="EC972" s="567"/>
      <c r="ED972" s="567"/>
      <c r="EE972" s="567"/>
      <c r="EF972" s="567"/>
      <c r="EG972" s="567"/>
      <c r="EH972" s="567"/>
      <c r="EI972" s="567"/>
      <c r="EJ972" s="567"/>
      <c r="EK972" s="567"/>
      <c r="EL972" s="567"/>
      <c r="EM972" s="567"/>
      <c r="EN972" s="567"/>
      <c r="EO972" s="567"/>
      <c r="EP972" s="567"/>
      <c r="EQ972" s="567"/>
      <c r="ER972" s="567"/>
      <c r="ES972" s="567"/>
      <c r="ET972" s="567"/>
      <c r="EU972" s="567"/>
      <c r="EV972" s="567"/>
      <c r="EW972" s="567"/>
      <c r="EX972" s="567"/>
      <c r="EY972" s="567"/>
      <c r="EZ972" s="567"/>
      <c r="FA972" s="567"/>
      <c r="FB972" s="567"/>
      <c r="FC972" s="567"/>
      <c r="FD972" s="567"/>
      <c r="FE972" s="567"/>
      <c r="FF972" s="567"/>
      <c r="FG972" s="567"/>
      <c r="FH972" s="567"/>
      <c r="FI972" s="567"/>
      <c r="FJ972" s="567"/>
      <c r="FK972" s="567"/>
      <c r="FL972" s="567"/>
      <c r="FM972" s="567"/>
      <c r="FN972" s="567"/>
      <c r="FO972" s="567"/>
      <c r="FP972" s="567"/>
      <c r="FQ972" s="567"/>
      <c r="FR972" s="567"/>
      <c r="FS972" s="567"/>
      <c r="FT972" s="567"/>
      <c r="FU972" s="567"/>
      <c r="FV972" s="567"/>
      <c r="FW972" s="567"/>
      <c r="FX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  <c r="BW973" s="567"/>
      <c r="BX973" s="567"/>
      <c r="BY973" s="567"/>
      <c r="BZ973" s="567"/>
      <c r="CA973" s="567"/>
      <c r="CB973" s="567"/>
      <c r="CC973" s="567"/>
      <c r="CD973" s="567"/>
      <c r="CE973" s="567"/>
      <c r="CF973" s="567"/>
      <c r="CG973" s="567"/>
      <c r="CH973" s="567"/>
      <c r="CI973" s="567"/>
      <c r="CJ973" s="567"/>
      <c r="CK973" s="567"/>
      <c r="CL973" s="567"/>
      <c r="CM973" s="567"/>
      <c r="CN973" s="567"/>
      <c r="CO973" s="567"/>
      <c r="CP973" s="567"/>
      <c r="CQ973" s="567"/>
      <c r="CR973" s="567"/>
      <c r="CS973" s="567"/>
      <c r="CT973" s="567"/>
      <c r="CU973" s="567"/>
      <c r="CV973" s="567"/>
      <c r="CW973" s="567"/>
      <c r="CX973" s="567"/>
      <c r="CY973" s="567"/>
      <c r="CZ973" s="567"/>
      <c r="DA973" s="567"/>
      <c r="DB973" s="567"/>
      <c r="DC973" s="567"/>
      <c r="DD973" s="567"/>
      <c r="DE973" s="567"/>
      <c r="DF973" s="567"/>
      <c r="DG973" s="567"/>
      <c r="DH973" s="567"/>
      <c r="DI973" s="567"/>
      <c r="DJ973" s="567"/>
      <c r="DK973" s="567"/>
      <c r="DL973" s="567"/>
      <c r="DM973" s="567"/>
      <c r="DN973" s="567"/>
      <c r="DO973" s="567"/>
      <c r="DP973" s="567"/>
      <c r="DQ973" s="567"/>
      <c r="DR973" s="567"/>
      <c r="DS973" s="567"/>
      <c r="DT973" s="567"/>
      <c r="DU973" s="567"/>
      <c r="DV973" s="567"/>
      <c r="DW973" s="567"/>
      <c r="DX973" s="567"/>
      <c r="DY973" s="567"/>
      <c r="DZ973" s="567"/>
      <c r="EA973" s="567"/>
      <c r="EB973" s="567"/>
      <c r="EC973" s="567"/>
      <c r="ED973" s="567"/>
      <c r="EE973" s="567"/>
      <c r="EF973" s="567"/>
      <c r="EG973" s="567"/>
      <c r="EH973" s="567"/>
      <c r="EI973" s="567"/>
      <c r="EJ973" s="567"/>
      <c r="EK973" s="567"/>
      <c r="EL973" s="567"/>
      <c r="EM973" s="567"/>
      <c r="EN973" s="567"/>
      <c r="EO973" s="567"/>
      <c r="EP973" s="567"/>
      <c r="EQ973" s="567"/>
      <c r="ER973" s="567"/>
      <c r="ES973" s="567"/>
      <c r="ET973" s="567"/>
      <c r="EU973" s="567"/>
      <c r="EV973" s="567"/>
      <c r="EW973" s="567"/>
      <c r="EX973" s="567"/>
      <c r="EY973" s="567"/>
      <c r="EZ973" s="567"/>
      <c r="FA973" s="567"/>
      <c r="FB973" s="567"/>
      <c r="FC973" s="567"/>
      <c r="FD973" s="567"/>
      <c r="FE973" s="567"/>
      <c r="FF973" s="567"/>
      <c r="FG973" s="567"/>
      <c r="FH973" s="567"/>
      <c r="FI973" s="567"/>
      <c r="FJ973" s="567"/>
      <c r="FK973" s="567"/>
      <c r="FL973" s="567"/>
      <c r="FM973" s="567"/>
      <c r="FN973" s="567"/>
      <c r="FO973" s="567"/>
      <c r="FP973" s="567"/>
      <c r="FQ973" s="567"/>
      <c r="FR973" s="567"/>
      <c r="FS973" s="567"/>
      <c r="FT973" s="567"/>
      <c r="FU973" s="567"/>
      <c r="FV973" s="567"/>
      <c r="FW973" s="567"/>
      <c r="FX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  <c r="BW974" s="567"/>
      <c r="BX974" s="567"/>
      <c r="BY974" s="567"/>
      <c r="BZ974" s="567"/>
      <c r="CA974" s="567"/>
      <c r="CB974" s="567"/>
      <c r="CC974" s="567"/>
      <c r="CD974" s="567"/>
      <c r="CE974" s="567"/>
      <c r="CF974" s="567"/>
      <c r="CG974" s="567"/>
      <c r="CH974" s="567"/>
      <c r="CI974" s="567"/>
      <c r="CJ974" s="567"/>
      <c r="CK974" s="567"/>
      <c r="CL974" s="567"/>
      <c r="CM974" s="567"/>
      <c r="CN974" s="567"/>
      <c r="CO974" s="567"/>
      <c r="CP974" s="567"/>
      <c r="CQ974" s="567"/>
      <c r="CR974" s="567"/>
      <c r="CS974" s="567"/>
      <c r="CT974" s="567"/>
      <c r="CU974" s="567"/>
      <c r="CV974" s="567"/>
      <c r="CW974" s="567"/>
      <c r="CX974" s="567"/>
      <c r="CY974" s="567"/>
      <c r="CZ974" s="567"/>
      <c r="DA974" s="567"/>
      <c r="DB974" s="567"/>
      <c r="DC974" s="567"/>
      <c r="DD974" s="567"/>
      <c r="DE974" s="567"/>
      <c r="DF974" s="567"/>
      <c r="DG974" s="567"/>
      <c r="DH974" s="567"/>
      <c r="DI974" s="567"/>
      <c r="DJ974" s="567"/>
      <c r="DK974" s="567"/>
      <c r="DL974" s="567"/>
      <c r="DM974" s="567"/>
      <c r="DN974" s="567"/>
      <c r="DO974" s="567"/>
      <c r="DP974" s="567"/>
      <c r="DQ974" s="567"/>
      <c r="DR974" s="567"/>
      <c r="DS974" s="567"/>
      <c r="DT974" s="567"/>
      <c r="DU974" s="567"/>
      <c r="DV974" s="567"/>
      <c r="DW974" s="567"/>
      <c r="DX974" s="567"/>
      <c r="DY974" s="567"/>
      <c r="DZ974" s="567"/>
      <c r="EA974" s="567"/>
      <c r="EB974" s="567"/>
      <c r="EC974" s="567"/>
      <c r="ED974" s="567"/>
      <c r="EE974" s="567"/>
      <c r="EF974" s="567"/>
      <c r="EG974" s="567"/>
      <c r="EH974" s="567"/>
      <c r="EI974" s="567"/>
      <c r="EJ974" s="567"/>
      <c r="EK974" s="567"/>
      <c r="EL974" s="567"/>
      <c r="EM974" s="567"/>
      <c r="EN974" s="567"/>
      <c r="EO974" s="567"/>
      <c r="EP974" s="567"/>
      <c r="EQ974" s="567"/>
      <c r="ER974" s="567"/>
      <c r="ES974" s="567"/>
      <c r="ET974" s="567"/>
      <c r="EU974" s="567"/>
      <c r="EV974" s="567"/>
      <c r="EW974" s="567"/>
      <c r="EX974" s="567"/>
      <c r="EY974" s="567"/>
      <c r="EZ974" s="567"/>
      <c r="FA974" s="567"/>
      <c r="FB974" s="567"/>
      <c r="FC974" s="567"/>
      <c r="FD974" s="567"/>
      <c r="FE974" s="567"/>
      <c r="FF974" s="567"/>
      <c r="FG974" s="567"/>
      <c r="FH974" s="567"/>
      <c r="FI974" s="567"/>
      <c r="FJ974" s="567"/>
      <c r="FK974" s="567"/>
      <c r="FL974" s="567"/>
      <c r="FM974" s="567"/>
      <c r="FN974" s="567"/>
      <c r="FO974" s="567"/>
      <c r="FP974" s="567"/>
      <c r="FQ974" s="567"/>
      <c r="FR974" s="567"/>
      <c r="FS974" s="567"/>
      <c r="FT974" s="567"/>
      <c r="FU974" s="567"/>
      <c r="FV974" s="567"/>
      <c r="FW974" s="567"/>
      <c r="FX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  <c r="BW975" s="567"/>
      <c r="BX975" s="567"/>
      <c r="BY975" s="567"/>
      <c r="BZ975" s="567"/>
      <c r="CA975" s="567"/>
      <c r="CB975" s="567"/>
      <c r="CC975" s="567"/>
      <c r="CD975" s="567"/>
      <c r="CE975" s="567"/>
      <c r="CF975" s="567"/>
      <c r="CG975" s="567"/>
      <c r="CH975" s="567"/>
      <c r="CI975" s="567"/>
      <c r="CJ975" s="567"/>
      <c r="CK975" s="567"/>
      <c r="CL975" s="567"/>
      <c r="CM975" s="567"/>
      <c r="CN975" s="567"/>
      <c r="CO975" s="567"/>
      <c r="CP975" s="567"/>
      <c r="CQ975" s="567"/>
      <c r="CR975" s="567"/>
      <c r="CS975" s="567"/>
      <c r="CT975" s="567"/>
      <c r="CU975" s="567"/>
      <c r="CV975" s="567"/>
      <c r="CW975" s="567"/>
      <c r="CX975" s="567"/>
      <c r="CY975" s="567"/>
      <c r="CZ975" s="567"/>
      <c r="DA975" s="567"/>
      <c r="DB975" s="567"/>
      <c r="DC975" s="567"/>
      <c r="DD975" s="567"/>
      <c r="DE975" s="567"/>
      <c r="DF975" s="567"/>
      <c r="DG975" s="567"/>
      <c r="DH975" s="567"/>
      <c r="DI975" s="567"/>
      <c r="DJ975" s="567"/>
      <c r="DK975" s="567"/>
      <c r="DL975" s="567"/>
      <c r="DM975" s="567"/>
      <c r="DN975" s="567"/>
      <c r="DO975" s="567"/>
      <c r="DP975" s="567"/>
      <c r="DQ975" s="567"/>
      <c r="DR975" s="567"/>
      <c r="DS975" s="567"/>
      <c r="DT975" s="567"/>
      <c r="DU975" s="567"/>
      <c r="DV975" s="567"/>
      <c r="DW975" s="567"/>
      <c r="DX975" s="567"/>
      <c r="DY975" s="567"/>
      <c r="DZ975" s="567"/>
      <c r="EA975" s="567"/>
      <c r="EB975" s="567"/>
      <c r="EC975" s="567"/>
      <c r="ED975" s="567"/>
      <c r="EE975" s="567"/>
      <c r="EF975" s="567"/>
      <c r="EG975" s="567"/>
      <c r="EH975" s="567"/>
      <c r="EI975" s="567"/>
      <c r="EJ975" s="567"/>
      <c r="EK975" s="567"/>
      <c r="EL975" s="567"/>
      <c r="EM975" s="567"/>
      <c r="EN975" s="567"/>
      <c r="EO975" s="567"/>
      <c r="EP975" s="567"/>
      <c r="EQ975" s="567"/>
      <c r="ER975" s="567"/>
      <c r="ES975" s="567"/>
      <c r="ET975" s="567"/>
      <c r="EU975" s="567"/>
      <c r="EV975" s="567"/>
      <c r="EW975" s="567"/>
      <c r="EX975" s="567"/>
      <c r="EY975" s="567"/>
      <c r="EZ975" s="567"/>
      <c r="FA975" s="567"/>
      <c r="FB975" s="567"/>
      <c r="FC975" s="567"/>
      <c r="FD975" s="567"/>
      <c r="FE975" s="567"/>
      <c r="FF975" s="567"/>
      <c r="FG975" s="567"/>
      <c r="FH975" s="567"/>
      <c r="FI975" s="567"/>
      <c r="FJ975" s="567"/>
      <c r="FK975" s="567"/>
      <c r="FL975" s="567"/>
      <c r="FM975" s="567"/>
      <c r="FN975" s="567"/>
      <c r="FO975" s="567"/>
      <c r="FP975" s="567"/>
      <c r="FQ975" s="567"/>
      <c r="FR975" s="567"/>
      <c r="FS975" s="567"/>
      <c r="FT975" s="567"/>
      <c r="FU975" s="567"/>
      <c r="FV975" s="567"/>
      <c r="FW975" s="567"/>
      <c r="FX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  <c r="BW976" s="567"/>
      <c r="BX976" s="567"/>
      <c r="BY976" s="567"/>
      <c r="BZ976" s="567"/>
      <c r="CA976" s="567"/>
      <c r="CB976" s="567"/>
      <c r="CC976" s="567"/>
      <c r="CD976" s="567"/>
      <c r="CE976" s="567"/>
      <c r="CF976" s="567"/>
      <c r="CG976" s="567"/>
      <c r="CH976" s="567"/>
      <c r="CI976" s="567"/>
      <c r="CJ976" s="567"/>
      <c r="CK976" s="567"/>
      <c r="CL976" s="567"/>
      <c r="CM976" s="567"/>
      <c r="CN976" s="567"/>
      <c r="CO976" s="567"/>
      <c r="CP976" s="567"/>
      <c r="CQ976" s="567"/>
      <c r="CR976" s="567"/>
      <c r="CS976" s="567"/>
      <c r="CT976" s="567"/>
      <c r="CU976" s="567"/>
      <c r="CV976" s="567"/>
      <c r="CW976" s="567"/>
      <c r="CX976" s="567"/>
      <c r="CY976" s="567"/>
      <c r="CZ976" s="567"/>
      <c r="DA976" s="567"/>
      <c r="DB976" s="567"/>
      <c r="DC976" s="567"/>
      <c r="DD976" s="567"/>
      <c r="DE976" s="567"/>
      <c r="DF976" s="567"/>
      <c r="DG976" s="567"/>
      <c r="DH976" s="567"/>
      <c r="DI976" s="567"/>
      <c r="DJ976" s="567"/>
      <c r="DK976" s="567"/>
      <c r="DL976" s="567"/>
      <c r="DM976" s="567"/>
      <c r="DN976" s="567"/>
      <c r="DO976" s="567"/>
      <c r="DP976" s="567"/>
      <c r="DQ976" s="567"/>
      <c r="DR976" s="567"/>
      <c r="DS976" s="567"/>
      <c r="DT976" s="567"/>
      <c r="DU976" s="567"/>
      <c r="DV976" s="567"/>
      <c r="DW976" s="567"/>
      <c r="DX976" s="567"/>
      <c r="DY976" s="567"/>
      <c r="DZ976" s="567"/>
      <c r="EA976" s="567"/>
      <c r="EB976" s="567"/>
      <c r="EC976" s="567"/>
      <c r="ED976" s="567"/>
      <c r="EE976" s="567"/>
      <c r="EF976" s="567"/>
      <c r="EG976" s="567"/>
      <c r="EH976" s="567"/>
      <c r="EI976" s="567"/>
      <c r="EJ976" s="567"/>
      <c r="EK976" s="567"/>
      <c r="EL976" s="567"/>
      <c r="EM976" s="567"/>
      <c r="EN976" s="567"/>
      <c r="EO976" s="567"/>
      <c r="EP976" s="567"/>
      <c r="EQ976" s="567"/>
      <c r="ER976" s="567"/>
      <c r="ES976" s="567"/>
      <c r="ET976" s="567"/>
      <c r="EU976" s="567"/>
      <c r="EV976" s="567"/>
      <c r="EW976" s="567"/>
      <c r="EX976" s="567"/>
      <c r="EY976" s="567"/>
      <c r="EZ976" s="567"/>
      <c r="FA976" s="567"/>
      <c r="FB976" s="567"/>
      <c r="FC976" s="567"/>
      <c r="FD976" s="567"/>
      <c r="FE976" s="567"/>
      <c r="FF976" s="567"/>
      <c r="FG976" s="567"/>
      <c r="FH976" s="567"/>
      <c r="FI976" s="567"/>
      <c r="FJ976" s="567"/>
      <c r="FK976" s="567"/>
      <c r="FL976" s="567"/>
      <c r="FM976" s="567"/>
      <c r="FN976" s="567"/>
      <c r="FO976" s="567"/>
      <c r="FP976" s="567"/>
      <c r="FQ976" s="567"/>
      <c r="FR976" s="567"/>
      <c r="FS976" s="567"/>
      <c r="FT976" s="567"/>
      <c r="FU976" s="567"/>
      <c r="FV976" s="567"/>
      <c r="FW976" s="567"/>
      <c r="FX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  <c r="BW977" s="567"/>
      <c r="BX977" s="567"/>
      <c r="BY977" s="567"/>
      <c r="BZ977" s="567"/>
      <c r="CA977" s="567"/>
      <c r="CB977" s="567"/>
      <c r="CC977" s="567"/>
      <c r="CD977" s="567"/>
      <c r="CE977" s="567"/>
      <c r="CF977" s="567"/>
      <c r="CG977" s="567"/>
      <c r="CH977" s="567"/>
      <c r="CI977" s="567"/>
      <c r="CJ977" s="567"/>
      <c r="CK977" s="567"/>
      <c r="CL977" s="567"/>
      <c r="CM977" s="567"/>
      <c r="CN977" s="567"/>
      <c r="CO977" s="567"/>
      <c r="CP977" s="567"/>
      <c r="CQ977" s="567"/>
      <c r="CR977" s="567"/>
      <c r="CS977" s="567"/>
      <c r="CT977" s="567"/>
      <c r="CU977" s="567"/>
      <c r="CV977" s="567"/>
      <c r="CW977" s="567"/>
      <c r="CX977" s="567"/>
      <c r="CY977" s="567"/>
      <c r="CZ977" s="567"/>
      <c r="DA977" s="567"/>
      <c r="DB977" s="567"/>
      <c r="DC977" s="567"/>
      <c r="DD977" s="567"/>
      <c r="DE977" s="567"/>
      <c r="DF977" s="567"/>
      <c r="DG977" s="567"/>
      <c r="DH977" s="567"/>
      <c r="DI977" s="567"/>
      <c r="DJ977" s="567"/>
      <c r="DK977" s="567"/>
      <c r="DL977" s="567"/>
      <c r="DM977" s="567"/>
      <c r="DN977" s="567"/>
      <c r="DO977" s="567"/>
      <c r="DP977" s="567"/>
      <c r="DQ977" s="567"/>
      <c r="DR977" s="567"/>
      <c r="DS977" s="567"/>
      <c r="DT977" s="567"/>
      <c r="DU977" s="567"/>
      <c r="DV977" s="567"/>
      <c r="DW977" s="567"/>
      <c r="DX977" s="567"/>
      <c r="DY977" s="567"/>
      <c r="DZ977" s="567"/>
      <c r="EA977" s="567"/>
      <c r="EB977" s="567"/>
      <c r="EC977" s="567"/>
      <c r="ED977" s="567"/>
      <c r="EE977" s="567"/>
      <c r="EF977" s="567"/>
      <c r="EG977" s="567"/>
      <c r="EH977" s="567"/>
      <c r="EI977" s="567"/>
      <c r="EJ977" s="567"/>
      <c r="EK977" s="567"/>
      <c r="EL977" s="567"/>
      <c r="EM977" s="567"/>
      <c r="EN977" s="567"/>
      <c r="EO977" s="567"/>
      <c r="EP977" s="567"/>
      <c r="EQ977" s="567"/>
      <c r="ER977" s="567"/>
      <c r="ES977" s="567"/>
      <c r="ET977" s="567"/>
      <c r="EU977" s="567"/>
      <c r="EV977" s="567"/>
      <c r="EW977" s="567"/>
      <c r="EX977" s="567"/>
      <c r="EY977" s="567"/>
      <c r="EZ977" s="567"/>
      <c r="FA977" s="567"/>
      <c r="FB977" s="567"/>
      <c r="FC977" s="567"/>
      <c r="FD977" s="567"/>
      <c r="FE977" s="567"/>
      <c r="FF977" s="567"/>
      <c r="FG977" s="567"/>
      <c r="FH977" s="567"/>
      <c r="FI977" s="567"/>
      <c r="FJ977" s="567"/>
      <c r="FK977" s="567"/>
      <c r="FL977" s="567"/>
      <c r="FM977" s="567"/>
      <c r="FN977" s="567"/>
      <c r="FO977" s="567"/>
      <c r="FP977" s="567"/>
      <c r="FQ977" s="567"/>
      <c r="FR977" s="567"/>
      <c r="FS977" s="567"/>
      <c r="FT977" s="567"/>
      <c r="FU977" s="567"/>
      <c r="FV977" s="567"/>
      <c r="FW977" s="567"/>
      <c r="FX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  <c r="BW978" s="567"/>
      <c r="BX978" s="567"/>
      <c r="BY978" s="567"/>
      <c r="BZ978" s="567"/>
      <c r="CA978" s="567"/>
      <c r="CB978" s="567"/>
      <c r="CC978" s="567"/>
      <c r="CD978" s="567"/>
      <c r="CE978" s="567"/>
      <c r="CF978" s="567"/>
      <c r="CG978" s="567"/>
      <c r="CH978" s="567"/>
      <c r="CI978" s="567"/>
      <c r="CJ978" s="567"/>
      <c r="CK978" s="567"/>
      <c r="CL978" s="567"/>
      <c r="CM978" s="567"/>
      <c r="CN978" s="567"/>
      <c r="CO978" s="567"/>
      <c r="CP978" s="567"/>
      <c r="CQ978" s="567"/>
      <c r="CR978" s="567"/>
      <c r="CS978" s="567"/>
      <c r="CT978" s="567"/>
      <c r="CU978" s="567"/>
      <c r="CV978" s="567"/>
      <c r="CW978" s="567"/>
      <c r="CX978" s="567"/>
      <c r="CY978" s="567"/>
      <c r="CZ978" s="567"/>
      <c r="DA978" s="567"/>
      <c r="DB978" s="567"/>
      <c r="DC978" s="567"/>
      <c r="DD978" s="567"/>
      <c r="DE978" s="567"/>
      <c r="DF978" s="567"/>
      <c r="DG978" s="567"/>
      <c r="DH978" s="567"/>
      <c r="DI978" s="567"/>
      <c r="DJ978" s="567"/>
      <c r="DK978" s="567"/>
      <c r="DL978" s="567"/>
      <c r="DM978" s="567"/>
      <c r="DN978" s="567"/>
      <c r="DO978" s="567"/>
      <c r="DP978" s="567"/>
      <c r="DQ978" s="567"/>
      <c r="DR978" s="567"/>
      <c r="DS978" s="567"/>
      <c r="DT978" s="567"/>
      <c r="DU978" s="567"/>
      <c r="DV978" s="567"/>
      <c r="DW978" s="567"/>
      <c r="DX978" s="567"/>
      <c r="DY978" s="567"/>
      <c r="DZ978" s="567"/>
      <c r="EA978" s="567"/>
      <c r="EB978" s="567"/>
      <c r="EC978" s="567"/>
      <c r="ED978" s="567"/>
      <c r="EE978" s="567"/>
      <c r="EF978" s="567"/>
      <c r="EG978" s="567"/>
      <c r="EH978" s="567"/>
      <c r="EI978" s="567"/>
      <c r="EJ978" s="567"/>
      <c r="EK978" s="567"/>
      <c r="EL978" s="567"/>
      <c r="EM978" s="567"/>
      <c r="EN978" s="567"/>
      <c r="EO978" s="567"/>
      <c r="EP978" s="567"/>
      <c r="EQ978" s="567"/>
      <c r="ER978" s="567"/>
      <c r="ES978" s="567"/>
      <c r="ET978" s="567"/>
      <c r="EU978" s="567"/>
      <c r="EV978" s="567"/>
      <c r="EW978" s="567"/>
      <c r="EX978" s="567"/>
      <c r="EY978" s="567"/>
      <c r="EZ978" s="567"/>
      <c r="FA978" s="567"/>
      <c r="FB978" s="567"/>
      <c r="FC978" s="567"/>
      <c r="FD978" s="567"/>
      <c r="FE978" s="567"/>
      <c r="FF978" s="567"/>
      <c r="FG978" s="567"/>
      <c r="FH978" s="567"/>
      <c r="FI978" s="567"/>
      <c r="FJ978" s="567"/>
      <c r="FK978" s="567"/>
      <c r="FL978" s="567"/>
      <c r="FM978" s="567"/>
      <c r="FN978" s="567"/>
      <c r="FO978" s="567"/>
      <c r="FP978" s="567"/>
      <c r="FQ978" s="567"/>
      <c r="FR978" s="567"/>
      <c r="FS978" s="567"/>
      <c r="FT978" s="567"/>
      <c r="FU978" s="567"/>
      <c r="FV978" s="567"/>
      <c r="FW978" s="567"/>
      <c r="FX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  <c r="BW979" s="567"/>
      <c r="BX979" s="567"/>
      <c r="BY979" s="567"/>
      <c r="BZ979" s="567"/>
      <c r="CA979" s="567"/>
      <c r="CB979" s="567"/>
      <c r="CC979" s="567"/>
      <c r="CD979" s="567"/>
      <c r="CE979" s="567"/>
      <c r="CF979" s="567"/>
      <c r="CG979" s="567"/>
      <c r="CH979" s="567"/>
      <c r="CI979" s="567"/>
      <c r="CJ979" s="567"/>
      <c r="CK979" s="567"/>
      <c r="CL979" s="567"/>
      <c r="CM979" s="567"/>
      <c r="CN979" s="567"/>
      <c r="CO979" s="567"/>
      <c r="CP979" s="567"/>
      <c r="CQ979" s="567"/>
      <c r="CR979" s="567"/>
      <c r="CS979" s="567"/>
      <c r="CT979" s="567"/>
      <c r="CU979" s="567"/>
      <c r="CV979" s="567"/>
      <c r="CW979" s="567"/>
      <c r="CX979" s="567"/>
      <c r="CY979" s="567"/>
      <c r="CZ979" s="567"/>
      <c r="DA979" s="567"/>
      <c r="DB979" s="567"/>
      <c r="DC979" s="567"/>
      <c r="DD979" s="567"/>
      <c r="DE979" s="567"/>
      <c r="DF979" s="567"/>
      <c r="DG979" s="567"/>
      <c r="DH979" s="567"/>
      <c r="DI979" s="567"/>
      <c r="DJ979" s="567"/>
      <c r="DK979" s="567"/>
      <c r="DL979" s="567"/>
      <c r="DM979" s="567"/>
      <c r="DN979" s="567"/>
      <c r="DO979" s="567"/>
      <c r="DP979" s="567"/>
      <c r="DQ979" s="567"/>
      <c r="DR979" s="567"/>
      <c r="DS979" s="567"/>
      <c r="DT979" s="567"/>
      <c r="DU979" s="567"/>
      <c r="DV979" s="567"/>
      <c r="DW979" s="567"/>
      <c r="DX979" s="567"/>
      <c r="DY979" s="567"/>
      <c r="DZ979" s="567"/>
      <c r="EA979" s="567"/>
      <c r="EB979" s="567"/>
      <c r="EC979" s="567"/>
      <c r="ED979" s="567"/>
      <c r="EE979" s="567"/>
      <c r="EF979" s="567"/>
      <c r="EG979" s="567"/>
      <c r="EH979" s="567"/>
      <c r="EI979" s="567"/>
      <c r="EJ979" s="567"/>
      <c r="EK979" s="567"/>
      <c r="EL979" s="567"/>
      <c r="EM979" s="567"/>
      <c r="EN979" s="567"/>
      <c r="EO979" s="567"/>
      <c r="EP979" s="567"/>
      <c r="EQ979" s="567"/>
      <c r="ER979" s="567"/>
      <c r="ES979" s="567"/>
      <c r="ET979" s="567"/>
      <c r="EU979" s="567"/>
      <c r="EV979" s="567"/>
      <c r="EW979" s="567"/>
      <c r="EX979" s="567"/>
      <c r="EY979" s="567"/>
      <c r="EZ979" s="567"/>
      <c r="FA979" s="567"/>
      <c r="FB979" s="567"/>
      <c r="FC979" s="567"/>
      <c r="FD979" s="567"/>
      <c r="FE979" s="567"/>
      <c r="FF979" s="567"/>
      <c r="FG979" s="567"/>
      <c r="FH979" s="567"/>
      <c r="FI979" s="567"/>
      <c r="FJ979" s="567"/>
      <c r="FK979" s="567"/>
      <c r="FL979" s="567"/>
      <c r="FM979" s="567"/>
      <c r="FN979" s="567"/>
      <c r="FO979" s="567"/>
      <c r="FP979" s="567"/>
      <c r="FQ979" s="567"/>
      <c r="FR979" s="567"/>
      <c r="FS979" s="567"/>
      <c r="FT979" s="567"/>
      <c r="FU979" s="567"/>
      <c r="FV979" s="567"/>
      <c r="FW979" s="567"/>
      <c r="FX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  <c r="BW980" s="567"/>
      <c r="BX980" s="567"/>
      <c r="BY980" s="567"/>
      <c r="BZ980" s="567"/>
      <c r="CA980" s="567"/>
      <c r="CB980" s="567"/>
      <c r="CC980" s="567"/>
      <c r="CD980" s="567"/>
      <c r="CE980" s="567"/>
      <c r="CF980" s="567"/>
      <c r="CG980" s="567"/>
      <c r="CH980" s="567"/>
      <c r="CI980" s="567"/>
      <c r="CJ980" s="567"/>
      <c r="CK980" s="567"/>
      <c r="CL980" s="567"/>
      <c r="CM980" s="567"/>
      <c r="CN980" s="567"/>
      <c r="CO980" s="567"/>
      <c r="CP980" s="567"/>
      <c r="CQ980" s="567"/>
      <c r="CR980" s="567"/>
      <c r="CS980" s="567"/>
      <c r="CT980" s="567"/>
      <c r="CU980" s="567"/>
      <c r="CV980" s="567"/>
      <c r="CW980" s="567"/>
      <c r="CX980" s="567"/>
      <c r="CY980" s="567"/>
      <c r="CZ980" s="567"/>
      <c r="DA980" s="567"/>
      <c r="DB980" s="567"/>
      <c r="DC980" s="567"/>
      <c r="DD980" s="567"/>
      <c r="DE980" s="567"/>
      <c r="DF980" s="567"/>
      <c r="DG980" s="567"/>
      <c r="DH980" s="567"/>
      <c r="DI980" s="567"/>
      <c r="DJ980" s="567"/>
      <c r="DK980" s="567"/>
      <c r="DL980" s="567"/>
      <c r="DM980" s="567"/>
      <c r="DN980" s="567"/>
      <c r="DO980" s="567"/>
      <c r="DP980" s="567"/>
      <c r="DQ980" s="567"/>
      <c r="DR980" s="567"/>
      <c r="DS980" s="567"/>
      <c r="DT980" s="567"/>
      <c r="DU980" s="567"/>
      <c r="DV980" s="567"/>
      <c r="DW980" s="567"/>
      <c r="DX980" s="567"/>
      <c r="DY980" s="567"/>
      <c r="DZ980" s="567"/>
      <c r="EA980" s="567"/>
      <c r="EB980" s="567"/>
      <c r="EC980" s="567"/>
      <c r="ED980" s="567"/>
      <c r="EE980" s="567"/>
      <c r="EF980" s="567"/>
      <c r="EG980" s="567"/>
      <c r="EH980" s="567"/>
      <c r="EI980" s="567"/>
      <c r="EJ980" s="567"/>
      <c r="EK980" s="567"/>
      <c r="EL980" s="567"/>
      <c r="EM980" s="567"/>
      <c r="EN980" s="567"/>
      <c r="EO980" s="567"/>
      <c r="EP980" s="567"/>
      <c r="EQ980" s="567"/>
      <c r="ER980" s="567"/>
      <c r="ES980" s="567"/>
      <c r="ET980" s="567"/>
      <c r="EU980" s="567"/>
      <c r="EV980" s="567"/>
      <c r="EW980" s="567"/>
      <c r="EX980" s="567"/>
      <c r="EY980" s="567"/>
      <c r="EZ980" s="567"/>
      <c r="FA980" s="567"/>
      <c r="FB980" s="567"/>
      <c r="FC980" s="567"/>
      <c r="FD980" s="567"/>
      <c r="FE980" s="567"/>
      <c r="FF980" s="567"/>
      <c r="FG980" s="567"/>
      <c r="FH980" s="567"/>
      <c r="FI980" s="567"/>
      <c r="FJ980" s="567"/>
      <c r="FK980" s="567"/>
      <c r="FL980" s="567"/>
      <c r="FM980" s="567"/>
      <c r="FN980" s="567"/>
      <c r="FO980" s="567"/>
      <c r="FP980" s="567"/>
      <c r="FQ980" s="567"/>
      <c r="FR980" s="567"/>
      <c r="FS980" s="567"/>
      <c r="FT980" s="567"/>
      <c r="FU980" s="567"/>
      <c r="FV980" s="567"/>
      <c r="FW980" s="567"/>
      <c r="FX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  <c r="BW981" s="567"/>
      <c r="BX981" s="567"/>
      <c r="BY981" s="567"/>
      <c r="BZ981" s="567"/>
      <c r="CA981" s="567"/>
      <c r="CB981" s="567"/>
      <c r="CC981" s="567"/>
      <c r="CD981" s="567"/>
      <c r="CE981" s="567"/>
      <c r="CF981" s="567"/>
      <c r="CG981" s="567"/>
      <c r="CH981" s="567"/>
      <c r="CI981" s="567"/>
      <c r="CJ981" s="567"/>
      <c r="CK981" s="567"/>
      <c r="CL981" s="567"/>
      <c r="CM981" s="567"/>
      <c r="CN981" s="567"/>
      <c r="CO981" s="567"/>
      <c r="CP981" s="567"/>
      <c r="CQ981" s="567"/>
      <c r="CR981" s="567"/>
      <c r="CS981" s="567"/>
      <c r="CT981" s="567"/>
      <c r="CU981" s="567"/>
      <c r="CV981" s="567"/>
      <c r="CW981" s="567"/>
      <c r="CX981" s="567"/>
      <c r="CY981" s="567"/>
      <c r="CZ981" s="567"/>
      <c r="DA981" s="567"/>
      <c r="DB981" s="567"/>
      <c r="DC981" s="567"/>
      <c r="DD981" s="567"/>
      <c r="DE981" s="567"/>
      <c r="DF981" s="567"/>
      <c r="DG981" s="567"/>
      <c r="DH981" s="567"/>
      <c r="DI981" s="567"/>
      <c r="DJ981" s="567"/>
      <c r="DK981" s="567"/>
      <c r="DL981" s="567"/>
      <c r="DM981" s="567"/>
      <c r="DN981" s="567"/>
      <c r="DO981" s="567"/>
      <c r="DP981" s="567"/>
      <c r="DQ981" s="567"/>
      <c r="DR981" s="567"/>
      <c r="DS981" s="567"/>
      <c r="DT981" s="567"/>
      <c r="DU981" s="567"/>
      <c r="DV981" s="567"/>
      <c r="DW981" s="567"/>
      <c r="DX981" s="567"/>
      <c r="DY981" s="567"/>
      <c r="DZ981" s="567"/>
      <c r="EA981" s="567"/>
      <c r="EB981" s="567"/>
      <c r="EC981" s="567"/>
      <c r="ED981" s="567"/>
      <c r="EE981" s="567"/>
      <c r="EF981" s="567"/>
      <c r="EG981" s="567"/>
      <c r="EH981" s="567"/>
      <c r="EI981" s="567"/>
      <c r="EJ981" s="567"/>
      <c r="EK981" s="567"/>
      <c r="EL981" s="567"/>
      <c r="EM981" s="567"/>
      <c r="EN981" s="567"/>
      <c r="EO981" s="567"/>
      <c r="EP981" s="567"/>
      <c r="EQ981" s="567"/>
      <c r="ER981" s="567"/>
      <c r="ES981" s="567"/>
      <c r="ET981" s="567"/>
      <c r="EU981" s="567"/>
      <c r="EV981" s="567"/>
      <c r="EW981" s="567"/>
      <c r="EX981" s="567"/>
      <c r="EY981" s="567"/>
      <c r="EZ981" s="567"/>
      <c r="FA981" s="567"/>
      <c r="FB981" s="567"/>
      <c r="FC981" s="567"/>
      <c r="FD981" s="567"/>
      <c r="FE981" s="567"/>
      <c r="FF981" s="567"/>
      <c r="FG981" s="567"/>
      <c r="FH981" s="567"/>
      <c r="FI981" s="567"/>
      <c r="FJ981" s="567"/>
      <c r="FK981" s="567"/>
      <c r="FL981" s="567"/>
      <c r="FM981" s="567"/>
      <c r="FN981" s="567"/>
      <c r="FO981" s="567"/>
      <c r="FP981" s="567"/>
      <c r="FQ981" s="567"/>
      <c r="FR981" s="567"/>
      <c r="FS981" s="567"/>
      <c r="FT981" s="567"/>
      <c r="FU981" s="567"/>
      <c r="FV981" s="567"/>
      <c r="FW981" s="567"/>
      <c r="FX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  <c r="BW982" s="567"/>
      <c r="BX982" s="567"/>
      <c r="BY982" s="567"/>
      <c r="BZ982" s="567"/>
      <c r="CA982" s="567"/>
      <c r="CB982" s="567"/>
      <c r="CC982" s="567"/>
      <c r="CD982" s="567"/>
      <c r="CE982" s="567"/>
      <c r="CF982" s="567"/>
      <c r="CG982" s="567"/>
      <c r="CH982" s="567"/>
      <c r="CI982" s="567"/>
      <c r="CJ982" s="567"/>
      <c r="CK982" s="567"/>
      <c r="CL982" s="567"/>
      <c r="CM982" s="567"/>
      <c r="CN982" s="567"/>
      <c r="CO982" s="567"/>
      <c r="CP982" s="567"/>
      <c r="CQ982" s="567"/>
      <c r="CR982" s="567"/>
      <c r="CS982" s="567"/>
      <c r="CT982" s="567"/>
      <c r="CU982" s="567"/>
      <c r="CV982" s="567"/>
      <c r="CW982" s="567"/>
      <c r="CX982" s="567"/>
      <c r="CY982" s="567"/>
      <c r="CZ982" s="567"/>
      <c r="DA982" s="567"/>
      <c r="DB982" s="567"/>
      <c r="DC982" s="567"/>
      <c r="DD982" s="567"/>
      <c r="DE982" s="567"/>
      <c r="DF982" s="567"/>
      <c r="DG982" s="567"/>
      <c r="DH982" s="567"/>
      <c r="DI982" s="567"/>
      <c r="DJ982" s="567"/>
      <c r="DK982" s="567"/>
      <c r="DL982" s="567"/>
      <c r="DM982" s="567"/>
      <c r="DN982" s="567"/>
      <c r="DO982" s="567"/>
      <c r="DP982" s="567"/>
      <c r="DQ982" s="567"/>
      <c r="DR982" s="567"/>
      <c r="DS982" s="567"/>
      <c r="DT982" s="567"/>
      <c r="DU982" s="567"/>
      <c r="DV982" s="567"/>
      <c r="DW982" s="567"/>
      <c r="DX982" s="567"/>
      <c r="DY982" s="567"/>
      <c r="DZ982" s="567"/>
      <c r="EA982" s="567"/>
      <c r="EB982" s="567"/>
      <c r="EC982" s="567"/>
      <c r="ED982" s="567"/>
      <c r="EE982" s="567"/>
      <c r="EF982" s="567"/>
      <c r="EG982" s="567"/>
      <c r="EH982" s="567"/>
      <c r="EI982" s="567"/>
      <c r="EJ982" s="567"/>
      <c r="EK982" s="567"/>
      <c r="EL982" s="567"/>
      <c r="EM982" s="567"/>
      <c r="EN982" s="567"/>
      <c r="EO982" s="567"/>
      <c r="EP982" s="567"/>
      <c r="EQ982" s="567"/>
      <c r="ER982" s="567"/>
      <c r="ES982" s="567"/>
      <c r="ET982" s="567"/>
      <c r="EU982" s="567"/>
      <c r="EV982" s="567"/>
      <c r="EW982" s="567"/>
      <c r="EX982" s="567"/>
      <c r="EY982" s="567"/>
      <c r="EZ982" s="567"/>
      <c r="FA982" s="567"/>
      <c r="FB982" s="567"/>
      <c r="FC982" s="567"/>
      <c r="FD982" s="567"/>
      <c r="FE982" s="567"/>
      <c r="FF982" s="567"/>
      <c r="FG982" s="567"/>
      <c r="FH982" s="567"/>
      <c r="FI982" s="567"/>
      <c r="FJ982" s="567"/>
      <c r="FK982" s="567"/>
      <c r="FL982" s="567"/>
      <c r="FM982" s="567"/>
      <c r="FN982" s="567"/>
      <c r="FO982" s="567"/>
      <c r="FP982" s="567"/>
      <c r="FQ982" s="567"/>
      <c r="FR982" s="567"/>
      <c r="FS982" s="567"/>
      <c r="FT982" s="567"/>
      <c r="FU982" s="567"/>
      <c r="FV982" s="567"/>
      <c r="FW982" s="567"/>
      <c r="FX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  <c r="BW983" s="567"/>
      <c r="BX983" s="567"/>
      <c r="BY983" s="567"/>
      <c r="BZ983" s="567"/>
      <c r="CA983" s="567"/>
      <c r="CB983" s="567"/>
      <c r="CC983" s="567"/>
      <c r="CD983" s="567"/>
      <c r="CE983" s="567"/>
      <c r="CF983" s="567"/>
      <c r="CG983" s="567"/>
      <c r="CH983" s="567"/>
      <c r="CI983" s="567"/>
      <c r="CJ983" s="567"/>
      <c r="CK983" s="567"/>
      <c r="CL983" s="567"/>
      <c r="CM983" s="567"/>
      <c r="CN983" s="567"/>
      <c r="CO983" s="567"/>
      <c r="CP983" s="567"/>
      <c r="CQ983" s="567"/>
      <c r="CR983" s="567"/>
      <c r="CS983" s="567"/>
      <c r="CT983" s="567"/>
      <c r="CU983" s="567"/>
      <c r="CV983" s="567"/>
      <c r="CW983" s="567"/>
      <c r="CX983" s="567"/>
      <c r="CY983" s="567"/>
      <c r="CZ983" s="567"/>
      <c r="DA983" s="567"/>
      <c r="DB983" s="567"/>
      <c r="DC983" s="567"/>
      <c r="DD983" s="567"/>
      <c r="DE983" s="567"/>
      <c r="DF983" s="567"/>
      <c r="DG983" s="567"/>
      <c r="DH983" s="567"/>
      <c r="DI983" s="567"/>
      <c r="DJ983" s="567"/>
      <c r="DK983" s="567"/>
      <c r="DL983" s="567"/>
      <c r="DM983" s="567"/>
      <c r="DN983" s="567"/>
      <c r="DO983" s="567"/>
      <c r="DP983" s="567"/>
      <c r="DQ983" s="567"/>
      <c r="DR983" s="567"/>
      <c r="DS983" s="567"/>
      <c r="DT983" s="567"/>
      <c r="DU983" s="567"/>
      <c r="DV983" s="567"/>
      <c r="DW983" s="567"/>
      <c r="DX983" s="567"/>
      <c r="DY983" s="567"/>
      <c r="DZ983" s="567"/>
      <c r="EA983" s="567"/>
      <c r="EB983" s="567"/>
      <c r="EC983" s="567"/>
      <c r="ED983" s="567"/>
      <c r="EE983" s="567"/>
      <c r="EF983" s="567"/>
      <c r="EG983" s="567"/>
      <c r="EH983" s="567"/>
      <c r="EI983" s="567"/>
      <c r="EJ983" s="567"/>
      <c r="EK983" s="567"/>
      <c r="EL983" s="567"/>
      <c r="EM983" s="567"/>
      <c r="EN983" s="567"/>
      <c r="EO983" s="567"/>
      <c r="EP983" s="567"/>
      <c r="EQ983" s="567"/>
      <c r="ER983" s="567"/>
      <c r="ES983" s="567"/>
      <c r="ET983" s="567"/>
      <c r="EU983" s="567"/>
      <c r="EV983" s="567"/>
      <c r="EW983" s="567"/>
      <c r="EX983" s="567"/>
      <c r="EY983" s="567"/>
      <c r="EZ983" s="567"/>
      <c r="FA983" s="567"/>
      <c r="FB983" s="567"/>
      <c r="FC983" s="567"/>
      <c r="FD983" s="567"/>
      <c r="FE983" s="567"/>
      <c r="FF983" s="567"/>
      <c r="FG983" s="567"/>
      <c r="FH983" s="567"/>
      <c r="FI983" s="567"/>
      <c r="FJ983" s="567"/>
      <c r="FK983" s="567"/>
      <c r="FL983" s="567"/>
      <c r="FM983" s="567"/>
      <c r="FN983" s="567"/>
      <c r="FO983" s="567"/>
      <c r="FP983" s="567"/>
      <c r="FQ983" s="567"/>
      <c r="FR983" s="567"/>
      <c r="FS983" s="567"/>
      <c r="FT983" s="567"/>
      <c r="FU983" s="567"/>
      <c r="FV983" s="567"/>
      <c r="FW983" s="567"/>
      <c r="FX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  <c r="BW984" s="567"/>
      <c r="BX984" s="567"/>
      <c r="BY984" s="567"/>
      <c r="BZ984" s="567"/>
      <c r="CA984" s="567"/>
      <c r="CB984" s="567"/>
      <c r="CC984" s="567"/>
      <c r="CD984" s="567"/>
      <c r="CE984" s="567"/>
      <c r="CF984" s="567"/>
      <c r="CG984" s="567"/>
      <c r="CH984" s="567"/>
      <c r="CI984" s="567"/>
      <c r="CJ984" s="567"/>
      <c r="CK984" s="567"/>
      <c r="CL984" s="567"/>
      <c r="CM984" s="567"/>
      <c r="CN984" s="567"/>
      <c r="CO984" s="567"/>
      <c r="CP984" s="567"/>
      <c r="CQ984" s="567"/>
      <c r="CR984" s="567"/>
      <c r="CS984" s="567"/>
      <c r="CT984" s="567"/>
      <c r="CU984" s="567"/>
      <c r="CV984" s="567"/>
      <c r="CW984" s="567"/>
      <c r="CX984" s="567"/>
      <c r="CY984" s="567"/>
      <c r="CZ984" s="567"/>
      <c r="DA984" s="567"/>
      <c r="DB984" s="567"/>
      <c r="DC984" s="567"/>
      <c r="DD984" s="567"/>
      <c r="DE984" s="567"/>
      <c r="DF984" s="567"/>
      <c r="DG984" s="567"/>
      <c r="DH984" s="567"/>
      <c r="DI984" s="567"/>
      <c r="DJ984" s="567"/>
      <c r="DK984" s="567"/>
      <c r="DL984" s="567"/>
      <c r="DM984" s="567"/>
      <c r="DN984" s="567"/>
      <c r="DO984" s="567"/>
      <c r="DP984" s="567"/>
      <c r="DQ984" s="567"/>
      <c r="DR984" s="567"/>
      <c r="DS984" s="567"/>
      <c r="DT984" s="567"/>
      <c r="DU984" s="567"/>
      <c r="DV984" s="567"/>
      <c r="DW984" s="567"/>
      <c r="DX984" s="567"/>
      <c r="DY984" s="567"/>
      <c r="DZ984" s="567"/>
      <c r="EA984" s="567"/>
      <c r="EB984" s="567"/>
      <c r="EC984" s="567"/>
      <c r="ED984" s="567"/>
      <c r="EE984" s="567"/>
      <c r="EF984" s="567"/>
      <c r="EG984" s="567"/>
      <c r="EH984" s="567"/>
      <c r="EI984" s="567"/>
      <c r="EJ984" s="567"/>
      <c r="EK984" s="567"/>
      <c r="EL984" s="567"/>
      <c r="EM984" s="567"/>
      <c r="EN984" s="567"/>
      <c r="EO984" s="567"/>
      <c r="EP984" s="567"/>
      <c r="EQ984" s="567"/>
      <c r="ER984" s="567"/>
      <c r="ES984" s="567"/>
      <c r="ET984" s="567"/>
      <c r="EU984" s="567"/>
      <c r="EV984" s="567"/>
      <c r="EW984" s="567"/>
      <c r="EX984" s="567"/>
      <c r="EY984" s="567"/>
      <c r="EZ984" s="567"/>
      <c r="FA984" s="567"/>
      <c r="FB984" s="567"/>
      <c r="FC984" s="567"/>
      <c r="FD984" s="567"/>
      <c r="FE984" s="567"/>
      <c r="FF984" s="567"/>
      <c r="FG984" s="567"/>
      <c r="FH984" s="567"/>
      <c r="FI984" s="567"/>
      <c r="FJ984" s="567"/>
      <c r="FK984" s="567"/>
      <c r="FL984" s="567"/>
      <c r="FM984" s="567"/>
      <c r="FN984" s="567"/>
      <c r="FO984" s="567"/>
      <c r="FP984" s="567"/>
      <c r="FQ984" s="567"/>
      <c r="FR984" s="567"/>
      <c r="FS984" s="567"/>
      <c r="FT984" s="567"/>
      <c r="FU984" s="567"/>
      <c r="FV984" s="567"/>
      <c r="FW984" s="567"/>
      <c r="FX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  <c r="BW985" s="567"/>
      <c r="BX985" s="567"/>
      <c r="BY985" s="567"/>
      <c r="BZ985" s="567"/>
      <c r="CA985" s="567"/>
      <c r="CB985" s="567"/>
      <c r="CC985" s="567"/>
      <c r="CD985" s="567"/>
      <c r="CE985" s="567"/>
      <c r="CF985" s="567"/>
      <c r="CG985" s="567"/>
      <c r="CH985" s="567"/>
      <c r="CI985" s="567"/>
      <c r="CJ985" s="567"/>
      <c r="CK985" s="567"/>
      <c r="CL985" s="567"/>
      <c r="CM985" s="567"/>
      <c r="CN985" s="567"/>
      <c r="CO985" s="567"/>
      <c r="CP985" s="567"/>
      <c r="CQ985" s="567"/>
      <c r="CR985" s="567"/>
      <c r="CS985" s="567"/>
      <c r="CT985" s="567"/>
      <c r="CU985" s="567"/>
      <c r="CV985" s="567"/>
      <c r="CW985" s="567"/>
      <c r="CX985" s="567"/>
      <c r="CY985" s="567"/>
      <c r="CZ985" s="567"/>
      <c r="DA985" s="567"/>
      <c r="DB985" s="567"/>
      <c r="DC985" s="567"/>
      <c r="DD985" s="567"/>
      <c r="DE985" s="567"/>
      <c r="DF985" s="567"/>
      <c r="DG985" s="567"/>
      <c r="DH985" s="567"/>
      <c r="DI985" s="567"/>
      <c r="DJ985" s="567"/>
      <c r="DK985" s="567"/>
      <c r="DL985" s="567"/>
      <c r="DM985" s="567"/>
      <c r="DN985" s="567"/>
      <c r="DO985" s="567"/>
      <c r="DP985" s="567"/>
      <c r="DQ985" s="567"/>
      <c r="DR985" s="567"/>
      <c r="DS985" s="567"/>
      <c r="DT985" s="567"/>
      <c r="DU985" s="567"/>
      <c r="DV985" s="567"/>
      <c r="DW985" s="567"/>
      <c r="DX985" s="567"/>
      <c r="DY985" s="567"/>
      <c r="DZ985" s="567"/>
      <c r="EA985" s="567"/>
      <c r="EB985" s="567"/>
      <c r="EC985" s="567"/>
      <c r="ED985" s="567"/>
      <c r="EE985" s="567"/>
      <c r="EF985" s="567"/>
      <c r="EG985" s="567"/>
      <c r="EH985" s="567"/>
      <c r="EI985" s="567"/>
      <c r="EJ985" s="567"/>
      <c r="EK985" s="567"/>
      <c r="EL985" s="567"/>
      <c r="EM985" s="567"/>
      <c r="EN985" s="567"/>
      <c r="EO985" s="567"/>
      <c r="EP985" s="567"/>
      <c r="EQ985" s="567"/>
      <c r="ER985" s="567"/>
      <c r="ES985" s="567"/>
      <c r="ET985" s="567"/>
      <c r="EU985" s="567"/>
      <c r="EV985" s="567"/>
      <c r="EW985" s="567"/>
      <c r="EX985" s="567"/>
      <c r="EY985" s="567"/>
      <c r="EZ985" s="567"/>
      <c r="FA985" s="567"/>
      <c r="FB985" s="567"/>
      <c r="FC985" s="567"/>
      <c r="FD985" s="567"/>
      <c r="FE985" s="567"/>
      <c r="FF985" s="567"/>
      <c r="FG985" s="567"/>
      <c r="FH985" s="567"/>
      <c r="FI985" s="567"/>
      <c r="FJ985" s="567"/>
      <c r="FK985" s="567"/>
      <c r="FL985" s="567"/>
      <c r="FM985" s="567"/>
      <c r="FN985" s="567"/>
      <c r="FO985" s="567"/>
      <c r="FP985" s="567"/>
      <c r="FQ985" s="567"/>
      <c r="FR985" s="567"/>
      <c r="FS985" s="567"/>
      <c r="FT985" s="567"/>
      <c r="FU985" s="567"/>
      <c r="FV985" s="567"/>
      <c r="FW985" s="567"/>
      <c r="FX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  <c r="BW986" s="567"/>
      <c r="BX986" s="567"/>
      <c r="BY986" s="567"/>
      <c r="BZ986" s="567"/>
      <c r="CA986" s="567"/>
      <c r="CB986" s="567"/>
      <c r="CC986" s="567"/>
      <c r="CD986" s="567"/>
      <c r="CE986" s="567"/>
      <c r="CF986" s="567"/>
      <c r="CG986" s="567"/>
      <c r="CH986" s="567"/>
      <c r="CI986" s="567"/>
      <c r="CJ986" s="567"/>
      <c r="CK986" s="567"/>
      <c r="CL986" s="567"/>
      <c r="CM986" s="567"/>
      <c r="CN986" s="567"/>
      <c r="CO986" s="567"/>
      <c r="CP986" s="567"/>
      <c r="CQ986" s="567"/>
      <c r="CR986" s="567"/>
      <c r="CS986" s="567"/>
      <c r="CT986" s="567"/>
      <c r="CU986" s="567"/>
      <c r="CV986" s="567"/>
      <c r="CW986" s="567"/>
      <c r="CX986" s="567"/>
      <c r="CY986" s="567"/>
      <c r="CZ986" s="567"/>
      <c r="DA986" s="567"/>
      <c r="DB986" s="567"/>
      <c r="DC986" s="567"/>
      <c r="DD986" s="567"/>
      <c r="DE986" s="567"/>
      <c r="DF986" s="567"/>
      <c r="DG986" s="567"/>
      <c r="DH986" s="567"/>
      <c r="DI986" s="567"/>
      <c r="DJ986" s="567"/>
      <c r="DK986" s="567"/>
      <c r="DL986" s="567"/>
      <c r="DM986" s="567"/>
      <c r="DN986" s="567"/>
      <c r="DO986" s="567"/>
      <c r="DP986" s="567"/>
      <c r="DQ986" s="567"/>
      <c r="DR986" s="567"/>
      <c r="DS986" s="567"/>
      <c r="DT986" s="567"/>
      <c r="DU986" s="567"/>
      <c r="DV986" s="567"/>
      <c r="DW986" s="567"/>
      <c r="DX986" s="567"/>
      <c r="DY986" s="567"/>
      <c r="DZ986" s="567"/>
      <c r="EA986" s="567"/>
      <c r="EB986" s="567"/>
      <c r="EC986" s="567"/>
      <c r="ED986" s="567"/>
      <c r="EE986" s="567"/>
      <c r="EF986" s="567"/>
      <c r="EG986" s="567"/>
      <c r="EH986" s="567"/>
      <c r="EI986" s="567"/>
      <c r="EJ986" s="567"/>
      <c r="EK986" s="567"/>
      <c r="EL986" s="567"/>
      <c r="EM986" s="567"/>
      <c r="EN986" s="567"/>
      <c r="EO986" s="567"/>
      <c r="EP986" s="567"/>
      <c r="EQ986" s="567"/>
      <c r="ER986" s="567"/>
      <c r="ES986" s="567"/>
      <c r="ET986" s="567"/>
      <c r="EU986" s="567"/>
      <c r="EV986" s="567"/>
      <c r="EW986" s="567"/>
      <c r="EX986" s="567"/>
      <c r="EY986" s="567"/>
      <c r="EZ986" s="567"/>
      <c r="FA986" s="567"/>
      <c r="FB986" s="567"/>
      <c r="FC986" s="567"/>
      <c r="FD986" s="567"/>
      <c r="FE986" s="567"/>
      <c r="FF986" s="567"/>
      <c r="FG986" s="567"/>
      <c r="FH986" s="567"/>
      <c r="FI986" s="567"/>
      <c r="FJ986" s="567"/>
      <c r="FK986" s="567"/>
      <c r="FL986" s="567"/>
      <c r="FM986" s="567"/>
      <c r="FN986" s="567"/>
      <c r="FO986" s="567"/>
      <c r="FP986" s="567"/>
      <c r="FQ986" s="567"/>
      <c r="FR986" s="567"/>
      <c r="FS986" s="567"/>
      <c r="FT986" s="567"/>
      <c r="FU986" s="567"/>
      <c r="FV986" s="567"/>
      <c r="FW986" s="567"/>
      <c r="FX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  <c r="BW987" s="567"/>
      <c r="BX987" s="567"/>
      <c r="BY987" s="567"/>
      <c r="BZ987" s="567"/>
      <c r="CA987" s="567"/>
      <c r="CB987" s="567"/>
      <c r="CC987" s="567"/>
      <c r="CD987" s="567"/>
      <c r="CE987" s="567"/>
      <c r="CF987" s="567"/>
      <c r="CG987" s="567"/>
      <c r="CH987" s="567"/>
      <c r="CI987" s="567"/>
      <c r="CJ987" s="567"/>
      <c r="CK987" s="567"/>
      <c r="CL987" s="567"/>
      <c r="CM987" s="567"/>
      <c r="CN987" s="567"/>
      <c r="CO987" s="567"/>
      <c r="CP987" s="567"/>
      <c r="CQ987" s="567"/>
      <c r="CR987" s="567"/>
      <c r="CS987" s="567"/>
      <c r="CT987" s="567"/>
      <c r="CU987" s="567"/>
      <c r="CV987" s="567"/>
      <c r="CW987" s="567"/>
      <c r="CX987" s="567"/>
      <c r="CY987" s="567"/>
      <c r="CZ987" s="567"/>
      <c r="DA987" s="567"/>
      <c r="DB987" s="567"/>
      <c r="DC987" s="567"/>
      <c r="DD987" s="567"/>
      <c r="DE987" s="567"/>
      <c r="DF987" s="567"/>
      <c r="DG987" s="567"/>
      <c r="DH987" s="567"/>
      <c r="DI987" s="567"/>
      <c r="DJ987" s="567"/>
      <c r="DK987" s="567"/>
      <c r="DL987" s="567"/>
      <c r="DM987" s="567"/>
      <c r="DN987" s="567"/>
      <c r="DO987" s="567"/>
      <c r="DP987" s="567"/>
      <c r="DQ987" s="567"/>
      <c r="DR987" s="567"/>
      <c r="DS987" s="567"/>
      <c r="DT987" s="567"/>
      <c r="DU987" s="567"/>
      <c r="DV987" s="567"/>
      <c r="DW987" s="567"/>
      <c r="DX987" s="567"/>
      <c r="DY987" s="567"/>
      <c r="DZ987" s="567"/>
      <c r="EA987" s="567"/>
      <c r="EB987" s="567"/>
      <c r="EC987" s="567"/>
      <c r="ED987" s="567"/>
      <c r="EE987" s="567"/>
      <c r="EF987" s="567"/>
      <c r="EG987" s="567"/>
      <c r="EH987" s="567"/>
      <c r="EI987" s="567"/>
      <c r="EJ987" s="567"/>
      <c r="EK987" s="567"/>
      <c r="EL987" s="567"/>
      <c r="EM987" s="567"/>
      <c r="EN987" s="567"/>
      <c r="EO987" s="567"/>
      <c r="EP987" s="567"/>
      <c r="EQ987" s="567"/>
      <c r="ER987" s="567"/>
      <c r="ES987" s="567"/>
      <c r="ET987" s="567"/>
      <c r="EU987" s="567"/>
      <c r="EV987" s="567"/>
      <c r="EW987" s="567"/>
      <c r="EX987" s="567"/>
      <c r="EY987" s="567"/>
      <c r="EZ987" s="567"/>
      <c r="FA987" s="567"/>
      <c r="FB987" s="567"/>
      <c r="FC987" s="567"/>
      <c r="FD987" s="567"/>
      <c r="FE987" s="567"/>
      <c r="FF987" s="567"/>
      <c r="FG987" s="567"/>
      <c r="FH987" s="567"/>
      <c r="FI987" s="567"/>
      <c r="FJ987" s="567"/>
      <c r="FK987" s="567"/>
      <c r="FL987" s="567"/>
      <c r="FM987" s="567"/>
      <c r="FN987" s="567"/>
      <c r="FO987" s="567"/>
      <c r="FP987" s="567"/>
      <c r="FQ987" s="567"/>
      <c r="FR987" s="567"/>
      <c r="FS987" s="567"/>
      <c r="FT987" s="567"/>
      <c r="FU987" s="567"/>
      <c r="FV987" s="567"/>
      <c r="FW987" s="567"/>
      <c r="FX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  <c r="BW988" s="567"/>
      <c r="BX988" s="567"/>
      <c r="BY988" s="567"/>
      <c r="BZ988" s="567"/>
      <c r="CA988" s="567"/>
      <c r="CB988" s="567"/>
      <c r="CC988" s="567"/>
      <c r="CD988" s="567"/>
      <c r="CE988" s="567"/>
      <c r="CF988" s="567"/>
      <c r="CG988" s="567"/>
      <c r="CH988" s="567"/>
      <c r="CI988" s="567"/>
      <c r="CJ988" s="567"/>
      <c r="CK988" s="567"/>
      <c r="CL988" s="567"/>
      <c r="CM988" s="567"/>
      <c r="CN988" s="567"/>
      <c r="CO988" s="567"/>
      <c r="CP988" s="567"/>
      <c r="CQ988" s="567"/>
      <c r="CR988" s="567"/>
      <c r="CS988" s="567"/>
      <c r="CT988" s="567"/>
      <c r="CU988" s="567"/>
      <c r="CV988" s="567"/>
      <c r="CW988" s="567"/>
      <c r="CX988" s="567"/>
      <c r="CY988" s="567"/>
      <c r="CZ988" s="567"/>
      <c r="DA988" s="567"/>
      <c r="DB988" s="567"/>
      <c r="DC988" s="567"/>
      <c r="DD988" s="567"/>
      <c r="DE988" s="567"/>
      <c r="DF988" s="567"/>
      <c r="DG988" s="567"/>
      <c r="DH988" s="567"/>
      <c r="DI988" s="567"/>
      <c r="DJ988" s="567"/>
      <c r="DK988" s="567"/>
      <c r="DL988" s="567"/>
      <c r="DM988" s="567"/>
      <c r="DN988" s="567"/>
      <c r="DO988" s="567"/>
      <c r="DP988" s="567"/>
      <c r="DQ988" s="567"/>
      <c r="DR988" s="567"/>
      <c r="DS988" s="567"/>
      <c r="DT988" s="567"/>
      <c r="DU988" s="567"/>
      <c r="DV988" s="567"/>
      <c r="DW988" s="567"/>
      <c r="DX988" s="567"/>
      <c r="DY988" s="567"/>
      <c r="DZ988" s="567"/>
      <c r="EA988" s="567"/>
      <c r="EB988" s="567"/>
      <c r="EC988" s="567"/>
      <c r="ED988" s="567"/>
      <c r="EE988" s="567"/>
      <c r="EF988" s="567"/>
      <c r="EG988" s="567"/>
      <c r="EH988" s="567"/>
      <c r="EI988" s="567"/>
      <c r="EJ988" s="567"/>
      <c r="EK988" s="567"/>
      <c r="EL988" s="567"/>
      <c r="EM988" s="567"/>
      <c r="EN988" s="567"/>
      <c r="EO988" s="567"/>
      <c r="EP988" s="567"/>
      <c r="EQ988" s="567"/>
      <c r="ER988" s="567"/>
      <c r="ES988" s="567"/>
      <c r="ET988" s="567"/>
      <c r="EU988" s="567"/>
      <c r="EV988" s="567"/>
      <c r="EW988" s="567"/>
      <c r="EX988" s="567"/>
      <c r="EY988" s="567"/>
      <c r="EZ988" s="567"/>
      <c r="FA988" s="567"/>
      <c r="FB988" s="567"/>
      <c r="FC988" s="567"/>
      <c r="FD988" s="567"/>
      <c r="FE988" s="567"/>
      <c r="FF988" s="567"/>
      <c r="FG988" s="567"/>
      <c r="FH988" s="567"/>
      <c r="FI988" s="567"/>
      <c r="FJ988" s="567"/>
      <c r="FK988" s="567"/>
      <c r="FL988" s="567"/>
      <c r="FM988" s="567"/>
      <c r="FN988" s="567"/>
      <c r="FO988" s="567"/>
      <c r="FP988" s="567"/>
      <c r="FQ988" s="567"/>
      <c r="FR988" s="567"/>
      <c r="FS988" s="567"/>
      <c r="FT988" s="567"/>
      <c r="FU988" s="567"/>
      <c r="FV988" s="567"/>
      <c r="FW988" s="567"/>
      <c r="FX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  <c r="BW989" s="567"/>
      <c r="BX989" s="567"/>
      <c r="BY989" s="567"/>
      <c r="BZ989" s="567"/>
      <c r="CA989" s="567"/>
      <c r="CB989" s="567"/>
      <c r="CC989" s="567"/>
      <c r="CD989" s="567"/>
      <c r="CE989" s="567"/>
      <c r="CF989" s="567"/>
      <c r="CG989" s="567"/>
      <c r="CH989" s="567"/>
      <c r="CI989" s="567"/>
      <c r="CJ989" s="567"/>
      <c r="CK989" s="567"/>
      <c r="CL989" s="567"/>
      <c r="CM989" s="567"/>
      <c r="CN989" s="567"/>
      <c r="CO989" s="567"/>
      <c r="CP989" s="567"/>
      <c r="CQ989" s="567"/>
      <c r="CR989" s="567"/>
      <c r="CS989" s="567"/>
      <c r="CT989" s="567"/>
      <c r="CU989" s="567"/>
      <c r="CV989" s="567"/>
      <c r="CW989" s="567"/>
      <c r="CX989" s="567"/>
      <c r="CY989" s="567"/>
      <c r="CZ989" s="567"/>
      <c r="DA989" s="567"/>
      <c r="DB989" s="567"/>
      <c r="DC989" s="567"/>
      <c r="DD989" s="567"/>
      <c r="DE989" s="567"/>
      <c r="DF989" s="567"/>
      <c r="DG989" s="567"/>
      <c r="DH989" s="567"/>
      <c r="DI989" s="567"/>
      <c r="DJ989" s="567"/>
      <c r="DK989" s="567"/>
      <c r="DL989" s="567"/>
      <c r="DM989" s="567"/>
      <c r="DN989" s="567"/>
      <c r="DO989" s="567"/>
      <c r="DP989" s="567"/>
      <c r="DQ989" s="567"/>
      <c r="DR989" s="567"/>
      <c r="DS989" s="567"/>
      <c r="DT989" s="567"/>
      <c r="DU989" s="567"/>
      <c r="DV989" s="567"/>
      <c r="DW989" s="567"/>
      <c r="DX989" s="567"/>
      <c r="DY989" s="567"/>
      <c r="DZ989" s="567"/>
      <c r="EA989" s="567"/>
      <c r="EB989" s="567"/>
      <c r="EC989" s="567"/>
      <c r="ED989" s="567"/>
      <c r="EE989" s="567"/>
      <c r="EF989" s="567"/>
      <c r="EG989" s="567"/>
      <c r="EH989" s="567"/>
      <c r="EI989" s="567"/>
      <c r="EJ989" s="567"/>
      <c r="EK989" s="567"/>
      <c r="EL989" s="567"/>
      <c r="EM989" s="567"/>
      <c r="EN989" s="567"/>
      <c r="EO989" s="567"/>
      <c r="EP989" s="567"/>
      <c r="EQ989" s="567"/>
      <c r="ER989" s="567"/>
      <c r="ES989" s="567"/>
      <c r="ET989" s="567"/>
      <c r="EU989" s="567"/>
      <c r="EV989" s="567"/>
      <c r="EW989" s="567"/>
      <c r="EX989" s="567"/>
      <c r="EY989" s="567"/>
      <c r="EZ989" s="567"/>
      <c r="FA989" s="567"/>
      <c r="FB989" s="567"/>
      <c r="FC989" s="567"/>
      <c r="FD989" s="567"/>
      <c r="FE989" s="567"/>
      <c r="FF989" s="567"/>
      <c r="FG989" s="567"/>
      <c r="FH989" s="567"/>
      <c r="FI989" s="567"/>
      <c r="FJ989" s="567"/>
      <c r="FK989" s="567"/>
      <c r="FL989" s="567"/>
      <c r="FM989" s="567"/>
      <c r="FN989" s="567"/>
      <c r="FO989" s="567"/>
      <c r="FP989" s="567"/>
      <c r="FQ989" s="567"/>
      <c r="FR989" s="567"/>
      <c r="FS989" s="567"/>
      <c r="FT989" s="567"/>
      <c r="FU989" s="567"/>
      <c r="FV989" s="567"/>
      <c r="FW989" s="567"/>
      <c r="FX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  <c r="BW990" s="567"/>
      <c r="BX990" s="567"/>
      <c r="BY990" s="567"/>
      <c r="BZ990" s="567"/>
      <c r="CA990" s="567"/>
      <c r="CB990" s="567"/>
      <c r="CC990" s="567"/>
      <c r="CD990" s="567"/>
      <c r="CE990" s="567"/>
      <c r="CF990" s="567"/>
      <c r="CG990" s="567"/>
      <c r="CH990" s="567"/>
      <c r="CI990" s="567"/>
      <c r="CJ990" s="567"/>
      <c r="CK990" s="567"/>
      <c r="CL990" s="567"/>
      <c r="CM990" s="567"/>
      <c r="CN990" s="567"/>
      <c r="CO990" s="567"/>
      <c r="CP990" s="567"/>
      <c r="CQ990" s="567"/>
      <c r="CR990" s="567"/>
      <c r="CS990" s="567"/>
      <c r="CT990" s="567"/>
      <c r="CU990" s="567"/>
      <c r="CV990" s="567"/>
      <c r="CW990" s="567"/>
      <c r="CX990" s="567"/>
      <c r="CY990" s="567"/>
      <c r="CZ990" s="567"/>
      <c r="DA990" s="567"/>
      <c r="DB990" s="567"/>
      <c r="DC990" s="567"/>
      <c r="DD990" s="567"/>
      <c r="DE990" s="567"/>
      <c r="DF990" s="567"/>
      <c r="DG990" s="567"/>
      <c r="DH990" s="567"/>
      <c r="DI990" s="567"/>
      <c r="DJ990" s="567"/>
      <c r="DK990" s="567"/>
      <c r="DL990" s="567"/>
      <c r="DM990" s="567"/>
      <c r="DN990" s="567"/>
      <c r="DO990" s="567"/>
      <c r="DP990" s="567"/>
      <c r="DQ990" s="567"/>
      <c r="DR990" s="567"/>
      <c r="DS990" s="567"/>
      <c r="DT990" s="567"/>
      <c r="DU990" s="567"/>
      <c r="DV990" s="567"/>
      <c r="DW990" s="567"/>
      <c r="DX990" s="567"/>
      <c r="DY990" s="567"/>
      <c r="DZ990" s="567"/>
      <c r="EA990" s="567"/>
      <c r="EB990" s="567"/>
      <c r="EC990" s="567"/>
      <c r="ED990" s="567"/>
      <c r="EE990" s="567"/>
      <c r="EF990" s="567"/>
      <c r="EG990" s="567"/>
      <c r="EH990" s="567"/>
      <c r="EI990" s="567"/>
      <c r="EJ990" s="567"/>
      <c r="EK990" s="567"/>
      <c r="EL990" s="567"/>
      <c r="EM990" s="567"/>
      <c r="EN990" s="567"/>
      <c r="EO990" s="567"/>
      <c r="EP990" s="567"/>
      <c r="EQ990" s="567"/>
      <c r="ER990" s="567"/>
      <c r="ES990" s="567"/>
      <c r="ET990" s="567"/>
      <c r="EU990" s="567"/>
      <c r="EV990" s="567"/>
      <c r="EW990" s="567"/>
      <c r="EX990" s="567"/>
      <c r="EY990" s="567"/>
      <c r="EZ990" s="567"/>
      <c r="FA990" s="567"/>
      <c r="FB990" s="567"/>
      <c r="FC990" s="567"/>
      <c r="FD990" s="567"/>
      <c r="FE990" s="567"/>
      <c r="FF990" s="567"/>
      <c r="FG990" s="567"/>
      <c r="FH990" s="567"/>
      <c r="FI990" s="567"/>
      <c r="FJ990" s="567"/>
      <c r="FK990" s="567"/>
      <c r="FL990" s="567"/>
      <c r="FM990" s="567"/>
      <c r="FN990" s="567"/>
      <c r="FO990" s="567"/>
      <c r="FP990" s="567"/>
      <c r="FQ990" s="567"/>
      <c r="FR990" s="567"/>
      <c r="FS990" s="567"/>
      <c r="FT990" s="567"/>
      <c r="FU990" s="567"/>
      <c r="FV990" s="567"/>
      <c r="FW990" s="567"/>
      <c r="FX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  <c r="BW991" s="567"/>
      <c r="BX991" s="567"/>
      <c r="BY991" s="567"/>
      <c r="BZ991" s="567"/>
      <c r="CA991" s="567"/>
      <c r="CB991" s="567"/>
      <c r="CC991" s="567"/>
      <c r="CD991" s="567"/>
      <c r="CE991" s="567"/>
      <c r="CF991" s="567"/>
      <c r="CG991" s="567"/>
      <c r="CH991" s="567"/>
      <c r="CI991" s="567"/>
      <c r="CJ991" s="567"/>
      <c r="CK991" s="567"/>
      <c r="CL991" s="567"/>
      <c r="CM991" s="567"/>
      <c r="CN991" s="567"/>
      <c r="CO991" s="567"/>
      <c r="CP991" s="567"/>
      <c r="CQ991" s="567"/>
      <c r="CR991" s="567"/>
      <c r="CS991" s="567"/>
      <c r="CT991" s="567"/>
      <c r="CU991" s="567"/>
      <c r="CV991" s="567"/>
      <c r="CW991" s="567"/>
      <c r="CX991" s="567"/>
      <c r="CY991" s="567"/>
      <c r="CZ991" s="567"/>
      <c r="DA991" s="567"/>
      <c r="DB991" s="567"/>
      <c r="DC991" s="567"/>
      <c r="DD991" s="567"/>
      <c r="DE991" s="567"/>
      <c r="DF991" s="567"/>
      <c r="DG991" s="567"/>
      <c r="DH991" s="567"/>
      <c r="DI991" s="567"/>
      <c r="DJ991" s="567"/>
      <c r="DK991" s="567"/>
      <c r="DL991" s="567"/>
      <c r="DM991" s="567"/>
      <c r="DN991" s="567"/>
      <c r="DO991" s="567"/>
      <c r="DP991" s="567"/>
      <c r="DQ991" s="567"/>
      <c r="DR991" s="567"/>
      <c r="DS991" s="567"/>
      <c r="DT991" s="567"/>
      <c r="DU991" s="567"/>
      <c r="DV991" s="567"/>
      <c r="DW991" s="567"/>
      <c r="DX991" s="567"/>
      <c r="DY991" s="567"/>
      <c r="DZ991" s="567"/>
      <c r="EA991" s="567"/>
      <c r="EB991" s="567"/>
      <c r="EC991" s="567"/>
      <c r="ED991" s="567"/>
      <c r="EE991" s="567"/>
      <c r="EF991" s="567"/>
      <c r="EG991" s="567"/>
      <c r="EH991" s="567"/>
      <c r="EI991" s="567"/>
      <c r="EJ991" s="567"/>
      <c r="EK991" s="567"/>
      <c r="EL991" s="567"/>
      <c r="EM991" s="567"/>
      <c r="EN991" s="567"/>
      <c r="EO991" s="567"/>
      <c r="EP991" s="567"/>
      <c r="EQ991" s="567"/>
      <c r="ER991" s="567"/>
      <c r="ES991" s="567"/>
      <c r="ET991" s="567"/>
      <c r="EU991" s="567"/>
      <c r="EV991" s="567"/>
      <c r="EW991" s="567"/>
      <c r="EX991" s="567"/>
      <c r="EY991" s="567"/>
      <c r="EZ991" s="567"/>
      <c r="FA991" s="567"/>
      <c r="FB991" s="567"/>
      <c r="FC991" s="567"/>
      <c r="FD991" s="567"/>
      <c r="FE991" s="567"/>
      <c r="FF991" s="567"/>
      <c r="FG991" s="567"/>
      <c r="FH991" s="567"/>
      <c r="FI991" s="567"/>
      <c r="FJ991" s="567"/>
      <c r="FK991" s="567"/>
      <c r="FL991" s="567"/>
      <c r="FM991" s="567"/>
      <c r="FN991" s="567"/>
      <c r="FO991" s="567"/>
      <c r="FP991" s="567"/>
      <c r="FQ991" s="567"/>
      <c r="FR991" s="567"/>
      <c r="FS991" s="567"/>
      <c r="FT991" s="567"/>
      <c r="FU991" s="567"/>
      <c r="FV991" s="567"/>
      <c r="FW991" s="567"/>
      <c r="FX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  <c r="BW992" s="567"/>
      <c r="BX992" s="567"/>
      <c r="BY992" s="567"/>
      <c r="BZ992" s="567"/>
      <c r="CA992" s="567"/>
      <c r="CB992" s="567"/>
      <c r="CC992" s="567"/>
      <c r="CD992" s="567"/>
      <c r="CE992" s="567"/>
      <c r="CF992" s="567"/>
      <c r="CG992" s="567"/>
      <c r="CH992" s="567"/>
      <c r="CI992" s="567"/>
      <c r="CJ992" s="567"/>
      <c r="CK992" s="567"/>
      <c r="CL992" s="567"/>
      <c r="CM992" s="567"/>
      <c r="CN992" s="567"/>
      <c r="CO992" s="567"/>
      <c r="CP992" s="567"/>
      <c r="CQ992" s="567"/>
      <c r="CR992" s="567"/>
      <c r="CS992" s="567"/>
      <c r="CT992" s="567"/>
      <c r="CU992" s="567"/>
      <c r="CV992" s="567"/>
      <c r="CW992" s="567"/>
      <c r="CX992" s="567"/>
      <c r="CY992" s="567"/>
      <c r="CZ992" s="567"/>
      <c r="DA992" s="567"/>
      <c r="DB992" s="567"/>
      <c r="DC992" s="567"/>
      <c r="DD992" s="567"/>
      <c r="DE992" s="567"/>
      <c r="DF992" s="567"/>
      <c r="DG992" s="567"/>
      <c r="DH992" s="567"/>
      <c r="DI992" s="567"/>
      <c r="DJ992" s="567"/>
      <c r="DK992" s="567"/>
      <c r="DL992" s="567"/>
      <c r="DM992" s="567"/>
      <c r="DN992" s="567"/>
      <c r="DO992" s="567"/>
      <c r="DP992" s="567"/>
      <c r="DQ992" s="567"/>
      <c r="DR992" s="567"/>
      <c r="DS992" s="567"/>
      <c r="DT992" s="567"/>
      <c r="DU992" s="567"/>
      <c r="DV992" s="567"/>
      <c r="DW992" s="567"/>
      <c r="DX992" s="567"/>
      <c r="DY992" s="567"/>
      <c r="DZ992" s="567"/>
      <c r="EA992" s="567"/>
      <c r="EB992" s="567"/>
      <c r="EC992" s="567"/>
      <c r="ED992" s="567"/>
      <c r="EE992" s="567"/>
      <c r="EF992" s="567"/>
      <c r="EG992" s="567"/>
      <c r="EH992" s="567"/>
      <c r="EI992" s="567"/>
      <c r="EJ992" s="567"/>
      <c r="EK992" s="567"/>
      <c r="EL992" s="567"/>
      <c r="EM992" s="567"/>
      <c r="EN992" s="567"/>
      <c r="EO992" s="567"/>
      <c r="EP992" s="567"/>
      <c r="EQ992" s="567"/>
      <c r="ER992" s="567"/>
      <c r="ES992" s="567"/>
      <c r="ET992" s="567"/>
      <c r="EU992" s="567"/>
      <c r="EV992" s="567"/>
      <c r="EW992" s="567"/>
      <c r="EX992" s="567"/>
      <c r="EY992" s="567"/>
      <c r="EZ992" s="567"/>
      <c r="FA992" s="567"/>
      <c r="FB992" s="567"/>
      <c r="FC992" s="567"/>
      <c r="FD992" s="567"/>
      <c r="FE992" s="567"/>
      <c r="FF992" s="567"/>
      <c r="FG992" s="567"/>
      <c r="FH992" s="567"/>
      <c r="FI992" s="567"/>
      <c r="FJ992" s="567"/>
      <c r="FK992" s="567"/>
      <c r="FL992" s="567"/>
      <c r="FM992" s="567"/>
      <c r="FN992" s="567"/>
      <c r="FO992" s="567"/>
      <c r="FP992" s="567"/>
      <c r="FQ992" s="567"/>
      <c r="FR992" s="567"/>
      <c r="FS992" s="567"/>
      <c r="FT992" s="567"/>
      <c r="FU992" s="567"/>
      <c r="FV992" s="567"/>
      <c r="FW992" s="567"/>
      <c r="FX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  <c r="BW993" s="567"/>
      <c r="BX993" s="567"/>
      <c r="BY993" s="567"/>
      <c r="BZ993" s="567"/>
      <c r="CA993" s="567"/>
      <c r="CB993" s="567"/>
      <c r="CC993" s="567"/>
      <c r="CD993" s="567"/>
      <c r="CE993" s="567"/>
      <c r="CF993" s="567"/>
      <c r="CG993" s="567"/>
      <c r="CH993" s="567"/>
      <c r="CI993" s="567"/>
      <c r="CJ993" s="567"/>
      <c r="CK993" s="567"/>
      <c r="CL993" s="567"/>
      <c r="CM993" s="567"/>
      <c r="CN993" s="567"/>
      <c r="CO993" s="567"/>
      <c r="CP993" s="567"/>
      <c r="CQ993" s="567"/>
      <c r="CR993" s="567"/>
      <c r="CS993" s="567"/>
      <c r="CT993" s="567"/>
      <c r="CU993" s="567"/>
      <c r="CV993" s="567"/>
      <c r="CW993" s="567"/>
      <c r="CX993" s="567"/>
      <c r="CY993" s="567"/>
      <c r="CZ993" s="567"/>
      <c r="DA993" s="567"/>
      <c r="DB993" s="567"/>
      <c r="DC993" s="567"/>
      <c r="DD993" s="567"/>
      <c r="DE993" s="567"/>
      <c r="DF993" s="567"/>
      <c r="DG993" s="567"/>
      <c r="DH993" s="567"/>
      <c r="DI993" s="567"/>
      <c r="DJ993" s="567"/>
      <c r="DK993" s="567"/>
      <c r="DL993" s="567"/>
      <c r="DM993" s="567"/>
      <c r="DN993" s="567"/>
      <c r="DO993" s="567"/>
      <c r="DP993" s="567"/>
      <c r="DQ993" s="567"/>
      <c r="DR993" s="567"/>
      <c r="DS993" s="567"/>
      <c r="DT993" s="567"/>
      <c r="DU993" s="567"/>
      <c r="DV993" s="567"/>
      <c r="DW993" s="567"/>
      <c r="DX993" s="567"/>
      <c r="DY993" s="567"/>
      <c r="DZ993" s="567"/>
      <c r="EA993" s="567"/>
      <c r="EB993" s="567"/>
      <c r="EC993" s="567"/>
      <c r="ED993" s="567"/>
      <c r="EE993" s="567"/>
      <c r="EF993" s="567"/>
      <c r="EG993" s="567"/>
      <c r="EH993" s="567"/>
      <c r="EI993" s="567"/>
      <c r="EJ993" s="567"/>
      <c r="EK993" s="567"/>
      <c r="EL993" s="567"/>
      <c r="EM993" s="567"/>
      <c r="EN993" s="567"/>
      <c r="EO993" s="567"/>
      <c r="EP993" s="567"/>
      <c r="EQ993" s="567"/>
      <c r="ER993" s="567"/>
      <c r="ES993" s="567"/>
      <c r="ET993" s="567"/>
      <c r="EU993" s="567"/>
      <c r="EV993" s="567"/>
      <c r="EW993" s="567"/>
      <c r="EX993" s="567"/>
      <c r="EY993" s="567"/>
      <c r="EZ993" s="567"/>
      <c r="FA993" s="567"/>
      <c r="FB993" s="567"/>
      <c r="FC993" s="567"/>
      <c r="FD993" s="567"/>
      <c r="FE993" s="567"/>
      <c r="FF993" s="567"/>
      <c r="FG993" s="567"/>
      <c r="FH993" s="567"/>
      <c r="FI993" s="567"/>
      <c r="FJ993" s="567"/>
      <c r="FK993" s="567"/>
      <c r="FL993" s="567"/>
      <c r="FM993" s="567"/>
      <c r="FN993" s="567"/>
      <c r="FO993" s="567"/>
      <c r="FP993" s="567"/>
      <c r="FQ993" s="567"/>
      <c r="FR993" s="567"/>
      <c r="FS993" s="567"/>
      <c r="FT993" s="567"/>
      <c r="FU993" s="567"/>
      <c r="FV993" s="567"/>
      <c r="FW993" s="567"/>
      <c r="FX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  <c r="BW994" s="567"/>
      <c r="BX994" s="567"/>
      <c r="BY994" s="567"/>
      <c r="BZ994" s="567"/>
      <c r="CA994" s="567"/>
      <c r="CB994" s="567"/>
      <c r="CC994" s="567"/>
      <c r="CD994" s="567"/>
      <c r="CE994" s="567"/>
      <c r="CF994" s="567"/>
      <c r="CG994" s="567"/>
      <c r="CH994" s="567"/>
      <c r="CI994" s="567"/>
      <c r="CJ994" s="567"/>
      <c r="CK994" s="567"/>
      <c r="CL994" s="567"/>
      <c r="CM994" s="567"/>
      <c r="CN994" s="567"/>
      <c r="CO994" s="567"/>
      <c r="CP994" s="567"/>
      <c r="CQ994" s="567"/>
      <c r="CR994" s="567"/>
      <c r="CS994" s="567"/>
      <c r="CT994" s="567"/>
      <c r="CU994" s="567"/>
      <c r="CV994" s="567"/>
      <c r="CW994" s="567"/>
      <c r="CX994" s="567"/>
      <c r="CY994" s="567"/>
      <c r="CZ994" s="567"/>
      <c r="DA994" s="567"/>
      <c r="DB994" s="567"/>
      <c r="DC994" s="567"/>
      <c r="DD994" s="567"/>
      <c r="DE994" s="567"/>
      <c r="DF994" s="567"/>
      <c r="DG994" s="567"/>
      <c r="DH994" s="567"/>
      <c r="DI994" s="567"/>
      <c r="DJ994" s="567"/>
      <c r="DK994" s="567"/>
      <c r="DL994" s="567"/>
      <c r="DM994" s="567"/>
      <c r="DN994" s="567"/>
      <c r="DO994" s="567"/>
      <c r="DP994" s="567"/>
      <c r="DQ994" s="567"/>
      <c r="DR994" s="567"/>
      <c r="DS994" s="567"/>
      <c r="DT994" s="567"/>
      <c r="DU994" s="567"/>
      <c r="DV994" s="567"/>
      <c r="DW994" s="567"/>
      <c r="DX994" s="567"/>
      <c r="DY994" s="567"/>
      <c r="DZ994" s="567"/>
      <c r="EA994" s="567"/>
      <c r="EB994" s="567"/>
      <c r="EC994" s="567"/>
      <c r="ED994" s="567"/>
      <c r="EE994" s="567"/>
      <c r="EF994" s="567"/>
      <c r="EG994" s="567"/>
      <c r="EH994" s="567"/>
      <c r="EI994" s="567"/>
      <c r="EJ994" s="567"/>
      <c r="EK994" s="567"/>
      <c r="EL994" s="567"/>
      <c r="EM994" s="567"/>
      <c r="EN994" s="567"/>
      <c r="EO994" s="567"/>
      <c r="EP994" s="567"/>
      <c r="EQ994" s="567"/>
      <c r="ER994" s="567"/>
      <c r="ES994" s="567"/>
      <c r="ET994" s="567"/>
      <c r="EU994" s="567"/>
      <c r="EV994" s="567"/>
      <c r="EW994" s="567"/>
      <c r="EX994" s="567"/>
      <c r="EY994" s="567"/>
      <c r="EZ994" s="567"/>
      <c r="FA994" s="567"/>
      <c r="FB994" s="567"/>
      <c r="FC994" s="567"/>
      <c r="FD994" s="567"/>
      <c r="FE994" s="567"/>
      <c r="FF994" s="567"/>
      <c r="FG994" s="567"/>
      <c r="FH994" s="567"/>
      <c r="FI994" s="567"/>
      <c r="FJ994" s="567"/>
      <c r="FK994" s="567"/>
      <c r="FL994" s="567"/>
      <c r="FM994" s="567"/>
      <c r="FN994" s="567"/>
      <c r="FO994" s="567"/>
      <c r="FP994" s="567"/>
      <c r="FQ994" s="567"/>
      <c r="FR994" s="567"/>
      <c r="FS994" s="567"/>
      <c r="FT994" s="567"/>
      <c r="FU994" s="567"/>
      <c r="FV994" s="567"/>
      <c r="FW994" s="567"/>
      <c r="FX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  <c r="BW995" s="567"/>
      <c r="BX995" s="567"/>
      <c r="BY995" s="567"/>
      <c r="BZ995" s="567"/>
      <c r="CA995" s="567"/>
      <c r="CB995" s="567"/>
      <c r="CC995" s="567"/>
      <c r="CD995" s="567"/>
      <c r="CE995" s="567"/>
      <c r="CF995" s="567"/>
      <c r="CG995" s="567"/>
      <c r="CH995" s="567"/>
      <c r="CI995" s="567"/>
      <c r="CJ995" s="567"/>
      <c r="CK995" s="567"/>
      <c r="CL995" s="567"/>
      <c r="CM995" s="567"/>
      <c r="CN995" s="567"/>
      <c r="CO995" s="567"/>
      <c r="CP995" s="567"/>
      <c r="CQ995" s="567"/>
      <c r="CR995" s="567"/>
      <c r="CS995" s="567"/>
      <c r="CT995" s="567"/>
      <c r="CU995" s="567"/>
      <c r="CV995" s="567"/>
      <c r="CW995" s="567"/>
      <c r="CX995" s="567"/>
      <c r="CY995" s="567"/>
      <c r="CZ995" s="567"/>
      <c r="DA995" s="567"/>
      <c r="DB995" s="567"/>
      <c r="DC995" s="567"/>
      <c r="DD995" s="567"/>
      <c r="DE995" s="567"/>
      <c r="DF995" s="567"/>
      <c r="DG995" s="567"/>
      <c r="DH995" s="567"/>
      <c r="DI995" s="567"/>
      <c r="DJ995" s="567"/>
      <c r="DK995" s="567"/>
      <c r="DL995" s="567"/>
      <c r="DM995" s="567"/>
      <c r="DN995" s="567"/>
      <c r="DO995" s="567"/>
      <c r="DP995" s="567"/>
      <c r="DQ995" s="567"/>
      <c r="DR995" s="567"/>
      <c r="DS995" s="567"/>
      <c r="DT995" s="567"/>
      <c r="DU995" s="567"/>
      <c r="DV995" s="567"/>
      <c r="DW995" s="567"/>
      <c r="DX995" s="567"/>
      <c r="DY995" s="567"/>
      <c r="DZ995" s="567"/>
      <c r="EA995" s="567"/>
      <c r="EB995" s="567"/>
      <c r="EC995" s="567"/>
      <c r="ED995" s="567"/>
      <c r="EE995" s="567"/>
      <c r="EF995" s="567"/>
      <c r="EG995" s="567"/>
      <c r="EH995" s="567"/>
      <c r="EI995" s="567"/>
      <c r="EJ995" s="567"/>
      <c r="EK995" s="567"/>
      <c r="EL995" s="567"/>
      <c r="EM995" s="567"/>
      <c r="EN995" s="567"/>
      <c r="EO995" s="567"/>
      <c r="EP995" s="567"/>
      <c r="EQ995" s="567"/>
      <c r="ER995" s="567"/>
      <c r="ES995" s="567"/>
      <c r="ET995" s="567"/>
      <c r="EU995" s="567"/>
      <c r="EV995" s="567"/>
      <c r="EW995" s="567"/>
      <c r="EX995" s="567"/>
      <c r="EY995" s="567"/>
      <c r="EZ995" s="567"/>
      <c r="FA995" s="567"/>
      <c r="FB995" s="567"/>
      <c r="FC995" s="567"/>
      <c r="FD995" s="567"/>
      <c r="FE995" s="567"/>
      <c r="FF995" s="567"/>
      <c r="FG995" s="567"/>
      <c r="FH995" s="567"/>
      <c r="FI995" s="567"/>
      <c r="FJ995" s="567"/>
      <c r="FK995" s="567"/>
      <c r="FL995" s="567"/>
      <c r="FM995" s="567"/>
      <c r="FN995" s="567"/>
      <c r="FO995" s="567"/>
      <c r="FP995" s="567"/>
      <c r="FQ995" s="567"/>
      <c r="FR995" s="567"/>
      <c r="FS995" s="567"/>
      <c r="FT995" s="567"/>
      <c r="FU995" s="567"/>
      <c r="FV995" s="567"/>
      <c r="FW995" s="567"/>
      <c r="FX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  <c r="BW996" s="567"/>
      <c r="BX996" s="567"/>
      <c r="BY996" s="567"/>
      <c r="BZ996" s="567"/>
      <c r="CA996" s="567"/>
      <c r="CB996" s="567"/>
      <c r="CC996" s="567"/>
      <c r="CD996" s="567"/>
      <c r="CE996" s="567"/>
      <c r="CF996" s="567"/>
      <c r="CG996" s="567"/>
      <c r="CH996" s="567"/>
      <c r="CI996" s="567"/>
      <c r="CJ996" s="567"/>
      <c r="CK996" s="567"/>
      <c r="CL996" s="567"/>
      <c r="CM996" s="567"/>
      <c r="CN996" s="567"/>
      <c r="CO996" s="567"/>
      <c r="CP996" s="567"/>
      <c r="CQ996" s="567"/>
      <c r="CR996" s="567"/>
      <c r="CS996" s="567"/>
      <c r="CT996" s="567"/>
      <c r="CU996" s="567"/>
      <c r="CV996" s="567"/>
      <c r="CW996" s="567"/>
      <c r="CX996" s="567"/>
      <c r="CY996" s="567"/>
      <c r="CZ996" s="567"/>
      <c r="DA996" s="567"/>
      <c r="DB996" s="567"/>
      <c r="DC996" s="567"/>
      <c r="DD996" s="567"/>
      <c r="DE996" s="567"/>
      <c r="DF996" s="567"/>
      <c r="DG996" s="567"/>
      <c r="DH996" s="567"/>
      <c r="DI996" s="567"/>
      <c r="DJ996" s="567"/>
      <c r="DK996" s="567"/>
      <c r="DL996" s="567"/>
      <c r="DM996" s="567"/>
      <c r="DN996" s="567"/>
      <c r="DO996" s="567"/>
      <c r="DP996" s="567"/>
      <c r="DQ996" s="567"/>
      <c r="DR996" s="567"/>
      <c r="DS996" s="567"/>
      <c r="DT996" s="567"/>
      <c r="DU996" s="567"/>
      <c r="DV996" s="567"/>
      <c r="DW996" s="567"/>
      <c r="DX996" s="567"/>
      <c r="DY996" s="567"/>
      <c r="DZ996" s="567"/>
      <c r="EA996" s="567"/>
      <c r="EB996" s="567"/>
      <c r="EC996" s="567"/>
      <c r="ED996" s="567"/>
      <c r="EE996" s="567"/>
      <c r="EF996" s="567"/>
      <c r="EG996" s="567"/>
      <c r="EH996" s="567"/>
      <c r="EI996" s="567"/>
      <c r="EJ996" s="567"/>
      <c r="EK996" s="567"/>
      <c r="EL996" s="567"/>
      <c r="EM996" s="567"/>
      <c r="EN996" s="567"/>
      <c r="EO996" s="567"/>
      <c r="EP996" s="567"/>
      <c r="EQ996" s="567"/>
      <c r="ER996" s="567"/>
      <c r="ES996" s="567"/>
      <c r="ET996" s="567"/>
      <c r="EU996" s="567"/>
      <c r="EV996" s="567"/>
      <c r="EW996" s="567"/>
      <c r="EX996" s="567"/>
      <c r="EY996" s="567"/>
      <c r="EZ996" s="567"/>
      <c r="FA996" s="567"/>
      <c r="FB996" s="567"/>
      <c r="FC996" s="567"/>
      <c r="FD996" s="567"/>
      <c r="FE996" s="567"/>
      <c r="FF996" s="567"/>
      <c r="FG996" s="567"/>
      <c r="FH996" s="567"/>
      <c r="FI996" s="567"/>
      <c r="FJ996" s="567"/>
      <c r="FK996" s="567"/>
      <c r="FL996" s="567"/>
      <c r="FM996" s="567"/>
      <c r="FN996" s="567"/>
      <c r="FO996" s="567"/>
      <c r="FP996" s="567"/>
      <c r="FQ996" s="567"/>
      <c r="FR996" s="567"/>
      <c r="FS996" s="567"/>
      <c r="FT996" s="567"/>
      <c r="FU996" s="567"/>
      <c r="FV996" s="567"/>
      <c r="FW996" s="567"/>
      <c r="FX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  <c r="BW997" s="567"/>
      <c r="BX997" s="567"/>
      <c r="BY997" s="567"/>
      <c r="BZ997" s="567"/>
      <c r="CA997" s="567"/>
      <c r="CB997" s="567"/>
      <c r="CC997" s="567"/>
      <c r="CD997" s="567"/>
      <c r="CE997" s="567"/>
      <c r="CF997" s="567"/>
      <c r="CG997" s="567"/>
      <c r="CH997" s="567"/>
      <c r="CI997" s="567"/>
      <c r="CJ997" s="567"/>
      <c r="CK997" s="567"/>
      <c r="CL997" s="567"/>
      <c r="CM997" s="567"/>
      <c r="CN997" s="567"/>
      <c r="CO997" s="567"/>
      <c r="CP997" s="567"/>
      <c r="CQ997" s="567"/>
      <c r="CR997" s="567"/>
      <c r="CS997" s="567"/>
      <c r="CT997" s="567"/>
      <c r="CU997" s="567"/>
      <c r="CV997" s="567"/>
      <c r="CW997" s="567"/>
      <c r="CX997" s="567"/>
      <c r="CY997" s="567"/>
      <c r="CZ997" s="567"/>
      <c r="DA997" s="567"/>
      <c r="DB997" s="567"/>
      <c r="DC997" s="567"/>
      <c r="DD997" s="567"/>
      <c r="DE997" s="567"/>
      <c r="DF997" s="567"/>
      <c r="DG997" s="567"/>
      <c r="DH997" s="567"/>
      <c r="DI997" s="567"/>
      <c r="DJ997" s="567"/>
      <c r="DK997" s="567"/>
      <c r="DL997" s="567"/>
      <c r="DM997" s="567"/>
      <c r="DN997" s="567"/>
      <c r="DO997" s="567"/>
      <c r="DP997" s="567"/>
      <c r="DQ997" s="567"/>
      <c r="DR997" s="567"/>
      <c r="DS997" s="567"/>
      <c r="DT997" s="567"/>
      <c r="DU997" s="567"/>
      <c r="DV997" s="567"/>
      <c r="DW997" s="567"/>
      <c r="DX997" s="567"/>
      <c r="DY997" s="567"/>
      <c r="DZ997" s="567"/>
      <c r="EA997" s="567"/>
      <c r="EB997" s="567"/>
      <c r="EC997" s="567"/>
      <c r="ED997" s="567"/>
      <c r="EE997" s="567"/>
      <c r="EF997" s="567"/>
      <c r="EG997" s="567"/>
      <c r="EH997" s="567"/>
      <c r="EI997" s="567"/>
      <c r="EJ997" s="567"/>
      <c r="EK997" s="567"/>
      <c r="EL997" s="567"/>
      <c r="EM997" s="567"/>
      <c r="EN997" s="567"/>
      <c r="EO997" s="567"/>
      <c r="EP997" s="567"/>
      <c r="EQ997" s="567"/>
      <c r="ER997" s="567"/>
      <c r="ES997" s="567"/>
      <c r="ET997" s="567"/>
      <c r="EU997" s="567"/>
      <c r="EV997" s="567"/>
      <c r="EW997" s="567"/>
      <c r="EX997" s="567"/>
      <c r="EY997" s="567"/>
      <c r="EZ997" s="567"/>
      <c r="FA997" s="567"/>
      <c r="FB997" s="567"/>
      <c r="FC997" s="567"/>
      <c r="FD997" s="567"/>
      <c r="FE997" s="567"/>
      <c r="FF997" s="567"/>
      <c r="FG997" s="567"/>
      <c r="FH997" s="567"/>
      <c r="FI997" s="567"/>
      <c r="FJ997" s="567"/>
      <c r="FK997" s="567"/>
      <c r="FL997" s="567"/>
      <c r="FM997" s="567"/>
      <c r="FN997" s="567"/>
      <c r="FO997" s="567"/>
      <c r="FP997" s="567"/>
      <c r="FQ997" s="567"/>
      <c r="FR997" s="567"/>
      <c r="FS997" s="567"/>
      <c r="FT997" s="567"/>
      <c r="FU997" s="567"/>
      <c r="FV997" s="567"/>
      <c r="FW997" s="567"/>
      <c r="FX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  <c r="BW998" s="567"/>
      <c r="BX998" s="567"/>
      <c r="BY998" s="567"/>
      <c r="BZ998" s="567"/>
      <c r="CA998" s="567"/>
      <c r="CB998" s="567"/>
      <c r="CC998" s="567"/>
      <c r="CD998" s="567"/>
      <c r="CE998" s="567"/>
      <c r="CF998" s="567"/>
      <c r="CG998" s="567"/>
      <c r="CH998" s="567"/>
      <c r="CI998" s="567"/>
      <c r="CJ998" s="567"/>
      <c r="CK998" s="567"/>
      <c r="CL998" s="567"/>
      <c r="CM998" s="567"/>
      <c r="CN998" s="567"/>
      <c r="CO998" s="567"/>
      <c r="CP998" s="567"/>
      <c r="CQ998" s="567"/>
      <c r="CR998" s="567"/>
      <c r="CS998" s="567"/>
      <c r="CT998" s="567"/>
      <c r="CU998" s="567"/>
      <c r="CV998" s="567"/>
      <c r="CW998" s="567"/>
      <c r="CX998" s="567"/>
      <c r="CY998" s="567"/>
      <c r="CZ998" s="567"/>
      <c r="DA998" s="567"/>
      <c r="DB998" s="567"/>
      <c r="DC998" s="567"/>
      <c r="DD998" s="567"/>
      <c r="DE998" s="567"/>
      <c r="DF998" s="567"/>
      <c r="DG998" s="567"/>
      <c r="DH998" s="567"/>
      <c r="DI998" s="567"/>
      <c r="DJ998" s="567"/>
      <c r="DK998" s="567"/>
      <c r="DL998" s="567"/>
      <c r="DM998" s="567"/>
      <c r="DN998" s="567"/>
      <c r="DO998" s="567"/>
      <c r="DP998" s="567"/>
      <c r="DQ998" s="567"/>
      <c r="DR998" s="567"/>
      <c r="DS998" s="567"/>
      <c r="DT998" s="567"/>
      <c r="DU998" s="567"/>
      <c r="DV998" s="567"/>
      <c r="DW998" s="567"/>
      <c r="DX998" s="567"/>
      <c r="DY998" s="567"/>
      <c r="DZ998" s="567"/>
      <c r="EA998" s="567"/>
      <c r="EB998" s="567"/>
      <c r="EC998" s="567"/>
      <c r="ED998" s="567"/>
      <c r="EE998" s="567"/>
      <c r="EF998" s="567"/>
      <c r="EG998" s="567"/>
      <c r="EH998" s="567"/>
      <c r="EI998" s="567"/>
      <c r="EJ998" s="567"/>
      <c r="EK998" s="567"/>
      <c r="EL998" s="567"/>
      <c r="EM998" s="567"/>
      <c r="EN998" s="567"/>
      <c r="EO998" s="567"/>
      <c r="EP998" s="567"/>
      <c r="EQ998" s="567"/>
      <c r="ER998" s="567"/>
      <c r="ES998" s="567"/>
      <c r="ET998" s="567"/>
      <c r="EU998" s="567"/>
      <c r="EV998" s="567"/>
      <c r="EW998" s="567"/>
      <c r="EX998" s="567"/>
      <c r="EY998" s="567"/>
      <c r="EZ998" s="567"/>
      <c r="FA998" s="567"/>
      <c r="FB998" s="567"/>
      <c r="FC998" s="567"/>
      <c r="FD998" s="567"/>
      <c r="FE998" s="567"/>
      <c r="FF998" s="567"/>
      <c r="FG998" s="567"/>
      <c r="FH998" s="567"/>
      <c r="FI998" s="567"/>
      <c r="FJ998" s="567"/>
      <c r="FK998" s="567"/>
      <c r="FL998" s="567"/>
      <c r="FM998" s="567"/>
      <c r="FN998" s="567"/>
      <c r="FO998" s="567"/>
      <c r="FP998" s="567"/>
      <c r="FQ998" s="567"/>
      <c r="FR998" s="567"/>
      <c r="FS998" s="567"/>
      <c r="FT998" s="567"/>
      <c r="FU998" s="567"/>
      <c r="FV998" s="567"/>
      <c r="FW998" s="567"/>
      <c r="FX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  <c r="BW999" s="567"/>
      <c r="BX999" s="567"/>
      <c r="BY999" s="567"/>
      <c r="BZ999" s="567"/>
      <c r="CA999" s="567"/>
      <c r="CB999" s="567"/>
      <c r="CC999" s="567"/>
      <c r="CD999" s="567"/>
      <c r="CE999" s="567"/>
      <c r="CF999" s="567"/>
      <c r="CG999" s="567"/>
      <c r="CH999" s="567"/>
      <c r="CI999" s="567"/>
      <c r="CJ999" s="567"/>
      <c r="CK999" s="567"/>
      <c r="CL999" s="567"/>
      <c r="CM999" s="567"/>
      <c r="CN999" s="567"/>
      <c r="CO999" s="567"/>
      <c r="CP999" s="567"/>
      <c r="CQ999" s="567"/>
      <c r="CR999" s="567"/>
      <c r="CS999" s="567"/>
      <c r="CT999" s="567"/>
      <c r="CU999" s="567"/>
      <c r="CV999" s="567"/>
      <c r="CW999" s="567"/>
      <c r="CX999" s="567"/>
      <c r="CY999" s="567"/>
      <c r="CZ999" s="567"/>
      <c r="DA999" s="567"/>
      <c r="DB999" s="567"/>
      <c r="DC999" s="567"/>
      <c r="DD999" s="567"/>
      <c r="DE999" s="567"/>
      <c r="DF999" s="567"/>
      <c r="DG999" s="567"/>
      <c r="DH999" s="567"/>
      <c r="DI999" s="567"/>
      <c r="DJ999" s="567"/>
      <c r="DK999" s="567"/>
      <c r="DL999" s="567"/>
      <c r="DM999" s="567"/>
      <c r="DN999" s="567"/>
      <c r="DO999" s="567"/>
      <c r="DP999" s="567"/>
      <c r="DQ999" s="567"/>
      <c r="DR999" s="567"/>
      <c r="DS999" s="567"/>
      <c r="DT999" s="567"/>
      <c r="DU999" s="567"/>
      <c r="DV999" s="567"/>
      <c r="DW999" s="567"/>
      <c r="DX999" s="567"/>
      <c r="DY999" s="567"/>
      <c r="DZ999" s="567"/>
      <c r="EA999" s="567"/>
      <c r="EB999" s="567"/>
      <c r="EC999" s="567"/>
      <c r="ED999" s="567"/>
      <c r="EE999" s="567"/>
      <c r="EF999" s="567"/>
      <c r="EG999" s="567"/>
      <c r="EH999" s="567"/>
      <c r="EI999" s="567"/>
      <c r="EJ999" s="567"/>
      <c r="EK999" s="567"/>
      <c r="EL999" s="567"/>
      <c r="EM999" s="567"/>
      <c r="EN999" s="567"/>
      <c r="EO999" s="567"/>
      <c r="EP999" s="567"/>
      <c r="EQ999" s="567"/>
      <c r="ER999" s="567"/>
      <c r="ES999" s="567"/>
      <c r="ET999" s="567"/>
      <c r="EU999" s="567"/>
      <c r="EV999" s="567"/>
      <c r="EW999" s="567"/>
      <c r="EX999" s="567"/>
      <c r="EY999" s="567"/>
      <c r="EZ999" s="567"/>
      <c r="FA999" s="567"/>
      <c r="FB999" s="567"/>
      <c r="FC999" s="567"/>
      <c r="FD999" s="567"/>
      <c r="FE999" s="567"/>
      <c r="FF999" s="567"/>
      <c r="FG999" s="567"/>
      <c r="FH999" s="567"/>
      <c r="FI999" s="567"/>
      <c r="FJ999" s="567"/>
      <c r="FK999" s="567"/>
      <c r="FL999" s="567"/>
      <c r="FM999" s="567"/>
      <c r="FN999" s="567"/>
      <c r="FO999" s="567"/>
      <c r="FP999" s="567"/>
      <c r="FQ999" s="567"/>
      <c r="FR999" s="567"/>
      <c r="FS999" s="567"/>
      <c r="FT999" s="567"/>
      <c r="FU999" s="567"/>
      <c r="FV999" s="567"/>
      <c r="FW999" s="567"/>
      <c r="FX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  <c r="BW1000" s="567"/>
      <c r="BX1000" s="567"/>
      <c r="BY1000" s="567"/>
      <c r="BZ1000" s="567"/>
      <c r="CA1000" s="567"/>
      <c r="CB1000" s="567"/>
      <c r="CC1000" s="567"/>
      <c r="CD1000" s="567"/>
      <c r="CE1000" s="567"/>
      <c r="CF1000" s="567"/>
      <c r="CG1000" s="567"/>
      <c r="CH1000" s="567"/>
      <c r="CI1000" s="567"/>
      <c r="CJ1000" s="567"/>
      <c r="CK1000" s="567"/>
      <c r="CL1000" s="567"/>
      <c r="CM1000" s="567"/>
      <c r="CN1000" s="567"/>
      <c r="CO1000" s="567"/>
      <c r="CP1000" s="567"/>
      <c r="CQ1000" s="567"/>
      <c r="CR1000" s="567"/>
      <c r="CS1000" s="567"/>
      <c r="CT1000" s="567"/>
      <c r="CU1000" s="567"/>
      <c r="CV1000" s="567"/>
      <c r="CW1000" s="567"/>
      <c r="CX1000" s="567"/>
      <c r="CY1000" s="567"/>
      <c r="CZ1000" s="567"/>
      <c r="DA1000" s="567"/>
      <c r="DB1000" s="567"/>
      <c r="DC1000" s="567"/>
      <c r="DD1000" s="567"/>
      <c r="DE1000" s="567"/>
      <c r="DF1000" s="567"/>
      <c r="DG1000" s="567"/>
      <c r="DH1000" s="567"/>
      <c r="DI1000" s="567"/>
      <c r="DJ1000" s="567"/>
      <c r="DK1000" s="567"/>
      <c r="DL1000" s="567"/>
      <c r="DM1000" s="567"/>
      <c r="DN1000" s="567"/>
      <c r="DO1000" s="567"/>
      <c r="DP1000" s="567"/>
      <c r="DQ1000" s="567"/>
      <c r="DR1000" s="567"/>
      <c r="DS1000" s="567"/>
      <c r="DT1000" s="567"/>
      <c r="DU1000" s="567"/>
      <c r="DV1000" s="567"/>
      <c r="DW1000" s="567"/>
      <c r="DX1000" s="567"/>
      <c r="DY1000" s="567"/>
      <c r="DZ1000" s="567"/>
      <c r="EA1000" s="567"/>
      <c r="EB1000" s="567"/>
      <c r="EC1000" s="567"/>
      <c r="ED1000" s="567"/>
      <c r="EE1000" s="567"/>
      <c r="EF1000" s="567"/>
      <c r="EG1000" s="567"/>
      <c r="EH1000" s="567"/>
      <c r="EI1000" s="567"/>
      <c r="EJ1000" s="567"/>
      <c r="EK1000" s="567"/>
      <c r="EL1000" s="567"/>
      <c r="EM1000" s="567"/>
      <c r="EN1000" s="567"/>
      <c r="EO1000" s="567"/>
      <c r="EP1000" s="567"/>
      <c r="EQ1000" s="567"/>
      <c r="ER1000" s="567"/>
      <c r="ES1000" s="567"/>
      <c r="ET1000" s="567"/>
      <c r="EU1000" s="567"/>
      <c r="EV1000" s="567"/>
      <c r="EW1000" s="567"/>
      <c r="EX1000" s="567"/>
      <c r="EY1000" s="567"/>
      <c r="EZ1000" s="567"/>
      <c r="FA1000" s="567"/>
      <c r="FB1000" s="567"/>
      <c r="FC1000" s="567"/>
      <c r="FD1000" s="567"/>
      <c r="FE1000" s="567"/>
      <c r="FF1000" s="567"/>
      <c r="FG1000" s="567"/>
      <c r="FH1000" s="567"/>
      <c r="FI1000" s="567"/>
      <c r="FJ1000" s="567"/>
      <c r="FK1000" s="567"/>
      <c r="FL1000" s="567"/>
      <c r="FM1000" s="567"/>
      <c r="FN1000" s="567"/>
      <c r="FO1000" s="567"/>
      <c r="FP1000" s="567"/>
      <c r="FQ1000" s="567"/>
      <c r="FR1000" s="567"/>
      <c r="FS1000" s="567"/>
      <c r="FT1000" s="567"/>
      <c r="FU1000" s="567"/>
      <c r="FV1000" s="567"/>
      <c r="FW1000" s="567"/>
      <c r="FX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  <c r="BW1001" s="567"/>
      <c r="BX1001" s="567"/>
      <c r="BY1001" s="567"/>
      <c r="BZ1001" s="567"/>
      <c r="CA1001" s="567"/>
      <c r="CB1001" s="567"/>
      <c r="CC1001" s="567"/>
      <c r="CD1001" s="567"/>
      <c r="CE1001" s="567"/>
      <c r="CF1001" s="567"/>
      <c r="CG1001" s="567"/>
      <c r="CH1001" s="567"/>
      <c r="CI1001" s="567"/>
      <c r="CJ1001" s="567"/>
      <c r="CK1001" s="567"/>
      <c r="CL1001" s="567"/>
      <c r="CM1001" s="567"/>
      <c r="CN1001" s="567"/>
      <c r="CO1001" s="567"/>
      <c r="CP1001" s="567"/>
      <c r="CQ1001" s="567"/>
      <c r="CR1001" s="567"/>
      <c r="CS1001" s="567"/>
      <c r="CT1001" s="567"/>
      <c r="CU1001" s="567"/>
      <c r="CV1001" s="567"/>
      <c r="CW1001" s="567"/>
      <c r="CX1001" s="567"/>
      <c r="CY1001" s="567"/>
      <c r="CZ1001" s="567"/>
      <c r="DA1001" s="567"/>
      <c r="DB1001" s="567"/>
      <c r="DC1001" s="567"/>
      <c r="DD1001" s="567"/>
      <c r="DE1001" s="567"/>
      <c r="DF1001" s="567"/>
      <c r="DG1001" s="567"/>
      <c r="DH1001" s="567"/>
      <c r="DI1001" s="567"/>
      <c r="DJ1001" s="567"/>
      <c r="DK1001" s="567"/>
      <c r="DL1001" s="567"/>
      <c r="DM1001" s="567"/>
      <c r="DN1001" s="567"/>
      <c r="DO1001" s="567"/>
      <c r="DP1001" s="567"/>
      <c r="DQ1001" s="567"/>
      <c r="DR1001" s="567"/>
      <c r="DS1001" s="567"/>
      <c r="DT1001" s="567"/>
      <c r="DU1001" s="567"/>
      <c r="DV1001" s="567"/>
      <c r="DW1001" s="567"/>
      <c r="DX1001" s="567"/>
      <c r="DY1001" s="567"/>
      <c r="DZ1001" s="567"/>
      <c r="EA1001" s="567"/>
      <c r="EB1001" s="567"/>
      <c r="EC1001" s="567"/>
      <c r="ED1001" s="567"/>
      <c r="EE1001" s="567"/>
      <c r="EF1001" s="567"/>
      <c r="EG1001" s="567"/>
      <c r="EH1001" s="567"/>
      <c r="EI1001" s="567"/>
      <c r="EJ1001" s="567"/>
      <c r="EK1001" s="567"/>
      <c r="EL1001" s="567"/>
      <c r="EM1001" s="567"/>
      <c r="EN1001" s="567"/>
      <c r="EO1001" s="567"/>
      <c r="EP1001" s="567"/>
      <c r="EQ1001" s="567"/>
      <c r="ER1001" s="567"/>
      <c r="ES1001" s="567"/>
      <c r="ET1001" s="567"/>
      <c r="EU1001" s="567"/>
      <c r="EV1001" s="567"/>
      <c r="EW1001" s="567"/>
      <c r="EX1001" s="567"/>
      <c r="EY1001" s="567"/>
      <c r="EZ1001" s="567"/>
      <c r="FA1001" s="567"/>
      <c r="FB1001" s="567"/>
      <c r="FC1001" s="567"/>
      <c r="FD1001" s="567"/>
      <c r="FE1001" s="567"/>
      <c r="FF1001" s="567"/>
      <c r="FG1001" s="567"/>
      <c r="FH1001" s="567"/>
      <c r="FI1001" s="567"/>
      <c r="FJ1001" s="567"/>
      <c r="FK1001" s="567"/>
      <c r="FL1001" s="567"/>
      <c r="FM1001" s="567"/>
      <c r="FN1001" s="567"/>
      <c r="FO1001" s="567"/>
      <c r="FP1001" s="567"/>
      <c r="FQ1001" s="567"/>
      <c r="FR1001" s="567"/>
      <c r="FS1001" s="567"/>
      <c r="FT1001" s="567"/>
      <c r="FU1001" s="567"/>
      <c r="FV1001" s="567"/>
      <c r="FW1001" s="567"/>
      <c r="FX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  <c r="BW1002" s="567"/>
      <c r="BX1002" s="567"/>
      <c r="BY1002" s="567"/>
      <c r="BZ1002" s="567"/>
      <c r="CA1002" s="567"/>
      <c r="CB1002" s="567"/>
      <c r="CC1002" s="567"/>
      <c r="CD1002" s="567"/>
      <c r="CE1002" s="567"/>
      <c r="CF1002" s="567"/>
      <c r="CG1002" s="567"/>
      <c r="CH1002" s="567"/>
      <c r="CI1002" s="567"/>
      <c r="CJ1002" s="567"/>
      <c r="CK1002" s="567"/>
      <c r="CL1002" s="567"/>
      <c r="CM1002" s="567"/>
      <c r="CN1002" s="567"/>
      <c r="CO1002" s="567"/>
      <c r="CP1002" s="567"/>
      <c r="CQ1002" s="567"/>
      <c r="CR1002" s="567"/>
      <c r="CS1002" s="567"/>
      <c r="CT1002" s="567"/>
      <c r="CU1002" s="567"/>
      <c r="CV1002" s="567"/>
      <c r="CW1002" s="567"/>
      <c r="CX1002" s="567"/>
      <c r="CY1002" s="567"/>
      <c r="CZ1002" s="567"/>
      <c r="DA1002" s="567"/>
      <c r="DB1002" s="567"/>
      <c r="DC1002" s="567"/>
      <c r="DD1002" s="567"/>
      <c r="DE1002" s="567"/>
      <c r="DF1002" s="567"/>
      <c r="DG1002" s="567"/>
      <c r="DH1002" s="567"/>
      <c r="DI1002" s="567"/>
      <c r="DJ1002" s="567"/>
      <c r="DK1002" s="567"/>
      <c r="DL1002" s="567"/>
      <c r="DM1002" s="567"/>
      <c r="DN1002" s="567"/>
      <c r="DO1002" s="567"/>
      <c r="DP1002" s="567"/>
      <c r="DQ1002" s="567"/>
      <c r="DR1002" s="567"/>
      <c r="DS1002" s="567"/>
      <c r="DT1002" s="567"/>
      <c r="DU1002" s="567"/>
      <c r="DV1002" s="567"/>
      <c r="DW1002" s="567"/>
      <c r="DX1002" s="567"/>
      <c r="DY1002" s="567"/>
      <c r="DZ1002" s="567"/>
      <c r="EA1002" s="567"/>
      <c r="EB1002" s="567"/>
      <c r="EC1002" s="567"/>
      <c r="ED1002" s="567"/>
      <c r="EE1002" s="567"/>
      <c r="EF1002" s="567"/>
      <c r="EG1002" s="567"/>
      <c r="EH1002" s="567"/>
      <c r="EI1002" s="567"/>
      <c r="EJ1002" s="567"/>
      <c r="EK1002" s="567"/>
      <c r="EL1002" s="567"/>
      <c r="EM1002" s="567"/>
      <c r="EN1002" s="567"/>
      <c r="EO1002" s="567"/>
      <c r="EP1002" s="567"/>
      <c r="EQ1002" s="567"/>
      <c r="ER1002" s="567"/>
      <c r="ES1002" s="567"/>
      <c r="ET1002" s="567"/>
      <c r="EU1002" s="567"/>
      <c r="EV1002" s="567"/>
      <c r="EW1002" s="567"/>
      <c r="EX1002" s="567"/>
      <c r="EY1002" s="567"/>
      <c r="EZ1002" s="567"/>
      <c r="FA1002" s="567"/>
      <c r="FB1002" s="567"/>
      <c r="FC1002" s="567"/>
      <c r="FD1002" s="567"/>
      <c r="FE1002" s="567"/>
      <c r="FF1002" s="567"/>
      <c r="FG1002" s="567"/>
      <c r="FH1002" s="567"/>
      <c r="FI1002" s="567"/>
      <c r="FJ1002" s="567"/>
      <c r="FK1002" s="567"/>
      <c r="FL1002" s="567"/>
      <c r="FM1002" s="567"/>
      <c r="FN1002" s="567"/>
      <c r="FO1002" s="567"/>
      <c r="FP1002" s="567"/>
      <c r="FQ1002" s="567"/>
      <c r="FR1002" s="567"/>
      <c r="FS1002" s="567"/>
      <c r="FT1002" s="567"/>
      <c r="FU1002" s="567"/>
      <c r="FV1002" s="567"/>
      <c r="FW1002" s="567"/>
      <c r="FX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  <c r="BW1003" s="567"/>
      <c r="BX1003" s="567"/>
      <c r="BY1003" s="567"/>
      <c r="BZ1003" s="567"/>
      <c r="CA1003" s="567"/>
      <c r="CB1003" s="567"/>
      <c r="CC1003" s="567"/>
      <c r="CD1003" s="567"/>
      <c r="CE1003" s="567"/>
      <c r="CF1003" s="567"/>
      <c r="CG1003" s="567"/>
      <c r="CH1003" s="567"/>
      <c r="CI1003" s="567"/>
      <c r="CJ1003" s="567"/>
      <c r="CK1003" s="567"/>
      <c r="CL1003" s="567"/>
      <c r="CM1003" s="567"/>
      <c r="CN1003" s="567"/>
      <c r="CO1003" s="567"/>
      <c r="CP1003" s="567"/>
      <c r="CQ1003" s="567"/>
      <c r="CR1003" s="567"/>
      <c r="CS1003" s="567"/>
      <c r="CT1003" s="567"/>
      <c r="CU1003" s="567"/>
      <c r="CV1003" s="567"/>
      <c r="CW1003" s="567"/>
      <c r="CX1003" s="567"/>
      <c r="CY1003" s="567"/>
      <c r="CZ1003" s="567"/>
      <c r="DA1003" s="567"/>
      <c r="DB1003" s="567"/>
      <c r="DC1003" s="567"/>
      <c r="DD1003" s="567"/>
      <c r="DE1003" s="567"/>
      <c r="DF1003" s="567"/>
      <c r="DG1003" s="567"/>
      <c r="DH1003" s="567"/>
      <c r="DI1003" s="567"/>
      <c r="DJ1003" s="567"/>
      <c r="DK1003" s="567"/>
      <c r="DL1003" s="567"/>
      <c r="DM1003" s="567"/>
      <c r="DN1003" s="567"/>
      <c r="DO1003" s="567"/>
      <c r="DP1003" s="567"/>
      <c r="DQ1003" s="567"/>
      <c r="DR1003" s="567"/>
      <c r="DS1003" s="567"/>
      <c r="DT1003" s="567"/>
      <c r="DU1003" s="567"/>
      <c r="DV1003" s="567"/>
      <c r="DW1003" s="567"/>
      <c r="DX1003" s="567"/>
      <c r="DY1003" s="567"/>
      <c r="DZ1003" s="567"/>
      <c r="EA1003" s="567"/>
      <c r="EB1003" s="567"/>
      <c r="EC1003" s="567"/>
      <c r="ED1003" s="567"/>
      <c r="EE1003" s="567"/>
      <c r="EF1003" s="567"/>
      <c r="EG1003" s="567"/>
      <c r="EH1003" s="567"/>
      <c r="EI1003" s="567"/>
      <c r="EJ1003" s="567"/>
      <c r="EK1003" s="567"/>
      <c r="EL1003" s="567"/>
      <c r="EM1003" s="567"/>
      <c r="EN1003" s="567"/>
      <c r="EO1003" s="567"/>
      <c r="EP1003" s="567"/>
      <c r="EQ1003" s="567"/>
      <c r="ER1003" s="567"/>
      <c r="ES1003" s="567"/>
      <c r="ET1003" s="567"/>
      <c r="EU1003" s="567"/>
      <c r="EV1003" s="567"/>
      <c r="EW1003" s="567"/>
      <c r="EX1003" s="567"/>
      <c r="EY1003" s="567"/>
      <c r="EZ1003" s="567"/>
      <c r="FA1003" s="567"/>
      <c r="FB1003" s="567"/>
      <c r="FC1003" s="567"/>
      <c r="FD1003" s="567"/>
      <c r="FE1003" s="567"/>
      <c r="FF1003" s="567"/>
      <c r="FG1003" s="567"/>
      <c r="FH1003" s="567"/>
      <c r="FI1003" s="567"/>
      <c r="FJ1003" s="567"/>
      <c r="FK1003" s="567"/>
      <c r="FL1003" s="567"/>
      <c r="FM1003" s="567"/>
      <c r="FN1003" s="567"/>
      <c r="FO1003" s="567"/>
      <c r="FP1003" s="567"/>
      <c r="FQ1003" s="567"/>
      <c r="FR1003" s="567"/>
      <c r="FS1003" s="567"/>
      <c r="FT1003" s="567"/>
      <c r="FU1003" s="567"/>
      <c r="FV1003" s="567"/>
      <c r="FW1003" s="567"/>
      <c r="FX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  <c r="BW1004" s="567"/>
      <c r="BX1004" s="567"/>
      <c r="BY1004" s="567"/>
      <c r="BZ1004" s="567"/>
      <c r="CA1004" s="567"/>
      <c r="CB1004" s="567"/>
      <c r="CC1004" s="567"/>
      <c r="CD1004" s="567"/>
      <c r="CE1004" s="567"/>
      <c r="CF1004" s="567"/>
      <c r="CG1004" s="567"/>
      <c r="CH1004" s="567"/>
      <c r="CI1004" s="567"/>
      <c r="CJ1004" s="567"/>
      <c r="CK1004" s="567"/>
      <c r="CL1004" s="567"/>
      <c r="CM1004" s="567"/>
      <c r="CN1004" s="567"/>
      <c r="CO1004" s="567"/>
      <c r="CP1004" s="567"/>
      <c r="CQ1004" s="567"/>
      <c r="CR1004" s="567"/>
      <c r="CS1004" s="567"/>
      <c r="CT1004" s="567"/>
      <c r="CU1004" s="567"/>
      <c r="CV1004" s="567"/>
      <c r="CW1004" s="567"/>
      <c r="CX1004" s="567"/>
      <c r="CY1004" s="567"/>
      <c r="CZ1004" s="567"/>
      <c r="DA1004" s="567"/>
      <c r="DB1004" s="567"/>
      <c r="DC1004" s="567"/>
      <c r="DD1004" s="567"/>
      <c r="DE1004" s="567"/>
      <c r="DF1004" s="567"/>
      <c r="DG1004" s="567"/>
      <c r="DH1004" s="567"/>
      <c r="DI1004" s="567"/>
      <c r="DJ1004" s="567"/>
      <c r="DK1004" s="567"/>
      <c r="DL1004" s="567"/>
      <c r="DM1004" s="567"/>
      <c r="DN1004" s="567"/>
      <c r="DO1004" s="567"/>
      <c r="DP1004" s="567"/>
      <c r="DQ1004" s="567"/>
      <c r="DR1004" s="567"/>
      <c r="DS1004" s="567"/>
      <c r="DT1004" s="567"/>
      <c r="DU1004" s="567"/>
      <c r="DV1004" s="567"/>
      <c r="DW1004" s="567"/>
      <c r="DX1004" s="567"/>
      <c r="DY1004" s="567"/>
      <c r="DZ1004" s="567"/>
      <c r="EA1004" s="567"/>
      <c r="EB1004" s="567"/>
      <c r="EC1004" s="567"/>
      <c r="ED1004" s="567"/>
      <c r="EE1004" s="567"/>
      <c r="EF1004" s="567"/>
      <c r="EG1004" s="567"/>
      <c r="EH1004" s="567"/>
      <c r="EI1004" s="567"/>
      <c r="EJ1004" s="567"/>
      <c r="EK1004" s="567"/>
      <c r="EL1004" s="567"/>
      <c r="EM1004" s="567"/>
      <c r="EN1004" s="567"/>
      <c r="EO1004" s="567"/>
      <c r="EP1004" s="567"/>
      <c r="EQ1004" s="567"/>
      <c r="ER1004" s="567"/>
      <c r="ES1004" s="567"/>
      <c r="ET1004" s="567"/>
      <c r="EU1004" s="567"/>
      <c r="EV1004" s="567"/>
      <c r="EW1004" s="567"/>
      <c r="EX1004" s="567"/>
      <c r="EY1004" s="567"/>
      <c r="EZ1004" s="567"/>
      <c r="FA1004" s="567"/>
      <c r="FB1004" s="567"/>
      <c r="FC1004" s="567"/>
      <c r="FD1004" s="567"/>
      <c r="FE1004" s="567"/>
      <c r="FF1004" s="567"/>
      <c r="FG1004" s="567"/>
      <c r="FH1004" s="567"/>
      <c r="FI1004" s="567"/>
      <c r="FJ1004" s="567"/>
      <c r="FK1004" s="567"/>
      <c r="FL1004" s="567"/>
      <c r="FM1004" s="567"/>
      <c r="FN1004" s="567"/>
      <c r="FO1004" s="567"/>
      <c r="FP1004" s="567"/>
      <c r="FQ1004" s="567"/>
      <c r="FR1004" s="567"/>
      <c r="FS1004" s="567"/>
      <c r="FT1004" s="567"/>
      <c r="FU1004" s="567"/>
      <c r="FV1004" s="567"/>
      <c r="FW1004" s="567"/>
      <c r="FX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  <c r="BW1005" s="567"/>
      <c r="BX1005" s="567"/>
      <c r="BY1005" s="567"/>
      <c r="BZ1005" s="567"/>
      <c r="CA1005" s="567"/>
      <c r="CB1005" s="567"/>
      <c r="CC1005" s="567"/>
      <c r="CD1005" s="567"/>
      <c r="CE1005" s="567"/>
      <c r="CF1005" s="567"/>
      <c r="CG1005" s="567"/>
      <c r="CH1005" s="567"/>
      <c r="CI1005" s="567"/>
      <c r="CJ1005" s="567"/>
      <c r="CK1005" s="567"/>
      <c r="CL1005" s="567"/>
      <c r="CM1005" s="567"/>
      <c r="CN1005" s="567"/>
      <c r="CO1005" s="567"/>
      <c r="CP1005" s="567"/>
      <c r="CQ1005" s="567"/>
      <c r="CR1005" s="567"/>
      <c r="CS1005" s="567"/>
      <c r="CT1005" s="567"/>
      <c r="CU1005" s="567"/>
      <c r="CV1005" s="567"/>
      <c r="CW1005" s="567"/>
      <c r="CX1005" s="567"/>
      <c r="CY1005" s="567"/>
      <c r="CZ1005" s="567"/>
      <c r="DA1005" s="567"/>
      <c r="DB1005" s="567"/>
      <c r="DC1005" s="567"/>
      <c r="DD1005" s="567"/>
      <c r="DE1005" s="567"/>
      <c r="DF1005" s="567"/>
      <c r="DG1005" s="567"/>
      <c r="DH1005" s="567"/>
      <c r="DI1005" s="567"/>
      <c r="DJ1005" s="567"/>
      <c r="DK1005" s="567"/>
      <c r="DL1005" s="567"/>
      <c r="DM1005" s="567"/>
      <c r="DN1005" s="567"/>
      <c r="DO1005" s="567"/>
      <c r="DP1005" s="567"/>
      <c r="DQ1005" s="567"/>
      <c r="DR1005" s="567"/>
      <c r="DS1005" s="567"/>
      <c r="DT1005" s="567"/>
      <c r="DU1005" s="567"/>
      <c r="DV1005" s="567"/>
      <c r="DW1005" s="567"/>
      <c r="DX1005" s="567"/>
      <c r="DY1005" s="567"/>
      <c r="DZ1005" s="567"/>
      <c r="EA1005" s="567"/>
      <c r="EB1005" s="567"/>
      <c r="EC1005" s="567"/>
      <c r="ED1005" s="567"/>
      <c r="EE1005" s="567"/>
      <c r="EF1005" s="567"/>
      <c r="EG1005" s="567"/>
      <c r="EH1005" s="567"/>
      <c r="EI1005" s="567"/>
      <c r="EJ1005" s="567"/>
      <c r="EK1005" s="567"/>
      <c r="EL1005" s="567"/>
      <c r="EM1005" s="567"/>
      <c r="EN1005" s="567"/>
      <c r="EO1005" s="567"/>
      <c r="EP1005" s="567"/>
      <c r="EQ1005" s="567"/>
      <c r="ER1005" s="567"/>
      <c r="ES1005" s="567"/>
      <c r="ET1005" s="567"/>
      <c r="EU1005" s="567"/>
      <c r="EV1005" s="567"/>
      <c r="EW1005" s="567"/>
      <c r="EX1005" s="567"/>
      <c r="EY1005" s="567"/>
      <c r="EZ1005" s="567"/>
      <c r="FA1005" s="567"/>
      <c r="FB1005" s="567"/>
      <c r="FC1005" s="567"/>
      <c r="FD1005" s="567"/>
      <c r="FE1005" s="567"/>
      <c r="FF1005" s="567"/>
      <c r="FG1005" s="567"/>
      <c r="FH1005" s="567"/>
      <c r="FI1005" s="567"/>
      <c r="FJ1005" s="567"/>
      <c r="FK1005" s="567"/>
      <c r="FL1005" s="567"/>
      <c r="FM1005" s="567"/>
      <c r="FN1005" s="567"/>
      <c r="FO1005" s="567"/>
      <c r="FP1005" s="567"/>
      <c r="FQ1005" s="567"/>
      <c r="FR1005" s="567"/>
      <c r="FS1005" s="567"/>
      <c r="FT1005" s="567"/>
      <c r="FU1005" s="567"/>
      <c r="FV1005" s="567"/>
      <c r="FW1005" s="567"/>
      <c r="FX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  <c r="BW1006" s="567"/>
      <c r="BX1006" s="567"/>
      <c r="BY1006" s="567"/>
      <c r="BZ1006" s="567"/>
      <c r="CA1006" s="567"/>
      <c r="CB1006" s="567"/>
      <c r="CC1006" s="567"/>
      <c r="CD1006" s="567"/>
      <c r="CE1006" s="567"/>
      <c r="CF1006" s="567"/>
      <c r="CG1006" s="567"/>
      <c r="CH1006" s="567"/>
      <c r="CI1006" s="567"/>
      <c r="CJ1006" s="567"/>
      <c r="CK1006" s="567"/>
      <c r="CL1006" s="567"/>
      <c r="CM1006" s="567"/>
      <c r="CN1006" s="567"/>
      <c r="CO1006" s="567"/>
      <c r="CP1006" s="567"/>
      <c r="CQ1006" s="567"/>
      <c r="CR1006" s="567"/>
      <c r="CS1006" s="567"/>
      <c r="CT1006" s="567"/>
      <c r="CU1006" s="567"/>
      <c r="CV1006" s="567"/>
      <c r="CW1006" s="567"/>
      <c r="CX1006" s="567"/>
      <c r="CY1006" s="567"/>
      <c r="CZ1006" s="567"/>
      <c r="DA1006" s="567"/>
      <c r="DB1006" s="567"/>
      <c r="DC1006" s="567"/>
      <c r="DD1006" s="567"/>
      <c r="DE1006" s="567"/>
      <c r="DF1006" s="567"/>
      <c r="DG1006" s="567"/>
      <c r="DH1006" s="567"/>
      <c r="DI1006" s="567"/>
      <c r="DJ1006" s="567"/>
      <c r="DK1006" s="567"/>
      <c r="DL1006" s="567"/>
      <c r="DM1006" s="567"/>
      <c r="DN1006" s="567"/>
      <c r="DO1006" s="567"/>
      <c r="DP1006" s="567"/>
      <c r="DQ1006" s="567"/>
      <c r="DR1006" s="567"/>
      <c r="DS1006" s="567"/>
      <c r="DT1006" s="567"/>
      <c r="DU1006" s="567"/>
      <c r="DV1006" s="567"/>
      <c r="DW1006" s="567"/>
      <c r="DX1006" s="567"/>
      <c r="DY1006" s="567"/>
      <c r="DZ1006" s="567"/>
      <c r="EA1006" s="567"/>
      <c r="EB1006" s="567"/>
      <c r="EC1006" s="567"/>
      <c r="ED1006" s="567"/>
      <c r="EE1006" s="567"/>
      <c r="EF1006" s="567"/>
      <c r="EG1006" s="567"/>
      <c r="EH1006" s="567"/>
      <c r="EI1006" s="567"/>
      <c r="EJ1006" s="567"/>
      <c r="EK1006" s="567"/>
      <c r="EL1006" s="567"/>
      <c r="EM1006" s="567"/>
      <c r="EN1006" s="567"/>
      <c r="EO1006" s="567"/>
      <c r="EP1006" s="567"/>
      <c r="EQ1006" s="567"/>
      <c r="ER1006" s="567"/>
      <c r="ES1006" s="567"/>
      <c r="ET1006" s="567"/>
      <c r="EU1006" s="567"/>
      <c r="EV1006" s="567"/>
      <c r="EW1006" s="567"/>
      <c r="EX1006" s="567"/>
      <c r="EY1006" s="567"/>
      <c r="EZ1006" s="567"/>
      <c r="FA1006" s="567"/>
      <c r="FB1006" s="567"/>
      <c r="FC1006" s="567"/>
      <c r="FD1006" s="567"/>
      <c r="FE1006" s="567"/>
      <c r="FF1006" s="567"/>
      <c r="FG1006" s="567"/>
      <c r="FH1006" s="567"/>
      <c r="FI1006" s="567"/>
      <c r="FJ1006" s="567"/>
      <c r="FK1006" s="567"/>
      <c r="FL1006" s="567"/>
      <c r="FM1006" s="567"/>
      <c r="FN1006" s="567"/>
      <c r="FO1006" s="567"/>
      <c r="FP1006" s="567"/>
      <c r="FQ1006" s="567"/>
      <c r="FR1006" s="567"/>
      <c r="FS1006" s="567"/>
      <c r="FT1006" s="567"/>
      <c r="FU1006" s="567"/>
      <c r="FV1006" s="567"/>
      <c r="FW1006" s="567"/>
      <c r="FX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  <c r="BW1007" s="567"/>
      <c r="BX1007" s="567"/>
      <c r="BY1007" s="567"/>
      <c r="BZ1007" s="567"/>
      <c r="CA1007" s="567"/>
      <c r="CB1007" s="567"/>
      <c r="CC1007" s="567"/>
      <c r="CD1007" s="567"/>
      <c r="CE1007" s="567"/>
      <c r="CF1007" s="567"/>
      <c r="CG1007" s="567"/>
      <c r="CH1007" s="567"/>
      <c r="CI1007" s="567"/>
      <c r="CJ1007" s="567"/>
      <c r="CK1007" s="567"/>
      <c r="CL1007" s="567"/>
      <c r="CM1007" s="567"/>
      <c r="CN1007" s="567"/>
      <c r="CO1007" s="567"/>
      <c r="CP1007" s="567"/>
      <c r="CQ1007" s="567"/>
      <c r="CR1007" s="567"/>
      <c r="CS1007" s="567"/>
      <c r="CT1007" s="567"/>
      <c r="CU1007" s="567"/>
      <c r="CV1007" s="567"/>
      <c r="CW1007" s="567"/>
      <c r="CX1007" s="567"/>
      <c r="CY1007" s="567"/>
      <c r="CZ1007" s="567"/>
      <c r="DA1007" s="567"/>
      <c r="DB1007" s="567"/>
      <c r="DC1007" s="567"/>
      <c r="DD1007" s="567"/>
      <c r="DE1007" s="567"/>
      <c r="DF1007" s="567"/>
      <c r="DG1007" s="567"/>
      <c r="DH1007" s="567"/>
      <c r="DI1007" s="567"/>
      <c r="DJ1007" s="567"/>
      <c r="DK1007" s="567"/>
      <c r="DL1007" s="567"/>
      <c r="DM1007" s="567"/>
      <c r="DN1007" s="567"/>
      <c r="DO1007" s="567"/>
      <c r="DP1007" s="567"/>
      <c r="DQ1007" s="567"/>
      <c r="DR1007" s="567"/>
      <c r="DS1007" s="567"/>
      <c r="DT1007" s="567"/>
      <c r="DU1007" s="567"/>
      <c r="DV1007" s="567"/>
      <c r="DW1007" s="567"/>
      <c r="DX1007" s="567"/>
      <c r="DY1007" s="567"/>
      <c r="DZ1007" s="567"/>
      <c r="EA1007" s="567"/>
      <c r="EB1007" s="567"/>
      <c r="EC1007" s="567"/>
      <c r="ED1007" s="567"/>
      <c r="EE1007" s="567"/>
      <c r="EF1007" s="567"/>
      <c r="EG1007" s="567"/>
      <c r="EH1007" s="567"/>
      <c r="EI1007" s="567"/>
      <c r="EJ1007" s="567"/>
      <c r="EK1007" s="567"/>
      <c r="EL1007" s="567"/>
      <c r="EM1007" s="567"/>
      <c r="EN1007" s="567"/>
      <c r="EO1007" s="567"/>
      <c r="EP1007" s="567"/>
      <c r="EQ1007" s="567"/>
      <c r="ER1007" s="567"/>
      <c r="ES1007" s="567"/>
      <c r="ET1007" s="567"/>
      <c r="EU1007" s="567"/>
      <c r="EV1007" s="567"/>
      <c r="EW1007" s="567"/>
      <c r="EX1007" s="567"/>
      <c r="EY1007" s="567"/>
      <c r="EZ1007" s="567"/>
      <c r="FA1007" s="567"/>
      <c r="FB1007" s="567"/>
      <c r="FC1007" s="567"/>
      <c r="FD1007" s="567"/>
      <c r="FE1007" s="567"/>
      <c r="FF1007" s="567"/>
      <c r="FG1007" s="567"/>
      <c r="FH1007" s="567"/>
      <c r="FI1007" s="567"/>
      <c r="FJ1007" s="567"/>
      <c r="FK1007" s="567"/>
      <c r="FL1007" s="567"/>
      <c r="FM1007" s="567"/>
      <c r="FN1007" s="567"/>
      <c r="FO1007" s="567"/>
      <c r="FP1007" s="567"/>
      <c r="FQ1007" s="567"/>
      <c r="FR1007" s="567"/>
      <c r="FS1007" s="567"/>
      <c r="FT1007" s="567"/>
      <c r="FU1007" s="567"/>
      <c r="FV1007" s="567"/>
      <c r="FW1007" s="567"/>
      <c r="FX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  <c r="BW1008" s="567"/>
      <c r="BX1008" s="567"/>
      <c r="BY1008" s="567"/>
      <c r="BZ1008" s="567"/>
      <c r="CA1008" s="567"/>
      <c r="CB1008" s="567"/>
      <c r="CC1008" s="567"/>
      <c r="CD1008" s="567"/>
      <c r="CE1008" s="567"/>
      <c r="CF1008" s="567"/>
      <c r="CG1008" s="567"/>
      <c r="CH1008" s="567"/>
      <c r="CI1008" s="567"/>
      <c r="CJ1008" s="567"/>
      <c r="CK1008" s="567"/>
      <c r="CL1008" s="567"/>
      <c r="CM1008" s="567"/>
      <c r="CN1008" s="567"/>
      <c r="CO1008" s="567"/>
      <c r="CP1008" s="567"/>
      <c r="CQ1008" s="567"/>
      <c r="CR1008" s="567"/>
      <c r="CS1008" s="567"/>
      <c r="CT1008" s="567"/>
      <c r="CU1008" s="567"/>
      <c r="CV1008" s="567"/>
      <c r="CW1008" s="567"/>
      <c r="CX1008" s="567"/>
      <c r="CY1008" s="567"/>
      <c r="CZ1008" s="567"/>
      <c r="DA1008" s="567"/>
      <c r="DB1008" s="567"/>
      <c r="DC1008" s="567"/>
      <c r="DD1008" s="567"/>
      <c r="DE1008" s="567"/>
      <c r="DF1008" s="567"/>
      <c r="DG1008" s="567"/>
      <c r="DH1008" s="567"/>
      <c r="DI1008" s="567"/>
      <c r="DJ1008" s="567"/>
      <c r="DK1008" s="567"/>
      <c r="DL1008" s="567"/>
      <c r="DM1008" s="567"/>
      <c r="DN1008" s="567"/>
      <c r="DO1008" s="567"/>
      <c r="DP1008" s="567"/>
      <c r="DQ1008" s="567"/>
      <c r="DR1008" s="567"/>
      <c r="DS1008" s="567"/>
      <c r="DT1008" s="567"/>
      <c r="DU1008" s="567"/>
      <c r="DV1008" s="567"/>
      <c r="DW1008" s="567"/>
      <c r="DX1008" s="567"/>
      <c r="DY1008" s="567"/>
      <c r="DZ1008" s="567"/>
      <c r="EA1008" s="567"/>
      <c r="EB1008" s="567"/>
      <c r="EC1008" s="567"/>
      <c r="ED1008" s="567"/>
      <c r="EE1008" s="567"/>
      <c r="EF1008" s="567"/>
      <c r="EG1008" s="567"/>
      <c r="EH1008" s="567"/>
      <c r="EI1008" s="567"/>
      <c r="EJ1008" s="567"/>
      <c r="EK1008" s="567"/>
      <c r="EL1008" s="567"/>
      <c r="EM1008" s="567"/>
      <c r="EN1008" s="567"/>
      <c r="EO1008" s="567"/>
      <c r="EP1008" s="567"/>
      <c r="EQ1008" s="567"/>
      <c r="ER1008" s="567"/>
      <c r="ES1008" s="567"/>
      <c r="ET1008" s="567"/>
      <c r="EU1008" s="567"/>
      <c r="EV1008" s="567"/>
      <c r="EW1008" s="567"/>
      <c r="EX1008" s="567"/>
      <c r="EY1008" s="567"/>
      <c r="EZ1008" s="567"/>
      <c r="FA1008" s="567"/>
      <c r="FB1008" s="567"/>
      <c r="FC1008" s="567"/>
      <c r="FD1008" s="567"/>
      <c r="FE1008" s="567"/>
      <c r="FF1008" s="567"/>
      <c r="FG1008" s="567"/>
      <c r="FH1008" s="567"/>
      <c r="FI1008" s="567"/>
      <c r="FJ1008" s="567"/>
      <c r="FK1008" s="567"/>
      <c r="FL1008" s="567"/>
      <c r="FM1008" s="567"/>
      <c r="FN1008" s="567"/>
      <c r="FO1008" s="567"/>
      <c r="FP1008" s="567"/>
      <c r="FQ1008" s="567"/>
      <c r="FR1008" s="567"/>
      <c r="FS1008" s="567"/>
      <c r="FT1008" s="567"/>
      <c r="FU1008" s="567"/>
      <c r="FV1008" s="567"/>
      <c r="FW1008" s="567"/>
      <c r="FX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  <c r="BW1009" s="567"/>
      <c r="BX1009" s="567"/>
      <c r="BY1009" s="567"/>
      <c r="BZ1009" s="567"/>
      <c r="CA1009" s="567"/>
      <c r="CB1009" s="567"/>
      <c r="CC1009" s="567"/>
      <c r="CD1009" s="567"/>
      <c r="CE1009" s="567"/>
      <c r="CF1009" s="567"/>
      <c r="CG1009" s="567"/>
      <c r="CH1009" s="567"/>
      <c r="CI1009" s="567"/>
      <c r="CJ1009" s="567"/>
      <c r="CK1009" s="567"/>
      <c r="CL1009" s="567"/>
      <c r="CM1009" s="567"/>
      <c r="CN1009" s="567"/>
      <c r="CO1009" s="567"/>
      <c r="CP1009" s="567"/>
      <c r="CQ1009" s="567"/>
      <c r="CR1009" s="567"/>
      <c r="CS1009" s="567"/>
      <c r="CT1009" s="567"/>
      <c r="CU1009" s="567"/>
      <c r="CV1009" s="567"/>
      <c r="CW1009" s="567"/>
      <c r="CX1009" s="567"/>
      <c r="CY1009" s="567"/>
      <c r="CZ1009" s="567"/>
      <c r="DA1009" s="567"/>
      <c r="DB1009" s="567"/>
      <c r="DC1009" s="567"/>
      <c r="DD1009" s="567"/>
      <c r="DE1009" s="567"/>
      <c r="DF1009" s="567"/>
      <c r="DG1009" s="567"/>
      <c r="DH1009" s="567"/>
      <c r="DI1009" s="567"/>
      <c r="DJ1009" s="567"/>
      <c r="DK1009" s="567"/>
      <c r="DL1009" s="567"/>
      <c r="DM1009" s="567"/>
      <c r="DN1009" s="567"/>
      <c r="DO1009" s="567"/>
      <c r="DP1009" s="567"/>
      <c r="DQ1009" s="567"/>
      <c r="DR1009" s="567"/>
      <c r="DS1009" s="567"/>
      <c r="DT1009" s="567"/>
      <c r="DU1009" s="567"/>
      <c r="DV1009" s="567"/>
      <c r="DW1009" s="567"/>
      <c r="DX1009" s="567"/>
      <c r="DY1009" s="567"/>
      <c r="DZ1009" s="567"/>
      <c r="EA1009" s="567"/>
      <c r="EB1009" s="567"/>
      <c r="EC1009" s="567"/>
      <c r="ED1009" s="567"/>
      <c r="EE1009" s="567"/>
      <c r="EF1009" s="567"/>
      <c r="EG1009" s="567"/>
      <c r="EH1009" s="567"/>
      <c r="EI1009" s="567"/>
      <c r="EJ1009" s="567"/>
      <c r="EK1009" s="567"/>
      <c r="EL1009" s="567"/>
      <c r="EM1009" s="567"/>
      <c r="EN1009" s="567"/>
      <c r="EO1009" s="567"/>
      <c r="EP1009" s="567"/>
      <c r="EQ1009" s="567"/>
      <c r="ER1009" s="567"/>
      <c r="ES1009" s="567"/>
      <c r="ET1009" s="567"/>
      <c r="EU1009" s="567"/>
      <c r="EV1009" s="567"/>
      <c r="EW1009" s="567"/>
      <c r="EX1009" s="567"/>
      <c r="EY1009" s="567"/>
      <c r="EZ1009" s="567"/>
      <c r="FA1009" s="567"/>
      <c r="FB1009" s="567"/>
      <c r="FC1009" s="567"/>
      <c r="FD1009" s="567"/>
      <c r="FE1009" s="567"/>
      <c r="FF1009" s="567"/>
      <c r="FG1009" s="567"/>
      <c r="FH1009" s="567"/>
      <c r="FI1009" s="567"/>
      <c r="FJ1009" s="567"/>
      <c r="FK1009" s="567"/>
      <c r="FL1009" s="567"/>
      <c r="FM1009" s="567"/>
      <c r="FN1009" s="567"/>
      <c r="FO1009" s="567"/>
      <c r="FP1009" s="567"/>
      <c r="FQ1009" s="567"/>
      <c r="FR1009" s="567"/>
      <c r="FS1009" s="567"/>
      <c r="FT1009" s="567"/>
      <c r="FU1009" s="567"/>
      <c r="FV1009" s="567"/>
      <c r="FW1009" s="567"/>
      <c r="FX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  <c r="BW1010" s="567"/>
      <c r="BX1010" s="567"/>
      <c r="BY1010" s="567"/>
      <c r="BZ1010" s="567"/>
      <c r="CA1010" s="567"/>
      <c r="CB1010" s="567"/>
      <c r="CC1010" s="567"/>
      <c r="CD1010" s="567"/>
      <c r="CE1010" s="567"/>
      <c r="CF1010" s="567"/>
      <c r="CG1010" s="567"/>
      <c r="CH1010" s="567"/>
      <c r="CI1010" s="567"/>
      <c r="CJ1010" s="567"/>
      <c r="CK1010" s="567"/>
      <c r="CL1010" s="567"/>
      <c r="CM1010" s="567"/>
      <c r="CN1010" s="567"/>
      <c r="CO1010" s="567"/>
      <c r="CP1010" s="567"/>
      <c r="CQ1010" s="567"/>
      <c r="CR1010" s="567"/>
      <c r="CS1010" s="567"/>
      <c r="CT1010" s="567"/>
      <c r="CU1010" s="567"/>
      <c r="CV1010" s="567"/>
      <c r="CW1010" s="567"/>
      <c r="CX1010" s="567"/>
      <c r="CY1010" s="567"/>
      <c r="CZ1010" s="567"/>
      <c r="DA1010" s="567"/>
      <c r="DB1010" s="567"/>
      <c r="DC1010" s="567"/>
      <c r="DD1010" s="567"/>
      <c r="DE1010" s="567"/>
      <c r="DF1010" s="567"/>
      <c r="DG1010" s="567"/>
      <c r="DH1010" s="567"/>
      <c r="DI1010" s="567"/>
      <c r="DJ1010" s="567"/>
      <c r="DK1010" s="567"/>
      <c r="DL1010" s="567"/>
      <c r="DM1010" s="567"/>
      <c r="DN1010" s="567"/>
      <c r="DO1010" s="567"/>
      <c r="DP1010" s="567"/>
      <c r="DQ1010" s="567"/>
      <c r="DR1010" s="567"/>
      <c r="DS1010" s="567"/>
      <c r="DT1010" s="567"/>
      <c r="DU1010" s="567"/>
      <c r="DV1010" s="567"/>
      <c r="DW1010" s="567"/>
      <c r="DX1010" s="567"/>
      <c r="DY1010" s="567"/>
      <c r="DZ1010" s="567"/>
      <c r="EA1010" s="567"/>
      <c r="EB1010" s="567"/>
      <c r="EC1010" s="567"/>
      <c r="ED1010" s="567"/>
      <c r="EE1010" s="567"/>
      <c r="EF1010" s="567"/>
      <c r="EG1010" s="567"/>
      <c r="EH1010" s="567"/>
      <c r="EI1010" s="567"/>
      <c r="EJ1010" s="567"/>
      <c r="EK1010" s="567"/>
      <c r="EL1010" s="567"/>
      <c r="EM1010" s="567"/>
      <c r="EN1010" s="567"/>
      <c r="EO1010" s="567"/>
      <c r="EP1010" s="567"/>
      <c r="EQ1010" s="567"/>
      <c r="ER1010" s="567"/>
      <c r="ES1010" s="567"/>
      <c r="ET1010" s="567"/>
      <c r="EU1010" s="567"/>
      <c r="EV1010" s="567"/>
      <c r="EW1010" s="567"/>
      <c r="EX1010" s="567"/>
      <c r="EY1010" s="567"/>
      <c r="EZ1010" s="567"/>
      <c r="FA1010" s="567"/>
      <c r="FB1010" s="567"/>
      <c r="FC1010" s="567"/>
      <c r="FD1010" s="567"/>
      <c r="FE1010" s="567"/>
      <c r="FF1010" s="567"/>
      <c r="FG1010" s="567"/>
      <c r="FH1010" s="567"/>
      <c r="FI1010" s="567"/>
      <c r="FJ1010" s="567"/>
      <c r="FK1010" s="567"/>
      <c r="FL1010" s="567"/>
      <c r="FM1010" s="567"/>
      <c r="FN1010" s="567"/>
      <c r="FO1010" s="567"/>
      <c r="FP1010" s="567"/>
      <c r="FQ1010" s="567"/>
      <c r="FR1010" s="567"/>
      <c r="FS1010" s="567"/>
      <c r="FT1010" s="567"/>
      <c r="FU1010" s="567"/>
      <c r="FV1010" s="567"/>
      <c r="FW1010" s="567"/>
      <c r="FX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  <c r="BW1011" s="567"/>
      <c r="BX1011" s="567"/>
      <c r="BY1011" s="567"/>
      <c r="BZ1011" s="567"/>
      <c r="CA1011" s="567"/>
      <c r="CB1011" s="567"/>
      <c r="CC1011" s="567"/>
      <c r="CD1011" s="567"/>
      <c r="CE1011" s="567"/>
      <c r="CF1011" s="567"/>
      <c r="CG1011" s="567"/>
      <c r="CH1011" s="567"/>
      <c r="CI1011" s="567"/>
      <c r="CJ1011" s="567"/>
      <c r="CK1011" s="567"/>
      <c r="CL1011" s="567"/>
      <c r="CM1011" s="567"/>
      <c r="CN1011" s="567"/>
      <c r="CO1011" s="567"/>
      <c r="CP1011" s="567"/>
      <c r="CQ1011" s="567"/>
      <c r="CR1011" s="567"/>
      <c r="CS1011" s="567"/>
      <c r="CT1011" s="567"/>
      <c r="CU1011" s="567"/>
      <c r="CV1011" s="567"/>
      <c r="CW1011" s="567"/>
      <c r="CX1011" s="567"/>
      <c r="CY1011" s="567"/>
      <c r="CZ1011" s="567"/>
      <c r="DA1011" s="567"/>
      <c r="DB1011" s="567"/>
      <c r="DC1011" s="567"/>
      <c r="DD1011" s="567"/>
      <c r="DE1011" s="567"/>
      <c r="DF1011" s="567"/>
      <c r="DG1011" s="567"/>
      <c r="DH1011" s="567"/>
      <c r="DI1011" s="567"/>
      <c r="DJ1011" s="567"/>
      <c r="DK1011" s="567"/>
      <c r="DL1011" s="567"/>
      <c r="DM1011" s="567"/>
      <c r="DN1011" s="567"/>
      <c r="DO1011" s="567"/>
      <c r="DP1011" s="567"/>
      <c r="DQ1011" s="567"/>
      <c r="DR1011" s="567"/>
      <c r="DS1011" s="567"/>
      <c r="DT1011" s="567"/>
      <c r="DU1011" s="567"/>
      <c r="DV1011" s="567"/>
      <c r="DW1011" s="567"/>
      <c r="DX1011" s="567"/>
      <c r="DY1011" s="567"/>
      <c r="DZ1011" s="567"/>
      <c r="EA1011" s="567"/>
      <c r="EB1011" s="567"/>
      <c r="EC1011" s="567"/>
      <c r="ED1011" s="567"/>
      <c r="EE1011" s="567"/>
      <c r="EF1011" s="567"/>
      <c r="EG1011" s="567"/>
      <c r="EH1011" s="567"/>
      <c r="EI1011" s="567"/>
      <c r="EJ1011" s="567"/>
      <c r="EK1011" s="567"/>
      <c r="EL1011" s="567"/>
      <c r="EM1011" s="567"/>
      <c r="EN1011" s="567"/>
      <c r="EO1011" s="567"/>
      <c r="EP1011" s="567"/>
      <c r="EQ1011" s="567"/>
      <c r="ER1011" s="567"/>
      <c r="ES1011" s="567"/>
      <c r="ET1011" s="567"/>
      <c r="EU1011" s="567"/>
      <c r="EV1011" s="567"/>
      <c r="EW1011" s="567"/>
      <c r="EX1011" s="567"/>
      <c r="EY1011" s="567"/>
      <c r="EZ1011" s="567"/>
      <c r="FA1011" s="567"/>
      <c r="FB1011" s="567"/>
      <c r="FC1011" s="567"/>
      <c r="FD1011" s="567"/>
      <c r="FE1011" s="567"/>
      <c r="FF1011" s="567"/>
      <c r="FG1011" s="567"/>
      <c r="FH1011" s="567"/>
      <c r="FI1011" s="567"/>
      <c r="FJ1011" s="567"/>
      <c r="FK1011" s="567"/>
      <c r="FL1011" s="567"/>
      <c r="FM1011" s="567"/>
      <c r="FN1011" s="567"/>
      <c r="FO1011" s="567"/>
      <c r="FP1011" s="567"/>
      <c r="FQ1011" s="567"/>
      <c r="FR1011" s="567"/>
      <c r="FS1011" s="567"/>
      <c r="FT1011" s="567"/>
      <c r="FU1011" s="567"/>
      <c r="FV1011" s="567"/>
      <c r="FW1011" s="567"/>
      <c r="FX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  <c r="BW1012" s="567"/>
      <c r="BX1012" s="567"/>
      <c r="BY1012" s="567"/>
      <c r="BZ1012" s="567"/>
      <c r="CA1012" s="567"/>
      <c r="CB1012" s="567"/>
      <c r="CC1012" s="567"/>
      <c r="CD1012" s="567"/>
      <c r="CE1012" s="567"/>
      <c r="CF1012" s="567"/>
      <c r="CG1012" s="567"/>
      <c r="CH1012" s="567"/>
      <c r="CI1012" s="567"/>
      <c r="CJ1012" s="567"/>
      <c r="CK1012" s="567"/>
      <c r="CL1012" s="567"/>
      <c r="CM1012" s="567"/>
      <c r="CN1012" s="567"/>
      <c r="CO1012" s="567"/>
      <c r="CP1012" s="567"/>
      <c r="CQ1012" s="567"/>
      <c r="CR1012" s="567"/>
      <c r="CS1012" s="567"/>
      <c r="CT1012" s="567"/>
      <c r="CU1012" s="567"/>
      <c r="CV1012" s="567"/>
      <c r="CW1012" s="567"/>
      <c r="CX1012" s="567"/>
      <c r="CY1012" s="567"/>
      <c r="CZ1012" s="567"/>
      <c r="DA1012" s="567"/>
      <c r="DB1012" s="567"/>
      <c r="DC1012" s="567"/>
      <c r="DD1012" s="567"/>
      <c r="DE1012" s="567"/>
      <c r="DF1012" s="567"/>
      <c r="DG1012" s="567"/>
      <c r="DH1012" s="567"/>
      <c r="DI1012" s="567"/>
      <c r="DJ1012" s="567"/>
      <c r="DK1012" s="567"/>
      <c r="DL1012" s="567"/>
      <c r="DM1012" s="567"/>
      <c r="DN1012" s="567"/>
      <c r="DO1012" s="567"/>
      <c r="DP1012" s="567"/>
      <c r="DQ1012" s="567"/>
      <c r="DR1012" s="567"/>
      <c r="DS1012" s="567"/>
      <c r="DT1012" s="567"/>
      <c r="DU1012" s="567"/>
      <c r="DV1012" s="567"/>
      <c r="DW1012" s="567"/>
      <c r="DX1012" s="567"/>
      <c r="DY1012" s="567"/>
      <c r="DZ1012" s="567"/>
      <c r="EA1012" s="567"/>
      <c r="EB1012" s="567"/>
      <c r="EC1012" s="567"/>
      <c r="ED1012" s="567"/>
      <c r="EE1012" s="567"/>
      <c r="EF1012" s="567"/>
      <c r="EG1012" s="567"/>
      <c r="EH1012" s="567"/>
      <c r="EI1012" s="567"/>
      <c r="EJ1012" s="567"/>
      <c r="EK1012" s="567"/>
      <c r="EL1012" s="567"/>
      <c r="EM1012" s="567"/>
      <c r="EN1012" s="567"/>
      <c r="EO1012" s="567"/>
      <c r="EP1012" s="567"/>
      <c r="EQ1012" s="567"/>
      <c r="ER1012" s="567"/>
      <c r="ES1012" s="567"/>
      <c r="ET1012" s="567"/>
      <c r="EU1012" s="567"/>
      <c r="EV1012" s="567"/>
      <c r="EW1012" s="567"/>
      <c r="EX1012" s="567"/>
      <c r="EY1012" s="567"/>
      <c r="EZ1012" s="567"/>
      <c r="FA1012" s="567"/>
      <c r="FB1012" s="567"/>
      <c r="FC1012" s="567"/>
      <c r="FD1012" s="567"/>
      <c r="FE1012" s="567"/>
      <c r="FF1012" s="567"/>
      <c r="FG1012" s="567"/>
      <c r="FH1012" s="567"/>
      <c r="FI1012" s="567"/>
      <c r="FJ1012" s="567"/>
      <c r="FK1012" s="567"/>
      <c r="FL1012" s="567"/>
      <c r="FM1012" s="567"/>
      <c r="FN1012" s="567"/>
      <c r="FO1012" s="567"/>
      <c r="FP1012" s="567"/>
      <c r="FQ1012" s="567"/>
      <c r="FR1012" s="567"/>
      <c r="FS1012" s="567"/>
      <c r="FT1012" s="567"/>
      <c r="FU1012" s="567"/>
      <c r="FV1012" s="567"/>
      <c r="FW1012" s="567"/>
      <c r="FX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  <c r="BW1013" s="567"/>
      <c r="BX1013" s="567"/>
      <c r="BY1013" s="567"/>
      <c r="BZ1013" s="567"/>
      <c r="CA1013" s="567"/>
      <c r="CB1013" s="567"/>
      <c r="CC1013" s="567"/>
      <c r="CD1013" s="567"/>
      <c r="CE1013" s="567"/>
      <c r="CF1013" s="567"/>
      <c r="CG1013" s="567"/>
      <c r="CH1013" s="567"/>
      <c r="CI1013" s="567"/>
      <c r="CJ1013" s="567"/>
      <c r="CK1013" s="567"/>
      <c r="CL1013" s="567"/>
      <c r="CM1013" s="567"/>
      <c r="CN1013" s="567"/>
      <c r="CO1013" s="567"/>
      <c r="CP1013" s="567"/>
      <c r="CQ1013" s="567"/>
      <c r="CR1013" s="567"/>
      <c r="CS1013" s="567"/>
      <c r="CT1013" s="567"/>
      <c r="CU1013" s="567"/>
      <c r="CV1013" s="567"/>
      <c r="CW1013" s="567"/>
      <c r="CX1013" s="567"/>
      <c r="CY1013" s="567"/>
      <c r="CZ1013" s="567"/>
      <c r="DA1013" s="567"/>
      <c r="DB1013" s="567"/>
      <c r="DC1013" s="567"/>
      <c r="DD1013" s="567"/>
      <c r="DE1013" s="567"/>
      <c r="DF1013" s="567"/>
      <c r="DG1013" s="567"/>
      <c r="DH1013" s="567"/>
      <c r="DI1013" s="567"/>
      <c r="DJ1013" s="567"/>
      <c r="DK1013" s="567"/>
      <c r="DL1013" s="567"/>
      <c r="DM1013" s="567"/>
      <c r="DN1013" s="567"/>
      <c r="DO1013" s="567"/>
      <c r="DP1013" s="567"/>
      <c r="DQ1013" s="567"/>
      <c r="DR1013" s="567"/>
      <c r="DS1013" s="567"/>
      <c r="DT1013" s="567"/>
      <c r="DU1013" s="567"/>
      <c r="DV1013" s="567"/>
      <c r="DW1013" s="567"/>
      <c r="DX1013" s="567"/>
      <c r="DY1013" s="567"/>
      <c r="DZ1013" s="567"/>
      <c r="EA1013" s="567"/>
      <c r="EB1013" s="567"/>
      <c r="EC1013" s="567"/>
      <c r="ED1013" s="567"/>
      <c r="EE1013" s="567"/>
      <c r="EF1013" s="567"/>
      <c r="EG1013" s="567"/>
      <c r="EH1013" s="567"/>
      <c r="EI1013" s="567"/>
      <c r="EJ1013" s="567"/>
      <c r="EK1013" s="567"/>
      <c r="EL1013" s="567"/>
      <c r="EM1013" s="567"/>
      <c r="EN1013" s="567"/>
      <c r="EO1013" s="567"/>
      <c r="EP1013" s="567"/>
      <c r="EQ1013" s="567"/>
      <c r="ER1013" s="567"/>
      <c r="ES1013" s="567"/>
      <c r="ET1013" s="567"/>
      <c r="EU1013" s="567"/>
      <c r="EV1013" s="567"/>
      <c r="EW1013" s="567"/>
      <c r="EX1013" s="567"/>
      <c r="EY1013" s="567"/>
      <c r="EZ1013" s="567"/>
      <c r="FA1013" s="567"/>
      <c r="FB1013" s="567"/>
      <c r="FC1013" s="567"/>
      <c r="FD1013" s="567"/>
      <c r="FE1013" s="567"/>
      <c r="FF1013" s="567"/>
      <c r="FG1013" s="567"/>
      <c r="FH1013" s="567"/>
      <c r="FI1013" s="567"/>
      <c r="FJ1013" s="567"/>
      <c r="FK1013" s="567"/>
      <c r="FL1013" s="567"/>
      <c r="FM1013" s="567"/>
      <c r="FN1013" s="567"/>
      <c r="FO1013" s="567"/>
      <c r="FP1013" s="567"/>
      <c r="FQ1013" s="567"/>
      <c r="FR1013" s="567"/>
      <c r="FS1013" s="567"/>
      <c r="FT1013" s="567"/>
      <c r="FU1013" s="567"/>
      <c r="FV1013" s="567"/>
      <c r="FW1013" s="567"/>
      <c r="FX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  <c r="BW1014" s="567"/>
      <c r="BX1014" s="567"/>
      <c r="BY1014" s="567"/>
      <c r="BZ1014" s="567"/>
      <c r="CA1014" s="567"/>
      <c r="CB1014" s="567"/>
      <c r="CC1014" s="567"/>
      <c r="CD1014" s="567"/>
      <c r="CE1014" s="567"/>
      <c r="CF1014" s="567"/>
      <c r="CG1014" s="567"/>
      <c r="CH1014" s="567"/>
      <c r="CI1014" s="567"/>
      <c r="CJ1014" s="567"/>
      <c r="CK1014" s="567"/>
      <c r="CL1014" s="567"/>
      <c r="CM1014" s="567"/>
      <c r="CN1014" s="567"/>
      <c r="CO1014" s="567"/>
      <c r="CP1014" s="567"/>
      <c r="CQ1014" s="567"/>
      <c r="CR1014" s="567"/>
      <c r="CS1014" s="567"/>
      <c r="CT1014" s="567"/>
      <c r="CU1014" s="567"/>
      <c r="CV1014" s="567"/>
      <c r="CW1014" s="567"/>
      <c r="CX1014" s="567"/>
      <c r="CY1014" s="567"/>
      <c r="CZ1014" s="567"/>
      <c r="DA1014" s="567"/>
      <c r="DB1014" s="567"/>
      <c r="DC1014" s="567"/>
      <c r="DD1014" s="567"/>
      <c r="DE1014" s="567"/>
      <c r="DF1014" s="567"/>
      <c r="DG1014" s="567"/>
      <c r="DH1014" s="567"/>
      <c r="DI1014" s="567"/>
      <c r="DJ1014" s="567"/>
      <c r="DK1014" s="567"/>
      <c r="DL1014" s="567"/>
      <c r="DM1014" s="567"/>
      <c r="DN1014" s="567"/>
      <c r="DO1014" s="567"/>
      <c r="DP1014" s="567"/>
      <c r="DQ1014" s="567"/>
      <c r="DR1014" s="567"/>
      <c r="DS1014" s="567"/>
      <c r="DT1014" s="567"/>
      <c r="DU1014" s="567"/>
      <c r="DV1014" s="567"/>
      <c r="DW1014" s="567"/>
      <c r="DX1014" s="567"/>
      <c r="DY1014" s="567"/>
      <c r="DZ1014" s="567"/>
      <c r="EA1014" s="567"/>
      <c r="EB1014" s="567"/>
      <c r="EC1014" s="567"/>
      <c r="ED1014" s="567"/>
      <c r="EE1014" s="567"/>
      <c r="EF1014" s="567"/>
      <c r="EG1014" s="567"/>
      <c r="EH1014" s="567"/>
      <c r="EI1014" s="567"/>
      <c r="EJ1014" s="567"/>
      <c r="EK1014" s="567"/>
      <c r="EL1014" s="567"/>
      <c r="EM1014" s="567"/>
      <c r="EN1014" s="567"/>
      <c r="EO1014" s="567"/>
      <c r="EP1014" s="567"/>
      <c r="EQ1014" s="567"/>
      <c r="ER1014" s="567"/>
      <c r="ES1014" s="567"/>
      <c r="ET1014" s="567"/>
      <c r="EU1014" s="567"/>
      <c r="EV1014" s="567"/>
      <c r="EW1014" s="567"/>
      <c r="EX1014" s="567"/>
      <c r="EY1014" s="567"/>
      <c r="EZ1014" s="567"/>
      <c r="FA1014" s="567"/>
      <c r="FB1014" s="567"/>
      <c r="FC1014" s="567"/>
      <c r="FD1014" s="567"/>
      <c r="FE1014" s="567"/>
      <c r="FF1014" s="567"/>
      <c r="FG1014" s="567"/>
      <c r="FH1014" s="567"/>
      <c r="FI1014" s="567"/>
      <c r="FJ1014" s="567"/>
      <c r="FK1014" s="567"/>
      <c r="FL1014" s="567"/>
      <c r="FM1014" s="567"/>
      <c r="FN1014" s="567"/>
      <c r="FO1014" s="567"/>
      <c r="FP1014" s="567"/>
      <c r="FQ1014" s="567"/>
      <c r="FR1014" s="567"/>
      <c r="FS1014" s="567"/>
      <c r="FT1014" s="567"/>
      <c r="FU1014" s="567"/>
      <c r="FV1014" s="567"/>
      <c r="FW1014" s="567"/>
      <c r="FX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  <c r="BW1015" s="567"/>
      <c r="BX1015" s="567"/>
      <c r="BY1015" s="567"/>
      <c r="BZ1015" s="567"/>
      <c r="CA1015" s="567"/>
      <c r="CB1015" s="567"/>
      <c r="CC1015" s="567"/>
      <c r="CD1015" s="567"/>
      <c r="CE1015" s="567"/>
      <c r="CF1015" s="567"/>
      <c r="CG1015" s="567"/>
      <c r="CH1015" s="567"/>
      <c r="CI1015" s="567"/>
      <c r="CJ1015" s="567"/>
      <c r="CK1015" s="567"/>
      <c r="CL1015" s="567"/>
      <c r="CM1015" s="567"/>
      <c r="CN1015" s="567"/>
      <c r="CO1015" s="567"/>
      <c r="CP1015" s="567"/>
      <c r="CQ1015" s="567"/>
      <c r="CR1015" s="567"/>
      <c r="CS1015" s="567"/>
      <c r="CT1015" s="567"/>
      <c r="CU1015" s="567"/>
      <c r="CV1015" s="567"/>
      <c r="CW1015" s="567"/>
      <c r="CX1015" s="567"/>
      <c r="CY1015" s="567"/>
      <c r="CZ1015" s="567"/>
      <c r="DA1015" s="567"/>
      <c r="DB1015" s="567"/>
      <c r="DC1015" s="567"/>
      <c r="DD1015" s="567"/>
      <c r="DE1015" s="567"/>
      <c r="DF1015" s="567"/>
      <c r="DG1015" s="567"/>
      <c r="DH1015" s="567"/>
      <c r="DI1015" s="567"/>
      <c r="DJ1015" s="567"/>
      <c r="DK1015" s="567"/>
      <c r="DL1015" s="567"/>
      <c r="DM1015" s="567"/>
      <c r="DN1015" s="567"/>
      <c r="DO1015" s="567"/>
      <c r="DP1015" s="567"/>
      <c r="DQ1015" s="567"/>
      <c r="DR1015" s="567"/>
      <c r="DS1015" s="567"/>
      <c r="DT1015" s="567"/>
      <c r="DU1015" s="567"/>
      <c r="DV1015" s="567"/>
      <c r="DW1015" s="567"/>
      <c r="DX1015" s="567"/>
      <c r="DY1015" s="567"/>
      <c r="DZ1015" s="567"/>
      <c r="EA1015" s="567"/>
      <c r="EB1015" s="567"/>
      <c r="EC1015" s="567"/>
      <c r="ED1015" s="567"/>
      <c r="EE1015" s="567"/>
      <c r="EF1015" s="567"/>
      <c r="EG1015" s="567"/>
      <c r="EH1015" s="567"/>
      <c r="EI1015" s="567"/>
      <c r="EJ1015" s="567"/>
      <c r="EK1015" s="567"/>
      <c r="EL1015" s="567"/>
      <c r="EM1015" s="567"/>
      <c r="EN1015" s="567"/>
      <c r="EO1015" s="567"/>
      <c r="EP1015" s="567"/>
      <c r="EQ1015" s="567"/>
      <c r="ER1015" s="567"/>
      <c r="ES1015" s="567"/>
      <c r="ET1015" s="567"/>
      <c r="EU1015" s="567"/>
      <c r="EV1015" s="567"/>
      <c r="EW1015" s="567"/>
      <c r="EX1015" s="567"/>
      <c r="EY1015" s="567"/>
      <c r="EZ1015" s="567"/>
      <c r="FA1015" s="567"/>
      <c r="FB1015" s="567"/>
      <c r="FC1015" s="567"/>
      <c r="FD1015" s="567"/>
      <c r="FE1015" s="567"/>
      <c r="FF1015" s="567"/>
      <c r="FG1015" s="567"/>
      <c r="FH1015" s="567"/>
      <c r="FI1015" s="567"/>
      <c r="FJ1015" s="567"/>
      <c r="FK1015" s="567"/>
      <c r="FL1015" s="567"/>
      <c r="FM1015" s="567"/>
      <c r="FN1015" s="567"/>
      <c r="FO1015" s="567"/>
      <c r="FP1015" s="567"/>
      <c r="FQ1015" s="567"/>
      <c r="FR1015" s="567"/>
      <c r="FS1015" s="567"/>
      <c r="FT1015" s="567"/>
      <c r="FU1015" s="567"/>
      <c r="FV1015" s="567"/>
      <c r="FW1015" s="567"/>
      <c r="FX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  <c r="BW1016" s="567"/>
      <c r="BX1016" s="567"/>
      <c r="BY1016" s="567"/>
      <c r="BZ1016" s="567"/>
      <c r="CA1016" s="567"/>
      <c r="CB1016" s="567"/>
      <c r="CC1016" s="567"/>
      <c r="CD1016" s="567"/>
      <c r="CE1016" s="567"/>
      <c r="CF1016" s="567"/>
      <c r="CG1016" s="567"/>
      <c r="CH1016" s="567"/>
      <c r="CI1016" s="567"/>
      <c r="CJ1016" s="567"/>
      <c r="CK1016" s="567"/>
      <c r="CL1016" s="567"/>
      <c r="CM1016" s="567"/>
      <c r="CN1016" s="567"/>
      <c r="CO1016" s="567"/>
      <c r="CP1016" s="567"/>
      <c r="CQ1016" s="567"/>
      <c r="CR1016" s="567"/>
      <c r="CS1016" s="567"/>
      <c r="CT1016" s="567"/>
      <c r="CU1016" s="567"/>
      <c r="CV1016" s="567"/>
      <c r="CW1016" s="567"/>
      <c r="CX1016" s="567"/>
      <c r="CY1016" s="567"/>
      <c r="CZ1016" s="567"/>
      <c r="DA1016" s="567"/>
      <c r="DB1016" s="567"/>
      <c r="DC1016" s="567"/>
      <c r="DD1016" s="567"/>
      <c r="DE1016" s="567"/>
      <c r="DF1016" s="567"/>
      <c r="DG1016" s="567"/>
      <c r="DH1016" s="567"/>
      <c r="DI1016" s="567"/>
      <c r="DJ1016" s="567"/>
      <c r="DK1016" s="567"/>
      <c r="DL1016" s="567"/>
      <c r="DM1016" s="567"/>
      <c r="DN1016" s="567"/>
      <c r="DO1016" s="567"/>
      <c r="DP1016" s="567"/>
      <c r="DQ1016" s="567"/>
      <c r="DR1016" s="567"/>
      <c r="DS1016" s="567"/>
      <c r="DT1016" s="567"/>
      <c r="DU1016" s="567"/>
      <c r="DV1016" s="567"/>
      <c r="DW1016" s="567"/>
      <c r="DX1016" s="567"/>
      <c r="DY1016" s="567"/>
      <c r="DZ1016" s="567"/>
      <c r="EA1016" s="567"/>
      <c r="EB1016" s="567"/>
      <c r="EC1016" s="567"/>
      <c r="ED1016" s="567"/>
      <c r="EE1016" s="567"/>
      <c r="EF1016" s="567"/>
      <c r="EG1016" s="567"/>
      <c r="EH1016" s="567"/>
      <c r="EI1016" s="567"/>
      <c r="EJ1016" s="567"/>
      <c r="EK1016" s="567"/>
      <c r="EL1016" s="567"/>
      <c r="EM1016" s="567"/>
      <c r="EN1016" s="567"/>
      <c r="EO1016" s="567"/>
      <c r="EP1016" s="567"/>
      <c r="EQ1016" s="567"/>
      <c r="ER1016" s="567"/>
      <c r="ES1016" s="567"/>
      <c r="ET1016" s="567"/>
      <c r="EU1016" s="567"/>
      <c r="EV1016" s="567"/>
      <c r="EW1016" s="567"/>
      <c r="EX1016" s="567"/>
      <c r="EY1016" s="567"/>
      <c r="EZ1016" s="567"/>
      <c r="FA1016" s="567"/>
      <c r="FB1016" s="567"/>
      <c r="FC1016" s="567"/>
      <c r="FD1016" s="567"/>
      <c r="FE1016" s="567"/>
      <c r="FF1016" s="567"/>
      <c r="FG1016" s="567"/>
      <c r="FH1016" s="567"/>
      <c r="FI1016" s="567"/>
      <c r="FJ1016" s="567"/>
      <c r="FK1016" s="567"/>
      <c r="FL1016" s="567"/>
      <c r="FM1016" s="567"/>
      <c r="FN1016" s="567"/>
      <c r="FO1016" s="567"/>
      <c r="FP1016" s="567"/>
      <c r="FQ1016" s="567"/>
      <c r="FR1016" s="567"/>
      <c r="FS1016" s="567"/>
      <c r="FT1016" s="567"/>
      <c r="FU1016" s="567"/>
      <c r="FV1016" s="567"/>
      <c r="FW1016" s="567"/>
      <c r="FX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  <c r="BW1017" s="567"/>
      <c r="BX1017" s="567"/>
      <c r="BY1017" s="567"/>
      <c r="BZ1017" s="567"/>
      <c r="CA1017" s="567"/>
      <c r="CB1017" s="567"/>
      <c r="CC1017" s="567"/>
      <c r="CD1017" s="567"/>
      <c r="CE1017" s="567"/>
      <c r="CF1017" s="567"/>
      <c r="CG1017" s="567"/>
      <c r="CH1017" s="567"/>
      <c r="CI1017" s="567"/>
      <c r="CJ1017" s="567"/>
      <c r="CK1017" s="567"/>
      <c r="CL1017" s="567"/>
      <c r="CM1017" s="567"/>
      <c r="CN1017" s="567"/>
      <c r="CO1017" s="567"/>
      <c r="CP1017" s="567"/>
      <c r="CQ1017" s="567"/>
      <c r="CR1017" s="567"/>
      <c r="CS1017" s="567"/>
      <c r="CT1017" s="567"/>
      <c r="CU1017" s="567"/>
      <c r="CV1017" s="567"/>
      <c r="CW1017" s="567"/>
      <c r="CX1017" s="567"/>
      <c r="CY1017" s="567"/>
      <c r="CZ1017" s="567"/>
      <c r="DA1017" s="567"/>
      <c r="DB1017" s="567"/>
      <c r="DC1017" s="567"/>
      <c r="DD1017" s="567"/>
      <c r="DE1017" s="567"/>
      <c r="DF1017" s="567"/>
      <c r="DG1017" s="567"/>
      <c r="DH1017" s="567"/>
      <c r="DI1017" s="567"/>
      <c r="DJ1017" s="567"/>
      <c r="DK1017" s="567"/>
      <c r="DL1017" s="567"/>
      <c r="DM1017" s="567"/>
      <c r="DN1017" s="567"/>
      <c r="DO1017" s="567"/>
      <c r="DP1017" s="567"/>
      <c r="DQ1017" s="567"/>
      <c r="DR1017" s="567"/>
      <c r="DS1017" s="567"/>
      <c r="DT1017" s="567"/>
      <c r="DU1017" s="567"/>
      <c r="DV1017" s="567"/>
      <c r="DW1017" s="567"/>
      <c r="DX1017" s="567"/>
      <c r="DY1017" s="567"/>
      <c r="DZ1017" s="567"/>
      <c r="EA1017" s="567"/>
      <c r="EB1017" s="567"/>
      <c r="EC1017" s="567"/>
      <c r="ED1017" s="567"/>
      <c r="EE1017" s="567"/>
      <c r="EF1017" s="567"/>
      <c r="EG1017" s="567"/>
      <c r="EH1017" s="567"/>
      <c r="EI1017" s="567"/>
      <c r="EJ1017" s="567"/>
      <c r="EK1017" s="567"/>
      <c r="EL1017" s="567"/>
      <c r="EM1017" s="567"/>
      <c r="EN1017" s="567"/>
      <c r="EO1017" s="567"/>
      <c r="EP1017" s="567"/>
      <c r="EQ1017" s="567"/>
      <c r="ER1017" s="567"/>
      <c r="ES1017" s="567"/>
      <c r="ET1017" s="567"/>
      <c r="EU1017" s="567"/>
      <c r="EV1017" s="567"/>
      <c r="EW1017" s="567"/>
      <c r="EX1017" s="567"/>
      <c r="EY1017" s="567"/>
      <c r="EZ1017" s="567"/>
      <c r="FA1017" s="567"/>
      <c r="FB1017" s="567"/>
      <c r="FC1017" s="567"/>
      <c r="FD1017" s="567"/>
      <c r="FE1017" s="567"/>
      <c r="FF1017" s="567"/>
      <c r="FG1017" s="567"/>
      <c r="FH1017" s="567"/>
      <c r="FI1017" s="567"/>
      <c r="FJ1017" s="567"/>
      <c r="FK1017" s="567"/>
      <c r="FL1017" s="567"/>
      <c r="FM1017" s="567"/>
      <c r="FN1017" s="567"/>
      <c r="FO1017" s="567"/>
      <c r="FP1017" s="567"/>
      <c r="FQ1017" s="567"/>
      <c r="FR1017" s="567"/>
      <c r="FS1017" s="567"/>
      <c r="FT1017" s="567"/>
      <c r="FU1017" s="567"/>
      <c r="FV1017" s="567"/>
      <c r="FW1017" s="567"/>
      <c r="FX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  <c r="BW1018" s="567"/>
      <c r="BX1018" s="567"/>
      <c r="BY1018" s="567"/>
      <c r="BZ1018" s="567"/>
      <c r="CA1018" s="567"/>
      <c r="CB1018" s="567"/>
      <c r="CC1018" s="567"/>
      <c r="CD1018" s="567"/>
      <c r="CE1018" s="567"/>
      <c r="CF1018" s="567"/>
      <c r="CG1018" s="567"/>
      <c r="CH1018" s="567"/>
      <c r="CI1018" s="567"/>
      <c r="CJ1018" s="567"/>
      <c r="CK1018" s="567"/>
      <c r="CL1018" s="567"/>
      <c r="CM1018" s="567"/>
      <c r="CN1018" s="567"/>
      <c r="CO1018" s="567"/>
      <c r="CP1018" s="567"/>
      <c r="CQ1018" s="567"/>
      <c r="CR1018" s="567"/>
      <c r="CS1018" s="567"/>
      <c r="CT1018" s="567"/>
      <c r="CU1018" s="567"/>
      <c r="CV1018" s="567"/>
      <c r="CW1018" s="567"/>
      <c r="CX1018" s="567"/>
      <c r="CY1018" s="567"/>
      <c r="CZ1018" s="567"/>
      <c r="DA1018" s="567"/>
      <c r="DB1018" s="567"/>
      <c r="DC1018" s="567"/>
      <c r="DD1018" s="567"/>
      <c r="DE1018" s="567"/>
      <c r="DF1018" s="567"/>
      <c r="DG1018" s="567"/>
      <c r="DH1018" s="567"/>
      <c r="DI1018" s="567"/>
      <c r="DJ1018" s="567"/>
      <c r="DK1018" s="567"/>
      <c r="DL1018" s="567"/>
      <c r="DM1018" s="567"/>
      <c r="DN1018" s="567"/>
      <c r="DO1018" s="567"/>
      <c r="DP1018" s="567"/>
      <c r="DQ1018" s="567"/>
      <c r="DR1018" s="567"/>
      <c r="DS1018" s="567"/>
      <c r="DT1018" s="567"/>
      <c r="DU1018" s="567"/>
      <c r="DV1018" s="567"/>
      <c r="DW1018" s="567"/>
      <c r="DX1018" s="567"/>
      <c r="DY1018" s="567"/>
      <c r="DZ1018" s="567"/>
      <c r="EA1018" s="567"/>
      <c r="EB1018" s="567"/>
      <c r="EC1018" s="567"/>
      <c r="ED1018" s="567"/>
      <c r="EE1018" s="567"/>
      <c r="EF1018" s="567"/>
      <c r="EG1018" s="567"/>
      <c r="EH1018" s="567"/>
      <c r="EI1018" s="567"/>
      <c r="EJ1018" s="567"/>
      <c r="EK1018" s="567"/>
      <c r="EL1018" s="567"/>
      <c r="EM1018" s="567"/>
      <c r="EN1018" s="567"/>
      <c r="EO1018" s="567"/>
      <c r="EP1018" s="567"/>
      <c r="EQ1018" s="567"/>
      <c r="ER1018" s="567"/>
      <c r="ES1018" s="567"/>
      <c r="ET1018" s="567"/>
      <c r="EU1018" s="567"/>
      <c r="EV1018" s="567"/>
      <c r="EW1018" s="567"/>
      <c r="EX1018" s="567"/>
      <c r="EY1018" s="567"/>
      <c r="EZ1018" s="567"/>
      <c r="FA1018" s="567"/>
      <c r="FB1018" s="567"/>
      <c r="FC1018" s="567"/>
      <c r="FD1018" s="567"/>
      <c r="FE1018" s="567"/>
      <c r="FF1018" s="567"/>
      <c r="FG1018" s="567"/>
      <c r="FH1018" s="567"/>
      <c r="FI1018" s="567"/>
      <c r="FJ1018" s="567"/>
      <c r="FK1018" s="567"/>
      <c r="FL1018" s="567"/>
      <c r="FM1018" s="567"/>
      <c r="FN1018" s="567"/>
      <c r="FO1018" s="567"/>
      <c r="FP1018" s="567"/>
      <c r="FQ1018" s="567"/>
      <c r="FR1018" s="567"/>
      <c r="FS1018" s="567"/>
      <c r="FT1018" s="567"/>
      <c r="FU1018" s="567"/>
      <c r="FV1018" s="567"/>
      <c r="FW1018" s="567"/>
      <c r="FX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  <c r="BW1019" s="567"/>
      <c r="BX1019" s="567"/>
      <c r="BY1019" s="567"/>
      <c r="BZ1019" s="567"/>
      <c r="CA1019" s="567"/>
      <c r="CB1019" s="567"/>
      <c r="CC1019" s="567"/>
      <c r="CD1019" s="567"/>
      <c r="CE1019" s="567"/>
      <c r="CF1019" s="567"/>
      <c r="CG1019" s="567"/>
      <c r="CH1019" s="567"/>
      <c r="CI1019" s="567"/>
      <c r="CJ1019" s="567"/>
      <c r="CK1019" s="567"/>
      <c r="CL1019" s="567"/>
      <c r="CM1019" s="567"/>
      <c r="CN1019" s="567"/>
      <c r="CO1019" s="567"/>
      <c r="CP1019" s="567"/>
      <c r="CQ1019" s="567"/>
      <c r="CR1019" s="567"/>
      <c r="CS1019" s="567"/>
      <c r="CT1019" s="567"/>
      <c r="CU1019" s="567"/>
      <c r="CV1019" s="567"/>
      <c r="CW1019" s="567"/>
      <c r="CX1019" s="567"/>
      <c r="CY1019" s="567"/>
      <c r="CZ1019" s="567"/>
      <c r="DA1019" s="567"/>
      <c r="DB1019" s="567"/>
      <c r="DC1019" s="567"/>
      <c r="DD1019" s="567"/>
      <c r="DE1019" s="567"/>
      <c r="DF1019" s="567"/>
      <c r="DG1019" s="567"/>
      <c r="DH1019" s="567"/>
      <c r="DI1019" s="567"/>
      <c r="DJ1019" s="567"/>
      <c r="DK1019" s="567"/>
      <c r="DL1019" s="567"/>
      <c r="DM1019" s="567"/>
      <c r="DN1019" s="567"/>
      <c r="DO1019" s="567"/>
      <c r="DP1019" s="567"/>
      <c r="DQ1019" s="567"/>
      <c r="DR1019" s="567"/>
      <c r="DS1019" s="567"/>
      <c r="DT1019" s="567"/>
      <c r="DU1019" s="567"/>
      <c r="DV1019" s="567"/>
      <c r="DW1019" s="567"/>
      <c r="DX1019" s="567"/>
      <c r="DY1019" s="567"/>
      <c r="DZ1019" s="567"/>
      <c r="EA1019" s="567"/>
      <c r="EB1019" s="567"/>
      <c r="EC1019" s="567"/>
      <c r="ED1019" s="567"/>
      <c r="EE1019" s="567"/>
      <c r="EF1019" s="567"/>
      <c r="EG1019" s="567"/>
      <c r="EH1019" s="567"/>
      <c r="EI1019" s="567"/>
      <c r="EJ1019" s="567"/>
      <c r="EK1019" s="567"/>
      <c r="EL1019" s="567"/>
      <c r="EM1019" s="567"/>
      <c r="EN1019" s="567"/>
      <c r="EO1019" s="567"/>
      <c r="EP1019" s="567"/>
      <c r="EQ1019" s="567"/>
      <c r="ER1019" s="567"/>
      <c r="ES1019" s="567"/>
      <c r="ET1019" s="567"/>
      <c r="EU1019" s="567"/>
      <c r="EV1019" s="567"/>
      <c r="EW1019" s="567"/>
      <c r="EX1019" s="567"/>
      <c r="EY1019" s="567"/>
      <c r="EZ1019" s="567"/>
      <c r="FA1019" s="567"/>
      <c r="FB1019" s="567"/>
      <c r="FC1019" s="567"/>
      <c r="FD1019" s="567"/>
      <c r="FE1019" s="567"/>
      <c r="FF1019" s="567"/>
      <c r="FG1019" s="567"/>
      <c r="FH1019" s="567"/>
      <c r="FI1019" s="567"/>
      <c r="FJ1019" s="567"/>
      <c r="FK1019" s="567"/>
      <c r="FL1019" s="567"/>
      <c r="FM1019" s="567"/>
      <c r="FN1019" s="567"/>
      <c r="FO1019" s="567"/>
      <c r="FP1019" s="567"/>
      <c r="FQ1019" s="567"/>
      <c r="FR1019" s="567"/>
      <c r="FS1019" s="567"/>
      <c r="FT1019" s="567"/>
      <c r="FU1019" s="567"/>
      <c r="FV1019" s="567"/>
      <c r="FW1019" s="567"/>
      <c r="FX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  <c r="BW1020" s="567"/>
      <c r="BX1020" s="567"/>
      <c r="BY1020" s="567"/>
      <c r="BZ1020" s="567"/>
      <c r="CA1020" s="567"/>
      <c r="CB1020" s="567"/>
      <c r="CC1020" s="567"/>
      <c r="CD1020" s="567"/>
      <c r="CE1020" s="567"/>
      <c r="CF1020" s="567"/>
      <c r="CG1020" s="567"/>
      <c r="CH1020" s="567"/>
      <c r="CI1020" s="567"/>
      <c r="CJ1020" s="567"/>
      <c r="CK1020" s="567"/>
      <c r="CL1020" s="567"/>
      <c r="CM1020" s="567"/>
      <c r="CN1020" s="567"/>
      <c r="CO1020" s="567"/>
      <c r="CP1020" s="567"/>
      <c r="CQ1020" s="567"/>
      <c r="CR1020" s="567"/>
      <c r="CS1020" s="567"/>
      <c r="CT1020" s="567"/>
      <c r="CU1020" s="567"/>
      <c r="CV1020" s="567"/>
      <c r="CW1020" s="567"/>
      <c r="CX1020" s="567"/>
      <c r="CY1020" s="567"/>
      <c r="CZ1020" s="567"/>
      <c r="DA1020" s="567"/>
      <c r="DB1020" s="567"/>
      <c r="DC1020" s="567"/>
      <c r="DD1020" s="567"/>
      <c r="DE1020" s="567"/>
      <c r="DF1020" s="567"/>
      <c r="DG1020" s="567"/>
      <c r="DH1020" s="567"/>
      <c r="DI1020" s="567"/>
      <c r="DJ1020" s="567"/>
      <c r="DK1020" s="567"/>
      <c r="DL1020" s="567"/>
      <c r="DM1020" s="567"/>
      <c r="DN1020" s="567"/>
      <c r="DO1020" s="567"/>
      <c r="DP1020" s="567"/>
      <c r="DQ1020" s="567"/>
      <c r="DR1020" s="567"/>
      <c r="DS1020" s="567"/>
      <c r="DT1020" s="567"/>
      <c r="DU1020" s="567"/>
      <c r="DV1020" s="567"/>
      <c r="DW1020" s="567"/>
      <c r="DX1020" s="567"/>
      <c r="DY1020" s="567"/>
      <c r="DZ1020" s="567"/>
      <c r="EA1020" s="567"/>
      <c r="EB1020" s="567"/>
      <c r="EC1020" s="567"/>
      <c r="ED1020" s="567"/>
      <c r="EE1020" s="567"/>
      <c r="EF1020" s="567"/>
      <c r="EG1020" s="567"/>
      <c r="EH1020" s="567"/>
      <c r="EI1020" s="567"/>
      <c r="EJ1020" s="567"/>
      <c r="EK1020" s="567"/>
      <c r="EL1020" s="567"/>
      <c r="EM1020" s="567"/>
      <c r="EN1020" s="567"/>
      <c r="EO1020" s="567"/>
      <c r="EP1020" s="567"/>
      <c r="EQ1020" s="567"/>
      <c r="ER1020" s="567"/>
      <c r="ES1020" s="567"/>
      <c r="ET1020" s="567"/>
      <c r="EU1020" s="567"/>
      <c r="EV1020" s="567"/>
      <c r="EW1020" s="567"/>
      <c r="EX1020" s="567"/>
      <c r="EY1020" s="567"/>
      <c r="EZ1020" s="567"/>
      <c r="FA1020" s="567"/>
      <c r="FB1020" s="567"/>
      <c r="FC1020" s="567"/>
      <c r="FD1020" s="567"/>
      <c r="FE1020" s="567"/>
      <c r="FF1020" s="567"/>
      <c r="FG1020" s="567"/>
      <c r="FH1020" s="567"/>
      <c r="FI1020" s="567"/>
      <c r="FJ1020" s="567"/>
      <c r="FK1020" s="567"/>
      <c r="FL1020" s="567"/>
      <c r="FM1020" s="567"/>
      <c r="FN1020" s="567"/>
      <c r="FO1020" s="567"/>
      <c r="FP1020" s="567"/>
      <c r="FQ1020" s="567"/>
      <c r="FR1020" s="567"/>
      <c r="FS1020" s="567"/>
      <c r="FT1020" s="567"/>
      <c r="FU1020" s="567"/>
      <c r="FV1020" s="567"/>
      <c r="FW1020" s="567"/>
      <c r="FX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  <c r="BW1021" s="567"/>
      <c r="BX1021" s="567"/>
      <c r="BY1021" s="567"/>
      <c r="BZ1021" s="567"/>
      <c r="CA1021" s="567"/>
      <c r="CB1021" s="567"/>
      <c r="CC1021" s="567"/>
      <c r="CD1021" s="567"/>
      <c r="CE1021" s="567"/>
      <c r="CF1021" s="567"/>
      <c r="CG1021" s="567"/>
      <c r="CH1021" s="567"/>
      <c r="CI1021" s="567"/>
      <c r="CJ1021" s="567"/>
      <c r="CK1021" s="567"/>
      <c r="CL1021" s="567"/>
      <c r="CM1021" s="567"/>
      <c r="CN1021" s="567"/>
      <c r="CO1021" s="567"/>
      <c r="CP1021" s="567"/>
      <c r="CQ1021" s="567"/>
      <c r="CR1021" s="567"/>
      <c r="CS1021" s="567"/>
      <c r="CT1021" s="567"/>
      <c r="CU1021" s="567"/>
      <c r="CV1021" s="567"/>
      <c r="CW1021" s="567"/>
      <c r="CX1021" s="567"/>
      <c r="CY1021" s="567"/>
      <c r="CZ1021" s="567"/>
      <c r="DA1021" s="567"/>
      <c r="DB1021" s="567"/>
      <c r="DC1021" s="567"/>
      <c r="DD1021" s="567"/>
      <c r="DE1021" s="567"/>
      <c r="DF1021" s="567"/>
      <c r="DG1021" s="567"/>
      <c r="DH1021" s="567"/>
      <c r="DI1021" s="567"/>
      <c r="DJ1021" s="567"/>
      <c r="DK1021" s="567"/>
      <c r="DL1021" s="567"/>
      <c r="DM1021" s="567"/>
      <c r="DN1021" s="567"/>
      <c r="DO1021" s="567"/>
      <c r="DP1021" s="567"/>
      <c r="DQ1021" s="567"/>
      <c r="DR1021" s="567"/>
      <c r="DS1021" s="567"/>
      <c r="DT1021" s="567"/>
      <c r="DU1021" s="567"/>
      <c r="DV1021" s="567"/>
      <c r="DW1021" s="567"/>
      <c r="DX1021" s="567"/>
      <c r="DY1021" s="567"/>
      <c r="DZ1021" s="567"/>
      <c r="EA1021" s="567"/>
      <c r="EB1021" s="567"/>
      <c r="EC1021" s="567"/>
      <c r="ED1021" s="567"/>
      <c r="EE1021" s="567"/>
      <c r="EF1021" s="567"/>
      <c r="EG1021" s="567"/>
      <c r="EH1021" s="567"/>
      <c r="EI1021" s="567"/>
      <c r="EJ1021" s="567"/>
      <c r="EK1021" s="567"/>
      <c r="EL1021" s="567"/>
      <c r="EM1021" s="567"/>
      <c r="EN1021" s="567"/>
      <c r="EO1021" s="567"/>
      <c r="EP1021" s="567"/>
      <c r="EQ1021" s="567"/>
      <c r="ER1021" s="567"/>
      <c r="ES1021" s="567"/>
      <c r="ET1021" s="567"/>
      <c r="EU1021" s="567"/>
      <c r="EV1021" s="567"/>
      <c r="EW1021" s="567"/>
      <c r="EX1021" s="567"/>
      <c r="EY1021" s="567"/>
      <c r="EZ1021" s="567"/>
      <c r="FA1021" s="567"/>
      <c r="FB1021" s="567"/>
      <c r="FC1021" s="567"/>
      <c r="FD1021" s="567"/>
      <c r="FE1021" s="567"/>
      <c r="FF1021" s="567"/>
      <c r="FG1021" s="567"/>
      <c r="FH1021" s="567"/>
      <c r="FI1021" s="567"/>
      <c r="FJ1021" s="567"/>
      <c r="FK1021" s="567"/>
      <c r="FL1021" s="567"/>
      <c r="FM1021" s="567"/>
      <c r="FN1021" s="567"/>
      <c r="FO1021" s="567"/>
      <c r="FP1021" s="567"/>
      <c r="FQ1021" s="567"/>
      <c r="FR1021" s="567"/>
      <c r="FS1021" s="567"/>
      <c r="FT1021" s="567"/>
      <c r="FU1021" s="567"/>
      <c r="FV1021" s="567"/>
      <c r="FW1021" s="567"/>
      <c r="FX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  <c r="BW1022" s="567"/>
      <c r="BX1022" s="567"/>
      <c r="BY1022" s="567"/>
      <c r="BZ1022" s="567"/>
      <c r="CA1022" s="567"/>
      <c r="CB1022" s="567"/>
      <c r="CC1022" s="567"/>
      <c r="CD1022" s="567"/>
      <c r="CE1022" s="567"/>
      <c r="CF1022" s="567"/>
      <c r="CG1022" s="567"/>
      <c r="CH1022" s="567"/>
      <c r="CI1022" s="567"/>
      <c r="CJ1022" s="567"/>
      <c r="CK1022" s="567"/>
      <c r="CL1022" s="567"/>
      <c r="CM1022" s="567"/>
      <c r="CN1022" s="567"/>
      <c r="CO1022" s="567"/>
      <c r="CP1022" s="567"/>
      <c r="CQ1022" s="567"/>
      <c r="CR1022" s="567"/>
      <c r="CS1022" s="567"/>
      <c r="CT1022" s="567"/>
      <c r="CU1022" s="567"/>
      <c r="CV1022" s="567"/>
      <c r="CW1022" s="567"/>
      <c r="CX1022" s="567"/>
      <c r="CY1022" s="567"/>
      <c r="CZ1022" s="567"/>
      <c r="DA1022" s="567"/>
      <c r="DB1022" s="567"/>
      <c r="DC1022" s="567"/>
      <c r="DD1022" s="567"/>
      <c r="DE1022" s="567"/>
      <c r="DF1022" s="567"/>
      <c r="DG1022" s="567"/>
      <c r="DH1022" s="567"/>
      <c r="DI1022" s="567"/>
      <c r="DJ1022" s="567"/>
      <c r="DK1022" s="567"/>
      <c r="DL1022" s="567"/>
      <c r="DM1022" s="567"/>
      <c r="DN1022" s="567"/>
      <c r="DO1022" s="567"/>
      <c r="DP1022" s="567"/>
      <c r="DQ1022" s="567"/>
      <c r="DR1022" s="567"/>
      <c r="DS1022" s="567"/>
      <c r="DT1022" s="567"/>
      <c r="DU1022" s="567"/>
      <c r="DV1022" s="567"/>
      <c r="DW1022" s="567"/>
      <c r="DX1022" s="567"/>
      <c r="DY1022" s="567"/>
      <c r="DZ1022" s="567"/>
      <c r="EA1022" s="567"/>
      <c r="EB1022" s="567"/>
      <c r="EC1022" s="567"/>
      <c r="ED1022" s="567"/>
      <c r="EE1022" s="567"/>
      <c r="EF1022" s="567"/>
      <c r="EG1022" s="567"/>
      <c r="EH1022" s="567"/>
      <c r="EI1022" s="567"/>
      <c r="EJ1022" s="567"/>
      <c r="EK1022" s="567"/>
      <c r="EL1022" s="567"/>
      <c r="EM1022" s="567"/>
      <c r="EN1022" s="567"/>
      <c r="EO1022" s="567"/>
      <c r="EP1022" s="567"/>
      <c r="EQ1022" s="567"/>
      <c r="ER1022" s="567"/>
      <c r="ES1022" s="567"/>
      <c r="ET1022" s="567"/>
      <c r="EU1022" s="567"/>
      <c r="EV1022" s="567"/>
      <c r="EW1022" s="567"/>
      <c r="EX1022" s="567"/>
      <c r="EY1022" s="567"/>
      <c r="EZ1022" s="567"/>
      <c r="FA1022" s="567"/>
      <c r="FB1022" s="567"/>
      <c r="FC1022" s="567"/>
      <c r="FD1022" s="567"/>
      <c r="FE1022" s="567"/>
      <c r="FF1022" s="567"/>
      <c r="FG1022" s="567"/>
      <c r="FH1022" s="567"/>
      <c r="FI1022" s="567"/>
      <c r="FJ1022" s="567"/>
      <c r="FK1022" s="567"/>
      <c r="FL1022" s="567"/>
      <c r="FM1022" s="567"/>
      <c r="FN1022" s="567"/>
      <c r="FO1022" s="567"/>
      <c r="FP1022" s="567"/>
      <c r="FQ1022" s="567"/>
      <c r="FR1022" s="567"/>
      <c r="FS1022" s="567"/>
      <c r="FT1022" s="567"/>
      <c r="FU1022" s="567"/>
      <c r="FV1022" s="567"/>
      <c r="FW1022" s="567"/>
      <c r="FX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  <c r="BW1023" s="567"/>
      <c r="BX1023" s="567"/>
      <c r="BY1023" s="567"/>
      <c r="BZ1023" s="567"/>
      <c r="CA1023" s="567"/>
      <c r="CB1023" s="567"/>
      <c r="CC1023" s="567"/>
      <c r="CD1023" s="567"/>
      <c r="CE1023" s="567"/>
      <c r="CF1023" s="567"/>
      <c r="CG1023" s="567"/>
      <c r="CH1023" s="567"/>
      <c r="CI1023" s="567"/>
      <c r="CJ1023" s="567"/>
      <c r="CK1023" s="567"/>
      <c r="CL1023" s="567"/>
      <c r="CM1023" s="567"/>
      <c r="CN1023" s="567"/>
      <c r="CO1023" s="567"/>
      <c r="CP1023" s="567"/>
      <c r="CQ1023" s="567"/>
      <c r="CR1023" s="567"/>
      <c r="CS1023" s="567"/>
      <c r="CT1023" s="567"/>
      <c r="CU1023" s="567"/>
      <c r="CV1023" s="567"/>
      <c r="CW1023" s="567"/>
      <c r="CX1023" s="567"/>
      <c r="CY1023" s="567"/>
      <c r="CZ1023" s="567"/>
      <c r="DA1023" s="567"/>
      <c r="DB1023" s="567"/>
      <c r="DC1023" s="567"/>
      <c r="DD1023" s="567"/>
      <c r="DE1023" s="567"/>
      <c r="DF1023" s="567"/>
      <c r="DG1023" s="567"/>
      <c r="DH1023" s="567"/>
      <c r="DI1023" s="567"/>
      <c r="DJ1023" s="567"/>
      <c r="DK1023" s="567"/>
      <c r="DL1023" s="567"/>
      <c r="DM1023" s="567"/>
      <c r="DN1023" s="567"/>
      <c r="DO1023" s="567"/>
      <c r="DP1023" s="567"/>
      <c r="DQ1023" s="567"/>
      <c r="DR1023" s="567"/>
      <c r="DS1023" s="567"/>
      <c r="DT1023" s="567"/>
      <c r="DU1023" s="567"/>
      <c r="DV1023" s="567"/>
      <c r="DW1023" s="567"/>
      <c r="DX1023" s="567"/>
      <c r="DY1023" s="567"/>
      <c r="DZ1023" s="567"/>
      <c r="EA1023" s="567"/>
      <c r="EB1023" s="567"/>
      <c r="EC1023" s="567"/>
      <c r="ED1023" s="567"/>
      <c r="EE1023" s="567"/>
      <c r="EF1023" s="567"/>
      <c r="EG1023" s="567"/>
      <c r="EH1023" s="567"/>
      <c r="EI1023" s="567"/>
      <c r="EJ1023" s="567"/>
      <c r="EK1023" s="567"/>
      <c r="EL1023" s="567"/>
      <c r="EM1023" s="567"/>
      <c r="EN1023" s="567"/>
      <c r="EO1023" s="567"/>
      <c r="EP1023" s="567"/>
      <c r="EQ1023" s="567"/>
      <c r="ER1023" s="567"/>
      <c r="ES1023" s="567"/>
      <c r="ET1023" s="567"/>
      <c r="EU1023" s="567"/>
      <c r="EV1023" s="567"/>
      <c r="EW1023" s="567"/>
      <c r="EX1023" s="567"/>
      <c r="EY1023" s="567"/>
      <c r="EZ1023" s="567"/>
      <c r="FA1023" s="567"/>
      <c r="FB1023" s="567"/>
      <c r="FC1023" s="567"/>
      <c r="FD1023" s="567"/>
      <c r="FE1023" s="567"/>
      <c r="FF1023" s="567"/>
      <c r="FG1023" s="567"/>
      <c r="FH1023" s="567"/>
      <c r="FI1023" s="567"/>
      <c r="FJ1023" s="567"/>
      <c r="FK1023" s="567"/>
      <c r="FL1023" s="567"/>
      <c r="FM1023" s="567"/>
      <c r="FN1023" s="567"/>
      <c r="FO1023" s="567"/>
      <c r="FP1023" s="567"/>
      <c r="FQ1023" s="567"/>
      <c r="FR1023" s="567"/>
      <c r="FS1023" s="567"/>
      <c r="FT1023" s="567"/>
      <c r="FU1023" s="567"/>
      <c r="FV1023" s="567"/>
      <c r="FW1023" s="567"/>
      <c r="FX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  <c r="BW1024" s="567"/>
      <c r="BX1024" s="567"/>
      <c r="BY1024" s="567"/>
      <c r="BZ1024" s="567"/>
      <c r="CA1024" s="567"/>
      <c r="CB1024" s="567"/>
      <c r="CC1024" s="567"/>
      <c r="CD1024" s="567"/>
      <c r="CE1024" s="567"/>
      <c r="CF1024" s="567"/>
      <c r="CG1024" s="567"/>
      <c r="CH1024" s="567"/>
      <c r="CI1024" s="567"/>
      <c r="CJ1024" s="567"/>
      <c r="CK1024" s="567"/>
      <c r="CL1024" s="567"/>
      <c r="CM1024" s="567"/>
      <c r="CN1024" s="567"/>
      <c r="CO1024" s="567"/>
      <c r="CP1024" s="567"/>
      <c r="CQ1024" s="567"/>
      <c r="CR1024" s="567"/>
      <c r="CS1024" s="567"/>
      <c r="CT1024" s="567"/>
      <c r="CU1024" s="567"/>
      <c r="CV1024" s="567"/>
      <c r="CW1024" s="567"/>
      <c r="CX1024" s="567"/>
      <c r="CY1024" s="567"/>
      <c r="CZ1024" s="567"/>
      <c r="DA1024" s="567"/>
      <c r="DB1024" s="567"/>
      <c r="DC1024" s="567"/>
      <c r="DD1024" s="567"/>
      <c r="DE1024" s="567"/>
      <c r="DF1024" s="567"/>
      <c r="DG1024" s="567"/>
      <c r="DH1024" s="567"/>
      <c r="DI1024" s="567"/>
      <c r="DJ1024" s="567"/>
      <c r="DK1024" s="567"/>
      <c r="DL1024" s="567"/>
      <c r="DM1024" s="567"/>
      <c r="DN1024" s="567"/>
      <c r="DO1024" s="567"/>
      <c r="DP1024" s="567"/>
      <c r="DQ1024" s="567"/>
      <c r="DR1024" s="567"/>
      <c r="DS1024" s="567"/>
      <c r="DT1024" s="567"/>
      <c r="DU1024" s="567"/>
      <c r="DV1024" s="567"/>
      <c r="DW1024" s="567"/>
      <c r="DX1024" s="567"/>
      <c r="DY1024" s="567"/>
      <c r="DZ1024" s="567"/>
      <c r="EA1024" s="567"/>
      <c r="EB1024" s="567"/>
      <c r="EC1024" s="567"/>
      <c r="ED1024" s="567"/>
      <c r="EE1024" s="567"/>
      <c r="EF1024" s="567"/>
      <c r="EG1024" s="567"/>
      <c r="EH1024" s="567"/>
      <c r="EI1024" s="567"/>
      <c r="EJ1024" s="567"/>
      <c r="EK1024" s="567"/>
      <c r="EL1024" s="567"/>
      <c r="EM1024" s="567"/>
      <c r="EN1024" s="567"/>
      <c r="EO1024" s="567"/>
      <c r="EP1024" s="567"/>
      <c r="EQ1024" s="567"/>
      <c r="ER1024" s="567"/>
      <c r="ES1024" s="567"/>
      <c r="ET1024" s="567"/>
      <c r="EU1024" s="567"/>
      <c r="EV1024" s="567"/>
      <c r="EW1024" s="567"/>
      <c r="EX1024" s="567"/>
      <c r="EY1024" s="567"/>
      <c r="EZ1024" s="567"/>
      <c r="FA1024" s="567"/>
      <c r="FB1024" s="567"/>
      <c r="FC1024" s="567"/>
      <c r="FD1024" s="567"/>
      <c r="FE1024" s="567"/>
      <c r="FF1024" s="567"/>
      <c r="FG1024" s="567"/>
      <c r="FH1024" s="567"/>
      <c r="FI1024" s="567"/>
      <c r="FJ1024" s="567"/>
      <c r="FK1024" s="567"/>
      <c r="FL1024" s="567"/>
      <c r="FM1024" s="567"/>
      <c r="FN1024" s="567"/>
      <c r="FO1024" s="567"/>
      <c r="FP1024" s="567"/>
      <c r="FQ1024" s="567"/>
      <c r="FR1024" s="567"/>
      <c r="FS1024" s="567"/>
      <c r="FT1024" s="567"/>
      <c r="FU1024" s="567"/>
      <c r="FV1024" s="567"/>
      <c r="FW1024" s="567"/>
      <c r="FX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  <c r="BW1025" s="567"/>
      <c r="BX1025" s="567"/>
      <c r="BY1025" s="567"/>
      <c r="BZ1025" s="567"/>
      <c r="CA1025" s="567"/>
      <c r="CB1025" s="567"/>
      <c r="CC1025" s="567"/>
      <c r="CD1025" s="567"/>
      <c r="CE1025" s="567"/>
      <c r="CF1025" s="567"/>
      <c r="CG1025" s="567"/>
      <c r="CH1025" s="567"/>
      <c r="CI1025" s="567"/>
      <c r="CJ1025" s="567"/>
      <c r="CK1025" s="567"/>
      <c r="CL1025" s="567"/>
      <c r="CM1025" s="567"/>
      <c r="CN1025" s="567"/>
      <c r="CO1025" s="567"/>
      <c r="CP1025" s="567"/>
      <c r="CQ1025" s="567"/>
      <c r="CR1025" s="567"/>
      <c r="CS1025" s="567"/>
      <c r="CT1025" s="567"/>
      <c r="CU1025" s="567"/>
      <c r="CV1025" s="567"/>
      <c r="CW1025" s="567"/>
      <c r="CX1025" s="567"/>
      <c r="CY1025" s="567"/>
      <c r="CZ1025" s="567"/>
      <c r="DA1025" s="567"/>
      <c r="DB1025" s="567"/>
      <c r="DC1025" s="567"/>
      <c r="DD1025" s="567"/>
      <c r="DE1025" s="567"/>
      <c r="DF1025" s="567"/>
      <c r="DG1025" s="567"/>
      <c r="DH1025" s="567"/>
      <c r="DI1025" s="567"/>
      <c r="DJ1025" s="567"/>
      <c r="DK1025" s="567"/>
      <c r="DL1025" s="567"/>
      <c r="DM1025" s="567"/>
      <c r="DN1025" s="567"/>
      <c r="DO1025" s="567"/>
      <c r="DP1025" s="567"/>
      <c r="DQ1025" s="567"/>
      <c r="DR1025" s="567"/>
      <c r="DS1025" s="567"/>
      <c r="DT1025" s="567"/>
      <c r="DU1025" s="567"/>
      <c r="DV1025" s="567"/>
      <c r="DW1025" s="567"/>
      <c r="DX1025" s="567"/>
      <c r="DY1025" s="567"/>
      <c r="DZ1025" s="567"/>
      <c r="EA1025" s="567"/>
      <c r="EB1025" s="567"/>
      <c r="EC1025" s="567"/>
      <c r="ED1025" s="567"/>
      <c r="EE1025" s="567"/>
      <c r="EF1025" s="567"/>
      <c r="EG1025" s="567"/>
      <c r="EH1025" s="567"/>
      <c r="EI1025" s="567"/>
      <c r="EJ1025" s="567"/>
      <c r="EK1025" s="567"/>
      <c r="EL1025" s="567"/>
      <c r="EM1025" s="567"/>
      <c r="EN1025" s="567"/>
      <c r="EO1025" s="567"/>
      <c r="EP1025" s="567"/>
      <c r="EQ1025" s="567"/>
      <c r="ER1025" s="567"/>
      <c r="ES1025" s="567"/>
      <c r="ET1025" s="567"/>
      <c r="EU1025" s="567"/>
      <c r="EV1025" s="567"/>
      <c r="EW1025" s="567"/>
      <c r="EX1025" s="567"/>
      <c r="EY1025" s="567"/>
      <c r="EZ1025" s="567"/>
      <c r="FA1025" s="567"/>
      <c r="FB1025" s="567"/>
      <c r="FC1025" s="567"/>
      <c r="FD1025" s="567"/>
      <c r="FE1025" s="567"/>
      <c r="FF1025" s="567"/>
      <c r="FG1025" s="567"/>
      <c r="FH1025" s="567"/>
      <c r="FI1025" s="567"/>
      <c r="FJ1025" s="567"/>
      <c r="FK1025" s="567"/>
      <c r="FL1025" s="567"/>
      <c r="FM1025" s="567"/>
      <c r="FN1025" s="567"/>
      <c r="FO1025" s="567"/>
      <c r="FP1025" s="567"/>
      <c r="FQ1025" s="567"/>
      <c r="FR1025" s="567"/>
      <c r="FS1025" s="567"/>
      <c r="FT1025" s="567"/>
      <c r="FU1025" s="567"/>
      <c r="FV1025" s="567"/>
      <c r="FW1025" s="567"/>
      <c r="FX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  <c r="BW1026" s="567"/>
      <c r="BX1026" s="567"/>
      <c r="BY1026" s="567"/>
      <c r="BZ1026" s="567"/>
      <c r="CA1026" s="567"/>
      <c r="CB1026" s="567"/>
      <c r="CC1026" s="567"/>
      <c r="CD1026" s="567"/>
      <c r="CE1026" s="567"/>
      <c r="CF1026" s="567"/>
      <c r="CG1026" s="567"/>
      <c r="CH1026" s="567"/>
      <c r="CI1026" s="567"/>
      <c r="CJ1026" s="567"/>
      <c r="CK1026" s="567"/>
      <c r="CL1026" s="567"/>
      <c r="CM1026" s="567"/>
      <c r="CN1026" s="567"/>
      <c r="CO1026" s="567"/>
      <c r="CP1026" s="567"/>
      <c r="CQ1026" s="567"/>
      <c r="CR1026" s="567"/>
      <c r="CS1026" s="567"/>
      <c r="CT1026" s="567"/>
      <c r="CU1026" s="567"/>
      <c r="CV1026" s="567"/>
      <c r="CW1026" s="567"/>
      <c r="CX1026" s="567"/>
      <c r="CY1026" s="567"/>
      <c r="CZ1026" s="567"/>
      <c r="DA1026" s="567"/>
      <c r="DB1026" s="567"/>
      <c r="DC1026" s="567"/>
      <c r="DD1026" s="567"/>
      <c r="DE1026" s="567"/>
      <c r="DF1026" s="567"/>
      <c r="DG1026" s="567"/>
      <c r="DH1026" s="567"/>
      <c r="DI1026" s="567"/>
      <c r="DJ1026" s="567"/>
      <c r="DK1026" s="567"/>
      <c r="DL1026" s="567"/>
      <c r="DM1026" s="567"/>
      <c r="DN1026" s="567"/>
      <c r="DO1026" s="567"/>
      <c r="DP1026" s="567"/>
      <c r="DQ1026" s="567"/>
      <c r="DR1026" s="567"/>
      <c r="DS1026" s="567"/>
      <c r="DT1026" s="567"/>
      <c r="DU1026" s="567"/>
      <c r="DV1026" s="567"/>
      <c r="DW1026" s="567"/>
      <c r="DX1026" s="567"/>
      <c r="DY1026" s="567"/>
      <c r="DZ1026" s="567"/>
      <c r="EA1026" s="567"/>
      <c r="EB1026" s="567"/>
      <c r="EC1026" s="567"/>
      <c r="ED1026" s="567"/>
      <c r="EE1026" s="567"/>
      <c r="EF1026" s="567"/>
      <c r="EG1026" s="567"/>
      <c r="EH1026" s="567"/>
      <c r="EI1026" s="567"/>
      <c r="EJ1026" s="567"/>
      <c r="EK1026" s="567"/>
      <c r="EL1026" s="567"/>
      <c r="EM1026" s="567"/>
      <c r="EN1026" s="567"/>
      <c r="EO1026" s="567"/>
      <c r="EP1026" s="567"/>
      <c r="EQ1026" s="567"/>
      <c r="ER1026" s="567"/>
      <c r="ES1026" s="567"/>
      <c r="ET1026" s="567"/>
      <c r="EU1026" s="567"/>
      <c r="EV1026" s="567"/>
      <c r="EW1026" s="567"/>
      <c r="EX1026" s="567"/>
      <c r="EY1026" s="567"/>
      <c r="EZ1026" s="567"/>
      <c r="FA1026" s="567"/>
      <c r="FB1026" s="567"/>
      <c r="FC1026" s="567"/>
      <c r="FD1026" s="567"/>
      <c r="FE1026" s="567"/>
      <c r="FF1026" s="567"/>
      <c r="FG1026" s="567"/>
      <c r="FH1026" s="567"/>
      <c r="FI1026" s="567"/>
      <c r="FJ1026" s="567"/>
      <c r="FK1026" s="567"/>
      <c r="FL1026" s="567"/>
      <c r="FM1026" s="567"/>
      <c r="FN1026" s="567"/>
      <c r="FO1026" s="567"/>
      <c r="FP1026" s="567"/>
      <c r="FQ1026" s="567"/>
      <c r="FR1026" s="567"/>
      <c r="FS1026" s="567"/>
      <c r="FT1026" s="567"/>
      <c r="FU1026" s="567"/>
      <c r="FV1026" s="567"/>
      <c r="FW1026" s="567"/>
      <c r="FX1026" s="567"/>
    </row>
    <row r="1027">
      <c r="A1027" s="567"/>
      <c r="B1027" s="567"/>
      <c r="C1027" s="567"/>
      <c r="D1027" s="567"/>
      <c r="E1027" s="567"/>
      <c r="F1027" s="567"/>
      <c r="G1027" s="567"/>
      <c r="H1027" s="567"/>
      <c r="I1027" s="567"/>
      <c r="J1027" s="567"/>
      <c r="K1027" s="567"/>
      <c r="L1027" s="567"/>
      <c r="M1027" s="567"/>
      <c r="N1027" s="567"/>
      <c r="O1027" s="567"/>
      <c r="P1027" s="567"/>
      <c r="Q1027" s="567"/>
      <c r="R1027" s="567"/>
      <c r="S1027" s="567"/>
      <c r="T1027" s="567"/>
      <c r="U1027" s="567"/>
      <c r="V1027" s="567"/>
      <c r="W1027" s="567"/>
      <c r="X1027" s="567"/>
      <c r="Y1027" s="567"/>
      <c r="Z1027" s="567"/>
      <c r="AA1027" s="567"/>
      <c r="AB1027" s="567"/>
      <c r="AC1027" s="567"/>
      <c r="AD1027" s="567"/>
      <c r="AE1027" s="567"/>
      <c r="AF1027" s="567"/>
      <c r="AG1027" s="567"/>
      <c r="AH1027" s="567"/>
      <c r="AI1027" s="567"/>
      <c r="AJ1027" s="567"/>
      <c r="AK1027" s="567"/>
      <c r="AL1027" s="567"/>
      <c r="AM1027" s="567"/>
      <c r="AN1027" s="567"/>
      <c r="AO1027" s="567"/>
      <c r="AP1027" s="567"/>
      <c r="AQ1027" s="567"/>
      <c r="AR1027" s="567"/>
      <c r="AS1027" s="567"/>
      <c r="AT1027" s="567"/>
      <c r="AU1027" s="567"/>
      <c r="AV1027" s="567"/>
      <c r="AW1027" s="567"/>
      <c r="AX1027" s="567"/>
      <c r="AY1027" s="567"/>
      <c r="AZ1027" s="567"/>
      <c r="BA1027" s="567"/>
      <c r="BB1027" s="567"/>
      <c r="BC1027" s="567"/>
      <c r="BD1027" s="567"/>
      <c r="BE1027" s="567"/>
      <c r="BF1027" s="567"/>
      <c r="BG1027" s="567"/>
      <c r="BH1027" s="567"/>
      <c r="BI1027" s="567"/>
      <c r="BJ1027" s="567"/>
      <c r="BK1027" s="567"/>
      <c r="BL1027" s="567"/>
      <c r="BM1027" s="567"/>
      <c r="BN1027" s="567"/>
      <c r="BO1027" s="567"/>
      <c r="BP1027" s="567"/>
      <c r="BQ1027" s="567"/>
      <c r="BR1027" s="567"/>
      <c r="BS1027" s="567"/>
      <c r="BT1027" s="567"/>
      <c r="BU1027" s="567"/>
      <c r="BV1027" s="567"/>
      <c r="BW1027" s="567"/>
      <c r="BX1027" s="567"/>
      <c r="BY1027" s="567"/>
      <c r="BZ1027" s="567"/>
      <c r="CA1027" s="567"/>
      <c r="CB1027" s="567"/>
      <c r="CC1027" s="567"/>
      <c r="CD1027" s="567"/>
      <c r="CE1027" s="567"/>
      <c r="CF1027" s="567"/>
      <c r="CG1027" s="567"/>
      <c r="CH1027" s="567"/>
      <c r="CI1027" s="567"/>
      <c r="CJ1027" s="567"/>
      <c r="CK1027" s="567"/>
      <c r="CL1027" s="567"/>
      <c r="CM1027" s="567"/>
      <c r="CN1027" s="567"/>
      <c r="CO1027" s="567"/>
      <c r="CP1027" s="567"/>
      <c r="CQ1027" s="567"/>
      <c r="CR1027" s="567"/>
      <c r="CS1027" s="567"/>
      <c r="CT1027" s="567"/>
      <c r="CU1027" s="567"/>
      <c r="CV1027" s="567"/>
      <c r="CW1027" s="567"/>
      <c r="CX1027" s="567"/>
      <c r="CY1027" s="567"/>
      <c r="CZ1027" s="567"/>
      <c r="DA1027" s="567"/>
      <c r="DB1027" s="567"/>
      <c r="DC1027" s="567"/>
      <c r="DD1027" s="567"/>
      <c r="DE1027" s="567"/>
      <c r="DF1027" s="567"/>
      <c r="DG1027" s="567"/>
      <c r="DH1027" s="567"/>
      <c r="DI1027" s="567"/>
      <c r="DJ1027" s="567"/>
      <c r="DK1027" s="567"/>
      <c r="DL1027" s="567"/>
      <c r="DM1027" s="567"/>
      <c r="DN1027" s="567"/>
      <c r="DO1027" s="567"/>
      <c r="DP1027" s="567"/>
      <c r="DQ1027" s="567"/>
      <c r="DR1027" s="567"/>
      <c r="DS1027" s="567"/>
      <c r="DT1027" s="567"/>
      <c r="DU1027" s="567"/>
      <c r="DV1027" s="567"/>
      <c r="DW1027" s="567"/>
      <c r="DX1027" s="567"/>
      <c r="DY1027" s="567"/>
      <c r="DZ1027" s="567"/>
      <c r="EA1027" s="567"/>
      <c r="EB1027" s="567"/>
      <c r="EC1027" s="567"/>
      <c r="ED1027" s="567"/>
      <c r="EE1027" s="567"/>
      <c r="EF1027" s="567"/>
      <c r="EG1027" s="567"/>
      <c r="EH1027" s="567"/>
      <c r="EI1027" s="567"/>
      <c r="EJ1027" s="567"/>
      <c r="EK1027" s="567"/>
      <c r="EL1027" s="567"/>
      <c r="EM1027" s="567"/>
      <c r="EN1027" s="567"/>
      <c r="EO1027" s="567"/>
      <c r="EP1027" s="567"/>
      <c r="EQ1027" s="567"/>
      <c r="ER1027" s="567"/>
      <c r="ES1027" s="567"/>
      <c r="ET1027" s="567"/>
      <c r="EU1027" s="567"/>
      <c r="EV1027" s="567"/>
      <c r="EW1027" s="567"/>
      <c r="EX1027" s="567"/>
      <c r="EY1027" s="567"/>
      <c r="EZ1027" s="567"/>
      <c r="FA1027" s="567"/>
      <c r="FB1027" s="567"/>
      <c r="FC1027" s="567"/>
      <c r="FD1027" s="567"/>
      <c r="FE1027" s="567"/>
      <c r="FF1027" s="567"/>
      <c r="FG1027" s="567"/>
      <c r="FH1027" s="567"/>
      <c r="FI1027" s="567"/>
      <c r="FJ1027" s="567"/>
      <c r="FK1027" s="567"/>
      <c r="FL1027" s="567"/>
      <c r="FM1027" s="567"/>
      <c r="FN1027" s="567"/>
      <c r="FO1027" s="567"/>
      <c r="FP1027" s="567"/>
      <c r="FQ1027" s="567"/>
      <c r="FR1027" s="567"/>
      <c r="FS1027" s="567"/>
      <c r="FT1027" s="567"/>
      <c r="FU1027" s="567"/>
      <c r="FV1027" s="567"/>
      <c r="FW1027" s="567"/>
      <c r="FX1027" s="567"/>
    </row>
    <row r="1028">
      <c r="A1028" s="567"/>
      <c r="B1028" s="567"/>
      <c r="C1028" s="567"/>
      <c r="D1028" s="567"/>
      <c r="E1028" s="567"/>
      <c r="F1028" s="567"/>
      <c r="G1028" s="567"/>
      <c r="H1028" s="567"/>
      <c r="I1028" s="567"/>
      <c r="J1028" s="567"/>
      <c r="K1028" s="567"/>
      <c r="L1028" s="567"/>
      <c r="M1028" s="567"/>
      <c r="N1028" s="567"/>
      <c r="O1028" s="567"/>
      <c r="P1028" s="567"/>
      <c r="Q1028" s="567"/>
      <c r="R1028" s="567"/>
      <c r="S1028" s="567"/>
      <c r="T1028" s="567"/>
      <c r="U1028" s="567"/>
      <c r="V1028" s="567"/>
      <c r="W1028" s="567"/>
      <c r="X1028" s="567"/>
      <c r="Y1028" s="567"/>
      <c r="Z1028" s="567"/>
      <c r="AA1028" s="567"/>
      <c r="AB1028" s="567"/>
      <c r="AC1028" s="567"/>
      <c r="AD1028" s="567"/>
      <c r="AE1028" s="567"/>
      <c r="AF1028" s="567"/>
      <c r="AG1028" s="567"/>
      <c r="AH1028" s="567"/>
      <c r="AI1028" s="567"/>
      <c r="AJ1028" s="567"/>
      <c r="AK1028" s="567"/>
      <c r="AL1028" s="567"/>
      <c r="AM1028" s="567"/>
      <c r="AN1028" s="567"/>
      <c r="AO1028" s="567"/>
      <c r="AP1028" s="567"/>
      <c r="AQ1028" s="567"/>
      <c r="AR1028" s="567"/>
      <c r="AS1028" s="567"/>
      <c r="AT1028" s="567"/>
      <c r="AU1028" s="567"/>
      <c r="AV1028" s="567"/>
      <c r="AW1028" s="567"/>
      <c r="AX1028" s="567"/>
      <c r="AY1028" s="567"/>
      <c r="AZ1028" s="567"/>
      <c r="BA1028" s="567"/>
      <c r="BB1028" s="567"/>
      <c r="BC1028" s="567"/>
      <c r="BD1028" s="567"/>
      <c r="BE1028" s="567"/>
      <c r="BF1028" s="567"/>
      <c r="BG1028" s="567"/>
      <c r="BH1028" s="567"/>
      <c r="BI1028" s="567"/>
      <c r="BJ1028" s="567"/>
      <c r="BK1028" s="567"/>
      <c r="BL1028" s="567"/>
      <c r="BM1028" s="567"/>
      <c r="BN1028" s="567"/>
      <c r="BO1028" s="567"/>
      <c r="BP1028" s="567"/>
      <c r="BQ1028" s="567"/>
      <c r="BR1028" s="567"/>
      <c r="BS1028" s="567"/>
      <c r="BT1028" s="567"/>
      <c r="BU1028" s="567"/>
      <c r="BV1028" s="567"/>
      <c r="BW1028" s="567"/>
      <c r="BX1028" s="567"/>
      <c r="BY1028" s="567"/>
      <c r="BZ1028" s="567"/>
      <c r="CA1028" s="567"/>
      <c r="CB1028" s="567"/>
      <c r="CC1028" s="567"/>
      <c r="CD1028" s="567"/>
      <c r="CE1028" s="567"/>
      <c r="CF1028" s="567"/>
      <c r="CG1028" s="567"/>
      <c r="CH1028" s="567"/>
      <c r="CI1028" s="567"/>
      <c r="CJ1028" s="567"/>
      <c r="CK1028" s="567"/>
      <c r="CL1028" s="567"/>
      <c r="CM1028" s="567"/>
      <c r="CN1028" s="567"/>
      <c r="CO1028" s="567"/>
      <c r="CP1028" s="567"/>
      <c r="CQ1028" s="567"/>
      <c r="CR1028" s="567"/>
      <c r="CS1028" s="567"/>
      <c r="CT1028" s="567"/>
      <c r="CU1028" s="567"/>
      <c r="CV1028" s="567"/>
      <c r="CW1028" s="567"/>
      <c r="CX1028" s="567"/>
      <c r="CY1028" s="567"/>
      <c r="CZ1028" s="567"/>
      <c r="DA1028" s="567"/>
      <c r="DB1028" s="567"/>
      <c r="DC1028" s="567"/>
      <c r="DD1028" s="567"/>
      <c r="DE1028" s="567"/>
      <c r="DF1028" s="567"/>
      <c r="DG1028" s="567"/>
      <c r="DH1028" s="567"/>
      <c r="DI1028" s="567"/>
      <c r="DJ1028" s="567"/>
      <c r="DK1028" s="567"/>
      <c r="DL1028" s="567"/>
      <c r="DM1028" s="567"/>
      <c r="DN1028" s="567"/>
      <c r="DO1028" s="567"/>
      <c r="DP1028" s="567"/>
      <c r="DQ1028" s="567"/>
      <c r="DR1028" s="567"/>
      <c r="DS1028" s="567"/>
      <c r="DT1028" s="567"/>
      <c r="DU1028" s="567"/>
      <c r="DV1028" s="567"/>
      <c r="DW1028" s="567"/>
      <c r="DX1028" s="567"/>
      <c r="DY1028" s="567"/>
      <c r="DZ1028" s="567"/>
      <c r="EA1028" s="567"/>
      <c r="EB1028" s="567"/>
      <c r="EC1028" s="567"/>
      <c r="ED1028" s="567"/>
      <c r="EE1028" s="567"/>
      <c r="EF1028" s="567"/>
      <c r="EG1028" s="567"/>
      <c r="EH1028" s="567"/>
      <c r="EI1028" s="567"/>
      <c r="EJ1028" s="567"/>
      <c r="EK1028" s="567"/>
      <c r="EL1028" s="567"/>
      <c r="EM1028" s="567"/>
      <c r="EN1028" s="567"/>
      <c r="EO1028" s="567"/>
      <c r="EP1028" s="567"/>
      <c r="EQ1028" s="567"/>
      <c r="ER1028" s="567"/>
      <c r="ES1028" s="567"/>
      <c r="ET1028" s="567"/>
      <c r="EU1028" s="567"/>
      <c r="EV1028" s="567"/>
      <c r="EW1028" s="567"/>
      <c r="EX1028" s="567"/>
      <c r="EY1028" s="567"/>
      <c r="EZ1028" s="567"/>
      <c r="FA1028" s="567"/>
      <c r="FB1028" s="567"/>
      <c r="FC1028" s="567"/>
      <c r="FD1028" s="567"/>
      <c r="FE1028" s="567"/>
      <c r="FF1028" s="567"/>
      <c r="FG1028" s="567"/>
      <c r="FH1028" s="567"/>
      <c r="FI1028" s="567"/>
      <c r="FJ1028" s="567"/>
      <c r="FK1028" s="567"/>
      <c r="FL1028" s="567"/>
      <c r="FM1028" s="567"/>
      <c r="FN1028" s="567"/>
      <c r="FO1028" s="567"/>
      <c r="FP1028" s="567"/>
      <c r="FQ1028" s="567"/>
      <c r="FR1028" s="567"/>
      <c r="FS1028" s="567"/>
      <c r="FT1028" s="567"/>
      <c r="FU1028" s="567"/>
      <c r="FV1028" s="567"/>
      <c r="FW1028" s="567"/>
      <c r="FX1028" s="567"/>
    </row>
    <row r="1029">
      <c r="A1029" s="567"/>
      <c r="B1029" s="567"/>
      <c r="C1029" s="567"/>
      <c r="D1029" s="567"/>
      <c r="E1029" s="567"/>
      <c r="F1029" s="567"/>
      <c r="G1029" s="567"/>
      <c r="H1029" s="567"/>
      <c r="I1029" s="567"/>
      <c r="J1029" s="567"/>
      <c r="K1029" s="567"/>
      <c r="L1029" s="567"/>
      <c r="M1029" s="567"/>
      <c r="N1029" s="567"/>
      <c r="O1029" s="567"/>
      <c r="P1029" s="567"/>
      <c r="Q1029" s="567"/>
      <c r="R1029" s="567"/>
      <c r="S1029" s="567"/>
      <c r="T1029" s="567"/>
      <c r="U1029" s="567"/>
      <c r="V1029" s="567"/>
      <c r="W1029" s="567"/>
      <c r="X1029" s="567"/>
      <c r="Y1029" s="567"/>
      <c r="Z1029" s="567"/>
      <c r="AA1029" s="567"/>
      <c r="AB1029" s="567"/>
      <c r="AC1029" s="567"/>
      <c r="AD1029" s="567"/>
      <c r="AE1029" s="567"/>
      <c r="AF1029" s="567"/>
      <c r="AG1029" s="567"/>
      <c r="AH1029" s="567"/>
      <c r="AI1029" s="567"/>
      <c r="AJ1029" s="567"/>
      <c r="AK1029" s="567"/>
      <c r="AL1029" s="567"/>
      <c r="AM1029" s="567"/>
      <c r="AN1029" s="567"/>
      <c r="AO1029" s="567"/>
      <c r="AP1029" s="567"/>
      <c r="AQ1029" s="567"/>
      <c r="AR1029" s="567"/>
      <c r="AS1029" s="567"/>
      <c r="AT1029" s="567"/>
      <c r="AU1029" s="567"/>
      <c r="AV1029" s="567"/>
      <c r="AW1029" s="567"/>
      <c r="AX1029" s="567"/>
      <c r="AY1029" s="567"/>
      <c r="AZ1029" s="567"/>
      <c r="BA1029" s="567"/>
      <c r="BB1029" s="567"/>
      <c r="BC1029" s="567"/>
      <c r="BD1029" s="567"/>
      <c r="BE1029" s="567"/>
      <c r="BF1029" s="567"/>
      <c r="BG1029" s="567"/>
      <c r="BH1029" s="567"/>
      <c r="BI1029" s="567"/>
      <c r="BJ1029" s="567"/>
      <c r="BK1029" s="567"/>
      <c r="BL1029" s="567"/>
      <c r="BM1029" s="567"/>
      <c r="BN1029" s="567"/>
      <c r="BO1029" s="567"/>
      <c r="BP1029" s="567"/>
      <c r="BQ1029" s="567"/>
      <c r="BR1029" s="567"/>
      <c r="BS1029" s="567"/>
      <c r="BT1029" s="567"/>
      <c r="BU1029" s="567"/>
      <c r="BV1029" s="567"/>
      <c r="BW1029" s="567"/>
      <c r="BX1029" s="567"/>
      <c r="BY1029" s="567"/>
      <c r="BZ1029" s="567"/>
      <c r="CA1029" s="567"/>
      <c r="CB1029" s="567"/>
      <c r="CC1029" s="567"/>
      <c r="CD1029" s="567"/>
      <c r="CE1029" s="567"/>
      <c r="CF1029" s="567"/>
      <c r="CG1029" s="567"/>
      <c r="CH1029" s="567"/>
      <c r="CI1029" s="567"/>
      <c r="CJ1029" s="567"/>
      <c r="CK1029" s="567"/>
      <c r="CL1029" s="567"/>
      <c r="CM1029" s="567"/>
      <c r="CN1029" s="567"/>
      <c r="CO1029" s="567"/>
      <c r="CP1029" s="567"/>
      <c r="CQ1029" s="567"/>
      <c r="CR1029" s="567"/>
      <c r="CS1029" s="567"/>
      <c r="CT1029" s="567"/>
      <c r="CU1029" s="567"/>
      <c r="CV1029" s="567"/>
      <c r="CW1029" s="567"/>
      <c r="CX1029" s="567"/>
      <c r="CY1029" s="567"/>
      <c r="CZ1029" s="567"/>
      <c r="DA1029" s="567"/>
      <c r="DB1029" s="567"/>
      <c r="DC1029" s="567"/>
      <c r="DD1029" s="567"/>
      <c r="DE1029" s="567"/>
      <c r="DF1029" s="567"/>
      <c r="DG1029" s="567"/>
      <c r="DH1029" s="567"/>
      <c r="DI1029" s="567"/>
      <c r="DJ1029" s="567"/>
      <c r="DK1029" s="567"/>
      <c r="DL1029" s="567"/>
      <c r="DM1029" s="567"/>
      <c r="DN1029" s="567"/>
      <c r="DO1029" s="567"/>
      <c r="DP1029" s="567"/>
      <c r="DQ1029" s="567"/>
      <c r="DR1029" s="567"/>
      <c r="DS1029" s="567"/>
      <c r="DT1029" s="567"/>
      <c r="DU1029" s="567"/>
      <c r="DV1029" s="567"/>
      <c r="DW1029" s="567"/>
      <c r="DX1029" s="567"/>
      <c r="DY1029" s="567"/>
      <c r="DZ1029" s="567"/>
      <c r="EA1029" s="567"/>
      <c r="EB1029" s="567"/>
      <c r="EC1029" s="567"/>
      <c r="ED1029" s="567"/>
      <c r="EE1029" s="567"/>
      <c r="EF1029" s="567"/>
      <c r="EG1029" s="567"/>
      <c r="EH1029" s="567"/>
      <c r="EI1029" s="567"/>
      <c r="EJ1029" s="567"/>
      <c r="EK1029" s="567"/>
      <c r="EL1029" s="567"/>
      <c r="EM1029" s="567"/>
      <c r="EN1029" s="567"/>
      <c r="EO1029" s="567"/>
      <c r="EP1029" s="567"/>
      <c r="EQ1029" s="567"/>
      <c r="ER1029" s="567"/>
      <c r="ES1029" s="567"/>
      <c r="ET1029" s="567"/>
      <c r="EU1029" s="567"/>
      <c r="EV1029" s="567"/>
      <c r="EW1029" s="567"/>
      <c r="EX1029" s="567"/>
      <c r="EY1029" s="567"/>
      <c r="EZ1029" s="567"/>
      <c r="FA1029" s="567"/>
      <c r="FB1029" s="567"/>
      <c r="FC1029" s="567"/>
      <c r="FD1029" s="567"/>
      <c r="FE1029" s="567"/>
      <c r="FF1029" s="567"/>
      <c r="FG1029" s="567"/>
      <c r="FH1029" s="567"/>
      <c r="FI1029" s="567"/>
      <c r="FJ1029" s="567"/>
      <c r="FK1029" s="567"/>
      <c r="FL1029" s="567"/>
      <c r="FM1029" s="567"/>
      <c r="FN1029" s="567"/>
      <c r="FO1029" s="567"/>
      <c r="FP1029" s="567"/>
      <c r="FQ1029" s="567"/>
      <c r="FR1029" s="567"/>
      <c r="FS1029" s="567"/>
      <c r="FT1029" s="567"/>
      <c r="FU1029" s="567"/>
      <c r="FV1029" s="567"/>
      <c r="FW1029" s="567"/>
      <c r="FX1029" s="567"/>
    </row>
    <row r="1030">
      <c r="A1030" s="567"/>
      <c r="B1030" s="567"/>
      <c r="C1030" s="567"/>
      <c r="D1030" s="567"/>
      <c r="E1030" s="567"/>
      <c r="F1030" s="567"/>
      <c r="G1030" s="567"/>
      <c r="H1030" s="567"/>
      <c r="I1030" s="567"/>
      <c r="J1030" s="567"/>
      <c r="K1030" s="567"/>
      <c r="L1030" s="567"/>
      <c r="M1030" s="567"/>
      <c r="N1030" s="567"/>
      <c r="O1030" s="567"/>
      <c r="P1030" s="567"/>
      <c r="Q1030" s="567"/>
      <c r="R1030" s="567"/>
      <c r="S1030" s="567"/>
      <c r="T1030" s="567"/>
      <c r="U1030" s="567"/>
      <c r="V1030" s="567"/>
      <c r="W1030" s="567"/>
      <c r="X1030" s="567"/>
      <c r="Y1030" s="567"/>
      <c r="Z1030" s="567"/>
      <c r="AA1030" s="567"/>
      <c r="AB1030" s="567"/>
      <c r="AC1030" s="567"/>
      <c r="AD1030" s="567"/>
      <c r="AE1030" s="567"/>
      <c r="AF1030" s="567"/>
      <c r="AG1030" s="567"/>
      <c r="AH1030" s="567"/>
      <c r="AI1030" s="567"/>
      <c r="AJ1030" s="567"/>
      <c r="AK1030" s="567"/>
      <c r="AL1030" s="567"/>
      <c r="AM1030" s="567"/>
      <c r="AN1030" s="567"/>
      <c r="AO1030" s="567"/>
      <c r="AP1030" s="567"/>
      <c r="AQ1030" s="567"/>
      <c r="AR1030" s="567"/>
      <c r="AS1030" s="567"/>
      <c r="AT1030" s="567"/>
      <c r="AU1030" s="567"/>
      <c r="AV1030" s="567"/>
      <c r="AW1030" s="567"/>
      <c r="AX1030" s="567"/>
      <c r="AY1030" s="567"/>
      <c r="AZ1030" s="567"/>
      <c r="BA1030" s="567"/>
      <c r="BB1030" s="567"/>
      <c r="BC1030" s="567"/>
      <c r="BD1030" s="567"/>
      <c r="BE1030" s="567"/>
      <c r="BF1030" s="567"/>
      <c r="BG1030" s="567"/>
      <c r="BH1030" s="567"/>
      <c r="BI1030" s="567"/>
      <c r="BJ1030" s="567"/>
      <c r="BK1030" s="567"/>
      <c r="BL1030" s="567"/>
      <c r="BM1030" s="567"/>
      <c r="BN1030" s="567"/>
      <c r="BO1030" s="567"/>
      <c r="BP1030" s="567"/>
      <c r="BQ1030" s="567"/>
      <c r="BR1030" s="567"/>
      <c r="BS1030" s="567"/>
      <c r="BT1030" s="567"/>
      <c r="BU1030" s="567"/>
      <c r="BV1030" s="567"/>
      <c r="BW1030" s="567"/>
      <c r="BX1030" s="567"/>
      <c r="BY1030" s="567"/>
      <c r="BZ1030" s="567"/>
      <c r="CA1030" s="567"/>
      <c r="CB1030" s="567"/>
      <c r="CC1030" s="567"/>
      <c r="CD1030" s="567"/>
      <c r="CE1030" s="567"/>
      <c r="CF1030" s="567"/>
      <c r="CG1030" s="567"/>
      <c r="CH1030" s="567"/>
      <c r="CI1030" s="567"/>
      <c r="CJ1030" s="567"/>
      <c r="CK1030" s="567"/>
      <c r="CL1030" s="567"/>
      <c r="CM1030" s="567"/>
      <c r="CN1030" s="567"/>
      <c r="CO1030" s="567"/>
      <c r="CP1030" s="567"/>
      <c r="CQ1030" s="567"/>
      <c r="CR1030" s="567"/>
      <c r="CS1030" s="567"/>
      <c r="CT1030" s="567"/>
      <c r="CU1030" s="567"/>
      <c r="CV1030" s="567"/>
      <c r="CW1030" s="567"/>
      <c r="CX1030" s="567"/>
      <c r="CY1030" s="567"/>
      <c r="CZ1030" s="567"/>
      <c r="DA1030" s="567"/>
      <c r="DB1030" s="567"/>
      <c r="DC1030" s="567"/>
      <c r="DD1030" s="567"/>
      <c r="DE1030" s="567"/>
      <c r="DF1030" s="567"/>
      <c r="DG1030" s="567"/>
      <c r="DH1030" s="567"/>
      <c r="DI1030" s="567"/>
      <c r="DJ1030" s="567"/>
      <c r="DK1030" s="567"/>
      <c r="DL1030" s="567"/>
      <c r="DM1030" s="567"/>
      <c r="DN1030" s="567"/>
      <c r="DO1030" s="567"/>
      <c r="DP1030" s="567"/>
      <c r="DQ1030" s="567"/>
      <c r="DR1030" s="567"/>
      <c r="DS1030" s="567"/>
      <c r="DT1030" s="567"/>
      <c r="DU1030" s="567"/>
      <c r="DV1030" s="567"/>
      <c r="DW1030" s="567"/>
      <c r="DX1030" s="567"/>
      <c r="DY1030" s="567"/>
      <c r="DZ1030" s="567"/>
      <c r="EA1030" s="567"/>
      <c r="EB1030" s="567"/>
      <c r="EC1030" s="567"/>
      <c r="ED1030" s="567"/>
      <c r="EE1030" s="567"/>
      <c r="EF1030" s="567"/>
      <c r="EG1030" s="567"/>
      <c r="EH1030" s="567"/>
      <c r="EI1030" s="567"/>
      <c r="EJ1030" s="567"/>
      <c r="EK1030" s="567"/>
      <c r="EL1030" s="567"/>
      <c r="EM1030" s="567"/>
      <c r="EN1030" s="567"/>
      <c r="EO1030" s="567"/>
      <c r="EP1030" s="567"/>
      <c r="EQ1030" s="567"/>
      <c r="ER1030" s="567"/>
      <c r="ES1030" s="567"/>
      <c r="ET1030" s="567"/>
      <c r="EU1030" s="567"/>
      <c r="EV1030" s="567"/>
      <c r="EW1030" s="567"/>
      <c r="EX1030" s="567"/>
      <c r="EY1030" s="567"/>
      <c r="EZ1030" s="567"/>
      <c r="FA1030" s="567"/>
      <c r="FB1030" s="567"/>
      <c r="FC1030" s="567"/>
      <c r="FD1030" s="567"/>
      <c r="FE1030" s="567"/>
      <c r="FF1030" s="567"/>
      <c r="FG1030" s="567"/>
      <c r="FH1030" s="567"/>
      <c r="FI1030" s="567"/>
      <c r="FJ1030" s="567"/>
      <c r="FK1030" s="567"/>
      <c r="FL1030" s="567"/>
      <c r="FM1030" s="567"/>
      <c r="FN1030" s="567"/>
      <c r="FO1030" s="567"/>
      <c r="FP1030" s="567"/>
      <c r="FQ1030" s="567"/>
      <c r="FR1030" s="567"/>
      <c r="FS1030" s="567"/>
      <c r="FT1030" s="567"/>
      <c r="FU1030" s="567"/>
      <c r="FV1030" s="567"/>
      <c r="FW1030" s="567"/>
      <c r="FX1030" s="567"/>
    </row>
    <row r="1031">
      <c r="A1031" s="567"/>
      <c r="B1031" s="567"/>
      <c r="C1031" s="567"/>
      <c r="D1031" s="567"/>
      <c r="E1031" s="567"/>
      <c r="F1031" s="567"/>
      <c r="G1031" s="567"/>
      <c r="H1031" s="567"/>
      <c r="I1031" s="567"/>
      <c r="J1031" s="567"/>
      <c r="K1031" s="567"/>
      <c r="L1031" s="567"/>
      <c r="M1031" s="567"/>
      <c r="N1031" s="567"/>
      <c r="O1031" s="567"/>
      <c r="P1031" s="567"/>
      <c r="Q1031" s="567"/>
      <c r="R1031" s="567"/>
      <c r="S1031" s="567"/>
      <c r="T1031" s="567"/>
      <c r="U1031" s="567"/>
      <c r="V1031" s="567"/>
      <c r="W1031" s="567"/>
      <c r="X1031" s="567"/>
      <c r="Y1031" s="567"/>
      <c r="Z1031" s="567"/>
      <c r="AA1031" s="567"/>
      <c r="AB1031" s="567"/>
      <c r="AC1031" s="567"/>
      <c r="AD1031" s="567"/>
      <c r="AE1031" s="567"/>
      <c r="AF1031" s="567"/>
      <c r="AG1031" s="567"/>
      <c r="AH1031" s="567"/>
      <c r="AI1031" s="567"/>
      <c r="AJ1031" s="567"/>
      <c r="AK1031" s="567"/>
      <c r="AL1031" s="567"/>
      <c r="AM1031" s="567"/>
      <c r="AN1031" s="567"/>
      <c r="AO1031" s="567"/>
      <c r="AP1031" s="567"/>
      <c r="AQ1031" s="567"/>
      <c r="AR1031" s="567"/>
      <c r="AS1031" s="567"/>
      <c r="AT1031" s="567"/>
      <c r="AU1031" s="567"/>
      <c r="AV1031" s="567"/>
      <c r="AW1031" s="567"/>
      <c r="AX1031" s="567"/>
      <c r="AY1031" s="567"/>
      <c r="AZ1031" s="567"/>
      <c r="BA1031" s="567"/>
      <c r="BB1031" s="567"/>
      <c r="BC1031" s="567"/>
      <c r="BD1031" s="567"/>
      <c r="BE1031" s="567"/>
      <c r="BF1031" s="567"/>
      <c r="BG1031" s="567"/>
      <c r="BH1031" s="567"/>
      <c r="BI1031" s="567"/>
      <c r="BJ1031" s="567"/>
      <c r="BK1031" s="567"/>
      <c r="BL1031" s="567"/>
      <c r="BM1031" s="567"/>
      <c r="BN1031" s="567"/>
      <c r="BO1031" s="567"/>
      <c r="BP1031" s="567"/>
      <c r="BQ1031" s="567"/>
      <c r="BR1031" s="567"/>
      <c r="BS1031" s="567"/>
      <c r="BT1031" s="567"/>
      <c r="BU1031" s="567"/>
      <c r="BV1031" s="567"/>
      <c r="BW1031" s="567"/>
      <c r="BX1031" s="567"/>
      <c r="BY1031" s="567"/>
      <c r="BZ1031" s="567"/>
      <c r="CA1031" s="567"/>
      <c r="CB1031" s="567"/>
      <c r="CC1031" s="567"/>
      <c r="CD1031" s="567"/>
      <c r="CE1031" s="567"/>
      <c r="CF1031" s="567"/>
      <c r="CG1031" s="567"/>
      <c r="CH1031" s="567"/>
      <c r="CI1031" s="567"/>
      <c r="CJ1031" s="567"/>
      <c r="CK1031" s="567"/>
      <c r="CL1031" s="567"/>
      <c r="CM1031" s="567"/>
      <c r="CN1031" s="567"/>
      <c r="CO1031" s="567"/>
      <c r="CP1031" s="567"/>
      <c r="CQ1031" s="567"/>
      <c r="CR1031" s="567"/>
      <c r="CS1031" s="567"/>
      <c r="CT1031" s="567"/>
      <c r="CU1031" s="567"/>
      <c r="CV1031" s="567"/>
      <c r="CW1031" s="567"/>
      <c r="CX1031" s="567"/>
      <c r="CY1031" s="567"/>
      <c r="CZ1031" s="567"/>
      <c r="DA1031" s="567"/>
      <c r="DB1031" s="567"/>
      <c r="DC1031" s="567"/>
      <c r="DD1031" s="567"/>
      <c r="DE1031" s="567"/>
      <c r="DF1031" s="567"/>
      <c r="DG1031" s="567"/>
      <c r="DH1031" s="567"/>
      <c r="DI1031" s="567"/>
      <c r="DJ1031" s="567"/>
      <c r="DK1031" s="567"/>
      <c r="DL1031" s="567"/>
      <c r="DM1031" s="567"/>
      <c r="DN1031" s="567"/>
      <c r="DO1031" s="567"/>
      <c r="DP1031" s="567"/>
      <c r="DQ1031" s="567"/>
      <c r="DR1031" s="567"/>
      <c r="DS1031" s="567"/>
      <c r="DT1031" s="567"/>
      <c r="DU1031" s="567"/>
      <c r="DV1031" s="567"/>
      <c r="DW1031" s="567"/>
      <c r="DX1031" s="567"/>
      <c r="DY1031" s="567"/>
      <c r="DZ1031" s="567"/>
      <c r="EA1031" s="567"/>
      <c r="EB1031" s="567"/>
      <c r="EC1031" s="567"/>
      <c r="ED1031" s="567"/>
      <c r="EE1031" s="567"/>
      <c r="EF1031" s="567"/>
      <c r="EG1031" s="567"/>
      <c r="EH1031" s="567"/>
      <c r="EI1031" s="567"/>
      <c r="EJ1031" s="567"/>
      <c r="EK1031" s="567"/>
      <c r="EL1031" s="567"/>
      <c r="EM1031" s="567"/>
      <c r="EN1031" s="567"/>
      <c r="EO1031" s="567"/>
      <c r="EP1031" s="567"/>
      <c r="EQ1031" s="567"/>
      <c r="ER1031" s="567"/>
      <c r="ES1031" s="567"/>
      <c r="ET1031" s="567"/>
      <c r="EU1031" s="567"/>
      <c r="EV1031" s="567"/>
      <c r="EW1031" s="567"/>
      <c r="EX1031" s="567"/>
      <c r="EY1031" s="567"/>
      <c r="EZ1031" s="567"/>
      <c r="FA1031" s="567"/>
      <c r="FB1031" s="567"/>
      <c r="FC1031" s="567"/>
      <c r="FD1031" s="567"/>
      <c r="FE1031" s="567"/>
      <c r="FF1031" s="567"/>
      <c r="FG1031" s="567"/>
      <c r="FH1031" s="567"/>
      <c r="FI1031" s="567"/>
      <c r="FJ1031" s="567"/>
      <c r="FK1031" s="567"/>
      <c r="FL1031" s="567"/>
      <c r="FM1031" s="567"/>
      <c r="FN1031" s="567"/>
      <c r="FO1031" s="567"/>
      <c r="FP1031" s="567"/>
      <c r="FQ1031" s="567"/>
      <c r="FR1031" s="567"/>
      <c r="FS1031" s="567"/>
      <c r="FT1031" s="567"/>
      <c r="FU1031" s="567"/>
      <c r="FV1031" s="567"/>
      <c r="FW1031" s="567"/>
      <c r="FX1031" s="567"/>
    </row>
    <row r="1032">
      <c r="A1032" s="567"/>
      <c r="B1032" s="567"/>
      <c r="C1032" s="567"/>
      <c r="D1032" s="567"/>
      <c r="E1032" s="567"/>
      <c r="F1032" s="567"/>
      <c r="G1032" s="567"/>
      <c r="H1032" s="567"/>
      <c r="I1032" s="567"/>
      <c r="J1032" s="567"/>
      <c r="K1032" s="567"/>
      <c r="L1032" s="567"/>
      <c r="M1032" s="567"/>
      <c r="N1032" s="567"/>
      <c r="O1032" s="567"/>
      <c r="P1032" s="567"/>
      <c r="Q1032" s="567"/>
      <c r="R1032" s="567"/>
      <c r="S1032" s="567"/>
      <c r="T1032" s="567"/>
      <c r="U1032" s="567"/>
      <c r="V1032" s="567"/>
      <c r="W1032" s="567"/>
      <c r="X1032" s="567"/>
      <c r="Y1032" s="567"/>
      <c r="Z1032" s="567"/>
      <c r="AA1032" s="567"/>
      <c r="AB1032" s="567"/>
      <c r="AC1032" s="567"/>
      <c r="AD1032" s="567"/>
      <c r="AE1032" s="567"/>
      <c r="AF1032" s="567"/>
      <c r="AG1032" s="567"/>
      <c r="AH1032" s="567"/>
      <c r="AI1032" s="567"/>
      <c r="AJ1032" s="567"/>
      <c r="AK1032" s="567"/>
      <c r="AL1032" s="567"/>
      <c r="AM1032" s="567"/>
      <c r="AN1032" s="567"/>
      <c r="AO1032" s="567"/>
      <c r="AP1032" s="567"/>
      <c r="AQ1032" s="567"/>
      <c r="AR1032" s="567"/>
      <c r="AS1032" s="567"/>
      <c r="AT1032" s="567"/>
      <c r="AU1032" s="567"/>
      <c r="AV1032" s="567"/>
      <c r="AW1032" s="567"/>
      <c r="AX1032" s="567"/>
      <c r="AY1032" s="567"/>
      <c r="AZ1032" s="567"/>
      <c r="BA1032" s="567"/>
      <c r="BB1032" s="567"/>
      <c r="BC1032" s="567"/>
      <c r="BD1032" s="567"/>
      <c r="BE1032" s="567"/>
      <c r="BF1032" s="567"/>
      <c r="BG1032" s="567"/>
      <c r="BH1032" s="567"/>
      <c r="BI1032" s="567"/>
      <c r="BJ1032" s="567"/>
      <c r="BK1032" s="567"/>
      <c r="BL1032" s="567"/>
      <c r="BM1032" s="567"/>
      <c r="BN1032" s="567"/>
      <c r="BO1032" s="567"/>
      <c r="BP1032" s="567"/>
      <c r="BQ1032" s="567"/>
      <c r="BR1032" s="567"/>
      <c r="BS1032" s="567"/>
      <c r="BT1032" s="567"/>
      <c r="BU1032" s="567"/>
      <c r="BV1032" s="567"/>
      <c r="BW1032" s="567"/>
      <c r="BX1032" s="567"/>
      <c r="BY1032" s="567"/>
      <c r="BZ1032" s="567"/>
      <c r="CA1032" s="567"/>
      <c r="CB1032" s="567"/>
      <c r="CC1032" s="567"/>
      <c r="CD1032" s="567"/>
      <c r="CE1032" s="567"/>
      <c r="CF1032" s="567"/>
      <c r="CG1032" s="567"/>
      <c r="CH1032" s="567"/>
      <c r="CI1032" s="567"/>
      <c r="CJ1032" s="567"/>
      <c r="CK1032" s="567"/>
      <c r="CL1032" s="567"/>
      <c r="CM1032" s="567"/>
      <c r="CN1032" s="567"/>
      <c r="CO1032" s="567"/>
      <c r="CP1032" s="567"/>
      <c r="CQ1032" s="567"/>
      <c r="CR1032" s="567"/>
      <c r="CS1032" s="567"/>
      <c r="CT1032" s="567"/>
      <c r="CU1032" s="567"/>
      <c r="CV1032" s="567"/>
      <c r="CW1032" s="567"/>
      <c r="CX1032" s="567"/>
      <c r="CY1032" s="567"/>
      <c r="CZ1032" s="567"/>
      <c r="DA1032" s="567"/>
      <c r="DB1032" s="567"/>
      <c r="DC1032" s="567"/>
      <c r="DD1032" s="567"/>
      <c r="DE1032" s="567"/>
      <c r="DF1032" s="567"/>
      <c r="DG1032" s="567"/>
      <c r="DH1032" s="567"/>
      <c r="DI1032" s="567"/>
      <c r="DJ1032" s="567"/>
      <c r="DK1032" s="567"/>
      <c r="DL1032" s="567"/>
      <c r="DM1032" s="567"/>
      <c r="DN1032" s="567"/>
      <c r="DO1032" s="567"/>
      <c r="DP1032" s="567"/>
      <c r="DQ1032" s="567"/>
      <c r="DR1032" s="567"/>
      <c r="DS1032" s="567"/>
      <c r="DT1032" s="567"/>
      <c r="DU1032" s="567"/>
      <c r="DV1032" s="567"/>
      <c r="DW1032" s="567"/>
      <c r="DX1032" s="567"/>
      <c r="DY1032" s="567"/>
      <c r="DZ1032" s="567"/>
      <c r="EA1032" s="567"/>
      <c r="EB1032" s="567"/>
      <c r="EC1032" s="567"/>
      <c r="ED1032" s="567"/>
      <c r="EE1032" s="567"/>
      <c r="EF1032" s="567"/>
      <c r="EG1032" s="567"/>
      <c r="EH1032" s="567"/>
      <c r="EI1032" s="567"/>
      <c r="EJ1032" s="567"/>
      <c r="EK1032" s="567"/>
      <c r="EL1032" s="567"/>
      <c r="EM1032" s="567"/>
      <c r="EN1032" s="567"/>
      <c r="EO1032" s="567"/>
      <c r="EP1032" s="567"/>
      <c r="EQ1032" s="567"/>
      <c r="ER1032" s="567"/>
      <c r="ES1032" s="567"/>
      <c r="ET1032" s="567"/>
      <c r="EU1032" s="567"/>
      <c r="EV1032" s="567"/>
      <c r="EW1032" s="567"/>
      <c r="EX1032" s="567"/>
      <c r="EY1032" s="567"/>
      <c r="EZ1032" s="567"/>
      <c r="FA1032" s="567"/>
      <c r="FB1032" s="567"/>
      <c r="FC1032" s="567"/>
      <c r="FD1032" s="567"/>
      <c r="FE1032" s="567"/>
      <c r="FF1032" s="567"/>
      <c r="FG1032" s="567"/>
      <c r="FH1032" s="567"/>
      <c r="FI1032" s="567"/>
      <c r="FJ1032" s="567"/>
      <c r="FK1032" s="567"/>
      <c r="FL1032" s="567"/>
      <c r="FM1032" s="567"/>
      <c r="FN1032" s="567"/>
      <c r="FO1032" s="567"/>
      <c r="FP1032" s="567"/>
      <c r="FQ1032" s="567"/>
      <c r="FR1032" s="567"/>
      <c r="FS1032" s="567"/>
      <c r="FT1032" s="567"/>
      <c r="FU1032" s="567"/>
      <c r="FV1032" s="567"/>
      <c r="FW1032" s="567"/>
      <c r="FX1032" s="567"/>
    </row>
    <row r="1033">
      <c r="A1033" s="567"/>
      <c r="B1033" s="567"/>
      <c r="C1033" s="567"/>
      <c r="D1033" s="567"/>
      <c r="E1033" s="567"/>
      <c r="F1033" s="567"/>
      <c r="G1033" s="567"/>
      <c r="H1033" s="567"/>
      <c r="I1033" s="567"/>
      <c r="J1033" s="567"/>
      <c r="K1033" s="567"/>
      <c r="L1033" s="567"/>
      <c r="M1033" s="567"/>
      <c r="N1033" s="567"/>
      <c r="O1033" s="567"/>
      <c r="P1033" s="567"/>
      <c r="Q1033" s="567"/>
      <c r="R1033" s="567"/>
      <c r="S1033" s="567"/>
      <c r="T1033" s="567"/>
      <c r="U1033" s="567"/>
      <c r="V1033" s="567"/>
      <c r="W1033" s="567"/>
      <c r="X1033" s="567"/>
      <c r="Y1033" s="567"/>
      <c r="Z1033" s="567"/>
      <c r="AA1033" s="567"/>
      <c r="AB1033" s="567"/>
      <c r="AC1033" s="567"/>
      <c r="AD1033" s="567"/>
      <c r="AE1033" s="567"/>
      <c r="AF1033" s="567"/>
      <c r="AG1033" s="567"/>
      <c r="AH1033" s="567"/>
      <c r="AI1033" s="567"/>
      <c r="AJ1033" s="567"/>
      <c r="AK1033" s="567"/>
      <c r="AL1033" s="567"/>
      <c r="AM1033" s="567"/>
      <c r="AN1033" s="567"/>
      <c r="AO1033" s="567"/>
      <c r="AP1033" s="567"/>
      <c r="AQ1033" s="567"/>
      <c r="AR1033" s="567"/>
      <c r="AS1033" s="567"/>
      <c r="AT1033" s="567"/>
      <c r="AU1033" s="567"/>
      <c r="AV1033" s="567"/>
      <c r="AW1033" s="567"/>
      <c r="AX1033" s="567"/>
      <c r="AY1033" s="567"/>
      <c r="AZ1033" s="567"/>
      <c r="BA1033" s="567"/>
      <c r="BB1033" s="567"/>
      <c r="BC1033" s="567"/>
      <c r="BD1033" s="567"/>
      <c r="BE1033" s="567"/>
      <c r="BF1033" s="567"/>
      <c r="BG1033" s="567"/>
      <c r="BH1033" s="567"/>
      <c r="BI1033" s="567"/>
      <c r="BJ1033" s="567"/>
      <c r="BK1033" s="567"/>
      <c r="BL1033" s="567"/>
      <c r="BM1033" s="567"/>
      <c r="BN1033" s="567"/>
      <c r="BO1033" s="567"/>
      <c r="BP1033" s="567"/>
      <c r="BQ1033" s="567"/>
      <c r="BR1033" s="567"/>
      <c r="BS1033" s="567"/>
      <c r="BT1033" s="567"/>
      <c r="BU1033" s="567"/>
      <c r="BV1033" s="567"/>
      <c r="BW1033" s="567"/>
      <c r="BX1033" s="567"/>
      <c r="BY1033" s="567"/>
      <c r="BZ1033" s="567"/>
      <c r="CA1033" s="567"/>
      <c r="CB1033" s="567"/>
      <c r="CC1033" s="567"/>
      <c r="CD1033" s="567"/>
      <c r="CE1033" s="567"/>
      <c r="CF1033" s="567"/>
      <c r="CG1033" s="567"/>
      <c r="CH1033" s="567"/>
      <c r="CI1033" s="567"/>
      <c r="CJ1033" s="567"/>
      <c r="CK1033" s="567"/>
      <c r="CL1033" s="567"/>
      <c r="CM1033" s="567"/>
      <c r="CN1033" s="567"/>
      <c r="CO1033" s="567"/>
      <c r="CP1033" s="567"/>
      <c r="CQ1033" s="567"/>
      <c r="CR1033" s="567"/>
      <c r="CS1033" s="567"/>
      <c r="CT1033" s="567"/>
      <c r="CU1033" s="567"/>
      <c r="CV1033" s="567"/>
      <c r="CW1033" s="567"/>
      <c r="CX1033" s="567"/>
      <c r="CY1033" s="567"/>
      <c r="CZ1033" s="567"/>
      <c r="DA1033" s="567"/>
      <c r="DB1033" s="567"/>
      <c r="DC1033" s="567"/>
      <c r="DD1033" s="567"/>
      <c r="DE1033" s="567"/>
      <c r="DF1033" s="567"/>
      <c r="DG1033" s="567"/>
      <c r="DH1033" s="567"/>
      <c r="DI1033" s="567"/>
      <c r="DJ1033" s="567"/>
      <c r="DK1033" s="567"/>
      <c r="DL1033" s="567"/>
      <c r="DM1033" s="567"/>
      <c r="DN1033" s="567"/>
      <c r="DO1033" s="567"/>
      <c r="DP1033" s="567"/>
      <c r="DQ1033" s="567"/>
      <c r="DR1033" s="567"/>
      <c r="DS1033" s="567"/>
      <c r="DT1033" s="567"/>
      <c r="DU1033" s="567"/>
      <c r="DV1033" s="567"/>
      <c r="DW1033" s="567"/>
      <c r="DX1033" s="567"/>
      <c r="DY1033" s="567"/>
      <c r="DZ1033" s="567"/>
      <c r="EA1033" s="567"/>
      <c r="EB1033" s="567"/>
      <c r="EC1033" s="567"/>
      <c r="ED1033" s="567"/>
      <c r="EE1033" s="567"/>
      <c r="EF1033" s="567"/>
      <c r="EG1033" s="567"/>
      <c r="EH1033" s="567"/>
      <c r="EI1033" s="567"/>
      <c r="EJ1033" s="567"/>
      <c r="EK1033" s="567"/>
      <c r="EL1033" s="567"/>
      <c r="EM1033" s="567"/>
      <c r="EN1033" s="567"/>
      <c r="EO1033" s="567"/>
      <c r="EP1033" s="567"/>
      <c r="EQ1033" s="567"/>
      <c r="ER1033" s="567"/>
      <c r="ES1033" s="567"/>
      <c r="ET1033" s="567"/>
      <c r="EU1033" s="567"/>
      <c r="EV1033" s="567"/>
      <c r="EW1033" s="567"/>
      <c r="EX1033" s="567"/>
      <c r="EY1033" s="567"/>
      <c r="EZ1033" s="567"/>
      <c r="FA1033" s="567"/>
      <c r="FB1033" s="567"/>
      <c r="FC1033" s="567"/>
      <c r="FD1033" s="567"/>
      <c r="FE1033" s="567"/>
      <c r="FF1033" s="567"/>
      <c r="FG1033" s="567"/>
      <c r="FH1033" s="567"/>
      <c r="FI1033" s="567"/>
      <c r="FJ1033" s="567"/>
      <c r="FK1033" s="567"/>
      <c r="FL1033" s="567"/>
      <c r="FM1033" s="567"/>
      <c r="FN1033" s="567"/>
      <c r="FO1033" s="567"/>
      <c r="FP1033" s="567"/>
      <c r="FQ1033" s="567"/>
      <c r="FR1033" s="567"/>
      <c r="FS1033" s="567"/>
      <c r="FT1033" s="567"/>
      <c r="FU1033" s="567"/>
      <c r="FV1033" s="567"/>
      <c r="FW1033" s="567"/>
      <c r="FX1033" s="567"/>
    </row>
    <row r="1034">
      <c r="A1034" s="567"/>
      <c r="B1034" s="567"/>
      <c r="C1034" s="567"/>
      <c r="D1034" s="567"/>
      <c r="E1034" s="567"/>
      <c r="F1034" s="567"/>
      <c r="G1034" s="567"/>
      <c r="H1034" s="567"/>
      <c r="I1034" s="567"/>
      <c r="J1034" s="567"/>
      <c r="K1034" s="567"/>
      <c r="L1034" s="567"/>
      <c r="M1034" s="567"/>
      <c r="N1034" s="567"/>
      <c r="O1034" s="567"/>
      <c r="P1034" s="567"/>
      <c r="Q1034" s="567"/>
      <c r="R1034" s="567"/>
      <c r="S1034" s="567"/>
      <c r="T1034" s="567"/>
      <c r="U1034" s="567"/>
      <c r="V1034" s="567"/>
      <c r="W1034" s="567"/>
      <c r="X1034" s="567"/>
      <c r="Y1034" s="567"/>
      <c r="Z1034" s="567"/>
      <c r="AA1034" s="567"/>
      <c r="AB1034" s="567"/>
      <c r="AC1034" s="567"/>
      <c r="AD1034" s="567"/>
      <c r="AE1034" s="567"/>
      <c r="AF1034" s="567"/>
      <c r="AG1034" s="567"/>
      <c r="AH1034" s="567"/>
      <c r="AI1034" s="567"/>
      <c r="AJ1034" s="567"/>
      <c r="AK1034" s="567"/>
      <c r="AL1034" s="567"/>
      <c r="AM1034" s="567"/>
      <c r="AN1034" s="567"/>
      <c r="AO1034" s="567"/>
      <c r="AP1034" s="567"/>
      <c r="AQ1034" s="567"/>
      <c r="AR1034" s="567"/>
      <c r="AS1034" s="567"/>
      <c r="AT1034" s="567"/>
      <c r="AU1034" s="567"/>
      <c r="AV1034" s="567"/>
      <c r="AW1034" s="567"/>
      <c r="AX1034" s="567"/>
      <c r="AY1034" s="567"/>
      <c r="AZ1034" s="567"/>
      <c r="BA1034" s="567"/>
      <c r="BB1034" s="567"/>
      <c r="BC1034" s="567"/>
      <c r="BD1034" s="567"/>
      <c r="BE1034" s="567"/>
      <c r="BF1034" s="567"/>
      <c r="BG1034" s="567"/>
      <c r="BH1034" s="567"/>
      <c r="BI1034" s="567"/>
      <c r="BJ1034" s="567"/>
      <c r="BK1034" s="567"/>
      <c r="BL1034" s="567"/>
      <c r="BM1034" s="567"/>
      <c r="BN1034" s="567"/>
      <c r="BO1034" s="567"/>
      <c r="BP1034" s="567"/>
      <c r="BQ1034" s="567"/>
      <c r="BR1034" s="567"/>
      <c r="BS1034" s="567"/>
      <c r="BT1034" s="567"/>
      <c r="BU1034" s="567"/>
      <c r="BV1034" s="567"/>
      <c r="BW1034" s="567"/>
      <c r="BX1034" s="567"/>
      <c r="BY1034" s="567"/>
      <c r="BZ1034" s="567"/>
      <c r="CA1034" s="567"/>
      <c r="CB1034" s="567"/>
      <c r="CC1034" s="567"/>
      <c r="CD1034" s="567"/>
      <c r="CE1034" s="567"/>
      <c r="CF1034" s="567"/>
      <c r="CG1034" s="567"/>
      <c r="CH1034" s="567"/>
      <c r="CI1034" s="567"/>
      <c r="CJ1034" s="567"/>
      <c r="CK1034" s="567"/>
      <c r="CL1034" s="567"/>
      <c r="CM1034" s="567"/>
      <c r="CN1034" s="567"/>
      <c r="CO1034" s="567"/>
      <c r="CP1034" s="567"/>
      <c r="CQ1034" s="567"/>
      <c r="CR1034" s="567"/>
      <c r="CS1034" s="567"/>
      <c r="CT1034" s="567"/>
      <c r="CU1034" s="567"/>
      <c r="CV1034" s="567"/>
      <c r="CW1034" s="567"/>
      <c r="CX1034" s="567"/>
      <c r="CY1034" s="567"/>
      <c r="CZ1034" s="567"/>
      <c r="DA1034" s="567"/>
      <c r="DB1034" s="567"/>
      <c r="DC1034" s="567"/>
      <c r="DD1034" s="567"/>
      <c r="DE1034" s="567"/>
      <c r="DF1034" s="567"/>
      <c r="DG1034" s="567"/>
      <c r="DH1034" s="567"/>
      <c r="DI1034" s="567"/>
      <c r="DJ1034" s="567"/>
      <c r="DK1034" s="567"/>
      <c r="DL1034" s="567"/>
      <c r="DM1034" s="567"/>
      <c r="DN1034" s="567"/>
      <c r="DO1034" s="567"/>
      <c r="DP1034" s="567"/>
      <c r="DQ1034" s="567"/>
      <c r="DR1034" s="567"/>
      <c r="DS1034" s="567"/>
      <c r="DT1034" s="567"/>
      <c r="DU1034" s="567"/>
      <c r="DV1034" s="567"/>
      <c r="DW1034" s="567"/>
      <c r="DX1034" s="567"/>
      <c r="DY1034" s="567"/>
      <c r="DZ1034" s="567"/>
      <c r="EA1034" s="567"/>
      <c r="EB1034" s="567"/>
      <c r="EC1034" s="567"/>
      <c r="ED1034" s="567"/>
      <c r="EE1034" s="567"/>
      <c r="EF1034" s="567"/>
      <c r="EG1034" s="567"/>
      <c r="EH1034" s="567"/>
      <c r="EI1034" s="567"/>
      <c r="EJ1034" s="567"/>
      <c r="EK1034" s="567"/>
      <c r="EL1034" s="567"/>
      <c r="EM1034" s="567"/>
      <c r="EN1034" s="567"/>
      <c r="EO1034" s="567"/>
      <c r="EP1034" s="567"/>
      <c r="EQ1034" s="567"/>
      <c r="ER1034" s="567"/>
      <c r="ES1034" s="567"/>
      <c r="ET1034" s="567"/>
      <c r="EU1034" s="567"/>
      <c r="EV1034" s="567"/>
      <c r="EW1034" s="567"/>
      <c r="EX1034" s="567"/>
      <c r="EY1034" s="567"/>
      <c r="EZ1034" s="567"/>
      <c r="FA1034" s="567"/>
      <c r="FB1034" s="567"/>
      <c r="FC1034" s="567"/>
      <c r="FD1034" s="567"/>
      <c r="FE1034" s="567"/>
      <c r="FF1034" s="567"/>
      <c r="FG1034" s="567"/>
      <c r="FH1034" s="567"/>
      <c r="FI1034" s="567"/>
      <c r="FJ1034" s="567"/>
      <c r="FK1034" s="567"/>
      <c r="FL1034" s="567"/>
      <c r="FM1034" s="567"/>
      <c r="FN1034" s="567"/>
      <c r="FO1034" s="567"/>
      <c r="FP1034" s="567"/>
      <c r="FQ1034" s="567"/>
      <c r="FR1034" s="567"/>
      <c r="FS1034" s="567"/>
      <c r="FT1034" s="567"/>
      <c r="FU1034" s="567"/>
      <c r="FV1034" s="567"/>
      <c r="FW1034" s="567"/>
      <c r="FX1034" s="567"/>
    </row>
    <row r="1035">
      <c r="A1035" s="567"/>
      <c r="B1035" s="567"/>
      <c r="C1035" s="567"/>
      <c r="D1035" s="567"/>
      <c r="E1035" s="567"/>
      <c r="F1035" s="567"/>
      <c r="G1035" s="567"/>
      <c r="H1035" s="567"/>
      <c r="I1035" s="567"/>
      <c r="J1035" s="567"/>
      <c r="K1035" s="567"/>
      <c r="L1035" s="567"/>
      <c r="M1035" s="567"/>
      <c r="N1035" s="567"/>
      <c r="O1035" s="567"/>
      <c r="P1035" s="567"/>
      <c r="Q1035" s="567"/>
      <c r="R1035" s="567"/>
      <c r="S1035" s="567"/>
      <c r="T1035" s="567"/>
      <c r="U1035" s="567"/>
      <c r="V1035" s="567"/>
      <c r="W1035" s="567"/>
      <c r="X1035" s="567"/>
      <c r="Y1035" s="567"/>
      <c r="Z1035" s="567"/>
      <c r="AA1035" s="567"/>
      <c r="AB1035" s="567"/>
      <c r="AC1035" s="567"/>
      <c r="AD1035" s="567"/>
      <c r="AE1035" s="567"/>
      <c r="AF1035" s="567"/>
      <c r="AG1035" s="567"/>
      <c r="AH1035" s="567"/>
      <c r="AI1035" s="567"/>
      <c r="AJ1035" s="567"/>
      <c r="AK1035" s="567"/>
      <c r="AL1035" s="567"/>
      <c r="AM1035" s="567"/>
      <c r="AN1035" s="567"/>
      <c r="AO1035" s="567"/>
      <c r="AP1035" s="567"/>
      <c r="AQ1035" s="567"/>
      <c r="AR1035" s="567"/>
      <c r="AS1035" s="567"/>
      <c r="AT1035" s="567"/>
      <c r="AU1035" s="567"/>
      <c r="AV1035" s="567"/>
      <c r="AW1035" s="567"/>
      <c r="AX1035" s="567"/>
      <c r="AY1035" s="567"/>
      <c r="AZ1035" s="567"/>
      <c r="BA1035" s="567"/>
      <c r="BB1035" s="567"/>
      <c r="BC1035" s="567"/>
      <c r="BD1035" s="567"/>
      <c r="BE1035" s="567"/>
      <c r="BF1035" s="567"/>
      <c r="BG1035" s="567"/>
      <c r="BH1035" s="567"/>
      <c r="BI1035" s="567"/>
      <c r="BJ1035" s="567"/>
      <c r="BK1035" s="567"/>
      <c r="BL1035" s="567"/>
      <c r="BM1035" s="567"/>
      <c r="BN1035" s="567"/>
      <c r="BO1035" s="567"/>
      <c r="BP1035" s="567"/>
      <c r="BQ1035" s="567"/>
      <c r="BR1035" s="567"/>
      <c r="BS1035" s="567"/>
      <c r="BT1035" s="567"/>
      <c r="BU1035" s="567"/>
      <c r="BV1035" s="567"/>
      <c r="BW1035" s="567"/>
      <c r="BX1035" s="567"/>
      <c r="BY1035" s="567"/>
      <c r="BZ1035" s="567"/>
      <c r="CA1035" s="567"/>
      <c r="CB1035" s="567"/>
      <c r="CC1035" s="567"/>
      <c r="CD1035" s="567"/>
      <c r="CE1035" s="567"/>
      <c r="CF1035" s="567"/>
      <c r="CG1035" s="567"/>
      <c r="CH1035" s="567"/>
      <c r="CI1035" s="567"/>
      <c r="CJ1035" s="567"/>
      <c r="CK1035" s="567"/>
      <c r="CL1035" s="567"/>
      <c r="CM1035" s="567"/>
      <c r="CN1035" s="567"/>
      <c r="CO1035" s="567"/>
      <c r="CP1035" s="567"/>
      <c r="CQ1035" s="567"/>
      <c r="CR1035" s="567"/>
      <c r="CS1035" s="567"/>
      <c r="CT1035" s="567"/>
      <c r="CU1035" s="567"/>
      <c r="CV1035" s="567"/>
      <c r="CW1035" s="567"/>
      <c r="CX1035" s="567"/>
      <c r="CY1035" s="567"/>
      <c r="CZ1035" s="567"/>
      <c r="DA1035" s="567"/>
      <c r="DB1035" s="567"/>
      <c r="DC1035" s="567"/>
      <c r="DD1035" s="567"/>
      <c r="DE1035" s="567"/>
      <c r="DF1035" s="567"/>
      <c r="DG1035" s="567"/>
      <c r="DH1035" s="567"/>
      <c r="DI1035" s="567"/>
      <c r="DJ1035" s="567"/>
      <c r="DK1035" s="567"/>
      <c r="DL1035" s="567"/>
      <c r="DM1035" s="567"/>
      <c r="DN1035" s="567"/>
      <c r="DO1035" s="567"/>
      <c r="DP1035" s="567"/>
      <c r="DQ1035" s="567"/>
      <c r="DR1035" s="567"/>
      <c r="DS1035" s="567"/>
      <c r="DT1035" s="567"/>
      <c r="DU1035" s="567"/>
      <c r="DV1035" s="567"/>
      <c r="DW1035" s="567"/>
      <c r="DX1035" s="567"/>
      <c r="DY1035" s="567"/>
      <c r="DZ1035" s="567"/>
      <c r="EA1035" s="567"/>
      <c r="EB1035" s="567"/>
      <c r="EC1035" s="567"/>
      <c r="ED1035" s="567"/>
      <c r="EE1035" s="567"/>
      <c r="EF1035" s="567"/>
      <c r="EG1035" s="567"/>
      <c r="EH1035" s="567"/>
      <c r="EI1035" s="567"/>
      <c r="EJ1035" s="567"/>
      <c r="EK1035" s="567"/>
      <c r="EL1035" s="567"/>
      <c r="EM1035" s="567"/>
      <c r="EN1035" s="567"/>
      <c r="EO1035" s="567"/>
      <c r="EP1035" s="567"/>
      <c r="EQ1035" s="567"/>
      <c r="ER1035" s="567"/>
      <c r="ES1035" s="567"/>
      <c r="ET1035" s="567"/>
      <c r="EU1035" s="567"/>
      <c r="EV1035" s="567"/>
      <c r="EW1035" s="567"/>
      <c r="EX1035" s="567"/>
      <c r="EY1035" s="567"/>
      <c r="EZ1035" s="567"/>
      <c r="FA1035" s="567"/>
      <c r="FB1035" s="567"/>
      <c r="FC1035" s="567"/>
      <c r="FD1035" s="567"/>
      <c r="FE1035" s="567"/>
      <c r="FF1035" s="567"/>
      <c r="FG1035" s="567"/>
      <c r="FH1035" s="567"/>
      <c r="FI1035" s="567"/>
      <c r="FJ1035" s="567"/>
      <c r="FK1035" s="567"/>
      <c r="FL1035" s="567"/>
      <c r="FM1035" s="567"/>
      <c r="FN1035" s="567"/>
      <c r="FO1035" s="567"/>
      <c r="FP1035" s="567"/>
      <c r="FQ1035" s="567"/>
      <c r="FR1035" s="567"/>
      <c r="FS1035" s="567"/>
      <c r="FT1035" s="567"/>
      <c r="FU1035" s="567"/>
      <c r="FV1035" s="567"/>
      <c r="FW1035" s="567"/>
      <c r="FX1035" s="567"/>
    </row>
    <row r="1036">
      <c r="A1036" s="567"/>
      <c r="B1036" s="567"/>
      <c r="C1036" s="567"/>
      <c r="D1036" s="567"/>
      <c r="E1036" s="567"/>
      <c r="F1036" s="567"/>
      <c r="G1036" s="567"/>
      <c r="H1036" s="567"/>
      <c r="I1036" s="567"/>
      <c r="J1036" s="567"/>
      <c r="K1036" s="567"/>
      <c r="L1036" s="567"/>
      <c r="M1036" s="567"/>
      <c r="N1036" s="567"/>
      <c r="O1036" s="567"/>
      <c r="P1036" s="567"/>
      <c r="Q1036" s="567"/>
      <c r="R1036" s="567"/>
      <c r="S1036" s="567"/>
      <c r="T1036" s="567"/>
      <c r="U1036" s="567"/>
      <c r="V1036" s="567"/>
      <c r="W1036" s="567"/>
      <c r="X1036" s="567"/>
      <c r="Y1036" s="567"/>
      <c r="Z1036" s="567"/>
      <c r="AA1036" s="567"/>
      <c r="AB1036" s="567"/>
      <c r="AC1036" s="567"/>
      <c r="AD1036" s="567"/>
      <c r="AE1036" s="567"/>
      <c r="AF1036" s="567"/>
      <c r="AG1036" s="567"/>
      <c r="AH1036" s="567"/>
      <c r="AI1036" s="567"/>
      <c r="AJ1036" s="567"/>
      <c r="AK1036" s="567"/>
      <c r="AL1036" s="567"/>
      <c r="AM1036" s="567"/>
      <c r="AN1036" s="567"/>
      <c r="AO1036" s="567"/>
      <c r="AP1036" s="567"/>
      <c r="AQ1036" s="567"/>
      <c r="AR1036" s="567"/>
      <c r="AS1036" s="567"/>
      <c r="AT1036" s="567"/>
      <c r="AU1036" s="567"/>
      <c r="AV1036" s="567"/>
      <c r="AW1036" s="567"/>
      <c r="AX1036" s="567"/>
      <c r="AY1036" s="567"/>
      <c r="AZ1036" s="567"/>
      <c r="BA1036" s="567"/>
      <c r="BB1036" s="567"/>
      <c r="BC1036" s="567"/>
      <c r="BD1036" s="567"/>
      <c r="BE1036" s="567"/>
      <c r="BF1036" s="567"/>
      <c r="BG1036" s="567"/>
      <c r="BH1036" s="567"/>
      <c r="BI1036" s="567"/>
      <c r="BJ1036" s="567"/>
      <c r="BK1036" s="567"/>
      <c r="BL1036" s="567"/>
      <c r="BM1036" s="567"/>
      <c r="BN1036" s="567"/>
      <c r="BO1036" s="567"/>
      <c r="BP1036" s="567"/>
      <c r="BQ1036" s="567"/>
      <c r="BR1036" s="567"/>
      <c r="BS1036" s="567"/>
      <c r="BT1036" s="567"/>
      <c r="BU1036" s="567"/>
      <c r="BV1036" s="567"/>
      <c r="BW1036" s="567"/>
      <c r="BX1036" s="567"/>
      <c r="BY1036" s="567"/>
      <c r="BZ1036" s="567"/>
      <c r="CA1036" s="567"/>
      <c r="CB1036" s="567"/>
      <c r="CC1036" s="567"/>
      <c r="CD1036" s="567"/>
      <c r="CE1036" s="567"/>
      <c r="CF1036" s="567"/>
      <c r="CG1036" s="567"/>
      <c r="CH1036" s="567"/>
      <c r="CI1036" s="567"/>
      <c r="CJ1036" s="567"/>
      <c r="CK1036" s="567"/>
      <c r="CL1036" s="567"/>
      <c r="CM1036" s="567"/>
      <c r="CN1036" s="567"/>
      <c r="CO1036" s="567"/>
      <c r="CP1036" s="567"/>
      <c r="CQ1036" s="567"/>
      <c r="CR1036" s="567"/>
      <c r="CS1036" s="567"/>
      <c r="CT1036" s="567"/>
      <c r="CU1036" s="567"/>
      <c r="CV1036" s="567"/>
      <c r="CW1036" s="567"/>
      <c r="CX1036" s="567"/>
      <c r="CY1036" s="567"/>
      <c r="CZ1036" s="567"/>
      <c r="DA1036" s="567"/>
      <c r="DB1036" s="567"/>
      <c r="DC1036" s="567"/>
      <c r="DD1036" s="567"/>
      <c r="DE1036" s="567"/>
      <c r="DF1036" s="567"/>
      <c r="DG1036" s="567"/>
      <c r="DH1036" s="567"/>
      <c r="DI1036" s="567"/>
      <c r="DJ1036" s="567"/>
      <c r="DK1036" s="567"/>
      <c r="DL1036" s="567"/>
      <c r="DM1036" s="567"/>
      <c r="DN1036" s="567"/>
      <c r="DO1036" s="567"/>
      <c r="DP1036" s="567"/>
      <c r="DQ1036" s="567"/>
      <c r="DR1036" s="567"/>
      <c r="DS1036" s="567"/>
      <c r="DT1036" s="567"/>
      <c r="DU1036" s="567"/>
      <c r="DV1036" s="567"/>
      <c r="DW1036" s="567"/>
      <c r="DX1036" s="567"/>
      <c r="DY1036" s="567"/>
      <c r="DZ1036" s="567"/>
      <c r="EA1036" s="567"/>
      <c r="EB1036" s="567"/>
      <c r="EC1036" s="567"/>
      <c r="ED1036" s="567"/>
      <c r="EE1036" s="567"/>
      <c r="EF1036" s="567"/>
      <c r="EG1036" s="567"/>
      <c r="EH1036" s="567"/>
      <c r="EI1036" s="567"/>
      <c r="EJ1036" s="567"/>
      <c r="EK1036" s="567"/>
      <c r="EL1036" s="567"/>
      <c r="EM1036" s="567"/>
      <c r="EN1036" s="567"/>
      <c r="EO1036" s="567"/>
      <c r="EP1036" s="567"/>
      <c r="EQ1036" s="567"/>
      <c r="ER1036" s="567"/>
      <c r="ES1036" s="567"/>
      <c r="ET1036" s="567"/>
      <c r="EU1036" s="567"/>
      <c r="EV1036" s="567"/>
      <c r="EW1036" s="567"/>
      <c r="EX1036" s="567"/>
      <c r="EY1036" s="567"/>
      <c r="EZ1036" s="567"/>
      <c r="FA1036" s="567"/>
      <c r="FB1036" s="567"/>
      <c r="FC1036" s="567"/>
      <c r="FD1036" s="567"/>
      <c r="FE1036" s="567"/>
      <c r="FF1036" s="567"/>
      <c r="FG1036" s="567"/>
      <c r="FH1036" s="567"/>
      <c r="FI1036" s="567"/>
      <c r="FJ1036" s="567"/>
      <c r="FK1036" s="567"/>
      <c r="FL1036" s="567"/>
      <c r="FM1036" s="567"/>
      <c r="FN1036" s="567"/>
      <c r="FO1036" s="567"/>
      <c r="FP1036" s="567"/>
      <c r="FQ1036" s="567"/>
      <c r="FR1036" s="567"/>
      <c r="FS1036" s="567"/>
      <c r="FT1036" s="567"/>
      <c r="FU1036" s="567"/>
      <c r="FV1036" s="567"/>
      <c r="FW1036" s="567"/>
      <c r="FX1036" s="567"/>
    </row>
    <row r="1037">
      <c r="A1037" s="567"/>
      <c r="B1037" s="567"/>
      <c r="C1037" s="567"/>
      <c r="D1037" s="567"/>
      <c r="E1037" s="567"/>
      <c r="F1037" s="567"/>
      <c r="G1037" s="567"/>
      <c r="H1037" s="567"/>
      <c r="I1037" s="567"/>
      <c r="J1037" s="567"/>
      <c r="K1037" s="567"/>
      <c r="L1037" s="567"/>
      <c r="M1037" s="567"/>
      <c r="N1037" s="567"/>
      <c r="O1037" s="567"/>
      <c r="P1037" s="567"/>
      <c r="Q1037" s="567"/>
      <c r="R1037" s="567"/>
      <c r="S1037" s="567"/>
      <c r="T1037" s="567"/>
      <c r="U1037" s="567"/>
      <c r="V1037" s="567"/>
      <c r="W1037" s="567"/>
      <c r="X1037" s="567"/>
      <c r="Y1037" s="567"/>
      <c r="Z1037" s="567"/>
      <c r="AA1037" s="567"/>
      <c r="AB1037" s="567"/>
      <c r="AC1037" s="567"/>
      <c r="AD1037" s="567"/>
      <c r="AE1037" s="567"/>
      <c r="AF1037" s="567"/>
      <c r="AG1037" s="567"/>
      <c r="AH1037" s="567"/>
      <c r="AI1037" s="567"/>
      <c r="AJ1037" s="567"/>
      <c r="AK1037" s="567"/>
      <c r="AL1037" s="567"/>
      <c r="AM1037" s="567"/>
      <c r="AN1037" s="567"/>
      <c r="AO1037" s="567"/>
      <c r="AP1037" s="567"/>
      <c r="AQ1037" s="567"/>
      <c r="AR1037" s="567"/>
      <c r="AS1037" s="567"/>
      <c r="AT1037" s="567"/>
      <c r="AU1037" s="567"/>
      <c r="AV1037" s="567"/>
      <c r="AW1037" s="567"/>
      <c r="AX1037" s="567"/>
      <c r="AY1037" s="567"/>
      <c r="AZ1037" s="567"/>
      <c r="BA1037" s="567"/>
      <c r="BB1037" s="567"/>
      <c r="BC1037" s="567"/>
      <c r="BD1037" s="567"/>
      <c r="BE1037" s="567"/>
      <c r="BF1037" s="567"/>
      <c r="BG1037" s="567"/>
      <c r="BH1037" s="567"/>
      <c r="BI1037" s="567"/>
      <c r="BJ1037" s="567"/>
      <c r="BK1037" s="567"/>
      <c r="BL1037" s="567"/>
      <c r="BM1037" s="567"/>
      <c r="BN1037" s="567"/>
      <c r="BO1037" s="567"/>
      <c r="BP1037" s="567"/>
      <c r="BQ1037" s="567"/>
      <c r="BR1037" s="567"/>
      <c r="BS1037" s="567"/>
      <c r="BT1037" s="567"/>
      <c r="BU1037" s="567"/>
      <c r="BV1037" s="567"/>
      <c r="BW1037" s="567"/>
      <c r="BX1037" s="567"/>
      <c r="BY1037" s="567"/>
      <c r="BZ1037" s="567"/>
      <c r="CA1037" s="567"/>
      <c r="CB1037" s="567"/>
      <c r="CC1037" s="567"/>
      <c r="CD1037" s="567"/>
      <c r="CE1037" s="567"/>
      <c r="CF1037" s="567"/>
      <c r="CG1037" s="567"/>
      <c r="CH1037" s="567"/>
      <c r="CI1037" s="567"/>
      <c r="CJ1037" s="567"/>
      <c r="CK1037" s="567"/>
      <c r="CL1037" s="567"/>
      <c r="CM1037" s="567"/>
      <c r="CN1037" s="567"/>
      <c r="CO1037" s="567"/>
      <c r="CP1037" s="567"/>
      <c r="CQ1037" s="567"/>
      <c r="CR1037" s="567"/>
      <c r="CS1037" s="567"/>
      <c r="CT1037" s="567"/>
      <c r="CU1037" s="567"/>
      <c r="CV1037" s="567"/>
      <c r="CW1037" s="567"/>
      <c r="CX1037" s="567"/>
      <c r="CY1037" s="567"/>
      <c r="CZ1037" s="567"/>
      <c r="DA1037" s="567"/>
      <c r="DB1037" s="567"/>
      <c r="DC1037" s="567"/>
      <c r="DD1037" s="567"/>
      <c r="DE1037" s="567"/>
      <c r="DF1037" s="567"/>
      <c r="DG1037" s="567"/>
      <c r="DH1037" s="567"/>
      <c r="DI1037" s="567"/>
      <c r="DJ1037" s="567"/>
      <c r="DK1037" s="567"/>
      <c r="DL1037" s="567"/>
      <c r="DM1037" s="567"/>
      <c r="DN1037" s="567"/>
      <c r="DO1037" s="567"/>
      <c r="DP1037" s="567"/>
      <c r="DQ1037" s="567"/>
      <c r="DR1037" s="567"/>
      <c r="DS1037" s="567"/>
      <c r="DT1037" s="567"/>
      <c r="DU1037" s="567"/>
      <c r="DV1037" s="567"/>
      <c r="DW1037" s="567"/>
      <c r="DX1037" s="567"/>
      <c r="DY1037" s="567"/>
      <c r="DZ1037" s="567"/>
      <c r="EA1037" s="567"/>
      <c r="EB1037" s="567"/>
      <c r="EC1037" s="567"/>
      <c r="ED1037" s="567"/>
      <c r="EE1037" s="567"/>
      <c r="EF1037" s="567"/>
      <c r="EG1037" s="567"/>
      <c r="EH1037" s="567"/>
      <c r="EI1037" s="567"/>
      <c r="EJ1037" s="567"/>
      <c r="EK1037" s="567"/>
      <c r="EL1037" s="567"/>
      <c r="EM1037" s="567"/>
      <c r="EN1037" s="567"/>
      <c r="EO1037" s="567"/>
      <c r="EP1037" s="567"/>
      <c r="EQ1037" s="567"/>
      <c r="ER1037" s="567"/>
      <c r="ES1037" s="567"/>
      <c r="ET1037" s="567"/>
      <c r="EU1037" s="567"/>
      <c r="EV1037" s="567"/>
      <c r="EW1037" s="567"/>
      <c r="EX1037" s="567"/>
      <c r="EY1037" s="567"/>
      <c r="EZ1037" s="567"/>
      <c r="FA1037" s="567"/>
      <c r="FB1037" s="567"/>
      <c r="FC1037" s="567"/>
      <c r="FD1037" s="567"/>
      <c r="FE1037" s="567"/>
      <c r="FF1037" s="567"/>
      <c r="FG1037" s="567"/>
      <c r="FH1037" s="567"/>
      <c r="FI1037" s="567"/>
      <c r="FJ1037" s="567"/>
      <c r="FK1037" s="567"/>
      <c r="FL1037" s="567"/>
      <c r="FM1037" s="567"/>
      <c r="FN1037" s="567"/>
      <c r="FO1037" s="567"/>
      <c r="FP1037" s="567"/>
      <c r="FQ1037" s="567"/>
      <c r="FR1037" s="567"/>
      <c r="FS1037" s="567"/>
      <c r="FT1037" s="567"/>
      <c r="FU1037" s="567"/>
      <c r="FV1037" s="567"/>
      <c r="FW1037" s="567"/>
      <c r="FX1037" s="567"/>
    </row>
    <row r="1038">
      <c r="A1038" s="567"/>
      <c r="B1038" s="567"/>
      <c r="C1038" s="567"/>
      <c r="D1038" s="567"/>
      <c r="E1038" s="567"/>
      <c r="F1038" s="567"/>
      <c r="G1038" s="567"/>
      <c r="H1038" s="567"/>
      <c r="I1038" s="567"/>
      <c r="J1038" s="567"/>
      <c r="K1038" s="567"/>
      <c r="L1038" s="567"/>
      <c r="M1038" s="567"/>
      <c r="N1038" s="567"/>
      <c r="O1038" s="567"/>
      <c r="P1038" s="567"/>
      <c r="Q1038" s="567"/>
      <c r="R1038" s="567"/>
      <c r="S1038" s="567"/>
      <c r="T1038" s="567"/>
      <c r="U1038" s="567"/>
      <c r="V1038" s="567"/>
      <c r="W1038" s="567"/>
      <c r="X1038" s="567"/>
      <c r="Y1038" s="567"/>
      <c r="Z1038" s="567"/>
      <c r="AA1038" s="567"/>
      <c r="AB1038" s="567"/>
      <c r="AC1038" s="567"/>
      <c r="AD1038" s="567"/>
      <c r="AE1038" s="567"/>
      <c r="AF1038" s="567"/>
      <c r="AG1038" s="567"/>
      <c r="AH1038" s="567"/>
      <c r="AI1038" s="567"/>
      <c r="AJ1038" s="567"/>
      <c r="AK1038" s="567"/>
      <c r="AL1038" s="567"/>
      <c r="AM1038" s="567"/>
      <c r="AN1038" s="567"/>
      <c r="AO1038" s="567"/>
      <c r="AP1038" s="567"/>
      <c r="AQ1038" s="567"/>
      <c r="AR1038" s="567"/>
      <c r="AS1038" s="567"/>
      <c r="AT1038" s="567"/>
      <c r="AU1038" s="567"/>
      <c r="AV1038" s="567"/>
      <c r="AW1038" s="567"/>
      <c r="AX1038" s="567"/>
      <c r="AY1038" s="567"/>
      <c r="AZ1038" s="567"/>
      <c r="BA1038" s="567"/>
      <c r="BB1038" s="567"/>
      <c r="BC1038" s="567"/>
      <c r="BD1038" s="567"/>
      <c r="BE1038" s="567"/>
      <c r="BF1038" s="567"/>
      <c r="BG1038" s="567"/>
      <c r="BH1038" s="567"/>
      <c r="BI1038" s="567"/>
      <c r="BJ1038" s="567"/>
      <c r="BK1038" s="567"/>
      <c r="BL1038" s="567"/>
      <c r="BM1038" s="567"/>
      <c r="BN1038" s="567"/>
      <c r="BO1038" s="567"/>
      <c r="BP1038" s="567"/>
      <c r="BQ1038" s="567"/>
      <c r="BR1038" s="567"/>
      <c r="BS1038" s="567"/>
      <c r="BT1038" s="567"/>
      <c r="BU1038" s="567"/>
      <c r="BV1038" s="567"/>
      <c r="BW1038" s="567"/>
      <c r="BX1038" s="567"/>
      <c r="BY1038" s="567"/>
      <c r="BZ1038" s="567"/>
      <c r="CA1038" s="567"/>
      <c r="CB1038" s="567"/>
      <c r="CC1038" s="567"/>
      <c r="CD1038" s="567"/>
      <c r="CE1038" s="567"/>
      <c r="CF1038" s="567"/>
      <c r="CG1038" s="567"/>
      <c r="CH1038" s="567"/>
      <c r="CI1038" s="567"/>
      <c r="CJ1038" s="567"/>
      <c r="CK1038" s="567"/>
      <c r="CL1038" s="567"/>
      <c r="CM1038" s="567"/>
      <c r="CN1038" s="567"/>
      <c r="CO1038" s="567"/>
      <c r="CP1038" s="567"/>
      <c r="CQ1038" s="567"/>
      <c r="CR1038" s="567"/>
      <c r="CS1038" s="567"/>
      <c r="CT1038" s="567"/>
      <c r="CU1038" s="567"/>
      <c r="CV1038" s="567"/>
      <c r="CW1038" s="567"/>
      <c r="CX1038" s="567"/>
      <c r="CY1038" s="567"/>
      <c r="CZ1038" s="567"/>
      <c r="DA1038" s="567"/>
      <c r="DB1038" s="567"/>
      <c r="DC1038" s="567"/>
      <c r="DD1038" s="567"/>
      <c r="DE1038" s="567"/>
      <c r="DF1038" s="567"/>
      <c r="DG1038" s="567"/>
      <c r="DH1038" s="567"/>
      <c r="DI1038" s="567"/>
      <c r="DJ1038" s="567"/>
      <c r="DK1038" s="567"/>
      <c r="DL1038" s="567"/>
      <c r="DM1038" s="567"/>
      <c r="DN1038" s="567"/>
      <c r="DO1038" s="567"/>
      <c r="DP1038" s="567"/>
      <c r="DQ1038" s="567"/>
      <c r="DR1038" s="567"/>
      <c r="DS1038" s="567"/>
      <c r="DT1038" s="567"/>
      <c r="DU1038" s="567"/>
      <c r="DV1038" s="567"/>
      <c r="DW1038" s="567"/>
      <c r="DX1038" s="567"/>
      <c r="DY1038" s="567"/>
      <c r="DZ1038" s="567"/>
      <c r="EA1038" s="567"/>
      <c r="EB1038" s="567"/>
      <c r="EC1038" s="567"/>
      <c r="ED1038" s="567"/>
      <c r="EE1038" s="567"/>
      <c r="EF1038" s="567"/>
      <c r="EG1038" s="567"/>
      <c r="EH1038" s="567"/>
      <c r="EI1038" s="567"/>
      <c r="EJ1038" s="567"/>
      <c r="EK1038" s="567"/>
      <c r="EL1038" s="567"/>
      <c r="EM1038" s="567"/>
      <c r="EN1038" s="567"/>
      <c r="EO1038" s="567"/>
      <c r="EP1038" s="567"/>
      <c r="EQ1038" s="567"/>
      <c r="ER1038" s="567"/>
      <c r="ES1038" s="567"/>
      <c r="ET1038" s="567"/>
      <c r="EU1038" s="567"/>
      <c r="EV1038" s="567"/>
      <c r="EW1038" s="567"/>
      <c r="EX1038" s="567"/>
      <c r="EY1038" s="567"/>
      <c r="EZ1038" s="567"/>
      <c r="FA1038" s="567"/>
      <c r="FB1038" s="567"/>
      <c r="FC1038" s="567"/>
      <c r="FD1038" s="567"/>
      <c r="FE1038" s="567"/>
      <c r="FF1038" s="567"/>
      <c r="FG1038" s="567"/>
      <c r="FH1038" s="567"/>
      <c r="FI1038" s="567"/>
      <c r="FJ1038" s="567"/>
      <c r="FK1038" s="567"/>
      <c r="FL1038" s="567"/>
      <c r="FM1038" s="567"/>
      <c r="FN1038" s="567"/>
      <c r="FO1038" s="567"/>
      <c r="FP1038" s="567"/>
      <c r="FQ1038" s="567"/>
      <c r="FR1038" s="567"/>
      <c r="FS1038" s="567"/>
      <c r="FT1038" s="567"/>
      <c r="FU1038" s="567"/>
      <c r="FV1038" s="567"/>
      <c r="FW1038" s="567"/>
      <c r="FX1038" s="567"/>
    </row>
    <row r="1039">
      <c r="A1039" s="567"/>
      <c r="B1039" s="567"/>
      <c r="C1039" s="567"/>
      <c r="D1039" s="567"/>
      <c r="E1039" s="567"/>
      <c r="F1039" s="567"/>
      <c r="G1039" s="567"/>
      <c r="H1039" s="567"/>
      <c r="I1039" s="567"/>
      <c r="J1039" s="567"/>
      <c r="K1039" s="567"/>
      <c r="L1039" s="567"/>
      <c r="M1039" s="567"/>
      <c r="N1039" s="567"/>
      <c r="O1039" s="567"/>
      <c r="P1039" s="567"/>
      <c r="Q1039" s="567"/>
      <c r="R1039" s="567"/>
      <c r="S1039" s="567"/>
      <c r="T1039" s="567"/>
      <c r="U1039" s="567"/>
      <c r="V1039" s="567"/>
      <c r="W1039" s="567"/>
      <c r="X1039" s="567"/>
      <c r="Y1039" s="567"/>
      <c r="Z1039" s="567"/>
      <c r="AA1039" s="567"/>
      <c r="AB1039" s="567"/>
      <c r="AC1039" s="567"/>
      <c r="AD1039" s="567"/>
      <c r="AE1039" s="567"/>
      <c r="AF1039" s="567"/>
      <c r="AG1039" s="567"/>
      <c r="AH1039" s="567"/>
      <c r="AI1039" s="567"/>
      <c r="AJ1039" s="567"/>
      <c r="AK1039" s="567"/>
      <c r="AL1039" s="567"/>
      <c r="AM1039" s="567"/>
      <c r="AN1039" s="567"/>
      <c r="AO1039" s="567"/>
      <c r="AP1039" s="567"/>
      <c r="AQ1039" s="567"/>
      <c r="AR1039" s="567"/>
      <c r="AS1039" s="567"/>
      <c r="AT1039" s="567"/>
      <c r="AU1039" s="567"/>
      <c r="AV1039" s="567"/>
      <c r="AW1039" s="567"/>
      <c r="AX1039" s="567"/>
      <c r="AY1039" s="567"/>
      <c r="AZ1039" s="567"/>
      <c r="BA1039" s="567"/>
      <c r="BB1039" s="567"/>
      <c r="BC1039" s="567"/>
      <c r="BD1039" s="567"/>
      <c r="BE1039" s="567"/>
      <c r="BF1039" s="567"/>
      <c r="BG1039" s="567"/>
      <c r="BH1039" s="567"/>
      <c r="BI1039" s="567"/>
      <c r="BJ1039" s="567"/>
      <c r="BK1039" s="567"/>
      <c r="BL1039" s="567"/>
      <c r="BM1039" s="567"/>
      <c r="BN1039" s="567"/>
      <c r="BO1039" s="567"/>
      <c r="BP1039" s="567"/>
      <c r="BQ1039" s="567"/>
      <c r="BR1039" s="567"/>
      <c r="BS1039" s="567"/>
      <c r="BT1039" s="567"/>
      <c r="BU1039" s="567"/>
      <c r="BV1039" s="567"/>
      <c r="BW1039" s="567"/>
      <c r="BX1039" s="567"/>
      <c r="BY1039" s="567"/>
      <c r="BZ1039" s="567"/>
      <c r="CA1039" s="567"/>
      <c r="CB1039" s="567"/>
      <c r="CC1039" s="567"/>
      <c r="CD1039" s="567"/>
      <c r="CE1039" s="567"/>
      <c r="CF1039" s="567"/>
      <c r="CG1039" s="567"/>
      <c r="CH1039" s="567"/>
      <c r="CI1039" s="567"/>
      <c r="CJ1039" s="567"/>
      <c r="CK1039" s="567"/>
      <c r="CL1039" s="567"/>
      <c r="CM1039" s="567"/>
      <c r="CN1039" s="567"/>
      <c r="CO1039" s="567"/>
      <c r="CP1039" s="567"/>
      <c r="CQ1039" s="567"/>
      <c r="CR1039" s="567"/>
      <c r="CS1039" s="567"/>
      <c r="CT1039" s="567"/>
      <c r="CU1039" s="567"/>
      <c r="CV1039" s="567"/>
      <c r="CW1039" s="567"/>
      <c r="CX1039" s="567"/>
      <c r="CY1039" s="567"/>
      <c r="CZ1039" s="567"/>
      <c r="DA1039" s="567"/>
      <c r="DB1039" s="567"/>
      <c r="DC1039" s="567"/>
      <c r="DD1039" s="567"/>
      <c r="DE1039" s="567"/>
      <c r="DF1039" s="567"/>
      <c r="DG1039" s="567"/>
      <c r="DH1039" s="567"/>
      <c r="DI1039" s="567"/>
      <c r="DJ1039" s="567"/>
      <c r="DK1039" s="567"/>
      <c r="DL1039" s="567"/>
      <c r="DM1039" s="567"/>
      <c r="DN1039" s="567"/>
      <c r="DO1039" s="567"/>
      <c r="DP1039" s="567"/>
      <c r="DQ1039" s="567"/>
      <c r="DR1039" s="567"/>
      <c r="DS1039" s="567"/>
      <c r="DT1039" s="567"/>
      <c r="DU1039" s="567"/>
      <c r="DV1039" s="567"/>
      <c r="DW1039" s="567"/>
      <c r="DX1039" s="567"/>
      <c r="DY1039" s="567"/>
      <c r="DZ1039" s="567"/>
      <c r="EA1039" s="567"/>
      <c r="EB1039" s="567"/>
      <c r="EC1039" s="567"/>
      <c r="ED1039" s="567"/>
      <c r="EE1039" s="567"/>
      <c r="EF1039" s="567"/>
      <c r="EG1039" s="567"/>
      <c r="EH1039" s="567"/>
      <c r="EI1039" s="567"/>
      <c r="EJ1039" s="567"/>
      <c r="EK1039" s="567"/>
      <c r="EL1039" s="567"/>
      <c r="EM1039" s="567"/>
      <c r="EN1039" s="567"/>
      <c r="EO1039" s="567"/>
      <c r="EP1039" s="567"/>
      <c r="EQ1039" s="567"/>
      <c r="ER1039" s="567"/>
      <c r="ES1039" s="567"/>
      <c r="ET1039" s="567"/>
      <c r="EU1039" s="567"/>
      <c r="EV1039" s="567"/>
      <c r="EW1039" s="567"/>
      <c r="EX1039" s="567"/>
      <c r="EY1039" s="567"/>
      <c r="EZ1039" s="567"/>
      <c r="FA1039" s="567"/>
      <c r="FB1039" s="567"/>
      <c r="FC1039" s="567"/>
      <c r="FD1039" s="567"/>
      <c r="FE1039" s="567"/>
      <c r="FF1039" s="567"/>
      <c r="FG1039" s="567"/>
      <c r="FH1039" s="567"/>
      <c r="FI1039" s="567"/>
      <c r="FJ1039" s="567"/>
      <c r="FK1039" s="567"/>
      <c r="FL1039" s="567"/>
      <c r="FM1039" s="567"/>
      <c r="FN1039" s="567"/>
      <c r="FO1039" s="567"/>
      <c r="FP1039" s="567"/>
      <c r="FQ1039" s="567"/>
      <c r="FR1039" s="567"/>
      <c r="FS1039" s="567"/>
      <c r="FT1039" s="567"/>
      <c r="FU1039" s="567"/>
      <c r="FV1039" s="567"/>
      <c r="FW1039" s="567"/>
      <c r="FX1039" s="567"/>
    </row>
    <row r="1040">
      <c r="A1040" s="567"/>
      <c r="B1040" s="567"/>
      <c r="C1040" s="567"/>
      <c r="D1040" s="567"/>
      <c r="E1040" s="567"/>
      <c r="F1040" s="567"/>
      <c r="G1040" s="567"/>
      <c r="H1040" s="567"/>
      <c r="I1040" s="567"/>
      <c r="J1040" s="567"/>
      <c r="K1040" s="567"/>
      <c r="L1040" s="567"/>
      <c r="M1040" s="567"/>
      <c r="N1040" s="567"/>
      <c r="O1040" s="567"/>
      <c r="P1040" s="567"/>
      <c r="Q1040" s="567"/>
      <c r="R1040" s="567"/>
      <c r="S1040" s="567"/>
      <c r="T1040" s="567"/>
      <c r="U1040" s="567"/>
      <c r="V1040" s="567"/>
      <c r="W1040" s="567"/>
      <c r="X1040" s="567"/>
      <c r="Y1040" s="567"/>
      <c r="Z1040" s="567"/>
      <c r="AA1040" s="567"/>
      <c r="AB1040" s="567"/>
      <c r="AC1040" s="567"/>
      <c r="AD1040" s="567"/>
      <c r="AE1040" s="567"/>
      <c r="AF1040" s="567"/>
      <c r="AG1040" s="567"/>
      <c r="AH1040" s="567"/>
      <c r="AI1040" s="567"/>
      <c r="AJ1040" s="567"/>
      <c r="AK1040" s="567"/>
      <c r="AL1040" s="567"/>
      <c r="AM1040" s="567"/>
      <c r="AN1040" s="567"/>
      <c r="AO1040" s="567"/>
      <c r="AP1040" s="567"/>
      <c r="AQ1040" s="567"/>
      <c r="AR1040" s="567"/>
      <c r="AS1040" s="567"/>
      <c r="AT1040" s="567"/>
      <c r="AU1040" s="567"/>
      <c r="AV1040" s="567"/>
      <c r="AW1040" s="567"/>
      <c r="AX1040" s="567"/>
      <c r="AY1040" s="567"/>
      <c r="AZ1040" s="567"/>
      <c r="BA1040" s="567"/>
      <c r="BB1040" s="567"/>
      <c r="BC1040" s="567"/>
      <c r="BD1040" s="567"/>
      <c r="BE1040" s="567"/>
      <c r="BF1040" s="567"/>
      <c r="BG1040" s="567"/>
      <c r="BH1040" s="567"/>
      <c r="BI1040" s="567"/>
      <c r="BJ1040" s="567"/>
      <c r="BK1040" s="567"/>
      <c r="BL1040" s="567"/>
      <c r="BM1040" s="567"/>
      <c r="BN1040" s="567"/>
      <c r="BO1040" s="567"/>
      <c r="BP1040" s="567"/>
      <c r="BQ1040" s="567"/>
      <c r="BR1040" s="567"/>
      <c r="BS1040" s="567"/>
      <c r="BT1040" s="567"/>
      <c r="BU1040" s="567"/>
      <c r="BV1040" s="567"/>
      <c r="BW1040" s="567"/>
      <c r="BX1040" s="567"/>
      <c r="BY1040" s="567"/>
      <c r="BZ1040" s="567"/>
      <c r="CA1040" s="567"/>
      <c r="CB1040" s="567"/>
      <c r="CC1040" s="567"/>
      <c r="CD1040" s="567"/>
      <c r="CE1040" s="567"/>
      <c r="CF1040" s="567"/>
      <c r="CG1040" s="567"/>
      <c r="CH1040" s="567"/>
      <c r="CI1040" s="567"/>
      <c r="CJ1040" s="567"/>
      <c r="CK1040" s="567"/>
      <c r="CL1040" s="567"/>
      <c r="CM1040" s="567"/>
      <c r="CN1040" s="567"/>
      <c r="CO1040" s="567"/>
      <c r="CP1040" s="567"/>
      <c r="CQ1040" s="567"/>
      <c r="CR1040" s="567"/>
      <c r="CS1040" s="567"/>
      <c r="CT1040" s="567"/>
      <c r="CU1040" s="567"/>
      <c r="CV1040" s="567"/>
      <c r="CW1040" s="567"/>
      <c r="CX1040" s="567"/>
      <c r="CY1040" s="567"/>
      <c r="CZ1040" s="567"/>
      <c r="DA1040" s="567"/>
      <c r="DB1040" s="567"/>
      <c r="DC1040" s="567"/>
      <c r="DD1040" s="567"/>
      <c r="DE1040" s="567"/>
      <c r="DF1040" s="567"/>
      <c r="DG1040" s="567"/>
      <c r="DH1040" s="567"/>
      <c r="DI1040" s="567"/>
      <c r="DJ1040" s="567"/>
      <c r="DK1040" s="567"/>
      <c r="DL1040" s="567"/>
      <c r="DM1040" s="567"/>
      <c r="DN1040" s="567"/>
      <c r="DO1040" s="567"/>
      <c r="DP1040" s="567"/>
      <c r="DQ1040" s="567"/>
      <c r="DR1040" s="567"/>
      <c r="DS1040" s="567"/>
      <c r="DT1040" s="567"/>
      <c r="DU1040" s="567"/>
      <c r="DV1040" s="567"/>
      <c r="DW1040" s="567"/>
      <c r="DX1040" s="567"/>
      <c r="DY1040" s="567"/>
      <c r="DZ1040" s="567"/>
      <c r="EA1040" s="567"/>
      <c r="EB1040" s="567"/>
      <c r="EC1040" s="567"/>
      <c r="ED1040" s="567"/>
      <c r="EE1040" s="567"/>
      <c r="EF1040" s="567"/>
      <c r="EG1040" s="567"/>
      <c r="EH1040" s="567"/>
      <c r="EI1040" s="567"/>
      <c r="EJ1040" s="567"/>
      <c r="EK1040" s="567"/>
      <c r="EL1040" s="567"/>
      <c r="EM1040" s="567"/>
      <c r="EN1040" s="567"/>
      <c r="EO1040" s="567"/>
      <c r="EP1040" s="567"/>
      <c r="EQ1040" s="567"/>
      <c r="ER1040" s="567"/>
      <c r="ES1040" s="567"/>
      <c r="ET1040" s="567"/>
      <c r="EU1040" s="567"/>
      <c r="EV1040" s="567"/>
      <c r="EW1040" s="567"/>
      <c r="EX1040" s="567"/>
      <c r="EY1040" s="567"/>
      <c r="EZ1040" s="567"/>
      <c r="FA1040" s="567"/>
      <c r="FB1040" s="567"/>
      <c r="FC1040" s="567"/>
      <c r="FD1040" s="567"/>
      <c r="FE1040" s="567"/>
      <c r="FF1040" s="567"/>
      <c r="FG1040" s="567"/>
      <c r="FH1040" s="567"/>
      <c r="FI1040" s="567"/>
      <c r="FJ1040" s="567"/>
      <c r="FK1040" s="567"/>
      <c r="FL1040" s="567"/>
      <c r="FM1040" s="567"/>
      <c r="FN1040" s="567"/>
      <c r="FO1040" s="567"/>
      <c r="FP1040" s="567"/>
      <c r="FQ1040" s="567"/>
      <c r="FR1040" s="567"/>
      <c r="FS1040" s="567"/>
      <c r="FT1040" s="567"/>
      <c r="FU1040" s="567"/>
      <c r="FV1040" s="567"/>
      <c r="FW1040" s="567"/>
      <c r="FX1040" s="567"/>
    </row>
    <row r="1041">
      <c r="A1041" s="567"/>
      <c r="B1041" s="567"/>
      <c r="C1041" s="567"/>
      <c r="D1041" s="567"/>
      <c r="E1041" s="567"/>
      <c r="F1041" s="567"/>
      <c r="G1041" s="567"/>
      <c r="H1041" s="567"/>
      <c r="I1041" s="567"/>
      <c r="J1041" s="567"/>
      <c r="K1041" s="567"/>
      <c r="L1041" s="567"/>
      <c r="M1041" s="567"/>
      <c r="N1041" s="567"/>
      <c r="O1041" s="567"/>
      <c r="P1041" s="567"/>
      <c r="Q1041" s="567"/>
      <c r="R1041" s="567"/>
      <c r="S1041" s="567"/>
      <c r="T1041" s="567"/>
      <c r="U1041" s="567"/>
      <c r="V1041" s="567"/>
      <c r="W1041" s="567"/>
      <c r="X1041" s="567"/>
      <c r="Y1041" s="567"/>
      <c r="Z1041" s="567"/>
      <c r="AA1041" s="567"/>
      <c r="AB1041" s="567"/>
      <c r="AC1041" s="567"/>
      <c r="AD1041" s="567"/>
      <c r="AE1041" s="567"/>
      <c r="AF1041" s="567"/>
      <c r="AG1041" s="567"/>
      <c r="AH1041" s="567"/>
      <c r="AI1041" s="567"/>
      <c r="AJ1041" s="567"/>
      <c r="AK1041" s="567"/>
      <c r="AL1041" s="567"/>
      <c r="AM1041" s="567"/>
      <c r="AN1041" s="567"/>
      <c r="AO1041" s="567"/>
      <c r="AP1041" s="567"/>
      <c r="AQ1041" s="567"/>
      <c r="AR1041" s="567"/>
      <c r="AS1041" s="567"/>
      <c r="AT1041" s="567"/>
      <c r="AU1041" s="567"/>
      <c r="AV1041" s="567"/>
      <c r="AW1041" s="567"/>
      <c r="AX1041" s="567"/>
      <c r="AY1041" s="567"/>
      <c r="AZ1041" s="567"/>
      <c r="BA1041" s="567"/>
      <c r="BB1041" s="567"/>
      <c r="BC1041" s="567"/>
      <c r="BD1041" s="567"/>
      <c r="BE1041" s="567"/>
      <c r="BF1041" s="567"/>
      <c r="BG1041" s="567"/>
      <c r="BH1041" s="567"/>
      <c r="BI1041" s="567"/>
      <c r="BJ1041" s="567"/>
      <c r="BK1041" s="567"/>
      <c r="BL1041" s="567"/>
      <c r="BM1041" s="567"/>
      <c r="BN1041" s="567"/>
      <c r="BO1041" s="567"/>
      <c r="BP1041" s="567"/>
      <c r="BQ1041" s="567"/>
      <c r="BR1041" s="567"/>
      <c r="BS1041" s="567"/>
      <c r="BT1041" s="567"/>
      <c r="BU1041" s="567"/>
      <c r="BV1041" s="567"/>
      <c r="BW1041" s="567"/>
      <c r="BX1041" s="567"/>
      <c r="BY1041" s="567"/>
      <c r="BZ1041" s="567"/>
      <c r="CA1041" s="567"/>
      <c r="CB1041" s="567"/>
      <c r="CC1041" s="567"/>
      <c r="CD1041" s="567"/>
      <c r="CE1041" s="567"/>
      <c r="CF1041" s="567"/>
      <c r="CG1041" s="567"/>
      <c r="CH1041" s="567"/>
      <c r="CI1041" s="567"/>
      <c r="CJ1041" s="567"/>
      <c r="CK1041" s="567"/>
      <c r="CL1041" s="567"/>
      <c r="CM1041" s="567"/>
      <c r="CN1041" s="567"/>
      <c r="CO1041" s="567"/>
      <c r="CP1041" s="567"/>
      <c r="CQ1041" s="567"/>
      <c r="CR1041" s="567"/>
      <c r="CS1041" s="567"/>
      <c r="CT1041" s="567"/>
      <c r="CU1041" s="567"/>
      <c r="CV1041" s="567"/>
      <c r="CW1041" s="567"/>
      <c r="CX1041" s="567"/>
      <c r="CY1041" s="567"/>
      <c r="CZ1041" s="567"/>
      <c r="DA1041" s="567"/>
      <c r="DB1041" s="567"/>
      <c r="DC1041" s="567"/>
      <c r="DD1041" s="567"/>
      <c r="DE1041" s="567"/>
      <c r="DF1041" s="567"/>
      <c r="DG1041" s="567"/>
      <c r="DH1041" s="567"/>
      <c r="DI1041" s="567"/>
      <c r="DJ1041" s="567"/>
      <c r="DK1041" s="567"/>
      <c r="DL1041" s="567"/>
      <c r="DM1041" s="567"/>
      <c r="DN1041" s="567"/>
      <c r="DO1041" s="567"/>
      <c r="DP1041" s="567"/>
      <c r="DQ1041" s="567"/>
      <c r="DR1041" s="567"/>
      <c r="DS1041" s="567"/>
      <c r="DT1041" s="567"/>
      <c r="DU1041" s="567"/>
      <c r="DV1041" s="567"/>
      <c r="DW1041" s="567"/>
      <c r="DX1041" s="567"/>
      <c r="DY1041" s="567"/>
      <c r="DZ1041" s="567"/>
      <c r="EA1041" s="567"/>
      <c r="EB1041" s="567"/>
      <c r="EC1041" s="567"/>
      <c r="ED1041" s="567"/>
      <c r="EE1041" s="567"/>
      <c r="EF1041" s="567"/>
      <c r="EG1041" s="567"/>
      <c r="EH1041" s="567"/>
      <c r="EI1041" s="567"/>
      <c r="EJ1041" s="567"/>
      <c r="EK1041" s="567"/>
      <c r="EL1041" s="567"/>
      <c r="EM1041" s="567"/>
      <c r="EN1041" s="567"/>
      <c r="EO1041" s="567"/>
      <c r="EP1041" s="567"/>
      <c r="EQ1041" s="567"/>
      <c r="ER1041" s="567"/>
      <c r="ES1041" s="567"/>
      <c r="ET1041" s="567"/>
      <c r="EU1041" s="567"/>
      <c r="EV1041" s="567"/>
      <c r="EW1041" s="567"/>
      <c r="EX1041" s="567"/>
      <c r="EY1041" s="567"/>
      <c r="EZ1041" s="567"/>
      <c r="FA1041" s="567"/>
      <c r="FB1041" s="567"/>
      <c r="FC1041" s="567"/>
      <c r="FD1041" s="567"/>
      <c r="FE1041" s="567"/>
      <c r="FF1041" s="567"/>
      <c r="FG1041" s="567"/>
      <c r="FH1041" s="567"/>
      <c r="FI1041" s="567"/>
      <c r="FJ1041" s="567"/>
      <c r="FK1041" s="567"/>
      <c r="FL1041" s="567"/>
      <c r="FM1041" s="567"/>
      <c r="FN1041" s="567"/>
      <c r="FO1041" s="567"/>
      <c r="FP1041" s="567"/>
      <c r="FQ1041" s="567"/>
      <c r="FR1041" s="567"/>
      <c r="FS1041" s="567"/>
      <c r="FT1041" s="567"/>
      <c r="FU1041" s="567"/>
      <c r="FV1041" s="567"/>
      <c r="FW1041" s="567"/>
      <c r="FX1041" s="567"/>
    </row>
    <row r="1042">
      <c r="A1042" s="567"/>
      <c r="B1042" s="567"/>
      <c r="C1042" s="567"/>
      <c r="D1042" s="567"/>
      <c r="E1042" s="567"/>
      <c r="F1042" s="567"/>
      <c r="G1042" s="567"/>
      <c r="H1042" s="567"/>
      <c r="I1042" s="567"/>
      <c r="J1042" s="567"/>
      <c r="K1042" s="567"/>
      <c r="L1042" s="567"/>
      <c r="M1042" s="567"/>
      <c r="N1042" s="567"/>
      <c r="O1042" s="567"/>
      <c r="P1042" s="567"/>
      <c r="Q1042" s="567"/>
      <c r="R1042" s="567"/>
      <c r="S1042" s="567"/>
      <c r="T1042" s="567"/>
      <c r="U1042" s="567"/>
      <c r="V1042" s="567"/>
      <c r="W1042" s="567"/>
      <c r="X1042" s="567"/>
      <c r="Y1042" s="567"/>
      <c r="Z1042" s="567"/>
      <c r="AA1042" s="567"/>
      <c r="AB1042" s="567"/>
      <c r="AC1042" s="567"/>
      <c r="AD1042" s="567"/>
      <c r="AE1042" s="567"/>
      <c r="AF1042" s="567"/>
      <c r="AG1042" s="567"/>
      <c r="AH1042" s="567"/>
      <c r="AI1042" s="567"/>
      <c r="AJ1042" s="567"/>
      <c r="AK1042" s="567"/>
      <c r="AL1042" s="567"/>
      <c r="AM1042" s="567"/>
      <c r="AN1042" s="567"/>
      <c r="AO1042" s="567"/>
      <c r="AP1042" s="567"/>
      <c r="AQ1042" s="567"/>
      <c r="AR1042" s="567"/>
      <c r="AS1042" s="567"/>
      <c r="AT1042" s="567"/>
      <c r="AU1042" s="567"/>
      <c r="AV1042" s="567"/>
      <c r="AW1042" s="567"/>
      <c r="AX1042" s="567"/>
      <c r="AY1042" s="567"/>
      <c r="AZ1042" s="567"/>
      <c r="BA1042" s="567"/>
      <c r="BB1042" s="567"/>
      <c r="BC1042" s="567"/>
      <c r="BD1042" s="567"/>
      <c r="BE1042" s="567"/>
      <c r="BF1042" s="567"/>
      <c r="BG1042" s="567"/>
      <c r="BH1042" s="567"/>
      <c r="BI1042" s="567"/>
      <c r="BJ1042" s="567"/>
      <c r="BK1042" s="567"/>
      <c r="BL1042" s="567"/>
      <c r="BM1042" s="567"/>
      <c r="BN1042" s="567"/>
      <c r="BO1042" s="567"/>
      <c r="BP1042" s="567"/>
      <c r="BQ1042" s="567"/>
      <c r="BR1042" s="567"/>
      <c r="BS1042" s="567"/>
      <c r="BT1042" s="567"/>
      <c r="BU1042" s="567"/>
      <c r="BV1042" s="567"/>
      <c r="BW1042" s="567"/>
      <c r="BX1042" s="567"/>
      <c r="BY1042" s="567"/>
      <c r="BZ1042" s="567"/>
      <c r="CA1042" s="567"/>
      <c r="CB1042" s="567"/>
      <c r="CC1042" s="567"/>
      <c r="CD1042" s="567"/>
      <c r="CE1042" s="567"/>
      <c r="CF1042" s="567"/>
      <c r="CG1042" s="567"/>
      <c r="CH1042" s="567"/>
      <c r="CI1042" s="567"/>
      <c r="CJ1042" s="567"/>
      <c r="CK1042" s="567"/>
      <c r="CL1042" s="567"/>
      <c r="CM1042" s="567"/>
      <c r="CN1042" s="567"/>
      <c r="CO1042" s="567"/>
      <c r="CP1042" s="567"/>
      <c r="CQ1042" s="567"/>
      <c r="CR1042" s="567"/>
      <c r="CS1042" s="567"/>
      <c r="CT1042" s="567"/>
      <c r="CU1042" s="567"/>
      <c r="CV1042" s="567"/>
      <c r="CW1042" s="567"/>
      <c r="CX1042" s="567"/>
      <c r="CY1042" s="567"/>
      <c r="CZ1042" s="567"/>
      <c r="DA1042" s="567"/>
      <c r="DB1042" s="567"/>
      <c r="DC1042" s="567"/>
      <c r="DD1042" s="567"/>
      <c r="DE1042" s="567"/>
      <c r="DF1042" s="567"/>
      <c r="DG1042" s="567"/>
      <c r="DH1042" s="567"/>
      <c r="DI1042" s="567"/>
      <c r="DJ1042" s="567"/>
      <c r="DK1042" s="567"/>
      <c r="DL1042" s="567"/>
      <c r="DM1042" s="567"/>
      <c r="DN1042" s="567"/>
      <c r="DO1042" s="567"/>
      <c r="DP1042" s="567"/>
      <c r="DQ1042" s="567"/>
      <c r="DR1042" s="567"/>
      <c r="DS1042" s="567"/>
      <c r="DT1042" s="567"/>
      <c r="DU1042" s="567"/>
      <c r="DV1042" s="567"/>
      <c r="DW1042" s="567"/>
      <c r="DX1042" s="567"/>
      <c r="DY1042" s="567"/>
      <c r="DZ1042" s="567"/>
      <c r="EA1042" s="567"/>
      <c r="EB1042" s="567"/>
      <c r="EC1042" s="567"/>
      <c r="ED1042" s="567"/>
      <c r="EE1042" s="567"/>
      <c r="EF1042" s="567"/>
      <c r="EG1042" s="567"/>
      <c r="EH1042" s="567"/>
      <c r="EI1042" s="567"/>
      <c r="EJ1042" s="567"/>
      <c r="EK1042" s="567"/>
      <c r="EL1042" s="567"/>
      <c r="EM1042" s="567"/>
      <c r="EN1042" s="567"/>
      <c r="EO1042" s="567"/>
      <c r="EP1042" s="567"/>
      <c r="EQ1042" s="567"/>
      <c r="ER1042" s="567"/>
      <c r="ES1042" s="567"/>
      <c r="ET1042" s="567"/>
      <c r="EU1042" s="567"/>
      <c r="EV1042" s="567"/>
      <c r="EW1042" s="567"/>
      <c r="EX1042" s="567"/>
      <c r="EY1042" s="567"/>
      <c r="EZ1042" s="567"/>
      <c r="FA1042" s="567"/>
      <c r="FB1042" s="567"/>
      <c r="FC1042" s="567"/>
      <c r="FD1042" s="567"/>
      <c r="FE1042" s="567"/>
      <c r="FF1042" s="567"/>
      <c r="FG1042" s="567"/>
      <c r="FH1042" s="567"/>
      <c r="FI1042" s="567"/>
      <c r="FJ1042" s="567"/>
      <c r="FK1042" s="567"/>
      <c r="FL1042" s="567"/>
      <c r="FM1042" s="567"/>
      <c r="FN1042" s="567"/>
      <c r="FO1042" s="567"/>
      <c r="FP1042" s="567"/>
      <c r="FQ1042" s="567"/>
      <c r="FR1042" s="567"/>
      <c r="FS1042" s="567"/>
      <c r="FT1042" s="567"/>
      <c r="FU1042" s="567"/>
      <c r="FV1042" s="567"/>
      <c r="FW1042" s="567"/>
      <c r="FX1042" s="567"/>
    </row>
    <row r="1043">
      <c r="A1043" s="567"/>
      <c r="B1043" s="567"/>
      <c r="C1043" s="567"/>
      <c r="D1043" s="567"/>
      <c r="E1043" s="567"/>
      <c r="F1043" s="567"/>
      <c r="G1043" s="567"/>
      <c r="H1043" s="567"/>
      <c r="I1043" s="567"/>
      <c r="J1043" s="567"/>
      <c r="K1043" s="567"/>
      <c r="L1043" s="567"/>
      <c r="M1043" s="567"/>
      <c r="N1043" s="567"/>
      <c r="O1043" s="567"/>
      <c r="P1043" s="567"/>
      <c r="Q1043" s="567"/>
      <c r="R1043" s="567"/>
      <c r="S1043" s="567"/>
      <c r="T1043" s="567"/>
      <c r="U1043" s="567"/>
      <c r="V1043" s="567"/>
      <c r="W1043" s="567"/>
      <c r="X1043" s="567"/>
      <c r="Y1043" s="567"/>
      <c r="Z1043" s="567"/>
      <c r="AA1043" s="567"/>
      <c r="AB1043" s="567"/>
      <c r="AC1043" s="567"/>
      <c r="AD1043" s="567"/>
      <c r="AE1043" s="567"/>
      <c r="AF1043" s="567"/>
      <c r="AG1043" s="567"/>
      <c r="AH1043" s="567"/>
      <c r="AI1043" s="567"/>
      <c r="AJ1043" s="567"/>
      <c r="AK1043" s="567"/>
      <c r="AL1043" s="567"/>
      <c r="AM1043" s="567"/>
      <c r="AN1043" s="567"/>
      <c r="AO1043" s="567"/>
      <c r="AP1043" s="567"/>
      <c r="AQ1043" s="567"/>
      <c r="AR1043" s="567"/>
      <c r="AS1043" s="567"/>
      <c r="AT1043" s="567"/>
      <c r="AU1043" s="567"/>
      <c r="AV1043" s="567"/>
      <c r="AW1043" s="567"/>
      <c r="AX1043" s="567"/>
      <c r="AY1043" s="567"/>
      <c r="AZ1043" s="567"/>
      <c r="BA1043" s="567"/>
      <c r="BB1043" s="567"/>
      <c r="BC1043" s="567"/>
      <c r="BD1043" s="567"/>
      <c r="BE1043" s="567"/>
      <c r="BF1043" s="567"/>
      <c r="BG1043" s="567"/>
      <c r="BH1043" s="567"/>
      <c r="BI1043" s="567"/>
      <c r="BJ1043" s="567"/>
      <c r="BK1043" s="567"/>
      <c r="BL1043" s="567"/>
      <c r="BM1043" s="567"/>
      <c r="BN1043" s="567"/>
      <c r="BO1043" s="567"/>
      <c r="BP1043" s="567"/>
      <c r="BQ1043" s="567"/>
      <c r="BR1043" s="567"/>
      <c r="BS1043" s="567"/>
      <c r="BT1043" s="567"/>
      <c r="BU1043" s="567"/>
      <c r="BV1043" s="567"/>
      <c r="BW1043" s="567"/>
      <c r="BX1043" s="567"/>
      <c r="BY1043" s="567"/>
      <c r="BZ1043" s="567"/>
      <c r="CA1043" s="567"/>
      <c r="CB1043" s="567"/>
      <c r="CC1043" s="567"/>
      <c r="CD1043" s="567"/>
      <c r="CE1043" s="567"/>
      <c r="CF1043" s="567"/>
      <c r="CG1043" s="567"/>
      <c r="CH1043" s="567"/>
      <c r="CI1043" s="567"/>
      <c r="CJ1043" s="567"/>
      <c r="CK1043" s="567"/>
      <c r="CL1043" s="567"/>
      <c r="CM1043" s="567"/>
      <c r="CN1043" s="567"/>
      <c r="CO1043" s="567"/>
      <c r="CP1043" s="567"/>
      <c r="CQ1043" s="567"/>
      <c r="CR1043" s="567"/>
      <c r="CS1043" s="567"/>
      <c r="CT1043" s="567"/>
      <c r="CU1043" s="567"/>
      <c r="CV1043" s="567"/>
      <c r="CW1043" s="567"/>
      <c r="CX1043" s="567"/>
      <c r="CY1043" s="567"/>
      <c r="CZ1043" s="567"/>
      <c r="DA1043" s="567"/>
      <c r="DB1043" s="567"/>
      <c r="DC1043" s="567"/>
      <c r="DD1043" s="567"/>
      <c r="DE1043" s="567"/>
      <c r="DF1043" s="567"/>
      <c r="DG1043" s="567"/>
      <c r="DH1043" s="567"/>
      <c r="DI1043" s="567"/>
      <c r="DJ1043" s="567"/>
      <c r="DK1043" s="567"/>
      <c r="DL1043" s="567"/>
      <c r="DM1043" s="567"/>
      <c r="DN1043" s="567"/>
      <c r="DO1043" s="567"/>
      <c r="DP1043" s="567"/>
      <c r="DQ1043" s="567"/>
      <c r="DR1043" s="567"/>
      <c r="DS1043" s="567"/>
      <c r="DT1043" s="567"/>
      <c r="DU1043" s="567"/>
      <c r="DV1043" s="567"/>
      <c r="DW1043" s="567"/>
      <c r="DX1043" s="567"/>
      <c r="DY1043" s="567"/>
      <c r="DZ1043" s="567"/>
      <c r="EA1043" s="567"/>
      <c r="EB1043" s="567"/>
      <c r="EC1043" s="567"/>
      <c r="ED1043" s="567"/>
      <c r="EE1043" s="567"/>
      <c r="EF1043" s="567"/>
      <c r="EG1043" s="567"/>
      <c r="EH1043" s="567"/>
      <c r="EI1043" s="567"/>
      <c r="EJ1043" s="567"/>
      <c r="EK1043" s="567"/>
      <c r="EL1043" s="567"/>
      <c r="EM1043" s="567"/>
      <c r="EN1043" s="567"/>
      <c r="EO1043" s="567"/>
      <c r="EP1043" s="567"/>
      <c r="EQ1043" s="567"/>
      <c r="ER1043" s="567"/>
      <c r="ES1043" s="567"/>
      <c r="ET1043" s="567"/>
      <c r="EU1043" s="567"/>
      <c r="EV1043" s="567"/>
      <c r="EW1043" s="567"/>
      <c r="EX1043" s="567"/>
      <c r="EY1043" s="567"/>
      <c r="EZ1043" s="567"/>
      <c r="FA1043" s="567"/>
      <c r="FB1043" s="567"/>
      <c r="FC1043" s="567"/>
      <c r="FD1043" s="567"/>
      <c r="FE1043" s="567"/>
      <c r="FF1043" s="567"/>
      <c r="FG1043" s="567"/>
      <c r="FH1043" s="567"/>
      <c r="FI1043" s="567"/>
      <c r="FJ1043" s="567"/>
      <c r="FK1043" s="567"/>
      <c r="FL1043" s="567"/>
      <c r="FM1043" s="567"/>
      <c r="FN1043" s="567"/>
      <c r="FO1043" s="567"/>
      <c r="FP1043" s="567"/>
      <c r="FQ1043" s="567"/>
      <c r="FR1043" s="567"/>
      <c r="FS1043" s="567"/>
      <c r="FT1043" s="567"/>
      <c r="FU1043" s="567"/>
      <c r="FV1043" s="567"/>
      <c r="FW1043" s="567"/>
      <c r="FX1043" s="567"/>
    </row>
    <row r="1044">
      <c r="A1044" s="567"/>
      <c r="B1044" s="567"/>
      <c r="C1044" s="567"/>
      <c r="D1044" s="567"/>
      <c r="E1044" s="567"/>
      <c r="F1044" s="567"/>
      <c r="G1044" s="567"/>
      <c r="H1044" s="567"/>
      <c r="I1044" s="567"/>
      <c r="J1044" s="567"/>
      <c r="K1044" s="567"/>
      <c r="L1044" s="567"/>
      <c r="M1044" s="567"/>
      <c r="N1044" s="567"/>
      <c r="O1044" s="567"/>
      <c r="P1044" s="567"/>
      <c r="Q1044" s="567"/>
      <c r="R1044" s="567"/>
      <c r="S1044" s="567"/>
      <c r="T1044" s="567"/>
      <c r="U1044" s="567"/>
      <c r="V1044" s="567"/>
      <c r="W1044" s="567"/>
      <c r="X1044" s="567"/>
      <c r="Y1044" s="567"/>
      <c r="Z1044" s="567"/>
      <c r="AA1044" s="567"/>
      <c r="AB1044" s="567"/>
      <c r="AC1044" s="567"/>
      <c r="AD1044" s="567"/>
      <c r="AE1044" s="567"/>
      <c r="AF1044" s="567"/>
      <c r="AG1044" s="567"/>
      <c r="AH1044" s="567"/>
      <c r="AI1044" s="567"/>
      <c r="AJ1044" s="567"/>
      <c r="AK1044" s="567"/>
      <c r="AL1044" s="567"/>
      <c r="AM1044" s="567"/>
      <c r="AN1044" s="567"/>
      <c r="AO1044" s="567"/>
      <c r="AP1044" s="567"/>
      <c r="AQ1044" s="567"/>
      <c r="AR1044" s="567"/>
      <c r="AS1044" s="567"/>
      <c r="AT1044" s="567"/>
      <c r="AU1044" s="567"/>
      <c r="AV1044" s="567"/>
      <c r="AW1044" s="567"/>
      <c r="AX1044" s="567"/>
      <c r="AY1044" s="567"/>
      <c r="AZ1044" s="567"/>
      <c r="BA1044" s="567"/>
      <c r="BB1044" s="567"/>
      <c r="BC1044" s="567"/>
      <c r="BD1044" s="567"/>
      <c r="BE1044" s="567"/>
      <c r="BF1044" s="567"/>
      <c r="BG1044" s="567"/>
      <c r="BH1044" s="567"/>
      <c r="BI1044" s="567"/>
      <c r="BJ1044" s="567"/>
      <c r="BK1044" s="567"/>
      <c r="BL1044" s="567"/>
      <c r="BM1044" s="567"/>
      <c r="BN1044" s="567"/>
      <c r="BO1044" s="567"/>
      <c r="BP1044" s="567"/>
      <c r="BQ1044" s="567"/>
      <c r="BR1044" s="567"/>
      <c r="BS1044" s="567"/>
      <c r="BT1044" s="567"/>
      <c r="BU1044" s="567"/>
      <c r="BV1044" s="567"/>
      <c r="BW1044" s="567"/>
      <c r="BX1044" s="567"/>
      <c r="BY1044" s="567"/>
      <c r="BZ1044" s="567"/>
      <c r="CA1044" s="567"/>
      <c r="CB1044" s="567"/>
      <c r="CC1044" s="567"/>
      <c r="CD1044" s="567"/>
      <c r="CE1044" s="567"/>
      <c r="CF1044" s="567"/>
      <c r="CG1044" s="567"/>
      <c r="CH1044" s="567"/>
      <c r="CI1044" s="567"/>
      <c r="CJ1044" s="567"/>
      <c r="CK1044" s="567"/>
      <c r="CL1044" s="567"/>
      <c r="CM1044" s="567"/>
      <c r="CN1044" s="567"/>
      <c r="CO1044" s="567"/>
      <c r="CP1044" s="567"/>
      <c r="CQ1044" s="567"/>
      <c r="CR1044" s="567"/>
      <c r="CS1044" s="567"/>
      <c r="CT1044" s="567"/>
      <c r="CU1044" s="567"/>
      <c r="CV1044" s="567"/>
      <c r="CW1044" s="567"/>
      <c r="CX1044" s="567"/>
      <c r="CY1044" s="567"/>
      <c r="CZ1044" s="567"/>
      <c r="DA1044" s="567"/>
      <c r="DB1044" s="567"/>
      <c r="DC1044" s="567"/>
      <c r="DD1044" s="567"/>
      <c r="DE1044" s="567"/>
      <c r="DF1044" s="567"/>
      <c r="DG1044" s="567"/>
      <c r="DH1044" s="567"/>
      <c r="DI1044" s="567"/>
      <c r="DJ1044" s="567"/>
      <c r="DK1044" s="567"/>
      <c r="DL1044" s="567"/>
      <c r="DM1044" s="567"/>
      <c r="DN1044" s="567"/>
      <c r="DO1044" s="567"/>
      <c r="DP1044" s="567"/>
      <c r="DQ1044" s="567"/>
      <c r="DR1044" s="567"/>
      <c r="DS1044" s="567"/>
      <c r="DT1044" s="567"/>
      <c r="DU1044" s="567"/>
      <c r="DV1044" s="567"/>
      <c r="DW1044" s="567"/>
      <c r="DX1044" s="567"/>
      <c r="DY1044" s="567"/>
      <c r="DZ1044" s="567"/>
      <c r="EA1044" s="567"/>
      <c r="EB1044" s="567"/>
      <c r="EC1044" s="567"/>
      <c r="ED1044" s="567"/>
      <c r="EE1044" s="567"/>
      <c r="EF1044" s="567"/>
      <c r="EG1044" s="567"/>
      <c r="EH1044" s="567"/>
      <c r="EI1044" s="567"/>
      <c r="EJ1044" s="567"/>
      <c r="EK1044" s="567"/>
      <c r="EL1044" s="567"/>
      <c r="EM1044" s="567"/>
      <c r="EN1044" s="567"/>
      <c r="EO1044" s="567"/>
      <c r="EP1044" s="567"/>
      <c r="EQ1044" s="567"/>
      <c r="ER1044" s="567"/>
      <c r="ES1044" s="567"/>
      <c r="ET1044" s="567"/>
      <c r="EU1044" s="567"/>
      <c r="EV1044" s="567"/>
      <c r="EW1044" s="567"/>
      <c r="EX1044" s="567"/>
      <c r="EY1044" s="567"/>
      <c r="EZ1044" s="567"/>
      <c r="FA1044" s="567"/>
      <c r="FB1044" s="567"/>
      <c r="FC1044" s="567"/>
      <c r="FD1044" s="567"/>
      <c r="FE1044" s="567"/>
      <c r="FF1044" s="567"/>
      <c r="FG1044" s="567"/>
      <c r="FH1044" s="567"/>
      <c r="FI1044" s="567"/>
      <c r="FJ1044" s="567"/>
      <c r="FK1044" s="567"/>
      <c r="FL1044" s="567"/>
      <c r="FM1044" s="567"/>
      <c r="FN1044" s="567"/>
      <c r="FO1044" s="567"/>
      <c r="FP1044" s="567"/>
      <c r="FQ1044" s="567"/>
      <c r="FR1044" s="567"/>
      <c r="FS1044" s="567"/>
      <c r="FT1044" s="567"/>
      <c r="FU1044" s="567"/>
      <c r="FV1044" s="567"/>
      <c r="FW1044" s="567"/>
      <c r="FX1044" s="567"/>
    </row>
    <row r="1045">
      <c r="A1045" s="567"/>
      <c r="B1045" s="567"/>
      <c r="C1045" s="567"/>
      <c r="D1045" s="567"/>
      <c r="E1045" s="567"/>
      <c r="F1045" s="567"/>
      <c r="G1045" s="567"/>
      <c r="H1045" s="567"/>
      <c r="I1045" s="567"/>
      <c r="J1045" s="567"/>
      <c r="K1045" s="567"/>
      <c r="L1045" s="567"/>
      <c r="M1045" s="567"/>
      <c r="N1045" s="567"/>
      <c r="O1045" s="567"/>
      <c r="P1045" s="567"/>
      <c r="Q1045" s="567"/>
      <c r="R1045" s="567"/>
      <c r="S1045" s="567"/>
      <c r="T1045" s="567"/>
      <c r="U1045" s="567"/>
      <c r="V1045" s="567"/>
      <c r="W1045" s="567"/>
      <c r="X1045" s="567"/>
      <c r="Y1045" s="567"/>
      <c r="Z1045" s="567"/>
      <c r="AA1045" s="567"/>
      <c r="AB1045" s="567"/>
      <c r="AC1045" s="567"/>
      <c r="AD1045" s="567"/>
      <c r="AE1045" s="567"/>
      <c r="AF1045" s="567"/>
      <c r="AG1045" s="567"/>
      <c r="AH1045" s="567"/>
      <c r="AI1045" s="567"/>
      <c r="AJ1045" s="567"/>
      <c r="AK1045" s="567"/>
      <c r="AL1045" s="567"/>
      <c r="AM1045" s="567"/>
      <c r="AN1045" s="567"/>
      <c r="AO1045" s="567"/>
      <c r="AP1045" s="567"/>
      <c r="AQ1045" s="567"/>
      <c r="AR1045" s="567"/>
      <c r="AS1045" s="567"/>
      <c r="AT1045" s="567"/>
      <c r="AU1045" s="567"/>
      <c r="AV1045" s="567"/>
      <c r="AW1045" s="567"/>
      <c r="AX1045" s="567"/>
      <c r="AY1045" s="567"/>
      <c r="AZ1045" s="567"/>
      <c r="BA1045" s="567"/>
      <c r="BB1045" s="567"/>
      <c r="BC1045" s="567"/>
      <c r="BD1045" s="567"/>
      <c r="BE1045" s="567"/>
      <c r="BF1045" s="567"/>
      <c r="BG1045" s="567"/>
      <c r="BH1045" s="567"/>
      <c r="BI1045" s="567"/>
      <c r="BJ1045" s="567"/>
      <c r="BK1045" s="567"/>
      <c r="BL1045" s="567"/>
      <c r="BM1045" s="567"/>
      <c r="BN1045" s="567"/>
      <c r="BO1045" s="567"/>
      <c r="BP1045" s="567"/>
      <c r="BQ1045" s="567"/>
      <c r="BR1045" s="567"/>
      <c r="BS1045" s="567"/>
      <c r="BT1045" s="567"/>
      <c r="BU1045" s="567"/>
      <c r="BV1045" s="567"/>
      <c r="BW1045" s="567"/>
      <c r="BX1045" s="567"/>
      <c r="BY1045" s="567"/>
      <c r="BZ1045" s="567"/>
      <c r="CA1045" s="567"/>
      <c r="CB1045" s="567"/>
      <c r="CC1045" s="567"/>
      <c r="CD1045" s="567"/>
      <c r="CE1045" s="567"/>
      <c r="CF1045" s="567"/>
      <c r="CG1045" s="567"/>
      <c r="CH1045" s="567"/>
      <c r="CI1045" s="567"/>
      <c r="CJ1045" s="567"/>
      <c r="CK1045" s="567"/>
      <c r="CL1045" s="567"/>
      <c r="CM1045" s="567"/>
      <c r="CN1045" s="567"/>
      <c r="CO1045" s="567"/>
      <c r="CP1045" s="567"/>
      <c r="CQ1045" s="567"/>
      <c r="CR1045" s="567"/>
      <c r="CS1045" s="567"/>
      <c r="CT1045" s="567"/>
      <c r="CU1045" s="567"/>
      <c r="CV1045" s="567"/>
      <c r="CW1045" s="567"/>
      <c r="CX1045" s="567"/>
      <c r="CY1045" s="567"/>
      <c r="CZ1045" s="567"/>
      <c r="DA1045" s="567"/>
      <c r="DB1045" s="567"/>
      <c r="DC1045" s="567"/>
      <c r="DD1045" s="567"/>
      <c r="DE1045" s="567"/>
      <c r="DF1045" s="567"/>
      <c r="DG1045" s="567"/>
      <c r="DH1045" s="567"/>
      <c r="DI1045" s="567"/>
      <c r="DJ1045" s="567"/>
      <c r="DK1045" s="567"/>
      <c r="DL1045" s="567"/>
      <c r="DM1045" s="567"/>
      <c r="DN1045" s="567"/>
      <c r="DO1045" s="567"/>
      <c r="DP1045" s="567"/>
      <c r="DQ1045" s="567"/>
      <c r="DR1045" s="567"/>
      <c r="DS1045" s="567"/>
      <c r="DT1045" s="567"/>
      <c r="DU1045" s="567"/>
      <c r="DV1045" s="567"/>
      <c r="DW1045" s="567"/>
      <c r="DX1045" s="567"/>
      <c r="DY1045" s="567"/>
      <c r="DZ1045" s="567"/>
      <c r="EA1045" s="567"/>
      <c r="EB1045" s="567"/>
      <c r="EC1045" s="567"/>
      <c r="ED1045" s="567"/>
      <c r="EE1045" s="567"/>
      <c r="EF1045" s="567"/>
      <c r="EG1045" s="567"/>
      <c r="EH1045" s="567"/>
      <c r="EI1045" s="567"/>
      <c r="EJ1045" s="567"/>
      <c r="EK1045" s="567"/>
      <c r="EL1045" s="567"/>
      <c r="EM1045" s="567"/>
      <c r="EN1045" s="567"/>
      <c r="EO1045" s="567"/>
      <c r="EP1045" s="567"/>
      <c r="EQ1045" s="567"/>
      <c r="ER1045" s="567"/>
      <c r="ES1045" s="567"/>
      <c r="ET1045" s="567"/>
      <c r="EU1045" s="567"/>
      <c r="EV1045" s="567"/>
      <c r="EW1045" s="567"/>
      <c r="EX1045" s="567"/>
      <c r="EY1045" s="567"/>
      <c r="EZ1045" s="567"/>
      <c r="FA1045" s="567"/>
      <c r="FB1045" s="567"/>
      <c r="FC1045" s="567"/>
      <c r="FD1045" s="567"/>
      <c r="FE1045" s="567"/>
      <c r="FF1045" s="567"/>
      <c r="FG1045" s="567"/>
      <c r="FH1045" s="567"/>
      <c r="FI1045" s="567"/>
      <c r="FJ1045" s="567"/>
      <c r="FK1045" s="567"/>
      <c r="FL1045" s="567"/>
      <c r="FM1045" s="567"/>
      <c r="FN1045" s="567"/>
      <c r="FO1045" s="567"/>
      <c r="FP1045" s="567"/>
      <c r="FQ1045" s="567"/>
      <c r="FR1045" s="567"/>
      <c r="FS1045" s="567"/>
      <c r="FT1045" s="567"/>
      <c r="FU1045" s="567"/>
      <c r="FV1045" s="567"/>
      <c r="FW1045" s="567"/>
      <c r="FX1045" s="567"/>
    </row>
    <row r="1046">
      <c r="A1046" s="567"/>
      <c r="B1046" s="567"/>
      <c r="C1046" s="567"/>
      <c r="D1046" s="567"/>
      <c r="E1046" s="567"/>
      <c r="F1046" s="567"/>
      <c r="G1046" s="567"/>
      <c r="H1046" s="567"/>
      <c r="I1046" s="567"/>
      <c r="J1046" s="567"/>
      <c r="K1046" s="567"/>
      <c r="L1046" s="567"/>
      <c r="M1046" s="567"/>
      <c r="N1046" s="567"/>
      <c r="O1046" s="567"/>
      <c r="P1046" s="567"/>
      <c r="Q1046" s="567"/>
      <c r="R1046" s="567"/>
      <c r="S1046" s="567"/>
      <c r="T1046" s="567"/>
      <c r="U1046" s="567"/>
      <c r="V1046" s="567"/>
      <c r="W1046" s="567"/>
      <c r="X1046" s="567"/>
      <c r="Y1046" s="567"/>
      <c r="Z1046" s="567"/>
      <c r="AA1046" s="567"/>
      <c r="AB1046" s="567"/>
      <c r="AC1046" s="567"/>
      <c r="AD1046" s="567"/>
      <c r="AE1046" s="567"/>
      <c r="AF1046" s="567"/>
      <c r="AG1046" s="567"/>
      <c r="AH1046" s="567"/>
      <c r="AI1046" s="567"/>
      <c r="AJ1046" s="567"/>
      <c r="AK1046" s="567"/>
      <c r="AL1046" s="567"/>
      <c r="AM1046" s="567"/>
      <c r="AN1046" s="567"/>
      <c r="AO1046" s="567"/>
      <c r="AP1046" s="567"/>
      <c r="AQ1046" s="567"/>
      <c r="AR1046" s="567"/>
      <c r="AS1046" s="567"/>
      <c r="AT1046" s="567"/>
      <c r="AU1046" s="567"/>
      <c r="AV1046" s="567"/>
      <c r="AW1046" s="567"/>
      <c r="AX1046" s="567"/>
      <c r="AY1046" s="567"/>
      <c r="AZ1046" s="567"/>
      <c r="BA1046" s="567"/>
      <c r="BB1046" s="567"/>
      <c r="BC1046" s="567"/>
      <c r="BD1046" s="567"/>
      <c r="BE1046" s="567"/>
      <c r="BF1046" s="567"/>
      <c r="BG1046" s="567"/>
      <c r="BH1046" s="567"/>
      <c r="BI1046" s="567"/>
      <c r="BJ1046" s="567"/>
      <c r="BK1046" s="567"/>
      <c r="BL1046" s="567"/>
      <c r="BM1046" s="567"/>
      <c r="BN1046" s="567"/>
      <c r="BO1046" s="567"/>
      <c r="BP1046" s="567"/>
      <c r="BQ1046" s="567"/>
      <c r="BR1046" s="567"/>
      <c r="BS1046" s="567"/>
      <c r="BT1046" s="567"/>
      <c r="BU1046" s="567"/>
      <c r="BV1046" s="567"/>
      <c r="BW1046" s="567"/>
      <c r="BX1046" s="567"/>
      <c r="BY1046" s="567"/>
      <c r="BZ1046" s="567"/>
      <c r="CA1046" s="567"/>
      <c r="CB1046" s="567"/>
      <c r="CC1046" s="567"/>
      <c r="CD1046" s="567"/>
      <c r="CE1046" s="567"/>
      <c r="CF1046" s="567"/>
      <c r="CG1046" s="567"/>
      <c r="CH1046" s="567"/>
      <c r="CI1046" s="567"/>
      <c r="CJ1046" s="567"/>
      <c r="CK1046" s="567"/>
      <c r="CL1046" s="567"/>
      <c r="CM1046" s="567"/>
      <c r="CN1046" s="567"/>
      <c r="CO1046" s="567"/>
      <c r="CP1046" s="567"/>
      <c r="CQ1046" s="567"/>
      <c r="CR1046" s="567"/>
      <c r="CS1046" s="567"/>
      <c r="CT1046" s="567"/>
      <c r="CU1046" s="567"/>
      <c r="CV1046" s="567"/>
      <c r="CW1046" s="567"/>
      <c r="CX1046" s="567"/>
      <c r="CY1046" s="567"/>
      <c r="CZ1046" s="567"/>
      <c r="DA1046" s="567"/>
      <c r="DB1046" s="567"/>
      <c r="DC1046" s="567"/>
      <c r="DD1046" s="567"/>
      <c r="DE1046" s="567"/>
      <c r="DF1046" s="567"/>
      <c r="DG1046" s="567"/>
      <c r="DH1046" s="567"/>
      <c r="DI1046" s="567"/>
      <c r="DJ1046" s="567"/>
      <c r="DK1046" s="567"/>
      <c r="DL1046" s="567"/>
      <c r="DM1046" s="567"/>
      <c r="DN1046" s="567"/>
      <c r="DO1046" s="567"/>
      <c r="DP1046" s="567"/>
      <c r="DQ1046" s="567"/>
      <c r="DR1046" s="567"/>
      <c r="DS1046" s="567"/>
      <c r="DT1046" s="567"/>
      <c r="DU1046" s="567"/>
      <c r="DV1046" s="567"/>
      <c r="DW1046" s="567"/>
      <c r="DX1046" s="567"/>
      <c r="DY1046" s="567"/>
      <c r="DZ1046" s="567"/>
      <c r="EA1046" s="567"/>
      <c r="EB1046" s="567"/>
      <c r="EC1046" s="567"/>
      <c r="ED1046" s="567"/>
      <c r="EE1046" s="567"/>
      <c r="EF1046" s="567"/>
      <c r="EG1046" s="567"/>
      <c r="EH1046" s="567"/>
      <c r="EI1046" s="567"/>
      <c r="EJ1046" s="567"/>
      <c r="EK1046" s="567"/>
      <c r="EL1046" s="567"/>
      <c r="EM1046" s="567"/>
      <c r="EN1046" s="567"/>
      <c r="EO1046" s="567"/>
      <c r="EP1046" s="567"/>
      <c r="EQ1046" s="567"/>
      <c r="ER1046" s="567"/>
      <c r="ES1046" s="567"/>
      <c r="ET1046" s="567"/>
      <c r="EU1046" s="567"/>
      <c r="EV1046" s="567"/>
      <c r="EW1046" s="567"/>
      <c r="EX1046" s="567"/>
      <c r="EY1046" s="567"/>
      <c r="EZ1046" s="567"/>
      <c r="FA1046" s="567"/>
      <c r="FB1046" s="567"/>
      <c r="FC1046" s="567"/>
      <c r="FD1046" s="567"/>
      <c r="FE1046" s="567"/>
      <c r="FF1046" s="567"/>
      <c r="FG1046" s="567"/>
      <c r="FH1046" s="567"/>
      <c r="FI1046" s="567"/>
      <c r="FJ1046" s="567"/>
      <c r="FK1046" s="567"/>
      <c r="FL1046" s="567"/>
      <c r="FM1046" s="567"/>
      <c r="FN1046" s="567"/>
      <c r="FO1046" s="567"/>
      <c r="FP1046" s="567"/>
      <c r="FQ1046" s="567"/>
      <c r="FR1046" s="567"/>
      <c r="FS1046" s="567"/>
      <c r="FT1046" s="567"/>
      <c r="FU1046" s="567"/>
      <c r="FV1046" s="567"/>
      <c r="FW1046" s="567"/>
      <c r="FX1046" s="567"/>
    </row>
    <row r="1047">
      <c r="A1047" s="567"/>
      <c r="B1047" s="567"/>
      <c r="C1047" s="567"/>
      <c r="D1047" s="567"/>
      <c r="E1047" s="567"/>
      <c r="F1047" s="567"/>
      <c r="G1047" s="567"/>
      <c r="H1047" s="567"/>
      <c r="I1047" s="567"/>
      <c r="J1047" s="567"/>
      <c r="K1047" s="567"/>
      <c r="L1047" s="567"/>
      <c r="M1047" s="567"/>
      <c r="N1047" s="567"/>
      <c r="O1047" s="567"/>
      <c r="P1047" s="567"/>
      <c r="Q1047" s="567"/>
      <c r="R1047" s="567"/>
      <c r="S1047" s="567"/>
      <c r="T1047" s="567"/>
      <c r="U1047" s="567"/>
      <c r="V1047" s="567"/>
      <c r="W1047" s="567"/>
      <c r="X1047" s="567"/>
      <c r="Y1047" s="567"/>
      <c r="Z1047" s="567"/>
      <c r="AA1047" s="567"/>
      <c r="AB1047" s="567"/>
      <c r="AC1047" s="567"/>
      <c r="AD1047" s="567"/>
      <c r="AE1047" s="567"/>
      <c r="AF1047" s="567"/>
      <c r="AG1047" s="567"/>
      <c r="AH1047" s="567"/>
      <c r="AI1047" s="567"/>
      <c r="AJ1047" s="567"/>
      <c r="AK1047" s="567"/>
      <c r="AL1047" s="567"/>
      <c r="AM1047" s="567"/>
      <c r="AN1047" s="567"/>
      <c r="AO1047" s="567"/>
      <c r="AP1047" s="567"/>
      <c r="AQ1047" s="567"/>
      <c r="AR1047" s="567"/>
      <c r="AS1047" s="567"/>
      <c r="AT1047" s="567"/>
      <c r="AU1047" s="567"/>
      <c r="AV1047" s="567"/>
      <c r="AW1047" s="567"/>
      <c r="AX1047" s="567"/>
      <c r="AY1047" s="567"/>
      <c r="AZ1047" s="567"/>
      <c r="BA1047" s="567"/>
      <c r="BB1047" s="567"/>
      <c r="BC1047" s="567"/>
      <c r="BD1047" s="567"/>
      <c r="BE1047" s="567"/>
      <c r="BF1047" s="567"/>
      <c r="BG1047" s="567"/>
      <c r="BH1047" s="567"/>
      <c r="BI1047" s="567"/>
      <c r="BJ1047" s="567"/>
      <c r="BK1047" s="567"/>
      <c r="BL1047" s="567"/>
      <c r="BM1047" s="567"/>
      <c r="BN1047" s="567"/>
      <c r="BO1047" s="567"/>
      <c r="BP1047" s="567"/>
      <c r="BQ1047" s="567"/>
      <c r="BR1047" s="567"/>
      <c r="BS1047" s="567"/>
      <c r="BT1047" s="567"/>
      <c r="BU1047" s="567"/>
      <c r="BV1047" s="567"/>
      <c r="BW1047" s="567"/>
      <c r="BX1047" s="567"/>
      <c r="BY1047" s="567"/>
      <c r="BZ1047" s="567"/>
      <c r="CA1047" s="567"/>
      <c r="CB1047" s="567"/>
      <c r="CC1047" s="567"/>
      <c r="CD1047" s="567"/>
      <c r="CE1047" s="567"/>
      <c r="CF1047" s="567"/>
      <c r="CG1047" s="567"/>
      <c r="CH1047" s="567"/>
      <c r="CI1047" s="567"/>
      <c r="CJ1047" s="567"/>
      <c r="CK1047" s="567"/>
      <c r="CL1047" s="567"/>
      <c r="CM1047" s="567"/>
      <c r="CN1047" s="567"/>
      <c r="CO1047" s="567"/>
      <c r="CP1047" s="567"/>
      <c r="CQ1047" s="567"/>
      <c r="CR1047" s="567"/>
      <c r="CS1047" s="567"/>
      <c r="CT1047" s="567"/>
      <c r="CU1047" s="567"/>
      <c r="CV1047" s="567"/>
      <c r="CW1047" s="567"/>
      <c r="CX1047" s="567"/>
      <c r="CY1047" s="567"/>
      <c r="CZ1047" s="567"/>
      <c r="DA1047" s="567"/>
      <c r="DB1047" s="567"/>
      <c r="DC1047" s="567"/>
      <c r="DD1047" s="567"/>
      <c r="DE1047" s="567"/>
      <c r="DF1047" s="567"/>
      <c r="DG1047" s="567"/>
      <c r="DH1047" s="567"/>
      <c r="DI1047" s="567"/>
      <c r="DJ1047" s="567"/>
      <c r="DK1047" s="567"/>
      <c r="DL1047" s="567"/>
      <c r="DM1047" s="567"/>
      <c r="DN1047" s="567"/>
      <c r="DO1047" s="567"/>
      <c r="DP1047" s="567"/>
      <c r="DQ1047" s="567"/>
      <c r="DR1047" s="567"/>
      <c r="DS1047" s="567"/>
      <c r="DT1047" s="567"/>
      <c r="DU1047" s="567"/>
      <c r="DV1047" s="567"/>
      <c r="DW1047" s="567"/>
      <c r="DX1047" s="567"/>
      <c r="DY1047" s="567"/>
      <c r="DZ1047" s="567"/>
      <c r="EA1047" s="567"/>
      <c r="EB1047" s="567"/>
      <c r="EC1047" s="567"/>
      <c r="ED1047" s="567"/>
      <c r="EE1047" s="567"/>
      <c r="EF1047" s="567"/>
      <c r="EG1047" s="567"/>
      <c r="EH1047" s="567"/>
      <c r="EI1047" s="567"/>
      <c r="EJ1047" s="567"/>
      <c r="EK1047" s="567"/>
      <c r="EL1047" s="567"/>
      <c r="EM1047" s="567"/>
      <c r="EN1047" s="567"/>
      <c r="EO1047" s="567"/>
      <c r="EP1047" s="567"/>
      <c r="EQ1047" s="567"/>
      <c r="ER1047" s="567"/>
      <c r="ES1047" s="567"/>
      <c r="ET1047" s="567"/>
      <c r="EU1047" s="567"/>
      <c r="EV1047" s="567"/>
      <c r="EW1047" s="567"/>
      <c r="EX1047" s="567"/>
      <c r="EY1047" s="567"/>
      <c r="EZ1047" s="567"/>
      <c r="FA1047" s="567"/>
      <c r="FB1047" s="567"/>
      <c r="FC1047" s="567"/>
      <c r="FD1047" s="567"/>
      <c r="FE1047" s="567"/>
      <c r="FF1047" s="567"/>
      <c r="FG1047" s="567"/>
      <c r="FH1047" s="567"/>
      <c r="FI1047" s="567"/>
      <c r="FJ1047" s="567"/>
      <c r="FK1047" s="567"/>
      <c r="FL1047" s="567"/>
      <c r="FM1047" s="567"/>
      <c r="FN1047" s="567"/>
      <c r="FO1047" s="567"/>
      <c r="FP1047" s="567"/>
      <c r="FQ1047" s="567"/>
      <c r="FR1047" s="567"/>
      <c r="FS1047" s="567"/>
      <c r="FT1047" s="567"/>
      <c r="FU1047" s="567"/>
      <c r="FV1047" s="567"/>
      <c r="FW1047" s="567"/>
      <c r="FX1047" s="567"/>
    </row>
    <row r="1048">
      <c r="A1048" s="567"/>
      <c r="B1048" s="567"/>
      <c r="C1048" s="567"/>
      <c r="D1048" s="567"/>
      <c r="E1048" s="567"/>
      <c r="F1048" s="567"/>
      <c r="G1048" s="567"/>
      <c r="H1048" s="567"/>
      <c r="I1048" s="567"/>
      <c r="J1048" s="567"/>
      <c r="K1048" s="567"/>
      <c r="L1048" s="567"/>
      <c r="M1048" s="567"/>
      <c r="N1048" s="567"/>
      <c r="O1048" s="567"/>
      <c r="P1048" s="567"/>
      <c r="Q1048" s="567"/>
      <c r="R1048" s="567"/>
      <c r="S1048" s="567"/>
      <c r="T1048" s="567"/>
      <c r="U1048" s="567"/>
      <c r="V1048" s="567"/>
      <c r="W1048" s="567"/>
      <c r="X1048" s="567"/>
      <c r="Y1048" s="567"/>
      <c r="Z1048" s="567"/>
      <c r="AA1048" s="567"/>
      <c r="AB1048" s="567"/>
      <c r="AC1048" s="567"/>
      <c r="AD1048" s="567"/>
      <c r="AE1048" s="567"/>
      <c r="AF1048" s="567"/>
      <c r="AG1048" s="567"/>
      <c r="AH1048" s="567"/>
      <c r="AI1048" s="567"/>
      <c r="AJ1048" s="567"/>
      <c r="AK1048" s="567"/>
      <c r="AL1048" s="567"/>
      <c r="AM1048" s="567"/>
      <c r="AN1048" s="567"/>
      <c r="AO1048" s="567"/>
      <c r="AP1048" s="567"/>
      <c r="AQ1048" s="567"/>
      <c r="AR1048" s="567"/>
      <c r="AS1048" s="567"/>
      <c r="AT1048" s="567"/>
      <c r="AU1048" s="567"/>
      <c r="AV1048" s="567"/>
      <c r="AW1048" s="567"/>
      <c r="AX1048" s="567"/>
      <c r="AY1048" s="567"/>
      <c r="AZ1048" s="567"/>
      <c r="BA1048" s="567"/>
      <c r="BB1048" s="567"/>
      <c r="BC1048" s="567"/>
      <c r="BD1048" s="567"/>
      <c r="BE1048" s="567"/>
      <c r="BF1048" s="567"/>
      <c r="BG1048" s="567"/>
      <c r="BH1048" s="567"/>
      <c r="BI1048" s="567"/>
      <c r="BJ1048" s="567"/>
      <c r="BK1048" s="567"/>
      <c r="BL1048" s="567"/>
      <c r="BM1048" s="567"/>
      <c r="BN1048" s="567"/>
      <c r="BO1048" s="567"/>
      <c r="BP1048" s="567"/>
      <c r="BQ1048" s="567"/>
      <c r="BR1048" s="567"/>
      <c r="BS1048" s="567"/>
      <c r="BT1048" s="567"/>
      <c r="BU1048" s="567"/>
      <c r="BV1048" s="567"/>
      <c r="BW1048" s="567"/>
      <c r="BX1048" s="567"/>
      <c r="BY1048" s="567"/>
      <c r="BZ1048" s="567"/>
      <c r="CA1048" s="567"/>
      <c r="CB1048" s="567"/>
      <c r="CC1048" s="567"/>
      <c r="CD1048" s="567"/>
      <c r="CE1048" s="567"/>
      <c r="CF1048" s="567"/>
      <c r="CG1048" s="567"/>
      <c r="CH1048" s="567"/>
      <c r="CI1048" s="567"/>
      <c r="CJ1048" s="567"/>
      <c r="CK1048" s="567"/>
      <c r="CL1048" s="567"/>
      <c r="CM1048" s="567"/>
      <c r="CN1048" s="567"/>
      <c r="CO1048" s="567"/>
      <c r="CP1048" s="567"/>
      <c r="CQ1048" s="567"/>
      <c r="CR1048" s="567"/>
      <c r="CS1048" s="567"/>
      <c r="CT1048" s="567"/>
      <c r="CU1048" s="567"/>
      <c r="CV1048" s="567"/>
      <c r="CW1048" s="567"/>
      <c r="CX1048" s="567"/>
      <c r="CY1048" s="567"/>
      <c r="CZ1048" s="567"/>
      <c r="DA1048" s="567"/>
      <c r="DB1048" s="567"/>
      <c r="DC1048" s="567"/>
      <c r="DD1048" s="567"/>
      <c r="DE1048" s="567"/>
      <c r="DF1048" s="567"/>
      <c r="DG1048" s="567"/>
      <c r="DH1048" s="567"/>
      <c r="DI1048" s="567"/>
      <c r="DJ1048" s="567"/>
      <c r="DK1048" s="567"/>
      <c r="DL1048" s="567"/>
      <c r="DM1048" s="567"/>
      <c r="DN1048" s="567"/>
      <c r="DO1048" s="567"/>
      <c r="DP1048" s="567"/>
      <c r="DQ1048" s="567"/>
      <c r="DR1048" s="567"/>
      <c r="DS1048" s="567"/>
      <c r="DT1048" s="567"/>
      <c r="DU1048" s="567"/>
      <c r="DV1048" s="567"/>
      <c r="DW1048" s="567"/>
      <c r="DX1048" s="567"/>
      <c r="DY1048" s="567"/>
      <c r="DZ1048" s="567"/>
      <c r="EA1048" s="567"/>
      <c r="EB1048" s="567"/>
      <c r="EC1048" s="567"/>
      <c r="ED1048" s="567"/>
      <c r="EE1048" s="567"/>
      <c r="EF1048" s="567"/>
      <c r="EG1048" s="567"/>
      <c r="EH1048" s="567"/>
      <c r="EI1048" s="567"/>
      <c r="EJ1048" s="567"/>
      <c r="EK1048" s="567"/>
      <c r="EL1048" s="567"/>
      <c r="EM1048" s="567"/>
      <c r="EN1048" s="567"/>
      <c r="EO1048" s="567"/>
      <c r="EP1048" s="567"/>
      <c r="EQ1048" s="567"/>
      <c r="ER1048" s="567"/>
      <c r="ES1048" s="567"/>
      <c r="ET1048" s="567"/>
      <c r="EU1048" s="567"/>
      <c r="EV1048" s="567"/>
      <c r="EW1048" s="567"/>
      <c r="EX1048" s="567"/>
      <c r="EY1048" s="567"/>
      <c r="EZ1048" s="567"/>
      <c r="FA1048" s="567"/>
      <c r="FB1048" s="567"/>
      <c r="FC1048" s="567"/>
      <c r="FD1048" s="567"/>
      <c r="FE1048" s="567"/>
      <c r="FF1048" s="567"/>
      <c r="FG1048" s="567"/>
      <c r="FH1048" s="567"/>
      <c r="FI1048" s="567"/>
      <c r="FJ1048" s="567"/>
      <c r="FK1048" s="567"/>
      <c r="FL1048" s="567"/>
      <c r="FM1048" s="567"/>
      <c r="FN1048" s="567"/>
      <c r="FO1048" s="567"/>
      <c r="FP1048" s="567"/>
      <c r="FQ1048" s="567"/>
      <c r="FR1048" s="567"/>
      <c r="FS1048" s="567"/>
      <c r="FT1048" s="567"/>
      <c r="FU1048" s="567"/>
      <c r="FV1048" s="567"/>
      <c r="FW1048" s="567"/>
      <c r="FX1048" s="567"/>
    </row>
    <row r="1049">
      <c r="A1049" s="567"/>
      <c r="B1049" s="567"/>
      <c r="C1049" s="567"/>
      <c r="D1049" s="567"/>
      <c r="E1049" s="567"/>
      <c r="F1049" s="567"/>
      <c r="G1049" s="567"/>
      <c r="H1049" s="567"/>
      <c r="I1049" s="567"/>
      <c r="J1049" s="567"/>
      <c r="K1049" s="567"/>
      <c r="L1049" s="567"/>
      <c r="M1049" s="567"/>
      <c r="N1049" s="567"/>
      <c r="O1049" s="567"/>
      <c r="P1049" s="567"/>
      <c r="Q1049" s="567"/>
      <c r="R1049" s="567"/>
      <c r="S1049" s="567"/>
      <c r="T1049" s="567"/>
      <c r="U1049" s="567"/>
      <c r="V1049" s="567"/>
      <c r="W1049" s="567"/>
      <c r="X1049" s="567"/>
      <c r="Y1049" s="567"/>
      <c r="Z1049" s="567"/>
      <c r="AA1049" s="567"/>
      <c r="AB1049" s="567"/>
      <c r="AC1049" s="567"/>
      <c r="AD1049" s="567"/>
      <c r="AE1049" s="567"/>
      <c r="AF1049" s="567"/>
      <c r="AG1049" s="567"/>
      <c r="AH1049" s="567"/>
      <c r="AI1049" s="567"/>
      <c r="AJ1049" s="567"/>
      <c r="AK1049" s="567"/>
      <c r="AL1049" s="567"/>
      <c r="AM1049" s="567"/>
      <c r="AN1049" s="567"/>
      <c r="AO1049" s="567"/>
      <c r="AP1049" s="567"/>
      <c r="AQ1049" s="567"/>
      <c r="AR1049" s="567"/>
      <c r="AS1049" s="567"/>
      <c r="AT1049" s="567"/>
      <c r="AU1049" s="567"/>
      <c r="AV1049" s="567"/>
      <c r="AW1049" s="567"/>
      <c r="AX1049" s="567"/>
      <c r="AY1049" s="567"/>
      <c r="AZ1049" s="567"/>
      <c r="BA1049" s="567"/>
      <c r="BB1049" s="567"/>
      <c r="BC1049" s="567"/>
      <c r="BD1049" s="567"/>
      <c r="BE1049" s="567"/>
      <c r="BF1049" s="567"/>
      <c r="BG1049" s="567"/>
      <c r="BH1049" s="567"/>
      <c r="BI1049" s="567"/>
      <c r="BJ1049" s="567"/>
      <c r="BK1049" s="567"/>
      <c r="BL1049" s="567"/>
      <c r="BM1049" s="567"/>
      <c r="BN1049" s="567"/>
      <c r="BO1049" s="567"/>
      <c r="BP1049" s="567"/>
      <c r="BQ1049" s="567"/>
      <c r="BR1049" s="567"/>
      <c r="BS1049" s="567"/>
      <c r="BT1049" s="567"/>
      <c r="BU1049" s="567"/>
      <c r="BV1049" s="567"/>
      <c r="BW1049" s="567"/>
      <c r="BX1049" s="567"/>
      <c r="BY1049" s="567"/>
      <c r="BZ1049" s="567"/>
      <c r="CA1049" s="567"/>
      <c r="CB1049" s="567"/>
      <c r="CC1049" s="567"/>
      <c r="CD1049" s="567"/>
      <c r="CE1049" s="567"/>
      <c r="CF1049" s="567"/>
      <c r="CG1049" s="567"/>
      <c r="CH1049" s="567"/>
      <c r="CI1049" s="567"/>
      <c r="CJ1049" s="567"/>
      <c r="CK1049" s="567"/>
      <c r="CL1049" s="567"/>
      <c r="CM1049" s="567"/>
      <c r="CN1049" s="567"/>
      <c r="CO1049" s="567"/>
      <c r="CP1049" s="567"/>
      <c r="CQ1049" s="567"/>
      <c r="CR1049" s="567"/>
      <c r="CS1049" s="567"/>
      <c r="CT1049" s="567"/>
      <c r="CU1049" s="567"/>
      <c r="CV1049" s="567"/>
      <c r="CW1049" s="567"/>
      <c r="CX1049" s="567"/>
      <c r="CY1049" s="567"/>
      <c r="CZ1049" s="567"/>
      <c r="DA1049" s="567"/>
      <c r="DB1049" s="567"/>
      <c r="DC1049" s="567"/>
      <c r="DD1049" s="567"/>
      <c r="DE1049" s="567"/>
      <c r="DF1049" s="567"/>
      <c r="DG1049" s="567"/>
      <c r="DH1049" s="567"/>
      <c r="DI1049" s="567"/>
      <c r="DJ1049" s="567"/>
      <c r="DK1049" s="567"/>
      <c r="DL1049" s="567"/>
      <c r="DM1049" s="567"/>
      <c r="DN1049" s="567"/>
      <c r="DO1049" s="567"/>
      <c r="DP1049" s="567"/>
      <c r="DQ1049" s="567"/>
      <c r="DR1049" s="567"/>
      <c r="DS1049" s="567"/>
      <c r="DT1049" s="567"/>
      <c r="DU1049" s="567"/>
      <c r="DV1049" s="567"/>
      <c r="DW1049" s="567"/>
      <c r="DX1049" s="567"/>
      <c r="DY1049" s="567"/>
      <c r="DZ1049" s="567"/>
      <c r="EA1049" s="567"/>
      <c r="EB1049" s="567"/>
      <c r="EC1049" s="567"/>
      <c r="ED1049" s="567"/>
      <c r="EE1049" s="567"/>
      <c r="EF1049" s="567"/>
      <c r="EG1049" s="567"/>
      <c r="EH1049" s="567"/>
      <c r="EI1049" s="567"/>
      <c r="EJ1049" s="567"/>
      <c r="EK1049" s="567"/>
      <c r="EL1049" s="567"/>
      <c r="EM1049" s="567"/>
      <c r="EN1049" s="567"/>
      <c r="EO1049" s="567"/>
      <c r="EP1049" s="567"/>
      <c r="EQ1049" s="567"/>
      <c r="ER1049" s="567"/>
      <c r="ES1049" s="567"/>
      <c r="ET1049" s="567"/>
      <c r="EU1049" s="567"/>
      <c r="EV1049" s="567"/>
      <c r="EW1049" s="567"/>
      <c r="EX1049" s="567"/>
      <c r="EY1049" s="567"/>
      <c r="EZ1049" s="567"/>
      <c r="FA1049" s="567"/>
      <c r="FB1049" s="567"/>
      <c r="FC1049" s="567"/>
      <c r="FD1049" s="567"/>
      <c r="FE1049" s="567"/>
      <c r="FF1049" s="567"/>
      <c r="FG1049" s="567"/>
      <c r="FH1049" s="567"/>
      <c r="FI1049" s="567"/>
      <c r="FJ1049" s="567"/>
      <c r="FK1049" s="567"/>
      <c r="FL1049" s="567"/>
      <c r="FM1049" s="567"/>
      <c r="FN1049" s="567"/>
      <c r="FO1049" s="567"/>
      <c r="FP1049" s="567"/>
      <c r="FQ1049" s="567"/>
      <c r="FR1049" s="567"/>
      <c r="FS1049" s="567"/>
      <c r="FT1049" s="567"/>
      <c r="FU1049" s="567"/>
      <c r="FV1049" s="567"/>
      <c r="FW1049" s="567"/>
      <c r="FX1049" s="567"/>
    </row>
    <row r="1050">
      <c r="A1050" s="567"/>
      <c r="B1050" s="567"/>
      <c r="C1050" s="567"/>
      <c r="D1050" s="567"/>
      <c r="E1050" s="567"/>
      <c r="F1050" s="567"/>
      <c r="G1050" s="567"/>
      <c r="H1050" s="567"/>
      <c r="I1050" s="567"/>
      <c r="J1050" s="567"/>
      <c r="K1050" s="567"/>
      <c r="L1050" s="567"/>
      <c r="M1050" s="567"/>
      <c r="N1050" s="567"/>
      <c r="O1050" s="567"/>
      <c r="P1050" s="567"/>
      <c r="Q1050" s="567"/>
      <c r="R1050" s="567"/>
      <c r="S1050" s="567"/>
      <c r="T1050" s="567"/>
      <c r="U1050" s="567"/>
      <c r="V1050" s="567"/>
      <c r="W1050" s="567"/>
      <c r="X1050" s="567"/>
      <c r="Y1050" s="567"/>
      <c r="Z1050" s="567"/>
      <c r="AA1050" s="567"/>
      <c r="AB1050" s="567"/>
      <c r="AC1050" s="567"/>
      <c r="AD1050" s="567"/>
      <c r="AE1050" s="567"/>
      <c r="AF1050" s="567"/>
      <c r="AG1050" s="567"/>
      <c r="AH1050" s="567"/>
      <c r="AI1050" s="567"/>
      <c r="AJ1050" s="567"/>
      <c r="AK1050" s="567"/>
      <c r="AL1050" s="567"/>
      <c r="AM1050" s="567"/>
      <c r="AN1050" s="567"/>
      <c r="AO1050" s="567"/>
      <c r="AP1050" s="567"/>
      <c r="AQ1050" s="567"/>
      <c r="AR1050" s="567"/>
      <c r="AS1050" s="567"/>
      <c r="AT1050" s="567"/>
      <c r="AU1050" s="567"/>
      <c r="AV1050" s="567"/>
      <c r="AW1050" s="567"/>
      <c r="AX1050" s="567"/>
      <c r="AY1050" s="567"/>
      <c r="AZ1050" s="567"/>
      <c r="BA1050" s="567"/>
      <c r="BB1050" s="567"/>
      <c r="BC1050" s="567"/>
      <c r="BD1050" s="567"/>
      <c r="BE1050" s="567"/>
      <c r="BF1050" s="567"/>
      <c r="BG1050" s="567"/>
      <c r="BH1050" s="567"/>
      <c r="BI1050" s="567"/>
      <c r="BJ1050" s="567"/>
      <c r="BK1050" s="567"/>
      <c r="BL1050" s="567"/>
      <c r="BM1050" s="567"/>
      <c r="BN1050" s="567"/>
      <c r="BO1050" s="567"/>
      <c r="BP1050" s="567"/>
      <c r="BQ1050" s="567"/>
      <c r="BR1050" s="567"/>
      <c r="BS1050" s="567"/>
      <c r="BT1050" s="567"/>
      <c r="BU1050" s="567"/>
      <c r="BV1050" s="567"/>
      <c r="BW1050" s="567"/>
      <c r="BX1050" s="567"/>
      <c r="BY1050" s="567"/>
      <c r="BZ1050" s="567"/>
      <c r="CA1050" s="567"/>
      <c r="CB1050" s="567"/>
      <c r="CC1050" s="567"/>
      <c r="CD1050" s="567"/>
      <c r="CE1050" s="567"/>
      <c r="CF1050" s="567"/>
      <c r="CG1050" s="567"/>
      <c r="CH1050" s="567"/>
      <c r="CI1050" s="567"/>
      <c r="CJ1050" s="567"/>
      <c r="CK1050" s="567"/>
      <c r="CL1050" s="567"/>
      <c r="CM1050" s="567"/>
      <c r="CN1050" s="567"/>
      <c r="CO1050" s="567"/>
      <c r="CP1050" s="567"/>
      <c r="CQ1050" s="567"/>
      <c r="CR1050" s="567"/>
      <c r="CS1050" s="567"/>
      <c r="CT1050" s="567"/>
      <c r="CU1050" s="567"/>
      <c r="CV1050" s="567"/>
      <c r="CW1050" s="567"/>
      <c r="CX1050" s="567"/>
      <c r="CY1050" s="567"/>
      <c r="CZ1050" s="567"/>
      <c r="DA1050" s="567"/>
      <c r="DB1050" s="567"/>
      <c r="DC1050" s="567"/>
      <c r="DD1050" s="567"/>
      <c r="DE1050" s="567"/>
      <c r="DF1050" s="567"/>
      <c r="DG1050" s="567"/>
      <c r="DH1050" s="567"/>
      <c r="DI1050" s="567"/>
      <c r="DJ1050" s="567"/>
      <c r="DK1050" s="567"/>
      <c r="DL1050" s="567"/>
      <c r="DM1050" s="567"/>
      <c r="DN1050" s="567"/>
      <c r="DO1050" s="567"/>
      <c r="DP1050" s="567"/>
      <c r="DQ1050" s="567"/>
      <c r="DR1050" s="567"/>
      <c r="DS1050" s="567"/>
      <c r="DT1050" s="567"/>
      <c r="DU1050" s="567"/>
      <c r="DV1050" s="567"/>
      <c r="DW1050" s="567"/>
      <c r="DX1050" s="567"/>
      <c r="DY1050" s="567"/>
      <c r="DZ1050" s="567"/>
      <c r="EA1050" s="567"/>
      <c r="EB1050" s="567"/>
      <c r="EC1050" s="567"/>
      <c r="ED1050" s="567"/>
      <c r="EE1050" s="567"/>
      <c r="EF1050" s="567"/>
      <c r="EG1050" s="567"/>
      <c r="EH1050" s="567"/>
      <c r="EI1050" s="567"/>
      <c r="EJ1050" s="567"/>
      <c r="EK1050" s="567"/>
      <c r="EL1050" s="567"/>
      <c r="EM1050" s="567"/>
      <c r="EN1050" s="567"/>
      <c r="EO1050" s="567"/>
      <c r="EP1050" s="567"/>
      <c r="EQ1050" s="567"/>
      <c r="ER1050" s="567"/>
      <c r="ES1050" s="567"/>
      <c r="ET1050" s="567"/>
      <c r="EU1050" s="567"/>
      <c r="EV1050" s="567"/>
      <c r="EW1050" s="567"/>
      <c r="EX1050" s="567"/>
      <c r="EY1050" s="567"/>
      <c r="EZ1050" s="567"/>
      <c r="FA1050" s="567"/>
      <c r="FB1050" s="567"/>
      <c r="FC1050" s="567"/>
      <c r="FD1050" s="567"/>
      <c r="FE1050" s="567"/>
      <c r="FF1050" s="567"/>
      <c r="FG1050" s="567"/>
      <c r="FH1050" s="567"/>
      <c r="FI1050" s="567"/>
      <c r="FJ1050" s="567"/>
      <c r="FK1050" s="567"/>
      <c r="FL1050" s="567"/>
      <c r="FM1050" s="567"/>
      <c r="FN1050" s="567"/>
      <c r="FO1050" s="567"/>
      <c r="FP1050" s="567"/>
      <c r="FQ1050" s="567"/>
      <c r="FR1050" s="567"/>
      <c r="FS1050" s="567"/>
      <c r="FT1050" s="567"/>
      <c r="FU1050" s="567"/>
      <c r="FV1050" s="567"/>
      <c r="FW1050" s="567"/>
      <c r="FX1050" s="567"/>
    </row>
    <row r="1051">
      <c r="A1051" s="567"/>
      <c r="B1051" s="567"/>
      <c r="C1051" s="567"/>
      <c r="D1051" s="567"/>
      <c r="E1051" s="567"/>
      <c r="F1051" s="567"/>
      <c r="G1051" s="567"/>
      <c r="H1051" s="567"/>
      <c r="I1051" s="567"/>
      <c r="J1051" s="567"/>
      <c r="K1051" s="567"/>
      <c r="L1051" s="567"/>
      <c r="M1051" s="567"/>
      <c r="N1051" s="567"/>
      <c r="O1051" s="567"/>
      <c r="P1051" s="567"/>
      <c r="Q1051" s="567"/>
      <c r="R1051" s="567"/>
      <c r="S1051" s="567"/>
      <c r="T1051" s="567"/>
      <c r="U1051" s="567"/>
      <c r="V1051" s="567"/>
      <c r="W1051" s="567"/>
      <c r="X1051" s="567"/>
      <c r="Y1051" s="567"/>
      <c r="Z1051" s="567"/>
      <c r="AA1051" s="567"/>
      <c r="AB1051" s="567"/>
      <c r="AC1051" s="567"/>
      <c r="AD1051" s="567"/>
      <c r="AE1051" s="567"/>
      <c r="AF1051" s="567"/>
      <c r="AG1051" s="567"/>
      <c r="AH1051" s="567"/>
      <c r="AI1051" s="567"/>
      <c r="AJ1051" s="567"/>
      <c r="AK1051" s="567"/>
      <c r="AL1051" s="567"/>
      <c r="AM1051" s="567"/>
      <c r="AN1051" s="567"/>
      <c r="AO1051" s="567"/>
      <c r="AP1051" s="567"/>
      <c r="AQ1051" s="567"/>
      <c r="AR1051" s="567"/>
      <c r="AS1051" s="567"/>
      <c r="AT1051" s="567"/>
      <c r="AU1051" s="567"/>
      <c r="AV1051" s="567"/>
      <c r="AW1051" s="567"/>
      <c r="AX1051" s="567"/>
      <c r="AY1051" s="567"/>
      <c r="AZ1051" s="567"/>
      <c r="BA1051" s="567"/>
      <c r="BB1051" s="567"/>
      <c r="BC1051" s="567"/>
      <c r="BD1051" s="567"/>
      <c r="BE1051" s="567"/>
      <c r="BF1051" s="567"/>
      <c r="BG1051" s="567"/>
      <c r="BH1051" s="567"/>
      <c r="BI1051" s="567"/>
      <c r="BJ1051" s="567"/>
      <c r="BK1051" s="567"/>
      <c r="BL1051" s="567"/>
      <c r="BM1051" s="567"/>
      <c r="BN1051" s="567"/>
      <c r="BO1051" s="567"/>
      <c r="BP1051" s="567"/>
      <c r="BQ1051" s="567"/>
      <c r="BR1051" s="567"/>
      <c r="BS1051" s="567"/>
      <c r="BT1051" s="567"/>
      <c r="BU1051" s="567"/>
      <c r="BV1051" s="567"/>
      <c r="BW1051" s="567"/>
      <c r="BX1051" s="567"/>
      <c r="BY1051" s="567"/>
      <c r="BZ1051" s="567"/>
      <c r="CA1051" s="567"/>
      <c r="CB1051" s="567"/>
      <c r="CC1051" s="567"/>
      <c r="CD1051" s="567"/>
      <c r="CE1051" s="567"/>
      <c r="CF1051" s="567"/>
      <c r="CG1051" s="567"/>
      <c r="CH1051" s="567"/>
      <c r="CI1051" s="567"/>
      <c r="CJ1051" s="567"/>
      <c r="CK1051" s="567"/>
      <c r="CL1051" s="567"/>
      <c r="CM1051" s="567"/>
      <c r="CN1051" s="567"/>
      <c r="CO1051" s="567"/>
      <c r="CP1051" s="567"/>
      <c r="CQ1051" s="567"/>
      <c r="CR1051" s="567"/>
      <c r="CS1051" s="567"/>
      <c r="CT1051" s="567"/>
      <c r="CU1051" s="567"/>
      <c r="CV1051" s="567"/>
      <c r="CW1051" s="567"/>
      <c r="CX1051" s="567"/>
      <c r="CY1051" s="567"/>
      <c r="CZ1051" s="567"/>
      <c r="DA1051" s="567"/>
      <c r="DB1051" s="567"/>
      <c r="DC1051" s="567"/>
      <c r="DD1051" s="567"/>
      <c r="DE1051" s="567"/>
      <c r="DF1051" s="567"/>
      <c r="DG1051" s="567"/>
      <c r="DH1051" s="567"/>
      <c r="DI1051" s="567"/>
      <c r="DJ1051" s="567"/>
      <c r="DK1051" s="567"/>
      <c r="DL1051" s="567"/>
      <c r="DM1051" s="567"/>
      <c r="DN1051" s="567"/>
      <c r="DO1051" s="567"/>
      <c r="DP1051" s="567"/>
      <c r="DQ1051" s="567"/>
      <c r="DR1051" s="567"/>
      <c r="DS1051" s="567"/>
      <c r="DT1051" s="567"/>
      <c r="DU1051" s="567"/>
      <c r="DV1051" s="567"/>
      <c r="DW1051" s="567"/>
      <c r="DX1051" s="567"/>
      <c r="DY1051" s="567"/>
      <c r="DZ1051" s="567"/>
      <c r="EA1051" s="567"/>
      <c r="EB1051" s="567"/>
      <c r="EC1051" s="567"/>
      <c r="ED1051" s="567"/>
      <c r="EE1051" s="567"/>
      <c r="EF1051" s="567"/>
      <c r="EG1051" s="567"/>
      <c r="EH1051" s="567"/>
      <c r="EI1051" s="567"/>
      <c r="EJ1051" s="567"/>
      <c r="EK1051" s="567"/>
      <c r="EL1051" s="567"/>
      <c r="EM1051" s="567"/>
      <c r="EN1051" s="567"/>
      <c r="EO1051" s="567"/>
      <c r="EP1051" s="567"/>
      <c r="EQ1051" s="567"/>
      <c r="ER1051" s="567"/>
      <c r="ES1051" s="567"/>
      <c r="ET1051" s="567"/>
      <c r="EU1051" s="567"/>
      <c r="EV1051" s="567"/>
      <c r="EW1051" s="567"/>
      <c r="EX1051" s="567"/>
      <c r="EY1051" s="567"/>
      <c r="EZ1051" s="567"/>
      <c r="FA1051" s="567"/>
      <c r="FB1051" s="567"/>
      <c r="FC1051" s="567"/>
      <c r="FD1051" s="567"/>
      <c r="FE1051" s="567"/>
      <c r="FF1051" s="567"/>
      <c r="FG1051" s="567"/>
      <c r="FH1051" s="567"/>
      <c r="FI1051" s="567"/>
      <c r="FJ1051" s="567"/>
      <c r="FK1051" s="567"/>
      <c r="FL1051" s="567"/>
      <c r="FM1051" s="567"/>
      <c r="FN1051" s="567"/>
      <c r="FO1051" s="567"/>
      <c r="FP1051" s="567"/>
      <c r="FQ1051" s="567"/>
      <c r="FR1051" s="567"/>
      <c r="FS1051" s="567"/>
      <c r="FT1051" s="567"/>
      <c r="FU1051" s="567"/>
      <c r="FV1051" s="567"/>
      <c r="FW1051" s="567"/>
      <c r="FX1051" s="567"/>
    </row>
    <row r="1052">
      <c r="A1052" s="567"/>
      <c r="B1052" s="567"/>
      <c r="C1052" s="567"/>
      <c r="D1052" s="567"/>
      <c r="E1052" s="567"/>
      <c r="F1052" s="567"/>
      <c r="G1052" s="567"/>
      <c r="H1052" s="567"/>
      <c r="I1052" s="567"/>
      <c r="J1052" s="567"/>
      <c r="K1052" s="567"/>
      <c r="L1052" s="567"/>
      <c r="M1052" s="567"/>
      <c r="N1052" s="567"/>
      <c r="O1052" s="567"/>
      <c r="P1052" s="567"/>
      <c r="Q1052" s="567"/>
      <c r="R1052" s="567"/>
      <c r="S1052" s="567"/>
      <c r="T1052" s="567"/>
      <c r="U1052" s="567"/>
      <c r="V1052" s="567"/>
      <c r="W1052" s="567"/>
      <c r="X1052" s="567"/>
      <c r="Y1052" s="567"/>
      <c r="Z1052" s="567"/>
      <c r="AA1052" s="567"/>
      <c r="AB1052" s="567"/>
      <c r="AC1052" s="567"/>
      <c r="AD1052" s="567"/>
      <c r="AE1052" s="567"/>
      <c r="AF1052" s="567"/>
      <c r="AG1052" s="567"/>
      <c r="AH1052" s="567"/>
      <c r="AI1052" s="567"/>
      <c r="AJ1052" s="567"/>
      <c r="AK1052" s="567"/>
      <c r="AL1052" s="567"/>
      <c r="AM1052" s="567"/>
      <c r="AN1052" s="567"/>
      <c r="AO1052" s="567"/>
      <c r="AP1052" s="567"/>
      <c r="AQ1052" s="567"/>
      <c r="AR1052" s="567"/>
      <c r="AS1052" s="567"/>
      <c r="AT1052" s="567"/>
      <c r="AU1052" s="567"/>
      <c r="AV1052" s="567"/>
      <c r="AW1052" s="567"/>
      <c r="AX1052" s="567"/>
      <c r="AY1052" s="567"/>
      <c r="AZ1052" s="567"/>
      <c r="BA1052" s="567"/>
      <c r="BB1052" s="567"/>
      <c r="BC1052" s="567"/>
      <c r="BD1052" s="567"/>
      <c r="BE1052" s="567"/>
      <c r="BF1052" s="567"/>
      <c r="BG1052" s="567"/>
      <c r="BH1052" s="567"/>
      <c r="BI1052" s="567"/>
      <c r="BJ1052" s="567"/>
      <c r="BK1052" s="567"/>
      <c r="BL1052" s="567"/>
      <c r="BM1052" s="567"/>
      <c r="BN1052" s="567"/>
      <c r="BO1052" s="567"/>
      <c r="BP1052" s="567"/>
      <c r="BQ1052" s="567"/>
      <c r="BR1052" s="567"/>
      <c r="BS1052" s="567"/>
      <c r="BT1052" s="567"/>
      <c r="BU1052" s="567"/>
      <c r="BV1052" s="567"/>
      <c r="BW1052" s="567"/>
      <c r="BX1052" s="567"/>
      <c r="BY1052" s="567"/>
      <c r="BZ1052" s="567"/>
      <c r="CA1052" s="567"/>
      <c r="CB1052" s="567"/>
      <c r="CC1052" s="567"/>
      <c r="CD1052" s="567"/>
      <c r="CE1052" s="567"/>
      <c r="CF1052" s="567"/>
      <c r="CG1052" s="567"/>
      <c r="CH1052" s="567"/>
      <c r="CI1052" s="567"/>
      <c r="CJ1052" s="567"/>
      <c r="CK1052" s="567"/>
      <c r="CL1052" s="567"/>
      <c r="CM1052" s="567"/>
      <c r="CN1052" s="567"/>
      <c r="CO1052" s="567"/>
      <c r="CP1052" s="567"/>
      <c r="CQ1052" s="567"/>
      <c r="CR1052" s="567"/>
      <c r="CS1052" s="567"/>
      <c r="CT1052" s="567"/>
      <c r="CU1052" s="567"/>
      <c r="CV1052" s="567"/>
      <c r="CW1052" s="567"/>
      <c r="CX1052" s="567"/>
      <c r="CY1052" s="567"/>
      <c r="CZ1052" s="567"/>
      <c r="DA1052" s="567"/>
      <c r="DB1052" s="567"/>
      <c r="DC1052" s="567"/>
      <c r="DD1052" s="567"/>
      <c r="DE1052" s="567"/>
      <c r="DF1052" s="567"/>
      <c r="DG1052" s="567"/>
      <c r="DH1052" s="567"/>
      <c r="DI1052" s="567"/>
      <c r="DJ1052" s="567"/>
      <c r="DK1052" s="567"/>
      <c r="DL1052" s="567"/>
      <c r="DM1052" s="567"/>
      <c r="DN1052" s="567"/>
      <c r="DO1052" s="567"/>
      <c r="DP1052" s="567"/>
      <c r="DQ1052" s="567"/>
      <c r="DR1052" s="567"/>
      <c r="DS1052" s="567"/>
      <c r="DT1052" s="567"/>
      <c r="DU1052" s="567"/>
      <c r="DV1052" s="567"/>
      <c r="DW1052" s="567"/>
      <c r="DX1052" s="567"/>
      <c r="DY1052" s="567"/>
      <c r="DZ1052" s="567"/>
      <c r="EA1052" s="567"/>
      <c r="EB1052" s="567"/>
      <c r="EC1052" s="567"/>
      <c r="ED1052" s="567"/>
      <c r="EE1052" s="567"/>
      <c r="EF1052" s="567"/>
      <c r="EG1052" s="567"/>
      <c r="EH1052" s="567"/>
      <c r="EI1052" s="567"/>
      <c r="EJ1052" s="567"/>
      <c r="EK1052" s="567"/>
      <c r="EL1052" s="567"/>
      <c r="EM1052" s="567"/>
      <c r="EN1052" s="567"/>
      <c r="EO1052" s="567"/>
      <c r="EP1052" s="567"/>
      <c r="EQ1052" s="567"/>
      <c r="ER1052" s="567"/>
      <c r="ES1052" s="567"/>
      <c r="ET1052" s="567"/>
      <c r="EU1052" s="567"/>
      <c r="EV1052" s="567"/>
      <c r="EW1052" s="567"/>
      <c r="EX1052" s="567"/>
      <c r="EY1052" s="567"/>
      <c r="EZ1052" s="567"/>
      <c r="FA1052" s="567"/>
      <c r="FB1052" s="567"/>
      <c r="FC1052" s="567"/>
      <c r="FD1052" s="567"/>
      <c r="FE1052" s="567"/>
      <c r="FF1052" s="567"/>
      <c r="FG1052" s="567"/>
      <c r="FH1052" s="567"/>
      <c r="FI1052" s="567"/>
      <c r="FJ1052" s="567"/>
      <c r="FK1052" s="567"/>
      <c r="FL1052" s="567"/>
      <c r="FM1052" s="567"/>
      <c r="FN1052" s="567"/>
      <c r="FO1052" s="567"/>
      <c r="FP1052" s="567"/>
      <c r="FQ1052" s="567"/>
      <c r="FR1052" s="567"/>
      <c r="FS1052" s="567"/>
      <c r="FT1052" s="567"/>
      <c r="FU1052" s="567"/>
      <c r="FV1052" s="567"/>
      <c r="FW1052" s="567"/>
      <c r="FX1052" s="567"/>
    </row>
    <row r="1053">
      <c r="A1053" s="567"/>
      <c r="B1053" s="567"/>
      <c r="C1053" s="567"/>
      <c r="D1053" s="567"/>
      <c r="E1053" s="567"/>
      <c r="F1053" s="567"/>
      <c r="G1053" s="567"/>
      <c r="H1053" s="567"/>
      <c r="I1053" s="567"/>
      <c r="J1053" s="567"/>
      <c r="K1053" s="567"/>
      <c r="L1053" s="567"/>
      <c r="M1053" s="567"/>
      <c r="N1053" s="567"/>
      <c r="O1053" s="567"/>
      <c r="P1053" s="567"/>
      <c r="Q1053" s="567"/>
      <c r="R1053" s="567"/>
      <c r="S1053" s="567"/>
      <c r="T1053" s="567"/>
      <c r="U1053" s="567"/>
      <c r="V1053" s="567"/>
      <c r="W1053" s="567"/>
      <c r="X1053" s="567"/>
      <c r="Y1053" s="567"/>
      <c r="Z1053" s="567"/>
      <c r="AA1053" s="567"/>
      <c r="AB1053" s="567"/>
      <c r="AC1053" s="567"/>
      <c r="AD1053" s="567"/>
      <c r="AE1053" s="567"/>
      <c r="AF1053" s="567"/>
      <c r="AG1053" s="567"/>
      <c r="AH1053" s="567"/>
      <c r="AI1053" s="567"/>
      <c r="AJ1053" s="567"/>
      <c r="AK1053" s="567"/>
      <c r="AL1053" s="567"/>
      <c r="AM1053" s="567"/>
      <c r="AN1053" s="567"/>
      <c r="AO1053" s="567"/>
      <c r="AP1053" s="567"/>
      <c r="AQ1053" s="567"/>
      <c r="AR1053" s="567"/>
      <c r="AS1053" s="567"/>
      <c r="AT1053" s="567"/>
      <c r="AU1053" s="567"/>
      <c r="AV1053" s="567"/>
      <c r="AW1053" s="567"/>
      <c r="AX1053" s="567"/>
      <c r="AY1053" s="567"/>
      <c r="AZ1053" s="567"/>
      <c r="BA1053" s="567"/>
      <c r="BB1053" s="567"/>
      <c r="BC1053" s="567"/>
      <c r="BD1053" s="567"/>
      <c r="BE1053" s="567"/>
      <c r="BF1053" s="567"/>
      <c r="BG1053" s="567"/>
      <c r="BH1053" s="567"/>
      <c r="BI1053" s="567"/>
      <c r="BJ1053" s="567"/>
      <c r="BK1053" s="567"/>
      <c r="BL1053" s="567"/>
      <c r="BM1053" s="567"/>
      <c r="BN1053" s="567"/>
      <c r="BO1053" s="567"/>
      <c r="BP1053" s="567"/>
      <c r="BQ1053" s="567"/>
      <c r="BR1053" s="567"/>
      <c r="BS1053" s="567"/>
      <c r="BT1053" s="567"/>
      <c r="BU1053" s="567"/>
      <c r="BV1053" s="567"/>
      <c r="BW1053" s="567"/>
      <c r="BX1053" s="567"/>
      <c r="BY1053" s="567"/>
      <c r="BZ1053" s="567"/>
      <c r="CA1053" s="567"/>
      <c r="CB1053" s="567"/>
      <c r="CC1053" s="567"/>
      <c r="CD1053" s="567"/>
      <c r="CE1053" s="567"/>
      <c r="CF1053" s="567"/>
      <c r="CG1053" s="567"/>
      <c r="CH1053" s="567"/>
      <c r="CI1053" s="567"/>
      <c r="CJ1053" s="567"/>
      <c r="CK1053" s="567"/>
      <c r="CL1053" s="567"/>
      <c r="CM1053" s="567"/>
      <c r="CN1053" s="567"/>
      <c r="CO1053" s="567"/>
      <c r="CP1053" s="567"/>
      <c r="CQ1053" s="567"/>
      <c r="CR1053" s="567"/>
      <c r="CS1053" s="567"/>
      <c r="CT1053" s="567"/>
      <c r="CU1053" s="567"/>
      <c r="CV1053" s="567"/>
      <c r="CW1053" s="567"/>
      <c r="CX1053" s="567"/>
      <c r="CY1053" s="567"/>
      <c r="CZ1053" s="567"/>
      <c r="DA1053" s="567"/>
      <c r="DB1053" s="567"/>
      <c r="DC1053" s="567"/>
      <c r="DD1053" s="567"/>
      <c r="DE1053" s="567"/>
      <c r="DF1053" s="567"/>
      <c r="DG1053" s="567"/>
      <c r="DH1053" s="567"/>
      <c r="DI1053" s="567"/>
      <c r="DJ1053" s="567"/>
      <c r="DK1053" s="567"/>
      <c r="DL1053" s="567"/>
      <c r="DM1053" s="567"/>
      <c r="DN1053" s="567"/>
      <c r="DO1053" s="567"/>
      <c r="DP1053" s="567"/>
      <c r="DQ1053" s="567"/>
      <c r="DR1053" s="567"/>
      <c r="DS1053" s="567"/>
      <c r="DT1053" s="567"/>
      <c r="DU1053" s="567"/>
      <c r="DV1053" s="567"/>
      <c r="DW1053" s="567"/>
      <c r="DX1053" s="567"/>
      <c r="DY1053" s="567"/>
      <c r="DZ1053" s="567"/>
      <c r="EA1053" s="567"/>
      <c r="EB1053" s="567"/>
      <c r="EC1053" s="567"/>
      <c r="ED1053" s="567"/>
      <c r="EE1053" s="567"/>
      <c r="EF1053" s="567"/>
      <c r="EG1053" s="567"/>
      <c r="EH1053" s="567"/>
      <c r="EI1053" s="567"/>
      <c r="EJ1053" s="567"/>
      <c r="EK1053" s="567"/>
      <c r="EL1053" s="567"/>
      <c r="EM1053" s="567"/>
      <c r="EN1053" s="567"/>
      <c r="EO1053" s="567"/>
      <c r="EP1053" s="567"/>
      <c r="EQ1053" s="567"/>
      <c r="ER1053" s="567"/>
      <c r="ES1053" s="567"/>
      <c r="ET1053" s="567"/>
      <c r="EU1053" s="567"/>
      <c r="EV1053" s="567"/>
      <c r="EW1053" s="567"/>
      <c r="EX1053" s="567"/>
      <c r="EY1053" s="567"/>
      <c r="EZ1053" s="567"/>
      <c r="FA1053" s="567"/>
      <c r="FB1053" s="567"/>
      <c r="FC1053" s="567"/>
      <c r="FD1053" s="567"/>
      <c r="FE1053" s="567"/>
      <c r="FF1053" s="567"/>
      <c r="FG1053" s="567"/>
      <c r="FH1053" s="567"/>
      <c r="FI1053" s="567"/>
      <c r="FJ1053" s="567"/>
      <c r="FK1053" s="567"/>
      <c r="FL1053" s="567"/>
      <c r="FM1053" s="567"/>
      <c r="FN1053" s="567"/>
      <c r="FO1053" s="567"/>
      <c r="FP1053" s="567"/>
      <c r="FQ1053" s="567"/>
      <c r="FR1053" s="567"/>
      <c r="FS1053" s="567"/>
      <c r="FT1053" s="567"/>
      <c r="FU1053" s="567"/>
      <c r="FV1053" s="567"/>
      <c r="FW1053" s="567"/>
      <c r="FX1053" s="567"/>
    </row>
    <row r="1054">
      <c r="A1054" s="567"/>
      <c r="B1054" s="567"/>
      <c r="C1054" s="567"/>
      <c r="D1054" s="567"/>
      <c r="E1054" s="567"/>
      <c r="F1054" s="567"/>
      <c r="G1054" s="567"/>
      <c r="H1054" s="567"/>
      <c r="I1054" s="567"/>
      <c r="J1054" s="567"/>
      <c r="K1054" s="567"/>
      <c r="L1054" s="567"/>
      <c r="M1054" s="567"/>
      <c r="N1054" s="567"/>
      <c r="O1054" s="567"/>
      <c r="P1054" s="567"/>
      <c r="Q1054" s="567"/>
      <c r="R1054" s="567"/>
      <c r="S1054" s="567"/>
      <c r="T1054" s="567"/>
      <c r="U1054" s="567"/>
      <c r="V1054" s="567"/>
      <c r="W1054" s="567"/>
      <c r="X1054" s="567"/>
      <c r="Y1054" s="567"/>
      <c r="Z1054" s="567"/>
      <c r="AA1054" s="567"/>
      <c r="AB1054" s="567"/>
      <c r="AC1054" s="567"/>
      <c r="AD1054" s="567"/>
      <c r="AE1054" s="567"/>
      <c r="AF1054" s="567"/>
      <c r="AG1054" s="567"/>
      <c r="AH1054" s="567"/>
      <c r="AI1054" s="567"/>
      <c r="AJ1054" s="567"/>
      <c r="AK1054" s="567"/>
      <c r="AL1054" s="567"/>
      <c r="AM1054" s="567"/>
      <c r="AN1054" s="567"/>
      <c r="AO1054" s="567"/>
      <c r="AP1054" s="567"/>
      <c r="AQ1054" s="567"/>
      <c r="AR1054" s="567"/>
      <c r="AS1054" s="567"/>
      <c r="AT1054" s="567"/>
      <c r="AU1054" s="567"/>
      <c r="AV1054" s="567"/>
      <c r="AW1054" s="567"/>
      <c r="AX1054" s="567"/>
      <c r="AY1054" s="567"/>
      <c r="AZ1054" s="567"/>
      <c r="BA1054" s="567"/>
      <c r="BB1054" s="567"/>
      <c r="BC1054" s="567"/>
      <c r="BD1054" s="567"/>
      <c r="BE1054" s="567"/>
      <c r="BF1054" s="567"/>
      <c r="BG1054" s="567"/>
      <c r="BH1054" s="567"/>
      <c r="BI1054" s="567"/>
      <c r="BJ1054" s="567"/>
      <c r="BK1054" s="567"/>
      <c r="BL1054" s="567"/>
      <c r="BM1054" s="567"/>
      <c r="BN1054" s="567"/>
      <c r="BO1054" s="567"/>
      <c r="BP1054" s="567"/>
      <c r="BQ1054" s="567"/>
      <c r="BR1054" s="567"/>
      <c r="BS1054" s="567"/>
      <c r="BT1054" s="567"/>
      <c r="BU1054" s="567"/>
      <c r="BV1054" s="567"/>
      <c r="BW1054" s="567"/>
      <c r="BX1054" s="567"/>
      <c r="BY1054" s="567"/>
      <c r="BZ1054" s="567"/>
      <c r="CA1054" s="567"/>
      <c r="CB1054" s="567"/>
      <c r="CC1054" s="567"/>
      <c r="CD1054" s="567"/>
      <c r="CE1054" s="567"/>
      <c r="CF1054" s="567"/>
      <c r="CG1054" s="567"/>
      <c r="CH1054" s="567"/>
      <c r="CI1054" s="567"/>
      <c r="CJ1054" s="567"/>
      <c r="CK1054" s="567"/>
      <c r="CL1054" s="567"/>
      <c r="CM1054" s="567"/>
      <c r="CN1054" s="567"/>
      <c r="CO1054" s="567"/>
      <c r="CP1054" s="567"/>
      <c r="CQ1054" s="567"/>
      <c r="CR1054" s="567"/>
      <c r="CS1054" s="567"/>
      <c r="CT1054" s="567"/>
      <c r="CU1054" s="567"/>
      <c r="CV1054" s="567"/>
      <c r="CW1054" s="567"/>
      <c r="CX1054" s="567"/>
      <c r="CY1054" s="567"/>
      <c r="CZ1054" s="567"/>
      <c r="DA1054" s="567"/>
      <c r="DB1054" s="567"/>
      <c r="DC1054" s="567"/>
      <c r="DD1054" s="567"/>
      <c r="DE1054" s="567"/>
      <c r="DF1054" s="567"/>
      <c r="DG1054" s="567"/>
      <c r="DH1054" s="567"/>
      <c r="DI1054" s="567"/>
      <c r="DJ1054" s="567"/>
      <c r="DK1054" s="567"/>
      <c r="DL1054" s="567"/>
      <c r="DM1054" s="567"/>
      <c r="DN1054" s="567"/>
      <c r="DO1054" s="567"/>
      <c r="DP1054" s="567"/>
      <c r="DQ1054" s="567"/>
      <c r="DR1054" s="567"/>
      <c r="DS1054" s="567"/>
      <c r="DT1054" s="567"/>
      <c r="DU1054" s="567"/>
      <c r="DV1054" s="567"/>
      <c r="DW1054" s="567"/>
      <c r="DX1054" s="567"/>
      <c r="DY1054" s="567"/>
      <c r="DZ1054" s="567"/>
      <c r="EA1054" s="567"/>
      <c r="EB1054" s="567"/>
      <c r="EC1054" s="567"/>
      <c r="ED1054" s="567"/>
      <c r="EE1054" s="567"/>
      <c r="EF1054" s="567"/>
      <c r="EG1054" s="567"/>
      <c r="EH1054" s="567"/>
      <c r="EI1054" s="567"/>
      <c r="EJ1054" s="567"/>
      <c r="EK1054" s="567"/>
      <c r="EL1054" s="567"/>
      <c r="EM1054" s="567"/>
      <c r="EN1054" s="567"/>
      <c r="EO1054" s="567"/>
      <c r="EP1054" s="567"/>
      <c r="EQ1054" s="567"/>
      <c r="ER1054" s="567"/>
      <c r="ES1054" s="567"/>
      <c r="ET1054" s="567"/>
      <c r="EU1054" s="567"/>
      <c r="EV1054" s="567"/>
      <c r="EW1054" s="567"/>
      <c r="EX1054" s="567"/>
      <c r="EY1054" s="567"/>
      <c r="EZ1054" s="567"/>
      <c r="FA1054" s="567"/>
      <c r="FB1054" s="567"/>
      <c r="FC1054" s="567"/>
      <c r="FD1054" s="567"/>
      <c r="FE1054" s="567"/>
      <c r="FF1054" s="567"/>
      <c r="FG1054" s="567"/>
      <c r="FH1054" s="567"/>
      <c r="FI1054" s="567"/>
      <c r="FJ1054" s="567"/>
      <c r="FK1054" s="567"/>
      <c r="FL1054" s="567"/>
      <c r="FM1054" s="567"/>
      <c r="FN1054" s="567"/>
      <c r="FO1054" s="567"/>
      <c r="FP1054" s="567"/>
      <c r="FQ1054" s="567"/>
      <c r="FR1054" s="567"/>
      <c r="FS1054" s="567"/>
      <c r="FT1054" s="567"/>
      <c r="FU1054" s="567"/>
      <c r="FV1054" s="567"/>
      <c r="FW1054" s="567"/>
      <c r="FX1054" s="567"/>
    </row>
    <row r="1055">
      <c r="A1055" s="567"/>
      <c r="B1055" s="567"/>
      <c r="C1055" s="567"/>
      <c r="D1055" s="567"/>
      <c r="E1055" s="567"/>
      <c r="F1055" s="567"/>
      <c r="G1055" s="567"/>
      <c r="H1055" s="567"/>
      <c r="I1055" s="567"/>
      <c r="J1055" s="567"/>
      <c r="K1055" s="567"/>
      <c r="L1055" s="567"/>
      <c r="M1055" s="567"/>
      <c r="N1055" s="567"/>
      <c r="O1055" s="567"/>
      <c r="P1055" s="567"/>
      <c r="Q1055" s="567"/>
      <c r="R1055" s="567"/>
      <c r="S1055" s="567"/>
      <c r="T1055" s="567"/>
      <c r="U1055" s="567"/>
      <c r="V1055" s="567"/>
      <c r="W1055" s="567"/>
      <c r="X1055" s="567"/>
      <c r="Y1055" s="567"/>
      <c r="Z1055" s="567"/>
      <c r="AA1055" s="567"/>
      <c r="AB1055" s="567"/>
      <c r="AC1055" s="567"/>
      <c r="AD1055" s="567"/>
      <c r="AE1055" s="567"/>
      <c r="AF1055" s="567"/>
      <c r="AG1055" s="567"/>
      <c r="AH1055" s="567"/>
      <c r="AI1055" s="567"/>
      <c r="AJ1055" s="567"/>
      <c r="AK1055" s="567"/>
      <c r="AL1055" s="567"/>
      <c r="AM1055" s="567"/>
      <c r="AN1055" s="567"/>
      <c r="AO1055" s="567"/>
      <c r="AP1055" s="567"/>
      <c r="AQ1055" s="567"/>
      <c r="AR1055" s="567"/>
      <c r="AS1055" s="567"/>
      <c r="AT1055" s="567"/>
      <c r="AU1055" s="567"/>
      <c r="AV1055" s="567"/>
      <c r="AW1055" s="567"/>
      <c r="AX1055" s="567"/>
      <c r="AY1055" s="567"/>
      <c r="AZ1055" s="567"/>
      <c r="BA1055" s="567"/>
      <c r="BB1055" s="567"/>
      <c r="BC1055" s="567"/>
      <c r="BD1055" s="567"/>
      <c r="BE1055" s="567"/>
      <c r="BF1055" s="567"/>
      <c r="BG1055" s="567"/>
      <c r="BH1055" s="567"/>
      <c r="BI1055" s="567"/>
      <c r="BJ1055" s="567"/>
      <c r="BK1055" s="567"/>
      <c r="BL1055" s="567"/>
      <c r="BM1055" s="567"/>
      <c r="BN1055" s="567"/>
      <c r="BO1055" s="567"/>
      <c r="BP1055" s="567"/>
      <c r="BQ1055" s="567"/>
      <c r="BR1055" s="567"/>
      <c r="BS1055" s="567"/>
      <c r="BT1055" s="567"/>
      <c r="BU1055" s="567"/>
      <c r="BV1055" s="567"/>
      <c r="BW1055" s="567"/>
      <c r="BX1055" s="567"/>
      <c r="BY1055" s="567"/>
      <c r="BZ1055" s="567"/>
      <c r="CA1055" s="567"/>
      <c r="CB1055" s="567"/>
      <c r="CC1055" s="567"/>
      <c r="CD1055" s="567"/>
      <c r="CE1055" s="567"/>
      <c r="CF1055" s="567"/>
      <c r="CG1055" s="567"/>
      <c r="CH1055" s="567"/>
      <c r="CI1055" s="567"/>
      <c r="CJ1055" s="567"/>
      <c r="CK1055" s="567"/>
      <c r="CL1055" s="567"/>
      <c r="CM1055" s="567"/>
      <c r="CN1055" s="567"/>
      <c r="CO1055" s="567"/>
      <c r="CP1055" s="567"/>
      <c r="CQ1055" s="567"/>
      <c r="CR1055" s="567"/>
      <c r="CS1055" s="567"/>
      <c r="CT1055" s="567"/>
      <c r="CU1055" s="567"/>
      <c r="CV1055" s="567"/>
      <c r="CW1055" s="567"/>
      <c r="CX1055" s="567"/>
      <c r="CY1055" s="567"/>
      <c r="CZ1055" s="567"/>
      <c r="DA1055" s="567"/>
      <c r="DB1055" s="567"/>
      <c r="DC1055" s="567"/>
      <c r="DD1055" s="567"/>
      <c r="DE1055" s="567"/>
      <c r="DF1055" s="567"/>
      <c r="DG1055" s="567"/>
      <c r="DH1055" s="567"/>
      <c r="DI1055" s="567"/>
      <c r="DJ1055" s="567"/>
      <c r="DK1055" s="567"/>
      <c r="DL1055" s="567"/>
      <c r="DM1055" s="567"/>
      <c r="DN1055" s="567"/>
      <c r="DO1055" s="567"/>
      <c r="DP1055" s="567"/>
      <c r="DQ1055" s="567"/>
      <c r="DR1055" s="567"/>
      <c r="DS1055" s="567"/>
      <c r="DT1055" s="567"/>
      <c r="DU1055" s="567"/>
      <c r="DV1055" s="567"/>
      <c r="DW1055" s="567"/>
      <c r="DX1055" s="567"/>
      <c r="DY1055" s="567"/>
      <c r="DZ1055" s="567"/>
      <c r="EA1055" s="567"/>
      <c r="EB1055" s="567"/>
      <c r="EC1055" s="567"/>
      <c r="ED1055" s="567"/>
      <c r="EE1055" s="567"/>
      <c r="EF1055" s="567"/>
      <c r="EG1055" s="567"/>
      <c r="EH1055" s="567"/>
      <c r="EI1055" s="567"/>
      <c r="EJ1055" s="567"/>
      <c r="EK1055" s="567"/>
      <c r="EL1055" s="567"/>
      <c r="EM1055" s="567"/>
      <c r="EN1055" s="567"/>
      <c r="EO1055" s="567"/>
      <c r="EP1055" s="567"/>
      <c r="EQ1055" s="567"/>
      <c r="ER1055" s="567"/>
      <c r="ES1055" s="567"/>
      <c r="ET1055" s="567"/>
      <c r="EU1055" s="567"/>
      <c r="EV1055" s="567"/>
      <c r="EW1055" s="567"/>
      <c r="EX1055" s="567"/>
      <c r="EY1055" s="567"/>
      <c r="EZ1055" s="567"/>
      <c r="FA1055" s="567"/>
      <c r="FB1055" s="567"/>
      <c r="FC1055" s="567"/>
      <c r="FD1055" s="567"/>
      <c r="FE1055" s="567"/>
      <c r="FF1055" s="567"/>
      <c r="FG1055" s="567"/>
      <c r="FH1055" s="567"/>
      <c r="FI1055" s="567"/>
      <c r="FJ1055" s="567"/>
      <c r="FK1055" s="567"/>
      <c r="FL1055" s="567"/>
      <c r="FM1055" s="567"/>
      <c r="FN1055" s="567"/>
      <c r="FO1055" s="567"/>
      <c r="FP1055" s="567"/>
      <c r="FQ1055" s="567"/>
      <c r="FR1055" s="567"/>
      <c r="FS1055" s="567"/>
      <c r="FT1055" s="567"/>
      <c r="FU1055" s="567"/>
      <c r="FV1055" s="567"/>
      <c r="FW1055" s="567"/>
      <c r="FX1055" s="567"/>
    </row>
    <row r="1056">
      <c r="A1056" s="567"/>
      <c r="B1056" s="567"/>
      <c r="C1056" s="567"/>
      <c r="D1056" s="567"/>
      <c r="E1056" s="567"/>
      <c r="F1056" s="567"/>
      <c r="G1056" s="567"/>
      <c r="H1056" s="567"/>
      <c r="I1056" s="567"/>
      <c r="J1056" s="567"/>
      <c r="K1056" s="567"/>
      <c r="L1056" s="567"/>
      <c r="M1056" s="567"/>
      <c r="N1056" s="567"/>
      <c r="O1056" s="567"/>
      <c r="P1056" s="567"/>
      <c r="Q1056" s="567"/>
      <c r="R1056" s="567"/>
      <c r="S1056" s="567"/>
      <c r="T1056" s="567"/>
      <c r="U1056" s="567"/>
      <c r="V1056" s="567"/>
      <c r="W1056" s="567"/>
      <c r="X1056" s="567"/>
      <c r="Y1056" s="567"/>
      <c r="Z1056" s="567"/>
      <c r="AA1056" s="567"/>
      <c r="AB1056" s="567"/>
      <c r="AC1056" s="567"/>
      <c r="AD1056" s="567"/>
      <c r="AE1056" s="567"/>
      <c r="AF1056" s="567"/>
      <c r="AG1056" s="567"/>
      <c r="AH1056" s="567"/>
      <c r="AI1056" s="567"/>
      <c r="AJ1056" s="567"/>
      <c r="AK1056" s="567"/>
      <c r="AL1056" s="567"/>
      <c r="AM1056" s="567"/>
      <c r="AN1056" s="567"/>
      <c r="AO1056" s="567"/>
      <c r="AP1056" s="567"/>
      <c r="AQ1056" s="567"/>
      <c r="AR1056" s="567"/>
      <c r="AS1056" s="567"/>
      <c r="AT1056" s="567"/>
      <c r="AU1056" s="567"/>
      <c r="AV1056" s="567"/>
      <c r="AW1056" s="567"/>
      <c r="AX1056" s="567"/>
      <c r="AY1056" s="567"/>
      <c r="AZ1056" s="567"/>
      <c r="BA1056" s="567"/>
      <c r="BB1056" s="567"/>
      <c r="BC1056" s="567"/>
      <c r="BD1056" s="567"/>
      <c r="BE1056" s="567"/>
      <c r="BF1056" s="567"/>
      <c r="BG1056" s="567"/>
      <c r="BH1056" s="567"/>
      <c r="BI1056" s="567"/>
      <c r="BJ1056" s="567"/>
      <c r="BK1056" s="567"/>
      <c r="BL1056" s="567"/>
      <c r="BM1056" s="567"/>
      <c r="BN1056" s="567"/>
      <c r="BO1056" s="567"/>
      <c r="BP1056" s="567"/>
      <c r="BQ1056" s="567"/>
      <c r="BR1056" s="567"/>
      <c r="BS1056" s="567"/>
      <c r="BT1056" s="567"/>
      <c r="BU1056" s="567"/>
      <c r="BV1056" s="567"/>
      <c r="BW1056" s="567"/>
      <c r="BX1056" s="567"/>
      <c r="BY1056" s="567"/>
      <c r="BZ1056" s="567"/>
      <c r="CA1056" s="567"/>
      <c r="CB1056" s="567"/>
      <c r="CC1056" s="567"/>
      <c r="CD1056" s="567"/>
      <c r="CE1056" s="567"/>
      <c r="CF1056" s="567"/>
      <c r="CG1056" s="567"/>
      <c r="CH1056" s="567"/>
      <c r="CI1056" s="567"/>
      <c r="CJ1056" s="567"/>
      <c r="CK1056" s="567"/>
      <c r="CL1056" s="567"/>
      <c r="CM1056" s="567"/>
      <c r="CN1056" s="567"/>
      <c r="CO1056" s="567"/>
      <c r="CP1056" s="567"/>
      <c r="CQ1056" s="567"/>
      <c r="CR1056" s="567"/>
      <c r="CS1056" s="567"/>
      <c r="CT1056" s="567"/>
      <c r="CU1056" s="567"/>
      <c r="CV1056" s="567"/>
      <c r="CW1056" s="567"/>
      <c r="CX1056" s="567"/>
      <c r="CY1056" s="567"/>
      <c r="CZ1056" s="567"/>
      <c r="DA1056" s="567"/>
      <c r="DB1056" s="567"/>
      <c r="DC1056" s="567"/>
      <c r="DD1056" s="567"/>
      <c r="DE1056" s="567"/>
      <c r="DF1056" s="567"/>
      <c r="DG1056" s="567"/>
      <c r="DH1056" s="567"/>
      <c r="DI1056" s="567"/>
      <c r="DJ1056" s="567"/>
      <c r="DK1056" s="567"/>
      <c r="DL1056" s="567"/>
      <c r="DM1056" s="567"/>
      <c r="DN1056" s="567"/>
      <c r="DO1056" s="567"/>
      <c r="DP1056" s="567"/>
      <c r="DQ1056" s="567"/>
      <c r="DR1056" s="567"/>
      <c r="DS1056" s="567"/>
      <c r="DT1056" s="567"/>
      <c r="DU1056" s="567"/>
      <c r="DV1056" s="567"/>
      <c r="DW1056" s="567"/>
      <c r="DX1056" s="567"/>
      <c r="DY1056" s="567"/>
      <c r="DZ1056" s="567"/>
      <c r="EA1056" s="567"/>
      <c r="EB1056" s="567"/>
      <c r="EC1056" s="567"/>
      <c r="ED1056" s="567"/>
      <c r="EE1056" s="567"/>
      <c r="EF1056" s="567"/>
      <c r="EG1056" s="567"/>
      <c r="EH1056" s="567"/>
      <c r="EI1056" s="567"/>
      <c r="EJ1056" s="567"/>
      <c r="EK1056" s="567"/>
      <c r="EL1056" s="567"/>
      <c r="EM1056" s="567"/>
      <c r="EN1056" s="567"/>
      <c r="EO1056" s="567"/>
      <c r="EP1056" s="567"/>
      <c r="EQ1056" s="567"/>
      <c r="ER1056" s="567"/>
      <c r="ES1056" s="567"/>
      <c r="ET1056" s="567"/>
      <c r="EU1056" s="567"/>
      <c r="EV1056" s="567"/>
      <c r="EW1056" s="567"/>
      <c r="EX1056" s="567"/>
      <c r="EY1056" s="567"/>
      <c r="EZ1056" s="567"/>
      <c r="FA1056" s="567"/>
      <c r="FB1056" s="567"/>
      <c r="FC1056" s="567"/>
      <c r="FD1056" s="567"/>
      <c r="FE1056" s="567"/>
      <c r="FF1056" s="567"/>
      <c r="FG1056" s="567"/>
      <c r="FH1056" s="567"/>
      <c r="FI1056" s="567"/>
      <c r="FJ1056" s="567"/>
      <c r="FK1056" s="567"/>
      <c r="FL1056" s="567"/>
      <c r="FM1056" s="567"/>
      <c r="FN1056" s="567"/>
      <c r="FO1056" s="567"/>
      <c r="FP1056" s="567"/>
      <c r="FQ1056" s="567"/>
      <c r="FR1056" s="567"/>
      <c r="FS1056" s="567"/>
      <c r="FT1056" s="567"/>
      <c r="FU1056" s="567"/>
      <c r="FV1056" s="567"/>
      <c r="FW1056" s="567"/>
      <c r="FX1056" s="567"/>
    </row>
    <row r="1057">
      <c r="A1057" s="567"/>
      <c r="B1057" s="567"/>
      <c r="C1057" s="567"/>
      <c r="D1057" s="567"/>
      <c r="E1057" s="567"/>
      <c r="F1057" s="567"/>
      <c r="G1057" s="567"/>
      <c r="H1057" s="567"/>
      <c r="I1057" s="567"/>
      <c r="J1057" s="567"/>
      <c r="K1057" s="567"/>
      <c r="L1057" s="567"/>
      <c r="M1057" s="567"/>
      <c r="N1057" s="567"/>
      <c r="O1057" s="567"/>
      <c r="P1057" s="567"/>
      <c r="Q1057" s="567"/>
      <c r="R1057" s="567"/>
      <c r="S1057" s="567"/>
      <c r="T1057" s="567"/>
      <c r="U1057" s="567"/>
      <c r="V1057" s="567"/>
      <c r="W1057" s="567"/>
      <c r="X1057" s="567"/>
      <c r="Y1057" s="567"/>
      <c r="Z1057" s="567"/>
      <c r="AA1057" s="567"/>
      <c r="AB1057" s="567"/>
      <c r="AC1057" s="567"/>
      <c r="AD1057" s="567"/>
      <c r="AE1057" s="567"/>
      <c r="AF1057" s="567"/>
      <c r="AG1057" s="567"/>
      <c r="AH1057" s="567"/>
      <c r="AI1057" s="567"/>
      <c r="AJ1057" s="567"/>
      <c r="AK1057" s="567"/>
      <c r="AL1057" s="567"/>
      <c r="AM1057" s="567"/>
      <c r="AN1057" s="567"/>
      <c r="AO1057" s="567"/>
      <c r="AP1057" s="567"/>
      <c r="AQ1057" s="567"/>
      <c r="AR1057" s="567"/>
      <c r="AS1057" s="567"/>
      <c r="AT1057" s="567"/>
      <c r="AU1057" s="567"/>
      <c r="AV1057" s="567"/>
      <c r="AW1057" s="567"/>
      <c r="AX1057" s="567"/>
      <c r="AY1057" s="567"/>
      <c r="AZ1057" s="567"/>
      <c r="BA1057" s="567"/>
      <c r="BB1057" s="567"/>
      <c r="BC1057" s="567"/>
      <c r="BD1057" s="567"/>
      <c r="BE1057" s="567"/>
      <c r="BF1057" s="567"/>
      <c r="BG1057" s="567"/>
      <c r="BH1057" s="567"/>
      <c r="BI1057" s="567"/>
      <c r="BJ1057" s="567"/>
      <c r="BK1057" s="567"/>
      <c r="BL1057" s="567"/>
      <c r="BM1057" s="567"/>
      <c r="BN1057" s="567"/>
      <c r="BO1057" s="567"/>
      <c r="BP1057" s="567"/>
      <c r="BQ1057" s="567"/>
      <c r="BR1057" s="567"/>
      <c r="BS1057" s="567"/>
      <c r="BT1057" s="567"/>
      <c r="BU1057" s="567"/>
      <c r="BV1057" s="567"/>
      <c r="BW1057" s="567"/>
      <c r="BX1057" s="567"/>
      <c r="BY1057" s="567"/>
      <c r="BZ1057" s="567"/>
      <c r="CA1057" s="567"/>
      <c r="CB1057" s="567"/>
      <c r="CC1057" s="567"/>
      <c r="CD1057" s="567"/>
      <c r="CE1057" s="567"/>
      <c r="CF1057" s="567"/>
      <c r="CG1057" s="567"/>
      <c r="CH1057" s="567"/>
      <c r="CI1057" s="567"/>
      <c r="CJ1057" s="567"/>
      <c r="CK1057" s="567"/>
      <c r="CL1057" s="567"/>
      <c r="CM1057" s="567"/>
      <c r="CN1057" s="567"/>
      <c r="CO1057" s="567"/>
      <c r="CP1057" s="567"/>
      <c r="CQ1057" s="567"/>
      <c r="CR1057" s="567"/>
      <c r="CS1057" s="567"/>
      <c r="CT1057" s="567"/>
      <c r="CU1057" s="567"/>
      <c r="CV1057" s="567"/>
      <c r="CW1057" s="567"/>
      <c r="CX1057" s="567"/>
      <c r="CY1057" s="567"/>
      <c r="CZ1057" s="567"/>
      <c r="DA1057" s="567"/>
      <c r="DB1057" s="567"/>
      <c r="DC1057" s="567"/>
      <c r="DD1057" s="567"/>
      <c r="DE1057" s="567"/>
      <c r="DF1057" s="567"/>
      <c r="DG1057" s="567"/>
      <c r="DH1057" s="567"/>
      <c r="DI1057" s="567"/>
      <c r="DJ1057" s="567"/>
      <c r="DK1057" s="567"/>
      <c r="DL1057" s="567"/>
      <c r="DM1057" s="567"/>
      <c r="DN1057" s="567"/>
      <c r="DO1057" s="567"/>
      <c r="DP1057" s="567"/>
      <c r="DQ1057" s="567"/>
      <c r="DR1057" s="567"/>
      <c r="DS1057" s="567"/>
      <c r="DT1057" s="567"/>
      <c r="DU1057" s="567"/>
      <c r="DV1057" s="567"/>
      <c r="DW1057" s="567"/>
      <c r="DX1057" s="567"/>
      <c r="DY1057" s="567"/>
      <c r="DZ1057" s="567"/>
      <c r="EA1057" s="567"/>
      <c r="EB1057" s="567"/>
      <c r="EC1057" s="567"/>
      <c r="ED1057" s="567"/>
      <c r="EE1057" s="567"/>
      <c r="EF1057" s="567"/>
      <c r="EG1057" s="567"/>
      <c r="EH1057" s="567"/>
      <c r="EI1057" s="567"/>
      <c r="EJ1057" s="567"/>
      <c r="EK1057" s="567"/>
      <c r="EL1057" s="567"/>
      <c r="EM1057" s="567"/>
      <c r="EN1057" s="567"/>
      <c r="EO1057" s="567"/>
      <c r="EP1057" s="567"/>
      <c r="EQ1057" s="567"/>
      <c r="ER1057" s="567"/>
      <c r="ES1057" s="567"/>
      <c r="ET1057" s="567"/>
      <c r="EU1057" s="567"/>
      <c r="EV1057" s="567"/>
      <c r="EW1057" s="567"/>
      <c r="EX1057" s="567"/>
      <c r="EY1057" s="567"/>
      <c r="EZ1057" s="567"/>
      <c r="FA1057" s="567"/>
      <c r="FB1057" s="567"/>
      <c r="FC1057" s="567"/>
      <c r="FD1057" s="567"/>
      <c r="FE1057" s="567"/>
      <c r="FF1057" s="567"/>
      <c r="FG1057" s="567"/>
      <c r="FH1057" s="567"/>
      <c r="FI1057" s="567"/>
      <c r="FJ1057" s="567"/>
      <c r="FK1057" s="567"/>
      <c r="FL1057" s="567"/>
      <c r="FM1057" s="567"/>
      <c r="FN1057" s="567"/>
      <c r="FO1057" s="567"/>
      <c r="FP1057" s="567"/>
      <c r="FQ1057" s="567"/>
      <c r="FR1057" s="567"/>
      <c r="FS1057" s="567"/>
      <c r="FT1057" s="567"/>
      <c r="FU1057" s="567"/>
      <c r="FV1057" s="567"/>
      <c r="FW1057" s="567"/>
      <c r="FX1057" s="567"/>
    </row>
    <row r="1058">
      <c r="A1058" s="567"/>
      <c r="B1058" s="567"/>
      <c r="C1058" s="567"/>
      <c r="D1058" s="567"/>
      <c r="E1058" s="567"/>
      <c r="F1058" s="567"/>
      <c r="G1058" s="567"/>
      <c r="H1058" s="567"/>
      <c r="I1058" s="567"/>
      <c r="J1058" s="567"/>
      <c r="K1058" s="567"/>
      <c r="L1058" s="567"/>
      <c r="M1058" s="567"/>
      <c r="N1058" s="567"/>
      <c r="O1058" s="567"/>
      <c r="P1058" s="567"/>
      <c r="Q1058" s="567"/>
      <c r="R1058" s="567"/>
      <c r="S1058" s="567"/>
      <c r="T1058" s="567"/>
      <c r="U1058" s="567"/>
      <c r="V1058" s="567"/>
      <c r="W1058" s="567"/>
      <c r="X1058" s="567"/>
      <c r="Y1058" s="567"/>
      <c r="Z1058" s="567"/>
      <c r="AA1058" s="567"/>
      <c r="AB1058" s="567"/>
      <c r="AC1058" s="567"/>
      <c r="AD1058" s="567"/>
      <c r="AE1058" s="567"/>
      <c r="AF1058" s="567"/>
      <c r="AG1058" s="567"/>
      <c r="AH1058" s="567"/>
      <c r="AI1058" s="567"/>
      <c r="AJ1058" s="567"/>
      <c r="AK1058" s="567"/>
      <c r="AL1058" s="567"/>
      <c r="AM1058" s="567"/>
      <c r="AN1058" s="567"/>
      <c r="AO1058" s="567"/>
      <c r="AP1058" s="567"/>
      <c r="AQ1058" s="567"/>
      <c r="AR1058" s="567"/>
      <c r="AS1058" s="567"/>
      <c r="AT1058" s="567"/>
      <c r="AU1058" s="567"/>
      <c r="AV1058" s="567"/>
      <c r="AW1058" s="567"/>
      <c r="AX1058" s="567"/>
      <c r="AY1058" s="567"/>
      <c r="AZ1058" s="567"/>
      <c r="BA1058" s="567"/>
      <c r="BB1058" s="567"/>
      <c r="BC1058" s="567"/>
      <c r="BD1058" s="567"/>
      <c r="BE1058" s="567"/>
      <c r="BF1058" s="567"/>
      <c r="BG1058" s="567"/>
      <c r="BH1058" s="567"/>
      <c r="BI1058" s="567"/>
      <c r="BJ1058" s="567"/>
      <c r="BK1058" s="567"/>
      <c r="BL1058" s="567"/>
      <c r="BM1058" s="567"/>
      <c r="BN1058" s="567"/>
      <c r="BO1058" s="567"/>
      <c r="BP1058" s="567"/>
      <c r="BQ1058" s="567"/>
      <c r="BR1058" s="567"/>
      <c r="BS1058" s="567"/>
      <c r="BT1058" s="567"/>
      <c r="BU1058" s="567"/>
      <c r="BV1058" s="567"/>
      <c r="BW1058" s="567"/>
      <c r="BX1058" s="567"/>
      <c r="BY1058" s="567"/>
      <c r="BZ1058" s="567"/>
      <c r="CA1058" s="567"/>
      <c r="CB1058" s="567"/>
      <c r="CC1058" s="567"/>
      <c r="CD1058" s="567"/>
      <c r="CE1058" s="567"/>
      <c r="CF1058" s="567"/>
      <c r="CG1058" s="567"/>
      <c r="CH1058" s="567"/>
      <c r="CI1058" s="567"/>
      <c r="CJ1058" s="567"/>
      <c r="CK1058" s="567"/>
      <c r="CL1058" s="567"/>
      <c r="CM1058" s="567"/>
      <c r="CN1058" s="567"/>
      <c r="CO1058" s="567"/>
      <c r="CP1058" s="567"/>
      <c r="CQ1058" s="567"/>
      <c r="CR1058" s="567"/>
      <c r="CS1058" s="567"/>
      <c r="CT1058" s="567"/>
      <c r="CU1058" s="567"/>
      <c r="CV1058" s="567"/>
      <c r="CW1058" s="567"/>
      <c r="CX1058" s="567"/>
      <c r="CY1058" s="567"/>
      <c r="CZ1058" s="567"/>
      <c r="DA1058" s="567"/>
      <c r="DB1058" s="567"/>
      <c r="DC1058" s="567"/>
      <c r="DD1058" s="567"/>
      <c r="DE1058" s="567"/>
      <c r="DF1058" s="567"/>
      <c r="DG1058" s="567"/>
      <c r="DH1058" s="567"/>
      <c r="DI1058" s="567"/>
      <c r="DJ1058" s="567"/>
      <c r="DK1058" s="567"/>
      <c r="DL1058" s="567"/>
      <c r="DM1058" s="567"/>
      <c r="DN1058" s="567"/>
      <c r="DO1058" s="567"/>
      <c r="DP1058" s="567"/>
      <c r="DQ1058" s="567"/>
      <c r="DR1058" s="567"/>
      <c r="DS1058" s="567"/>
      <c r="DT1058" s="567"/>
      <c r="DU1058" s="567"/>
      <c r="DV1058" s="567"/>
      <c r="DW1058" s="567"/>
      <c r="DX1058" s="567"/>
      <c r="DY1058" s="567"/>
      <c r="DZ1058" s="567"/>
      <c r="EA1058" s="567"/>
      <c r="EB1058" s="567"/>
      <c r="EC1058" s="567"/>
      <c r="ED1058" s="567"/>
      <c r="EE1058" s="567"/>
      <c r="EF1058" s="567"/>
      <c r="EG1058" s="567"/>
      <c r="EH1058" s="567"/>
      <c r="EI1058" s="567"/>
      <c r="EJ1058" s="567"/>
      <c r="EK1058" s="567"/>
      <c r="EL1058" s="567"/>
      <c r="EM1058" s="567"/>
      <c r="EN1058" s="567"/>
      <c r="EO1058" s="567"/>
      <c r="EP1058" s="567"/>
      <c r="EQ1058" s="567"/>
      <c r="ER1058" s="567"/>
      <c r="ES1058" s="567"/>
      <c r="ET1058" s="567"/>
      <c r="EU1058" s="567"/>
      <c r="EV1058" s="567"/>
      <c r="EW1058" s="567"/>
      <c r="EX1058" s="567"/>
      <c r="EY1058" s="567"/>
      <c r="EZ1058" s="567"/>
      <c r="FA1058" s="567"/>
      <c r="FB1058" s="567"/>
      <c r="FC1058" s="567"/>
      <c r="FD1058" s="567"/>
      <c r="FE1058" s="567"/>
      <c r="FF1058" s="567"/>
      <c r="FG1058" s="567"/>
      <c r="FH1058" s="567"/>
      <c r="FI1058" s="567"/>
      <c r="FJ1058" s="567"/>
      <c r="FK1058" s="567"/>
      <c r="FL1058" s="567"/>
      <c r="FM1058" s="567"/>
      <c r="FN1058" s="567"/>
      <c r="FO1058" s="567"/>
      <c r="FP1058" s="567"/>
      <c r="FQ1058" s="567"/>
      <c r="FR1058" s="567"/>
      <c r="FS1058" s="567"/>
      <c r="FT1058" s="567"/>
      <c r="FU1058" s="567"/>
      <c r="FV1058" s="567"/>
      <c r="FW1058" s="567"/>
      <c r="FX1058" s="567"/>
    </row>
    <row r="1059">
      <c r="A1059" s="567"/>
      <c r="B1059" s="567"/>
      <c r="C1059" s="567"/>
      <c r="D1059" s="567"/>
      <c r="E1059" s="567"/>
      <c r="F1059" s="567"/>
      <c r="G1059" s="567"/>
      <c r="H1059" s="567"/>
      <c r="I1059" s="567"/>
      <c r="J1059" s="567"/>
      <c r="K1059" s="567"/>
      <c r="L1059" s="567"/>
      <c r="M1059" s="567"/>
      <c r="N1059" s="567"/>
      <c r="O1059" s="567"/>
      <c r="P1059" s="567"/>
      <c r="Q1059" s="567"/>
      <c r="R1059" s="567"/>
      <c r="S1059" s="567"/>
      <c r="T1059" s="567"/>
      <c r="U1059" s="567"/>
      <c r="V1059" s="567"/>
      <c r="W1059" s="567"/>
      <c r="X1059" s="567"/>
      <c r="Y1059" s="567"/>
      <c r="Z1059" s="567"/>
      <c r="AA1059" s="567"/>
      <c r="AB1059" s="567"/>
      <c r="AC1059" s="567"/>
      <c r="AD1059" s="567"/>
      <c r="AE1059" s="567"/>
      <c r="AF1059" s="567"/>
      <c r="AG1059" s="567"/>
      <c r="AH1059" s="567"/>
      <c r="AI1059" s="567"/>
      <c r="AJ1059" s="567"/>
      <c r="AK1059" s="567"/>
      <c r="AL1059" s="567"/>
      <c r="AM1059" s="567"/>
      <c r="AN1059" s="567"/>
      <c r="AO1059" s="567"/>
      <c r="AP1059" s="567"/>
      <c r="AQ1059" s="567"/>
      <c r="AR1059" s="567"/>
      <c r="AS1059" s="567"/>
      <c r="AT1059" s="567"/>
      <c r="AU1059" s="567"/>
      <c r="AV1059" s="567"/>
      <c r="AW1059" s="567"/>
      <c r="AX1059" s="567"/>
      <c r="AY1059" s="567"/>
      <c r="AZ1059" s="567"/>
      <c r="BA1059" s="567"/>
      <c r="BB1059" s="567"/>
      <c r="BC1059" s="567"/>
      <c r="BD1059" s="567"/>
      <c r="BE1059" s="567"/>
      <c r="BF1059" s="567"/>
      <c r="BG1059" s="567"/>
      <c r="BH1059" s="567"/>
      <c r="BI1059" s="567"/>
      <c r="BJ1059" s="567"/>
      <c r="BK1059" s="567"/>
      <c r="BL1059" s="567"/>
      <c r="BM1059" s="567"/>
      <c r="BN1059" s="567"/>
      <c r="BO1059" s="567"/>
      <c r="BP1059" s="567"/>
      <c r="BQ1059" s="567"/>
      <c r="BR1059" s="567"/>
      <c r="BS1059" s="567"/>
      <c r="BT1059" s="567"/>
      <c r="BU1059" s="567"/>
      <c r="BV1059" s="567"/>
      <c r="BW1059" s="567"/>
      <c r="BX1059" s="567"/>
      <c r="BY1059" s="567"/>
      <c r="BZ1059" s="567"/>
      <c r="CA1059" s="567"/>
      <c r="CB1059" s="567"/>
      <c r="CC1059" s="567"/>
      <c r="CD1059" s="567"/>
      <c r="CE1059" s="567"/>
      <c r="CF1059" s="567"/>
      <c r="CG1059" s="567"/>
      <c r="CH1059" s="567"/>
      <c r="CI1059" s="567"/>
      <c r="CJ1059" s="567"/>
      <c r="CK1059" s="567"/>
      <c r="CL1059" s="567"/>
      <c r="CM1059" s="567"/>
      <c r="CN1059" s="567"/>
      <c r="CO1059" s="567"/>
      <c r="CP1059" s="567"/>
      <c r="CQ1059" s="567"/>
      <c r="CR1059" s="567"/>
      <c r="CS1059" s="567"/>
      <c r="CT1059" s="567"/>
      <c r="CU1059" s="567"/>
      <c r="CV1059" s="567"/>
      <c r="CW1059" s="567"/>
      <c r="CX1059" s="567"/>
      <c r="CY1059" s="567"/>
      <c r="CZ1059" s="567"/>
      <c r="DA1059" s="567"/>
      <c r="DB1059" s="567"/>
      <c r="DC1059" s="567"/>
      <c r="DD1059" s="567"/>
      <c r="DE1059" s="567"/>
      <c r="DF1059" s="567"/>
      <c r="DG1059" s="567"/>
      <c r="DH1059" s="567"/>
      <c r="DI1059" s="567"/>
      <c r="DJ1059" s="567"/>
      <c r="DK1059" s="567"/>
      <c r="DL1059" s="567"/>
      <c r="DM1059" s="567"/>
      <c r="DN1059" s="567"/>
      <c r="DO1059" s="567"/>
      <c r="DP1059" s="567"/>
      <c r="DQ1059" s="567"/>
      <c r="DR1059" s="567"/>
      <c r="DS1059" s="567"/>
      <c r="DT1059" s="567"/>
      <c r="DU1059" s="567"/>
      <c r="DV1059" s="567"/>
      <c r="DW1059" s="567"/>
      <c r="DX1059" s="567"/>
      <c r="DY1059" s="567"/>
      <c r="DZ1059" s="567"/>
      <c r="EA1059" s="567"/>
      <c r="EB1059" s="567"/>
      <c r="EC1059" s="567"/>
      <c r="ED1059" s="567"/>
      <c r="EE1059" s="567"/>
      <c r="EF1059" s="567"/>
      <c r="EG1059" s="567"/>
      <c r="EH1059" s="567"/>
      <c r="EI1059" s="567"/>
      <c r="EJ1059" s="567"/>
      <c r="EK1059" s="567"/>
      <c r="EL1059" s="567"/>
      <c r="EM1059" s="567"/>
      <c r="EN1059" s="567"/>
      <c r="EO1059" s="567"/>
      <c r="EP1059" s="567"/>
      <c r="EQ1059" s="567"/>
      <c r="ER1059" s="567"/>
      <c r="ES1059" s="567"/>
      <c r="ET1059" s="567"/>
      <c r="EU1059" s="567"/>
      <c r="EV1059" s="567"/>
      <c r="EW1059" s="567"/>
      <c r="EX1059" s="567"/>
      <c r="EY1059" s="567"/>
      <c r="EZ1059" s="567"/>
      <c r="FA1059" s="567"/>
      <c r="FB1059" s="567"/>
      <c r="FC1059" s="567"/>
      <c r="FD1059" s="567"/>
      <c r="FE1059" s="567"/>
      <c r="FF1059" s="567"/>
      <c r="FG1059" s="567"/>
      <c r="FH1059" s="567"/>
      <c r="FI1059" s="567"/>
      <c r="FJ1059" s="567"/>
      <c r="FK1059" s="567"/>
      <c r="FL1059" s="567"/>
      <c r="FM1059" s="567"/>
      <c r="FN1059" s="567"/>
      <c r="FO1059" s="567"/>
      <c r="FP1059" s="567"/>
      <c r="FQ1059" s="567"/>
      <c r="FR1059" s="567"/>
      <c r="FS1059" s="567"/>
      <c r="FT1059" s="567"/>
      <c r="FU1059" s="567"/>
      <c r="FV1059" s="567"/>
      <c r="FW1059" s="567"/>
      <c r="FX1059" s="567"/>
    </row>
    <row r="1060">
      <c r="A1060" s="567"/>
      <c r="B1060" s="567"/>
      <c r="C1060" s="567"/>
      <c r="D1060" s="567"/>
      <c r="E1060" s="567"/>
      <c r="F1060" s="567"/>
      <c r="G1060" s="567"/>
      <c r="H1060" s="567"/>
      <c r="I1060" s="567"/>
      <c r="J1060" s="567"/>
      <c r="K1060" s="567"/>
      <c r="L1060" s="567"/>
      <c r="M1060" s="567"/>
      <c r="N1060" s="567"/>
      <c r="O1060" s="567"/>
      <c r="P1060" s="567"/>
      <c r="Q1060" s="567"/>
      <c r="R1060" s="567"/>
      <c r="S1060" s="567"/>
      <c r="T1060" s="567"/>
      <c r="U1060" s="567"/>
      <c r="V1060" s="567"/>
      <c r="W1060" s="567"/>
      <c r="X1060" s="567"/>
      <c r="Y1060" s="567"/>
      <c r="Z1060" s="567"/>
      <c r="AA1060" s="567"/>
      <c r="AB1060" s="567"/>
      <c r="AC1060" s="567"/>
      <c r="AD1060" s="567"/>
      <c r="AE1060" s="567"/>
      <c r="AF1060" s="567"/>
      <c r="AG1060" s="567"/>
      <c r="AH1060" s="567"/>
      <c r="AI1060" s="567"/>
      <c r="AJ1060" s="567"/>
      <c r="AK1060" s="567"/>
      <c r="AL1060" s="567"/>
      <c r="AM1060" s="567"/>
      <c r="AN1060" s="567"/>
      <c r="AO1060" s="567"/>
      <c r="AP1060" s="567"/>
      <c r="AQ1060" s="567"/>
      <c r="AR1060" s="567"/>
      <c r="AS1060" s="567"/>
      <c r="AT1060" s="567"/>
      <c r="AU1060" s="567"/>
      <c r="AV1060" s="567"/>
      <c r="AW1060" s="567"/>
      <c r="AX1060" s="567"/>
      <c r="AY1060" s="567"/>
      <c r="AZ1060" s="567"/>
      <c r="BA1060" s="567"/>
      <c r="BB1060" s="567"/>
      <c r="BC1060" s="567"/>
      <c r="BD1060" s="567"/>
      <c r="BE1060" s="567"/>
      <c r="BF1060" s="567"/>
      <c r="BG1060" s="567"/>
      <c r="BH1060" s="567"/>
      <c r="BI1060" s="567"/>
      <c r="BJ1060" s="567"/>
      <c r="BK1060" s="567"/>
      <c r="BL1060" s="567"/>
      <c r="BM1060" s="567"/>
      <c r="BN1060" s="567"/>
      <c r="BO1060" s="567"/>
      <c r="BP1060" s="567"/>
      <c r="BQ1060" s="567"/>
      <c r="BR1060" s="567"/>
      <c r="BS1060" s="567"/>
      <c r="BT1060" s="567"/>
      <c r="BU1060" s="567"/>
      <c r="BV1060" s="567"/>
      <c r="BW1060" s="567"/>
      <c r="BX1060" s="567"/>
      <c r="BY1060" s="567"/>
      <c r="BZ1060" s="567"/>
      <c r="CA1060" s="567"/>
      <c r="CB1060" s="567"/>
      <c r="CC1060" s="567"/>
      <c r="CD1060" s="567"/>
      <c r="CE1060" s="567"/>
      <c r="CF1060" s="567"/>
      <c r="CG1060" s="567"/>
      <c r="CH1060" s="567"/>
      <c r="CI1060" s="567"/>
      <c r="CJ1060" s="567"/>
      <c r="CK1060" s="567"/>
      <c r="CL1060" s="567"/>
      <c r="CM1060" s="567"/>
      <c r="CN1060" s="567"/>
      <c r="CO1060" s="567"/>
      <c r="CP1060" s="567"/>
      <c r="CQ1060" s="567"/>
      <c r="CR1060" s="567"/>
      <c r="CS1060" s="567"/>
      <c r="CT1060" s="567"/>
      <c r="CU1060" s="567"/>
      <c r="CV1060" s="567"/>
      <c r="CW1060" s="567"/>
      <c r="CX1060" s="567"/>
      <c r="CY1060" s="567"/>
      <c r="CZ1060" s="567"/>
      <c r="DA1060" s="567"/>
      <c r="DB1060" s="567"/>
      <c r="DC1060" s="567"/>
      <c r="DD1060" s="567"/>
      <c r="DE1060" s="567"/>
      <c r="DF1060" s="567"/>
      <c r="DG1060" s="567"/>
      <c r="DH1060" s="567"/>
      <c r="DI1060" s="567"/>
      <c r="DJ1060" s="567"/>
      <c r="DK1060" s="567"/>
      <c r="DL1060" s="567"/>
      <c r="DM1060" s="567"/>
      <c r="DN1060" s="567"/>
      <c r="DO1060" s="567"/>
      <c r="DP1060" s="567"/>
      <c r="DQ1060" s="567"/>
      <c r="DR1060" s="567"/>
      <c r="DS1060" s="567"/>
      <c r="DT1060" s="567"/>
      <c r="DU1060" s="567"/>
      <c r="DV1060" s="567"/>
      <c r="DW1060" s="567"/>
      <c r="DX1060" s="567"/>
      <c r="DY1060" s="567"/>
      <c r="DZ1060" s="567"/>
      <c r="EA1060" s="567"/>
      <c r="EB1060" s="567"/>
      <c r="EC1060" s="567"/>
      <c r="ED1060" s="567"/>
      <c r="EE1060" s="567"/>
      <c r="EF1060" s="567"/>
      <c r="EG1060" s="567"/>
      <c r="EH1060" s="567"/>
      <c r="EI1060" s="567"/>
      <c r="EJ1060" s="567"/>
      <c r="EK1060" s="567"/>
      <c r="EL1060" s="567"/>
      <c r="EM1060" s="567"/>
      <c r="EN1060" s="567"/>
      <c r="EO1060" s="567"/>
      <c r="EP1060" s="567"/>
      <c r="EQ1060" s="567"/>
      <c r="ER1060" s="567"/>
      <c r="ES1060" s="567"/>
      <c r="ET1060" s="567"/>
      <c r="EU1060" s="567"/>
      <c r="EV1060" s="567"/>
      <c r="EW1060" s="567"/>
      <c r="EX1060" s="567"/>
      <c r="EY1060" s="567"/>
      <c r="EZ1060" s="567"/>
      <c r="FA1060" s="567"/>
      <c r="FB1060" s="567"/>
      <c r="FC1060" s="567"/>
      <c r="FD1060" s="567"/>
      <c r="FE1060" s="567"/>
      <c r="FF1060" s="567"/>
      <c r="FG1060" s="567"/>
      <c r="FH1060" s="567"/>
      <c r="FI1060" s="567"/>
      <c r="FJ1060" s="567"/>
      <c r="FK1060" s="567"/>
      <c r="FL1060" s="567"/>
      <c r="FM1060" s="567"/>
      <c r="FN1060" s="567"/>
      <c r="FO1060" s="567"/>
      <c r="FP1060" s="567"/>
      <c r="FQ1060" s="567"/>
      <c r="FR1060" s="567"/>
      <c r="FS1060" s="567"/>
      <c r="FT1060" s="567"/>
      <c r="FU1060" s="567"/>
      <c r="FV1060" s="567"/>
      <c r="FW1060" s="567"/>
      <c r="FX1060" s="567"/>
    </row>
    <row r="1061">
      <c r="A1061" s="567"/>
      <c r="B1061" s="567"/>
      <c r="C1061" s="567"/>
      <c r="D1061" s="567"/>
      <c r="E1061" s="567"/>
      <c r="F1061" s="567"/>
      <c r="G1061" s="567"/>
      <c r="H1061" s="567"/>
      <c r="I1061" s="567"/>
      <c r="J1061" s="567"/>
      <c r="K1061" s="567"/>
      <c r="L1061" s="567"/>
      <c r="M1061" s="567"/>
      <c r="N1061" s="567"/>
      <c r="O1061" s="567"/>
      <c r="P1061" s="567"/>
      <c r="Q1061" s="567"/>
      <c r="R1061" s="567"/>
      <c r="S1061" s="567"/>
      <c r="T1061" s="567"/>
      <c r="U1061" s="567"/>
      <c r="V1061" s="567"/>
      <c r="W1061" s="567"/>
      <c r="X1061" s="567"/>
      <c r="Y1061" s="567"/>
      <c r="Z1061" s="567"/>
      <c r="AA1061" s="567"/>
      <c r="AB1061" s="567"/>
      <c r="AC1061" s="567"/>
      <c r="AD1061" s="567"/>
      <c r="AE1061" s="567"/>
      <c r="AF1061" s="567"/>
      <c r="AG1061" s="567"/>
      <c r="AH1061" s="567"/>
      <c r="AI1061" s="567"/>
      <c r="AJ1061" s="567"/>
      <c r="AK1061" s="567"/>
      <c r="AL1061" s="567"/>
      <c r="AM1061" s="567"/>
      <c r="AN1061" s="567"/>
      <c r="AO1061" s="567"/>
      <c r="AP1061" s="567"/>
      <c r="AQ1061" s="567"/>
      <c r="AR1061" s="567"/>
      <c r="AS1061" s="567"/>
      <c r="AT1061" s="567"/>
      <c r="AU1061" s="567"/>
      <c r="AV1061" s="567"/>
      <c r="AW1061" s="567"/>
      <c r="AX1061" s="567"/>
      <c r="AY1061" s="567"/>
      <c r="AZ1061" s="567"/>
      <c r="BA1061" s="567"/>
      <c r="BB1061" s="567"/>
      <c r="BC1061" s="567"/>
      <c r="BD1061" s="567"/>
      <c r="BE1061" s="567"/>
      <c r="BF1061" s="567"/>
      <c r="BG1061" s="567"/>
      <c r="BH1061" s="567"/>
      <c r="BI1061" s="567"/>
      <c r="BJ1061" s="567"/>
      <c r="BK1061" s="567"/>
      <c r="BL1061" s="567"/>
      <c r="BM1061" s="567"/>
      <c r="BN1061" s="567"/>
      <c r="BO1061" s="567"/>
      <c r="BP1061" s="567"/>
      <c r="BQ1061" s="567"/>
      <c r="BR1061" s="567"/>
      <c r="BS1061" s="567"/>
      <c r="BT1061" s="567"/>
      <c r="BU1061" s="567"/>
      <c r="BV1061" s="567"/>
      <c r="BW1061" s="567"/>
      <c r="BX1061" s="567"/>
      <c r="BY1061" s="567"/>
      <c r="BZ1061" s="567"/>
      <c r="CA1061" s="567"/>
      <c r="CB1061" s="567"/>
      <c r="CC1061" s="567"/>
      <c r="CD1061" s="567"/>
      <c r="CE1061" s="567"/>
      <c r="CF1061" s="567"/>
      <c r="CG1061" s="567"/>
      <c r="CH1061" s="567"/>
      <c r="CI1061" s="567"/>
      <c r="CJ1061" s="567"/>
      <c r="CK1061" s="567"/>
      <c r="CL1061" s="567"/>
      <c r="CM1061" s="567"/>
      <c r="CN1061" s="567"/>
      <c r="CO1061" s="567"/>
      <c r="CP1061" s="567"/>
      <c r="CQ1061" s="567"/>
      <c r="CR1061" s="567"/>
      <c r="CS1061" s="567"/>
      <c r="CT1061" s="567"/>
      <c r="CU1061" s="567"/>
      <c r="CV1061" s="567"/>
      <c r="CW1061" s="567"/>
      <c r="CX1061" s="567"/>
      <c r="CY1061" s="567"/>
      <c r="CZ1061" s="567"/>
      <c r="DA1061" s="567"/>
      <c r="DB1061" s="567"/>
      <c r="DC1061" s="567"/>
      <c r="DD1061" s="567"/>
      <c r="DE1061" s="567"/>
      <c r="DF1061" s="567"/>
      <c r="DG1061" s="567"/>
      <c r="DH1061" s="567"/>
      <c r="DI1061" s="567"/>
      <c r="DJ1061" s="567"/>
      <c r="DK1061" s="567"/>
      <c r="DL1061" s="567"/>
      <c r="DM1061" s="567"/>
      <c r="DN1061" s="567"/>
      <c r="DO1061" s="567"/>
      <c r="DP1061" s="567"/>
      <c r="DQ1061" s="567"/>
      <c r="DR1061" s="567"/>
      <c r="DS1061" s="567"/>
      <c r="DT1061" s="567"/>
      <c r="DU1061" s="567"/>
      <c r="DV1061" s="567"/>
      <c r="DW1061" s="567"/>
      <c r="DX1061" s="567"/>
      <c r="DY1061" s="567"/>
      <c r="DZ1061" s="567"/>
      <c r="EA1061" s="567"/>
      <c r="EB1061" s="567"/>
      <c r="EC1061" s="567"/>
      <c r="ED1061" s="567"/>
      <c r="EE1061" s="567"/>
      <c r="EF1061" s="567"/>
      <c r="EG1061" s="567"/>
      <c r="EH1061" s="567"/>
      <c r="EI1061" s="567"/>
      <c r="EJ1061" s="567"/>
      <c r="EK1061" s="567"/>
      <c r="EL1061" s="567"/>
      <c r="EM1061" s="567"/>
      <c r="EN1061" s="567"/>
      <c r="EO1061" s="567"/>
      <c r="EP1061" s="567"/>
      <c r="EQ1061" s="567"/>
      <c r="ER1061" s="567"/>
      <c r="ES1061" s="567"/>
      <c r="ET1061" s="567"/>
      <c r="EU1061" s="567"/>
      <c r="EV1061" s="567"/>
      <c r="EW1061" s="567"/>
      <c r="EX1061" s="567"/>
      <c r="EY1061" s="567"/>
      <c r="EZ1061" s="567"/>
      <c r="FA1061" s="567"/>
      <c r="FB1061" s="567"/>
      <c r="FC1061" s="567"/>
      <c r="FD1061" s="567"/>
      <c r="FE1061" s="567"/>
      <c r="FF1061" s="567"/>
      <c r="FG1061" s="567"/>
      <c r="FH1061" s="567"/>
      <c r="FI1061" s="567"/>
      <c r="FJ1061" s="567"/>
      <c r="FK1061" s="567"/>
      <c r="FL1061" s="567"/>
      <c r="FM1061" s="567"/>
      <c r="FN1061" s="567"/>
      <c r="FO1061" s="567"/>
      <c r="FP1061" s="567"/>
      <c r="FQ1061" s="567"/>
      <c r="FR1061" s="567"/>
      <c r="FS1061" s="567"/>
      <c r="FT1061" s="567"/>
      <c r="FU1061" s="567"/>
      <c r="FV1061" s="567"/>
      <c r="FW1061" s="567"/>
      <c r="FX1061" s="567"/>
    </row>
    <row r="1062">
      <c r="A1062" s="567"/>
      <c r="B1062" s="567"/>
      <c r="C1062" s="567"/>
      <c r="D1062" s="567"/>
      <c r="E1062" s="567"/>
      <c r="F1062" s="567"/>
      <c r="G1062" s="567"/>
      <c r="H1062" s="567"/>
      <c r="I1062" s="567"/>
      <c r="J1062" s="567"/>
      <c r="K1062" s="567"/>
      <c r="L1062" s="567"/>
      <c r="M1062" s="567"/>
      <c r="N1062" s="567"/>
      <c r="O1062" s="567"/>
      <c r="P1062" s="567"/>
      <c r="Q1062" s="567"/>
      <c r="R1062" s="567"/>
      <c r="S1062" s="567"/>
      <c r="T1062" s="567"/>
      <c r="U1062" s="567"/>
      <c r="V1062" s="567"/>
      <c r="W1062" s="567"/>
      <c r="X1062" s="567"/>
      <c r="Y1062" s="567"/>
      <c r="Z1062" s="567"/>
      <c r="AA1062" s="567"/>
      <c r="AB1062" s="567"/>
      <c r="AC1062" s="567"/>
      <c r="AD1062" s="567"/>
      <c r="AE1062" s="567"/>
      <c r="AF1062" s="567"/>
      <c r="AG1062" s="567"/>
      <c r="AH1062" s="567"/>
      <c r="AI1062" s="567"/>
      <c r="AJ1062" s="567"/>
      <c r="AK1062" s="567"/>
      <c r="AL1062" s="567"/>
      <c r="AM1062" s="567"/>
      <c r="AN1062" s="567"/>
      <c r="AO1062" s="567"/>
      <c r="AP1062" s="567"/>
      <c r="AQ1062" s="567"/>
      <c r="AR1062" s="567"/>
      <c r="AS1062" s="567"/>
      <c r="AT1062" s="567"/>
      <c r="AU1062" s="567"/>
      <c r="AV1062" s="567"/>
      <c r="AW1062" s="567"/>
      <c r="AX1062" s="567"/>
      <c r="AY1062" s="567"/>
      <c r="AZ1062" s="567"/>
      <c r="BA1062" s="567"/>
      <c r="BB1062" s="567"/>
      <c r="BC1062" s="567"/>
      <c r="BD1062" s="567"/>
      <c r="BE1062" s="567"/>
      <c r="BF1062" s="567"/>
      <c r="BG1062" s="567"/>
      <c r="BH1062" s="567"/>
      <c r="BI1062" s="567"/>
      <c r="BJ1062" s="567"/>
      <c r="BK1062" s="567"/>
      <c r="BL1062" s="567"/>
      <c r="BM1062" s="567"/>
      <c r="BN1062" s="567"/>
      <c r="BO1062" s="567"/>
      <c r="BP1062" s="567"/>
      <c r="BQ1062" s="567"/>
      <c r="BR1062" s="567"/>
      <c r="BS1062" s="567"/>
      <c r="BT1062" s="567"/>
      <c r="BU1062" s="567"/>
      <c r="BV1062" s="567"/>
      <c r="BW1062" s="567"/>
      <c r="BX1062" s="567"/>
      <c r="BY1062" s="567"/>
      <c r="BZ1062" s="567"/>
      <c r="CA1062" s="567"/>
      <c r="CB1062" s="567"/>
      <c r="CC1062" s="567"/>
      <c r="CD1062" s="567"/>
      <c r="CE1062" s="567"/>
      <c r="CF1062" s="567"/>
      <c r="CG1062" s="567"/>
      <c r="CH1062" s="567"/>
      <c r="CI1062" s="567"/>
      <c r="CJ1062" s="567"/>
      <c r="CK1062" s="567"/>
      <c r="CL1062" s="567"/>
      <c r="CM1062" s="567"/>
      <c r="CN1062" s="567"/>
      <c r="CO1062" s="567"/>
      <c r="CP1062" s="567"/>
      <c r="CQ1062" s="567"/>
      <c r="CR1062" s="567"/>
      <c r="CS1062" s="567"/>
      <c r="CT1062" s="567"/>
      <c r="CU1062" s="567"/>
      <c r="CV1062" s="567"/>
      <c r="CW1062" s="567"/>
      <c r="CX1062" s="567"/>
      <c r="CY1062" s="567"/>
      <c r="CZ1062" s="567"/>
      <c r="DA1062" s="567"/>
      <c r="DB1062" s="567"/>
      <c r="DC1062" s="567"/>
      <c r="DD1062" s="567"/>
      <c r="DE1062" s="567"/>
      <c r="DF1062" s="567"/>
      <c r="DG1062" s="567"/>
      <c r="DH1062" s="567"/>
      <c r="DI1062" s="567"/>
      <c r="DJ1062" s="567"/>
      <c r="DK1062" s="567"/>
      <c r="DL1062" s="567"/>
      <c r="DM1062" s="567"/>
      <c r="DN1062" s="567"/>
      <c r="DO1062" s="567"/>
      <c r="DP1062" s="567"/>
      <c r="DQ1062" s="567"/>
      <c r="DR1062" s="567"/>
      <c r="DS1062" s="567"/>
      <c r="DT1062" s="567"/>
      <c r="DU1062" s="567"/>
      <c r="DV1062" s="567"/>
      <c r="DW1062" s="567"/>
      <c r="DX1062" s="567"/>
      <c r="DY1062" s="567"/>
      <c r="DZ1062" s="567"/>
      <c r="EA1062" s="567"/>
      <c r="EB1062" s="567"/>
      <c r="EC1062" s="567"/>
      <c r="ED1062" s="567"/>
      <c r="EE1062" s="567"/>
      <c r="EF1062" s="567"/>
      <c r="EG1062" s="567"/>
      <c r="EH1062" s="567"/>
      <c r="EI1062" s="567"/>
      <c r="EJ1062" s="567"/>
      <c r="EK1062" s="567"/>
      <c r="EL1062" s="567"/>
      <c r="EM1062" s="567"/>
      <c r="EN1062" s="567"/>
      <c r="EO1062" s="567"/>
      <c r="EP1062" s="567"/>
      <c r="EQ1062" s="567"/>
      <c r="ER1062" s="567"/>
      <c r="ES1062" s="567"/>
      <c r="ET1062" s="567"/>
      <c r="EU1062" s="567"/>
      <c r="EV1062" s="567"/>
      <c r="EW1062" s="567"/>
      <c r="EX1062" s="567"/>
      <c r="EY1062" s="567"/>
      <c r="EZ1062" s="567"/>
      <c r="FA1062" s="567"/>
      <c r="FB1062" s="567"/>
      <c r="FC1062" s="567"/>
      <c r="FD1062" s="567"/>
      <c r="FE1062" s="567"/>
      <c r="FF1062" s="567"/>
      <c r="FG1062" s="567"/>
      <c r="FH1062" s="567"/>
      <c r="FI1062" s="567"/>
      <c r="FJ1062" s="567"/>
      <c r="FK1062" s="567"/>
      <c r="FL1062" s="567"/>
      <c r="FM1062" s="567"/>
      <c r="FN1062" s="567"/>
      <c r="FO1062" s="567"/>
      <c r="FP1062" s="567"/>
      <c r="FQ1062" s="567"/>
      <c r="FR1062" s="567"/>
      <c r="FS1062" s="567"/>
      <c r="FT1062" s="567"/>
      <c r="FU1062" s="567"/>
      <c r="FV1062" s="567"/>
      <c r="FW1062" s="567"/>
      <c r="FX1062" s="567"/>
    </row>
    <row r="1063">
      <c r="A1063" s="567"/>
      <c r="B1063" s="567"/>
      <c r="C1063" s="567"/>
      <c r="D1063" s="567"/>
      <c r="E1063" s="567"/>
      <c r="F1063" s="567"/>
      <c r="G1063" s="567"/>
      <c r="H1063" s="567"/>
      <c r="I1063" s="567"/>
      <c r="J1063" s="567"/>
      <c r="K1063" s="567"/>
      <c r="L1063" s="567"/>
      <c r="M1063" s="567"/>
      <c r="N1063" s="567"/>
      <c r="O1063" s="567"/>
      <c r="P1063" s="567"/>
      <c r="Q1063" s="567"/>
      <c r="R1063" s="567"/>
      <c r="S1063" s="567"/>
      <c r="T1063" s="567"/>
      <c r="U1063" s="567"/>
      <c r="V1063" s="567"/>
      <c r="W1063" s="567"/>
      <c r="X1063" s="567"/>
      <c r="Y1063" s="567"/>
      <c r="Z1063" s="567"/>
      <c r="AA1063" s="567"/>
      <c r="AB1063" s="567"/>
      <c r="AC1063" s="567"/>
      <c r="AD1063" s="567"/>
      <c r="AE1063" s="567"/>
      <c r="AF1063" s="567"/>
      <c r="AG1063" s="567"/>
      <c r="AH1063" s="567"/>
      <c r="AI1063" s="567"/>
      <c r="AJ1063" s="567"/>
      <c r="AK1063" s="567"/>
      <c r="AL1063" s="567"/>
      <c r="AM1063" s="567"/>
      <c r="AN1063" s="567"/>
      <c r="AO1063" s="567"/>
      <c r="AP1063" s="567"/>
      <c r="AQ1063" s="567"/>
      <c r="AR1063" s="567"/>
      <c r="AS1063" s="567"/>
      <c r="AT1063" s="567"/>
      <c r="AU1063" s="567"/>
      <c r="AV1063" s="567"/>
      <c r="AW1063" s="567"/>
      <c r="AX1063" s="567"/>
      <c r="AY1063" s="567"/>
      <c r="AZ1063" s="567"/>
      <c r="BA1063" s="567"/>
      <c r="BB1063" s="567"/>
      <c r="BC1063" s="567"/>
      <c r="BD1063" s="567"/>
      <c r="BE1063" s="567"/>
      <c r="BF1063" s="567"/>
      <c r="BG1063" s="567"/>
      <c r="BH1063" s="567"/>
      <c r="BI1063" s="567"/>
      <c r="BJ1063" s="567"/>
      <c r="BK1063" s="567"/>
      <c r="BL1063" s="567"/>
      <c r="BM1063" s="567"/>
      <c r="BN1063" s="567"/>
      <c r="BO1063" s="567"/>
      <c r="BP1063" s="567"/>
      <c r="BQ1063" s="567"/>
      <c r="BR1063" s="567"/>
      <c r="BS1063" s="567"/>
      <c r="BT1063" s="567"/>
      <c r="BU1063" s="567"/>
      <c r="BV1063" s="567"/>
      <c r="BW1063" s="567"/>
      <c r="BX1063" s="567"/>
      <c r="BY1063" s="567"/>
      <c r="BZ1063" s="567"/>
      <c r="CA1063" s="567"/>
      <c r="CB1063" s="567"/>
      <c r="CC1063" s="567"/>
      <c r="CD1063" s="567"/>
      <c r="CE1063" s="567"/>
      <c r="CF1063" s="567"/>
      <c r="CG1063" s="567"/>
      <c r="CH1063" s="567"/>
      <c r="CI1063" s="567"/>
      <c r="CJ1063" s="567"/>
      <c r="CK1063" s="567"/>
      <c r="CL1063" s="567"/>
      <c r="CM1063" s="567"/>
      <c r="CN1063" s="567"/>
      <c r="CO1063" s="567"/>
      <c r="CP1063" s="567"/>
      <c r="CQ1063" s="567"/>
      <c r="CR1063" s="567"/>
      <c r="CS1063" s="567"/>
      <c r="CT1063" s="567"/>
      <c r="CU1063" s="567"/>
      <c r="CV1063" s="567"/>
      <c r="CW1063" s="567"/>
      <c r="CX1063" s="567"/>
      <c r="CY1063" s="567"/>
      <c r="CZ1063" s="567"/>
      <c r="DA1063" s="567"/>
      <c r="DB1063" s="567"/>
      <c r="DC1063" s="567"/>
      <c r="DD1063" s="567"/>
      <c r="DE1063" s="567"/>
      <c r="DF1063" s="567"/>
      <c r="DG1063" s="567"/>
      <c r="DH1063" s="567"/>
      <c r="DI1063" s="567"/>
      <c r="DJ1063" s="567"/>
      <c r="DK1063" s="567"/>
      <c r="DL1063" s="567"/>
      <c r="DM1063" s="567"/>
      <c r="DN1063" s="567"/>
      <c r="DO1063" s="567"/>
      <c r="DP1063" s="567"/>
      <c r="DQ1063" s="567"/>
      <c r="DR1063" s="567"/>
      <c r="DS1063" s="567"/>
      <c r="DT1063" s="567"/>
      <c r="DU1063" s="567"/>
      <c r="DV1063" s="567"/>
      <c r="DW1063" s="567"/>
      <c r="DX1063" s="567"/>
      <c r="DY1063" s="567"/>
      <c r="DZ1063" s="567"/>
      <c r="EA1063" s="567"/>
      <c r="EB1063" s="567"/>
      <c r="EC1063" s="567"/>
      <c r="ED1063" s="567"/>
      <c r="EE1063" s="567"/>
      <c r="EF1063" s="567"/>
      <c r="EG1063" s="567"/>
      <c r="EH1063" s="567"/>
      <c r="EI1063" s="567"/>
      <c r="EJ1063" s="567"/>
      <c r="EK1063" s="567"/>
      <c r="EL1063" s="567"/>
      <c r="EM1063" s="567"/>
      <c r="EN1063" s="567"/>
      <c r="EO1063" s="567"/>
      <c r="EP1063" s="567"/>
      <c r="EQ1063" s="567"/>
      <c r="ER1063" s="567"/>
      <c r="ES1063" s="567"/>
      <c r="ET1063" s="567"/>
      <c r="EU1063" s="567"/>
      <c r="EV1063" s="567"/>
      <c r="EW1063" s="567"/>
      <c r="EX1063" s="567"/>
      <c r="EY1063" s="567"/>
      <c r="EZ1063" s="567"/>
      <c r="FA1063" s="567"/>
      <c r="FB1063" s="567"/>
      <c r="FC1063" s="567"/>
      <c r="FD1063" s="567"/>
      <c r="FE1063" s="567"/>
      <c r="FF1063" s="567"/>
      <c r="FG1063" s="567"/>
      <c r="FH1063" s="567"/>
      <c r="FI1063" s="567"/>
      <c r="FJ1063" s="567"/>
      <c r="FK1063" s="567"/>
      <c r="FL1063" s="567"/>
      <c r="FM1063" s="567"/>
      <c r="FN1063" s="567"/>
      <c r="FO1063" s="567"/>
      <c r="FP1063" s="567"/>
      <c r="FQ1063" s="567"/>
      <c r="FR1063" s="567"/>
      <c r="FS1063" s="567"/>
      <c r="FT1063" s="567"/>
      <c r="FU1063" s="567"/>
      <c r="FV1063" s="567"/>
      <c r="FW1063" s="567"/>
      <c r="FX1063" s="567"/>
    </row>
  </sheetData>
  <mergeCells count="57">
    <mergeCell ref="A42:C42"/>
    <mergeCell ref="A46:B47"/>
    <mergeCell ref="A51:B51"/>
    <mergeCell ref="A52:A54"/>
    <mergeCell ref="A56:B56"/>
    <mergeCell ref="A59:B59"/>
    <mergeCell ref="A60:B60"/>
    <mergeCell ref="A86:C86"/>
    <mergeCell ref="A87:A88"/>
    <mergeCell ref="A89:C89"/>
    <mergeCell ref="A90:C90"/>
    <mergeCell ref="A91:C91"/>
    <mergeCell ref="A92:C92"/>
    <mergeCell ref="A94:C94"/>
    <mergeCell ref="A95:C95"/>
    <mergeCell ref="A62:B62"/>
    <mergeCell ref="A63:B63"/>
    <mergeCell ref="A65:B65"/>
    <mergeCell ref="A66:B66"/>
    <mergeCell ref="A69:C70"/>
    <mergeCell ref="B73:C73"/>
    <mergeCell ref="A75:C75"/>
    <mergeCell ref="AT1:BE1"/>
    <mergeCell ref="BF1:BQ1"/>
    <mergeCell ref="BR1:CC1"/>
    <mergeCell ref="CD1:CO1"/>
    <mergeCell ref="CP1:DA1"/>
    <mergeCell ref="A1:A2"/>
    <mergeCell ref="B1:C2"/>
    <mergeCell ref="D1:F1"/>
    <mergeCell ref="G1:I1"/>
    <mergeCell ref="J1:U1"/>
    <mergeCell ref="V1:AG1"/>
    <mergeCell ref="AH1:AS1"/>
    <mergeCell ref="B20:B24"/>
    <mergeCell ref="B26:B27"/>
    <mergeCell ref="A28:C28"/>
    <mergeCell ref="A29:C29"/>
    <mergeCell ref="G29:CO29"/>
    <mergeCell ref="CP29:FX29"/>
    <mergeCell ref="A3:C4"/>
    <mergeCell ref="A5:C5"/>
    <mergeCell ref="A6:C6"/>
    <mergeCell ref="A7:A19"/>
    <mergeCell ref="B7:B16"/>
    <mergeCell ref="B17:B19"/>
    <mergeCell ref="A20:A27"/>
    <mergeCell ref="A33:C33"/>
    <mergeCell ref="A34:C34"/>
    <mergeCell ref="A35:C35"/>
    <mergeCell ref="A36:C36"/>
    <mergeCell ref="A39:C39"/>
    <mergeCell ref="A40:C40"/>
    <mergeCell ref="A41:C41"/>
    <mergeCell ref="A71:A74"/>
    <mergeCell ref="A76:A85"/>
    <mergeCell ref="BR103:CC10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75"/>
    <col customWidth="1" min="2" max="2" width="18.13"/>
    <col customWidth="1" min="3" max="3" width="14.38"/>
    <col customWidth="1" min="4" max="4" width="11.13"/>
    <col customWidth="1" min="5" max="5" width="7.88"/>
    <col customWidth="1" min="6" max="6" width="5.5"/>
    <col customWidth="1" min="7" max="7" width="11.63"/>
    <col customWidth="1" min="8" max="8" width="6.13"/>
    <col customWidth="1" min="9" max="9" width="11.63"/>
    <col customWidth="1" min="10" max="10" width="6.13"/>
    <col customWidth="1" min="11" max="11" width="11.63"/>
    <col customWidth="1" min="12" max="12" width="8.0"/>
    <col customWidth="1" min="13" max="13" width="11.63"/>
    <col customWidth="1" min="14" max="14" width="8.0"/>
    <col customWidth="1" min="15" max="15" width="11.63"/>
    <col customWidth="1" min="16" max="16" width="8.0"/>
    <col customWidth="1" min="17" max="17" width="11.63"/>
    <col customWidth="1" min="18" max="18" width="8.0"/>
    <col customWidth="1" min="19" max="19" width="11.63"/>
    <col customWidth="1" min="20" max="20" width="8.0"/>
    <col customWidth="1" min="21" max="21" width="11.63"/>
    <col customWidth="1" min="22" max="22" width="8.0"/>
    <col customWidth="1" min="23" max="23" width="11.63"/>
    <col customWidth="1" min="24" max="24" width="8.0"/>
    <col customWidth="1" min="25" max="25" width="11.63"/>
    <col customWidth="1" min="26" max="26" width="8.0"/>
    <col customWidth="1" min="27" max="64" width="11.63"/>
    <col customWidth="1" min="65" max="65" width="11.5"/>
    <col customWidth="1" min="66" max="66" width="8.25"/>
    <col customWidth="1" min="67" max="68" width="9.38"/>
    <col customWidth="1" min="69" max="69" width="11.0"/>
    <col customWidth="1" min="70" max="75" width="9.38"/>
    <col customWidth="1" min="76" max="85" width="7.63"/>
    <col customWidth="1" min="86" max="86" width="7.5"/>
    <col customWidth="1" min="87" max="87" width="7.63"/>
    <col customWidth="1" min="88" max="89" width="8.88"/>
  </cols>
  <sheetData>
    <row r="1">
      <c r="A1" s="595" t="s">
        <v>645</v>
      </c>
      <c r="B1" s="596" t="s">
        <v>646</v>
      </c>
      <c r="C1" s="597"/>
      <c r="D1" s="527" t="s">
        <v>648</v>
      </c>
      <c r="E1" s="527" t="s">
        <v>649</v>
      </c>
      <c r="F1" s="598" t="s">
        <v>650</v>
      </c>
      <c r="G1" s="599" t="s">
        <v>762</v>
      </c>
      <c r="H1" s="597"/>
      <c r="I1" s="599" t="s">
        <v>763</v>
      </c>
      <c r="J1" s="597"/>
      <c r="K1" s="599" t="s">
        <v>764</v>
      </c>
      <c r="L1" s="597"/>
      <c r="M1" s="599" t="s">
        <v>765</v>
      </c>
      <c r="N1" s="597"/>
      <c r="O1" s="599" t="s">
        <v>766</v>
      </c>
      <c r="P1" s="597"/>
      <c r="Q1" s="599" t="s">
        <v>767</v>
      </c>
      <c r="R1" s="597"/>
      <c r="S1" s="599" t="s">
        <v>768</v>
      </c>
      <c r="T1" s="597"/>
      <c r="U1" s="599" t="s">
        <v>769</v>
      </c>
      <c r="V1" s="597"/>
      <c r="W1" s="599" t="s">
        <v>770</v>
      </c>
      <c r="X1" s="597"/>
      <c r="Y1" s="599" t="s">
        <v>771</v>
      </c>
      <c r="Z1" s="597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29"/>
      <c r="BC1" s="429"/>
      <c r="BD1" s="429"/>
      <c r="BE1" s="429"/>
      <c r="BF1" s="429"/>
      <c r="BG1" s="429"/>
      <c r="BH1" s="429"/>
      <c r="BI1" s="429"/>
      <c r="BJ1" s="429"/>
      <c r="BK1" s="429"/>
      <c r="BL1" s="429"/>
      <c r="BM1" s="429"/>
      <c r="BN1" s="429"/>
      <c r="BO1" s="429"/>
      <c r="BP1" s="429"/>
      <c r="BQ1" s="429"/>
      <c r="BR1" s="429"/>
      <c r="BS1" s="429"/>
      <c r="BT1" s="429"/>
      <c r="BU1" s="429"/>
      <c r="BV1" s="429"/>
      <c r="BW1" s="429"/>
      <c r="BX1" s="429"/>
      <c r="BY1" s="429"/>
      <c r="BZ1" s="429"/>
      <c r="CA1" s="429"/>
      <c r="CB1" s="429"/>
      <c r="CC1" s="429"/>
      <c r="CD1" s="429"/>
      <c r="CE1" s="429"/>
      <c r="CF1" s="429"/>
      <c r="CG1" s="429"/>
      <c r="CH1" s="429"/>
      <c r="CI1" s="429"/>
      <c r="CJ1" s="421"/>
      <c r="CK1" s="421"/>
    </row>
    <row r="2">
      <c r="A2" s="427" t="s">
        <v>772</v>
      </c>
      <c r="D2" s="428"/>
      <c r="E2" s="428"/>
      <c r="F2" s="428"/>
      <c r="G2" s="428"/>
      <c r="H2" s="428"/>
      <c r="I2" s="428"/>
      <c r="J2" s="428"/>
      <c r="K2" s="600"/>
      <c r="L2" s="428"/>
      <c r="M2" s="600"/>
      <c r="N2" s="428"/>
      <c r="O2" s="600"/>
      <c r="P2" s="428"/>
      <c r="Q2" s="600"/>
      <c r="R2" s="428"/>
      <c r="S2" s="600"/>
      <c r="T2" s="428"/>
      <c r="U2" s="600"/>
      <c r="V2" s="428"/>
      <c r="W2" s="600"/>
      <c r="X2" s="428"/>
      <c r="Y2" s="600"/>
      <c r="Z2" s="428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  <c r="AP2" s="429"/>
      <c r="AQ2" s="429"/>
      <c r="AR2" s="429"/>
      <c r="AS2" s="429"/>
      <c r="AT2" s="429"/>
      <c r="AU2" s="429"/>
      <c r="AV2" s="429"/>
      <c r="AW2" s="429"/>
      <c r="AX2" s="429"/>
      <c r="AY2" s="429"/>
      <c r="AZ2" s="429"/>
      <c r="BA2" s="429"/>
      <c r="BB2" s="429"/>
      <c r="BC2" s="429"/>
      <c r="BD2" s="429"/>
      <c r="BE2" s="429"/>
      <c r="BF2" s="429"/>
      <c r="BG2" s="429"/>
      <c r="BH2" s="429"/>
      <c r="BI2" s="429"/>
      <c r="BJ2" s="429"/>
      <c r="BK2" s="429"/>
      <c r="BL2" s="429"/>
      <c r="BM2" s="429"/>
      <c r="BN2" s="429"/>
      <c r="BO2" s="429"/>
      <c r="BP2" s="429"/>
      <c r="BQ2" s="429"/>
      <c r="BR2" s="429"/>
      <c r="BS2" s="429"/>
      <c r="BT2" s="429"/>
      <c r="BU2" s="429"/>
      <c r="BV2" s="429"/>
      <c r="BW2" s="429"/>
      <c r="BX2" s="429"/>
      <c r="BY2" s="429"/>
      <c r="BZ2" s="429"/>
      <c r="CA2" s="429"/>
      <c r="CB2" s="429"/>
      <c r="CC2" s="429"/>
      <c r="CD2" s="429"/>
      <c r="CE2" s="429"/>
      <c r="CF2" s="429"/>
      <c r="CG2" s="429"/>
      <c r="CH2" s="429"/>
      <c r="CI2" s="429"/>
      <c r="CJ2" s="421"/>
      <c r="CK2" s="421"/>
    </row>
    <row r="3">
      <c r="A3" s="430"/>
      <c r="B3" s="431"/>
      <c r="C3" s="431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V3" s="429"/>
      <c r="BW3" s="429"/>
      <c r="BX3" s="429"/>
      <c r="BY3" s="429"/>
      <c r="BZ3" s="429"/>
      <c r="CA3" s="429"/>
      <c r="CB3" s="429"/>
      <c r="CC3" s="429"/>
      <c r="CD3" s="429"/>
      <c r="CE3" s="429"/>
      <c r="CF3" s="429"/>
      <c r="CG3" s="429"/>
      <c r="CH3" s="429"/>
      <c r="CI3" s="429"/>
      <c r="CJ3" s="421"/>
      <c r="CK3" s="421"/>
    </row>
    <row r="4">
      <c r="A4" s="432" t="s">
        <v>624</v>
      </c>
      <c r="B4" s="433"/>
      <c r="C4" s="434"/>
      <c r="D4" s="435" t="s">
        <v>652</v>
      </c>
      <c r="E4" s="436" t="s">
        <v>652</v>
      </c>
      <c r="F4" s="436" t="s">
        <v>652</v>
      </c>
      <c r="G4" s="439" t="s">
        <v>653</v>
      </c>
      <c r="H4" s="439" t="s">
        <v>773</v>
      </c>
      <c r="I4" s="439" t="s">
        <v>653</v>
      </c>
      <c r="J4" s="439" t="s">
        <v>773</v>
      </c>
      <c r="K4" s="439" t="s">
        <v>653</v>
      </c>
      <c r="L4" s="439" t="s">
        <v>773</v>
      </c>
      <c r="M4" s="439" t="s">
        <v>653</v>
      </c>
      <c r="N4" s="439" t="s">
        <v>773</v>
      </c>
      <c r="O4" s="439" t="s">
        <v>653</v>
      </c>
      <c r="P4" s="439" t="s">
        <v>773</v>
      </c>
      <c r="Q4" s="439" t="s">
        <v>653</v>
      </c>
      <c r="R4" s="440" t="s">
        <v>773</v>
      </c>
      <c r="S4" s="439" t="s">
        <v>653</v>
      </c>
      <c r="T4" s="439" t="s">
        <v>773</v>
      </c>
      <c r="U4" s="439" t="s">
        <v>653</v>
      </c>
      <c r="V4" s="439" t="s">
        <v>773</v>
      </c>
      <c r="W4" s="439" t="s">
        <v>653</v>
      </c>
      <c r="X4" s="439" t="s">
        <v>773</v>
      </c>
      <c r="Y4" s="439" t="s">
        <v>653</v>
      </c>
      <c r="Z4" s="440" t="s">
        <v>773</v>
      </c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9"/>
      <c r="BY4" s="429"/>
      <c r="BZ4" s="429"/>
      <c r="CA4" s="429"/>
      <c r="CB4" s="429"/>
      <c r="CC4" s="429"/>
      <c r="CD4" s="429"/>
      <c r="CE4" s="429"/>
      <c r="CF4" s="429"/>
      <c r="CG4" s="429"/>
      <c r="CH4" s="429"/>
      <c r="CI4" s="429"/>
      <c r="CJ4" s="421"/>
      <c r="CK4" s="421"/>
    </row>
    <row r="5">
      <c r="A5" s="441" t="s">
        <v>654</v>
      </c>
      <c r="B5" s="114"/>
      <c r="C5" s="442"/>
      <c r="D5" s="443" t="s">
        <v>652</v>
      </c>
      <c r="E5" s="444" t="s">
        <v>652</v>
      </c>
      <c r="F5" s="444" t="s">
        <v>652</v>
      </c>
      <c r="G5" s="601"/>
      <c r="H5" s="602"/>
      <c r="I5" s="602"/>
      <c r="J5" s="602"/>
      <c r="K5" s="603"/>
      <c r="L5" s="603"/>
      <c r="M5" s="604"/>
      <c r="N5" s="604"/>
      <c r="O5" s="604"/>
      <c r="P5" s="604"/>
      <c r="Q5" s="604"/>
      <c r="R5" s="605"/>
      <c r="S5" s="603"/>
      <c r="T5" s="603"/>
      <c r="U5" s="604"/>
      <c r="V5" s="604"/>
      <c r="W5" s="604"/>
      <c r="X5" s="604"/>
      <c r="Y5" s="604"/>
      <c r="Z5" s="605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428"/>
      <c r="AL5" s="428"/>
      <c r="AM5" s="428"/>
      <c r="AN5" s="421"/>
      <c r="AO5" s="421"/>
      <c r="AP5" s="421"/>
      <c r="AQ5" s="421"/>
      <c r="AR5" s="421"/>
      <c r="AS5" s="421"/>
      <c r="AT5" s="421"/>
      <c r="AU5" s="421"/>
      <c r="AV5" s="421"/>
      <c r="AW5" s="421"/>
      <c r="AX5" s="421"/>
      <c r="AY5" s="421"/>
      <c r="AZ5" s="421"/>
      <c r="BA5" s="421"/>
      <c r="BB5" s="421"/>
      <c r="BC5" s="421"/>
      <c r="BD5" s="421"/>
      <c r="BE5" s="421"/>
      <c r="BF5" s="421"/>
      <c r="BG5" s="421"/>
      <c r="BH5" s="421"/>
      <c r="BI5" s="421"/>
      <c r="BJ5" s="421"/>
      <c r="BK5" s="421"/>
      <c r="BL5" s="421"/>
      <c r="BM5" s="421"/>
      <c r="BN5" s="421"/>
      <c r="BO5" s="421"/>
      <c r="BP5" s="421"/>
      <c r="BQ5" s="421"/>
      <c r="BR5" s="421"/>
      <c r="BS5" s="421"/>
      <c r="BT5" s="421"/>
      <c r="BU5" s="421"/>
      <c r="BV5" s="421"/>
      <c r="BW5" s="421"/>
      <c r="BX5" s="429"/>
      <c r="BY5" s="429"/>
      <c r="BZ5" s="429"/>
      <c r="CA5" s="429"/>
      <c r="CB5" s="429"/>
      <c r="CC5" s="429"/>
      <c r="CD5" s="429"/>
      <c r="CE5" s="429"/>
      <c r="CF5" s="429"/>
      <c r="CG5" s="429"/>
      <c r="CH5" s="429"/>
      <c r="CI5" s="429"/>
      <c r="CJ5" s="421"/>
      <c r="CK5" s="421"/>
    </row>
    <row r="6">
      <c r="A6" s="451" t="s">
        <v>655</v>
      </c>
      <c r="B6" s="452" t="s">
        <v>656</v>
      </c>
      <c r="C6" s="453" t="s">
        <v>657</v>
      </c>
      <c r="D6" s="443" t="s">
        <v>658</v>
      </c>
      <c r="E6" s="444" t="s">
        <v>652</v>
      </c>
      <c r="F6" s="444" t="s">
        <v>652</v>
      </c>
      <c r="G6" s="603">
        <v>16687.0</v>
      </c>
      <c r="H6" s="606">
        <f>sum(G6:G14)/G33</f>
        <v>0.1269008945</v>
      </c>
      <c r="I6" s="603">
        <v>1737.0</v>
      </c>
      <c r="J6" s="606">
        <f>sum(I6:I14)/I33</f>
        <v>0.02287236983</v>
      </c>
      <c r="K6" s="607">
        <v>48283.0</v>
      </c>
      <c r="L6" s="606">
        <f>sum(K6:K14)/K33</f>
        <v>0.02973295543</v>
      </c>
      <c r="M6" s="607">
        <v>30070.0</v>
      </c>
      <c r="N6" s="606">
        <f>sum(M6:M14)/M33</f>
        <v>0.1131114938</v>
      </c>
      <c r="O6" s="607">
        <v>48004.0</v>
      </c>
      <c r="P6" s="606">
        <f>sum(O6:O14)/O33</f>
        <v>0.09950957585</v>
      </c>
      <c r="Q6" s="607">
        <v>26105.0</v>
      </c>
      <c r="R6" s="608">
        <f>sum(Q6:Q14)/Q33</f>
        <v>0.0725614452</v>
      </c>
      <c r="S6" s="607">
        <v>17660.0</v>
      </c>
      <c r="T6" s="606">
        <f>sum(S6:S14)/S33</f>
        <v>0.08447762169</v>
      </c>
      <c r="U6" s="607">
        <v>17802.0</v>
      </c>
      <c r="V6" s="606">
        <f>sum(U6:U14)/U33</f>
        <v>0.1953222388</v>
      </c>
      <c r="W6" s="607"/>
      <c r="X6" s="606">
        <f>sum(W6:W14)/W33</f>
        <v>0</v>
      </c>
      <c r="Y6" s="607"/>
      <c r="Z6" s="608">
        <f>sum(Y6:Y14)/Y33</f>
        <v>0</v>
      </c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9"/>
      <c r="BY6" s="429"/>
      <c r="BZ6" s="429"/>
      <c r="CA6" s="429"/>
      <c r="CB6" s="429"/>
      <c r="CC6" s="429"/>
      <c r="CD6" s="429"/>
      <c r="CE6" s="429"/>
      <c r="CF6" s="429"/>
      <c r="CG6" s="429"/>
      <c r="CH6" s="429"/>
      <c r="CI6" s="429"/>
      <c r="CJ6" s="421"/>
      <c r="CK6" s="421"/>
    </row>
    <row r="7">
      <c r="A7" s="457"/>
      <c r="B7" s="146"/>
      <c r="C7" s="453" t="s">
        <v>659</v>
      </c>
      <c r="D7" s="443" t="s">
        <v>658</v>
      </c>
      <c r="E7" s="444" t="s">
        <v>652</v>
      </c>
      <c r="F7" s="444" t="s">
        <v>652</v>
      </c>
      <c r="G7" s="603">
        <v>421181.0</v>
      </c>
      <c r="H7" s="146"/>
      <c r="I7" s="603">
        <v>72667.0</v>
      </c>
      <c r="J7" s="146"/>
      <c r="K7" s="607">
        <v>67036.0</v>
      </c>
      <c r="L7" s="146"/>
      <c r="M7" s="607">
        <v>175183.0</v>
      </c>
      <c r="N7" s="146"/>
      <c r="O7" s="607">
        <v>407288.0</v>
      </c>
      <c r="P7" s="146"/>
      <c r="Q7" s="607">
        <v>295549.0</v>
      </c>
      <c r="R7" s="609"/>
      <c r="S7" s="607">
        <v>651311.0</v>
      </c>
      <c r="T7" s="146"/>
      <c r="U7" s="607">
        <v>1822810.0</v>
      </c>
      <c r="V7" s="146"/>
      <c r="W7" s="607"/>
      <c r="X7" s="146"/>
      <c r="Y7" s="607"/>
      <c r="Z7" s="609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1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9"/>
      <c r="BY7" s="429"/>
      <c r="BZ7" s="429"/>
      <c r="CA7" s="429"/>
      <c r="CB7" s="429"/>
      <c r="CC7" s="429"/>
      <c r="CD7" s="429"/>
      <c r="CE7" s="429"/>
      <c r="CF7" s="429"/>
      <c r="CG7" s="429"/>
      <c r="CH7" s="429"/>
      <c r="CI7" s="429"/>
      <c r="CJ7" s="421"/>
      <c r="CK7" s="421"/>
    </row>
    <row r="8">
      <c r="A8" s="457"/>
      <c r="B8" s="146"/>
      <c r="C8" s="453" t="s">
        <v>660</v>
      </c>
      <c r="D8" s="443" t="s">
        <v>658</v>
      </c>
      <c r="E8" s="444" t="s">
        <v>652</v>
      </c>
      <c r="F8" s="444" t="s">
        <v>652</v>
      </c>
      <c r="G8" s="603">
        <v>332052.0</v>
      </c>
      <c r="H8" s="146"/>
      <c r="I8" s="603">
        <v>83571.0</v>
      </c>
      <c r="J8" s="146"/>
      <c r="K8" s="607">
        <v>103942.0</v>
      </c>
      <c r="L8" s="146"/>
      <c r="M8" s="607">
        <v>281258.0</v>
      </c>
      <c r="N8" s="146"/>
      <c r="O8" s="607">
        <v>211563.0</v>
      </c>
      <c r="P8" s="146"/>
      <c r="Q8" s="607">
        <v>122565.0</v>
      </c>
      <c r="R8" s="609"/>
      <c r="S8" s="607">
        <v>136426.0</v>
      </c>
      <c r="T8" s="146"/>
      <c r="U8" s="607">
        <v>348533.0</v>
      </c>
      <c r="V8" s="146"/>
      <c r="W8" s="607"/>
      <c r="X8" s="146"/>
      <c r="Y8" s="607"/>
      <c r="Z8" s="609"/>
      <c r="AA8" s="428"/>
      <c r="AB8" s="428"/>
      <c r="AC8" s="428"/>
      <c r="AD8" s="428"/>
      <c r="AE8" s="428"/>
      <c r="AF8" s="428"/>
      <c r="AG8" s="428"/>
      <c r="AH8" s="428"/>
      <c r="AI8" s="428"/>
      <c r="AJ8" s="428"/>
      <c r="AK8" s="428"/>
      <c r="AL8" s="428"/>
      <c r="AM8" s="428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9"/>
      <c r="BY8" s="429"/>
      <c r="BZ8" s="429"/>
      <c r="CA8" s="429"/>
      <c r="CB8" s="429"/>
      <c r="CC8" s="429"/>
      <c r="CD8" s="429"/>
      <c r="CE8" s="429"/>
      <c r="CF8" s="429"/>
      <c r="CG8" s="429"/>
      <c r="CH8" s="429"/>
      <c r="CI8" s="429"/>
      <c r="CJ8" s="421"/>
      <c r="CK8" s="421"/>
    </row>
    <row r="9">
      <c r="A9" s="457"/>
      <c r="B9" s="146"/>
      <c r="C9" s="453" t="s">
        <v>661</v>
      </c>
      <c r="D9" s="443" t="s">
        <v>658</v>
      </c>
      <c r="E9" s="444" t="s">
        <v>652</v>
      </c>
      <c r="F9" s="444" t="s">
        <v>652</v>
      </c>
      <c r="G9" s="603">
        <v>3520.0</v>
      </c>
      <c r="H9" s="146"/>
      <c r="I9" s="603">
        <v>2742.0</v>
      </c>
      <c r="J9" s="146"/>
      <c r="K9" s="607">
        <v>3763.0</v>
      </c>
      <c r="L9" s="146"/>
      <c r="M9" s="607">
        <v>6690.0</v>
      </c>
      <c r="N9" s="146"/>
      <c r="O9" s="607">
        <v>6770.0</v>
      </c>
      <c r="P9" s="146"/>
      <c r="Q9" s="607">
        <v>14408.0</v>
      </c>
      <c r="R9" s="609"/>
      <c r="S9" s="607">
        <v>21802.0</v>
      </c>
      <c r="T9" s="146"/>
      <c r="U9" s="607">
        <v>24033.0</v>
      </c>
      <c r="V9" s="146"/>
      <c r="W9" s="607"/>
      <c r="X9" s="146"/>
      <c r="Y9" s="607"/>
      <c r="Z9" s="609"/>
      <c r="AA9" s="428"/>
      <c r="AB9" s="428"/>
      <c r="AC9" s="428"/>
      <c r="AD9" s="428"/>
      <c r="AE9" s="428"/>
      <c r="AF9" s="428"/>
      <c r="AG9" s="428"/>
      <c r="AH9" s="428"/>
      <c r="AI9" s="428"/>
      <c r="AJ9" s="428"/>
      <c r="AK9" s="428"/>
      <c r="AL9" s="428"/>
      <c r="AM9" s="428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1"/>
      <c r="BO9" s="421"/>
      <c r="BP9" s="421"/>
      <c r="BQ9" s="421"/>
      <c r="BR9" s="421"/>
      <c r="BS9" s="421"/>
      <c r="BT9" s="421"/>
      <c r="BU9" s="421"/>
      <c r="BV9" s="421"/>
      <c r="BW9" s="421"/>
      <c r="BX9" s="429"/>
      <c r="BY9" s="429"/>
      <c r="BZ9" s="429"/>
      <c r="CA9" s="429"/>
      <c r="CB9" s="429"/>
      <c r="CC9" s="429"/>
      <c r="CD9" s="429"/>
      <c r="CE9" s="429"/>
      <c r="CF9" s="429"/>
      <c r="CG9" s="429"/>
      <c r="CH9" s="429"/>
      <c r="CI9" s="429"/>
      <c r="CJ9" s="421"/>
      <c r="CK9" s="421"/>
    </row>
    <row r="10">
      <c r="A10" s="457"/>
      <c r="B10" s="146"/>
      <c r="C10" s="453" t="s">
        <v>662</v>
      </c>
      <c r="D10" s="443" t="s">
        <v>658</v>
      </c>
      <c r="E10" s="444" t="s">
        <v>652</v>
      </c>
      <c r="F10" s="444" t="s">
        <v>652</v>
      </c>
      <c r="G10" s="603">
        <v>1578.0</v>
      </c>
      <c r="H10" s="146"/>
      <c r="I10" s="603">
        <v>220.0</v>
      </c>
      <c r="J10" s="146"/>
      <c r="K10" s="607">
        <v>220.0</v>
      </c>
      <c r="L10" s="146"/>
      <c r="M10" s="607">
        <v>220.0</v>
      </c>
      <c r="N10" s="146"/>
      <c r="O10" s="607">
        <v>220.0</v>
      </c>
      <c r="P10" s="146"/>
      <c r="Q10" s="607">
        <v>220.0</v>
      </c>
      <c r="R10" s="609"/>
      <c r="S10" s="607">
        <v>730.0</v>
      </c>
      <c r="T10" s="146"/>
      <c r="U10" s="607">
        <v>3991.0</v>
      </c>
      <c r="V10" s="146"/>
      <c r="W10" s="607"/>
      <c r="X10" s="146"/>
      <c r="Y10" s="607"/>
      <c r="Z10" s="609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1"/>
      <c r="AO10" s="421"/>
      <c r="AP10" s="421"/>
      <c r="AQ10" s="421"/>
      <c r="AR10" s="421"/>
      <c r="AS10" s="421"/>
      <c r="AT10" s="421"/>
      <c r="AU10" s="421"/>
      <c r="AV10" s="421"/>
      <c r="AW10" s="421"/>
      <c r="AX10" s="421"/>
      <c r="AY10" s="421"/>
      <c r="AZ10" s="421"/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1"/>
      <c r="BT10" s="421"/>
      <c r="BU10" s="421"/>
      <c r="BV10" s="421"/>
      <c r="BW10" s="421"/>
      <c r="BX10" s="429"/>
      <c r="BY10" s="429"/>
      <c r="BZ10" s="429"/>
      <c r="CA10" s="429"/>
      <c r="CB10" s="429"/>
      <c r="CC10" s="429"/>
      <c r="CD10" s="429"/>
      <c r="CE10" s="429"/>
      <c r="CF10" s="429"/>
      <c r="CG10" s="429"/>
      <c r="CH10" s="429"/>
      <c r="CI10" s="429"/>
      <c r="CJ10" s="421"/>
      <c r="CK10" s="421"/>
    </row>
    <row r="11">
      <c r="A11" s="457"/>
      <c r="B11" s="146"/>
      <c r="C11" s="453" t="s">
        <v>663</v>
      </c>
      <c r="D11" s="443" t="s">
        <v>658</v>
      </c>
      <c r="E11" s="444" t="s">
        <v>652</v>
      </c>
      <c r="F11" s="444" t="s">
        <v>652</v>
      </c>
      <c r="G11" s="603">
        <v>29.0</v>
      </c>
      <c r="H11" s="146"/>
      <c r="I11" s="603">
        <v>29.0</v>
      </c>
      <c r="J11" s="146"/>
      <c r="K11" s="607">
        <v>29.0</v>
      </c>
      <c r="L11" s="146"/>
      <c r="M11" s="607">
        <v>29.0</v>
      </c>
      <c r="N11" s="146"/>
      <c r="O11" s="607">
        <v>32658.0</v>
      </c>
      <c r="P11" s="146"/>
      <c r="Q11" s="607">
        <v>26768.0</v>
      </c>
      <c r="R11" s="609"/>
      <c r="S11" s="607">
        <v>23442.0</v>
      </c>
      <c r="T11" s="146"/>
      <c r="U11" s="607">
        <v>34568.0</v>
      </c>
      <c r="V11" s="146"/>
      <c r="W11" s="607"/>
      <c r="X11" s="146"/>
      <c r="Y11" s="607"/>
      <c r="Z11" s="609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1"/>
      <c r="AO11" s="421"/>
      <c r="AP11" s="421"/>
      <c r="AQ11" s="421"/>
      <c r="AR11" s="421"/>
      <c r="AS11" s="421"/>
      <c r="AT11" s="421"/>
      <c r="AU11" s="421"/>
      <c r="AV11" s="421"/>
      <c r="AW11" s="421"/>
      <c r="AX11" s="421"/>
      <c r="AY11" s="421"/>
      <c r="AZ11" s="421"/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9"/>
      <c r="BY11" s="429"/>
      <c r="BZ11" s="429"/>
      <c r="CA11" s="429"/>
      <c r="CB11" s="429"/>
      <c r="CC11" s="429"/>
      <c r="CD11" s="429"/>
      <c r="CE11" s="429"/>
      <c r="CF11" s="429"/>
      <c r="CG11" s="429"/>
      <c r="CH11" s="429"/>
      <c r="CI11" s="429"/>
      <c r="CJ11" s="421"/>
      <c r="CK11" s="421"/>
    </row>
    <row r="12">
      <c r="A12" s="457"/>
      <c r="B12" s="146"/>
      <c r="C12" s="453" t="s">
        <v>664</v>
      </c>
      <c r="D12" s="443" t="s">
        <v>658</v>
      </c>
      <c r="E12" s="444" t="s">
        <v>652</v>
      </c>
      <c r="F12" s="444" t="s">
        <v>652</v>
      </c>
      <c r="G12" s="603">
        <v>11.0</v>
      </c>
      <c r="H12" s="146"/>
      <c r="I12" s="603">
        <v>11.0</v>
      </c>
      <c r="J12" s="146"/>
      <c r="K12" s="607">
        <v>11.0</v>
      </c>
      <c r="L12" s="146"/>
      <c r="M12" s="607">
        <v>11.0</v>
      </c>
      <c r="N12" s="146"/>
      <c r="O12" s="607">
        <v>11.0</v>
      </c>
      <c r="P12" s="146"/>
      <c r="Q12" s="607">
        <v>11.0</v>
      </c>
      <c r="R12" s="609"/>
      <c r="S12" s="607">
        <v>11.0</v>
      </c>
      <c r="T12" s="146"/>
      <c r="U12" s="607">
        <v>11.0</v>
      </c>
      <c r="V12" s="146"/>
      <c r="W12" s="607"/>
      <c r="X12" s="146"/>
      <c r="Y12" s="607"/>
      <c r="Z12" s="609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9"/>
      <c r="BY12" s="429"/>
      <c r="BZ12" s="429"/>
      <c r="CA12" s="429"/>
      <c r="CB12" s="429"/>
      <c r="CC12" s="429"/>
      <c r="CD12" s="429"/>
      <c r="CE12" s="429"/>
      <c r="CF12" s="429"/>
      <c r="CG12" s="429"/>
      <c r="CH12" s="429"/>
      <c r="CI12" s="429"/>
      <c r="CJ12" s="421"/>
      <c r="CK12" s="421"/>
    </row>
    <row r="13">
      <c r="A13" s="457"/>
      <c r="B13" s="146"/>
      <c r="C13" s="453" t="s">
        <v>665</v>
      </c>
      <c r="D13" s="443" t="s">
        <v>658</v>
      </c>
      <c r="E13" s="444" t="s">
        <v>652</v>
      </c>
      <c r="F13" s="444" t="s">
        <v>652</v>
      </c>
      <c r="G13" s="603">
        <v>15019.0</v>
      </c>
      <c r="H13" s="146"/>
      <c r="I13" s="603">
        <v>15080.0</v>
      </c>
      <c r="J13" s="146"/>
      <c r="K13" s="607">
        <v>15080.0</v>
      </c>
      <c r="L13" s="146"/>
      <c r="M13" s="607">
        <v>315351.0</v>
      </c>
      <c r="N13" s="146"/>
      <c r="O13" s="607">
        <v>16528.0</v>
      </c>
      <c r="P13" s="146"/>
      <c r="Q13" s="607">
        <v>20281.0</v>
      </c>
      <c r="R13" s="609"/>
      <c r="S13" s="607">
        <v>9935.0</v>
      </c>
      <c r="T13" s="146"/>
      <c r="U13" s="607">
        <v>8940.0</v>
      </c>
      <c r="V13" s="146"/>
      <c r="W13" s="607"/>
      <c r="X13" s="146"/>
      <c r="Y13" s="607"/>
      <c r="Z13" s="609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1"/>
      <c r="AO13" s="421"/>
      <c r="AP13" s="421"/>
      <c r="AQ13" s="421"/>
      <c r="AR13" s="421"/>
      <c r="AS13" s="421"/>
      <c r="AT13" s="421"/>
      <c r="AU13" s="421"/>
      <c r="AV13" s="421"/>
      <c r="AW13" s="421"/>
      <c r="AX13" s="421"/>
      <c r="AY13" s="421"/>
      <c r="AZ13" s="421"/>
      <c r="BA13" s="421"/>
      <c r="BB13" s="421"/>
      <c r="BC13" s="421"/>
      <c r="BD13" s="421"/>
      <c r="BE13" s="421"/>
      <c r="BF13" s="421"/>
      <c r="BG13" s="421"/>
      <c r="BH13" s="421"/>
      <c r="BI13" s="421"/>
      <c r="BJ13" s="421"/>
      <c r="BK13" s="421"/>
      <c r="BL13" s="421"/>
      <c r="BM13" s="421"/>
      <c r="BN13" s="421"/>
      <c r="BO13" s="421"/>
      <c r="BP13" s="421"/>
      <c r="BQ13" s="421"/>
      <c r="BR13" s="421"/>
      <c r="BS13" s="421"/>
      <c r="BT13" s="421"/>
      <c r="BU13" s="421"/>
      <c r="BV13" s="421"/>
      <c r="BW13" s="421"/>
      <c r="BX13" s="429"/>
      <c r="BY13" s="429"/>
      <c r="BZ13" s="429"/>
      <c r="CA13" s="429"/>
      <c r="CB13" s="429"/>
      <c r="CC13" s="429"/>
      <c r="CD13" s="429"/>
      <c r="CE13" s="429"/>
      <c r="CF13" s="429"/>
      <c r="CG13" s="429"/>
      <c r="CH13" s="429"/>
      <c r="CI13" s="429"/>
      <c r="CJ13" s="421"/>
      <c r="CK13" s="421"/>
    </row>
    <row r="14">
      <c r="A14" s="457"/>
      <c r="B14" s="146"/>
      <c r="C14" s="453" t="s">
        <v>666</v>
      </c>
      <c r="D14" s="443" t="s">
        <v>658</v>
      </c>
      <c r="E14" s="444" t="s">
        <v>652</v>
      </c>
      <c r="F14" s="444" t="s">
        <v>652</v>
      </c>
      <c r="G14" s="603">
        <v>189938.0</v>
      </c>
      <c r="H14" s="147"/>
      <c r="I14" s="603">
        <v>2289.0</v>
      </c>
      <c r="J14" s="147"/>
      <c r="K14" s="607">
        <v>11281.0</v>
      </c>
      <c r="L14" s="147"/>
      <c r="M14" s="607">
        <v>121440.0</v>
      </c>
      <c r="N14" s="147"/>
      <c r="O14" s="607">
        <v>122626.0</v>
      </c>
      <c r="P14" s="147"/>
      <c r="Q14" s="607">
        <v>135072.0</v>
      </c>
      <c r="R14" s="610"/>
      <c r="S14" s="607">
        <v>380.0</v>
      </c>
      <c r="T14" s="146"/>
      <c r="U14" s="607">
        <v>158116.0</v>
      </c>
      <c r="V14" s="146"/>
      <c r="W14" s="607"/>
      <c r="X14" s="146"/>
      <c r="Y14" s="607"/>
      <c r="Z14" s="609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21"/>
      <c r="BC14" s="421"/>
      <c r="BD14" s="421"/>
      <c r="BE14" s="421"/>
      <c r="BF14" s="421"/>
      <c r="BG14" s="421"/>
      <c r="BH14" s="421"/>
      <c r="BI14" s="421"/>
      <c r="BJ14" s="421"/>
      <c r="BK14" s="421"/>
      <c r="BL14" s="421"/>
      <c r="BM14" s="421"/>
      <c r="BN14" s="421"/>
      <c r="BO14" s="421"/>
      <c r="BP14" s="421"/>
      <c r="BQ14" s="421"/>
      <c r="BR14" s="421"/>
      <c r="BS14" s="421"/>
      <c r="BT14" s="421"/>
      <c r="BU14" s="421"/>
      <c r="BV14" s="421"/>
      <c r="BW14" s="421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1"/>
      <c r="CK14" s="421"/>
    </row>
    <row r="15">
      <c r="A15" s="457"/>
      <c r="B15" s="147"/>
      <c r="C15" s="458" t="s">
        <v>667</v>
      </c>
      <c r="D15" s="443"/>
      <c r="E15" s="444"/>
      <c r="F15" s="444"/>
      <c r="G15" s="603"/>
      <c r="H15" s="611"/>
      <c r="I15" s="603"/>
      <c r="J15" s="611"/>
      <c r="K15" s="607"/>
      <c r="L15" s="611"/>
      <c r="M15" s="607"/>
      <c r="N15" s="611"/>
      <c r="O15" s="607"/>
      <c r="P15" s="611"/>
      <c r="Q15" s="607"/>
      <c r="R15" s="612"/>
      <c r="S15" s="607"/>
      <c r="T15" s="147"/>
      <c r="U15" s="607">
        <v>127200.0</v>
      </c>
      <c r="V15" s="147"/>
      <c r="W15" s="607"/>
      <c r="X15" s="147"/>
      <c r="Y15" s="607"/>
      <c r="Z15" s="610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1"/>
      <c r="AO15" s="421"/>
      <c r="AP15" s="421"/>
      <c r="AQ15" s="421"/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21"/>
      <c r="BC15" s="421"/>
      <c r="BD15" s="421"/>
      <c r="BE15" s="421"/>
      <c r="BF15" s="421"/>
      <c r="BG15" s="421"/>
      <c r="BH15" s="421"/>
      <c r="BI15" s="421"/>
      <c r="BJ15" s="421"/>
      <c r="BK15" s="421"/>
      <c r="BL15" s="421"/>
      <c r="BM15" s="421"/>
      <c r="BN15" s="421"/>
      <c r="BO15" s="421"/>
      <c r="BP15" s="421"/>
      <c r="BQ15" s="421"/>
      <c r="BR15" s="421"/>
      <c r="BS15" s="421"/>
      <c r="BT15" s="421"/>
      <c r="BU15" s="421"/>
      <c r="BV15" s="421"/>
      <c r="BW15" s="421"/>
      <c r="BX15" s="429"/>
      <c r="BY15" s="429"/>
      <c r="BZ15" s="429"/>
      <c r="CA15" s="429"/>
      <c r="CB15" s="429"/>
      <c r="CC15" s="429"/>
      <c r="CD15" s="429"/>
      <c r="CE15" s="429"/>
      <c r="CF15" s="429"/>
      <c r="CG15" s="429"/>
      <c r="CH15" s="429"/>
      <c r="CI15" s="429"/>
      <c r="CJ15" s="421"/>
      <c r="CK15" s="421"/>
    </row>
    <row r="16">
      <c r="A16" s="457"/>
      <c r="B16" s="452" t="s">
        <v>668</v>
      </c>
      <c r="C16" s="453" t="s">
        <v>669</v>
      </c>
      <c r="D16" s="443" t="s">
        <v>658</v>
      </c>
      <c r="E16" s="444" t="s">
        <v>652</v>
      </c>
      <c r="F16" s="444" t="s">
        <v>652</v>
      </c>
      <c r="G16" s="603">
        <v>369816.0</v>
      </c>
      <c r="H16" s="606">
        <f>SUM(G16:G18)/G33</f>
        <v>0.04792183543</v>
      </c>
      <c r="I16" s="603">
        <v>46079.0</v>
      </c>
      <c r="J16" s="606">
        <f>SUM(I16:I18)/I33</f>
        <v>0.005944897577</v>
      </c>
      <c r="K16" s="607">
        <v>47818.0</v>
      </c>
      <c r="L16" s="606">
        <f>SUM(K16:K18)/K33</f>
        <v>0.005728279054</v>
      </c>
      <c r="M16" s="607">
        <v>43961.0</v>
      </c>
      <c r="N16" s="606">
        <f>SUM(M16:M18)/M33</f>
        <v>0.005379122405</v>
      </c>
      <c r="O16" s="607">
        <v>47619.0</v>
      </c>
      <c r="P16" s="606">
        <f>SUM(O16:O18)/O33</f>
        <v>0.02235220027</v>
      </c>
      <c r="Q16" s="607">
        <v>50447.0</v>
      </c>
      <c r="R16" s="608">
        <f>SUM(Q16:Q18)/Q33</f>
        <v>0.0518172483</v>
      </c>
      <c r="S16" s="607">
        <v>50824.0</v>
      </c>
      <c r="T16" s="606">
        <f>SUM(S16:S18)/S33</f>
        <v>0.02140858812</v>
      </c>
      <c r="U16" s="607">
        <v>51199.0</v>
      </c>
      <c r="V16" s="606">
        <f>SUM(U16:U18)/U33</f>
        <v>0.02184402849</v>
      </c>
      <c r="W16" s="607"/>
      <c r="X16" s="606">
        <f>SUM(W16:W18)/W33</f>
        <v>0</v>
      </c>
      <c r="Y16" s="607"/>
      <c r="Z16" s="608">
        <f>SUM(Y16:Y18)/Y33</f>
        <v>0</v>
      </c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1"/>
      <c r="AO16" s="421"/>
      <c r="AP16" s="421"/>
      <c r="AQ16" s="421"/>
      <c r="AR16" s="421"/>
      <c r="AS16" s="421"/>
      <c r="AT16" s="421"/>
      <c r="AU16" s="421"/>
      <c r="AV16" s="421"/>
      <c r="AW16" s="421"/>
      <c r="AX16" s="421"/>
      <c r="AY16" s="421"/>
      <c r="AZ16" s="421"/>
      <c r="BA16" s="421"/>
      <c r="BB16" s="421"/>
      <c r="BC16" s="421"/>
      <c r="BD16" s="421"/>
      <c r="BE16" s="421"/>
      <c r="BF16" s="421"/>
      <c r="BG16" s="421"/>
      <c r="BH16" s="421"/>
      <c r="BI16" s="421"/>
      <c r="BJ16" s="421"/>
      <c r="BK16" s="421"/>
      <c r="BL16" s="421"/>
      <c r="BM16" s="421"/>
      <c r="BN16" s="421"/>
      <c r="BO16" s="421"/>
      <c r="BP16" s="421"/>
      <c r="BQ16" s="421"/>
      <c r="BR16" s="421"/>
      <c r="BS16" s="421"/>
      <c r="BT16" s="421"/>
      <c r="BU16" s="421"/>
      <c r="BV16" s="421"/>
      <c r="BW16" s="421"/>
      <c r="BX16" s="429"/>
      <c r="BY16" s="429"/>
      <c r="BZ16" s="429"/>
      <c r="CA16" s="429"/>
      <c r="CB16" s="429"/>
      <c r="CC16" s="429"/>
      <c r="CD16" s="429"/>
      <c r="CE16" s="429"/>
      <c r="CF16" s="429"/>
      <c r="CG16" s="429"/>
      <c r="CH16" s="429"/>
      <c r="CI16" s="429"/>
      <c r="CJ16" s="421"/>
      <c r="CK16" s="421"/>
    </row>
    <row r="17">
      <c r="A17" s="457"/>
      <c r="B17" s="146"/>
      <c r="C17" s="453" t="s">
        <v>670</v>
      </c>
      <c r="D17" s="443" t="s">
        <v>658</v>
      </c>
      <c r="E17" s="444" t="s">
        <v>652</v>
      </c>
      <c r="F17" s="444" t="s">
        <v>652</v>
      </c>
      <c r="G17" s="603">
        <v>0.0</v>
      </c>
      <c r="H17" s="146"/>
      <c r="I17" s="603">
        <v>0.0</v>
      </c>
      <c r="J17" s="146"/>
      <c r="K17" s="607">
        <v>0.0</v>
      </c>
      <c r="L17" s="146"/>
      <c r="M17" s="607">
        <v>0.0</v>
      </c>
      <c r="N17" s="146"/>
      <c r="O17" s="607">
        <v>142060.0</v>
      </c>
      <c r="P17" s="146"/>
      <c r="Q17" s="607">
        <v>407010.0</v>
      </c>
      <c r="R17" s="609"/>
      <c r="S17" s="607">
        <v>167274.0</v>
      </c>
      <c r="T17" s="146"/>
      <c r="U17" s="607">
        <v>219034.0</v>
      </c>
      <c r="V17" s="146"/>
      <c r="W17" s="607"/>
      <c r="X17" s="146"/>
      <c r="Y17" s="607"/>
      <c r="Z17" s="609"/>
      <c r="AA17" s="428"/>
      <c r="AB17" s="428"/>
      <c r="AC17" s="428"/>
      <c r="AD17" s="428"/>
      <c r="AE17" s="428"/>
      <c r="AF17" s="428"/>
      <c r="AG17" s="428"/>
      <c r="AH17" s="428"/>
      <c r="AI17" s="428"/>
      <c r="AJ17" s="428"/>
      <c r="AK17" s="428"/>
      <c r="AL17" s="428"/>
      <c r="AM17" s="428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21"/>
      <c r="BC17" s="421"/>
      <c r="BD17" s="421"/>
      <c r="BE17" s="421"/>
      <c r="BF17" s="421"/>
      <c r="BG17" s="421"/>
      <c r="BH17" s="421"/>
      <c r="BI17" s="421"/>
      <c r="BJ17" s="421"/>
      <c r="BK17" s="421"/>
      <c r="BL17" s="421"/>
      <c r="BM17" s="421"/>
      <c r="BN17" s="421"/>
      <c r="BO17" s="421"/>
      <c r="BP17" s="421"/>
      <c r="BQ17" s="421"/>
      <c r="BR17" s="421"/>
      <c r="BS17" s="421"/>
      <c r="BT17" s="421"/>
      <c r="BU17" s="421"/>
      <c r="BV17" s="421"/>
      <c r="BW17" s="421"/>
      <c r="BX17" s="429"/>
      <c r="BY17" s="429"/>
      <c r="BZ17" s="429"/>
      <c r="CA17" s="429"/>
      <c r="CB17" s="429"/>
      <c r="CC17" s="429"/>
      <c r="CD17" s="429"/>
      <c r="CE17" s="429"/>
      <c r="CF17" s="429"/>
      <c r="CG17" s="429"/>
      <c r="CH17" s="429"/>
      <c r="CI17" s="429"/>
      <c r="CJ17" s="421"/>
      <c r="CK17" s="421"/>
    </row>
    <row r="18">
      <c r="A18" s="459"/>
      <c r="B18" s="147"/>
      <c r="C18" s="453" t="s">
        <v>671</v>
      </c>
      <c r="D18" s="443" t="s">
        <v>658</v>
      </c>
      <c r="E18" s="444" t="s">
        <v>652</v>
      </c>
      <c r="F18" s="444" t="s">
        <v>652</v>
      </c>
      <c r="G18" s="603">
        <v>269.0</v>
      </c>
      <c r="H18" s="147"/>
      <c r="I18" s="603">
        <v>276.0</v>
      </c>
      <c r="J18" s="147"/>
      <c r="K18" s="607">
        <v>278.0</v>
      </c>
      <c r="L18" s="147"/>
      <c r="M18" s="607">
        <v>278.0</v>
      </c>
      <c r="N18" s="147"/>
      <c r="O18" s="607">
        <v>278.0</v>
      </c>
      <c r="P18" s="147"/>
      <c r="Q18" s="607">
        <v>276.0</v>
      </c>
      <c r="R18" s="610"/>
      <c r="S18" s="607">
        <v>276.0</v>
      </c>
      <c r="T18" s="147"/>
      <c r="U18" s="607">
        <v>276.0</v>
      </c>
      <c r="V18" s="147"/>
      <c r="W18" s="607"/>
      <c r="X18" s="147"/>
      <c r="Y18" s="607"/>
      <c r="Z18" s="610"/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21"/>
      <c r="BC18" s="421"/>
      <c r="BD18" s="421"/>
      <c r="BE18" s="421"/>
      <c r="BF18" s="421"/>
      <c r="BG18" s="421"/>
      <c r="BH18" s="421"/>
      <c r="BI18" s="421"/>
      <c r="BJ18" s="421"/>
      <c r="BK18" s="421"/>
      <c r="BL18" s="421"/>
      <c r="BM18" s="421"/>
      <c r="BN18" s="421"/>
      <c r="BO18" s="421"/>
      <c r="BP18" s="421"/>
      <c r="BQ18" s="421"/>
      <c r="BR18" s="421"/>
      <c r="BS18" s="421"/>
      <c r="BT18" s="421"/>
      <c r="BU18" s="421"/>
      <c r="BV18" s="421"/>
      <c r="BW18" s="421"/>
      <c r="BX18" s="429"/>
      <c r="BY18" s="429"/>
      <c r="BZ18" s="429"/>
      <c r="CA18" s="429"/>
      <c r="CB18" s="429"/>
      <c r="CC18" s="429"/>
      <c r="CD18" s="429"/>
      <c r="CE18" s="429"/>
      <c r="CF18" s="429"/>
      <c r="CG18" s="429"/>
      <c r="CH18" s="429"/>
      <c r="CI18" s="429"/>
      <c r="CJ18" s="421"/>
      <c r="CK18" s="421"/>
    </row>
    <row r="19">
      <c r="A19" s="451" t="s">
        <v>627</v>
      </c>
      <c r="B19" s="452" t="s">
        <v>630</v>
      </c>
      <c r="C19" s="453" t="s">
        <v>672</v>
      </c>
      <c r="D19" s="443" t="s">
        <v>658</v>
      </c>
      <c r="E19" s="444" t="s">
        <v>652</v>
      </c>
      <c r="F19" s="444" t="s">
        <v>652</v>
      </c>
      <c r="G19" s="603">
        <v>441420.0</v>
      </c>
      <c r="H19" s="606">
        <f>SUM(G19:G22)/G33</f>
        <v>0.5359661413</v>
      </c>
      <c r="I19" s="603">
        <v>906660.0</v>
      </c>
      <c r="J19" s="606">
        <f>SUM(I19:I22)/I33</f>
        <v>0.6472226857</v>
      </c>
      <c r="K19" s="607">
        <v>1072370.0</v>
      </c>
      <c r="L19" s="606">
        <f>SUM(K19:K22)/K33</f>
        <v>0.6683089893</v>
      </c>
      <c r="M19" s="607">
        <v>957750.0</v>
      </c>
      <c r="N19" s="606">
        <f>SUM(M19:M22)/M33</f>
        <v>0.5877750601</v>
      </c>
      <c r="O19" s="607">
        <v>1069980.0</v>
      </c>
      <c r="P19" s="606">
        <f>SUM(O19:O22)/O33</f>
        <v>0.5824259227</v>
      </c>
      <c r="Q19" s="607">
        <v>907480.0</v>
      </c>
      <c r="R19" s="608">
        <f>SUM(Q19:Q22)/Q33</f>
        <v>0.5737579558</v>
      </c>
      <c r="S19" s="607">
        <v>341760.0</v>
      </c>
      <c r="T19" s="606">
        <f>SUM(S19:S22)/S33</f>
        <v>0.6115332502</v>
      </c>
      <c r="U19" s="607">
        <v>342600.0</v>
      </c>
      <c r="V19" s="606">
        <f>SUM(U19:U22)/U33</f>
        <v>0.5007062129</v>
      </c>
      <c r="W19" s="607"/>
      <c r="X19" s="606">
        <f>SUM(W19:W22)/W33</f>
        <v>0</v>
      </c>
      <c r="Y19" s="607"/>
      <c r="Z19" s="608">
        <f>SUM(Y19:Y22)/Y33</f>
        <v>0</v>
      </c>
      <c r="AA19" s="428"/>
      <c r="AB19" s="428"/>
      <c r="AC19" s="428"/>
      <c r="AD19" s="428"/>
      <c r="AE19" s="428"/>
      <c r="AF19" s="428"/>
      <c r="AG19" s="428"/>
      <c r="AH19" s="428"/>
      <c r="AI19" s="428"/>
      <c r="AJ19" s="428"/>
      <c r="AK19" s="428"/>
      <c r="AL19" s="428"/>
      <c r="AM19" s="428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  <c r="BV19" s="421"/>
      <c r="BW19" s="421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1"/>
      <c r="CK19" s="421"/>
    </row>
    <row r="20">
      <c r="A20" s="457"/>
      <c r="B20" s="146"/>
      <c r="C20" s="453" t="s">
        <v>673</v>
      </c>
      <c r="D20" s="443" t="s">
        <v>658</v>
      </c>
      <c r="E20" s="444" t="s">
        <v>652</v>
      </c>
      <c r="F20" s="444" t="s">
        <v>652</v>
      </c>
      <c r="G20" s="603">
        <v>2687051.0</v>
      </c>
      <c r="H20" s="146"/>
      <c r="I20" s="603">
        <v>2727709.0</v>
      </c>
      <c r="J20" s="146"/>
      <c r="K20" s="607">
        <v>3090423.0</v>
      </c>
      <c r="L20" s="146"/>
      <c r="M20" s="607">
        <v>2457034.0</v>
      </c>
      <c r="N20" s="146"/>
      <c r="O20" s="607">
        <v>2250784.0</v>
      </c>
      <c r="P20" s="146"/>
      <c r="Q20" s="607">
        <v>2357681.0</v>
      </c>
      <c r="R20" s="609"/>
      <c r="S20" s="607">
        <v>3425824.0</v>
      </c>
      <c r="T20" s="146"/>
      <c r="U20" s="607">
        <v>2738551.0</v>
      </c>
      <c r="V20" s="146"/>
      <c r="W20" s="607"/>
      <c r="X20" s="146"/>
      <c r="Y20" s="607"/>
      <c r="Z20" s="609"/>
      <c r="AA20" s="428"/>
      <c r="AB20" s="428"/>
      <c r="AC20" s="428"/>
      <c r="AD20" s="428"/>
      <c r="AE20" s="428"/>
      <c r="AF20" s="428"/>
      <c r="AG20" s="428"/>
      <c r="AH20" s="428"/>
      <c r="AI20" s="428"/>
      <c r="AJ20" s="428"/>
      <c r="AK20" s="428"/>
      <c r="AL20" s="428"/>
      <c r="AM20" s="428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21"/>
      <c r="BC20" s="421"/>
      <c r="BD20" s="421"/>
      <c r="BE20" s="421"/>
      <c r="BF20" s="421"/>
      <c r="BG20" s="421"/>
      <c r="BH20" s="421"/>
      <c r="BI20" s="421"/>
      <c r="BJ20" s="421"/>
      <c r="BK20" s="421"/>
      <c r="BL20" s="421"/>
      <c r="BM20" s="421"/>
      <c r="BN20" s="421"/>
      <c r="BO20" s="421"/>
      <c r="BP20" s="421"/>
      <c r="BQ20" s="421"/>
      <c r="BR20" s="421"/>
      <c r="BS20" s="421"/>
      <c r="BT20" s="421"/>
      <c r="BU20" s="421"/>
      <c r="BV20" s="421"/>
      <c r="BW20" s="421"/>
      <c r="BX20" s="429"/>
      <c r="BY20" s="429"/>
      <c r="BZ20" s="429"/>
      <c r="CA20" s="429"/>
      <c r="CB20" s="429"/>
      <c r="CC20" s="429"/>
      <c r="CD20" s="429"/>
      <c r="CE20" s="429"/>
      <c r="CF20" s="429"/>
      <c r="CG20" s="429"/>
      <c r="CH20" s="429"/>
      <c r="CI20" s="429"/>
      <c r="CJ20" s="421"/>
      <c r="CK20" s="421"/>
    </row>
    <row r="21">
      <c r="A21" s="457"/>
      <c r="B21" s="146"/>
      <c r="C21" s="458" t="s">
        <v>674</v>
      </c>
      <c r="D21" s="443" t="s">
        <v>658</v>
      </c>
      <c r="E21" s="444" t="s">
        <v>652</v>
      </c>
      <c r="F21" s="444" t="s">
        <v>652</v>
      </c>
      <c r="G21" s="607">
        <v>0.0</v>
      </c>
      <c r="H21" s="146"/>
      <c r="I21" s="607">
        <v>0.0</v>
      </c>
      <c r="J21" s="146"/>
      <c r="K21" s="607">
        <v>0.0</v>
      </c>
      <c r="L21" s="146"/>
      <c r="M21" s="607">
        <v>0.0</v>
      </c>
      <c r="N21" s="146"/>
      <c r="O21" s="607">
        <v>34025.0</v>
      </c>
      <c r="P21" s="146"/>
      <c r="Q21" s="607">
        <v>136713.0</v>
      </c>
      <c r="R21" s="609"/>
      <c r="S21" s="607">
        <v>484582.0</v>
      </c>
      <c r="T21" s="146"/>
      <c r="U21" s="607">
        <v>777908.0</v>
      </c>
      <c r="V21" s="146"/>
      <c r="W21" s="607"/>
      <c r="X21" s="146"/>
      <c r="Y21" s="607"/>
      <c r="Z21" s="609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21"/>
      <c r="BC21" s="421"/>
      <c r="BD21" s="421"/>
      <c r="BE21" s="421"/>
      <c r="BF21" s="421"/>
      <c r="BG21" s="421"/>
      <c r="BH21" s="421"/>
      <c r="BI21" s="421"/>
      <c r="BJ21" s="421"/>
      <c r="BK21" s="421"/>
      <c r="BL21" s="421"/>
      <c r="BM21" s="421"/>
      <c r="BN21" s="421"/>
      <c r="BO21" s="421"/>
      <c r="BP21" s="421"/>
      <c r="BQ21" s="421"/>
      <c r="BR21" s="421"/>
      <c r="BS21" s="421"/>
      <c r="BT21" s="421"/>
      <c r="BU21" s="421"/>
      <c r="BV21" s="421"/>
      <c r="BW21" s="421"/>
      <c r="BX21" s="429"/>
      <c r="BY21" s="429"/>
      <c r="BZ21" s="429"/>
      <c r="CA21" s="429"/>
      <c r="CB21" s="429"/>
      <c r="CC21" s="429"/>
      <c r="CD21" s="429"/>
      <c r="CE21" s="429"/>
      <c r="CF21" s="429"/>
      <c r="CG21" s="429"/>
      <c r="CH21" s="429"/>
      <c r="CI21" s="429"/>
      <c r="CJ21" s="421"/>
      <c r="CK21" s="421"/>
    </row>
    <row r="22">
      <c r="A22" s="457"/>
      <c r="B22" s="146"/>
      <c r="C22" s="453" t="s">
        <v>675</v>
      </c>
      <c r="D22" s="443" t="s">
        <v>658</v>
      </c>
      <c r="E22" s="444" t="s">
        <v>652</v>
      </c>
      <c r="F22" s="444" t="s">
        <v>652</v>
      </c>
      <c r="G22" s="603">
        <v>1010624.0</v>
      </c>
      <c r="H22" s="147"/>
      <c r="I22" s="603">
        <v>1412313.0</v>
      </c>
      <c r="J22" s="147"/>
      <c r="K22" s="607">
        <v>1448489.0</v>
      </c>
      <c r="L22" s="147"/>
      <c r="M22" s="607">
        <v>1419198.0</v>
      </c>
      <c r="N22" s="147"/>
      <c r="O22" s="607">
        <v>1594875.0</v>
      </c>
      <c r="P22" s="147"/>
      <c r="Q22" s="607">
        <v>1666476.0</v>
      </c>
      <c r="R22" s="610"/>
      <c r="S22" s="607">
        <v>1985656.0</v>
      </c>
      <c r="T22" s="146"/>
      <c r="U22" s="607">
        <v>2341516.0</v>
      </c>
      <c r="V22" s="146"/>
      <c r="W22" s="607"/>
      <c r="X22" s="146"/>
      <c r="Y22" s="607"/>
      <c r="Z22" s="609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428"/>
      <c r="AN22" s="421"/>
      <c r="AO22" s="421"/>
      <c r="AP22" s="421"/>
      <c r="AQ22" s="421"/>
      <c r="AR22" s="421"/>
      <c r="AS22" s="421"/>
      <c r="AT22" s="421"/>
      <c r="AU22" s="421"/>
      <c r="AV22" s="421"/>
      <c r="AW22" s="421"/>
      <c r="AX22" s="421"/>
      <c r="AY22" s="421"/>
      <c r="AZ22" s="421"/>
      <c r="BA22" s="421"/>
      <c r="BB22" s="421"/>
      <c r="BC22" s="421"/>
      <c r="BD22" s="421"/>
      <c r="BE22" s="421"/>
      <c r="BF22" s="421"/>
      <c r="BG22" s="421"/>
      <c r="BH22" s="421"/>
      <c r="BI22" s="421"/>
      <c r="BJ22" s="421"/>
      <c r="BK22" s="421"/>
      <c r="BL22" s="421"/>
      <c r="BM22" s="421"/>
      <c r="BN22" s="421"/>
      <c r="BO22" s="421"/>
      <c r="BP22" s="421"/>
      <c r="BQ22" s="421"/>
      <c r="BR22" s="421"/>
      <c r="BS22" s="421"/>
      <c r="BT22" s="421"/>
      <c r="BU22" s="421"/>
      <c r="BV22" s="421"/>
      <c r="BW22" s="421"/>
      <c r="BX22" s="429"/>
      <c r="BY22" s="429"/>
      <c r="BZ22" s="429"/>
      <c r="CA22" s="429"/>
      <c r="CB22" s="429"/>
      <c r="CC22" s="429"/>
      <c r="CD22" s="429"/>
      <c r="CE22" s="429"/>
      <c r="CF22" s="429"/>
      <c r="CG22" s="429"/>
      <c r="CH22" s="429"/>
      <c r="CI22" s="429"/>
      <c r="CJ22" s="421"/>
      <c r="CK22" s="421"/>
    </row>
    <row r="23">
      <c r="A23" s="457"/>
      <c r="B23" s="147"/>
      <c r="C23" s="458" t="s">
        <v>676</v>
      </c>
      <c r="D23" s="443"/>
      <c r="E23" s="444"/>
      <c r="F23" s="444"/>
      <c r="G23" s="603"/>
      <c r="H23" s="611"/>
      <c r="I23" s="603"/>
      <c r="J23" s="611"/>
      <c r="K23" s="607"/>
      <c r="L23" s="611"/>
      <c r="M23" s="607"/>
      <c r="N23" s="611"/>
      <c r="O23" s="607"/>
      <c r="P23" s="611"/>
      <c r="Q23" s="607"/>
      <c r="R23" s="612"/>
      <c r="S23" s="607"/>
      <c r="T23" s="147"/>
      <c r="U23" s="607">
        <v>400000.0</v>
      </c>
      <c r="V23" s="147"/>
      <c r="W23" s="607"/>
      <c r="X23" s="147"/>
      <c r="Y23" s="607"/>
      <c r="Z23" s="610"/>
      <c r="AA23" s="428"/>
      <c r="AB23" s="428"/>
      <c r="AC23" s="428"/>
      <c r="AD23" s="428"/>
      <c r="AE23" s="428"/>
      <c r="AF23" s="428"/>
      <c r="AG23" s="428"/>
      <c r="AH23" s="428"/>
      <c r="AI23" s="428"/>
      <c r="AJ23" s="428"/>
      <c r="AK23" s="428"/>
      <c r="AL23" s="428"/>
      <c r="AM23" s="428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1"/>
      <c r="BO23" s="421"/>
      <c r="BP23" s="421"/>
      <c r="BQ23" s="421"/>
      <c r="BR23" s="421"/>
      <c r="BS23" s="421"/>
      <c r="BT23" s="421"/>
      <c r="BU23" s="421"/>
      <c r="BV23" s="421"/>
      <c r="BW23" s="421"/>
      <c r="BX23" s="429"/>
      <c r="BY23" s="429"/>
      <c r="BZ23" s="429"/>
      <c r="CA23" s="429"/>
      <c r="CB23" s="429"/>
      <c r="CC23" s="429"/>
      <c r="CD23" s="429"/>
      <c r="CE23" s="429"/>
      <c r="CF23" s="429"/>
      <c r="CG23" s="429"/>
      <c r="CH23" s="429"/>
      <c r="CI23" s="429"/>
      <c r="CJ23" s="421"/>
      <c r="CK23" s="421"/>
    </row>
    <row r="24">
      <c r="A24" s="457"/>
      <c r="B24" s="460" t="s">
        <v>677</v>
      </c>
      <c r="C24" s="453" t="s">
        <v>671</v>
      </c>
      <c r="D24" s="443" t="s">
        <v>658</v>
      </c>
      <c r="E24" s="444" t="s">
        <v>652</v>
      </c>
      <c r="F24" s="444" t="s">
        <v>652</v>
      </c>
      <c r="G24" s="603">
        <v>0.0</v>
      </c>
      <c r="H24" s="611">
        <f>G24/G33</f>
        <v>0</v>
      </c>
      <c r="I24" s="603">
        <v>0.0</v>
      </c>
      <c r="J24" s="611">
        <f>I24/I33</f>
        <v>0</v>
      </c>
      <c r="K24" s="607">
        <v>0.0</v>
      </c>
      <c r="L24" s="611">
        <f>K24/K33</f>
        <v>0</v>
      </c>
      <c r="M24" s="607">
        <v>0.0</v>
      </c>
      <c r="N24" s="611">
        <f>M24/M33</f>
        <v>0</v>
      </c>
      <c r="O24" s="607">
        <v>0.0</v>
      </c>
      <c r="P24" s="611">
        <f>O24/O33</f>
        <v>0</v>
      </c>
      <c r="Q24" s="607">
        <v>0.0</v>
      </c>
      <c r="R24" s="612">
        <f>Q24/Q33</f>
        <v>0</v>
      </c>
      <c r="S24" s="607">
        <v>0.0</v>
      </c>
      <c r="T24" s="611">
        <f>S24/S33</f>
        <v>0</v>
      </c>
      <c r="U24" s="607">
        <v>0.0</v>
      </c>
      <c r="V24" s="611">
        <f>U24/U33</f>
        <v>0</v>
      </c>
      <c r="W24" s="607"/>
      <c r="X24" s="611">
        <f>W24/W33</f>
        <v>0</v>
      </c>
      <c r="Y24" s="607"/>
      <c r="Z24" s="612">
        <f>Y24/Y33</f>
        <v>0</v>
      </c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  <c r="BQ24" s="421"/>
      <c r="BR24" s="421"/>
      <c r="BS24" s="421"/>
      <c r="BT24" s="421"/>
      <c r="BU24" s="421"/>
      <c r="BV24" s="421"/>
      <c r="BW24" s="421"/>
      <c r="BX24" s="429"/>
      <c r="BY24" s="429"/>
      <c r="BZ24" s="429"/>
      <c r="CA24" s="429"/>
      <c r="CB24" s="429"/>
      <c r="CC24" s="429"/>
      <c r="CD24" s="429"/>
      <c r="CE24" s="429"/>
      <c r="CF24" s="429"/>
      <c r="CG24" s="429"/>
      <c r="CH24" s="429"/>
      <c r="CI24" s="429"/>
      <c r="CJ24" s="421"/>
      <c r="CK24" s="421"/>
    </row>
    <row r="25">
      <c r="A25" s="457"/>
      <c r="B25" s="452" t="s">
        <v>678</v>
      </c>
      <c r="C25" s="453" t="s">
        <v>679</v>
      </c>
      <c r="D25" s="443" t="s">
        <v>658</v>
      </c>
      <c r="E25" s="444" t="s">
        <v>652</v>
      </c>
      <c r="F25" s="444" t="s">
        <v>652</v>
      </c>
      <c r="G25" s="603">
        <v>163.0</v>
      </c>
      <c r="H25" s="606">
        <f>SUM(G25:G26)/G33</f>
        <v>0.00220480455</v>
      </c>
      <c r="I25" s="603">
        <v>160.0</v>
      </c>
      <c r="J25" s="606">
        <f>SUM(I25:I26)/I33</f>
        <v>0.03671524114</v>
      </c>
      <c r="K25" s="607">
        <v>52.0</v>
      </c>
      <c r="L25" s="606">
        <f>SUM(K25:K26)/K33</f>
        <v>0.02017820122</v>
      </c>
      <c r="M25" s="607">
        <v>27.0</v>
      </c>
      <c r="N25" s="606">
        <f>SUM(M25:M26)/M33</f>
        <v>0.008042845241</v>
      </c>
      <c r="O25" s="607">
        <v>30.0</v>
      </c>
      <c r="P25" s="606">
        <f>SUM(O25:O26)/O33</f>
        <v>0.00927849827</v>
      </c>
      <c r="Q25" s="607">
        <v>0.0</v>
      </c>
      <c r="R25" s="608">
        <f>SUM(Q25:Q26)/Q33</f>
        <v>0.02222241593</v>
      </c>
      <c r="S25" s="607">
        <v>99033.0</v>
      </c>
      <c r="T25" s="606">
        <f>SUM(S25:S26)/S33</f>
        <v>0.03233513057</v>
      </c>
      <c r="U25" s="607">
        <v>85387.0</v>
      </c>
      <c r="V25" s="606">
        <f>SUM(U25:U26)/U33</f>
        <v>0.03030404826</v>
      </c>
      <c r="W25" s="607"/>
      <c r="X25" s="606">
        <f>SUM(W25:W26)/W33</f>
        <v>0</v>
      </c>
      <c r="Y25" s="607"/>
      <c r="Z25" s="608">
        <f>SUM(Y25:Y26)/Y33</f>
        <v>0</v>
      </c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428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21"/>
      <c r="BC25" s="421"/>
      <c r="BD25" s="421"/>
      <c r="BE25" s="421"/>
      <c r="BF25" s="421"/>
      <c r="BG25" s="421"/>
      <c r="BH25" s="421"/>
      <c r="BI25" s="421"/>
      <c r="BJ25" s="421"/>
      <c r="BK25" s="421"/>
      <c r="BL25" s="421"/>
      <c r="BM25" s="421"/>
      <c r="BN25" s="421"/>
      <c r="BO25" s="421"/>
      <c r="BP25" s="421"/>
      <c r="BQ25" s="421"/>
      <c r="BR25" s="421"/>
      <c r="BS25" s="421"/>
      <c r="BT25" s="421"/>
      <c r="BU25" s="421"/>
      <c r="BV25" s="421"/>
      <c r="BW25" s="421"/>
      <c r="BX25" s="429"/>
      <c r="BY25" s="429"/>
      <c r="BZ25" s="429"/>
      <c r="CA25" s="429"/>
      <c r="CB25" s="429"/>
      <c r="CC25" s="429"/>
      <c r="CD25" s="429"/>
      <c r="CE25" s="429"/>
      <c r="CF25" s="429"/>
      <c r="CG25" s="429"/>
      <c r="CH25" s="429"/>
      <c r="CI25" s="429"/>
      <c r="CJ25" s="421"/>
      <c r="CK25" s="421"/>
    </row>
    <row r="26">
      <c r="A26" s="459"/>
      <c r="B26" s="147"/>
      <c r="C26" s="453" t="s">
        <v>680</v>
      </c>
      <c r="D26" s="443" t="s">
        <v>658</v>
      </c>
      <c r="E26" s="444" t="s">
        <v>652</v>
      </c>
      <c r="F26" s="444" t="s">
        <v>652</v>
      </c>
      <c r="G26" s="603">
        <v>16864.0</v>
      </c>
      <c r="H26" s="147"/>
      <c r="I26" s="603">
        <v>286125.0</v>
      </c>
      <c r="J26" s="147"/>
      <c r="K26" s="607">
        <v>169369.0</v>
      </c>
      <c r="L26" s="147"/>
      <c r="M26" s="607">
        <v>66119.0</v>
      </c>
      <c r="N26" s="147"/>
      <c r="O26" s="607">
        <v>78822.0</v>
      </c>
      <c r="P26" s="147"/>
      <c r="Q26" s="607">
        <v>196304.0</v>
      </c>
      <c r="R26" s="610"/>
      <c r="S26" s="607">
        <v>230795.0</v>
      </c>
      <c r="T26" s="147"/>
      <c r="U26" s="607">
        <v>289888.0</v>
      </c>
      <c r="V26" s="147"/>
      <c r="W26" s="607"/>
      <c r="X26" s="147"/>
      <c r="Y26" s="607"/>
      <c r="Z26" s="610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/>
      <c r="AZ26" s="421"/>
      <c r="BA26" s="421"/>
      <c r="BB26" s="421"/>
      <c r="BC26" s="421"/>
      <c r="BD26" s="421"/>
      <c r="BE26" s="421"/>
      <c r="BF26" s="421"/>
      <c r="BG26" s="421"/>
      <c r="BH26" s="421"/>
      <c r="BI26" s="421"/>
      <c r="BJ26" s="421"/>
      <c r="BK26" s="421"/>
      <c r="BL26" s="421"/>
      <c r="BM26" s="421"/>
      <c r="BN26" s="421"/>
      <c r="BO26" s="421"/>
      <c r="BP26" s="421"/>
      <c r="BQ26" s="421"/>
      <c r="BR26" s="421"/>
      <c r="BS26" s="421"/>
      <c r="BT26" s="421"/>
      <c r="BU26" s="421"/>
      <c r="BV26" s="421"/>
      <c r="BW26" s="421"/>
      <c r="BX26" s="429"/>
      <c r="BY26" s="429"/>
      <c r="BZ26" s="429"/>
      <c r="CA26" s="429"/>
      <c r="CB26" s="429"/>
      <c r="CC26" s="429"/>
      <c r="CD26" s="429"/>
      <c r="CE26" s="429"/>
      <c r="CF26" s="429"/>
      <c r="CG26" s="429"/>
      <c r="CH26" s="429"/>
      <c r="CI26" s="429"/>
      <c r="CJ26" s="421"/>
      <c r="CK26" s="421"/>
    </row>
    <row r="27">
      <c r="A27" s="461" t="s">
        <v>681</v>
      </c>
      <c r="B27" s="15"/>
      <c r="C27" s="462"/>
      <c r="D27" s="443" t="s">
        <v>652</v>
      </c>
      <c r="E27" s="444" t="s">
        <v>652</v>
      </c>
      <c r="F27" s="444" t="s">
        <v>652</v>
      </c>
      <c r="G27" s="464">
        <f>SUM(G6:G26)</f>
        <v>5506222</v>
      </c>
      <c r="H27" s="613">
        <f>G27/G33</f>
        <v>0.7129936758</v>
      </c>
      <c r="I27" s="464">
        <f>SUM(I6:I26)</f>
        <v>5557668</v>
      </c>
      <c r="J27" s="613">
        <f>I27/I33</f>
        <v>0.7127551942</v>
      </c>
      <c r="K27" s="464">
        <f>SUM(K6:K26)</f>
        <v>6078444</v>
      </c>
      <c r="L27" s="613">
        <f>K27/K33</f>
        <v>0.723948425</v>
      </c>
      <c r="M27" s="464">
        <f>SUM(M6:M26)</f>
        <v>5874619</v>
      </c>
      <c r="N27" s="613">
        <f>M27/M33</f>
        <v>0.7143085215</v>
      </c>
      <c r="O27" s="464">
        <f>SUM(O6:O26)</f>
        <v>6064141</v>
      </c>
      <c r="P27" s="613">
        <f>O27/O33</f>
        <v>0.7135661971</v>
      </c>
      <c r="Q27" s="464">
        <f>SUM(Q6:Q26)</f>
        <v>6363366</v>
      </c>
      <c r="R27" s="614">
        <f>Q27/Q33</f>
        <v>0.7203590653</v>
      </c>
      <c r="S27" s="464">
        <f>SUM(S6:S26)</f>
        <v>7647721</v>
      </c>
      <c r="T27" s="613">
        <f>S27/S33</f>
        <v>0.7497545905</v>
      </c>
      <c r="U27" s="464">
        <f>SUM(U6:U26)</f>
        <v>9792363</v>
      </c>
      <c r="V27" s="613">
        <f>U27/U33</f>
        <v>0.7907487601</v>
      </c>
      <c r="W27" s="464">
        <f>SUM(W6:W26)</f>
        <v>0</v>
      </c>
      <c r="X27" s="613">
        <f>W27/W33</f>
        <v>0</v>
      </c>
      <c r="Y27" s="464">
        <f>SUM(Y6:Y26)</f>
        <v>0</v>
      </c>
      <c r="Z27" s="614">
        <f>Y27/Y33</f>
        <v>0</v>
      </c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1"/>
      <c r="AO27" s="421"/>
      <c r="AP27" s="421"/>
      <c r="AQ27" s="421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21"/>
      <c r="BC27" s="421"/>
      <c r="BD27" s="421"/>
      <c r="BE27" s="421"/>
      <c r="BF27" s="421"/>
      <c r="BG27" s="421"/>
      <c r="BH27" s="421"/>
      <c r="BI27" s="421"/>
      <c r="BJ27" s="421"/>
      <c r="BK27" s="421"/>
      <c r="BL27" s="421"/>
      <c r="BM27" s="421"/>
      <c r="BN27" s="421"/>
      <c r="BO27" s="421"/>
      <c r="BP27" s="421"/>
      <c r="BQ27" s="421"/>
      <c r="BR27" s="421"/>
      <c r="BS27" s="421"/>
      <c r="BT27" s="421"/>
      <c r="BU27" s="421"/>
      <c r="BV27" s="421"/>
      <c r="BW27" s="421"/>
      <c r="BX27" s="429"/>
      <c r="BY27" s="429"/>
      <c r="BZ27" s="429"/>
      <c r="CA27" s="429"/>
      <c r="CB27" s="429"/>
      <c r="CC27" s="429"/>
      <c r="CD27" s="429"/>
      <c r="CE27" s="429"/>
      <c r="CF27" s="429"/>
      <c r="CG27" s="429"/>
      <c r="CH27" s="429"/>
      <c r="CI27" s="429"/>
      <c r="CJ27" s="421"/>
      <c r="CK27" s="421"/>
    </row>
    <row r="28">
      <c r="A28" s="466" t="s">
        <v>682</v>
      </c>
      <c r="B28" s="15"/>
      <c r="C28" s="462"/>
      <c r="D28" s="443" t="s">
        <v>652</v>
      </c>
      <c r="E28" s="444" t="s">
        <v>652</v>
      </c>
      <c r="F28" s="444" t="s">
        <v>652</v>
      </c>
      <c r="G28" s="615"/>
      <c r="H28" s="15"/>
      <c r="I28" s="15"/>
      <c r="J28" s="16"/>
      <c r="K28" s="604"/>
      <c r="L28" s="604"/>
      <c r="M28" s="604"/>
      <c r="N28" s="604"/>
      <c r="O28" s="604"/>
      <c r="P28" s="604"/>
      <c r="Q28" s="604"/>
      <c r="R28" s="605"/>
      <c r="S28" s="604"/>
      <c r="T28" s="604"/>
      <c r="U28" s="604"/>
      <c r="V28" s="604"/>
      <c r="W28" s="604"/>
      <c r="X28" s="604"/>
      <c r="Y28" s="604"/>
      <c r="Z28" s="605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1"/>
      <c r="AO28" s="421"/>
      <c r="AP28" s="421"/>
      <c r="AQ28" s="421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421"/>
      <c r="BH28" s="421"/>
      <c r="BI28" s="421"/>
      <c r="BJ28" s="421"/>
      <c r="BK28" s="421"/>
      <c r="BL28" s="421"/>
      <c r="BM28" s="421"/>
      <c r="BN28" s="421"/>
      <c r="BO28" s="421"/>
      <c r="BP28" s="421"/>
      <c r="BQ28" s="421"/>
      <c r="BR28" s="421"/>
      <c r="BS28" s="421"/>
      <c r="BT28" s="421"/>
      <c r="BU28" s="421"/>
      <c r="BV28" s="421"/>
      <c r="BW28" s="421"/>
      <c r="BX28" s="429"/>
      <c r="BY28" s="429"/>
      <c r="BZ28" s="429"/>
      <c r="CA28" s="429"/>
      <c r="CB28" s="429"/>
      <c r="CC28" s="429"/>
      <c r="CD28" s="429"/>
      <c r="CE28" s="429"/>
      <c r="CF28" s="429"/>
      <c r="CG28" s="429"/>
      <c r="CH28" s="429"/>
      <c r="CI28" s="429"/>
      <c r="CJ28" s="421"/>
      <c r="CK28" s="421"/>
    </row>
    <row r="29">
      <c r="A29" s="469" t="s">
        <v>625</v>
      </c>
      <c r="B29" s="460" t="s">
        <v>628</v>
      </c>
      <c r="C29" s="453" t="s">
        <v>631</v>
      </c>
      <c r="D29" s="470" t="s">
        <v>774</v>
      </c>
      <c r="E29" s="471">
        <v>3.0</v>
      </c>
      <c r="F29" s="471">
        <v>1.0</v>
      </c>
      <c r="G29" s="474">
        <f>IFERROR(__xludf.DUMMYFUNCTION("INDIRECT(CONCATENATE(""'"",INDEX(SPLIT($D29,""E""),1),""E"",INDEX(SPLIT($D29,""E""),2)+$E29*(COLUMN()-COLUMN($G29))/2))"),1530000.0)</f>
        <v>1530000</v>
      </c>
      <c r="H29" s="616">
        <f t="shared" ref="H29:H33" si="1">G29/G$33</f>
        <v>0.1981177519</v>
      </c>
      <c r="I29" s="474">
        <f>IFERROR(__xludf.DUMMYFUNCTION("INDIRECT(CONCATENATE(""'"",INDEX(SPLIT($D29,""E""),1),""E"",INDEX(SPLIT($D29,""E""),2)+$E29*(COLUMN()-COLUMN($G29))/2))"),1580000.0)</f>
        <v>1580000</v>
      </c>
      <c r="J29" s="616">
        <f t="shared" ref="J29:J32" si="2">I29/I$33</f>
        <v>0.202630529</v>
      </c>
      <c r="K29" s="474">
        <f>IFERROR(__xludf.DUMMYFUNCTION("INDIRECT(CONCATENATE(""'"",INDEX(SPLIT($D29,""E""),1),""E"",INDEX(SPLIT($D29,""E""),2)+$E29*(COLUMN()-COLUMN($G29))/2))"),1680000.0)</f>
        <v>1680000</v>
      </c>
      <c r="L29" s="616">
        <f t="shared" ref="L29:L32" si="3">K29/K$33</f>
        <v>0.2000895877</v>
      </c>
      <c r="M29" s="474">
        <f>IFERROR(__xludf.DUMMYFUNCTION("INDIRECT(CONCATENATE(""'"",INDEX(SPLIT($D29,""E""),1),""E"",INDEX(SPLIT($D29,""E""),2)+$E29*(COLUMN()-COLUMN($G29))/2))"),1730000.0)</f>
        <v>1730000</v>
      </c>
      <c r="N29" s="616">
        <f t="shared" ref="N29:N32" si="4">M29/M$33</f>
        <v>0.2103547042</v>
      </c>
      <c r="O29" s="474">
        <f>IFERROR(__xludf.DUMMYFUNCTION("INDIRECT(CONCATENATE(""'"",INDEX(SPLIT($D29,""E""),1),""E"",INDEX(SPLIT($D29,""E""),2)+$E29*(COLUMN()-COLUMN($G29))/2))"),1830000.0)</f>
        <v>1830000</v>
      </c>
      <c r="P29" s="616">
        <f t="shared" ref="P29:P32" si="5">O29/O$33</f>
        <v>0.2153357154</v>
      </c>
      <c r="Q29" s="474">
        <v>1880000.0</v>
      </c>
      <c r="R29" s="617">
        <f t="shared" ref="R29:R32" si="6">Q29/Q$33</f>
        <v>0.2128236915</v>
      </c>
      <c r="S29" s="474">
        <f>IFERROR(__xludf.DUMMYFUNCTION("INDIRECT(CONCATENATE(""'"",INDEX(SPLIT($D29,""E""),1),""E"",INDEX(SPLIT($D29,""E""),2)+$E29*(COLUMN()-COLUMN($G29))/2))"),1975000.0)</f>
        <v>1975000</v>
      </c>
      <c r="T29" s="616">
        <f t="shared" ref="T29:T32" si="7">S29/S$33</f>
        <v>0.1936217752</v>
      </c>
      <c r="U29" s="474">
        <f>IFERROR(__xludf.DUMMYFUNCTION("INDIRECT(CONCATENATE(""'"",INDEX(SPLIT($D29,""E""),1),""E"",INDEX(SPLIT($D29,""E""),2)+$E29*(COLUMN()-COLUMN($G29))/2))"),2025000.0)</f>
        <v>2025000</v>
      </c>
      <c r="V29" s="616">
        <f t="shared" ref="V29:V32" si="8">U29/U$33</f>
        <v>0.1635219445</v>
      </c>
      <c r="W29" s="474">
        <f>IFERROR(__xludf.DUMMYFUNCTION("INDIRECT(CONCATENATE(""'"",INDEX(SPLIT($D29,""E""),1),""E"",INDEX(SPLIT($D29,""E""),2)+$E29*(COLUMN()-COLUMN($G29))/2))"),2105000.0)</f>
        <v>2105000</v>
      </c>
      <c r="X29" s="616">
        <f t="shared" ref="X29:X32" si="9">W29/W$33</f>
        <v>0.7935541538</v>
      </c>
      <c r="Y29" s="474">
        <v>1880000.0</v>
      </c>
      <c r="Z29" s="617">
        <f t="shared" ref="Z29:Z32" si="10">Y29/Y$33</f>
        <v>0.7610605784</v>
      </c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428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1"/>
      <c r="BE29" s="421"/>
      <c r="BF29" s="421"/>
      <c r="BG29" s="421"/>
      <c r="BH29" s="421"/>
      <c r="BI29" s="421"/>
      <c r="BJ29" s="421"/>
      <c r="BK29" s="421"/>
      <c r="BL29" s="421"/>
      <c r="BM29" s="421"/>
      <c r="BN29" s="421"/>
      <c r="BO29" s="421"/>
      <c r="BP29" s="421"/>
      <c r="BQ29" s="421"/>
      <c r="BR29" s="421"/>
      <c r="BS29" s="421"/>
      <c r="BT29" s="421"/>
      <c r="BU29" s="421"/>
      <c r="BV29" s="421"/>
      <c r="BW29" s="421"/>
      <c r="BX29" s="429"/>
      <c r="BY29" s="429"/>
      <c r="BZ29" s="429"/>
      <c r="CA29" s="429"/>
      <c r="CB29" s="429"/>
      <c r="CC29" s="429"/>
      <c r="CD29" s="429"/>
      <c r="CE29" s="429"/>
      <c r="CF29" s="429"/>
      <c r="CG29" s="429"/>
      <c r="CH29" s="429"/>
      <c r="CI29" s="429"/>
      <c r="CJ29" s="421"/>
      <c r="CK29" s="421"/>
    </row>
    <row r="30">
      <c r="A30" s="451" t="s">
        <v>626</v>
      </c>
      <c r="B30" s="452" t="s">
        <v>629</v>
      </c>
      <c r="C30" s="453" t="s">
        <v>632</v>
      </c>
      <c r="D30" s="470" t="s">
        <v>775</v>
      </c>
      <c r="E30" s="471">
        <v>3.0</v>
      </c>
      <c r="F30" s="471">
        <v>1.0</v>
      </c>
      <c r="G30" s="478">
        <f>IFERROR(__xludf.DUMMYFUNCTION("INDIRECT(CONCATENATE(""'"",INDEX(SPLIT($D30,""H""),1),""H"",INDEX(SPLIT($D30,""H""),2)+$E30*(COLUMN()-COLUMN($G30))/2))"),668239.0)</f>
        <v>668239</v>
      </c>
      <c r="H30" s="616">
        <f t="shared" si="1"/>
        <v>0.08652941725</v>
      </c>
      <c r="I30" s="478">
        <f>IFERROR(__xludf.DUMMYFUNCTION("INDIRECT(CONCATENATE(""'"",INDEX(SPLIT($D30,""H""),1),""H"",INDEX(SPLIT($D30,""H""),2)+$E30*(COLUMN()-COLUMN($G30))/2))"),635382.0)</f>
        <v>635382</v>
      </c>
      <c r="J30" s="616">
        <f t="shared" si="2"/>
        <v>0.08148594353</v>
      </c>
      <c r="K30" s="478">
        <f>IFERROR(__xludf.DUMMYFUNCTION("INDIRECT(CONCATENATE(""'"",INDEX(SPLIT($D30,""H""),1),""H"",INDEX(SPLIT($D30,""H""),2)+$E30*(COLUMN()-COLUMN($G30))/2))"),604141.0)</f>
        <v>604141</v>
      </c>
      <c r="L30" s="616">
        <f t="shared" si="3"/>
        <v>0.07195376406</v>
      </c>
      <c r="M30" s="478">
        <f>IFERROR(__xludf.DUMMYFUNCTION("INDIRECT(CONCATENATE(""'"",INDEX(SPLIT($D30,""H""),1),""H"",INDEX(SPLIT($D30,""H""),2)+$E30*(COLUMN()-COLUMN($G30))/2))"),574436.0)</f>
        <v>574436</v>
      </c>
      <c r="N30" s="616">
        <f t="shared" si="4"/>
        <v>0.06984700282</v>
      </c>
      <c r="O30" s="478">
        <f>IFERROR(__xludf.DUMMYFUNCTION("INDIRECT(CONCATENATE(""'"",INDEX(SPLIT($D30,""H""),1),""H"",INDEX(SPLIT($D30,""H""),2)+$E30*(COLUMN()-COLUMN($G30))/2))"),546192.0)</f>
        <v>546192</v>
      </c>
      <c r="P30" s="616">
        <f t="shared" si="5"/>
        <v>0.06427029786</v>
      </c>
      <c r="Q30" s="478">
        <v>519336.0</v>
      </c>
      <c r="R30" s="617">
        <f t="shared" si="6"/>
        <v>0.05879095993</v>
      </c>
      <c r="S30" s="478">
        <f>IFERROR(__xludf.DUMMYFUNCTION("INDIRECT(CONCATENATE(""'"",INDEX(SPLIT($D30,""H""),1),""H"",INDEX(SPLIT($D30,""H""),2)+$E30*(COLUMN()-COLUMN($G30))/2))"),493801.0)</f>
        <v>493801</v>
      </c>
      <c r="T30" s="616">
        <f t="shared" si="7"/>
        <v>0.04841044365</v>
      </c>
      <c r="U30" s="478">
        <f>IFERROR(__xludf.DUMMYFUNCTION("INDIRECT(CONCATENATE(""'"",INDEX(SPLIT($D30,""H""),1),""H"",INDEX(SPLIT($D30,""H""),2)+$E30*(COLUMN()-COLUMN($G30))/2))"),469523.0)</f>
        <v>469523</v>
      </c>
      <c r="V30" s="616">
        <f t="shared" si="8"/>
        <v>0.03791472294</v>
      </c>
      <c r="W30" s="478">
        <f>IFERROR(__xludf.DUMMYFUNCTION("INDIRECT(CONCATENATE(""'"",INDEX(SPLIT($D30,""H""),1),""H"",INDEX(SPLIT($D30,""H""),2)+$E30*(COLUMN()-COLUMN($G30))/2))"),446438.0)</f>
        <v>446438</v>
      </c>
      <c r="X30" s="616">
        <f t="shared" si="9"/>
        <v>0.168300584</v>
      </c>
      <c r="Y30" s="478">
        <v>519336.0</v>
      </c>
      <c r="Z30" s="617">
        <f t="shared" si="10"/>
        <v>0.2102373173</v>
      </c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21"/>
      <c r="BC30" s="421"/>
      <c r="BD30" s="421"/>
      <c r="BE30" s="421"/>
      <c r="BF30" s="421"/>
      <c r="BG30" s="421"/>
      <c r="BH30" s="421"/>
      <c r="BI30" s="421"/>
      <c r="BJ30" s="421"/>
      <c r="BK30" s="421"/>
      <c r="BL30" s="421"/>
      <c r="BM30" s="421"/>
      <c r="BN30" s="421"/>
      <c r="BO30" s="421"/>
      <c r="BP30" s="421"/>
      <c r="BQ30" s="421"/>
      <c r="BR30" s="421"/>
      <c r="BS30" s="421"/>
      <c r="BT30" s="421"/>
      <c r="BU30" s="421"/>
      <c r="BV30" s="421"/>
      <c r="BW30" s="421"/>
      <c r="BX30" s="429"/>
      <c r="BY30" s="429"/>
      <c r="BZ30" s="429"/>
      <c r="CA30" s="429"/>
      <c r="CB30" s="429"/>
      <c r="CC30" s="429"/>
      <c r="CD30" s="429"/>
      <c r="CE30" s="429"/>
      <c r="CF30" s="429"/>
      <c r="CG30" s="429"/>
      <c r="CH30" s="429"/>
      <c r="CI30" s="429"/>
      <c r="CJ30" s="421"/>
      <c r="CK30" s="421"/>
    </row>
    <row r="31">
      <c r="A31" s="483" t="s">
        <v>627</v>
      </c>
      <c r="B31" s="484" t="s">
        <v>630</v>
      </c>
      <c r="C31" s="485" t="s">
        <v>633</v>
      </c>
      <c r="D31" s="470" t="s">
        <v>776</v>
      </c>
      <c r="E31" s="471">
        <v>3.0</v>
      </c>
      <c r="F31" s="471">
        <v>1.0</v>
      </c>
      <c r="G31" s="478">
        <f>IFERROR(__xludf.DUMMYFUNCTION("INDIRECT(CONCATENATE(""'"",INDEX(SPLIT($D31,""K""),1),""K"",INDEX(SPLIT($D31,""K""),2)+$E31*(COLUMN()-COLUMN($G31))/2))"),18219.0)</f>
        <v>18219</v>
      </c>
      <c r="H31" s="616">
        <f t="shared" si="1"/>
        <v>0.002359155112</v>
      </c>
      <c r="I31" s="478">
        <f>IFERROR(__xludf.DUMMYFUNCTION("INDIRECT(CONCATENATE(""'"",INDEX(SPLIT($D31,""K""),1),""K"",INDEX(SPLIT($D31,""K""),2)+$E31*(COLUMN()-COLUMN($G31))/2))"),24393.0)</f>
        <v>24393</v>
      </c>
      <c r="J31" s="616">
        <f t="shared" si="2"/>
        <v>0.003128333224</v>
      </c>
      <c r="K31" s="478">
        <f>IFERROR(__xludf.DUMMYFUNCTION("INDIRECT(CONCATENATE(""'"",INDEX(SPLIT($D31,""K""),1),""K"",INDEX(SPLIT($D31,""K""),2)+$E31*(COLUMN()-COLUMN($G31))/2))"),33654.0)</f>
        <v>33654</v>
      </c>
      <c r="L31" s="616">
        <f t="shared" si="3"/>
        <v>0.004008223206</v>
      </c>
      <c r="M31" s="478">
        <f>IFERROR(__xludf.DUMMYFUNCTION("INDIRECT(CONCATENATE(""'"",INDEX(SPLIT($D31,""K""),1),""K"",INDEX(SPLIT($D31,""K""),2)+$E31*(COLUMN()-COLUMN($G31))/2))"),45149.0)</f>
        <v>45149</v>
      </c>
      <c r="N31" s="616">
        <f t="shared" si="4"/>
        <v>0.005489771411</v>
      </c>
      <c r="O31" s="478">
        <f>IFERROR(__xludf.DUMMYFUNCTION("INDIRECT(CONCATENATE(""'"",INDEX(SPLIT($D31,""K""),1),""K"",INDEX(SPLIT($D31,""K""),2)+$E31*(COLUMN()-COLUMN($G31))/2))"),58025.0)</f>
        <v>58025</v>
      </c>
      <c r="P31" s="616">
        <f t="shared" si="5"/>
        <v>0.006827789557</v>
      </c>
      <c r="Q31" s="478">
        <v>70901.0</v>
      </c>
      <c r="R31" s="617">
        <f t="shared" si="6"/>
        <v>0.008026283273</v>
      </c>
      <c r="S31" s="478">
        <f>IFERROR(__xludf.DUMMYFUNCTION("INDIRECT(CONCATENATE(""'"",INDEX(SPLIT($D31,""K""),1),""K"",INDEX(SPLIT($D31,""K""),2)+$E31*(COLUMN()-COLUMN($G31))/2))"),83777.0)</f>
        <v>83777</v>
      </c>
      <c r="T31" s="616">
        <f t="shared" si="7"/>
        <v>0.008213190613</v>
      </c>
      <c r="U31" s="478">
        <f>IFERROR(__xludf.DUMMYFUNCTION("INDIRECT(CONCATENATE(""'"",INDEX(SPLIT($D31,""K""),1),""K"",INDEX(SPLIT($D31,""K""),2)+$E31*(COLUMN()-COLUMN($G31))/2))"),96773.0)</f>
        <v>96773</v>
      </c>
      <c r="V31" s="616">
        <f t="shared" si="8"/>
        <v>0.007814572414</v>
      </c>
      <c r="W31" s="478">
        <f>IFERROR(__xludf.DUMMYFUNCTION("INDIRECT(CONCATENATE(""'"",INDEX(SPLIT($D31,""K""),1),""K"",INDEX(SPLIT($D31,""K""),2)+$E31*(COLUMN()-COLUMN($G31))/2))"),101185.0)</f>
        <v>101185</v>
      </c>
      <c r="X31" s="616">
        <f t="shared" si="9"/>
        <v>0.03814526226</v>
      </c>
      <c r="Y31" s="478">
        <v>70901.0</v>
      </c>
      <c r="Z31" s="617">
        <f t="shared" si="10"/>
        <v>0.02870210429</v>
      </c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428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  <c r="BT31" s="421"/>
      <c r="BU31" s="421"/>
      <c r="BV31" s="421"/>
      <c r="BW31" s="421"/>
      <c r="BX31" s="429"/>
      <c r="BY31" s="429"/>
      <c r="BZ31" s="429"/>
      <c r="CA31" s="429"/>
      <c r="CB31" s="429"/>
      <c r="CC31" s="429"/>
      <c r="CD31" s="429"/>
      <c r="CE31" s="429"/>
      <c r="CF31" s="429"/>
      <c r="CG31" s="429"/>
      <c r="CH31" s="429"/>
      <c r="CI31" s="429"/>
      <c r="CJ31" s="421"/>
      <c r="CK31" s="421"/>
    </row>
    <row r="32">
      <c r="A32" s="461" t="s">
        <v>686</v>
      </c>
      <c r="B32" s="15"/>
      <c r="C32" s="462"/>
      <c r="D32" s="443" t="s">
        <v>652</v>
      </c>
      <c r="E32" s="444" t="s">
        <v>652</v>
      </c>
      <c r="F32" s="444" t="s">
        <v>652</v>
      </c>
      <c r="G32" s="487">
        <f>sum(G29:G31)</f>
        <v>2216458</v>
      </c>
      <c r="H32" s="616">
        <f t="shared" si="1"/>
        <v>0.2870063242</v>
      </c>
      <c r="I32" s="487">
        <f>sum(I29:I31)</f>
        <v>2239775</v>
      </c>
      <c r="J32" s="613">
        <f t="shared" si="2"/>
        <v>0.2872448058</v>
      </c>
      <c r="K32" s="487">
        <f>sum(K29:K31)</f>
        <v>2317795</v>
      </c>
      <c r="L32" s="613">
        <f t="shared" si="3"/>
        <v>0.276051575</v>
      </c>
      <c r="M32" s="487">
        <f>sum(M29:M31)</f>
        <v>2349585</v>
      </c>
      <c r="N32" s="613">
        <f t="shared" si="4"/>
        <v>0.2856914785</v>
      </c>
      <c r="O32" s="487">
        <f>sum(O29:O31)</f>
        <v>2434217</v>
      </c>
      <c r="P32" s="613">
        <f t="shared" si="5"/>
        <v>0.2864338029</v>
      </c>
      <c r="Q32" s="487">
        <f>sum(Q29:Q31)</f>
        <v>2470237</v>
      </c>
      <c r="R32" s="614">
        <f t="shared" si="6"/>
        <v>0.2796409347</v>
      </c>
      <c r="S32" s="487">
        <f>sum(S29:S31)</f>
        <v>2552578</v>
      </c>
      <c r="T32" s="613">
        <f t="shared" si="7"/>
        <v>0.2502454095</v>
      </c>
      <c r="U32" s="487">
        <f>sum(U29:U31)</f>
        <v>2591296</v>
      </c>
      <c r="V32" s="613">
        <f t="shared" si="8"/>
        <v>0.2092512399</v>
      </c>
      <c r="W32" s="487">
        <f>sum(W29:W31)</f>
        <v>2652623</v>
      </c>
      <c r="X32" s="613">
        <f t="shared" si="9"/>
        <v>1</v>
      </c>
      <c r="Y32" s="487">
        <f>sum(Y29:Y31)</f>
        <v>2470237</v>
      </c>
      <c r="Z32" s="614">
        <f t="shared" si="10"/>
        <v>1</v>
      </c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  <c r="BQ32" s="421"/>
      <c r="BR32" s="421"/>
      <c r="BS32" s="421"/>
      <c r="BT32" s="421"/>
      <c r="BU32" s="421"/>
      <c r="BV32" s="421"/>
      <c r="BW32" s="421"/>
      <c r="BX32" s="429"/>
      <c r="BY32" s="429"/>
      <c r="BZ32" s="429"/>
      <c r="CA32" s="429"/>
      <c r="CB32" s="429"/>
      <c r="CC32" s="429"/>
      <c r="CD32" s="429"/>
      <c r="CE32" s="429"/>
      <c r="CF32" s="429"/>
      <c r="CG32" s="429"/>
      <c r="CH32" s="429"/>
      <c r="CI32" s="429"/>
      <c r="CJ32" s="421"/>
      <c r="CK32" s="421"/>
    </row>
    <row r="33">
      <c r="A33" s="489" t="s">
        <v>687</v>
      </c>
      <c r="B33" s="490"/>
      <c r="C33" s="491"/>
      <c r="D33" s="516" t="s">
        <v>652</v>
      </c>
      <c r="E33" s="517" t="s">
        <v>652</v>
      </c>
      <c r="F33" s="517" t="s">
        <v>652</v>
      </c>
      <c r="G33" s="496">
        <f>G27+G32</f>
        <v>7722680</v>
      </c>
      <c r="H33" s="618">
        <f t="shared" si="1"/>
        <v>1</v>
      </c>
      <c r="I33" s="496">
        <f>I27+I32</f>
        <v>7797443</v>
      </c>
      <c r="J33" s="619">
        <f>I33/I33</f>
        <v>1</v>
      </c>
      <c r="K33" s="496">
        <f>K27+K32</f>
        <v>8396239</v>
      </c>
      <c r="L33" s="619">
        <f>K33/K33</f>
        <v>1</v>
      </c>
      <c r="M33" s="496">
        <f>M27+M32</f>
        <v>8224204</v>
      </c>
      <c r="N33" s="619">
        <f>M33/M33</f>
        <v>1</v>
      </c>
      <c r="O33" s="496">
        <f>O27+O32</f>
        <v>8498358</v>
      </c>
      <c r="P33" s="619">
        <f>O33/O33</f>
        <v>1</v>
      </c>
      <c r="Q33" s="496">
        <f>Q27+Q32</f>
        <v>8833603</v>
      </c>
      <c r="R33" s="620">
        <f>Q33/Q33</f>
        <v>1</v>
      </c>
      <c r="S33" s="496">
        <f>S27+S32</f>
        <v>10200299</v>
      </c>
      <c r="T33" s="619">
        <f>S33/S33</f>
        <v>1</v>
      </c>
      <c r="U33" s="496">
        <f>U27+U32</f>
        <v>12383659</v>
      </c>
      <c r="V33" s="619">
        <f>U33/U33</f>
        <v>1</v>
      </c>
      <c r="W33" s="496">
        <f>W27+W32</f>
        <v>2652623</v>
      </c>
      <c r="X33" s="619">
        <f>W33/W33</f>
        <v>1</v>
      </c>
      <c r="Y33" s="496">
        <f>Y27+Y32</f>
        <v>2470237</v>
      </c>
      <c r="Z33" s="620">
        <f>Y33/Y33</f>
        <v>1</v>
      </c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428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  <c r="BQ33" s="421"/>
      <c r="BR33" s="421"/>
      <c r="BS33" s="421"/>
      <c r="BT33" s="421"/>
      <c r="BU33" s="421"/>
      <c r="BV33" s="421"/>
      <c r="BW33" s="421"/>
      <c r="BX33" s="429"/>
      <c r="BY33" s="429"/>
      <c r="BZ33" s="429"/>
      <c r="CA33" s="429"/>
      <c r="CB33" s="429"/>
      <c r="CC33" s="429"/>
      <c r="CD33" s="429"/>
      <c r="CE33" s="429"/>
      <c r="CF33" s="429"/>
      <c r="CG33" s="429"/>
      <c r="CH33" s="429"/>
      <c r="CI33" s="429"/>
      <c r="CJ33" s="421"/>
      <c r="CK33" s="421"/>
    </row>
    <row r="34">
      <c r="A34" s="498" t="s">
        <v>688</v>
      </c>
      <c r="B34" s="499"/>
      <c r="C34" s="500"/>
      <c r="D34" s="435" t="s">
        <v>652</v>
      </c>
      <c r="E34" s="436" t="s">
        <v>652</v>
      </c>
      <c r="F34" s="436" t="s">
        <v>652</v>
      </c>
      <c r="G34" s="439" t="s">
        <v>653</v>
      </c>
      <c r="H34" s="439" t="s">
        <v>773</v>
      </c>
      <c r="I34" s="439" t="s">
        <v>653</v>
      </c>
      <c r="J34" s="439" t="s">
        <v>773</v>
      </c>
      <c r="K34" s="439" t="s">
        <v>653</v>
      </c>
      <c r="L34" s="439" t="s">
        <v>773</v>
      </c>
      <c r="M34" s="439" t="s">
        <v>653</v>
      </c>
      <c r="N34" s="439" t="s">
        <v>773</v>
      </c>
      <c r="O34" s="439" t="s">
        <v>653</v>
      </c>
      <c r="P34" s="439" t="s">
        <v>773</v>
      </c>
      <c r="Q34" s="439" t="s">
        <v>653</v>
      </c>
      <c r="R34" s="440" t="s">
        <v>773</v>
      </c>
      <c r="S34" s="439" t="s">
        <v>653</v>
      </c>
      <c r="T34" s="439" t="s">
        <v>773</v>
      </c>
      <c r="U34" s="439" t="s">
        <v>653</v>
      </c>
      <c r="V34" s="439" t="s">
        <v>773</v>
      </c>
      <c r="W34" s="439" t="s">
        <v>653</v>
      </c>
      <c r="X34" s="439" t="s">
        <v>773</v>
      </c>
      <c r="Y34" s="439" t="s">
        <v>653</v>
      </c>
      <c r="Z34" s="440" t="s">
        <v>773</v>
      </c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428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  <c r="BT34" s="421"/>
      <c r="BU34" s="421"/>
      <c r="BV34" s="421"/>
      <c r="BW34" s="421"/>
      <c r="BX34" s="429"/>
      <c r="BY34" s="429"/>
      <c r="BZ34" s="429"/>
      <c r="CA34" s="429"/>
      <c r="CB34" s="429"/>
      <c r="CC34" s="429"/>
      <c r="CD34" s="429"/>
      <c r="CE34" s="429"/>
      <c r="CF34" s="429"/>
      <c r="CG34" s="429"/>
      <c r="CH34" s="429"/>
      <c r="CI34" s="429"/>
      <c r="CJ34" s="421"/>
      <c r="CK34" s="421"/>
    </row>
    <row r="35">
      <c r="A35" s="504" t="s">
        <v>689</v>
      </c>
      <c r="B35" s="15"/>
      <c r="C35" s="462"/>
      <c r="D35" s="443" t="s">
        <v>652</v>
      </c>
      <c r="E35" s="444" t="s">
        <v>652</v>
      </c>
      <c r="F35" s="444" t="s">
        <v>652</v>
      </c>
      <c r="G35" s="621"/>
      <c r="H35" s="621"/>
      <c r="I35" s="621"/>
      <c r="J35" s="622"/>
      <c r="K35" s="621"/>
      <c r="L35" s="622"/>
      <c r="M35" s="621"/>
      <c r="N35" s="622"/>
      <c r="O35" s="621"/>
      <c r="P35" s="622"/>
      <c r="Q35" s="621"/>
      <c r="R35" s="623"/>
      <c r="S35" s="621"/>
      <c r="T35" s="622"/>
      <c r="U35" s="621"/>
      <c r="V35" s="622"/>
      <c r="W35" s="621"/>
      <c r="X35" s="622"/>
      <c r="Y35" s="621"/>
      <c r="Z35" s="623"/>
      <c r="AA35" s="428"/>
      <c r="AB35" s="428"/>
      <c r="AC35" s="428"/>
      <c r="AD35" s="428"/>
      <c r="AE35" s="428"/>
      <c r="AF35" s="428"/>
      <c r="AG35" s="428"/>
      <c r="AH35" s="428"/>
      <c r="AI35" s="428"/>
      <c r="AJ35" s="428"/>
      <c r="AK35" s="428"/>
      <c r="AL35" s="428"/>
      <c r="AM35" s="428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  <c r="BT35" s="421"/>
      <c r="BU35" s="421"/>
      <c r="BV35" s="421"/>
      <c r="BW35" s="421"/>
      <c r="BX35" s="429"/>
      <c r="BY35" s="429"/>
      <c r="BZ35" s="429"/>
      <c r="CA35" s="429"/>
      <c r="CB35" s="429"/>
      <c r="CC35" s="429"/>
      <c r="CD35" s="429"/>
      <c r="CE35" s="429"/>
      <c r="CF35" s="429"/>
      <c r="CG35" s="429"/>
      <c r="CH35" s="429"/>
      <c r="CI35" s="429"/>
      <c r="CJ35" s="421"/>
      <c r="CK35" s="421"/>
    </row>
    <row r="36">
      <c r="A36" s="484" t="s">
        <v>690</v>
      </c>
      <c r="B36" s="484" t="s">
        <v>691</v>
      </c>
      <c r="C36" s="458" t="s">
        <v>692</v>
      </c>
      <c r="D36" s="443" t="s">
        <v>658</v>
      </c>
      <c r="E36" s="444" t="s">
        <v>652</v>
      </c>
      <c r="F36" s="444" t="s">
        <v>652</v>
      </c>
      <c r="G36" s="624">
        <v>0.0</v>
      </c>
      <c r="H36" s="622">
        <f>G36/G33</f>
        <v>0</v>
      </c>
      <c r="I36" s="624">
        <v>78557.0</v>
      </c>
      <c r="J36" s="622">
        <f t="shared" ref="J36:J38" si="11">I36/I$33</f>
        <v>0.01007471295</v>
      </c>
      <c r="K36" s="624">
        <v>164535.0</v>
      </c>
      <c r="L36" s="622">
        <f t="shared" ref="L36:L38" si="12">K36/K$33</f>
        <v>0.019596274</v>
      </c>
      <c r="M36" s="624">
        <v>164535.0</v>
      </c>
      <c r="N36" s="622">
        <f t="shared" ref="N36:N38" si="13">M36/M$33</f>
        <v>0.02000619148</v>
      </c>
      <c r="O36" s="624">
        <v>179995.0</v>
      </c>
      <c r="P36" s="622">
        <f t="shared" ref="P36:P38" si="14">O36/O$33</f>
        <v>0.02117997383</v>
      </c>
      <c r="Q36" s="624">
        <v>189278.0</v>
      </c>
      <c r="R36" s="623">
        <f t="shared" ref="R36:R38" si="15">Q36/Q$33</f>
        <v>0.02142704398</v>
      </c>
      <c r="S36" s="624">
        <v>278713.0</v>
      </c>
      <c r="T36" s="622">
        <f t="shared" ref="T36:T38" si="16">S36/S$33</f>
        <v>0.02732400295</v>
      </c>
      <c r="U36" s="624">
        <v>428861.0</v>
      </c>
      <c r="V36" s="622">
        <f t="shared" ref="V36:V38" si="17">U36/U$33</f>
        <v>0.0346312023</v>
      </c>
      <c r="W36" s="624"/>
      <c r="X36" s="622">
        <f t="shared" ref="X36:X38" si="18">W36/W$33</f>
        <v>0</v>
      </c>
      <c r="Y36" s="624"/>
      <c r="Z36" s="623">
        <f t="shared" ref="Z36:Z38" si="19">Y36/Y$33</f>
        <v>0</v>
      </c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428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9"/>
      <c r="BY36" s="429"/>
      <c r="BZ36" s="429"/>
      <c r="CA36" s="429"/>
      <c r="CB36" s="429"/>
      <c r="CC36" s="429"/>
      <c r="CD36" s="429"/>
      <c r="CE36" s="429"/>
      <c r="CF36" s="429"/>
      <c r="CG36" s="429"/>
      <c r="CH36" s="429"/>
      <c r="CI36" s="429"/>
      <c r="CJ36" s="421"/>
      <c r="CK36" s="421"/>
    </row>
    <row r="37">
      <c r="A37" s="469" t="s">
        <v>693</v>
      </c>
      <c r="B37" s="460" t="s">
        <v>694</v>
      </c>
      <c r="C37" s="458" t="s">
        <v>777</v>
      </c>
      <c r="D37" s="470" t="s">
        <v>778</v>
      </c>
      <c r="E37" s="471">
        <v>3.0</v>
      </c>
      <c r="F37" s="471">
        <v>1.0</v>
      </c>
      <c r="G37" s="624">
        <f>IFERROR(__xludf.DUMMYFUNCTION("INDIRECT(CONCATENATE(""'"",INDEX(SPLIT($D37,""D""),1),""D"",INDEX(SPLIT($D37,""D""),2)+$E37*(COLUMN()-COLUMN($G37))/2))"),455458.8831)</f>
        <v>455458.8831</v>
      </c>
      <c r="H37" s="622">
        <f>G37/G33</f>
        <v>0.05897679084</v>
      </c>
      <c r="I37" s="624">
        <f>IFERROR(__xludf.DUMMYFUNCTION("INDIRECT(CONCATENATE(""'"",INDEX(SPLIT($D37,""D""),1),""D"",INDEX(SPLIT($D37,""D""),2)+$E37*(COLUMN()-COLUMN($G37))/2))"),438619.8648)</f>
        <v>438619.8648</v>
      </c>
      <c r="J37" s="622">
        <f t="shared" si="11"/>
        <v>0.05625175648</v>
      </c>
      <c r="K37" s="624">
        <f>IFERROR(__xludf.DUMMYFUNCTION("INDIRECT(CONCATENATE(""'"",INDEX(SPLIT($D37,""D""),1),""D"",INDEX(SPLIT($D37,""D""),2)+$E37*(COLUMN()-COLUMN($G37))/2))"),421691.01959999994)</f>
        <v>421691.0196</v>
      </c>
      <c r="L37" s="622">
        <f t="shared" si="12"/>
        <v>0.05022379897</v>
      </c>
      <c r="M37" s="624">
        <f>IFERROR(__xludf.DUMMYFUNCTION("INDIRECT(CONCATENATE(""'"",INDEX(SPLIT($D37,""D""),1),""D"",INDEX(SPLIT($D37,""D""),2)+$E37*(COLUMN()-COLUMN($G37))/2))"),404671.8680999999)</f>
        <v>404671.8681</v>
      </c>
      <c r="N37" s="622">
        <f t="shared" si="13"/>
        <v>0.04920498909</v>
      </c>
      <c r="O37" s="624">
        <f>IFERROR(__xludf.DUMMYFUNCTION("INDIRECT(CONCATENATE(""'"",INDEX(SPLIT($D37,""D""),1),""D"",INDEX(SPLIT($D37,""D""),2)+$E37*(COLUMN()-COLUMN($G37))/2))"),187569.0)</f>
        <v>187569</v>
      </c>
      <c r="P37" s="622">
        <f t="shared" si="14"/>
        <v>0.02207120481</v>
      </c>
      <c r="Q37" s="624">
        <f>IFERROR(__xludf.DUMMYFUNCTION("INDIRECT(CONCATENATE(""'"",INDEX(SPLIT($D37,""D""),1),""D"",INDEX(SPLIT($D37,""D""),2)+$E37*(COLUMN()-COLUMN($G37))/2))"),179244.1006)</f>
        <v>179244.1006</v>
      </c>
      <c r="R37" s="623">
        <f t="shared" si="15"/>
        <v>0.02029116552</v>
      </c>
      <c r="S37" s="624">
        <f>IFERROR(__xludf.DUMMYFUNCTION("INDIRECT(CONCATENATE(""'"",INDEX(SPLIT($D37,""D""),1),""D"",INDEX(SPLIT($D37,""D""),2)+$E37*(COLUMN()-COLUMN($G37))/2))"),170874.7924)</f>
        <v>170874.7924</v>
      </c>
      <c r="T37" s="622">
        <f t="shared" si="16"/>
        <v>0.01675193957</v>
      </c>
      <c r="U37" s="624">
        <f>IFERROR(__xludf.DUMMYFUNCTION("INDIRECT(CONCATENATE(""'"",INDEX(SPLIT($D37,""D""),1),""D"",INDEX(SPLIT($D37,""D""),2)+$E37*(COLUMN()-COLUMN($G37))/2))"),978013.0)</f>
        <v>978013</v>
      </c>
      <c r="V37" s="622">
        <f t="shared" si="17"/>
        <v>0.07897609261</v>
      </c>
      <c r="W37" s="624">
        <f>IFERROR(__xludf.DUMMYFUNCTION("INDIRECT(CONCATENATE(""'"",INDEX(SPLIT($D37,""D""),1),""D"",INDEX(SPLIT($D37,""D""),2)+$E37*(COLUMN()-COLUMN($G37))/2))"),944873.0)</f>
        <v>944873</v>
      </c>
      <c r="X37" s="622">
        <f t="shared" si="18"/>
        <v>0.356203275</v>
      </c>
      <c r="Y37" s="624">
        <f>IFERROR(__xludf.DUMMYFUNCTION("INDIRECT(CONCATENATE(""'"",INDEX(SPLIT($D37,""D""),1),""D"",INDEX(SPLIT($D37,""D""),2)+$E37*(COLUMN()-COLUMN($G37))/2))"),911542.0)</f>
        <v>911542</v>
      </c>
      <c r="Z37" s="623">
        <f t="shared" si="19"/>
        <v>0.3690099371</v>
      </c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428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  <c r="BT37" s="421"/>
      <c r="BU37" s="421"/>
      <c r="BV37" s="421"/>
      <c r="BW37" s="421"/>
      <c r="BX37" s="429"/>
      <c r="BY37" s="429"/>
      <c r="BZ37" s="429"/>
      <c r="CA37" s="429"/>
      <c r="CB37" s="429"/>
      <c r="CC37" s="429"/>
      <c r="CD37" s="429"/>
      <c r="CE37" s="429"/>
      <c r="CF37" s="429"/>
      <c r="CG37" s="429"/>
      <c r="CH37" s="429"/>
      <c r="CI37" s="429"/>
      <c r="CJ37" s="421"/>
      <c r="CK37" s="421"/>
    </row>
    <row r="38">
      <c r="A38" s="461" t="s">
        <v>697</v>
      </c>
      <c r="B38" s="15"/>
      <c r="C38" s="462"/>
      <c r="D38" s="443" t="s">
        <v>652</v>
      </c>
      <c r="E38" s="444" t="s">
        <v>652</v>
      </c>
      <c r="F38" s="444" t="s">
        <v>652</v>
      </c>
      <c r="G38" s="625">
        <f>G36+G37</f>
        <v>455458.8831</v>
      </c>
      <c r="H38" s="622">
        <f>G38/G33</f>
        <v>0.05897679084</v>
      </c>
      <c r="I38" s="625">
        <f>I36+I37</f>
        <v>517176.8648</v>
      </c>
      <c r="J38" s="622">
        <f t="shared" si="11"/>
        <v>0.06632646943</v>
      </c>
      <c r="K38" s="625">
        <f>K36+K37</f>
        <v>586226.0196</v>
      </c>
      <c r="L38" s="622">
        <f t="shared" si="12"/>
        <v>0.06982007296</v>
      </c>
      <c r="M38" s="625">
        <f>M36+M37</f>
        <v>569206.8681</v>
      </c>
      <c r="N38" s="622">
        <f t="shared" si="13"/>
        <v>0.06921118057</v>
      </c>
      <c r="O38" s="625">
        <f>O36+O37</f>
        <v>367564</v>
      </c>
      <c r="P38" s="622">
        <f t="shared" si="14"/>
        <v>0.04325117864</v>
      </c>
      <c r="Q38" s="625">
        <f>Q36+Q37</f>
        <v>368522.1006</v>
      </c>
      <c r="R38" s="623">
        <f t="shared" si="15"/>
        <v>0.0417182095</v>
      </c>
      <c r="S38" s="625">
        <f>S36+S37</f>
        <v>449587.7924</v>
      </c>
      <c r="T38" s="622">
        <f t="shared" si="16"/>
        <v>0.04407594252</v>
      </c>
      <c r="U38" s="625">
        <f>U36+U37</f>
        <v>1406874</v>
      </c>
      <c r="V38" s="622">
        <f t="shared" si="17"/>
        <v>0.1136072949</v>
      </c>
      <c r="W38" s="625">
        <f>W36+W37</f>
        <v>944873</v>
      </c>
      <c r="X38" s="622">
        <f t="shared" si="18"/>
        <v>0.356203275</v>
      </c>
      <c r="Y38" s="625">
        <f>Y36+Y37</f>
        <v>911542</v>
      </c>
      <c r="Z38" s="623">
        <f t="shared" si="19"/>
        <v>0.3690099371</v>
      </c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428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  <c r="BT38" s="421"/>
      <c r="BU38" s="421"/>
      <c r="BV38" s="421"/>
      <c r="BW38" s="421"/>
      <c r="BX38" s="429"/>
      <c r="BY38" s="429"/>
      <c r="BZ38" s="429"/>
      <c r="CA38" s="429"/>
      <c r="CB38" s="429"/>
      <c r="CC38" s="429"/>
      <c r="CD38" s="429"/>
      <c r="CE38" s="429"/>
      <c r="CF38" s="429"/>
      <c r="CG38" s="429"/>
      <c r="CH38" s="429"/>
      <c r="CI38" s="429"/>
      <c r="CJ38" s="421"/>
      <c r="CK38" s="421"/>
    </row>
    <row r="39">
      <c r="A39" s="513" t="s">
        <v>698</v>
      </c>
      <c r="B39" s="15"/>
      <c r="C39" s="462"/>
      <c r="D39" s="443" t="s">
        <v>652</v>
      </c>
      <c r="E39" s="444" t="s">
        <v>652</v>
      </c>
      <c r="F39" s="444" t="s">
        <v>652</v>
      </c>
      <c r="G39" s="626"/>
      <c r="H39" s="15"/>
      <c r="I39" s="15"/>
      <c r="J39" s="16"/>
      <c r="K39" s="604"/>
      <c r="L39" s="604"/>
      <c r="M39" s="604"/>
      <c r="N39" s="604"/>
      <c r="O39" s="604"/>
      <c r="P39" s="604"/>
      <c r="Q39" s="604"/>
      <c r="R39" s="605"/>
      <c r="S39" s="604"/>
      <c r="T39" s="604"/>
      <c r="U39" s="604"/>
      <c r="V39" s="604"/>
      <c r="W39" s="604"/>
      <c r="X39" s="604"/>
      <c r="Y39" s="604"/>
      <c r="Z39" s="605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428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9"/>
      <c r="BY39" s="429"/>
      <c r="BZ39" s="429"/>
      <c r="CA39" s="429"/>
      <c r="CB39" s="429"/>
      <c r="CC39" s="429"/>
      <c r="CD39" s="429"/>
      <c r="CE39" s="429"/>
      <c r="CF39" s="429"/>
      <c r="CG39" s="429"/>
      <c r="CH39" s="429"/>
      <c r="CI39" s="429"/>
      <c r="CJ39" s="421"/>
      <c r="CK39" s="421"/>
    </row>
    <row r="40">
      <c r="A40" s="466" t="s">
        <v>699</v>
      </c>
      <c r="B40" s="15"/>
      <c r="C40" s="462"/>
      <c r="D40" s="443" t="s">
        <v>652</v>
      </c>
      <c r="E40" s="444" t="s">
        <v>652</v>
      </c>
      <c r="F40" s="444" t="s">
        <v>652</v>
      </c>
      <c r="G40" s="464">
        <f>G33-G38</f>
        <v>7267221.117</v>
      </c>
      <c r="H40" s="613">
        <f>G40/G33</f>
        <v>0.9410232092</v>
      </c>
      <c r="I40" s="464">
        <f>I33-I38</f>
        <v>7280266.135</v>
      </c>
      <c r="J40" s="613">
        <f>I40/I33</f>
        <v>0.9336735306</v>
      </c>
      <c r="K40" s="464">
        <f>K33-K38</f>
        <v>7810012.98</v>
      </c>
      <c r="L40" s="613">
        <f>K40/K33</f>
        <v>0.930179927</v>
      </c>
      <c r="M40" s="464">
        <f>M33-M38</f>
        <v>7654997.132</v>
      </c>
      <c r="N40" s="613">
        <f>M40/M33</f>
        <v>0.9307888194</v>
      </c>
      <c r="O40" s="464">
        <f>O33-O38</f>
        <v>8130794</v>
      </c>
      <c r="P40" s="613">
        <f>O40/O33</f>
        <v>0.9567488214</v>
      </c>
      <c r="Q40" s="464">
        <f>Q33-Q38</f>
        <v>8465080.899</v>
      </c>
      <c r="R40" s="614">
        <f>Q40/Q33</f>
        <v>0.9582817905</v>
      </c>
      <c r="S40" s="464">
        <f>S33-S38</f>
        <v>9750711.208</v>
      </c>
      <c r="T40" s="613">
        <f>S40/S33</f>
        <v>0.9559240575</v>
      </c>
      <c r="U40" s="464">
        <f>U33-U38</f>
        <v>10976785</v>
      </c>
      <c r="V40" s="613">
        <f>U40/U33</f>
        <v>0.8863927051</v>
      </c>
      <c r="W40" s="464">
        <f>W33-W38</f>
        <v>1707750</v>
      </c>
      <c r="X40" s="613">
        <f>W40/W33</f>
        <v>0.643796725</v>
      </c>
      <c r="Y40" s="464">
        <f>Y33-Y38</f>
        <v>1558695</v>
      </c>
      <c r="Z40" s="614">
        <f>Y40/Y33</f>
        <v>0.6309900629</v>
      </c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428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  <c r="BT40" s="421"/>
      <c r="BU40" s="421"/>
      <c r="BV40" s="421"/>
      <c r="BW40" s="421"/>
      <c r="BX40" s="429"/>
      <c r="BY40" s="429"/>
      <c r="BZ40" s="429"/>
      <c r="CA40" s="429"/>
      <c r="CB40" s="429"/>
      <c r="CC40" s="429"/>
      <c r="CD40" s="429"/>
      <c r="CE40" s="429"/>
      <c r="CF40" s="429"/>
      <c r="CG40" s="429"/>
      <c r="CH40" s="429"/>
      <c r="CI40" s="429"/>
      <c r="CJ40" s="421"/>
      <c r="CK40" s="421"/>
    </row>
    <row r="41">
      <c r="A41" s="515" t="s">
        <v>700</v>
      </c>
      <c r="B41" s="490"/>
      <c r="C41" s="491"/>
      <c r="D41" s="516" t="s">
        <v>652</v>
      </c>
      <c r="E41" s="517" t="s">
        <v>652</v>
      </c>
      <c r="F41" s="517" t="s">
        <v>652</v>
      </c>
      <c r="G41" s="627" t="s">
        <v>779</v>
      </c>
      <c r="H41" s="627" t="s">
        <v>779</v>
      </c>
      <c r="I41" s="496">
        <f>I40-G40</f>
        <v>13045.0183</v>
      </c>
      <c r="J41" s="619">
        <f>(I40-G40)/G40</f>
        <v>0.001795049041</v>
      </c>
      <c r="K41" s="496">
        <f>K40-I40</f>
        <v>529746.8452</v>
      </c>
      <c r="L41" s="619">
        <f>(K40-I40)/I40</f>
        <v>0.07276476373</v>
      </c>
      <c r="M41" s="496">
        <f>M40-K40</f>
        <v>-155015.8485</v>
      </c>
      <c r="N41" s="619">
        <f>(M40-K40)/K40</f>
        <v>-0.0198483471</v>
      </c>
      <c r="O41" s="496">
        <f>O40-M40</f>
        <v>475796.8681</v>
      </c>
      <c r="P41" s="619">
        <f>(O40-M40)/M40</f>
        <v>0.06215506811</v>
      </c>
      <c r="Q41" s="496">
        <f>Q40-O40</f>
        <v>334286.8994</v>
      </c>
      <c r="R41" s="620">
        <f>(Q40-O40)/O40</f>
        <v>0.04111368452</v>
      </c>
      <c r="S41" s="496">
        <f>S40-Q40</f>
        <v>1285630.308</v>
      </c>
      <c r="T41" s="619">
        <f>(S40-Q40)/Q40</f>
        <v>0.1518745448</v>
      </c>
      <c r="U41" s="496">
        <f>U40-S40</f>
        <v>1226073.792</v>
      </c>
      <c r="V41" s="619">
        <f>(U40-S40)/S40</f>
        <v>0.125741986</v>
      </c>
      <c r="W41" s="496">
        <f>W40-U40</f>
        <v>-9269035</v>
      </c>
      <c r="X41" s="619">
        <f>(W40-U40)/U40</f>
        <v>-0.844421659</v>
      </c>
      <c r="Y41" s="496">
        <f>Y40-W40</f>
        <v>-149055</v>
      </c>
      <c r="Z41" s="620">
        <f>(Y40-W40)/W40</f>
        <v>-0.08728151076</v>
      </c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1"/>
      <c r="BV41" s="421"/>
      <c r="BW41" s="421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1"/>
      <c r="CK41" s="421"/>
    </row>
    <row r="42">
      <c r="D42" s="524"/>
      <c r="E42" s="524"/>
      <c r="F42" s="524"/>
      <c r="G42" s="628"/>
      <c r="H42" s="628"/>
      <c r="I42" s="628"/>
      <c r="K42" s="628"/>
      <c r="M42" s="628"/>
      <c r="O42" s="628"/>
      <c r="Q42" s="628"/>
      <c r="S42" s="628"/>
      <c r="U42" s="628"/>
      <c r="W42" s="628"/>
      <c r="Y42" s="6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  <c r="BQ42" s="421"/>
      <c r="BR42" s="421"/>
      <c r="BS42" s="421"/>
      <c r="BT42" s="421"/>
      <c r="BU42" s="421"/>
      <c r="BV42" s="421"/>
      <c r="BW42" s="421"/>
      <c r="BX42" s="429"/>
      <c r="BY42" s="429"/>
      <c r="BZ42" s="429"/>
      <c r="CA42" s="429"/>
      <c r="CB42" s="429"/>
      <c r="CC42" s="429"/>
      <c r="CD42" s="429"/>
      <c r="CE42" s="429"/>
      <c r="CF42" s="429"/>
      <c r="CG42" s="429"/>
      <c r="CH42" s="429"/>
      <c r="CI42" s="429"/>
      <c r="CJ42" s="421"/>
      <c r="CK42" s="421"/>
    </row>
    <row r="43">
      <c r="A43" s="525" t="s">
        <v>18</v>
      </c>
      <c r="B43" s="525" t="s">
        <v>701</v>
      </c>
      <c r="C43" s="525" t="s">
        <v>640</v>
      </c>
      <c r="D43" s="526"/>
      <c r="E43" s="526"/>
      <c r="F43" s="526"/>
      <c r="G43" s="629">
        <v>32.0</v>
      </c>
      <c r="H43" s="630"/>
      <c r="I43" s="630">
        <v>32.7</v>
      </c>
      <c r="J43" s="604"/>
      <c r="K43" s="630">
        <v>33.1</v>
      </c>
      <c r="L43" s="604"/>
      <c r="M43" s="630">
        <v>29.18</v>
      </c>
      <c r="N43" s="604"/>
      <c r="O43" s="630">
        <v>30.4</v>
      </c>
      <c r="P43" s="604"/>
      <c r="Q43" s="630">
        <v>33.1</v>
      </c>
      <c r="R43" s="604"/>
      <c r="S43" s="630">
        <v>31.95</v>
      </c>
      <c r="T43" s="604"/>
      <c r="U43" s="630">
        <v>31.8</v>
      </c>
      <c r="V43" s="604"/>
      <c r="W43" s="630">
        <v>30.4</v>
      </c>
      <c r="X43" s="604"/>
      <c r="Y43" s="630">
        <v>33.1</v>
      </c>
      <c r="Z43" s="604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  <c r="BQ43" s="421"/>
      <c r="BR43" s="421"/>
      <c r="BS43" s="421"/>
      <c r="BT43" s="421"/>
      <c r="BU43" s="421"/>
      <c r="BV43" s="421"/>
      <c r="BW43" s="421"/>
      <c r="BX43" s="429"/>
      <c r="BY43" s="429"/>
      <c r="BZ43" s="429"/>
      <c r="CA43" s="429"/>
      <c r="CB43" s="429"/>
      <c r="CC43" s="429"/>
      <c r="CD43" s="429"/>
      <c r="CE43" s="429"/>
      <c r="CF43" s="429"/>
      <c r="CG43" s="429"/>
      <c r="CH43" s="429"/>
      <c r="CI43" s="429"/>
      <c r="CJ43" s="421"/>
      <c r="CK43" s="421"/>
    </row>
    <row r="44">
      <c r="A44" s="428"/>
      <c r="B44" s="428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428"/>
      <c r="AN44" s="421"/>
      <c r="AO44" s="421"/>
      <c r="AP44" s="421"/>
      <c r="AQ44" s="421"/>
      <c r="AR44" s="421"/>
      <c r="AS44" s="421"/>
      <c r="AT44" s="421"/>
      <c r="AU44" s="421"/>
      <c r="AV44" s="421"/>
      <c r="AW44" s="421"/>
      <c r="AX44" s="421"/>
      <c r="AY44" s="421"/>
      <c r="AZ44" s="421"/>
      <c r="BA44" s="421"/>
      <c r="BB44" s="421"/>
      <c r="BC44" s="421"/>
      <c r="BD44" s="421"/>
      <c r="BE44" s="421"/>
      <c r="BF44" s="421"/>
      <c r="BG44" s="421"/>
      <c r="BH44" s="421"/>
      <c r="BI44" s="421"/>
      <c r="BJ44" s="421"/>
      <c r="BK44" s="421"/>
      <c r="BL44" s="421"/>
      <c r="BM44" s="421"/>
      <c r="BN44" s="421"/>
      <c r="BO44" s="421"/>
      <c r="BP44" s="421"/>
      <c r="BQ44" s="421"/>
      <c r="BR44" s="421"/>
      <c r="BS44" s="421"/>
      <c r="BT44" s="421"/>
      <c r="BU44" s="421"/>
      <c r="BV44" s="421"/>
      <c r="BW44" s="421"/>
      <c r="BX44" s="429"/>
      <c r="BY44" s="429"/>
      <c r="BZ44" s="429"/>
      <c r="CA44" s="429"/>
      <c r="CB44" s="429"/>
      <c r="CC44" s="429"/>
      <c r="CD44" s="429"/>
      <c r="CE44" s="429"/>
      <c r="CF44" s="429"/>
      <c r="CG44" s="429"/>
      <c r="CH44" s="429"/>
      <c r="CI44" s="429"/>
      <c r="CJ44" s="421"/>
      <c r="CK44" s="421"/>
    </row>
    <row r="45">
      <c r="A45" s="631" t="s">
        <v>780</v>
      </c>
      <c r="D45" s="632"/>
      <c r="E45" s="632"/>
      <c r="F45" s="632"/>
      <c r="G45" s="633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  <c r="BS45" s="567"/>
      <c r="BT45" s="567"/>
      <c r="BU45" s="567"/>
      <c r="BV45" s="567"/>
      <c r="BW45" s="567"/>
      <c r="BX45" s="567"/>
      <c r="BY45" s="567"/>
      <c r="BZ45" s="567"/>
      <c r="CA45" s="567"/>
      <c r="CB45" s="567"/>
      <c r="CC45" s="567"/>
      <c r="CD45" s="567"/>
      <c r="CE45" s="567"/>
      <c r="CF45" s="567"/>
      <c r="CG45" s="567"/>
      <c r="CH45" s="567"/>
      <c r="CI45" s="567"/>
      <c r="CJ45" s="421"/>
      <c r="CK45" s="421"/>
    </row>
    <row r="46">
      <c r="D46" s="632"/>
      <c r="E46" s="632"/>
      <c r="F46" s="632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  <c r="BS46" s="567"/>
      <c r="BT46" s="567"/>
      <c r="BU46" s="567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30"/>
      <c r="CK46" s="530"/>
    </row>
    <row r="47">
      <c r="A47" s="634"/>
      <c r="B47" s="635"/>
      <c r="C47" s="636"/>
      <c r="D47" s="534" t="s">
        <v>652</v>
      </c>
      <c r="E47" s="436" t="s">
        <v>652</v>
      </c>
      <c r="F47" s="436" t="s">
        <v>652</v>
      </c>
      <c r="G47" s="439" t="s">
        <v>653</v>
      </c>
      <c r="H47" s="439" t="s">
        <v>773</v>
      </c>
      <c r="I47" s="439" t="s">
        <v>653</v>
      </c>
      <c r="J47" s="439" t="s">
        <v>773</v>
      </c>
      <c r="K47" s="439" t="s">
        <v>653</v>
      </c>
      <c r="L47" s="439" t="s">
        <v>773</v>
      </c>
      <c r="M47" s="439" t="s">
        <v>653</v>
      </c>
      <c r="N47" s="439" t="s">
        <v>773</v>
      </c>
      <c r="O47" s="439" t="s">
        <v>653</v>
      </c>
      <c r="P47" s="439" t="s">
        <v>773</v>
      </c>
      <c r="Q47" s="439" t="s">
        <v>653</v>
      </c>
      <c r="R47" s="440" t="s">
        <v>773</v>
      </c>
      <c r="S47" s="439" t="s">
        <v>653</v>
      </c>
      <c r="T47" s="439" t="s">
        <v>773</v>
      </c>
      <c r="U47" s="439" t="s">
        <v>653</v>
      </c>
      <c r="V47" s="439" t="s">
        <v>773</v>
      </c>
      <c r="W47" s="439" t="s">
        <v>653</v>
      </c>
      <c r="X47" s="439" t="s">
        <v>773</v>
      </c>
      <c r="Y47" s="439" t="s">
        <v>653</v>
      </c>
      <c r="Z47" s="440" t="s">
        <v>773</v>
      </c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  <c r="BS47" s="567"/>
      <c r="BT47" s="567"/>
      <c r="BU47" s="567"/>
      <c r="BV47" s="567"/>
      <c r="BW47" s="567"/>
      <c r="BX47" s="567"/>
      <c r="BY47" s="567"/>
      <c r="BZ47" s="567"/>
      <c r="CA47" s="567"/>
      <c r="CB47" s="567"/>
      <c r="CC47" s="567"/>
      <c r="CD47" s="567"/>
      <c r="CE47" s="567"/>
      <c r="CF47" s="567"/>
      <c r="CG47" s="567"/>
      <c r="CH47" s="567"/>
      <c r="CI47" s="567"/>
      <c r="CJ47" s="637"/>
      <c r="CK47" s="637"/>
    </row>
    <row r="48">
      <c r="A48" s="638" t="s">
        <v>703</v>
      </c>
      <c r="B48" s="535" t="s">
        <v>407</v>
      </c>
      <c r="C48" s="639"/>
      <c r="D48" s="470" t="s">
        <v>781</v>
      </c>
      <c r="E48" s="444">
        <v>3.0</v>
      </c>
      <c r="F48" s="444">
        <v>3.0</v>
      </c>
      <c r="G48" s="537">
        <f>IFERROR(__xludf.DUMMYFUNCTION("SUM(INDIRECT(CONCATENATE(""'"",INDEX(SPLIT($D48,""H""),1),""H"",INDEX(SPLIT($D48,""H""),2)+$E48*(COLUMN()-COLUMN($G48))/2,"":"",""H"",INDEX(SPLIT($D48,""H""),2)+$E48*(COLUMN()-COLUMN($G48))/2+$F48-1)))"),432850.0)</f>
        <v>432850</v>
      </c>
      <c r="H48" s="640">
        <f t="shared" ref="H48:H60" si="20">G48/G$48</f>
        <v>1</v>
      </c>
      <c r="I48" s="537">
        <f>IFERROR(__xludf.DUMMYFUNCTION("SUM(INDIRECT(CONCATENATE(""'"",INDEX(SPLIT($D48,""H""),1),""H"",INDEX(SPLIT($D48,""H""),2)+$E48*(COLUMN()-COLUMN($G48))/2,"":"",""H"",INDEX(SPLIT($D48,""H""),2)+$E48*(COLUMN()-COLUMN($G48))/2+$F48-1)))"),301300.0)</f>
        <v>301300</v>
      </c>
      <c r="J48" s="640">
        <f t="shared" ref="J48:J60" si="21">I48/I$48</f>
        <v>1</v>
      </c>
      <c r="K48" s="537">
        <f>IFERROR(__xludf.DUMMYFUNCTION("SUM(INDIRECT(CONCATENATE(""'"",INDEX(SPLIT($D48,""H""),1),""H"",INDEX(SPLIT($D48,""H""),2)+$E48*(COLUMN()-COLUMN($G48))/2,"":"",""H"",INDEX(SPLIT($D48,""H""),2)+$E48*(COLUMN()-COLUMN($G48))/2+$F48-1)))"),850160.0)</f>
        <v>850160</v>
      </c>
      <c r="L48" s="640">
        <f t="shared" ref="L48:L60" si="22">K48/K$48</f>
        <v>1</v>
      </c>
      <c r="M48" s="537">
        <f>IFERROR(__xludf.DUMMYFUNCTION("SUM(INDIRECT(CONCATENATE(""'"",INDEX(SPLIT($D48,""H""),1),""H"",INDEX(SPLIT($D48,""H""),2)+$E48*(COLUMN()-COLUMN($G48))/2,"":"",""H"",INDEX(SPLIT($D48,""H""),2)+$E48*(COLUMN()-COLUMN($G48))/2+$F48-1)))"),387813.0)</f>
        <v>387813</v>
      </c>
      <c r="N48" s="640">
        <f t="shared" ref="N48:N60" si="23">M48/M$48</f>
        <v>1</v>
      </c>
      <c r="O48" s="537">
        <f>IFERROR(__xludf.DUMMYFUNCTION("SUM(INDIRECT(CONCATENATE(""'"",INDEX(SPLIT($D48,""H""),1),""H"",INDEX(SPLIT($D48,""H""),2)+$E48*(COLUMN()-COLUMN($G48))/2,"":"",""H"",INDEX(SPLIT($D48,""H""),2)+$E48*(COLUMN()-COLUMN($G48))/2+$F48-1)))"),450576.0)</f>
        <v>450576</v>
      </c>
      <c r="P48" s="640">
        <f t="shared" ref="P48:P60" si="24">O48/O$48</f>
        <v>1</v>
      </c>
      <c r="Q48" s="537">
        <f>IFERROR(__xludf.DUMMYFUNCTION("SUM(INDIRECT(CONCATENATE(""'"",INDEX(SPLIT($D48,""H""),1),""H"",INDEX(SPLIT($D48,""H""),2)+$E48*(COLUMN()-COLUMN($G48))/2,"":"",""H"",INDEX(SPLIT($D48,""H""),2)+$E48*(COLUMN()-COLUMN($G48))/2+$F48-1)))"),421665.0)</f>
        <v>421665</v>
      </c>
      <c r="R48" s="641">
        <f t="shared" ref="R48:R60" si="25">Q48/Q$48</f>
        <v>1</v>
      </c>
      <c r="S48" s="537">
        <f>IFERROR(__xludf.DUMMYFUNCTION("SUM(INDIRECT(CONCATENATE(""'"",INDEX(SPLIT($D48,""H""),1),""H"",INDEX(SPLIT($D48,""H""),2)+$E48*(COLUMN()-COLUMN($G48))/2,"":"",""H"",INDEX(SPLIT($D48,""H""),2)+$E48*(COLUMN()-COLUMN($G48))/2+$F48-1)))"),817940.0)</f>
        <v>817940</v>
      </c>
      <c r="T48" s="640">
        <f t="shared" ref="T48:T60" si="26">S48/S$48</f>
        <v>1</v>
      </c>
      <c r="U48" s="537">
        <f>IFERROR(__xludf.DUMMYFUNCTION("SUM(INDIRECT(CONCATENATE(""'"",INDEX(SPLIT($D48,""H""),1),""H"",INDEX(SPLIT($D48,""H""),2)+$E48*(COLUMN()-COLUMN($G48))/2,"":"",""H"",INDEX(SPLIT($D48,""H""),2)+$E48*(COLUMN()-COLUMN($G48))/2+$F48-1)))"),445030.0)</f>
        <v>445030</v>
      </c>
      <c r="V48" s="640">
        <f t="shared" ref="V48:V60" si="27">U48/U$48</f>
        <v>1</v>
      </c>
      <c r="W48" s="537">
        <f>IFERROR(__xludf.DUMMYFUNCTION("SUM(INDIRECT(CONCATENATE(""'"",INDEX(SPLIT($D48,""H""),1),""H"",INDEX(SPLIT($D48,""H""),2)+$E48*(COLUMN()-COLUMN($G48))/2,"":"",""H"",INDEX(SPLIT($D48,""H""),2)+$E48*(COLUMN()-COLUMN($G48))/2+$F48-1)))"),110300.0)</f>
        <v>110300</v>
      </c>
      <c r="X48" s="640">
        <f t="shared" ref="X48:X60" si="28">W48/W$48</f>
        <v>1</v>
      </c>
      <c r="Y48" s="537">
        <f>IFERROR(__xludf.DUMMYFUNCTION("SUM(INDIRECT(CONCATENATE(""'"",INDEX(SPLIT($D48,""H""),1),""H"",INDEX(SPLIT($D48,""H""),2)+$E48*(COLUMN()-COLUMN($G48))/2,"":"",""H"",INDEX(SPLIT($D48,""H""),2)+$E48*(COLUMN()-COLUMN($G48))/2+$F48-1)))"),0.0)</f>
        <v>0</v>
      </c>
      <c r="Z48" s="641" t="str">
        <f t="shared" ref="Z48:Z60" si="29">Y48/Y$48</f>
        <v>#DIV/0!</v>
      </c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  <c r="BS48" s="567"/>
      <c r="BT48" s="567"/>
      <c r="BU48" s="567"/>
      <c r="BV48" s="567"/>
      <c r="BW48" s="567"/>
      <c r="BX48" s="567"/>
      <c r="BY48" s="567"/>
      <c r="BZ48" s="567"/>
      <c r="CA48" s="567"/>
      <c r="CB48" s="567"/>
      <c r="CC48" s="567"/>
      <c r="CD48" s="567"/>
      <c r="CE48" s="567"/>
      <c r="CF48" s="567"/>
      <c r="CG48" s="567"/>
      <c r="CH48" s="567"/>
      <c r="CI48" s="567"/>
      <c r="CJ48" s="637"/>
      <c r="CK48" s="637"/>
    </row>
    <row r="49">
      <c r="A49" s="638" t="s">
        <v>705</v>
      </c>
      <c r="B49" s="535"/>
      <c r="C49" s="560"/>
      <c r="D49" s="540" t="s">
        <v>652</v>
      </c>
      <c r="E49" s="444" t="s">
        <v>652</v>
      </c>
      <c r="F49" s="444" t="s">
        <v>652</v>
      </c>
      <c r="G49" s="542">
        <v>0.0</v>
      </c>
      <c r="H49" s="640">
        <f t="shared" si="20"/>
        <v>0</v>
      </c>
      <c r="I49" s="542">
        <v>0.0</v>
      </c>
      <c r="J49" s="640">
        <f t="shared" si="21"/>
        <v>0</v>
      </c>
      <c r="K49" s="542">
        <v>0.0</v>
      </c>
      <c r="L49" s="640">
        <f t="shared" si="22"/>
        <v>0</v>
      </c>
      <c r="M49" s="542">
        <v>0.0</v>
      </c>
      <c r="N49" s="640">
        <f t="shared" si="23"/>
        <v>0</v>
      </c>
      <c r="O49" s="542">
        <v>0.0</v>
      </c>
      <c r="P49" s="640">
        <f t="shared" si="24"/>
        <v>0</v>
      </c>
      <c r="Q49" s="542">
        <v>0.0</v>
      </c>
      <c r="R49" s="641">
        <f t="shared" si="25"/>
        <v>0</v>
      </c>
      <c r="S49" s="542">
        <v>0.0</v>
      </c>
      <c r="T49" s="640">
        <f t="shared" si="26"/>
        <v>0</v>
      </c>
      <c r="U49" s="542">
        <v>0.0</v>
      </c>
      <c r="V49" s="640">
        <f t="shared" si="27"/>
        <v>0</v>
      </c>
      <c r="W49" s="542">
        <v>0.0</v>
      </c>
      <c r="X49" s="640">
        <f t="shared" si="28"/>
        <v>0</v>
      </c>
      <c r="Y49" s="542">
        <v>0.0</v>
      </c>
      <c r="Z49" s="641" t="str">
        <f t="shared" si="29"/>
        <v>#DIV/0!</v>
      </c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  <c r="BS49" s="567"/>
      <c r="BT49" s="567"/>
      <c r="BU49" s="567"/>
      <c r="BV49" s="567"/>
      <c r="BW49" s="567"/>
      <c r="BX49" s="567"/>
      <c r="BY49" s="567"/>
      <c r="BZ49" s="567"/>
      <c r="CA49" s="567"/>
      <c r="CB49" s="567"/>
      <c r="CC49" s="567"/>
      <c r="CD49" s="567"/>
      <c r="CE49" s="567"/>
      <c r="CF49" s="567"/>
      <c r="CG49" s="567"/>
      <c r="CH49" s="567"/>
      <c r="CI49" s="567"/>
      <c r="CJ49" s="642"/>
      <c r="CK49" s="642"/>
    </row>
    <row r="50">
      <c r="A50" s="461" t="s">
        <v>706</v>
      </c>
      <c r="B50" s="462"/>
      <c r="C50" s="639"/>
      <c r="D50" s="540" t="s">
        <v>652</v>
      </c>
      <c r="E50" s="444" t="s">
        <v>652</v>
      </c>
      <c r="F50" s="444" t="s">
        <v>652</v>
      </c>
      <c r="G50" s="537">
        <f>G48-G49</f>
        <v>432850</v>
      </c>
      <c r="H50" s="640">
        <f t="shared" si="20"/>
        <v>1</v>
      </c>
      <c r="I50" s="537">
        <f>I48-I49</f>
        <v>301300</v>
      </c>
      <c r="J50" s="640">
        <f t="shared" si="21"/>
        <v>1</v>
      </c>
      <c r="K50" s="537">
        <f>K48-K49</f>
        <v>850160</v>
      </c>
      <c r="L50" s="640">
        <f t="shared" si="22"/>
        <v>1</v>
      </c>
      <c r="M50" s="537">
        <f>M48-M49</f>
        <v>387813</v>
      </c>
      <c r="N50" s="640">
        <f t="shared" si="23"/>
        <v>1</v>
      </c>
      <c r="O50" s="537">
        <f>O48-O49</f>
        <v>450576</v>
      </c>
      <c r="P50" s="640">
        <f t="shared" si="24"/>
        <v>1</v>
      </c>
      <c r="Q50" s="537">
        <f>Q48-Q49</f>
        <v>421665</v>
      </c>
      <c r="R50" s="641">
        <f t="shared" si="25"/>
        <v>1</v>
      </c>
      <c r="S50" s="537">
        <f>S48-S49</f>
        <v>817940</v>
      </c>
      <c r="T50" s="640">
        <f t="shared" si="26"/>
        <v>1</v>
      </c>
      <c r="U50" s="537">
        <f>U48-U49</f>
        <v>445030</v>
      </c>
      <c r="V50" s="640">
        <f t="shared" si="27"/>
        <v>1</v>
      </c>
      <c r="W50" s="537">
        <f>W48-W49</f>
        <v>110300</v>
      </c>
      <c r="X50" s="640">
        <f t="shared" si="28"/>
        <v>1</v>
      </c>
      <c r="Y50" s="537">
        <f>Y48-Y49</f>
        <v>0</v>
      </c>
      <c r="Z50" s="641" t="str">
        <f t="shared" si="29"/>
        <v>#DIV/0!</v>
      </c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  <c r="BS50" s="567"/>
      <c r="BT50" s="567"/>
      <c r="BU50" s="567"/>
      <c r="BV50" s="567"/>
      <c r="BW50" s="567"/>
      <c r="BX50" s="567"/>
      <c r="BY50" s="567"/>
      <c r="BZ50" s="567"/>
      <c r="CA50" s="567"/>
      <c r="CB50" s="567"/>
      <c r="CC50" s="567"/>
      <c r="CD50" s="567"/>
      <c r="CE50" s="567"/>
      <c r="CF50" s="567"/>
      <c r="CG50" s="567"/>
      <c r="CH50" s="567"/>
      <c r="CI50" s="567"/>
      <c r="CJ50" s="637"/>
      <c r="CK50" s="637"/>
    </row>
    <row r="51">
      <c r="A51" s="643" t="s">
        <v>707</v>
      </c>
      <c r="B51" s="535" t="s">
        <v>708</v>
      </c>
      <c r="C51" s="639"/>
      <c r="D51" s="470" t="s">
        <v>782</v>
      </c>
      <c r="E51" s="444">
        <v>3.0</v>
      </c>
      <c r="F51" s="444">
        <v>3.0</v>
      </c>
      <c r="G51" s="537">
        <f>IFERROR(__xludf.DUMMYFUNCTION("SUM(INDIRECT(CONCATENATE(""'"",INDEX(SPLIT($D51,""AC""),1),""AC"",INDEX(SPLIT($D51,""AC""),2)+$E51*(COLUMN()-COLUMN($G51))/2,"":"",""AC"",INDEX(SPLIT($D51,""AC""),2)+$E51*(COLUMN()-COLUMN($G51))/2+$F51-1)))"),212370.0)</f>
        <v>212370</v>
      </c>
      <c r="H51" s="640">
        <f t="shared" si="20"/>
        <v>0.4906318586</v>
      </c>
      <c r="I51" s="537">
        <f>IFERROR(__xludf.DUMMYFUNCTION("SUM(INDIRECT(CONCATENATE(""'"",INDEX(SPLIT($D51,""AC""),1),""AC"",INDEX(SPLIT($D51,""AC""),2)+$E51*(COLUMN()-COLUMN($G51))/2,"":"",""AC"",INDEX(SPLIT($D51,""AC""),2)+$E51*(COLUMN()-COLUMN($G51))/2+$F51-1)))"),253094.0)</f>
        <v>253094</v>
      </c>
      <c r="J51" s="640">
        <f t="shared" si="21"/>
        <v>0.8400066379</v>
      </c>
      <c r="K51" s="537">
        <f>IFERROR(__xludf.DUMMYFUNCTION("SUM(INDIRECT(CONCATENATE(""'"",INDEX(SPLIT($D51,""AC""),1),""AC"",INDEX(SPLIT($D51,""AC""),2)+$E51*(COLUMN()-COLUMN($G51))/2,"":"",""AC"",INDEX(SPLIT($D51,""AC""),2)+$E51*(COLUMN()-COLUMN($G51))/2+$F51-1)))"),306824.0)</f>
        <v>306824</v>
      </c>
      <c r="L51" s="640">
        <f t="shared" si="22"/>
        <v>0.3609014774</v>
      </c>
      <c r="M51" s="537">
        <f>IFERROR(__xludf.DUMMYFUNCTION("SUM(INDIRECT(CONCATENATE(""'"",INDEX(SPLIT($D51,""AC""),1),""AC"",INDEX(SPLIT($D51,""AC""),2)+$E51*(COLUMN()-COLUMN($G51))/2,"":"",""AC"",INDEX(SPLIT($D51,""AC""),2)+$E51*(COLUMN()-COLUMN($G51))/2+$F51-1)))"),257908.0)</f>
        <v>257908</v>
      </c>
      <c r="N51" s="640">
        <f t="shared" si="23"/>
        <v>0.6650318581</v>
      </c>
      <c r="O51" s="537">
        <f>IFERROR(__xludf.DUMMYFUNCTION("SUM(INDIRECT(CONCATENATE(""'"",INDEX(SPLIT($D51,""AC""),1),""AC"",INDEX(SPLIT($D51,""AC""),2)+$E51*(COLUMN()-COLUMN($G51))/2,"":"",""AC"",INDEX(SPLIT($D51,""AC""),2)+$E51*(COLUMN()-COLUMN($G51))/2+$F51-1)))"),306437.0)</f>
        <v>306437</v>
      </c>
      <c r="P51" s="640">
        <f t="shared" si="24"/>
        <v>0.6801005824</v>
      </c>
      <c r="Q51" s="537">
        <f>IFERROR(__xludf.DUMMYFUNCTION("SUM(INDIRECT(CONCATENATE(""'"",INDEX(SPLIT($D51,""AC""),1),""AC"",INDEX(SPLIT($D51,""AC""),2)+$E51*(COLUMN()-COLUMN($G51))/2,"":"",""AC"",INDEX(SPLIT($D51,""AC""),2)+$E51*(COLUMN()-COLUMN($G51))/2+$F51-1)))"),328502.0)</f>
        <v>328502</v>
      </c>
      <c r="R51" s="641">
        <f t="shared" si="25"/>
        <v>0.7790592058</v>
      </c>
      <c r="S51" s="537">
        <f>IFERROR(__xludf.DUMMYFUNCTION("SUM(INDIRECT(CONCATENATE(""'"",INDEX(SPLIT($D51,""AC""),1),""AC"",INDEX(SPLIT($D51,""AC""),2)+$E51*(COLUMN()-COLUMN($G51))/2,"":"",""AC"",INDEX(SPLIT($D51,""AC""),2)+$E51*(COLUMN()-COLUMN($G51))/2+$F51-1)))"),309933.0)</f>
        <v>309933</v>
      </c>
      <c r="T51" s="640">
        <f t="shared" si="26"/>
        <v>0.3789189916</v>
      </c>
      <c r="U51" s="537">
        <f>IFERROR(__xludf.DUMMYFUNCTION("SUM(INDIRECT(CONCATENATE(""'"",INDEX(SPLIT($D51,""AC""),1),""AC"",INDEX(SPLIT($D51,""AC""),2)+$E51*(COLUMN()-COLUMN($G51))/2,"":"",""AC"",INDEX(SPLIT($D51,""AC""),2)+$E51*(COLUMN()-COLUMN($G51))/2+$F51-1)))"),274666.0)</f>
        <v>274666</v>
      </c>
      <c r="V51" s="640">
        <f t="shared" si="27"/>
        <v>0.6171853583</v>
      </c>
      <c r="W51" s="537">
        <f>IFERROR(__xludf.DUMMYFUNCTION("SUM(INDIRECT(CONCATENATE(""'"",INDEX(SPLIT($D51,""AC""),1),""AC"",INDEX(SPLIT($D51,""AC""),2)+$E51*(COLUMN()-COLUMN($G51))/2,"":"",""AC"",INDEX(SPLIT($D51,""AC""),2)+$E51*(COLUMN()-COLUMN($G51))/2+$F51-1)))"),23665.0)</f>
        <v>23665</v>
      </c>
      <c r="X51" s="640">
        <f t="shared" si="28"/>
        <v>0.2145512239</v>
      </c>
      <c r="Y51" s="537">
        <f>IFERROR(__xludf.DUMMYFUNCTION("SUM(INDIRECT(CONCATENATE(""'"",INDEX(SPLIT($D51,""AC""),1),""AC"",INDEX(SPLIT($D51,""AC""),2)+$E51*(COLUMN()-COLUMN($G51))/2,"":"",""AC"",INDEX(SPLIT($D51,""AC""),2)+$E51*(COLUMN()-COLUMN($G51))/2+$F51-1)))"),2030.0)</f>
        <v>2030</v>
      </c>
      <c r="Z51" s="641" t="str">
        <f t="shared" si="29"/>
        <v>#DIV/0!</v>
      </c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  <c r="BS51" s="567"/>
      <c r="BT51" s="567"/>
      <c r="BU51" s="567"/>
      <c r="BV51" s="567"/>
      <c r="BW51" s="567"/>
      <c r="BX51" s="567"/>
      <c r="BY51" s="567"/>
      <c r="BZ51" s="567"/>
      <c r="CA51" s="567"/>
      <c r="CB51" s="567"/>
      <c r="CC51" s="567"/>
      <c r="CD51" s="567"/>
      <c r="CE51" s="567"/>
      <c r="CF51" s="567"/>
      <c r="CG51" s="567"/>
      <c r="CH51" s="567"/>
      <c r="CI51" s="567"/>
      <c r="CJ51" s="637"/>
      <c r="CK51" s="637"/>
    </row>
    <row r="52">
      <c r="A52" s="644"/>
      <c r="B52" s="535" t="s">
        <v>710</v>
      </c>
      <c r="C52" s="639"/>
      <c r="D52" s="470" t="s">
        <v>783</v>
      </c>
      <c r="E52" s="444">
        <v>3.0</v>
      </c>
      <c r="F52" s="444">
        <v>3.0</v>
      </c>
      <c r="G52" s="537">
        <f>IFERROR(__xludf.DUMMYFUNCTION("SUM(INDIRECT(CONCATENATE(""'"",INDEX(SPLIT($D52,""Y""),1),""Y"",INDEX(SPLIT($D52,""Y""),2)+$E52*(COLUMN()-COLUMN($G52))/2,"":"",""Y"",INDEX(SPLIT($D52,""Y""),2)+$E52*(COLUMN()-COLUMN($G52))/2+$F52-1)))"),34556.0)</f>
        <v>34556</v>
      </c>
      <c r="H52" s="640">
        <f t="shared" si="20"/>
        <v>0.07983366062</v>
      </c>
      <c r="I52" s="537">
        <f>IFERROR(__xludf.DUMMYFUNCTION("SUM(INDIRECT(CONCATENATE(""'"",INDEX(SPLIT($D52,""Y""),1),""Y"",INDEX(SPLIT($D52,""Y""),2)+$E52*(COLUMN()-COLUMN($G52))/2,"":"",""Y"",INDEX(SPLIT($D52,""Y""),2)+$E52*(COLUMN()-COLUMN($G52))/2+$F52-1)))"),32857.0)</f>
        <v>32857</v>
      </c>
      <c r="J52" s="640">
        <f t="shared" si="21"/>
        <v>0.10905078</v>
      </c>
      <c r="K52" s="537">
        <f>IFERROR(__xludf.DUMMYFUNCTION("SUM(INDIRECT(CONCATENATE(""'"",INDEX(SPLIT($D52,""Y""),1),""Y"",INDEX(SPLIT($D52,""Y""),2)+$E52*(COLUMN()-COLUMN($G52))/2,"":"",""Y"",INDEX(SPLIT($D52,""Y""),2)+$E52*(COLUMN()-COLUMN($G52))/2+$F52-1)))"),31241.0)</f>
        <v>31241</v>
      </c>
      <c r="L52" s="640">
        <f t="shared" si="22"/>
        <v>0.03674720053</v>
      </c>
      <c r="M52" s="537">
        <f>IFERROR(__xludf.DUMMYFUNCTION("SUM(INDIRECT(CONCATENATE(""'"",INDEX(SPLIT($D52,""Y""),1),""Y"",INDEX(SPLIT($D52,""Y""),2)+$E52*(COLUMN()-COLUMN($G52))/2,"":"",""Y"",INDEX(SPLIT($D52,""Y""),2)+$E52*(COLUMN()-COLUMN($G52))/2+$F52-1)))"),29705.0)</f>
        <v>29705</v>
      </c>
      <c r="N52" s="640">
        <f t="shared" si="23"/>
        <v>0.07659619456</v>
      </c>
      <c r="O52" s="537">
        <f>IFERROR(__xludf.DUMMYFUNCTION("SUM(INDIRECT(CONCATENATE(""'"",INDEX(SPLIT($D52,""Y""),1),""Y"",INDEX(SPLIT($D52,""Y""),2)+$E52*(COLUMN()-COLUMN($G52))/2,"":"",""Y"",INDEX(SPLIT($D52,""Y""),2)+$E52*(COLUMN()-COLUMN($G52))/2+$F52-1)))"),28244.0)</f>
        <v>28244</v>
      </c>
      <c r="P52" s="640">
        <f t="shared" si="24"/>
        <v>0.06268420866</v>
      </c>
      <c r="Q52" s="537">
        <f>IFERROR(__xludf.DUMMYFUNCTION("SUM(INDIRECT(CONCATENATE(""'"",INDEX(SPLIT($D52,""Y""),1),""Y"",INDEX(SPLIT($D52,""Y""),2)+$E52*(COLUMN()-COLUMN($G52))/2,"":"",""Y"",INDEX(SPLIT($D52,""Y""),2)+$E52*(COLUMN()-COLUMN($G52))/2+$F52-1)))"),26856.0)</f>
        <v>26856</v>
      </c>
      <c r="R52" s="641">
        <f t="shared" si="25"/>
        <v>0.06369037032</v>
      </c>
      <c r="S52" s="537">
        <f>IFERROR(__xludf.DUMMYFUNCTION("SUM(INDIRECT(CONCATENATE(""'"",INDEX(SPLIT($D52,""Y""),1),""Y"",INDEX(SPLIT($D52,""Y""),2)+$E52*(COLUMN()-COLUMN($G52))/2,"":"",""Y"",INDEX(SPLIT($D52,""Y""),2)+$E52*(COLUMN()-COLUMN($G52))/2+$F52-1)))"),25535.0)</f>
        <v>25535</v>
      </c>
      <c r="T52" s="640">
        <f t="shared" si="26"/>
        <v>0.0312186713</v>
      </c>
      <c r="U52" s="537">
        <f>IFERROR(__xludf.DUMMYFUNCTION("SUM(INDIRECT(CONCATENATE(""'"",INDEX(SPLIT($D52,""Y""),1),""Y"",INDEX(SPLIT($D52,""Y""),2)+$E52*(COLUMN()-COLUMN($G52))/2,"":"",""Y"",INDEX(SPLIT($D52,""Y""),2)+$E52*(COLUMN()-COLUMN($G52))/2+$F52-1)))"),24278.0)</f>
        <v>24278</v>
      </c>
      <c r="V52" s="640">
        <f t="shared" si="27"/>
        <v>0.0545536256</v>
      </c>
      <c r="W52" s="537">
        <f>IFERROR(__xludf.DUMMYFUNCTION("SUM(INDIRECT(CONCATENATE(""'"",INDEX(SPLIT($D52,""Y""),1),""Y"",INDEX(SPLIT($D52,""Y""),2)+$E52*(COLUMN()-COLUMN($G52))/2,"":"",""Y"",INDEX(SPLIT($D52,""Y""),2)+$E52*(COLUMN()-COLUMN($G52))/2+$F52-1)))"),7825.0)</f>
        <v>7825</v>
      </c>
      <c r="X52" s="640">
        <f t="shared" si="28"/>
        <v>0.07094288305</v>
      </c>
      <c r="Y52" s="537">
        <f>IFERROR(__xludf.DUMMYFUNCTION("SUM(INDIRECT(CONCATENATE(""'"",INDEX(SPLIT($D52,""Y""),1),""Y"",INDEX(SPLIT($D52,""Y""),2)+$E52*(COLUMN()-COLUMN($G52))/2,"":"",""Y"",INDEX(SPLIT($D52,""Y""),2)+$E52*(COLUMN()-COLUMN($G52))/2+$F52-1)))"),0.0)</f>
        <v>0</v>
      </c>
      <c r="Z52" s="641" t="str">
        <f t="shared" si="29"/>
        <v>#DIV/0!</v>
      </c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  <c r="BS52" s="567"/>
      <c r="BT52" s="567"/>
      <c r="BU52" s="567"/>
      <c r="BV52" s="567"/>
      <c r="BW52" s="567"/>
      <c r="BX52" s="567"/>
      <c r="BY52" s="567"/>
      <c r="BZ52" s="567"/>
      <c r="CA52" s="567"/>
      <c r="CB52" s="567"/>
      <c r="CC52" s="567"/>
      <c r="CD52" s="567"/>
      <c r="CE52" s="567"/>
      <c r="CF52" s="567"/>
      <c r="CG52" s="567"/>
      <c r="CH52" s="567"/>
      <c r="CI52" s="567"/>
      <c r="CJ52" s="637"/>
      <c r="CK52" s="637"/>
    </row>
    <row r="53">
      <c r="A53" s="645"/>
      <c r="B53" s="535" t="s">
        <v>712</v>
      </c>
      <c r="C53" s="560"/>
      <c r="D53" s="540" t="s">
        <v>652</v>
      </c>
      <c r="E53" s="444" t="s">
        <v>652</v>
      </c>
      <c r="F53" s="444" t="s">
        <v>652</v>
      </c>
      <c r="G53" s="542">
        <f>G51+G52</f>
        <v>246926</v>
      </c>
      <c r="H53" s="640">
        <f t="shared" si="20"/>
        <v>0.5704655192</v>
      </c>
      <c r="I53" s="542">
        <f>I51+I52</f>
        <v>285951</v>
      </c>
      <c r="J53" s="640">
        <f t="shared" si="21"/>
        <v>0.9490574179</v>
      </c>
      <c r="K53" s="542">
        <f>K51+K52</f>
        <v>338065</v>
      </c>
      <c r="L53" s="640">
        <f t="shared" si="22"/>
        <v>0.3976486779</v>
      </c>
      <c r="M53" s="542">
        <f>M51+M52</f>
        <v>287613</v>
      </c>
      <c r="N53" s="640">
        <f t="shared" si="23"/>
        <v>0.7416280527</v>
      </c>
      <c r="O53" s="542">
        <f>O51+O52</f>
        <v>334681</v>
      </c>
      <c r="P53" s="640">
        <f t="shared" si="24"/>
        <v>0.742784791</v>
      </c>
      <c r="Q53" s="542">
        <f>Q51+Q52</f>
        <v>355358</v>
      </c>
      <c r="R53" s="641">
        <f t="shared" si="25"/>
        <v>0.8427495761</v>
      </c>
      <c r="S53" s="542">
        <f>S51+S52</f>
        <v>335468</v>
      </c>
      <c r="T53" s="640">
        <f t="shared" si="26"/>
        <v>0.4101376629</v>
      </c>
      <c r="U53" s="542">
        <f>U51+U52</f>
        <v>298944</v>
      </c>
      <c r="V53" s="640">
        <f t="shared" si="27"/>
        <v>0.6717389839</v>
      </c>
      <c r="W53" s="542">
        <f>W51+W52</f>
        <v>31490</v>
      </c>
      <c r="X53" s="640">
        <f t="shared" si="28"/>
        <v>0.285494107</v>
      </c>
      <c r="Y53" s="542">
        <f>Y51+Y52</f>
        <v>2030</v>
      </c>
      <c r="Z53" s="641" t="str">
        <f t="shared" si="29"/>
        <v>#DIV/0!</v>
      </c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  <c r="BS53" s="567"/>
      <c r="BT53" s="567"/>
      <c r="BU53" s="567"/>
      <c r="BV53" s="567"/>
      <c r="BW53" s="567"/>
      <c r="BX53" s="567"/>
      <c r="BY53" s="567"/>
      <c r="BZ53" s="567"/>
      <c r="CA53" s="567"/>
      <c r="CB53" s="567"/>
      <c r="CC53" s="567"/>
      <c r="CD53" s="567"/>
      <c r="CE53" s="567"/>
      <c r="CF53" s="567"/>
      <c r="CG53" s="567"/>
      <c r="CH53" s="567"/>
      <c r="CI53" s="567"/>
      <c r="CJ53" s="642"/>
      <c r="CK53" s="642"/>
    </row>
    <row r="54">
      <c r="A54" s="638" t="s">
        <v>713</v>
      </c>
      <c r="B54" s="535"/>
      <c r="C54" s="560"/>
      <c r="D54" s="540" t="s">
        <v>652</v>
      </c>
      <c r="E54" s="444" t="s">
        <v>652</v>
      </c>
      <c r="F54" s="444" t="s">
        <v>652</v>
      </c>
      <c r="G54" s="542">
        <v>0.0</v>
      </c>
      <c r="H54" s="640">
        <f t="shared" si="20"/>
        <v>0</v>
      </c>
      <c r="I54" s="542">
        <v>0.0</v>
      </c>
      <c r="J54" s="640">
        <f t="shared" si="21"/>
        <v>0</v>
      </c>
      <c r="K54" s="542">
        <v>0.0</v>
      </c>
      <c r="L54" s="640">
        <f t="shared" si="22"/>
        <v>0</v>
      </c>
      <c r="M54" s="542">
        <v>0.0</v>
      </c>
      <c r="N54" s="640">
        <f t="shared" si="23"/>
        <v>0</v>
      </c>
      <c r="O54" s="542">
        <v>0.0</v>
      </c>
      <c r="P54" s="640">
        <f t="shared" si="24"/>
        <v>0</v>
      </c>
      <c r="Q54" s="542">
        <v>0.0</v>
      </c>
      <c r="R54" s="641">
        <f t="shared" si="25"/>
        <v>0</v>
      </c>
      <c r="S54" s="542">
        <v>0.0</v>
      </c>
      <c r="T54" s="640">
        <f t="shared" si="26"/>
        <v>0</v>
      </c>
      <c r="U54" s="542">
        <v>0.0</v>
      </c>
      <c r="V54" s="640">
        <f t="shared" si="27"/>
        <v>0</v>
      </c>
      <c r="W54" s="542">
        <v>0.0</v>
      </c>
      <c r="X54" s="640">
        <f t="shared" si="28"/>
        <v>0</v>
      </c>
      <c r="Y54" s="542">
        <v>0.0</v>
      </c>
      <c r="Z54" s="641" t="str">
        <f t="shared" si="29"/>
        <v>#DIV/0!</v>
      </c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  <c r="BS54" s="567"/>
      <c r="BT54" s="567"/>
      <c r="BU54" s="567"/>
      <c r="BV54" s="567"/>
      <c r="BW54" s="567"/>
      <c r="BX54" s="567"/>
      <c r="BY54" s="567"/>
      <c r="BZ54" s="567"/>
      <c r="CA54" s="567"/>
      <c r="CB54" s="567"/>
      <c r="CC54" s="567"/>
      <c r="CD54" s="567"/>
      <c r="CE54" s="567"/>
      <c r="CF54" s="567"/>
      <c r="CG54" s="567"/>
      <c r="CH54" s="567"/>
      <c r="CI54" s="567"/>
      <c r="CJ54" s="642"/>
      <c r="CK54" s="642"/>
    </row>
    <row r="55">
      <c r="A55" s="461" t="s">
        <v>714</v>
      </c>
      <c r="B55" s="462"/>
      <c r="C55" s="639"/>
      <c r="D55" s="540" t="s">
        <v>652</v>
      </c>
      <c r="E55" s="444" t="s">
        <v>652</v>
      </c>
      <c r="F55" s="444" t="s">
        <v>652</v>
      </c>
      <c r="G55" s="537">
        <f>G50-G53+G54</f>
        <v>185924</v>
      </c>
      <c r="H55" s="640">
        <f t="shared" si="20"/>
        <v>0.4295344808</v>
      </c>
      <c r="I55" s="537">
        <f>I50-I53+I54</f>
        <v>15349</v>
      </c>
      <c r="J55" s="640">
        <f t="shared" si="21"/>
        <v>0.05094258214</v>
      </c>
      <c r="K55" s="537">
        <f>K50-K53+K54</f>
        <v>512095</v>
      </c>
      <c r="L55" s="640">
        <f t="shared" si="22"/>
        <v>0.6023513221</v>
      </c>
      <c r="M55" s="537">
        <f>M50-M53+M54</f>
        <v>100200</v>
      </c>
      <c r="N55" s="640">
        <f t="shared" si="23"/>
        <v>0.2583719473</v>
      </c>
      <c r="O55" s="537">
        <f>O50-O53+O54</f>
        <v>115895</v>
      </c>
      <c r="P55" s="640">
        <f t="shared" si="24"/>
        <v>0.257215209</v>
      </c>
      <c r="Q55" s="537">
        <f>Q50-Q53+Q54</f>
        <v>66307</v>
      </c>
      <c r="R55" s="641">
        <f t="shared" si="25"/>
        <v>0.1572504239</v>
      </c>
      <c r="S55" s="537">
        <f>S50-S53+S54</f>
        <v>482472</v>
      </c>
      <c r="T55" s="640">
        <f t="shared" si="26"/>
        <v>0.5898623371</v>
      </c>
      <c r="U55" s="537">
        <f>U50-U53+U54</f>
        <v>146086</v>
      </c>
      <c r="V55" s="640">
        <f t="shared" si="27"/>
        <v>0.3282610161</v>
      </c>
      <c r="W55" s="537">
        <f>W50-W53+W54</f>
        <v>78810</v>
      </c>
      <c r="X55" s="640">
        <f t="shared" si="28"/>
        <v>0.714505893</v>
      </c>
      <c r="Y55" s="537">
        <f>Y50-Y53+Y54</f>
        <v>-2030</v>
      </c>
      <c r="Z55" s="641" t="str">
        <f t="shared" si="29"/>
        <v>#DIV/0!</v>
      </c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  <c r="BW55" s="567"/>
      <c r="BX55" s="567"/>
      <c r="BY55" s="567"/>
      <c r="BZ55" s="567"/>
      <c r="CA55" s="567"/>
      <c r="CB55" s="567"/>
      <c r="CC55" s="567"/>
      <c r="CD55" s="567"/>
      <c r="CE55" s="567"/>
      <c r="CF55" s="567"/>
      <c r="CG55" s="567"/>
      <c r="CH55" s="567"/>
      <c r="CI55" s="567"/>
      <c r="CJ55" s="637"/>
      <c r="CK55" s="637"/>
    </row>
    <row r="56">
      <c r="A56" s="638" t="s">
        <v>715</v>
      </c>
      <c r="B56" s="535" t="s">
        <v>408</v>
      </c>
      <c r="C56" s="646"/>
      <c r="D56" s="470" t="s">
        <v>784</v>
      </c>
      <c r="E56" s="444">
        <v>3.0</v>
      </c>
      <c r="F56" s="444">
        <v>3.0</v>
      </c>
      <c r="G56" s="537">
        <f>IFERROR(__xludf.DUMMYFUNCTION("SUM(INDIRECT(CONCATENATE(""'"",INDEX(SPLIT($D56,""P""),1),""P"",INDEX(SPLIT($D56,""P""),2)+$E56*(COLUMN()-COLUMN($G56))/2,"":"",""P"",INDEX(SPLIT($D56,""P""),2)+$E56*(COLUMN()-COLUMN($G56))/2+$F56-1)))"),40363.0)</f>
        <v>40363</v>
      </c>
      <c r="H56" s="640">
        <f t="shared" si="20"/>
        <v>0.09324939355</v>
      </c>
      <c r="I56" s="537">
        <f>IFERROR(__xludf.DUMMYFUNCTION("SUM(INDIRECT(CONCATENATE(""'"",INDEX(SPLIT($D56,""P""),1),""P"",INDEX(SPLIT($D56,""P""),2)+$E56*(COLUMN()-COLUMN($G56))/2,"":"",""P"",INDEX(SPLIT($D56,""P""),2)+$E56*(COLUMN()-COLUMN($G56))/2+$F56-1)))"),38068.0)</f>
        <v>38068</v>
      </c>
      <c r="J56" s="640">
        <f t="shared" si="21"/>
        <v>0.1263458347</v>
      </c>
      <c r="K56" s="537">
        <f>IFERROR(__xludf.DUMMYFUNCTION("SUM(INDIRECT(CONCATENATE(""'"",INDEX(SPLIT($D56,""P""),1),""P"",INDEX(SPLIT($D56,""P""),2)+$E56*(COLUMN()-COLUMN($G56))/2,"":"",""P"",INDEX(SPLIT($D56,""P""),2)+$E56*(COLUMN()-COLUMN($G56))/2+$F56-1)))"),36479.0)</f>
        <v>36479</v>
      </c>
      <c r="L56" s="640">
        <f t="shared" si="22"/>
        <v>0.04290839371</v>
      </c>
      <c r="M56" s="537">
        <f>IFERROR(__xludf.DUMMYFUNCTION("SUM(INDIRECT(CONCATENATE(""'"",INDEX(SPLIT($D56,""P""),1),""P"",INDEX(SPLIT($D56,""P""),2)+$E56*(COLUMN()-COLUMN($G56))/2,"":"",""P"",INDEX(SPLIT($D56,""P""),2)+$E56*(COLUMN()-COLUMN($G56))/2+$F56-1)))"),38512.0)</f>
        <v>38512</v>
      </c>
      <c r="N56" s="640">
        <f t="shared" si="23"/>
        <v>0.09930559316</v>
      </c>
      <c r="O56" s="537">
        <f>IFERROR(__xludf.DUMMYFUNCTION("SUM(INDIRECT(CONCATENATE(""'"",INDEX(SPLIT($D56,""P""),1),""P"",INDEX(SPLIT($D56,""P""),2)+$E56*(COLUMN()-COLUMN($G56))/2,"":"",""P"",INDEX(SPLIT($D56,""P""),2)+$E56*(COLUMN()-COLUMN($G56))/2+$F56-1)))"),77433.0)</f>
        <v>77433</v>
      </c>
      <c r="P56" s="640">
        <f t="shared" si="24"/>
        <v>0.171853361</v>
      </c>
      <c r="Q56" s="537">
        <f>IFERROR(__xludf.DUMMYFUNCTION("SUM(INDIRECT(CONCATENATE(""'"",INDEX(SPLIT($D56,""P""),1),""P"",INDEX(SPLIT($D56,""P""),2)+$E56*(COLUMN()-COLUMN($G56))/2,"":"",""P"",INDEX(SPLIT($D56,""P""),2)+$E56*(COLUMN()-COLUMN($G56))/2+$F56-1)))"),39180.0)</f>
        <v>39180</v>
      </c>
      <c r="R56" s="641">
        <f t="shared" si="25"/>
        <v>0.09291736331</v>
      </c>
      <c r="S56" s="537">
        <f>IFERROR(__xludf.DUMMYFUNCTION("SUM(INDIRECT(CONCATENATE(""'"",INDEX(SPLIT($D56,""P""),1),""P"",INDEX(SPLIT($D56,""P""),2)+$E56*(COLUMN()-COLUMN($G56))/2,"":"",""P"",INDEX(SPLIT($D56,""P""),2)+$E56*(COLUMN()-COLUMN($G56))/2+$F56-1)))"),955724.0)</f>
        <v>955724</v>
      </c>
      <c r="T56" s="640">
        <f t="shared" si="26"/>
        <v>1.168452454</v>
      </c>
      <c r="U56" s="537">
        <f>IFERROR(__xludf.DUMMYFUNCTION("SUM(INDIRECT(CONCATENATE(""'"",INDEX(SPLIT($D56,""P""),1),""P"",INDEX(SPLIT($D56,""P""),2)+$E56*(COLUMN()-COLUMN($G56))/2,"":"",""P"",INDEX(SPLIT($D56,""P""),2)+$E56*(COLUMN()-COLUMN($G56))/2+$F56-1)))"),20800.0)</f>
        <v>20800</v>
      </c>
      <c r="V56" s="640">
        <f t="shared" si="27"/>
        <v>0.04673842213</v>
      </c>
      <c r="W56" s="537">
        <f>IFERROR(__xludf.DUMMYFUNCTION("SUM(INDIRECT(CONCATENATE(""'"",INDEX(SPLIT($D56,""P""),1),""P"",INDEX(SPLIT($D56,""P""),2)+$E56*(COLUMN()-COLUMN($G56))/2,"":"",""P"",INDEX(SPLIT($D56,""P""),2)+$E56*(COLUMN()-COLUMN($G56))/2+$F56-1)))"),6000.0)</f>
        <v>6000</v>
      </c>
      <c r="X56" s="640">
        <f t="shared" si="28"/>
        <v>0.05439709882</v>
      </c>
      <c r="Y56" s="537">
        <f>IFERROR(__xludf.DUMMYFUNCTION("SUM(INDIRECT(CONCATENATE(""'"",INDEX(SPLIT($D56,""P""),1),""P"",INDEX(SPLIT($D56,""P""),2)+$E56*(COLUMN()-COLUMN($G56))/2,"":"",""P"",INDEX(SPLIT($D56,""P""),2)+$E56*(COLUMN()-COLUMN($G56))/2+$F56-1)))"),0.0)</f>
        <v>0</v>
      </c>
      <c r="Z56" s="641" t="str">
        <f t="shared" si="29"/>
        <v>#DIV/0!</v>
      </c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  <c r="BS56" s="567"/>
      <c r="BT56" s="567"/>
      <c r="BU56" s="567"/>
      <c r="BV56" s="567"/>
      <c r="BW56" s="567"/>
      <c r="BX56" s="567"/>
      <c r="BY56" s="567"/>
      <c r="BZ56" s="567"/>
      <c r="CA56" s="567"/>
      <c r="CB56" s="567"/>
      <c r="CC56" s="567"/>
      <c r="CD56" s="567"/>
      <c r="CE56" s="567"/>
      <c r="CF56" s="567"/>
      <c r="CG56" s="567"/>
      <c r="CH56" s="567"/>
      <c r="CI56" s="567"/>
      <c r="CJ56" s="637"/>
      <c r="CK56" s="637"/>
    </row>
    <row r="57">
      <c r="A57" s="638" t="s">
        <v>717</v>
      </c>
      <c r="B57" s="535" t="s">
        <v>548</v>
      </c>
      <c r="C57" s="639"/>
      <c r="D57" s="470" t="s">
        <v>785</v>
      </c>
      <c r="E57" s="444">
        <v>3.0</v>
      </c>
      <c r="F57" s="444">
        <v>3.0</v>
      </c>
      <c r="G57" s="537">
        <f>IFERROR(__xludf.DUMMYFUNCTION("SUM(INDIRECT(CONCATENATE(""'"",INDEX(SPLIT($D57,""Z""),1),""Z"",INDEX(SPLIT($D57,""Z""),2)+$E57*(COLUMN()-COLUMN($G57))/2,"":"",""Z"",INDEX(SPLIT($D57,""Z""),2)+$E57*(COLUMN()-COLUMN($G57))/2+$F57-1)))"),2484.815)</f>
        <v>2484.815</v>
      </c>
      <c r="H57" s="640">
        <f t="shared" si="20"/>
        <v>0.005740591429</v>
      </c>
      <c r="I57" s="537">
        <f>IFERROR(__xludf.DUMMYFUNCTION("SUM(INDIRECT(CONCATENATE(""'"",INDEX(SPLIT($D57,""Z""),1),""Z"",INDEX(SPLIT($D57,""Z""),2)+$E57*(COLUMN()-COLUMN($G57))/2,"":"",""Z"",INDEX(SPLIT($D57,""Z""),2)+$E57*(COLUMN()-COLUMN($G57))/2+$F57-1)))"),2395.4646)</f>
        <v>2395.4646</v>
      </c>
      <c r="J57" s="640">
        <f t="shared" si="21"/>
        <v>0.007950430136</v>
      </c>
      <c r="K57" s="537">
        <f>IFERROR(__xludf.DUMMYFUNCTION("SUM(INDIRECT(CONCATENATE(""'"",INDEX(SPLIT($D57,""Z""),1),""Z"",INDEX(SPLIT($D57,""Z""),2)+$E57*(COLUMN()-COLUMN($G57))/2,"":"",""Z"",INDEX(SPLIT($D57,""Z""),2)+$E57*(COLUMN()-COLUMN($G57))/2+$F57-1)))"),2305.6377)</f>
        <v>2305.6377</v>
      </c>
      <c r="L57" s="640">
        <f t="shared" si="22"/>
        <v>0.002712004446</v>
      </c>
      <c r="M57" s="537">
        <f>IFERROR(__xludf.DUMMYFUNCTION("SUM(INDIRECT(CONCATENATE(""'"",INDEX(SPLIT($D57,""Z""),1),""Z"",INDEX(SPLIT($D57,""Z""),2)+$E57*(COLUMN()-COLUMN($G57))/2,"":"",""Z"",INDEX(SPLIT($D57,""Z""),2)+$E57*(COLUMN()-COLUMN($G57))/2+$F57-1)))"),2215.3314)</f>
        <v>2215.3314</v>
      </c>
      <c r="N57" s="640">
        <f t="shared" si="23"/>
        <v>0.005712370137</v>
      </c>
      <c r="O57" s="537">
        <f>IFERROR(__xludf.DUMMYFUNCTION("SUM(INDIRECT(CONCATENATE(""'"",INDEX(SPLIT($D57,""Z""),1),""Z"",INDEX(SPLIT($D57,""Z""),2)+$E57*(COLUMN()-COLUMN($G57))/2,"":"",""Z"",INDEX(SPLIT($D57,""Z""),2)+$E57*(COLUMN()-COLUMN($G57))/2+$F57-1)))"),2124.5434999999998)</f>
        <v>2124.5435</v>
      </c>
      <c r="P57" s="640">
        <f t="shared" si="24"/>
        <v>0.004715172357</v>
      </c>
      <c r="Q57" s="537">
        <f>IFERROR(__xludf.DUMMYFUNCTION("SUM(INDIRECT(CONCATENATE(""'"",INDEX(SPLIT($D57,""Z""),1),""Z"",INDEX(SPLIT($D57,""Z""),2)+$E57*(COLUMN()-COLUMN($G57))/2,"":"",""Z"",INDEX(SPLIT($D57,""Z""),2)+$E57*(COLUMN()-COLUMN($G57))/2+$F57-1)))"),984.0456999999999)</f>
        <v>984.0457</v>
      </c>
      <c r="R57" s="641">
        <f t="shared" si="25"/>
        <v>0.002333714442</v>
      </c>
      <c r="S57" s="537">
        <f>IFERROR(__xludf.DUMMYFUNCTION("SUM(INDIRECT(CONCATENATE(""'"",INDEX(SPLIT($D57,""Z""),1),""Z"",INDEX(SPLIT($D57,""Z""),2)+$E57*(COLUMN()-COLUMN($G57))/2,"":"",""Z"",INDEX(SPLIT($D57,""Z""),2)+$E57*(COLUMN()-COLUMN($G57))/2+$F57-1)))"),939.6369)</f>
        <v>939.6369</v>
      </c>
      <c r="T57" s="640">
        <f t="shared" si="26"/>
        <v>0.00114878463</v>
      </c>
      <c r="U57" s="537">
        <f>IFERROR(__xludf.DUMMYFUNCTION("SUM(INDIRECT(CONCATENATE(""'"",INDEX(SPLIT($D57,""Z""),1),""Z"",INDEX(SPLIT($D57,""Z""),2)+$E57*(COLUMN()-COLUMN($G57))/2,"":"",""Z"",INDEX(SPLIT($D57,""Z""),2)+$E57*(COLUMN()-COLUMN($G57))/2+$F57-1)))"),4357.0)</f>
        <v>4357</v>
      </c>
      <c r="V57" s="640">
        <f t="shared" si="27"/>
        <v>0.009790351212</v>
      </c>
      <c r="W57" s="537">
        <f>IFERROR(__xludf.DUMMYFUNCTION("SUM(INDIRECT(CONCATENATE(""'"",INDEX(SPLIT($D57,""Z""),1),""Z"",INDEX(SPLIT($D57,""Z""),2)+$E57*(COLUMN()-COLUMN($G57))/2,"":"",""Z"",INDEX(SPLIT($D57,""Z""),2)+$E57*(COLUMN()-COLUMN($G57))/2+$F57-1)))"),1896.0)</f>
        <v>1896</v>
      </c>
      <c r="X57" s="640">
        <f t="shared" si="28"/>
        <v>0.01718948323</v>
      </c>
      <c r="Y57" s="537">
        <f>IFERROR(__xludf.DUMMYFUNCTION("SUM(INDIRECT(CONCATENATE(""'"",INDEX(SPLIT($D57,""Z""),1),""Z"",INDEX(SPLIT($D57,""Z""),2)+$E57*(COLUMN()-COLUMN($G57))/2,"":"",""Z"",INDEX(SPLIT($D57,""Z""),2)+$E57*(COLUMN()-COLUMN($G57))/2+$F57-1)))"),0.0)</f>
        <v>0</v>
      </c>
      <c r="Z57" s="641" t="str">
        <f t="shared" si="29"/>
        <v>#DIV/0!</v>
      </c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  <c r="BS57" s="567"/>
      <c r="BT57" s="567"/>
      <c r="BU57" s="567"/>
      <c r="BV57" s="567"/>
      <c r="BW57" s="567"/>
      <c r="BX57" s="567"/>
      <c r="BY57" s="567"/>
      <c r="BZ57" s="567"/>
      <c r="CA57" s="567"/>
      <c r="CB57" s="567"/>
      <c r="CC57" s="567"/>
      <c r="CD57" s="567"/>
      <c r="CE57" s="567"/>
      <c r="CF57" s="567"/>
      <c r="CG57" s="567"/>
      <c r="CH57" s="567"/>
      <c r="CI57" s="567"/>
      <c r="CJ57" s="637"/>
      <c r="CK57" s="637"/>
    </row>
    <row r="58">
      <c r="A58" s="466" t="s">
        <v>786</v>
      </c>
      <c r="B58" s="462"/>
      <c r="C58" s="639"/>
      <c r="D58" s="540" t="s">
        <v>652</v>
      </c>
      <c r="E58" s="444" t="s">
        <v>652</v>
      </c>
      <c r="F58" s="444" t="s">
        <v>652</v>
      </c>
      <c r="G58" s="537">
        <f>G56+G57</f>
        <v>42847.815</v>
      </c>
      <c r="H58" s="640">
        <f t="shared" si="20"/>
        <v>0.09898998498</v>
      </c>
      <c r="I58" s="537">
        <f>I56+I57</f>
        <v>40463.4646</v>
      </c>
      <c r="J58" s="640">
        <f t="shared" si="21"/>
        <v>0.1342962649</v>
      </c>
      <c r="K58" s="537">
        <f>K56+K57</f>
        <v>38784.6377</v>
      </c>
      <c r="L58" s="640">
        <f t="shared" si="22"/>
        <v>0.04562039816</v>
      </c>
      <c r="M58" s="537">
        <f>M56+M57</f>
        <v>40727.3314</v>
      </c>
      <c r="N58" s="640">
        <f t="shared" si="23"/>
        <v>0.1050179633</v>
      </c>
      <c r="O58" s="537">
        <f>O56+O57</f>
        <v>79557.5435</v>
      </c>
      <c r="P58" s="640">
        <f t="shared" si="24"/>
        <v>0.1765685334</v>
      </c>
      <c r="Q58" s="537">
        <f>Q56+Q57</f>
        <v>40164.0457</v>
      </c>
      <c r="R58" s="641">
        <f t="shared" si="25"/>
        <v>0.09525107775</v>
      </c>
      <c r="S58" s="537">
        <f>S56+S57</f>
        <v>956663.6369</v>
      </c>
      <c r="T58" s="640">
        <f t="shared" si="26"/>
        <v>1.169601238</v>
      </c>
      <c r="U58" s="537">
        <f>U56+U57</f>
        <v>25157</v>
      </c>
      <c r="V58" s="640">
        <f t="shared" si="27"/>
        <v>0.05652877334</v>
      </c>
      <c r="W58" s="537">
        <f>W56+W57</f>
        <v>7896</v>
      </c>
      <c r="X58" s="640">
        <f t="shared" si="28"/>
        <v>0.07158658205</v>
      </c>
      <c r="Y58" s="537">
        <f>Y56+Y57</f>
        <v>0</v>
      </c>
      <c r="Z58" s="641" t="str">
        <f t="shared" si="29"/>
        <v>#DIV/0!</v>
      </c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  <c r="BS58" s="567"/>
      <c r="BT58" s="567"/>
      <c r="BU58" s="567"/>
      <c r="BV58" s="567"/>
      <c r="BW58" s="567"/>
      <c r="BX58" s="567"/>
      <c r="BY58" s="567"/>
      <c r="BZ58" s="567"/>
      <c r="CA58" s="567"/>
      <c r="CB58" s="567"/>
      <c r="CC58" s="567"/>
      <c r="CD58" s="567"/>
      <c r="CE58" s="567"/>
      <c r="CF58" s="567"/>
      <c r="CG58" s="567"/>
      <c r="CH58" s="567"/>
      <c r="CI58" s="567"/>
      <c r="CJ58" s="637"/>
      <c r="CK58" s="637"/>
    </row>
    <row r="59">
      <c r="A59" s="461" t="s">
        <v>720</v>
      </c>
      <c r="B59" s="462"/>
      <c r="C59" s="647"/>
      <c r="D59" s="540" t="s">
        <v>652</v>
      </c>
      <c r="E59" s="444" t="s">
        <v>652</v>
      </c>
      <c r="F59" s="444" t="s">
        <v>652</v>
      </c>
      <c r="G59" s="537">
        <f>G55+G58</f>
        <v>228771.815</v>
      </c>
      <c r="H59" s="640">
        <f t="shared" si="20"/>
        <v>0.5285244658</v>
      </c>
      <c r="I59" s="537">
        <f>I55+I58</f>
        <v>55812.4646</v>
      </c>
      <c r="J59" s="640">
        <f t="shared" si="21"/>
        <v>0.185238847</v>
      </c>
      <c r="K59" s="537">
        <f>K55+K58</f>
        <v>550879.6377</v>
      </c>
      <c r="L59" s="640">
        <f t="shared" si="22"/>
        <v>0.6479717203</v>
      </c>
      <c r="M59" s="537">
        <f>M55+M58</f>
        <v>140927.3314</v>
      </c>
      <c r="N59" s="640">
        <f t="shared" si="23"/>
        <v>0.3633899106</v>
      </c>
      <c r="O59" s="537">
        <f>O55+O58</f>
        <v>195452.5435</v>
      </c>
      <c r="P59" s="640">
        <f t="shared" si="24"/>
        <v>0.4337837424</v>
      </c>
      <c r="Q59" s="537">
        <f>Q55+Q58</f>
        <v>106471.0457</v>
      </c>
      <c r="R59" s="641">
        <f t="shared" si="25"/>
        <v>0.2525015017</v>
      </c>
      <c r="S59" s="537">
        <f>S55+S58</f>
        <v>1439135.637</v>
      </c>
      <c r="T59" s="640">
        <f t="shared" si="26"/>
        <v>1.759463575</v>
      </c>
      <c r="U59" s="537">
        <f>U55+U58</f>
        <v>171243</v>
      </c>
      <c r="V59" s="640">
        <f t="shared" si="27"/>
        <v>0.3847897895</v>
      </c>
      <c r="W59" s="537">
        <f>W55+W58</f>
        <v>86706</v>
      </c>
      <c r="X59" s="640">
        <f t="shared" si="28"/>
        <v>0.7860924751</v>
      </c>
      <c r="Y59" s="537">
        <f>Y55+Y58</f>
        <v>-2030</v>
      </c>
      <c r="Z59" s="641" t="str">
        <f t="shared" si="29"/>
        <v>#DIV/0!</v>
      </c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  <c r="BS59" s="567"/>
      <c r="BT59" s="567"/>
      <c r="BU59" s="567"/>
      <c r="BV59" s="567"/>
      <c r="BW59" s="567"/>
      <c r="BX59" s="567"/>
      <c r="BY59" s="567"/>
      <c r="BZ59" s="567"/>
      <c r="CA59" s="567"/>
      <c r="CB59" s="567"/>
      <c r="CC59" s="567"/>
      <c r="CD59" s="567"/>
      <c r="CE59" s="567"/>
      <c r="CF59" s="567"/>
      <c r="CG59" s="567"/>
      <c r="CH59" s="567"/>
      <c r="CI59" s="567"/>
      <c r="CJ59" s="648"/>
      <c r="CK59" s="648"/>
    </row>
    <row r="60">
      <c r="A60" s="643" t="s">
        <v>721</v>
      </c>
      <c r="B60" s="547" t="s">
        <v>722</v>
      </c>
      <c r="C60" s="649"/>
      <c r="D60" s="554" t="s">
        <v>787</v>
      </c>
      <c r="E60" s="493">
        <v>3.0</v>
      </c>
      <c r="F60" s="493">
        <v>3.0</v>
      </c>
      <c r="G60" s="555">
        <f>IFERROR(__xludf.DUMMYFUNCTION("SUM(INDIRECT(CONCATENATE(""'"",INDEX(SPLIT($D60,""AA""),1),""AA"",INDEX(SPLIT($D60,""AA""),2)+$E60*(COLUMN()-COLUMN($G60))/2,"":"",""AA"",INDEX(SPLIT($D60,""AA""),2)+$E60*(COLUMN()-COLUMN($G60))/2+$F60-1)))"),13630.0)</f>
        <v>13630</v>
      </c>
      <c r="H60" s="650">
        <f t="shared" si="20"/>
        <v>0.03148896846</v>
      </c>
      <c r="I60" s="555">
        <f>IFERROR(__xludf.DUMMYFUNCTION("SUM(INDIRECT(CONCATENATE(""'"",INDEX(SPLIT($D60,""AA""),1),""AA"",INDEX(SPLIT($D60,""AA""),2)+$E60*(COLUMN()-COLUMN($G60))/2,"":"",""AA"",INDEX(SPLIT($D60,""AA""),2)+$E60*(COLUMN()-COLUMN($G60))/2+$F60-1)))"),8113.0)</f>
        <v>8113</v>
      </c>
      <c r="J60" s="650">
        <f t="shared" si="21"/>
        <v>0.02692665118</v>
      </c>
      <c r="K60" s="537">
        <f>IFERROR(__xludf.DUMMYFUNCTION("SUM(INDIRECT(CONCATENATE(""'"",INDEX(SPLIT($D60,""AA""),1),""AA"",INDEX(SPLIT($D60,""AA""),2)+$E60*(COLUMN()-COLUMN($G60))/2,"":"",""AA"",INDEX(SPLIT($D60,""AA""),2)+$E60*(COLUMN()-COLUMN($G60))/2+$F60-1)))"),40323.0)</f>
        <v>40323</v>
      </c>
      <c r="L60" s="640">
        <f t="shared" si="22"/>
        <v>0.04742989555</v>
      </c>
      <c r="M60" s="537">
        <f>IFERROR(__xludf.DUMMYFUNCTION("SUM(INDIRECT(CONCATENATE(""'"",INDEX(SPLIT($D60,""AA""),1),""AA"",INDEX(SPLIT($D60,""AA""),2)+$E60*(COLUMN()-COLUMN($G60))/2,"":"",""AA"",INDEX(SPLIT($D60,""AA""),2)+$E60*(COLUMN()-COLUMN($G60))/2+$F60-1)))"),11733.0)</f>
        <v>11733</v>
      </c>
      <c r="N60" s="640">
        <f t="shared" si="23"/>
        <v>0.03025427203</v>
      </c>
      <c r="O60" s="537">
        <f>IFERROR(__xludf.DUMMYFUNCTION("SUM(INDIRECT(CONCATENATE(""'"",INDEX(SPLIT($D60,""AA""),1),""AA"",INDEX(SPLIT($D60,""AA""),2)+$E60*(COLUMN()-COLUMN($G60))/2,"":"",""AA"",INDEX(SPLIT($D60,""AA""),2)+$E60*(COLUMN()-COLUMN($G60))/2+$F60-1)))"),19301.0)</f>
        <v>19301</v>
      </c>
      <c r="P60" s="640">
        <f t="shared" si="24"/>
        <v>0.04283628067</v>
      </c>
      <c r="Q60" s="537">
        <f>IFERROR(__xludf.DUMMYFUNCTION("SUM(INDIRECT(CONCATENATE(""'"",INDEX(SPLIT($D60,""AA""),1),""AA"",INDEX(SPLIT($D60,""AA""),2)+$E60*(COLUMN()-COLUMN($G60))/2,"":"",""AA"",INDEX(SPLIT($D60,""AA""),2)+$E60*(COLUMN()-COLUMN($G60))/2+$F60-1)))"),10620.0)</f>
        <v>10620</v>
      </c>
      <c r="R60" s="641">
        <f t="shared" si="25"/>
        <v>0.0251858703</v>
      </c>
      <c r="S60" s="537">
        <f>IFERROR(__xludf.DUMMYFUNCTION("SUM(INDIRECT(CONCATENATE(""'"",INDEX(SPLIT($D60,""AA""),1),""AA"",INDEX(SPLIT($D60,""AA""),2)+$E60*(COLUMN()-COLUMN($G60))/2,"":"",""AA"",INDEX(SPLIT($D60,""AA""),2)+$E60*(COLUMN()-COLUMN($G60))/2+$F60-1)))"),10290.0)</f>
        <v>10290</v>
      </c>
      <c r="T60" s="640">
        <f t="shared" si="26"/>
        <v>0.01258038487</v>
      </c>
      <c r="U60" s="537">
        <f>IFERROR(__xludf.DUMMYFUNCTION("SUM(INDIRECT(CONCATENATE(""'"",INDEX(SPLIT($D60,""AA""),1),""AA"",INDEX(SPLIT($D60,""AA""),2)+$E60*(COLUMN()-COLUMN($G60))/2,"":"",""AA"",INDEX(SPLIT($D60,""AA""),2)+$E60*(COLUMN()-COLUMN($G60))/2+$F60-1)))"),112239.0)</f>
        <v>112239</v>
      </c>
      <c r="V60" s="640">
        <f t="shared" si="27"/>
        <v>0.2522054693</v>
      </c>
      <c r="W60" s="537">
        <f>IFERROR(__xludf.DUMMYFUNCTION("SUM(INDIRECT(CONCATENATE(""'"",INDEX(SPLIT($D60,""AA""),1),""AA"",INDEX(SPLIT($D60,""AA""),2)+$E60*(COLUMN()-COLUMN($G60))/2,"":"",""AA"",INDEX(SPLIT($D60,""AA""),2)+$E60*(COLUMN()-COLUMN($G60))/2+$F60-1)))"),3810.0)</f>
        <v>3810</v>
      </c>
      <c r="X60" s="640">
        <f t="shared" si="28"/>
        <v>0.03454215775</v>
      </c>
      <c r="Y60" s="537">
        <f>IFERROR(__xludf.DUMMYFUNCTION("SUM(INDIRECT(CONCATENATE(""'"",INDEX(SPLIT($D60,""AA""),1),""AA"",INDEX(SPLIT($D60,""AA""),2)+$E60*(COLUMN()-COLUMN($G60))/2,"":"",""AA"",INDEX(SPLIT($D60,""AA""),2)+$E60*(COLUMN()-COLUMN($G60))/2+$F60-1)))"),0.0)</f>
        <v>0</v>
      </c>
      <c r="Z60" s="641" t="str">
        <f t="shared" si="29"/>
        <v>#DIV/0!</v>
      </c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  <c r="BS60" s="567"/>
      <c r="BT60" s="567"/>
      <c r="BU60" s="567"/>
      <c r="BV60" s="567"/>
      <c r="BW60" s="567"/>
      <c r="BX60" s="567"/>
      <c r="BY60" s="567"/>
      <c r="BZ60" s="567"/>
      <c r="CA60" s="567"/>
      <c r="CB60" s="567"/>
      <c r="CC60" s="567"/>
      <c r="CD60" s="567"/>
      <c r="CE60" s="567"/>
      <c r="CF60" s="567"/>
      <c r="CG60" s="567"/>
      <c r="CH60" s="567"/>
      <c r="CI60" s="567"/>
      <c r="CJ60" s="637"/>
      <c r="CK60" s="637"/>
    </row>
    <row r="61">
      <c r="A61" s="651"/>
      <c r="B61" s="652"/>
      <c r="C61" s="653"/>
      <c r="D61" s="557" t="s">
        <v>652</v>
      </c>
      <c r="E61" s="558" t="s">
        <v>652</v>
      </c>
      <c r="F61" s="558" t="s">
        <v>652</v>
      </c>
      <c r="G61" s="654" t="s">
        <v>653</v>
      </c>
      <c r="H61" s="655" t="s">
        <v>788</v>
      </c>
      <c r="I61" s="654" t="s">
        <v>653</v>
      </c>
      <c r="J61" s="655" t="s">
        <v>788</v>
      </c>
      <c r="K61" s="656" t="s">
        <v>653</v>
      </c>
      <c r="L61" s="657" t="s">
        <v>788</v>
      </c>
      <c r="M61" s="656" t="s">
        <v>653</v>
      </c>
      <c r="N61" s="657" t="s">
        <v>788</v>
      </c>
      <c r="O61" s="656" t="s">
        <v>653</v>
      </c>
      <c r="P61" s="657" t="s">
        <v>788</v>
      </c>
      <c r="Q61" s="656" t="s">
        <v>653</v>
      </c>
      <c r="R61" s="658" t="s">
        <v>788</v>
      </c>
      <c r="S61" s="656" t="s">
        <v>653</v>
      </c>
      <c r="T61" s="657" t="s">
        <v>788</v>
      </c>
      <c r="U61" s="656" t="s">
        <v>653</v>
      </c>
      <c r="V61" s="657" t="s">
        <v>788</v>
      </c>
      <c r="W61" s="656" t="s">
        <v>653</v>
      </c>
      <c r="X61" s="657" t="s">
        <v>788</v>
      </c>
      <c r="Y61" s="656" t="s">
        <v>653</v>
      </c>
      <c r="Z61" s="658" t="s">
        <v>788</v>
      </c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  <c r="BS61" s="567"/>
      <c r="BT61" s="567"/>
      <c r="BU61" s="567"/>
      <c r="BV61" s="567"/>
      <c r="BW61" s="567"/>
      <c r="BX61" s="567"/>
      <c r="BY61" s="567"/>
      <c r="BZ61" s="567"/>
      <c r="CA61" s="567"/>
      <c r="CB61" s="567"/>
      <c r="CC61" s="567"/>
      <c r="CD61" s="567"/>
      <c r="CE61" s="567"/>
      <c r="CF61" s="567"/>
      <c r="CG61" s="567"/>
      <c r="CH61" s="567"/>
      <c r="CI61" s="567"/>
      <c r="CJ61" s="648"/>
      <c r="CK61" s="648"/>
    </row>
    <row r="62">
      <c r="A62" s="466" t="s">
        <v>789</v>
      </c>
      <c r="B62" s="462"/>
      <c r="C62" s="647"/>
      <c r="D62" s="540" t="s">
        <v>652</v>
      </c>
      <c r="E62" s="444" t="s">
        <v>652</v>
      </c>
      <c r="F62" s="444" t="s">
        <v>652</v>
      </c>
      <c r="G62" s="659">
        <f>G59-G60</f>
        <v>215141.815</v>
      </c>
      <c r="H62" s="660" t="s">
        <v>779</v>
      </c>
      <c r="I62" s="659">
        <f>I59-I60</f>
        <v>47699.4646</v>
      </c>
      <c r="J62" s="661">
        <f>(I62-G62)/G62</f>
        <v>-0.7782882672</v>
      </c>
      <c r="K62" s="659">
        <f>K59-K60</f>
        <v>510556.6377</v>
      </c>
      <c r="L62" s="661">
        <f>(K62-I62)/I62</f>
        <v>9.703613594</v>
      </c>
      <c r="M62" s="659">
        <f>M59-M60</f>
        <v>129194.3314</v>
      </c>
      <c r="N62" s="661">
        <f>(M62-K62)/K62</f>
        <v>-0.7469539678</v>
      </c>
      <c r="O62" s="659">
        <f>O59-O60</f>
        <v>176151.5435</v>
      </c>
      <c r="P62" s="661">
        <f>(O62-M62)/M62</f>
        <v>0.3634618608</v>
      </c>
      <c r="Q62" s="659">
        <f>Q59-Q60</f>
        <v>95851.0457</v>
      </c>
      <c r="R62" s="662">
        <f>(Q62-O62)/O62</f>
        <v>-0.4558603133</v>
      </c>
      <c r="S62" s="659">
        <f>S59-S60</f>
        <v>1428845.637</v>
      </c>
      <c r="T62" s="661">
        <f>(S62-Q62)/Q62</f>
        <v>13.90693843</v>
      </c>
      <c r="U62" s="659">
        <f>U59-U60</f>
        <v>59004</v>
      </c>
      <c r="V62" s="661">
        <f>(U62-S62)/S62</f>
        <v>-0.9587051264</v>
      </c>
      <c r="W62" s="659">
        <f>W59-W60</f>
        <v>82896</v>
      </c>
      <c r="X62" s="661">
        <f>(W62-U62)/U62</f>
        <v>0.4049217002</v>
      </c>
      <c r="Y62" s="659">
        <f>Y59-Y60</f>
        <v>-2030</v>
      </c>
      <c r="Z62" s="662">
        <f>(Y62-W62)/W62</f>
        <v>-1.024488516</v>
      </c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  <c r="BS62" s="567"/>
      <c r="BT62" s="567"/>
      <c r="BU62" s="567"/>
      <c r="BV62" s="567"/>
      <c r="BW62" s="567"/>
      <c r="BX62" s="567"/>
      <c r="BY62" s="567"/>
      <c r="BZ62" s="567"/>
      <c r="CA62" s="567"/>
      <c r="CB62" s="567"/>
      <c r="CC62" s="567"/>
      <c r="CD62" s="567"/>
      <c r="CE62" s="567"/>
      <c r="CF62" s="567"/>
      <c r="CG62" s="567"/>
      <c r="CH62" s="567"/>
      <c r="CI62" s="567"/>
      <c r="CJ62" s="648"/>
      <c r="CK62" s="648"/>
    </row>
    <row r="63">
      <c r="A63" s="469" t="s">
        <v>725</v>
      </c>
      <c r="B63" s="559" t="s">
        <v>726</v>
      </c>
      <c r="C63" s="560"/>
      <c r="D63" s="540" t="s">
        <v>652</v>
      </c>
      <c r="E63" s="444" t="s">
        <v>652</v>
      </c>
      <c r="F63" s="444" t="s">
        <v>652</v>
      </c>
      <c r="G63" s="663" t="s">
        <v>779</v>
      </c>
      <c r="H63" s="664" t="s">
        <v>779</v>
      </c>
      <c r="I63" s="665">
        <f>I41-I62</f>
        <v>-34654.4463</v>
      </c>
      <c r="J63" s="661">
        <f>I63/G40</f>
        <v>-0.004768596654</v>
      </c>
      <c r="K63" s="665">
        <f>K41-K62</f>
        <v>19190.2075</v>
      </c>
      <c r="L63" s="661">
        <f>K63/I40</f>
        <v>0.002635921152</v>
      </c>
      <c r="M63" s="665">
        <f>M41-M62</f>
        <v>-284210.1799</v>
      </c>
      <c r="N63" s="661">
        <f>M63/K40</f>
        <v>-0.03639048752</v>
      </c>
      <c r="O63" s="665">
        <f>O41-O62</f>
        <v>299645.3246</v>
      </c>
      <c r="P63" s="661">
        <f>O63/M40</f>
        <v>0.039143754</v>
      </c>
      <c r="Q63" s="665">
        <f>Q41-Q62</f>
        <v>238435.8537</v>
      </c>
      <c r="R63" s="662">
        <f>Q63/O40</f>
        <v>0.02932503931</v>
      </c>
      <c r="S63" s="665">
        <f>S41-S62</f>
        <v>-143215.3287</v>
      </c>
      <c r="T63" s="661">
        <f>S63/Q40</f>
        <v>-0.01691836503</v>
      </c>
      <c r="U63" s="665">
        <f>U41-U62</f>
        <v>1167069.792</v>
      </c>
      <c r="V63" s="661">
        <f>U63/S40</f>
        <v>0.1196907351</v>
      </c>
      <c r="W63" s="665">
        <f>W41-W62</f>
        <v>-9351931</v>
      </c>
      <c r="X63" s="661">
        <f>W63/U40</f>
        <v>-0.851973597</v>
      </c>
      <c r="Y63" s="665">
        <f>Y41-Y62</f>
        <v>-147025</v>
      </c>
      <c r="Z63" s="662">
        <f>Y63/W40</f>
        <v>-0.08609281218</v>
      </c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  <c r="BS63" s="567"/>
      <c r="BT63" s="567"/>
      <c r="BU63" s="567"/>
      <c r="BV63" s="567"/>
      <c r="BW63" s="567"/>
      <c r="BX63" s="567"/>
      <c r="BY63" s="567"/>
      <c r="BZ63" s="567"/>
      <c r="CA63" s="567"/>
      <c r="CB63" s="567"/>
      <c r="CC63" s="567"/>
      <c r="CD63" s="567"/>
      <c r="CE63" s="567"/>
      <c r="CF63" s="567"/>
      <c r="CG63" s="567"/>
      <c r="CH63" s="567"/>
      <c r="CI63" s="567"/>
      <c r="CJ63" s="642"/>
      <c r="CK63" s="642"/>
    </row>
    <row r="64">
      <c r="A64" s="666" t="s">
        <v>790</v>
      </c>
      <c r="B64" s="667"/>
      <c r="C64" s="668"/>
      <c r="D64" s="540" t="s">
        <v>652</v>
      </c>
      <c r="E64" s="444" t="s">
        <v>652</v>
      </c>
      <c r="F64" s="444" t="s">
        <v>652</v>
      </c>
      <c r="G64" s="663" t="s">
        <v>779</v>
      </c>
      <c r="H64" s="660" t="s">
        <v>779</v>
      </c>
      <c r="I64" s="659">
        <f>I62+I63</f>
        <v>13045.0183</v>
      </c>
      <c r="J64" s="660" t="s">
        <v>779</v>
      </c>
      <c r="K64" s="659">
        <f>K62+K63</f>
        <v>529746.8452</v>
      </c>
      <c r="L64" s="661">
        <f>(K64-I64)/I64</f>
        <v>39.60913009</v>
      </c>
      <c r="M64" s="659">
        <f>M62+M63</f>
        <v>-155015.8485</v>
      </c>
      <c r="N64" s="661">
        <f>(M64-K64)/K64</f>
        <v>-1.292622504</v>
      </c>
      <c r="O64" s="659">
        <f>O62+O63</f>
        <v>475796.8681</v>
      </c>
      <c r="P64" s="661">
        <f>(O64-M64)/M64</f>
        <v>-4.069343378</v>
      </c>
      <c r="Q64" s="659">
        <f>Q62+Q63</f>
        <v>334286.8994</v>
      </c>
      <c r="R64" s="662">
        <f>(Q64-O64)/O64</f>
        <v>-0.2974167721</v>
      </c>
      <c r="S64" s="659">
        <f>S62+S63</f>
        <v>1285630.308</v>
      </c>
      <c r="T64" s="661">
        <f>(S64-Q64)/Q64</f>
        <v>2.845888997</v>
      </c>
      <c r="U64" s="659">
        <f>U62+U63</f>
        <v>1226073.792</v>
      </c>
      <c r="V64" s="661">
        <f>(U64-S64)/S64</f>
        <v>-0.04632476025</v>
      </c>
      <c r="W64" s="659">
        <f>W62+W63</f>
        <v>-9269035</v>
      </c>
      <c r="X64" s="661">
        <f>(W64-U64)/U64</f>
        <v>-8.55993241</v>
      </c>
      <c r="Y64" s="659">
        <f>Y62+Y63</f>
        <v>-149055</v>
      </c>
      <c r="Z64" s="662">
        <f>(Y64-W64)/W64</f>
        <v>-0.983919038</v>
      </c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  <c r="BS64" s="567"/>
      <c r="BT64" s="567"/>
      <c r="BU64" s="567"/>
      <c r="BV64" s="567"/>
      <c r="BW64" s="567"/>
      <c r="BX64" s="567"/>
      <c r="BY64" s="567"/>
      <c r="BZ64" s="567"/>
      <c r="CA64" s="567"/>
      <c r="CB64" s="567"/>
      <c r="CC64" s="567"/>
      <c r="CD64" s="567"/>
      <c r="CE64" s="567"/>
      <c r="CF64" s="567"/>
      <c r="CG64" s="567"/>
      <c r="CH64" s="567"/>
      <c r="CI64" s="567"/>
      <c r="CJ64" s="648"/>
      <c r="CK64" s="648"/>
    </row>
    <row r="65">
      <c r="A65" s="669" t="s">
        <v>18</v>
      </c>
      <c r="B65" s="670"/>
      <c r="C65" s="671"/>
      <c r="D65" s="562"/>
      <c r="E65" s="563"/>
      <c r="F65" s="563"/>
      <c r="G65" s="564"/>
      <c r="H65" s="564"/>
      <c r="I65" s="564"/>
      <c r="J65" s="672"/>
      <c r="K65" s="564"/>
      <c r="L65" s="672"/>
      <c r="M65" s="564"/>
      <c r="N65" s="672"/>
      <c r="O65" s="564"/>
      <c r="P65" s="672"/>
      <c r="Q65" s="564"/>
      <c r="R65" s="673"/>
      <c r="S65" s="564"/>
      <c r="T65" s="672"/>
      <c r="U65" s="564"/>
      <c r="V65" s="672"/>
      <c r="W65" s="564"/>
      <c r="X65" s="672"/>
      <c r="Y65" s="564"/>
      <c r="Z65" s="673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  <c r="BW65" s="567"/>
      <c r="BX65" s="567"/>
      <c r="BY65" s="567"/>
      <c r="BZ65" s="567"/>
      <c r="CA65" s="567"/>
      <c r="CB65" s="567"/>
      <c r="CC65" s="567"/>
      <c r="CD65" s="567"/>
      <c r="CE65" s="567"/>
      <c r="CF65" s="567"/>
      <c r="CG65" s="567"/>
      <c r="CH65" s="567"/>
      <c r="CI65" s="567"/>
      <c r="CJ65" s="283"/>
      <c r="CK65" s="283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  <c r="BW66" s="567"/>
      <c r="BX66" s="567"/>
      <c r="BY66" s="567"/>
      <c r="BZ66" s="567"/>
      <c r="CA66" s="567"/>
      <c r="CB66" s="567"/>
      <c r="CC66" s="567"/>
      <c r="CD66" s="567"/>
      <c r="CE66" s="567"/>
      <c r="CF66" s="567"/>
      <c r="CG66" s="567"/>
      <c r="CH66" s="567"/>
      <c r="CI66" s="567"/>
      <c r="CJ66" s="567"/>
      <c r="CK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  <c r="BW67" s="567"/>
      <c r="BX67" s="567"/>
      <c r="BY67" s="567"/>
      <c r="BZ67" s="567"/>
      <c r="CA67" s="567"/>
      <c r="CB67" s="567"/>
      <c r="CC67" s="567"/>
      <c r="CD67" s="567"/>
      <c r="CE67" s="567"/>
      <c r="CF67" s="567"/>
      <c r="CG67" s="567"/>
      <c r="CH67" s="567"/>
      <c r="CI67" s="567"/>
      <c r="CJ67" s="567"/>
      <c r="CK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  <c r="BW68" s="567"/>
      <c r="BX68" s="567"/>
      <c r="BY68" s="567"/>
      <c r="BZ68" s="567"/>
      <c r="CA68" s="567"/>
      <c r="CB68" s="567"/>
      <c r="CC68" s="567"/>
      <c r="CD68" s="567"/>
      <c r="CE68" s="567"/>
      <c r="CF68" s="567"/>
      <c r="CG68" s="567"/>
      <c r="CH68" s="567"/>
      <c r="CI68" s="567"/>
      <c r="CJ68" s="567"/>
      <c r="CK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  <c r="BS69" s="567"/>
      <c r="BT69" s="567"/>
      <c r="BU69" s="567"/>
      <c r="BV69" s="567"/>
      <c r="BW69" s="567"/>
      <c r="BX69" s="567"/>
      <c r="BY69" s="567"/>
      <c r="BZ69" s="567"/>
      <c r="CA69" s="567"/>
      <c r="CB69" s="567"/>
      <c r="CC69" s="567"/>
      <c r="CD69" s="567"/>
      <c r="CE69" s="567"/>
      <c r="CF69" s="567"/>
      <c r="CG69" s="567"/>
      <c r="CH69" s="567"/>
      <c r="CI69" s="567"/>
      <c r="CJ69" s="567"/>
      <c r="CK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  <c r="BS70" s="567"/>
      <c r="BT70" s="567"/>
      <c r="BU70" s="567"/>
      <c r="BV70" s="567"/>
      <c r="BW70" s="567"/>
      <c r="BX70" s="567"/>
      <c r="BY70" s="567"/>
      <c r="BZ70" s="567"/>
      <c r="CA70" s="567"/>
      <c r="CB70" s="567"/>
      <c r="CC70" s="567"/>
      <c r="CD70" s="567"/>
      <c r="CE70" s="567"/>
      <c r="CF70" s="567"/>
      <c r="CG70" s="567"/>
      <c r="CH70" s="567"/>
      <c r="CI70" s="567"/>
      <c r="CJ70" s="567"/>
      <c r="CK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  <c r="BS71" s="567"/>
      <c r="BT71" s="567"/>
      <c r="BU71" s="567"/>
      <c r="BV71" s="567"/>
      <c r="BW71" s="567"/>
      <c r="BX71" s="567"/>
      <c r="BY71" s="567"/>
      <c r="BZ71" s="567"/>
      <c r="CA71" s="567"/>
      <c r="CB71" s="567"/>
      <c r="CC71" s="567"/>
      <c r="CD71" s="567"/>
      <c r="CE71" s="567"/>
      <c r="CF71" s="567"/>
      <c r="CG71" s="567"/>
      <c r="CH71" s="567"/>
      <c r="CI71" s="567"/>
      <c r="CJ71" s="567"/>
      <c r="CK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  <c r="BS72" s="567"/>
      <c r="BT72" s="567"/>
      <c r="BU72" s="567"/>
      <c r="BV72" s="567"/>
      <c r="BW72" s="567"/>
      <c r="BX72" s="567"/>
      <c r="BY72" s="567"/>
      <c r="BZ72" s="567"/>
      <c r="CA72" s="567"/>
      <c r="CB72" s="567"/>
      <c r="CC72" s="567"/>
      <c r="CD72" s="567"/>
      <c r="CE72" s="567"/>
      <c r="CF72" s="567"/>
      <c r="CG72" s="567"/>
      <c r="CH72" s="567"/>
      <c r="CI72" s="567"/>
      <c r="CJ72" s="567"/>
      <c r="CK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  <c r="BS73" s="567"/>
      <c r="BT73" s="567"/>
      <c r="BU73" s="567"/>
      <c r="BV73" s="567"/>
      <c r="BW73" s="567"/>
      <c r="BX73" s="567"/>
      <c r="BY73" s="567"/>
      <c r="BZ73" s="567"/>
      <c r="CA73" s="567"/>
      <c r="CB73" s="567"/>
      <c r="CC73" s="567"/>
      <c r="CD73" s="567"/>
      <c r="CE73" s="567"/>
      <c r="CF73" s="567"/>
      <c r="CG73" s="567"/>
      <c r="CH73" s="567"/>
      <c r="CI73" s="567"/>
      <c r="CJ73" s="567"/>
      <c r="CK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  <c r="BS74" s="567"/>
      <c r="BT74" s="567"/>
      <c r="BU74" s="567"/>
      <c r="BV74" s="567"/>
      <c r="BW74" s="567"/>
      <c r="BX74" s="567"/>
      <c r="BY74" s="567"/>
      <c r="BZ74" s="567"/>
      <c r="CA74" s="567"/>
      <c r="CB74" s="567"/>
      <c r="CC74" s="567"/>
      <c r="CD74" s="567"/>
      <c r="CE74" s="567"/>
      <c r="CF74" s="567"/>
      <c r="CG74" s="567"/>
      <c r="CH74" s="567"/>
      <c r="CI74" s="567"/>
      <c r="CJ74" s="567"/>
      <c r="CK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  <c r="BS75" s="567"/>
      <c r="BT75" s="567"/>
      <c r="BU75" s="567"/>
      <c r="BV75" s="567"/>
      <c r="BW75" s="567"/>
      <c r="BX75" s="567"/>
      <c r="BY75" s="567"/>
      <c r="BZ75" s="567"/>
      <c r="CA75" s="567"/>
      <c r="CB75" s="567"/>
      <c r="CC75" s="567"/>
      <c r="CD75" s="567"/>
      <c r="CE75" s="567"/>
      <c r="CF75" s="567"/>
      <c r="CG75" s="567"/>
      <c r="CH75" s="567"/>
      <c r="CI75" s="567"/>
      <c r="CJ75" s="567"/>
      <c r="CK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  <c r="BS76" s="567"/>
      <c r="BT76" s="567"/>
      <c r="BU76" s="567"/>
      <c r="BV76" s="567"/>
      <c r="BW76" s="567"/>
      <c r="BX76" s="567"/>
      <c r="BY76" s="567"/>
      <c r="BZ76" s="567"/>
      <c r="CA76" s="567"/>
      <c r="CB76" s="567"/>
      <c r="CC76" s="567"/>
      <c r="CD76" s="567"/>
      <c r="CE76" s="567"/>
      <c r="CF76" s="567"/>
      <c r="CG76" s="567"/>
      <c r="CH76" s="567"/>
      <c r="CI76" s="567"/>
      <c r="CJ76" s="567"/>
      <c r="CK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  <c r="BS77" s="567"/>
      <c r="BT77" s="567"/>
      <c r="BU77" s="567"/>
      <c r="BV77" s="567"/>
      <c r="BW77" s="567"/>
      <c r="BX77" s="567"/>
      <c r="BY77" s="567"/>
      <c r="BZ77" s="567"/>
      <c r="CA77" s="567"/>
      <c r="CB77" s="567"/>
      <c r="CC77" s="567"/>
      <c r="CD77" s="567"/>
      <c r="CE77" s="567"/>
      <c r="CF77" s="567"/>
      <c r="CG77" s="567"/>
      <c r="CH77" s="567"/>
      <c r="CI77" s="567"/>
      <c r="CJ77" s="567"/>
      <c r="CK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  <c r="BS78" s="567"/>
      <c r="BT78" s="567"/>
      <c r="BU78" s="567"/>
      <c r="BV78" s="567"/>
      <c r="BW78" s="567"/>
      <c r="BX78" s="567"/>
      <c r="BY78" s="567"/>
      <c r="BZ78" s="567"/>
      <c r="CA78" s="567"/>
      <c r="CB78" s="567"/>
      <c r="CC78" s="567"/>
      <c r="CD78" s="567"/>
      <c r="CE78" s="567"/>
      <c r="CF78" s="567"/>
      <c r="CG78" s="567"/>
      <c r="CH78" s="567"/>
      <c r="CI78" s="567"/>
      <c r="CJ78" s="567"/>
      <c r="CK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  <c r="BS79" s="567"/>
      <c r="BT79" s="567"/>
      <c r="BU79" s="567"/>
      <c r="BV79" s="567"/>
      <c r="BW79" s="567"/>
      <c r="BX79" s="567"/>
      <c r="BY79" s="567"/>
      <c r="BZ79" s="567"/>
      <c r="CA79" s="567"/>
      <c r="CB79" s="567"/>
      <c r="CC79" s="567"/>
      <c r="CD79" s="567"/>
      <c r="CE79" s="567"/>
      <c r="CF79" s="567"/>
      <c r="CG79" s="567"/>
      <c r="CH79" s="567"/>
      <c r="CI79" s="567"/>
      <c r="CJ79" s="567"/>
      <c r="CK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BQ80" s="567"/>
      <c r="BR80" s="567"/>
      <c r="BS80" s="567"/>
      <c r="BT80" s="567"/>
      <c r="BU80" s="567"/>
      <c r="BV80" s="567"/>
      <c r="BW80" s="567"/>
      <c r="BX80" s="567"/>
      <c r="BY80" s="567"/>
      <c r="BZ80" s="567"/>
      <c r="CA80" s="567"/>
      <c r="CB80" s="567"/>
      <c r="CC80" s="567"/>
      <c r="CD80" s="567"/>
      <c r="CE80" s="567"/>
      <c r="CF80" s="567"/>
      <c r="CG80" s="567"/>
      <c r="CH80" s="567"/>
      <c r="CI80" s="567"/>
      <c r="CJ80" s="567"/>
      <c r="CK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  <c r="BS81" s="567"/>
      <c r="BT81" s="567"/>
      <c r="BU81" s="567"/>
      <c r="BV81" s="567"/>
      <c r="BW81" s="567"/>
      <c r="BX81" s="567"/>
      <c r="BY81" s="567"/>
      <c r="BZ81" s="567"/>
      <c r="CA81" s="567"/>
      <c r="CB81" s="567"/>
      <c r="CC81" s="567"/>
      <c r="CD81" s="567"/>
      <c r="CE81" s="567"/>
      <c r="CF81" s="567"/>
      <c r="CG81" s="567"/>
      <c r="CH81" s="567"/>
      <c r="CI81" s="567"/>
      <c r="CJ81" s="567"/>
      <c r="CK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X82" s="567"/>
      <c r="BY82" s="567"/>
      <c r="BZ82" s="567"/>
      <c r="CA82" s="567"/>
      <c r="CB82" s="567"/>
      <c r="CC82" s="567"/>
      <c r="CD82" s="567"/>
      <c r="CE82" s="567"/>
      <c r="CF82" s="567"/>
      <c r="CG82" s="567"/>
      <c r="CH82" s="567"/>
      <c r="CI82" s="567"/>
      <c r="CJ82" s="567"/>
      <c r="CK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  <c r="BW83" s="567"/>
      <c r="BX83" s="567"/>
      <c r="BY83" s="567"/>
      <c r="BZ83" s="567"/>
      <c r="CA83" s="567"/>
      <c r="CB83" s="567"/>
      <c r="CC83" s="567"/>
      <c r="CD83" s="567"/>
      <c r="CE83" s="567"/>
      <c r="CF83" s="567"/>
      <c r="CG83" s="567"/>
      <c r="CH83" s="567"/>
      <c r="CI83" s="567"/>
      <c r="CJ83" s="567"/>
      <c r="CK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  <c r="BS84" s="567"/>
      <c r="BT84" s="567"/>
      <c r="BU84" s="567"/>
      <c r="BV84" s="567"/>
      <c r="BW84" s="567"/>
      <c r="BX84" s="567"/>
      <c r="BY84" s="567"/>
      <c r="BZ84" s="567"/>
      <c r="CA84" s="567"/>
      <c r="CB84" s="567"/>
      <c r="CC84" s="567"/>
      <c r="CD84" s="567"/>
      <c r="CE84" s="567"/>
      <c r="CF84" s="567"/>
      <c r="CG84" s="567"/>
      <c r="CH84" s="567"/>
      <c r="CI84" s="567"/>
      <c r="CJ84" s="567"/>
      <c r="CK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  <c r="BS85" s="567"/>
      <c r="BT85" s="567"/>
      <c r="BU85" s="567"/>
      <c r="BV85" s="567"/>
      <c r="BW85" s="567"/>
      <c r="BX85" s="567"/>
      <c r="BY85" s="567"/>
      <c r="BZ85" s="567"/>
      <c r="CA85" s="567"/>
      <c r="CB85" s="567"/>
      <c r="CC85" s="567"/>
      <c r="CD85" s="567"/>
      <c r="CE85" s="567"/>
      <c r="CF85" s="567"/>
      <c r="CG85" s="567"/>
      <c r="CH85" s="567"/>
      <c r="CI85" s="567"/>
      <c r="CJ85" s="567"/>
      <c r="CK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  <c r="BS86" s="567"/>
      <c r="BT86" s="567"/>
      <c r="BU86" s="567"/>
      <c r="BV86" s="567"/>
      <c r="BW86" s="567"/>
      <c r="BX86" s="567"/>
      <c r="BY86" s="567"/>
      <c r="BZ86" s="567"/>
      <c r="CA86" s="567"/>
      <c r="CB86" s="567"/>
      <c r="CC86" s="567"/>
      <c r="CD86" s="567"/>
      <c r="CE86" s="567"/>
      <c r="CF86" s="567"/>
      <c r="CG86" s="567"/>
      <c r="CH86" s="567"/>
      <c r="CI86" s="567"/>
      <c r="CJ86" s="567"/>
      <c r="CK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  <c r="BS87" s="567"/>
      <c r="BT87" s="567"/>
      <c r="BU87" s="567"/>
      <c r="BV87" s="567"/>
      <c r="BW87" s="567"/>
      <c r="BX87" s="567"/>
      <c r="BY87" s="567"/>
      <c r="BZ87" s="567"/>
      <c r="CA87" s="567"/>
      <c r="CB87" s="567"/>
      <c r="CC87" s="567"/>
      <c r="CD87" s="567"/>
      <c r="CE87" s="567"/>
      <c r="CF87" s="567"/>
      <c r="CG87" s="567"/>
      <c r="CH87" s="567"/>
      <c r="CI87" s="567"/>
      <c r="CJ87" s="567"/>
      <c r="CK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  <c r="BS88" s="567"/>
      <c r="BT88" s="567"/>
      <c r="BU88" s="567"/>
      <c r="BV88" s="567"/>
      <c r="BW88" s="567"/>
      <c r="BX88" s="567"/>
      <c r="BY88" s="567"/>
      <c r="BZ88" s="567"/>
      <c r="CA88" s="567"/>
      <c r="CB88" s="567"/>
      <c r="CC88" s="567"/>
      <c r="CD88" s="567"/>
      <c r="CE88" s="567"/>
      <c r="CF88" s="567"/>
      <c r="CG88" s="567"/>
      <c r="CH88" s="567"/>
      <c r="CI88" s="567"/>
      <c r="CJ88" s="567"/>
      <c r="CK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  <c r="BS89" s="567"/>
      <c r="BT89" s="567"/>
      <c r="BU89" s="567"/>
      <c r="BV89" s="567"/>
      <c r="BW89" s="567"/>
      <c r="BX89" s="567"/>
      <c r="BY89" s="567"/>
      <c r="BZ89" s="567"/>
      <c r="CA89" s="567"/>
      <c r="CB89" s="567"/>
      <c r="CC89" s="567"/>
      <c r="CD89" s="567"/>
      <c r="CE89" s="567"/>
      <c r="CF89" s="567"/>
      <c r="CG89" s="567"/>
      <c r="CH89" s="567"/>
      <c r="CI89" s="567"/>
      <c r="CJ89" s="567"/>
      <c r="CK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  <c r="BS90" s="567"/>
      <c r="BT90" s="567"/>
      <c r="BU90" s="567"/>
      <c r="BV90" s="567"/>
      <c r="BW90" s="567"/>
      <c r="BX90" s="567"/>
      <c r="BY90" s="567"/>
      <c r="BZ90" s="567"/>
      <c r="CA90" s="567"/>
      <c r="CB90" s="567"/>
      <c r="CC90" s="567"/>
      <c r="CD90" s="567"/>
      <c r="CE90" s="567"/>
      <c r="CF90" s="567"/>
      <c r="CG90" s="567"/>
      <c r="CH90" s="567"/>
      <c r="CI90" s="567"/>
      <c r="CJ90" s="567"/>
      <c r="CK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  <c r="BW91" s="567"/>
      <c r="BX91" s="567"/>
      <c r="BY91" s="567"/>
      <c r="BZ91" s="567"/>
      <c r="CA91" s="567"/>
      <c r="CB91" s="567"/>
      <c r="CC91" s="567"/>
      <c r="CD91" s="567"/>
      <c r="CE91" s="567"/>
      <c r="CF91" s="567"/>
      <c r="CG91" s="567"/>
      <c r="CH91" s="567"/>
      <c r="CI91" s="567"/>
      <c r="CJ91" s="567"/>
      <c r="CK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567"/>
      <c r="CC92" s="567"/>
      <c r="CD92" s="567"/>
      <c r="CE92" s="567"/>
      <c r="CF92" s="567"/>
      <c r="CG92" s="567"/>
      <c r="CH92" s="567"/>
      <c r="CI92" s="567"/>
      <c r="CJ92" s="567"/>
      <c r="CK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67"/>
      <c r="CE93" s="567"/>
      <c r="CF93" s="567"/>
      <c r="CG93" s="567"/>
      <c r="CH93" s="567"/>
      <c r="CI93" s="567"/>
      <c r="CJ93" s="567"/>
      <c r="CK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  <c r="BW95" s="567"/>
      <c r="BX95" s="567"/>
      <c r="BY95" s="567"/>
      <c r="BZ95" s="567"/>
      <c r="CA95" s="567"/>
      <c r="CB95" s="567"/>
      <c r="CC95" s="567"/>
      <c r="CD95" s="567"/>
      <c r="CE95" s="567"/>
      <c r="CF95" s="567"/>
      <c r="CG95" s="567"/>
      <c r="CH95" s="567"/>
      <c r="CI95" s="567"/>
      <c r="CJ95" s="567"/>
      <c r="CK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  <c r="BW96" s="567"/>
      <c r="BX96" s="567"/>
      <c r="BY96" s="567"/>
      <c r="BZ96" s="567"/>
      <c r="CA96" s="567"/>
      <c r="CB96" s="567"/>
      <c r="CC96" s="567"/>
      <c r="CD96" s="567"/>
      <c r="CE96" s="567"/>
      <c r="CF96" s="567"/>
      <c r="CG96" s="567"/>
      <c r="CH96" s="567"/>
      <c r="CI96" s="567"/>
      <c r="CJ96" s="567"/>
      <c r="CK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  <c r="BW97" s="567"/>
      <c r="BX97" s="567"/>
      <c r="BY97" s="567"/>
      <c r="BZ97" s="567"/>
      <c r="CA97" s="567"/>
      <c r="CB97" s="567"/>
      <c r="CC97" s="567"/>
      <c r="CD97" s="567"/>
      <c r="CE97" s="567"/>
      <c r="CF97" s="567"/>
      <c r="CG97" s="567"/>
      <c r="CH97" s="567"/>
      <c r="CI97" s="567"/>
      <c r="CJ97" s="567"/>
      <c r="CK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  <c r="BW98" s="567"/>
      <c r="BX98" s="567"/>
      <c r="BY98" s="567"/>
      <c r="BZ98" s="567"/>
      <c r="CA98" s="567"/>
      <c r="CB98" s="567"/>
      <c r="CC98" s="567"/>
      <c r="CD98" s="567"/>
      <c r="CE98" s="567"/>
      <c r="CF98" s="567"/>
      <c r="CG98" s="567"/>
      <c r="CH98" s="567"/>
      <c r="CI98" s="567"/>
      <c r="CJ98" s="567"/>
      <c r="CK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  <c r="BW99" s="567"/>
      <c r="BX99" s="567"/>
      <c r="BY99" s="567"/>
      <c r="BZ99" s="567"/>
      <c r="CA99" s="567"/>
      <c r="CB99" s="567"/>
      <c r="CC99" s="567"/>
      <c r="CD99" s="567"/>
      <c r="CE99" s="567"/>
      <c r="CF99" s="567"/>
      <c r="CG99" s="567"/>
      <c r="CH99" s="567"/>
      <c r="CI99" s="567"/>
      <c r="CJ99" s="567"/>
      <c r="CK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  <c r="BW100" s="567"/>
      <c r="BX100" s="567"/>
      <c r="BY100" s="567"/>
      <c r="BZ100" s="567"/>
      <c r="CA100" s="567"/>
      <c r="CB100" s="567"/>
      <c r="CC100" s="567"/>
      <c r="CD100" s="567"/>
      <c r="CE100" s="567"/>
      <c r="CF100" s="567"/>
      <c r="CG100" s="567"/>
      <c r="CH100" s="567"/>
      <c r="CI100" s="567"/>
      <c r="CJ100" s="567"/>
      <c r="CK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  <c r="BW101" s="567"/>
      <c r="BX101" s="567"/>
      <c r="BY101" s="567"/>
      <c r="BZ101" s="567"/>
      <c r="CA101" s="567"/>
      <c r="CB101" s="567"/>
      <c r="CC101" s="567"/>
      <c r="CD101" s="567"/>
      <c r="CE101" s="567"/>
      <c r="CF101" s="567"/>
      <c r="CG101" s="567"/>
      <c r="CH101" s="567"/>
      <c r="CI101" s="567"/>
      <c r="CJ101" s="567"/>
      <c r="CK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  <c r="BW102" s="567"/>
      <c r="BX102" s="567"/>
      <c r="BY102" s="567"/>
      <c r="BZ102" s="567"/>
      <c r="CA102" s="567"/>
      <c r="CB102" s="567"/>
      <c r="CC102" s="567"/>
      <c r="CD102" s="567"/>
      <c r="CE102" s="567"/>
      <c r="CF102" s="567"/>
      <c r="CG102" s="567"/>
      <c r="CH102" s="567"/>
      <c r="CI102" s="567"/>
      <c r="CJ102" s="567"/>
      <c r="CK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  <c r="BW103" s="567"/>
      <c r="BX103" s="567"/>
      <c r="BY103" s="567"/>
      <c r="BZ103" s="567"/>
      <c r="CA103" s="567"/>
      <c r="CB103" s="567"/>
      <c r="CC103" s="567"/>
      <c r="CD103" s="567"/>
      <c r="CE103" s="567"/>
      <c r="CF103" s="567"/>
      <c r="CG103" s="567"/>
      <c r="CH103" s="567"/>
      <c r="CI103" s="567"/>
      <c r="CJ103" s="567"/>
      <c r="CK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  <c r="BW105" s="567"/>
      <c r="BX105" s="567"/>
      <c r="BY105" s="567"/>
      <c r="BZ105" s="567"/>
      <c r="CA105" s="567"/>
      <c r="CB105" s="567"/>
      <c r="CC105" s="567"/>
      <c r="CD105" s="567"/>
      <c r="CE105" s="567"/>
      <c r="CF105" s="567"/>
      <c r="CG105" s="567"/>
      <c r="CH105" s="567"/>
      <c r="CI105" s="567"/>
      <c r="CJ105" s="567"/>
      <c r="CK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  <c r="BW106" s="567"/>
      <c r="BX106" s="567"/>
      <c r="BY106" s="567"/>
      <c r="BZ106" s="567"/>
      <c r="CA106" s="567"/>
      <c r="CB106" s="567"/>
      <c r="CC106" s="567"/>
      <c r="CD106" s="567"/>
      <c r="CE106" s="567"/>
      <c r="CF106" s="567"/>
      <c r="CG106" s="567"/>
      <c r="CH106" s="567"/>
      <c r="CI106" s="567"/>
      <c r="CJ106" s="567"/>
      <c r="CK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  <c r="BW107" s="567"/>
      <c r="BX107" s="567"/>
      <c r="BY107" s="567"/>
      <c r="BZ107" s="567"/>
      <c r="CA107" s="567"/>
      <c r="CB107" s="567"/>
      <c r="CC107" s="567"/>
      <c r="CD107" s="567"/>
      <c r="CE107" s="567"/>
      <c r="CF107" s="567"/>
      <c r="CG107" s="567"/>
      <c r="CH107" s="567"/>
      <c r="CI107" s="567"/>
      <c r="CJ107" s="567"/>
      <c r="CK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  <c r="BW108" s="567"/>
      <c r="BX108" s="567"/>
      <c r="BY108" s="567"/>
      <c r="BZ108" s="567"/>
      <c r="CA108" s="567"/>
      <c r="CB108" s="567"/>
      <c r="CC108" s="567"/>
      <c r="CD108" s="567"/>
      <c r="CE108" s="567"/>
      <c r="CF108" s="567"/>
      <c r="CG108" s="567"/>
      <c r="CH108" s="567"/>
      <c r="CI108" s="567"/>
      <c r="CJ108" s="567"/>
      <c r="CK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  <c r="BW109" s="567"/>
      <c r="BX109" s="567"/>
      <c r="BY109" s="567"/>
      <c r="BZ109" s="567"/>
      <c r="CA109" s="567"/>
      <c r="CB109" s="567"/>
      <c r="CC109" s="567"/>
      <c r="CD109" s="567"/>
      <c r="CE109" s="567"/>
      <c r="CF109" s="567"/>
      <c r="CG109" s="567"/>
      <c r="CH109" s="567"/>
      <c r="CI109" s="567"/>
      <c r="CJ109" s="567"/>
      <c r="CK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  <c r="BW110" s="567"/>
      <c r="BX110" s="567"/>
      <c r="BY110" s="567"/>
      <c r="BZ110" s="567"/>
      <c r="CA110" s="567"/>
      <c r="CB110" s="567"/>
      <c r="CC110" s="567"/>
      <c r="CD110" s="567"/>
      <c r="CE110" s="567"/>
      <c r="CF110" s="567"/>
      <c r="CG110" s="567"/>
      <c r="CH110" s="567"/>
      <c r="CI110" s="567"/>
      <c r="CJ110" s="567"/>
      <c r="CK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  <c r="BW111" s="567"/>
      <c r="BX111" s="567"/>
      <c r="BY111" s="567"/>
      <c r="BZ111" s="567"/>
      <c r="CA111" s="567"/>
      <c r="CB111" s="567"/>
      <c r="CC111" s="567"/>
      <c r="CD111" s="567"/>
      <c r="CE111" s="567"/>
      <c r="CF111" s="567"/>
      <c r="CG111" s="567"/>
      <c r="CH111" s="567"/>
      <c r="CI111" s="567"/>
      <c r="CJ111" s="567"/>
      <c r="CK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  <c r="BW112" s="567"/>
      <c r="BX112" s="567"/>
      <c r="BY112" s="567"/>
      <c r="BZ112" s="567"/>
      <c r="CA112" s="567"/>
      <c r="CB112" s="567"/>
      <c r="CC112" s="567"/>
      <c r="CD112" s="567"/>
      <c r="CE112" s="567"/>
      <c r="CF112" s="567"/>
      <c r="CG112" s="567"/>
      <c r="CH112" s="567"/>
      <c r="CI112" s="567"/>
      <c r="CJ112" s="567"/>
      <c r="CK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  <c r="BW113" s="567"/>
      <c r="BX113" s="567"/>
      <c r="BY113" s="567"/>
      <c r="BZ113" s="567"/>
      <c r="CA113" s="567"/>
      <c r="CB113" s="567"/>
      <c r="CC113" s="567"/>
      <c r="CD113" s="567"/>
      <c r="CE113" s="567"/>
      <c r="CF113" s="567"/>
      <c r="CG113" s="567"/>
      <c r="CH113" s="567"/>
      <c r="CI113" s="567"/>
      <c r="CJ113" s="567"/>
      <c r="CK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  <c r="BW114" s="567"/>
      <c r="BX114" s="567"/>
      <c r="BY114" s="567"/>
      <c r="BZ114" s="567"/>
      <c r="CA114" s="567"/>
      <c r="CB114" s="567"/>
      <c r="CC114" s="567"/>
      <c r="CD114" s="567"/>
      <c r="CE114" s="567"/>
      <c r="CF114" s="567"/>
      <c r="CG114" s="567"/>
      <c r="CH114" s="567"/>
      <c r="CI114" s="567"/>
      <c r="CJ114" s="567"/>
      <c r="CK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  <c r="BW115" s="567"/>
      <c r="BX115" s="567"/>
      <c r="BY115" s="567"/>
      <c r="BZ115" s="567"/>
      <c r="CA115" s="567"/>
      <c r="CB115" s="567"/>
      <c r="CC115" s="567"/>
      <c r="CD115" s="567"/>
      <c r="CE115" s="567"/>
      <c r="CF115" s="567"/>
      <c r="CG115" s="567"/>
      <c r="CH115" s="567"/>
      <c r="CI115" s="567"/>
      <c r="CJ115" s="567"/>
      <c r="CK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  <c r="BW116" s="567"/>
      <c r="BX116" s="567"/>
      <c r="BY116" s="567"/>
      <c r="BZ116" s="567"/>
      <c r="CA116" s="567"/>
      <c r="CB116" s="567"/>
      <c r="CC116" s="567"/>
      <c r="CD116" s="567"/>
      <c r="CE116" s="567"/>
      <c r="CF116" s="567"/>
      <c r="CG116" s="567"/>
      <c r="CH116" s="567"/>
      <c r="CI116" s="567"/>
      <c r="CJ116" s="567"/>
      <c r="CK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  <c r="BW117" s="567"/>
      <c r="BX117" s="567"/>
      <c r="BY117" s="567"/>
      <c r="BZ117" s="567"/>
      <c r="CA117" s="567"/>
      <c r="CB117" s="567"/>
      <c r="CC117" s="567"/>
      <c r="CD117" s="567"/>
      <c r="CE117" s="567"/>
      <c r="CF117" s="567"/>
      <c r="CG117" s="567"/>
      <c r="CH117" s="567"/>
      <c r="CI117" s="567"/>
      <c r="CJ117" s="567"/>
      <c r="CK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  <c r="BW119" s="567"/>
      <c r="BX119" s="567"/>
      <c r="BY119" s="567"/>
      <c r="BZ119" s="567"/>
      <c r="CA119" s="567"/>
      <c r="CB119" s="567"/>
      <c r="CC119" s="567"/>
      <c r="CD119" s="567"/>
      <c r="CE119" s="567"/>
      <c r="CF119" s="567"/>
      <c r="CG119" s="567"/>
      <c r="CH119" s="567"/>
      <c r="CI119" s="567"/>
      <c r="CJ119" s="567"/>
      <c r="CK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  <c r="BW120" s="567"/>
      <c r="BX120" s="567"/>
      <c r="BY120" s="567"/>
      <c r="BZ120" s="567"/>
      <c r="CA120" s="567"/>
      <c r="CB120" s="567"/>
      <c r="CC120" s="567"/>
      <c r="CD120" s="567"/>
      <c r="CE120" s="567"/>
      <c r="CF120" s="567"/>
      <c r="CG120" s="567"/>
      <c r="CH120" s="567"/>
      <c r="CI120" s="567"/>
      <c r="CJ120" s="567"/>
      <c r="CK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  <c r="BW121" s="567"/>
      <c r="BX121" s="567"/>
      <c r="BY121" s="567"/>
      <c r="BZ121" s="567"/>
      <c r="CA121" s="567"/>
      <c r="CB121" s="567"/>
      <c r="CC121" s="567"/>
      <c r="CD121" s="567"/>
      <c r="CE121" s="567"/>
      <c r="CF121" s="567"/>
      <c r="CG121" s="567"/>
      <c r="CH121" s="567"/>
      <c r="CI121" s="567"/>
      <c r="CJ121" s="567"/>
      <c r="CK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  <c r="BW122" s="567"/>
      <c r="BX122" s="567"/>
      <c r="BY122" s="567"/>
      <c r="BZ122" s="567"/>
      <c r="CA122" s="567"/>
      <c r="CB122" s="567"/>
      <c r="CC122" s="567"/>
      <c r="CD122" s="567"/>
      <c r="CE122" s="567"/>
      <c r="CF122" s="567"/>
      <c r="CG122" s="567"/>
      <c r="CH122" s="567"/>
      <c r="CI122" s="567"/>
      <c r="CJ122" s="567"/>
      <c r="CK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  <c r="BW123" s="567"/>
      <c r="BX123" s="567"/>
      <c r="BY123" s="567"/>
      <c r="BZ123" s="567"/>
      <c r="CA123" s="567"/>
      <c r="CB123" s="567"/>
      <c r="CC123" s="567"/>
      <c r="CD123" s="567"/>
      <c r="CE123" s="567"/>
      <c r="CF123" s="567"/>
      <c r="CG123" s="567"/>
      <c r="CH123" s="567"/>
      <c r="CI123" s="567"/>
      <c r="CJ123" s="567"/>
      <c r="CK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  <c r="BW124" s="567"/>
      <c r="BX124" s="567"/>
      <c r="BY124" s="567"/>
      <c r="BZ124" s="567"/>
      <c r="CA124" s="567"/>
      <c r="CB124" s="567"/>
      <c r="CC124" s="567"/>
      <c r="CD124" s="567"/>
      <c r="CE124" s="567"/>
      <c r="CF124" s="567"/>
      <c r="CG124" s="567"/>
      <c r="CH124" s="567"/>
      <c r="CI124" s="567"/>
      <c r="CJ124" s="567"/>
      <c r="CK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  <c r="BW125" s="567"/>
      <c r="BX125" s="567"/>
      <c r="BY125" s="567"/>
      <c r="BZ125" s="567"/>
      <c r="CA125" s="567"/>
      <c r="CB125" s="567"/>
      <c r="CC125" s="567"/>
      <c r="CD125" s="567"/>
      <c r="CE125" s="567"/>
      <c r="CF125" s="567"/>
      <c r="CG125" s="567"/>
      <c r="CH125" s="567"/>
      <c r="CI125" s="567"/>
      <c r="CJ125" s="567"/>
      <c r="CK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  <c r="BW126" s="567"/>
      <c r="BX126" s="567"/>
      <c r="BY126" s="567"/>
      <c r="BZ126" s="567"/>
      <c r="CA126" s="567"/>
      <c r="CB126" s="567"/>
      <c r="CC126" s="567"/>
      <c r="CD126" s="567"/>
      <c r="CE126" s="567"/>
      <c r="CF126" s="567"/>
      <c r="CG126" s="567"/>
      <c r="CH126" s="567"/>
      <c r="CI126" s="567"/>
      <c r="CJ126" s="567"/>
      <c r="CK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  <c r="BW127" s="567"/>
      <c r="BX127" s="567"/>
      <c r="BY127" s="567"/>
      <c r="BZ127" s="567"/>
      <c r="CA127" s="567"/>
      <c r="CB127" s="567"/>
      <c r="CC127" s="567"/>
      <c r="CD127" s="567"/>
      <c r="CE127" s="567"/>
      <c r="CF127" s="567"/>
      <c r="CG127" s="567"/>
      <c r="CH127" s="567"/>
      <c r="CI127" s="567"/>
      <c r="CJ127" s="567"/>
      <c r="CK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567"/>
      <c r="CI128" s="567"/>
      <c r="CJ128" s="567"/>
      <c r="CK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  <c r="BW130" s="567"/>
      <c r="BX130" s="567"/>
      <c r="BY130" s="567"/>
      <c r="BZ130" s="567"/>
      <c r="CA130" s="567"/>
      <c r="CB130" s="567"/>
      <c r="CC130" s="567"/>
      <c r="CD130" s="567"/>
      <c r="CE130" s="567"/>
      <c r="CF130" s="567"/>
      <c r="CG130" s="567"/>
      <c r="CH130" s="567"/>
      <c r="CI130" s="567"/>
      <c r="CJ130" s="567"/>
      <c r="CK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  <c r="BW131" s="567"/>
      <c r="BX131" s="567"/>
      <c r="BY131" s="567"/>
      <c r="BZ131" s="567"/>
      <c r="CA131" s="567"/>
      <c r="CB131" s="567"/>
      <c r="CC131" s="567"/>
      <c r="CD131" s="567"/>
      <c r="CE131" s="567"/>
      <c r="CF131" s="567"/>
      <c r="CG131" s="567"/>
      <c r="CH131" s="567"/>
      <c r="CI131" s="567"/>
      <c r="CJ131" s="567"/>
      <c r="CK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  <c r="BW132" s="567"/>
      <c r="BX132" s="567"/>
      <c r="BY132" s="567"/>
      <c r="BZ132" s="567"/>
      <c r="CA132" s="567"/>
      <c r="CB132" s="567"/>
      <c r="CC132" s="567"/>
      <c r="CD132" s="567"/>
      <c r="CE132" s="567"/>
      <c r="CF132" s="567"/>
      <c r="CG132" s="567"/>
      <c r="CH132" s="567"/>
      <c r="CI132" s="567"/>
      <c r="CJ132" s="567"/>
      <c r="CK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  <c r="BW133" s="567"/>
      <c r="BX133" s="567"/>
      <c r="BY133" s="567"/>
      <c r="BZ133" s="567"/>
      <c r="CA133" s="567"/>
      <c r="CB133" s="567"/>
      <c r="CC133" s="567"/>
      <c r="CD133" s="567"/>
      <c r="CE133" s="567"/>
      <c r="CF133" s="567"/>
      <c r="CG133" s="567"/>
      <c r="CH133" s="567"/>
      <c r="CI133" s="567"/>
      <c r="CJ133" s="567"/>
      <c r="CK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  <c r="BW134" s="567"/>
      <c r="BX134" s="567"/>
      <c r="BY134" s="567"/>
      <c r="BZ134" s="567"/>
      <c r="CA134" s="567"/>
      <c r="CB134" s="567"/>
      <c r="CC134" s="567"/>
      <c r="CD134" s="567"/>
      <c r="CE134" s="567"/>
      <c r="CF134" s="567"/>
      <c r="CG134" s="567"/>
      <c r="CH134" s="567"/>
      <c r="CI134" s="567"/>
      <c r="CJ134" s="567"/>
      <c r="CK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  <c r="BW135" s="567"/>
      <c r="BX135" s="567"/>
      <c r="BY135" s="567"/>
      <c r="BZ135" s="567"/>
      <c r="CA135" s="567"/>
      <c r="CB135" s="567"/>
      <c r="CC135" s="567"/>
      <c r="CD135" s="567"/>
      <c r="CE135" s="567"/>
      <c r="CF135" s="567"/>
      <c r="CG135" s="567"/>
      <c r="CH135" s="567"/>
      <c r="CI135" s="567"/>
      <c r="CJ135" s="567"/>
      <c r="CK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  <c r="BW136" s="567"/>
      <c r="BX136" s="567"/>
      <c r="BY136" s="567"/>
      <c r="BZ136" s="567"/>
      <c r="CA136" s="567"/>
      <c r="CB136" s="567"/>
      <c r="CC136" s="567"/>
      <c r="CD136" s="567"/>
      <c r="CE136" s="567"/>
      <c r="CF136" s="567"/>
      <c r="CG136" s="567"/>
      <c r="CH136" s="567"/>
      <c r="CI136" s="567"/>
      <c r="CJ136" s="567"/>
      <c r="CK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  <c r="BW137" s="567"/>
      <c r="BX137" s="567"/>
      <c r="BY137" s="567"/>
      <c r="BZ137" s="567"/>
      <c r="CA137" s="567"/>
      <c r="CB137" s="567"/>
      <c r="CC137" s="567"/>
      <c r="CD137" s="567"/>
      <c r="CE137" s="567"/>
      <c r="CF137" s="567"/>
      <c r="CG137" s="567"/>
      <c r="CH137" s="567"/>
      <c r="CI137" s="567"/>
      <c r="CJ137" s="567"/>
      <c r="CK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  <c r="BW138" s="567"/>
      <c r="BX138" s="567"/>
      <c r="BY138" s="567"/>
      <c r="BZ138" s="567"/>
      <c r="CA138" s="567"/>
      <c r="CB138" s="567"/>
      <c r="CC138" s="567"/>
      <c r="CD138" s="567"/>
      <c r="CE138" s="567"/>
      <c r="CF138" s="567"/>
      <c r="CG138" s="567"/>
      <c r="CH138" s="567"/>
      <c r="CI138" s="567"/>
      <c r="CJ138" s="567"/>
      <c r="CK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  <c r="BW139" s="567"/>
      <c r="BX139" s="567"/>
      <c r="BY139" s="567"/>
      <c r="BZ139" s="567"/>
      <c r="CA139" s="567"/>
      <c r="CB139" s="567"/>
      <c r="CC139" s="567"/>
      <c r="CD139" s="567"/>
      <c r="CE139" s="567"/>
      <c r="CF139" s="567"/>
      <c r="CG139" s="567"/>
      <c r="CH139" s="567"/>
      <c r="CI139" s="567"/>
      <c r="CJ139" s="567"/>
      <c r="CK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  <c r="BW140" s="567"/>
      <c r="BX140" s="567"/>
      <c r="BY140" s="567"/>
      <c r="BZ140" s="567"/>
      <c r="CA140" s="567"/>
      <c r="CB140" s="567"/>
      <c r="CC140" s="567"/>
      <c r="CD140" s="567"/>
      <c r="CE140" s="567"/>
      <c r="CF140" s="567"/>
      <c r="CG140" s="567"/>
      <c r="CH140" s="567"/>
      <c r="CI140" s="567"/>
      <c r="CJ140" s="567"/>
      <c r="CK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  <c r="BW141" s="567"/>
      <c r="BX141" s="567"/>
      <c r="BY141" s="567"/>
      <c r="BZ141" s="567"/>
      <c r="CA141" s="567"/>
      <c r="CB141" s="567"/>
      <c r="CC141" s="567"/>
      <c r="CD141" s="567"/>
      <c r="CE141" s="567"/>
      <c r="CF141" s="567"/>
      <c r="CG141" s="567"/>
      <c r="CH141" s="567"/>
      <c r="CI141" s="567"/>
      <c r="CJ141" s="567"/>
      <c r="CK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  <c r="BW142" s="567"/>
      <c r="BX142" s="567"/>
      <c r="BY142" s="567"/>
      <c r="BZ142" s="567"/>
      <c r="CA142" s="567"/>
      <c r="CB142" s="567"/>
      <c r="CC142" s="567"/>
      <c r="CD142" s="567"/>
      <c r="CE142" s="567"/>
      <c r="CF142" s="567"/>
      <c r="CG142" s="567"/>
      <c r="CH142" s="567"/>
      <c r="CI142" s="567"/>
      <c r="CJ142" s="567"/>
      <c r="CK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  <c r="BW143" s="567"/>
      <c r="BX143" s="567"/>
      <c r="BY143" s="567"/>
      <c r="BZ143" s="567"/>
      <c r="CA143" s="567"/>
      <c r="CB143" s="567"/>
      <c r="CC143" s="567"/>
      <c r="CD143" s="567"/>
      <c r="CE143" s="567"/>
      <c r="CF143" s="567"/>
      <c r="CG143" s="567"/>
      <c r="CH143" s="567"/>
      <c r="CI143" s="567"/>
      <c r="CJ143" s="567"/>
      <c r="CK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  <c r="BW144" s="567"/>
      <c r="BX144" s="567"/>
      <c r="BY144" s="567"/>
      <c r="BZ144" s="567"/>
      <c r="CA144" s="567"/>
      <c r="CB144" s="567"/>
      <c r="CC144" s="567"/>
      <c r="CD144" s="567"/>
      <c r="CE144" s="567"/>
      <c r="CF144" s="567"/>
      <c r="CG144" s="567"/>
      <c r="CH144" s="567"/>
      <c r="CI144" s="567"/>
      <c r="CJ144" s="567"/>
      <c r="CK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  <c r="BW145" s="567"/>
      <c r="BX145" s="567"/>
      <c r="BY145" s="567"/>
      <c r="BZ145" s="567"/>
      <c r="CA145" s="567"/>
      <c r="CB145" s="567"/>
      <c r="CC145" s="567"/>
      <c r="CD145" s="567"/>
      <c r="CE145" s="567"/>
      <c r="CF145" s="567"/>
      <c r="CG145" s="567"/>
      <c r="CH145" s="567"/>
      <c r="CI145" s="567"/>
      <c r="CJ145" s="567"/>
      <c r="CK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  <c r="BW146" s="567"/>
      <c r="BX146" s="567"/>
      <c r="BY146" s="567"/>
      <c r="BZ146" s="567"/>
      <c r="CA146" s="567"/>
      <c r="CB146" s="567"/>
      <c r="CC146" s="567"/>
      <c r="CD146" s="567"/>
      <c r="CE146" s="567"/>
      <c r="CF146" s="567"/>
      <c r="CG146" s="567"/>
      <c r="CH146" s="567"/>
      <c r="CI146" s="567"/>
      <c r="CJ146" s="567"/>
      <c r="CK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  <c r="BW147" s="567"/>
      <c r="BX147" s="567"/>
      <c r="BY147" s="567"/>
      <c r="BZ147" s="567"/>
      <c r="CA147" s="567"/>
      <c r="CB147" s="567"/>
      <c r="CC147" s="567"/>
      <c r="CD147" s="567"/>
      <c r="CE147" s="567"/>
      <c r="CF147" s="567"/>
      <c r="CG147" s="567"/>
      <c r="CH147" s="567"/>
      <c r="CI147" s="567"/>
      <c r="CJ147" s="567"/>
      <c r="CK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  <c r="BW148" s="567"/>
      <c r="BX148" s="567"/>
      <c r="BY148" s="567"/>
      <c r="BZ148" s="567"/>
      <c r="CA148" s="567"/>
      <c r="CB148" s="567"/>
      <c r="CC148" s="567"/>
      <c r="CD148" s="567"/>
      <c r="CE148" s="567"/>
      <c r="CF148" s="567"/>
      <c r="CG148" s="567"/>
      <c r="CH148" s="567"/>
      <c r="CI148" s="567"/>
      <c r="CJ148" s="567"/>
      <c r="CK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  <c r="BW149" s="567"/>
      <c r="BX149" s="567"/>
      <c r="BY149" s="567"/>
      <c r="BZ149" s="567"/>
      <c r="CA149" s="567"/>
      <c r="CB149" s="567"/>
      <c r="CC149" s="567"/>
      <c r="CD149" s="567"/>
      <c r="CE149" s="567"/>
      <c r="CF149" s="567"/>
      <c r="CG149" s="567"/>
      <c r="CH149" s="567"/>
      <c r="CI149" s="567"/>
      <c r="CJ149" s="567"/>
      <c r="CK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  <c r="BW150" s="567"/>
      <c r="BX150" s="567"/>
      <c r="BY150" s="567"/>
      <c r="BZ150" s="567"/>
      <c r="CA150" s="567"/>
      <c r="CB150" s="567"/>
      <c r="CC150" s="567"/>
      <c r="CD150" s="567"/>
      <c r="CE150" s="567"/>
      <c r="CF150" s="567"/>
      <c r="CG150" s="567"/>
      <c r="CH150" s="567"/>
      <c r="CI150" s="567"/>
      <c r="CJ150" s="567"/>
      <c r="CK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  <c r="BW151" s="567"/>
      <c r="BX151" s="567"/>
      <c r="BY151" s="567"/>
      <c r="BZ151" s="567"/>
      <c r="CA151" s="567"/>
      <c r="CB151" s="567"/>
      <c r="CC151" s="567"/>
      <c r="CD151" s="567"/>
      <c r="CE151" s="567"/>
      <c r="CF151" s="567"/>
      <c r="CG151" s="567"/>
      <c r="CH151" s="567"/>
      <c r="CI151" s="567"/>
      <c r="CJ151" s="567"/>
      <c r="CK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  <c r="BW152" s="567"/>
      <c r="BX152" s="567"/>
      <c r="BY152" s="567"/>
      <c r="BZ152" s="567"/>
      <c r="CA152" s="567"/>
      <c r="CB152" s="567"/>
      <c r="CC152" s="567"/>
      <c r="CD152" s="567"/>
      <c r="CE152" s="567"/>
      <c r="CF152" s="567"/>
      <c r="CG152" s="567"/>
      <c r="CH152" s="567"/>
      <c r="CI152" s="567"/>
      <c r="CJ152" s="567"/>
      <c r="CK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  <c r="BW153" s="567"/>
      <c r="BX153" s="567"/>
      <c r="BY153" s="567"/>
      <c r="BZ153" s="567"/>
      <c r="CA153" s="567"/>
      <c r="CB153" s="567"/>
      <c r="CC153" s="567"/>
      <c r="CD153" s="567"/>
      <c r="CE153" s="567"/>
      <c r="CF153" s="567"/>
      <c r="CG153" s="567"/>
      <c r="CH153" s="567"/>
      <c r="CI153" s="567"/>
      <c r="CJ153" s="567"/>
      <c r="CK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  <c r="BW154" s="567"/>
      <c r="BX154" s="567"/>
      <c r="BY154" s="567"/>
      <c r="BZ154" s="567"/>
      <c r="CA154" s="567"/>
      <c r="CB154" s="567"/>
      <c r="CC154" s="567"/>
      <c r="CD154" s="567"/>
      <c r="CE154" s="567"/>
      <c r="CF154" s="567"/>
      <c r="CG154" s="567"/>
      <c r="CH154" s="567"/>
      <c r="CI154" s="567"/>
      <c r="CJ154" s="567"/>
      <c r="CK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  <c r="BW155" s="567"/>
      <c r="BX155" s="567"/>
      <c r="BY155" s="567"/>
      <c r="BZ155" s="567"/>
      <c r="CA155" s="567"/>
      <c r="CB155" s="567"/>
      <c r="CC155" s="567"/>
      <c r="CD155" s="567"/>
      <c r="CE155" s="567"/>
      <c r="CF155" s="567"/>
      <c r="CG155" s="567"/>
      <c r="CH155" s="567"/>
      <c r="CI155" s="567"/>
      <c r="CJ155" s="567"/>
      <c r="CK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  <c r="BW156" s="567"/>
      <c r="BX156" s="567"/>
      <c r="BY156" s="567"/>
      <c r="BZ156" s="567"/>
      <c r="CA156" s="567"/>
      <c r="CB156" s="567"/>
      <c r="CC156" s="567"/>
      <c r="CD156" s="567"/>
      <c r="CE156" s="567"/>
      <c r="CF156" s="567"/>
      <c r="CG156" s="567"/>
      <c r="CH156" s="567"/>
      <c r="CI156" s="567"/>
      <c r="CJ156" s="567"/>
      <c r="CK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  <c r="BW157" s="567"/>
      <c r="BX157" s="567"/>
      <c r="BY157" s="567"/>
      <c r="BZ157" s="567"/>
      <c r="CA157" s="567"/>
      <c r="CB157" s="567"/>
      <c r="CC157" s="567"/>
      <c r="CD157" s="567"/>
      <c r="CE157" s="567"/>
      <c r="CF157" s="567"/>
      <c r="CG157" s="567"/>
      <c r="CH157" s="567"/>
      <c r="CI157" s="567"/>
      <c r="CJ157" s="567"/>
      <c r="CK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  <c r="BW158" s="567"/>
      <c r="BX158" s="567"/>
      <c r="BY158" s="567"/>
      <c r="BZ158" s="567"/>
      <c r="CA158" s="567"/>
      <c r="CB158" s="567"/>
      <c r="CC158" s="567"/>
      <c r="CD158" s="567"/>
      <c r="CE158" s="567"/>
      <c r="CF158" s="567"/>
      <c r="CG158" s="567"/>
      <c r="CH158" s="567"/>
      <c r="CI158" s="567"/>
      <c r="CJ158" s="567"/>
      <c r="CK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  <c r="BW159" s="567"/>
      <c r="BX159" s="567"/>
      <c r="BY159" s="567"/>
      <c r="BZ159" s="567"/>
      <c r="CA159" s="567"/>
      <c r="CB159" s="567"/>
      <c r="CC159" s="567"/>
      <c r="CD159" s="567"/>
      <c r="CE159" s="567"/>
      <c r="CF159" s="567"/>
      <c r="CG159" s="567"/>
      <c r="CH159" s="567"/>
      <c r="CI159" s="567"/>
      <c r="CJ159" s="567"/>
      <c r="CK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  <c r="BW160" s="567"/>
      <c r="BX160" s="567"/>
      <c r="BY160" s="567"/>
      <c r="BZ160" s="567"/>
      <c r="CA160" s="567"/>
      <c r="CB160" s="567"/>
      <c r="CC160" s="567"/>
      <c r="CD160" s="567"/>
      <c r="CE160" s="567"/>
      <c r="CF160" s="567"/>
      <c r="CG160" s="567"/>
      <c r="CH160" s="567"/>
      <c r="CI160" s="567"/>
      <c r="CJ160" s="567"/>
      <c r="CK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  <c r="BW161" s="567"/>
      <c r="BX161" s="567"/>
      <c r="BY161" s="567"/>
      <c r="BZ161" s="567"/>
      <c r="CA161" s="567"/>
      <c r="CB161" s="567"/>
      <c r="CC161" s="567"/>
      <c r="CD161" s="567"/>
      <c r="CE161" s="567"/>
      <c r="CF161" s="567"/>
      <c r="CG161" s="567"/>
      <c r="CH161" s="567"/>
      <c r="CI161" s="567"/>
      <c r="CJ161" s="567"/>
      <c r="CK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567"/>
      <c r="BX162" s="567"/>
      <c r="BY162" s="567"/>
      <c r="BZ162" s="567"/>
      <c r="CA162" s="567"/>
      <c r="CB162" s="567"/>
      <c r="CC162" s="567"/>
      <c r="CD162" s="567"/>
      <c r="CE162" s="567"/>
      <c r="CF162" s="567"/>
      <c r="CG162" s="567"/>
      <c r="CH162" s="567"/>
      <c r="CI162" s="567"/>
      <c r="CJ162" s="567"/>
      <c r="CK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  <c r="BW163" s="567"/>
      <c r="BX163" s="567"/>
      <c r="BY163" s="567"/>
      <c r="BZ163" s="567"/>
      <c r="CA163" s="567"/>
      <c r="CB163" s="567"/>
      <c r="CC163" s="567"/>
      <c r="CD163" s="567"/>
      <c r="CE163" s="567"/>
      <c r="CF163" s="567"/>
      <c r="CG163" s="567"/>
      <c r="CH163" s="567"/>
      <c r="CI163" s="567"/>
      <c r="CJ163" s="567"/>
      <c r="CK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  <c r="BW164" s="567"/>
      <c r="BX164" s="567"/>
      <c r="BY164" s="567"/>
      <c r="BZ164" s="567"/>
      <c r="CA164" s="567"/>
      <c r="CB164" s="567"/>
      <c r="CC164" s="567"/>
      <c r="CD164" s="567"/>
      <c r="CE164" s="567"/>
      <c r="CF164" s="567"/>
      <c r="CG164" s="567"/>
      <c r="CH164" s="567"/>
      <c r="CI164" s="567"/>
      <c r="CJ164" s="567"/>
      <c r="CK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  <c r="BW165" s="567"/>
      <c r="BX165" s="567"/>
      <c r="BY165" s="567"/>
      <c r="BZ165" s="567"/>
      <c r="CA165" s="567"/>
      <c r="CB165" s="567"/>
      <c r="CC165" s="567"/>
      <c r="CD165" s="567"/>
      <c r="CE165" s="567"/>
      <c r="CF165" s="567"/>
      <c r="CG165" s="567"/>
      <c r="CH165" s="567"/>
      <c r="CI165" s="567"/>
      <c r="CJ165" s="567"/>
      <c r="CK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  <c r="BW166" s="567"/>
      <c r="BX166" s="567"/>
      <c r="BY166" s="567"/>
      <c r="BZ166" s="567"/>
      <c r="CA166" s="567"/>
      <c r="CB166" s="567"/>
      <c r="CC166" s="567"/>
      <c r="CD166" s="567"/>
      <c r="CE166" s="567"/>
      <c r="CF166" s="567"/>
      <c r="CG166" s="567"/>
      <c r="CH166" s="567"/>
      <c r="CI166" s="567"/>
      <c r="CJ166" s="567"/>
      <c r="CK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  <c r="BW167" s="567"/>
      <c r="BX167" s="567"/>
      <c r="BY167" s="567"/>
      <c r="BZ167" s="567"/>
      <c r="CA167" s="567"/>
      <c r="CB167" s="567"/>
      <c r="CC167" s="567"/>
      <c r="CD167" s="567"/>
      <c r="CE167" s="567"/>
      <c r="CF167" s="567"/>
      <c r="CG167" s="567"/>
      <c r="CH167" s="567"/>
      <c r="CI167" s="567"/>
      <c r="CJ167" s="567"/>
      <c r="CK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  <c r="BW168" s="567"/>
      <c r="BX168" s="567"/>
      <c r="BY168" s="567"/>
      <c r="BZ168" s="567"/>
      <c r="CA168" s="567"/>
      <c r="CB168" s="567"/>
      <c r="CC168" s="567"/>
      <c r="CD168" s="567"/>
      <c r="CE168" s="567"/>
      <c r="CF168" s="567"/>
      <c r="CG168" s="567"/>
      <c r="CH168" s="567"/>
      <c r="CI168" s="567"/>
      <c r="CJ168" s="567"/>
      <c r="CK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  <c r="BW169" s="567"/>
      <c r="BX169" s="567"/>
      <c r="BY169" s="567"/>
      <c r="BZ169" s="567"/>
      <c r="CA169" s="567"/>
      <c r="CB169" s="567"/>
      <c r="CC169" s="567"/>
      <c r="CD169" s="567"/>
      <c r="CE169" s="567"/>
      <c r="CF169" s="567"/>
      <c r="CG169" s="567"/>
      <c r="CH169" s="567"/>
      <c r="CI169" s="567"/>
      <c r="CJ169" s="567"/>
      <c r="CK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  <c r="BW170" s="567"/>
      <c r="BX170" s="567"/>
      <c r="BY170" s="567"/>
      <c r="BZ170" s="567"/>
      <c r="CA170" s="567"/>
      <c r="CB170" s="567"/>
      <c r="CC170" s="567"/>
      <c r="CD170" s="567"/>
      <c r="CE170" s="567"/>
      <c r="CF170" s="567"/>
      <c r="CG170" s="567"/>
      <c r="CH170" s="567"/>
      <c r="CI170" s="567"/>
      <c r="CJ170" s="567"/>
      <c r="CK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  <c r="BW171" s="567"/>
      <c r="BX171" s="567"/>
      <c r="BY171" s="567"/>
      <c r="BZ171" s="567"/>
      <c r="CA171" s="567"/>
      <c r="CB171" s="567"/>
      <c r="CC171" s="567"/>
      <c r="CD171" s="567"/>
      <c r="CE171" s="567"/>
      <c r="CF171" s="567"/>
      <c r="CG171" s="567"/>
      <c r="CH171" s="567"/>
      <c r="CI171" s="567"/>
      <c r="CJ171" s="567"/>
      <c r="CK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  <c r="BW172" s="567"/>
      <c r="BX172" s="567"/>
      <c r="BY172" s="567"/>
      <c r="BZ172" s="567"/>
      <c r="CA172" s="567"/>
      <c r="CB172" s="567"/>
      <c r="CC172" s="567"/>
      <c r="CD172" s="567"/>
      <c r="CE172" s="567"/>
      <c r="CF172" s="567"/>
      <c r="CG172" s="567"/>
      <c r="CH172" s="567"/>
      <c r="CI172" s="567"/>
      <c r="CJ172" s="567"/>
      <c r="CK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  <c r="BW173" s="567"/>
      <c r="BX173" s="567"/>
      <c r="BY173" s="567"/>
      <c r="BZ173" s="567"/>
      <c r="CA173" s="567"/>
      <c r="CB173" s="567"/>
      <c r="CC173" s="567"/>
      <c r="CD173" s="567"/>
      <c r="CE173" s="567"/>
      <c r="CF173" s="567"/>
      <c r="CG173" s="567"/>
      <c r="CH173" s="567"/>
      <c r="CI173" s="567"/>
      <c r="CJ173" s="567"/>
      <c r="CK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  <c r="BW174" s="567"/>
      <c r="BX174" s="567"/>
      <c r="BY174" s="567"/>
      <c r="BZ174" s="567"/>
      <c r="CA174" s="567"/>
      <c r="CB174" s="567"/>
      <c r="CC174" s="567"/>
      <c r="CD174" s="567"/>
      <c r="CE174" s="567"/>
      <c r="CF174" s="567"/>
      <c r="CG174" s="567"/>
      <c r="CH174" s="567"/>
      <c r="CI174" s="567"/>
      <c r="CJ174" s="567"/>
      <c r="CK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  <c r="BW175" s="567"/>
      <c r="BX175" s="567"/>
      <c r="BY175" s="567"/>
      <c r="BZ175" s="567"/>
      <c r="CA175" s="567"/>
      <c r="CB175" s="567"/>
      <c r="CC175" s="567"/>
      <c r="CD175" s="567"/>
      <c r="CE175" s="567"/>
      <c r="CF175" s="567"/>
      <c r="CG175" s="567"/>
      <c r="CH175" s="567"/>
      <c r="CI175" s="567"/>
      <c r="CJ175" s="567"/>
      <c r="CK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  <c r="BW176" s="567"/>
      <c r="BX176" s="567"/>
      <c r="BY176" s="567"/>
      <c r="BZ176" s="567"/>
      <c r="CA176" s="567"/>
      <c r="CB176" s="567"/>
      <c r="CC176" s="567"/>
      <c r="CD176" s="567"/>
      <c r="CE176" s="567"/>
      <c r="CF176" s="567"/>
      <c r="CG176" s="567"/>
      <c r="CH176" s="567"/>
      <c r="CI176" s="567"/>
      <c r="CJ176" s="567"/>
      <c r="CK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  <c r="BW177" s="567"/>
      <c r="BX177" s="567"/>
      <c r="BY177" s="567"/>
      <c r="BZ177" s="567"/>
      <c r="CA177" s="567"/>
      <c r="CB177" s="567"/>
      <c r="CC177" s="567"/>
      <c r="CD177" s="567"/>
      <c r="CE177" s="567"/>
      <c r="CF177" s="567"/>
      <c r="CG177" s="567"/>
      <c r="CH177" s="567"/>
      <c r="CI177" s="567"/>
      <c r="CJ177" s="567"/>
      <c r="CK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  <c r="BW178" s="567"/>
      <c r="BX178" s="567"/>
      <c r="BY178" s="567"/>
      <c r="BZ178" s="567"/>
      <c r="CA178" s="567"/>
      <c r="CB178" s="567"/>
      <c r="CC178" s="567"/>
      <c r="CD178" s="567"/>
      <c r="CE178" s="567"/>
      <c r="CF178" s="567"/>
      <c r="CG178" s="567"/>
      <c r="CH178" s="567"/>
      <c r="CI178" s="567"/>
      <c r="CJ178" s="567"/>
      <c r="CK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  <c r="BW179" s="567"/>
      <c r="BX179" s="567"/>
      <c r="BY179" s="567"/>
      <c r="BZ179" s="567"/>
      <c r="CA179" s="567"/>
      <c r="CB179" s="567"/>
      <c r="CC179" s="567"/>
      <c r="CD179" s="567"/>
      <c r="CE179" s="567"/>
      <c r="CF179" s="567"/>
      <c r="CG179" s="567"/>
      <c r="CH179" s="567"/>
      <c r="CI179" s="567"/>
      <c r="CJ179" s="567"/>
      <c r="CK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  <c r="BW180" s="567"/>
      <c r="BX180" s="567"/>
      <c r="BY180" s="567"/>
      <c r="BZ180" s="567"/>
      <c r="CA180" s="567"/>
      <c r="CB180" s="567"/>
      <c r="CC180" s="567"/>
      <c r="CD180" s="567"/>
      <c r="CE180" s="567"/>
      <c r="CF180" s="567"/>
      <c r="CG180" s="567"/>
      <c r="CH180" s="567"/>
      <c r="CI180" s="567"/>
      <c r="CJ180" s="567"/>
      <c r="CK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  <c r="BW181" s="567"/>
      <c r="BX181" s="567"/>
      <c r="BY181" s="567"/>
      <c r="BZ181" s="567"/>
      <c r="CA181" s="567"/>
      <c r="CB181" s="567"/>
      <c r="CC181" s="567"/>
      <c r="CD181" s="567"/>
      <c r="CE181" s="567"/>
      <c r="CF181" s="567"/>
      <c r="CG181" s="567"/>
      <c r="CH181" s="567"/>
      <c r="CI181" s="567"/>
      <c r="CJ181" s="567"/>
      <c r="CK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  <c r="BW182" s="567"/>
      <c r="BX182" s="567"/>
      <c r="BY182" s="567"/>
      <c r="BZ182" s="567"/>
      <c r="CA182" s="567"/>
      <c r="CB182" s="567"/>
      <c r="CC182" s="567"/>
      <c r="CD182" s="567"/>
      <c r="CE182" s="567"/>
      <c r="CF182" s="567"/>
      <c r="CG182" s="567"/>
      <c r="CH182" s="567"/>
      <c r="CI182" s="567"/>
      <c r="CJ182" s="567"/>
      <c r="CK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  <c r="BW183" s="567"/>
      <c r="BX183" s="567"/>
      <c r="BY183" s="567"/>
      <c r="BZ183" s="567"/>
      <c r="CA183" s="567"/>
      <c r="CB183" s="567"/>
      <c r="CC183" s="567"/>
      <c r="CD183" s="567"/>
      <c r="CE183" s="567"/>
      <c r="CF183" s="567"/>
      <c r="CG183" s="567"/>
      <c r="CH183" s="567"/>
      <c r="CI183" s="567"/>
      <c r="CJ183" s="567"/>
      <c r="CK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  <c r="BW184" s="567"/>
      <c r="BX184" s="567"/>
      <c r="BY184" s="567"/>
      <c r="BZ184" s="567"/>
      <c r="CA184" s="567"/>
      <c r="CB184" s="567"/>
      <c r="CC184" s="567"/>
      <c r="CD184" s="567"/>
      <c r="CE184" s="567"/>
      <c r="CF184" s="567"/>
      <c r="CG184" s="567"/>
      <c r="CH184" s="567"/>
      <c r="CI184" s="567"/>
      <c r="CJ184" s="567"/>
      <c r="CK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  <c r="BW185" s="567"/>
      <c r="BX185" s="567"/>
      <c r="BY185" s="567"/>
      <c r="BZ185" s="567"/>
      <c r="CA185" s="567"/>
      <c r="CB185" s="567"/>
      <c r="CC185" s="567"/>
      <c r="CD185" s="567"/>
      <c r="CE185" s="567"/>
      <c r="CF185" s="567"/>
      <c r="CG185" s="567"/>
      <c r="CH185" s="567"/>
      <c r="CI185" s="567"/>
      <c r="CJ185" s="567"/>
      <c r="CK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  <c r="BW186" s="567"/>
      <c r="BX186" s="567"/>
      <c r="BY186" s="567"/>
      <c r="BZ186" s="567"/>
      <c r="CA186" s="567"/>
      <c r="CB186" s="567"/>
      <c r="CC186" s="567"/>
      <c r="CD186" s="567"/>
      <c r="CE186" s="567"/>
      <c r="CF186" s="567"/>
      <c r="CG186" s="567"/>
      <c r="CH186" s="567"/>
      <c r="CI186" s="567"/>
      <c r="CJ186" s="567"/>
      <c r="CK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  <c r="BW187" s="567"/>
      <c r="BX187" s="567"/>
      <c r="BY187" s="567"/>
      <c r="BZ187" s="567"/>
      <c r="CA187" s="567"/>
      <c r="CB187" s="567"/>
      <c r="CC187" s="567"/>
      <c r="CD187" s="567"/>
      <c r="CE187" s="567"/>
      <c r="CF187" s="567"/>
      <c r="CG187" s="567"/>
      <c r="CH187" s="567"/>
      <c r="CI187" s="567"/>
      <c r="CJ187" s="567"/>
      <c r="CK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  <c r="BW188" s="567"/>
      <c r="BX188" s="567"/>
      <c r="BY188" s="567"/>
      <c r="BZ188" s="567"/>
      <c r="CA188" s="567"/>
      <c r="CB188" s="567"/>
      <c r="CC188" s="567"/>
      <c r="CD188" s="567"/>
      <c r="CE188" s="567"/>
      <c r="CF188" s="567"/>
      <c r="CG188" s="567"/>
      <c r="CH188" s="567"/>
      <c r="CI188" s="567"/>
      <c r="CJ188" s="567"/>
      <c r="CK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  <c r="BW189" s="567"/>
      <c r="BX189" s="567"/>
      <c r="BY189" s="567"/>
      <c r="BZ189" s="567"/>
      <c r="CA189" s="567"/>
      <c r="CB189" s="567"/>
      <c r="CC189" s="567"/>
      <c r="CD189" s="567"/>
      <c r="CE189" s="567"/>
      <c r="CF189" s="567"/>
      <c r="CG189" s="567"/>
      <c r="CH189" s="567"/>
      <c r="CI189" s="567"/>
      <c r="CJ189" s="567"/>
      <c r="CK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  <c r="BW190" s="567"/>
      <c r="BX190" s="567"/>
      <c r="BY190" s="567"/>
      <c r="BZ190" s="567"/>
      <c r="CA190" s="567"/>
      <c r="CB190" s="567"/>
      <c r="CC190" s="567"/>
      <c r="CD190" s="567"/>
      <c r="CE190" s="567"/>
      <c r="CF190" s="567"/>
      <c r="CG190" s="567"/>
      <c r="CH190" s="567"/>
      <c r="CI190" s="567"/>
      <c r="CJ190" s="567"/>
      <c r="CK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  <c r="BW191" s="567"/>
      <c r="BX191" s="567"/>
      <c r="BY191" s="567"/>
      <c r="BZ191" s="567"/>
      <c r="CA191" s="567"/>
      <c r="CB191" s="567"/>
      <c r="CC191" s="567"/>
      <c r="CD191" s="567"/>
      <c r="CE191" s="567"/>
      <c r="CF191" s="567"/>
      <c r="CG191" s="567"/>
      <c r="CH191" s="567"/>
      <c r="CI191" s="567"/>
      <c r="CJ191" s="567"/>
      <c r="CK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567"/>
      <c r="BZ192" s="567"/>
      <c r="CA192" s="567"/>
      <c r="CB192" s="567"/>
      <c r="CC192" s="567"/>
      <c r="CD192" s="567"/>
      <c r="CE192" s="567"/>
      <c r="CF192" s="567"/>
      <c r="CG192" s="567"/>
      <c r="CH192" s="567"/>
      <c r="CI192" s="567"/>
      <c r="CJ192" s="567"/>
      <c r="CK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  <c r="BW193" s="567"/>
      <c r="BX193" s="567"/>
      <c r="BY193" s="567"/>
      <c r="BZ193" s="567"/>
      <c r="CA193" s="567"/>
      <c r="CB193" s="567"/>
      <c r="CC193" s="567"/>
      <c r="CD193" s="567"/>
      <c r="CE193" s="567"/>
      <c r="CF193" s="567"/>
      <c r="CG193" s="567"/>
      <c r="CH193" s="567"/>
      <c r="CI193" s="567"/>
      <c r="CJ193" s="567"/>
      <c r="CK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  <c r="BW194" s="567"/>
      <c r="BX194" s="567"/>
      <c r="BY194" s="567"/>
      <c r="BZ194" s="567"/>
      <c r="CA194" s="567"/>
      <c r="CB194" s="567"/>
      <c r="CC194" s="567"/>
      <c r="CD194" s="567"/>
      <c r="CE194" s="567"/>
      <c r="CF194" s="567"/>
      <c r="CG194" s="567"/>
      <c r="CH194" s="567"/>
      <c r="CI194" s="567"/>
      <c r="CJ194" s="567"/>
      <c r="CK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  <c r="BW195" s="567"/>
      <c r="BX195" s="567"/>
      <c r="BY195" s="567"/>
      <c r="BZ195" s="567"/>
      <c r="CA195" s="567"/>
      <c r="CB195" s="567"/>
      <c r="CC195" s="567"/>
      <c r="CD195" s="567"/>
      <c r="CE195" s="567"/>
      <c r="CF195" s="567"/>
      <c r="CG195" s="567"/>
      <c r="CH195" s="567"/>
      <c r="CI195" s="567"/>
      <c r="CJ195" s="567"/>
      <c r="CK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  <c r="BW196" s="567"/>
      <c r="BX196" s="567"/>
      <c r="BY196" s="567"/>
      <c r="BZ196" s="567"/>
      <c r="CA196" s="567"/>
      <c r="CB196" s="567"/>
      <c r="CC196" s="567"/>
      <c r="CD196" s="567"/>
      <c r="CE196" s="567"/>
      <c r="CF196" s="567"/>
      <c r="CG196" s="567"/>
      <c r="CH196" s="567"/>
      <c r="CI196" s="567"/>
      <c r="CJ196" s="567"/>
      <c r="CK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  <c r="BW197" s="567"/>
      <c r="BX197" s="567"/>
      <c r="BY197" s="567"/>
      <c r="BZ197" s="567"/>
      <c r="CA197" s="567"/>
      <c r="CB197" s="567"/>
      <c r="CC197" s="567"/>
      <c r="CD197" s="567"/>
      <c r="CE197" s="567"/>
      <c r="CF197" s="567"/>
      <c r="CG197" s="567"/>
      <c r="CH197" s="567"/>
      <c r="CI197" s="567"/>
      <c r="CJ197" s="567"/>
      <c r="CK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  <c r="BW198" s="567"/>
      <c r="BX198" s="567"/>
      <c r="BY198" s="567"/>
      <c r="BZ198" s="567"/>
      <c r="CA198" s="567"/>
      <c r="CB198" s="567"/>
      <c r="CC198" s="567"/>
      <c r="CD198" s="567"/>
      <c r="CE198" s="567"/>
      <c r="CF198" s="567"/>
      <c r="CG198" s="567"/>
      <c r="CH198" s="567"/>
      <c r="CI198" s="567"/>
      <c r="CJ198" s="567"/>
      <c r="CK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  <c r="BW199" s="567"/>
      <c r="BX199" s="567"/>
      <c r="BY199" s="567"/>
      <c r="BZ199" s="567"/>
      <c r="CA199" s="567"/>
      <c r="CB199" s="567"/>
      <c r="CC199" s="567"/>
      <c r="CD199" s="567"/>
      <c r="CE199" s="567"/>
      <c r="CF199" s="567"/>
      <c r="CG199" s="567"/>
      <c r="CH199" s="567"/>
      <c r="CI199" s="567"/>
      <c r="CJ199" s="567"/>
      <c r="CK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  <c r="BW200" s="567"/>
      <c r="BX200" s="567"/>
      <c r="BY200" s="567"/>
      <c r="BZ200" s="567"/>
      <c r="CA200" s="567"/>
      <c r="CB200" s="567"/>
      <c r="CC200" s="567"/>
      <c r="CD200" s="567"/>
      <c r="CE200" s="567"/>
      <c r="CF200" s="567"/>
      <c r="CG200" s="567"/>
      <c r="CH200" s="567"/>
      <c r="CI200" s="567"/>
      <c r="CJ200" s="567"/>
      <c r="CK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  <c r="BW201" s="567"/>
      <c r="BX201" s="567"/>
      <c r="BY201" s="567"/>
      <c r="BZ201" s="567"/>
      <c r="CA201" s="567"/>
      <c r="CB201" s="567"/>
      <c r="CC201" s="567"/>
      <c r="CD201" s="567"/>
      <c r="CE201" s="567"/>
      <c r="CF201" s="567"/>
      <c r="CG201" s="567"/>
      <c r="CH201" s="567"/>
      <c r="CI201" s="567"/>
      <c r="CJ201" s="567"/>
      <c r="CK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  <c r="BW202" s="567"/>
      <c r="BX202" s="567"/>
      <c r="BY202" s="567"/>
      <c r="BZ202" s="567"/>
      <c r="CA202" s="567"/>
      <c r="CB202" s="567"/>
      <c r="CC202" s="567"/>
      <c r="CD202" s="567"/>
      <c r="CE202" s="567"/>
      <c r="CF202" s="567"/>
      <c r="CG202" s="567"/>
      <c r="CH202" s="567"/>
      <c r="CI202" s="567"/>
      <c r="CJ202" s="567"/>
      <c r="CK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  <c r="BW203" s="567"/>
      <c r="BX203" s="567"/>
      <c r="BY203" s="567"/>
      <c r="BZ203" s="567"/>
      <c r="CA203" s="567"/>
      <c r="CB203" s="567"/>
      <c r="CC203" s="567"/>
      <c r="CD203" s="567"/>
      <c r="CE203" s="567"/>
      <c r="CF203" s="567"/>
      <c r="CG203" s="567"/>
      <c r="CH203" s="567"/>
      <c r="CI203" s="567"/>
      <c r="CJ203" s="567"/>
      <c r="CK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  <c r="BW204" s="567"/>
      <c r="BX204" s="567"/>
      <c r="BY204" s="567"/>
      <c r="BZ204" s="567"/>
      <c r="CA204" s="567"/>
      <c r="CB204" s="567"/>
      <c r="CC204" s="567"/>
      <c r="CD204" s="567"/>
      <c r="CE204" s="567"/>
      <c r="CF204" s="567"/>
      <c r="CG204" s="567"/>
      <c r="CH204" s="567"/>
      <c r="CI204" s="567"/>
      <c r="CJ204" s="567"/>
      <c r="CK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  <c r="BW205" s="567"/>
      <c r="BX205" s="567"/>
      <c r="BY205" s="567"/>
      <c r="BZ205" s="567"/>
      <c r="CA205" s="567"/>
      <c r="CB205" s="567"/>
      <c r="CC205" s="567"/>
      <c r="CD205" s="567"/>
      <c r="CE205" s="567"/>
      <c r="CF205" s="567"/>
      <c r="CG205" s="567"/>
      <c r="CH205" s="567"/>
      <c r="CI205" s="567"/>
      <c r="CJ205" s="567"/>
      <c r="CK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  <c r="BW206" s="567"/>
      <c r="BX206" s="567"/>
      <c r="BY206" s="567"/>
      <c r="BZ206" s="567"/>
      <c r="CA206" s="567"/>
      <c r="CB206" s="567"/>
      <c r="CC206" s="567"/>
      <c r="CD206" s="567"/>
      <c r="CE206" s="567"/>
      <c r="CF206" s="567"/>
      <c r="CG206" s="567"/>
      <c r="CH206" s="567"/>
      <c r="CI206" s="567"/>
      <c r="CJ206" s="567"/>
      <c r="CK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  <c r="BW207" s="567"/>
      <c r="BX207" s="567"/>
      <c r="BY207" s="567"/>
      <c r="BZ207" s="567"/>
      <c r="CA207" s="567"/>
      <c r="CB207" s="567"/>
      <c r="CC207" s="567"/>
      <c r="CD207" s="567"/>
      <c r="CE207" s="567"/>
      <c r="CF207" s="567"/>
      <c r="CG207" s="567"/>
      <c r="CH207" s="567"/>
      <c r="CI207" s="567"/>
      <c r="CJ207" s="567"/>
      <c r="CK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  <c r="BW208" s="567"/>
      <c r="BX208" s="567"/>
      <c r="BY208" s="567"/>
      <c r="BZ208" s="567"/>
      <c r="CA208" s="567"/>
      <c r="CB208" s="567"/>
      <c r="CC208" s="567"/>
      <c r="CD208" s="567"/>
      <c r="CE208" s="567"/>
      <c r="CF208" s="567"/>
      <c r="CG208" s="567"/>
      <c r="CH208" s="567"/>
      <c r="CI208" s="567"/>
      <c r="CJ208" s="567"/>
      <c r="CK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  <c r="BW209" s="567"/>
      <c r="BX209" s="567"/>
      <c r="BY209" s="567"/>
      <c r="BZ209" s="567"/>
      <c r="CA209" s="567"/>
      <c r="CB209" s="567"/>
      <c r="CC209" s="567"/>
      <c r="CD209" s="567"/>
      <c r="CE209" s="567"/>
      <c r="CF209" s="567"/>
      <c r="CG209" s="567"/>
      <c r="CH209" s="567"/>
      <c r="CI209" s="567"/>
      <c r="CJ209" s="567"/>
      <c r="CK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  <c r="BW210" s="567"/>
      <c r="BX210" s="567"/>
      <c r="BY210" s="567"/>
      <c r="BZ210" s="567"/>
      <c r="CA210" s="567"/>
      <c r="CB210" s="567"/>
      <c r="CC210" s="567"/>
      <c r="CD210" s="567"/>
      <c r="CE210" s="567"/>
      <c r="CF210" s="567"/>
      <c r="CG210" s="567"/>
      <c r="CH210" s="567"/>
      <c r="CI210" s="567"/>
      <c r="CJ210" s="567"/>
      <c r="CK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  <c r="BW211" s="567"/>
      <c r="BX211" s="567"/>
      <c r="BY211" s="567"/>
      <c r="BZ211" s="567"/>
      <c r="CA211" s="567"/>
      <c r="CB211" s="567"/>
      <c r="CC211" s="567"/>
      <c r="CD211" s="567"/>
      <c r="CE211" s="567"/>
      <c r="CF211" s="567"/>
      <c r="CG211" s="567"/>
      <c r="CH211" s="567"/>
      <c r="CI211" s="567"/>
      <c r="CJ211" s="567"/>
      <c r="CK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  <c r="BW212" s="567"/>
      <c r="BX212" s="567"/>
      <c r="BY212" s="567"/>
      <c r="BZ212" s="567"/>
      <c r="CA212" s="567"/>
      <c r="CB212" s="567"/>
      <c r="CC212" s="567"/>
      <c r="CD212" s="567"/>
      <c r="CE212" s="567"/>
      <c r="CF212" s="567"/>
      <c r="CG212" s="567"/>
      <c r="CH212" s="567"/>
      <c r="CI212" s="567"/>
      <c r="CJ212" s="567"/>
      <c r="CK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  <c r="BW213" s="567"/>
      <c r="BX213" s="567"/>
      <c r="BY213" s="567"/>
      <c r="BZ213" s="567"/>
      <c r="CA213" s="567"/>
      <c r="CB213" s="567"/>
      <c r="CC213" s="567"/>
      <c r="CD213" s="567"/>
      <c r="CE213" s="567"/>
      <c r="CF213" s="567"/>
      <c r="CG213" s="567"/>
      <c r="CH213" s="567"/>
      <c r="CI213" s="567"/>
      <c r="CJ213" s="567"/>
      <c r="CK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  <c r="BW214" s="567"/>
      <c r="BX214" s="567"/>
      <c r="BY214" s="567"/>
      <c r="BZ214" s="567"/>
      <c r="CA214" s="567"/>
      <c r="CB214" s="567"/>
      <c r="CC214" s="567"/>
      <c r="CD214" s="567"/>
      <c r="CE214" s="567"/>
      <c r="CF214" s="567"/>
      <c r="CG214" s="567"/>
      <c r="CH214" s="567"/>
      <c r="CI214" s="567"/>
      <c r="CJ214" s="567"/>
      <c r="CK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  <c r="BW215" s="567"/>
      <c r="BX215" s="567"/>
      <c r="BY215" s="567"/>
      <c r="BZ215" s="567"/>
      <c r="CA215" s="567"/>
      <c r="CB215" s="567"/>
      <c r="CC215" s="567"/>
      <c r="CD215" s="567"/>
      <c r="CE215" s="567"/>
      <c r="CF215" s="567"/>
      <c r="CG215" s="567"/>
      <c r="CH215" s="567"/>
      <c r="CI215" s="567"/>
      <c r="CJ215" s="567"/>
      <c r="CK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  <c r="BW216" s="567"/>
      <c r="BX216" s="567"/>
      <c r="BY216" s="567"/>
      <c r="BZ216" s="567"/>
      <c r="CA216" s="567"/>
      <c r="CB216" s="567"/>
      <c r="CC216" s="567"/>
      <c r="CD216" s="567"/>
      <c r="CE216" s="567"/>
      <c r="CF216" s="567"/>
      <c r="CG216" s="567"/>
      <c r="CH216" s="567"/>
      <c r="CI216" s="567"/>
      <c r="CJ216" s="567"/>
      <c r="CK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  <c r="BW217" s="567"/>
      <c r="BX217" s="567"/>
      <c r="BY217" s="567"/>
      <c r="BZ217" s="567"/>
      <c r="CA217" s="567"/>
      <c r="CB217" s="567"/>
      <c r="CC217" s="567"/>
      <c r="CD217" s="567"/>
      <c r="CE217" s="567"/>
      <c r="CF217" s="567"/>
      <c r="CG217" s="567"/>
      <c r="CH217" s="567"/>
      <c r="CI217" s="567"/>
      <c r="CJ217" s="567"/>
      <c r="CK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  <c r="BW218" s="567"/>
      <c r="BX218" s="567"/>
      <c r="BY218" s="567"/>
      <c r="BZ218" s="567"/>
      <c r="CA218" s="567"/>
      <c r="CB218" s="567"/>
      <c r="CC218" s="567"/>
      <c r="CD218" s="567"/>
      <c r="CE218" s="567"/>
      <c r="CF218" s="567"/>
      <c r="CG218" s="567"/>
      <c r="CH218" s="567"/>
      <c r="CI218" s="567"/>
      <c r="CJ218" s="567"/>
      <c r="CK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  <c r="BW219" s="567"/>
      <c r="BX219" s="567"/>
      <c r="BY219" s="567"/>
      <c r="BZ219" s="567"/>
      <c r="CA219" s="567"/>
      <c r="CB219" s="567"/>
      <c r="CC219" s="567"/>
      <c r="CD219" s="567"/>
      <c r="CE219" s="567"/>
      <c r="CF219" s="567"/>
      <c r="CG219" s="567"/>
      <c r="CH219" s="567"/>
      <c r="CI219" s="567"/>
      <c r="CJ219" s="567"/>
      <c r="CK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  <c r="BW220" s="567"/>
      <c r="BX220" s="567"/>
      <c r="BY220" s="567"/>
      <c r="BZ220" s="567"/>
      <c r="CA220" s="567"/>
      <c r="CB220" s="567"/>
      <c r="CC220" s="567"/>
      <c r="CD220" s="567"/>
      <c r="CE220" s="567"/>
      <c r="CF220" s="567"/>
      <c r="CG220" s="567"/>
      <c r="CH220" s="567"/>
      <c r="CI220" s="567"/>
      <c r="CJ220" s="567"/>
      <c r="CK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  <c r="BW221" s="567"/>
      <c r="BX221" s="567"/>
      <c r="BY221" s="567"/>
      <c r="BZ221" s="567"/>
      <c r="CA221" s="567"/>
      <c r="CB221" s="567"/>
      <c r="CC221" s="567"/>
      <c r="CD221" s="567"/>
      <c r="CE221" s="567"/>
      <c r="CF221" s="567"/>
      <c r="CG221" s="567"/>
      <c r="CH221" s="567"/>
      <c r="CI221" s="567"/>
      <c r="CJ221" s="567"/>
      <c r="CK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  <c r="BW222" s="567"/>
      <c r="BX222" s="567"/>
      <c r="BY222" s="567"/>
      <c r="BZ222" s="567"/>
      <c r="CA222" s="567"/>
      <c r="CB222" s="567"/>
      <c r="CC222" s="567"/>
      <c r="CD222" s="567"/>
      <c r="CE222" s="567"/>
      <c r="CF222" s="567"/>
      <c r="CG222" s="567"/>
      <c r="CH222" s="567"/>
      <c r="CI222" s="567"/>
      <c r="CJ222" s="567"/>
      <c r="CK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  <c r="BW223" s="567"/>
      <c r="BX223" s="567"/>
      <c r="BY223" s="567"/>
      <c r="BZ223" s="567"/>
      <c r="CA223" s="567"/>
      <c r="CB223" s="567"/>
      <c r="CC223" s="567"/>
      <c r="CD223" s="567"/>
      <c r="CE223" s="567"/>
      <c r="CF223" s="567"/>
      <c r="CG223" s="567"/>
      <c r="CH223" s="567"/>
      <c r="CI223" s="567"/>
      <c r="CJ223" s="567"/>
      <c r="CK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  <c r="BW224" s="567"/>
      <c r="BX224" s="567"/>
      <c r="BY224" s="567"/>
      <c r="BZ224" s="567"/>
      <c r="CA224" s="567"/>
      <c r="CB224" s="567"/>
      <c r="CC224" s="567"/>
      <c r="CD224" s="567"/>
      <c r="CE224" s="567"/>
      <c r="CF224" s="567"/>
      <c r="CG224" s="567"/>
      <c r="CH224" s="567"/>
      <c r="CI224" s="567"/>
      <c r="CJ224" s="567"/>
      <c r="CK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  <c r="BW225" s="567"/>
      <c r="BX225" s="567"/>
      <c r="BY225" s="567"/>
      <c r="BZ225" s="567"/>
      <c r="CA225" s="567"/>
      <c r="CB225" s="567"/>
      <c r="CC225" s="567"/>
      <c r="CD225" s="567"/>
      <c r="CE225" s="567"/>
      <c r="CF225" s="567"/>
      <c r="CG225" s="567"/>
      <c r="CH225" s="567"/>
      <c r="CI225" s="567"/>
      <c r="CJ225" s="567"/>
      <c r="CK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  <c r="BW226" s="567"/>
      <c r="BX226" s="567"/>
      <c r="BY226" s="567"/>
      <c r="BZ226" s="567"/>
      <c r="CA226" s="567"/>
      <c r="CB226" s="567"/>
      <c r="CC226" s="567"/>
      <c r="CD226" s="567"/>
      <c r="CE226" s="567"/>
      <c r="CF226" s="567"/>
      <c r="CG226" s="567"/>
      <c r="CH226" s="567"/>
      <c r="CI226" s="567"/>
      <c r="CJ226" s="567"/>
      <c r="CK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  <c r="BW227" s="567"/>
      <c r="BX227" s="567"/>
      <c r="BY227" s="567"/>
      <c r="BZ227" s="567"/>
      <c r="CA227" s="567"/>
      <c r="CB227" s="567"/>
      <c r="CC227" s="567"/>
      <c r="CD227" s="567"/>
      <c r="CE227" s="567"/>
      <c r="CF227" s="567"/>
      <c r="CG227" s="567"/>
      <c r="CH227" s="567"/>
      <c r="CI227" s="567"/>
      <c r="CJ227" s="567"/>
      <c r="CK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  <c r="BW228" s="567"/>
      <c r="BX228" s="567"/>
      <c r="BY228" s="567"/>
      <c r="BZ228" s="567"/>
      <c r="CA228" s="567"/>
      <c r="CB228" s="567"/>
      <c r="CC228" s="567"/>
      <c r="CD228" s="567"/>
      <c r="CE228" s="567"/>
      <c r="CF228" s="567"/>
      <c r="CG228" s="567"/>
      <c r="CH228" s="567"/>
      <c r="CI228" s="567"/>
      <c r="CJ228" s="567"/>
      <c r="CK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  <c r="BW229" s="567"/>
      <c r="BX229" s="567"/>
      <c r="BY229" s="567"/>
      <c r="BZ229" s="567"/>
      <c r="CA229" s="567"/>
      <c r="CB229" s="567"/>
      <c r="CC229" s="567"/>
      <c r="CD229" s="567"/>
      <c r="CE229" s="567"/>
      <c r="CF229" s="567"/>
      <c r="CG229" s="567"/>
      <c r="CH229" s="567"/>
      <c r="CI229" s="567"/>
      <c r="CJ229" s="567"/>
      <c r="CK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  <c r="BW230" s="567"/>
      <c r="BX230" s="567"/>
      <c r="BY230" s="567"/>
      <c r="BZ230" s="567"/>
      <c r="CA230" s="567"/>
      <c r="CB230" s="567"/>
      <c r="CC230" s="567"/>
      <c r="CD230" s="567"/>
      <c r="CE230" s="567"/>
      <c r="CF230" s="567"/>
      <c r="CG230" s="567"/>
      <c r="CH230" s="567"/>
      <c r="CI230" s="567"/>
      <c r="CJ230" s="567"/>
      <c r="CK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  <c r="BW231" s="567"/>
      <c r="BX231" s="567"/>
      <c r="BY231" s="567"/>
      <c r="BZ231" s="567"/>
      <c r="CA231" s="567"/>
      <c r="CB231" s="567"/>
      <c r="CC231" s="567"/>
      <c r="CD231" s="567"/>
      <c r="CE231" s="567"/>
      <c r="CF231" s="567"/>
      <c r="CG231" s="567"/>
      <c r="CH231" s="567"/>
      <c r="CI231" s="567"/>
      <c r="CJ231" s="567"/>
      <c r="CK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  <c r="BW232" s="567"/>
      <c r="BX232" s="567"/>
      <c r="BY232" s="567"/>
      <c r="BZ232" s="567"/>
      <c r="CA232" s="567"/>
      <c r="CB232" s="567"/>
      <c r="CC232" s="567"/>
      <c r="CD232" s="567"/>
      <c r="CE232" s="567"/>
      <c r="CF232" s="567"/>
      <c r="CG232" s="567"/>
      <c r="CH232" s="567"/>
      <c r="CI232" s="567"/>
      <c r="CJ232" s="567"/>
      <c r="CK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  <c r="BW233" s="567"/>
      <c r="BX233" s="567"/>
      <c r="BY233" s="567"/>
      <c r="BZ233" s="567"/>
      <c r="CA233" s="567"/>
      <c r="CB233" s="567"/>
      <c r="CC233" s="567"/>
      <c r="CD233" s="567"/>
      <c r="CE233" s="567"/>
      <c r="CF233" s="567"/>
      <c r="CG233" s="567"/>
      <c r="CH233" s="567"/>
      <c r="CI233" s="567"/>
      <c r="CJ233" s="567"/>
      <c r="CK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  <c r="BW234" s="567"/>
      <c r="BX234" s="567"/>
      <c r="BY234" s="567"/>
      <c r="BZ234" s="567"/>
      <c r="CA234" s="567"/>
      <c r="CB234" s="567"/>
      <c r="CC234" s="567"/>
      <c r="CD234" s="567"/>
      <c r="CE234" s="567"/>
      <c r="CF234" s="567"/>
      <c r="CG234" s="567"/>
      <c r="CH234" s="567"/>
      <c r="CI234" s="567"/>
      <c r="CJ234" s="567"/>
      <c r="CK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  <c r="BW235" s="567"/>
      <c r="BX235" s="567"/>
      <c r="BY235" s="567"/>
      <c r="BZ235" s="567"/>
      <c r="CA235" s="567"/>
      <c r="CB235" s="567"/>
      <c r="CC235" s="567"/>
      <c r="CD235" s="567"/>
      <c r="CE235" s="567"/>
      <c r="CF235" s="567"/>
      <c r="CG235" s="567"/>
      <c r="CH235" s="567"/>
      <c r="CI235" s="567"/>
      <c r="CJ235" s="567"/>
      <c r="CK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  <c r="BW236" s="567"/>
      <c r="BX236" s="567"/>
      <c r="BY236" s="567"/>
      <c r="BZ236" s="567"/>
      <c r="CA236" s="567"/>
      <c r="CB236" s="567"/>
      <c r="CC236" s="567"/>
      <c r="CD236" s="567"/>
      <c r="CE236" s="567"/>
      <c r="CF236" s="567"/>
      <c r="CG236" s="567"/>
      <c r="CH236" s="567"/>
      <c r="CI236" s="567"/>
      <c r="CJ236" s="567"/>
      <c r="CK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  <c r="BW237" s="567"/>
      <c r="BX237" s="567"/>
      <c r="BY237" s="567"/>
      <c r="BZ237" s="567"/>
      <c r="CA237" s="567"/>
      <c r="CB237" s="567"/>
      <c r="CC237" s="567"/>
      <c r="CD237" s="567"/>
      <c r="CE237" s="567"/>
      <c r="CF237" s="567"/>
      <c r="CG237" s="567"/>
      <c r="CH237" s="567"/>
      <c r="CI237" s="567"/>
      <c r="CJ237" s="567"/>
      <c r="CK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  <c r="BW238" s="567"/>
      <c r="BX238" s="567"/>
      <c r="BY238" s="567"/>
      <c r="BZ238" s="567"/>
      <c r="CA238" s="567"/>
      <c r="CB238" s="567"/>
      <c r="CC238" s="567"/>
      <c r="CD238" s="567"/>
      <c r="CE238" s="567"/>
      <c r="CF238" s="567"/>
      <c r="CG238" s="567"/>
      <c r="CH238" s="567"/>
      <c r="CI238" s="567"/>
      <c r="CJ238" s="567"/>
      <c r="CK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  <c r="BW239" s="567"/>
      <c r="BX239" s="567"/>
      <c r="BY239" s="567"/>
      <c r="BZ239" s="567"/>
      <c r="CA239" s="567"/>
      <c r="CB239" s="567"/>
      <c r="CC239" s="567"/>
      <c r="CD239" s="567"/>
      <c r="CE239" s="567"/>
      <c r="CF239" s="567"/>
      <c r="CG239" s="567"/>
      <c r="CH239" s="567"/>
      <c r="CI239" s="567"/>
      <c r="CJ239" s="567"/>
      <c r="CK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  <c r="BW240" s="567"/>
      <c r="BX240" s="567"/>
      <c r="BY240" s="567"/>
      <c r="BZ240" s="567"/>
      <c r="CA240" s="567"/>
      <c r="CB240" s="567"/>
      <c r="CC240" s="567"/>
      <c r="CD240" s="567"/>
      <c r="CE240" s="567"/>
      <c r="CF240" s="567"/>
      <c r="CG240" s="567"/>
      <c r="CH240" s="567"/>
      <c r="CI240" s="567"/>
      <c r="CJ240" s="567"/>
      <c r="CK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  <c r="BW241" s="567"/>
      <c r="BX241" s="567"/>
      <c r="BY241" s="567"/>
      <c r="BZ241" s="567"/>
      <c r="CA241" s="567"/>
      <c r="CB241" s="567"/>
      <c r="CC241" s="567"/>
      <c r="CD241" s="567"/>
      <c r="CE241" s="567"/>
      <c r="CF241" s="567"/>
      <c r="CG241" s="567"/>
      <c r="CH241" s="567"/>
      <c r="CI241" s="567"/>
      <c r="CJ241" s="567"/>
      <c r="CK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  <c r="BW242" s="567"/>
      <c r="BX242" s="567"/>
      <c r="BY242" s="567"/>
      <c r="BZ242" s="567"/>
      <c r="CA242" s="567"/>
      <c r="CB242" s="567"/>
      <c r="CC242" s="567"/>
      <c r="CD242" s="567"/>
      <c r="CE242" s="567"/>
      <c r="CF242" s="567"/>
      <c r="CG242" s="567"/>
      <c r="CH242" s="567"/>
      <c r="CI242" s="567"/>
      <c r="CJ242" s="567"/>
      <c r="CK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  <c r="BW243" s="567"/>
      <c r="BX243" s="567"/>
      <c r="BY243" s="567"/>
      <c r="BZ243" s="567"/>
      <c r="CA243" s="567"/>
      <c r="CB243" s="567"/>
      <c r="CC243" s="567"/>
      <c r="CD243" s="567"/>
      <c r="CE243" s="567"/>
      <c r="CF243" s="567"/>
      <c r="CG243" s="567"/>
      <c r="CH243" s="567"/>
      <c r="CI243" s="567"/>
      <c r="CJ243" s="567"/>
      <c r="CK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  <c r="BW244" s="567"/>
      <c r="BX244" s="567"/>
      <c r="BY244" s="567"/>
      <c r="BZ244" s="567"/>
      <c r="CA244" s="567"/>
      <c r="CB244" s="567"/>
      <c r="CC244" s="567"/>
      <c r="CD244" s="567"/>
      <c r="CE244" s="567"/>
      <c r="CF244" s="567"/>
      <c r="CG244" s="567"/>
      <c r="CH244" s="567"/>
      <c r="CI244" s="567"/>
      <c r="CJ244" s="567"/>
      <c r="CK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  <c r="BW245" s="567"/>
      <c r="BX245" s="567"/>
      <c r="BY245" s="567"/>
      <c r="BZ245" s="567"/>
      <c r="CA245" s="567"/>
      <c r="CB245" s="567"/>
      <c r="CC245" s="567"/>
      <c r="CD245" s="567"/>
      <c r="CE245" s="567"/>
      <c r="CF245" s="567"/>
      <c r="CG245" s="567"/>
      <c r="CH245" s="567"/>
      <c r="CI245" s="567"/>
      <c r="CJ245" s="567"/>
      <c r="CK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  <c r="BW246" s="567"/>
      <c r="BX246" s="567"/>
      <c r="BY246" s="567"/>
      <c r="BZ246" s="567"/>
      <c r="CA246" s="567"/>
      <c r="CB246" s="567"/>
      <c r="CC246" s="567"/>
      <c r="CD246" s="567"/>
      <c r="CE246" s="567"/>
      <c r="CF246" s="567"/>
      <c r="CG246" s="567"/>
      <c r="CH246" s="567"/>
      <c r="CI246" s="567"/>
      <c r="CJ246" s="567"/>
      <c r="CK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  <c r="BW247" s="567"/>
      <c r="BX247" s="567"/>
      <c r="BY247" s="567"/>
      <c r="BZ247" s="567"/>
      <c r="CA247" s="567"/>
      <c r="CB247" s="567"/>
      <c r="CC247" s="567"/>
      <c r="CD247" s="567"/>
      <c r="CE247" s="567"/>
      <c r="CF247" s="567"/>
      <c r="CG247" s="567"/>
      <c r="CH247" s="567"/>
      <c r="CI247" s="567"/>
      <c r="CJ247" s="567"/>
      <c r="CK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  <c r="BW248" s="567"/>
      <c r="BX248" s="567"/>
      <c r="BY248" s="567"/>
      <c r="BZ248" s="567"/>
      <c r="CA248" s="567"/>
      <c r="CB248" s="567"/>
      <c r="CC248" s="567"/>
      <c r="CD248" s="567"/>
      <c r="CE248" s="567"/>
      <c r="CF248" s="567"/>
      <c r="CG248" s="567"/>
      <c r="CH248" s="567"/>
      <c r="CI248" s="567"/>
      <c r="CJ248" s="567"/>
      <c r="CK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  <c r="BW249" s="567"/>
      <c r="BX249" s="567"/>
      <c r="BY249" s="567"/>
      <c r="BZ249" s="567"/>
      <c r="CA249" s="567"/>
      <c r="CB249" s="567"/>
      <c r="CC249" s="567"/>
      <c r="CD249" s="567"/>
      <c r="CE249" s="567"/>
      <c r="CF249" s="567"/>
      <c r="CG249" s="567"/>
      <c r="CH249" s="567"/>
      <c r="CI249" s="567"/>
      <c r="CJ249" s="567"/>
      <c r="CK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  <c r="BW250" s="567"/>
      <c r="BX250" s="567"/>
      <c r="BY250" s="567"/>
      <c r="BZ250" s="567"/>
      <c r="CA250" s="567"/>
      <c r="CB250" s="567"/>
      <c r="CC250" s="567"/>
      <c r="CD250" s="567"/>
      <c r="CE250" s="567"/>
      <c r="CF250" s="567"/>
      <c r="CG250" s="567"/>
      <c r="CH250" s="567"/>
      <c r="CI250" s="567"/>
      <c r="CJ250" s="567"/>
      <c r="CK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  <c r="BW251" s="567"/>
      <c r="BX251" s="567"/>
      <c r="BY251" s="567"/>
      <c r="BZ251" s="567"/>
      <c r="CA251" s="567"/>
      <c r="CB251" s="567"/>
      <c r="CC251" s="567"/>
      <c r="CD251" s="567"/>
      <c r="CE251" s="567"/>
      <c r="CF251" s="567"/>
      <c r="CG251" s="567"/>
      <c r="CH251" s="567"/>
      <c r="CI251" s="567"/>
      <c r="CJ251" s="567"/>
      <c r="CK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  <c r="BW252" s="567"/>
      <c r="BX252" s="567"/>
      <c r="BY252" s="567"/>
      <c r="BZ252" s="567"/>
      <c r="CA252" s="567"/>
      <c r="CB252" s="567"/>
      <c r="CC252" s="567"/>
      <c r="CD252" s="567"/>
      <c r="CE252" s="567"/>
      <c r="CF252" s="567"/>
      <c r="CG252" s="567"/>
      <c r="CH252" s="567"/>
      <c r="CI252" s="567"/>
      <c r="CJ252" s="567"/>
      <c r="CK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  <c r="BW254" s="567"/>
      <c r="BX254" s="567"/>
      <c r="BY254" s="567"/>
      <c r="BZ254" s="567"/>
      <c r="CA254" s="567"/>
      <c r="CB254" s="567"/>
      <c r="CC254" s="567"/>
      <c r="CD254" s="567"/>
      <c r="CE254" s="567"/>
      <c r="CF254" s="567"/>
      <c r="CG254" s="567"/>
      <c r="CH254" s="567"/>
      <c r="CI254" s="567"/>
      <c r="CJ254" s="567"/>
      <c r="CK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  <c r="BW255" s="567"/>
      <c r="BX255" s="567"/>
      <c r="BY255" s="567"/>
      <c r="BZ255" s="567"/>
      <c r="CA255" s="567"/>
      <c r="CB255" s="567"/>
      <c r="CC255" s="567"/>
      <c r="CD255" s="567"/>
      <c r="CE255" s="567"/>
      <c r="CF255" s="567"/>
      <c r="CG255" s="567"/>
      <c r="CH255" s="567"/>
      <c r="CI255" s="567"/>
      <c r="CJ255" s="567"/>
      <c r="CK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  <c r="BW256" s="567"/>
      <c r="BX256" s="567"/>
      <c r="BY256" s="567"/>
      <c r="BZ256" s="567"/>
      <c r="CA256" s="567"/>
      <c r="CB256" s="567"/>
      <c r="CC256" s="567"/>
      <c r="CD256" s="567"/>
      <c r="CE256" s="567"/>
      <c r="CF256" s="567"/>
      <c r="CG256" s="567"/>
      <c r="CH256" s="567"/>
      <c r="CI256" s="567"/>
      <c r="CJ256" s="567"/>
      <c r="CK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  <c r="BW257" s="567"/>
      <c r="BX257" s="567"/>
      <c r="BY257" s="567"/>
      <c r="BZ257" s="567"/>
      <c r="CA257" s="567"/>
      <c r="CB257" s="567"/>
      <c r="CC257" s="567"/>
      <c r="CD257" s="567"/>
      <c r="CE257" s="567"/>
      <c r="CF257" s="567"/>
      <c r="CG257" s="567"/>
      <c r="CH257" s="567"/>
      <c r="CI257" s="567"/>
      <c r="CJ257" s="567"/>
      <c r="CK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  <c r="BW258" s="567"/>
      <c r="BX258" s="567"/>
      <c r="BY258" s="567"/>
      <c r="BZ258" s="567"/>
      <c r="CA258" s="567"/>
      <c r="CB258" s="567"/>
      <c r="CC258" s="567"/>
      <c r="CD258" s="567"/>
      <c r="CE258" s="567"/>
      <c r="CF258" s="567"/>
      <c r="CG258" s="567"/>
      <c r="CH258" s="567"/>
      <c r="CI258" s="567"/>
      <c r="CJ258" s="567"/>
      <c r="CK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  <c r="BW259" s="567"/>
      <c r="BX259" s="567"/>
      <c r="BY259" s="567"/>
      <c r="BZ259" s="567"/>
      <c r="CA259" s="567"/>
      <c r="CB259" s="567"/>
      <c r="CC259" s="567"/>
      <c r="CD259" s="567"/>
      <c r="CE259" s="567"/>
      <c r="CF259" s="567"/>
      <c r="CG259" s="567"/>
      <c r="CH259" s="567"/>
      <c r="CI259" s="567"/>
      <c r="CJ259" s="567"/>
      <c r="CK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  <c r="BW260" s="567"/>
      <c r="BX260" s="567"/>
      <c r="BY260" s="567"/>
      <c r="BZ260" s="567"/>
      <c r="CA260" s="567"/>
      <c r="CB260" s="567"/>
      <c r="CC260" s="567"/>
      <c r="CD260" s="567"/>
      <c r="CE260" s="567"/>
      <c r="CF260" s="567"/>
      <c r="CG260" s="567"/>
      <c r="CH260" s="567"/>
      <c r="CI260" s="567"/>
      <c r="CJ260" s="567"/>
      <c r="CK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  <c r="BW261" s="567"/>
      <c r="BX261" s="567"/>
      <c r="BY261" s="567"/>
      <c r="BZ261" s="567"/>
      <c r="CA261" s="567"/>
      <c r="CB261" s="567"/>
      <c r="CC261" s="567"/>
      <c r="CD261" s="567"/>
      <c r="CE261" s="567"/>
      <c r="CF261" s="567"/>
      <c r="CG261" s="567"/>
      <c r="CH261" s="567"/>
      <c r="CI261" s="567"/>
      <c r="CJ261" s="567"/>
      <c r="CK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  <c r="BW262" s="567"/>
      <c r="BX262" s="567"/>
      <c r="BY262" s="567"/>
      <c r="BZ262" s="567"/>
      <c r="CA262" s="567"/>
      <c r="CB262" s="567"/>
      <c r="CC262" s="567"/>
      <c r="CD262" s="567"/>
      <c r="CE262" s="567"/>
      <c r="CF262" s="567"/>
      <c r="CG262" s="567"/>
      <c r="CH262" s="567"/>
      <c r="CI262" s="567"/>
      <c r="CJ262" s="567"/>
      <c r="CK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  <c r="BW263" s="567"/>
      <c r="BX263" s="567"/>
      <c r="BY263" s="567"/>
      <c r="BZ263" s="567"/>
      <c r="CA263" s="567"/>
      <c r="CB263" s="567"/>
      <c r="CC263" s="567"/>
      <c r="CD263" s="567"/>
      <c r="CE263" s="567"/>
      <c r="CF263" s="567"/>
      <c r="CG263" s="567"/>
      <c r="CH263" s="567"/>
      <c r="CI263" s="567"/>
      <c r="CJ263" s="567"/>
      <c r="CK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  <c r="BW264" s="567"/>
      <c r="BX264" s="567"/>
      <c r="BY264" s="567"/>
      <c r="BZ264" s="567"/>
      <c r="CA264" s="567"/>
      <c r="CB264" s="567"/>
      <c r="CC264" s="567"/>
      <c r="CD264" s="567"/>
      <c r="CE264" s="567"/>
      <c r="CF264" s="567"/>
      <c r="CG264" s="567"/>
      <c r="CH264" s="567"/>
      <c r="CI264" s="567"/>
      <c r="CJ264" s="567"/>
      <c r="CK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  <c r="BW265" s="567"/>
      <c r="BX265" s="567"/>
      <c r="BY265" s="567"/>
      <c r="BZ265" s="567"/>
      <c r="CA265" s="567"/>
      <c r="CB265" s="567"/>
      <c r="CC265" s="567"/>
      <c r="CD265" s="567"/>
      <c r="CE265" s="567"/>
      <c r="CF265" s="567"/>
      <c r="CG265" s="567"/>
      <c r="CH265" s="567"/>
      <c r="CI265" s="567"/>
      <c r="CJ265" s="567"/>
      <c r="CK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  <c r="BW266" s="567"/>
      <c r="BX266" s="567"/>
      <c r="BY266" s="567"/>
      <c r="BZ266" s="567"/>
      <c r="CA266" s="567"/>
      <c r="CB266" s="567"/>
      <c r="CC266" s="567"/>
      <c r="CD266" s="567"/>
      <c r="CE266" s="567"/>
      <c r="CF266" s="567"/>
      <c r="CG266" s="567"/>
      <c r="CH266" s="567"/>
      <c r="CI266" s="567"/>
      <c r="CJ266" s="567"/>
      <c r="CK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  <c r="BW267" s="567"/>
      <c r="BX267" s="567"/>
      <c r="BY267" s="567"/>
      <c r="BZ267" s="567"/>
      <c r="CA267" s="567"/>
      <c r="CB267" s="567"/>
      <c r="CC267" s="567"/>
      <c r="CD267" s="567"/>
      <c r="CE267" s="567"/>
      <c r="CF267" s="567"/>
      <c r="CG267" s="567"/>
      <c r="CH267" s="567"/>
      <c r="CI267" s="567"/>
      <c r="CJ267" s="567"/>
      <c r="CK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  <c r="BW268" s="567"/>
      <c r="BX268" s="567"/>
      <c r="BY268" s="567"/>
      <c r="BZ268" s="567"/>
      <c r="CA268" s="567"/>
      <c r="CB268" s="567"/>
      <c r="CC268" s="567"/>
      <c r="CD268" s="567"/>
      <c r="CE268" s="567"/>
      <c r="CF268" s="567"/>
      <c r="CG268" s="567"/>
      <c r="CH268" s="567"/>
      <c r="CI268" s="567"/>
      <c r="CJ268" s="567"/>
      <c r="CK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  <c r="BW269" s="567"/>
      <c r="BX269" s="567"/>
      <c r="BY269" s="567"/>
      <c r="BZ269" s="567"/>
      <c r="CA269" s="567"/>
      <c r="CB269" s="567"/>
      <c r="CC269" s="567"/>
      <c r="CD269" s="567"/>
      <c r="CE269" s="567"/>
      <c r="CF269" s="567"/>
      <c r="CG269" s="567"/>
      <c r="CH269" s="567"/>
      <c r="CI269" s="567"/>
      <c r="CJ269" s="567"/>
      <c r="CK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  <c r="BW270" s="567"/>
      <c r="BX270" s="567"/>
      <c r="BY270" s="567"/>
      <c r="BZ270" s="567"/>
      <c r="CA270" s="567"/>
      <c r="CB270" s="567"/>
      <c r="CC270" s="567"/>
      <c r="CD270" s="567"/>
      <c r="CE270" s="567"/>
      <c r="CF270" s="567"/>
      <c r="CG270" s="567"/>
      <c r="CH270" s="567"/>
      <c r="CI270" s="567"/>
      <c r="CJ270" s="567"/>
      <c r="CK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  <c r="BW271" s="567"/>
      <c r="BX271" s="567"/>
      <c r="BY271" s="567"/>
      <c r="BZ271" s="567"/>
      <c r="CA271" s="567"/>
      <c r="CB271" s="567"/>
      <c r="CC271" s="567"/>
      <c r="CD271" s="567"/>
      <c r="CE271" s="567"/>
      <c r="CF271" s="567"/>
      <c r="CG271" s="567"/>
      <c r="CH271" s="567"/>
      <c r="CI271" s="567"/>
      <c r="CJ271" s="567"/>
      <c r="CK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  <c r="BW272" s="567"/>
      <c r="BX272" s="567"/>
      <c r="BY272" s="567"/>
      <c r="BZ272" s="567"/>
      <c r="CA272" s="567"/>
      <c r="CB272" s="567"/>
      <c r="CC272" s="567"/>
      <c r="CD272" s="567"/>
      <c r="CE272" s="567"/>
      <c r="CF272" s="567"/>
      <c r="CG272" s="567"/>
      <c r="CH272" s="567"/>
      <c r="CI272" s="567"/>
      <c r="CJ272" s="567"/>
      <c r="CK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  <c r="BW273" s="567"/>
      <c r="BX273" s="567"/>
      <c r="BY273" s="567"/>
      <c r="BZ273" s="567"/>
      <c r="CA273" s="567"/>
      <c r="CB273" s="567"/>
      <c r="CC273" s="567"/>
      <c r="CD273" s="567"/>
      <c r="CE273" s="567"/>
      <c r="CF273" s="567"/>
      <c r="CG273" s="567"/>
      <c r="CH273" s="567"/>
      <c r="CI273" s="567"/>
      <c r="CJ273" s="567"/>
      <c r="CK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  <c r="BW274" s="567"/>
      <c r="BX274" s="567"/>
      <c r="BY274" s="567"/>
      <c r="BZ274" s="567"/>
      <c r="CA274" s="567"/>
      <c r="CB274" s="567"/>
      <c r="CC274" s="567"/>
      <c r="CD274" s="567"/>
      <c r="CE274" s="567"/>
      <c r="CF274" s="567"/>
      <c r="CG274" s="567"/>
      <c r="CH274" s="567"/>
      <c r="CI274" s="567"/>
      <c r="CJ274" s="567"/>
      <c r="CK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  <c r="BW275" s="567"/>
      <c r="BX275" s="567"/>
      <c r="BY275" s="567"/>
      <c r="BZ275" s="567"/>
      <c r="CA275" s="567"/>
      <c r="CB275" s="567"/>
      <c r="CC275" s="567"/>
      <c r="CD275" s="567"/>
      <c r="CE275" s="567"/>
      <c r="CF275" s="567"/>
      <c r="CG275" s="567"/>
      <c r="CH275" s="567"/>
      <c r="CI275" s="567"/>
      <c r="CJ275" s="567"/>
      <c r="CK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  <c r="BW276" s="567"/>
      <c r="BX276" s="567"/>
      <c r="BY276" s="567"/>
      <c r="BZ276" s="567"/>
      <c r="CA276" s="567"/>
      <c r="CB276" s="567"/>
      <c r="CC276" s="567"/>
      <c r="CD276" s="567"/>
      <c r="CE276" s="567"/>
      <c r="CF276" s="567"/>
      <c r="CG276" s="567"/>
      <c r="CH276" s="567"/>
      <c r="CI276" s="567"/>
      <c r="CJ276" s="567"/>
      <c r="CK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  <c r="BW277" s="567"/>
      <c r="BX277" s="567"/>
      <c r="BY277" s="567"/>
      <c r="BZ277" s="567"/>
      <c r="CA277" s="567"/>
      <c r="CB277" s="567"/>
      <c r="CC277" s="567"/>
      <c r="CD277" s="567"/>
      <c r="CE277" s="567"/>
      <c r="CF277" s="567"/>
      <c r="CG277" s="567"/>
      <c r="CH277" s="567"/>
      <c r="CI277" s="567"/>
      <c r="CJ277" s="567"/>
      <c r="CK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  <c r="BW278" s="567"/>
      <c r="BX278" s="567"/>
      <c r="BY278" s="567"/>
      <c r="BZ278" s="567"/>
      <c r="CA278" s="567"/>
      <c r="CB278" s="567"/>
      <c r="CC278" s="567"/>
      <c r="CD278" s="567"/>
      <c r="CE278" s="567"/>
      <c r="CF278" s="567"/>
      <c r="CG278" s="567"/>
      <c r="CH278" s="567"/>
      <c r="CI278" s="567"/>
      <c r="CJ278" s="567"/>
      <c r="CK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  <c r="BW279" s="567"/>
      <c r="BX279" s="567"/>
      <c r="BY279" s="567"/>
      <c r="BZ279" s="567"/>
      <c r="CA279" s="567"/>
      <c r="CB279" s="567"/>
      <c r="CC279" s="567"/>
      <c r="CD279" s="567"/>
      <c r="CE279" s="567"/>
      <c r="CF279" s="567"/>
      <c r="CG279" s="567"/>
      <c r="CH279" s="567"/>
      <c r="CI279" s="567"/>
      <c r="CJ279" s="567"/>
      <c r="CK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  <c r="BW280" s="567"/>
      <c r="BX280" s="567"/>
      <c r="BY280" s="567"/>
      <c r="BZ280" s="567"/>
      <c r="CA280" s="567"/>
      <c r="CB280" s="567"/>
      <c r="CC280" s="567"/>
      <c r="CD280" s="567"/>
      <c r="CE280" s="567"/>
      <c r="CF280" s="567"/>
      <c r="CG280" s="567"/>
      <c r="CH280" s="567"/>
      <c r="CI280" s="567"/>
      <c r="CJ280" s="567"/>
      <c r="CK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  <c r="BW281" s="567"/>
      <c r="BX281" s="567"/>
      <c r="BY281" s="567"/>
      <c r="BZ281" s="567"/>
      <c r="CA281" s="567"/>
      <c r="CB281" s="567"/>
      <c r="CC281" s="567"/>
      <c r="CD281" s="567"/>
      <c r="CE281" s="567"/>
      <c r="CF281" s="567"/>
      <c r="CG281" s="567"/>
      <c r="CH281" s="567"/>
      <c r="CI281" s="567"/>
      <c r="CJ281" s="567"/>
      <c r="CK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  <c r="BW282" s="567"/>
      <c r="BX282" s="567"/>
      <c r="BY282" s="567"/>
      <c r="BZ282" s="567"/>
      <c r="CA282" s="567"/>
      <c r="CB282" s="567"/>
      <c r="CC282" s="567"/>
      <c r="CD282" s="567"/>
      <c r="CE282" s="567"/>
      <c r="CF282" s="567"/>
      <c r="CG282" s="567"/>
      <c r="CH282" s="567"/>
      <c r="CI282" s="567"/>
      <c r="CJ282" s="567"/>
      <c r="CK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  <c r="BW283" s="567"/>
      <c r="BX283" s="567"/>
      <c r="BY283" s="567"/>
      <c r="BZ283" s="567"/>
      <c r="CA283" s="567"/>
      <c r="CB283" s="567"/>
      <c r="CC283" s="567"/>
      <c r="CD283" s="567"/>
      <c r="CE283" s="567"/>
      <c r="CF283" s="567"/>
      <c r="CG283" s="567"/>
      <c r="CH283" s="567"/>
      <c r="CI283" s="567"/>
      <c r="CJ283" s="567"/>
      <c r="CK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  <c r="BW284" s="567"/>
      <c r="BX284" s="567"/>
      <c r="BY284" s="567"/>
      <c r="BZ284" s="567"/>
      <c r="CA284" s="567"/>
      <c r="CB284" s="567"/>
      <c r="CC284" s="567"/>
      <c r="CD284" s="567"/>
      <c r="CE284" s="567"/>
      <c r="CF284" s="567"/>
      <c r="CG284" s="567"/>
      <c r="CH284" s="567"/>
      <c r="CI284" s="567"/>
      <c r="CJ284" s="567"/>
      <c r="CK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  <c r="BW285" s="567"/>
      <c r="BX285" s="567"/>
      <c r="BY285" s="567"/>
      <c r="BZ285" s="567"/>
      <c r="CA285" s="567"/>
      <c r="CB285" s="567"/>
      <c r="CC285" s="567"/>
      <c r="CD285" s="567"/>
      <c r="CE285" s="567"/>
      <c r="CF285" s="567"/>
      <c r="CG285" s="567"/>
      <c r="CH285" s="567"/>
      <c r="CI285" s="567"/>
      <c r="CJ285" s="567"/>
      <c r="CK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  <c r="BW286" s="567"/>
      <c r="BX286" s="567"/>
      <c r="BY286" s="567"/>
      <c r="BZ286" s="567"/>
      <c r="CA286" s="567"/>
      <c r="CB286" s="567"/>
      <c r="CC286" s="567"/>
      <c r="CD286" s="567"/>
      <c r="CE286" s="567"/>
      <c r="CF286" s="567"/>
      <c r="CG286" s="567"/>
      <c r="CH286" s="567"/>
      <c r="CI286" s="567"/>
      <c r="CJ286" s="567"/>
      <c r="CK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  <c r="BW287" s="567"/>
      <c r="BX287" s="567"/>
      <c r="BY287" s="567"/>
      <c r="BZ287" s="567"/>
      <c r="CA287" s="567"/>
      <c r="CB287" s="567"/>
      <c r="CC287" s="567"/>
      <c r="CD287" s="567"/>
      <c r="CE287" s="567"/>
      <c r="CF287" s="567"/>
      <c r="CG287" s="567"/>
      <c r="CH287" s="567"/>
      <c r="CI287" s="567"/>
      <c r="CJ287" s="567"/>
      <c r="CK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  <c r="BW288" s="567"/>
      <c r="BX288" s="567"/>
      <c r="BY288" s="567"/>
      <c r="BZ288" s="567"/>
      <c r="CA288" s="567"/>
      <c r="CB288" s="567"/>
      <c r="CC288" s="567"/>
      <c r="CD288" s="567"/>
      <c r="CE288" s="567"/>
      <c r="CF288" s="567"/>
      <c r="CG288" s="567"/>
      <c r="CH288" s="567"/>
      <c r="CI288" s="567"/>
      <c r="CJ288" s="567"/>
      <c r="CK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  <c r="BW289" s="567"/>
      <c r="BX289" s="567"/>
      <c r="BY289" s="567"/>
      <c r="BZ289" s="567"/>
      <c r="CA289" s="567"/>
      <c r="CB289" s="567"/>
      <c r="CC289" s="567"/>
      <c r="CD289" s="567"/>
      <c r="CE289" s="567"/>
      <c r="CF289" s="567"/>
      <c r="CG289" s="567"/>
      <c r="CH289" s="567"/>
      <c r="CI289" s="567"/>
      <c r="CJ289" s="567"/>
      <c r="CK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  <c r="BW290" s="567"/>
      <c r="BX290" s="567"/>
      <c r="BY290" s="567"/>
      <c r="BZ290" s="567"/>
      <c r="CA290" s="567"/>
      <c r="CB290" s="567"/>
      <c r="CC290" s="567"/>
      <c r="CD290" s="567"/>
      <c r="CE290" s="567"/>
      <c r="CF290" s="567"/>
      <c r="CG290" s="567"/>
      <c r="CH290" s="567"/>
      <c r="CI290" s="567"/>
      <c r="CJ290" s="567"/>
      <c r="CK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  <c r="BW291" s="567"/>
      <c r="BX291" s="567"/>
      <c r="BY291" s="567"/>
      <c r="BZ291" s="567"/>
      <c r="CA291" s="567"/>
      <c r="CB291" s="567"/>
      <c r="CC291" s="567"/>
      <c r="CD291" s="567"/>
      <c r="CE291" s="567"/>
      <c r="CF291" s="567"/>
      <c r="CG291" s="567"/>
      <c r="CH291" s="567"/>
      <c r="CI291" s="567"/>
      <c r="CJ291" s="567"/>
      <c r="CK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  <c r="BW292" s="567"/>
      <c r="BX292" s="567"/>
      <c r="BY292" s="567"/>
      <c r="BZ292" s="567"/>
      <c r="CA292" s="567"/>
      <c r="CB292" s="567"/>
      <c r="CC292" s="567"/>
      <c r="CD292" s="567"/>
      <c r="CE292" s="567"/>
      <c r="CF292" s="567"/>
      <c r="CG292" s="567"/>
      <c r="CH292" s="567"/>
      <c r="CI292" s="567"/>
      <c r="CJ292" s="567"/>
      <c r="CK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  <c r="BW293" s="567"/>
      <c r="BX293" s="567"/>
      <c r="BY293" s="567"/>
      <c r="BZ293" s="567"/>
      <c r="CA293" s="567"/>
      <c r="CB293" s="567"/>
      <c r="CC293" s="567"/>
      <c r="CD293" s="567"/>
      <c r="CE293" s="567"/>
      <c r="CF293" s="567"/>
      <c r="CG293" s="567"/>
      <c r="CH293" s="567"/>
      <c r="CI293" s="567"/>
      <c r="CJ293" s="567"/>
      <c r="CK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  <c r="BW294" s="567"/>
      <c r="BX294" s="567"/>
      <c r="BY294" s="567"/>
      <c r="BZ294" s="567"/>
      <c r="CA294" s="567"/>
      <c r="CB294" s="567"/>
      <c r="CC294" s="567"/>
      <c r="CD294" s="567"/>
      <c r="CE294" s="567"/>
      <c r="CF294" s="567"/>
      <c r="CG294" s="567"/>
      <c r="CH294" s="567"/>
      <c r="CI294" s="567"/>
      <c r="CJ294" s="567"/>
      <c r="CK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  <c r="BW295" s="567"/>
      <c r="BX295" s="567"/>
      <c r="BY295" s="567"/>
      <c r="BZ295" s="567"/>
      <c r="CA295" s="567"/>
      <c r="CB295" s="567"/>
      <c r="CC295" s="567"/>
      <c r="CD295" s="567"/>
      <c r="CE295" s="567"/>
      <c r="CF295" s="567"/>
      <c r="CG295" s="567"/>
      <c r="CH295" s="567"/>
      <c r="CI295" s="567"/>
      <c r="CJ295" s="567"/>
      <c r="CK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  <c r="BW296" s="567"/>
      <c r="BX296" s="567"/>
      <c r="BY296" s="567"/>
      <c r="BZ296" s="567"/>
      <c r="CA296" s="567"/>
      <c r="CB296" s="567"/>
      <c r="CC296" s="567"/>
      <c r="CD296" s="567"/>
      <c r="CE296" s="567"/>
      <c r="CF296" s="567"/>
      <c r="CG296" s="567"/>
      <c r="CH296" s="567"/>
      <c r="CI296" s="567"/>
      <c r="CJ296" s="567"/>
      <c r="CK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  <c r="BW297" s="567"/>
      <c r="BX297" s="567"/>
      <c r="BY297" s="567"/>
      <c r="BZ297" s="567"/>
      <c r="CA297" s="567"/>
      <c r="CB297" s="567"/>
      <c r="CC297" s="567"/>
      <c r="CD297" s="567"/>
      <c r="CE297" s="567"/>
      <c r="CF297" s="567"/>
      <c r="CG297" s="567"/>
      <c r="CH297" s="567"/>
      <c r="CI297" s="567"/>
      <c r="CJ297" s="567"/>
      <c r="CK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  <c r="BW298" s="567"/>
      <c r="BX298" s="567"/>
      <c r="BY298" s="567"/>
      <c r="BZ298" s="567"/>
      <c r="CA298" s="567"/>
      <c r="CB298" s="567"/>
      <c r="CC298" s="567"/>
      <c r="CD298" s="567"/>
      <c r="CE298" s="567"/>
      <c r="CF298" s="567"/>
      <c r="CG298" s="567"/>
      <c r="CH298" s="567"/>
      <c r="CI298" s="567"/>
      <c r="CJ298" s="567"/>
      <c r="CK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  <c r="BW299" s="567"/>
      <c r="BX299" s="567"/>
      <c r="BY299" s="567"/>
      <c r="BZ299" s="567"/>
      <c r="CA299" s="567"/>
      <c r="CB299" s="567"/>
      <c r="CC299" s="567"/>
      <c r="CD299" s="567"/>
      <c r="CE299" s="567"/>
      <c r="CF299" s="567"/>
      <c r="CG299" s="567"/>
      <c r="CH299" s="567"/>
      <c r="CI299" s="567"/>
      <c r="CJ299" s="567"/>
      <c r="CK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  <c r="BW300" s="567"/>
      <c r="BX300" s="567"/>
      <c r="BY300" s="567"/>
      <c r="BZ300" s="567"/>
      <c r="CA300" s="567"/>
      <c r="CB300" s="567"/>
      <c r="CC300" s="567"/>
      <c r="CD300" s="567"/>
      <c r="CE300" s="567"/>
      <c r="CF300" s="567"/>
      <c r="CG300" s="567"/>
      <c r="CH300" s="567"/>
      <c r="CI300" s="567"/>
      <c r="CJ300" s="567"/>
      <c r="CK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  <c r="BW301" s="567"/>
      <c r="BX301" s="567"/>
      <c r="BY301" s="567"/>
      <c r="BZ301" s="567"/>
      <c r="CA301" s="567"/>
      <c r="CB301" s="567"/>
      <c r="CC301" s="567"/>
      <c r="CD301" s="567"/>
      <c r="CE301" s="567"/>
      <c r="CF301" s="567"/>
      <c r="CG301" s="567"/>
      <c r="CH301" s="567"/>
      <c r="CI301" s="567"/>
      <c r="CJ301" s="567"/>
      <c r="CK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  <c r="BW302" s="567"/>
      <c r="BX302" s="567"/>
      <c r="BY302" s="567"/>
      <c r="BZ302" s="567"/>
      <c r="CA302" s="567"/>
      <c r="CB302" s="567"/>
      <c r="CC302" s="567"/>
      <c r="CD302" s="567"/>
      <c r="CE302" s="567"/>
      <c r="CF302" s="567"/>
      <c r="CG302" s="567"/>
      <c r="CH302" s="567"/>
      <c r="CI302" s="567"/>
      <c r="CJ302" s="567"/>
      <c r="CK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  <c r="BW303" s="567"/>
      <c r="BX303" s="567"/>
      <c r="BY303" s="567"/>
      <c r="BZ303" s="567"/>
      <c r="CA303" s="567"/>
      <c r="CB303" s="567"/>
      <c r="CC303" s="567"/>
      <c r="CD303" s="567"/>
      <c r="CE303" s="567"/>
      <c r="CF303" s="567"/>
      <c r="CG303" s="567"/>
      <c r="CH303" s="567"/>
      <c r="CI303" s="567"/>
      <c r="CJ303" s="567"/>
      <c r="CK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  <c r="BW304" s="567"/>
      <c r="BX304" s="567"/>
      <c r="BY304" s="567"/>
      <c r="BZ304" s="567"/>
      <c r="CA304" s="567"/>
      <c r="CB304" s="567"/>
      <c r="CC304" s="567"/>
      <c r="CD304" s="567"/>
      <c r="CE304" s="567"/>
      <c r="CF304" s="567"/>
      <c r="CG304" s="567"/>
      <c r="CH304" s="567"/>
      <c r="CI304" s="567"/>
      <c r="CJ304" s="567"/>
      <c r="CK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  <c r="BW305" s="567"/>
      <c r="BX305" s="567"/>
      <c r="BY305" s="567"/>
      <c r="BZ305" s="567"/>
      <c r="CA305" s="567"/>
      <c r="CB305" s="567"/>
      <c r="CC305" s="567"/>
      <c r="CD305" s="567"/>
      <c r="CE305" s="567"/>
      <c r="CF305" s="567"/>
      <c r="CG305" s="567"/>
      <c r="CH305" s="567"/>
      <c r="CI305" s="567"/>
      <c r="CJ305" s="567"/>
      <c r="CK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  <c r="BW306" s="567"/>
      <c r="BX306" s="567"/>
      <c r="BY306" s="567"/>
      <c r="BZ306" s="567"/>
      <c r="CA306" s="567"/>
      <c r="CB306" s="567"/>
      <c r="CC306" s="567"/>
      <c r="CD306" s="567"/>
      <c r="CE306" s="567"/>
      <c r="CF306" s="567"/>
      <c r="CG306" s="567"/>
      <c r="CH306" s="567"/>
      <c r="CI306" s="567"/>
      <c r="CJ306" s="567"/>
      <c r="CK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  <c r="BW307" s="567"/>
      <c r="BX307" s="567"/>
      <c r="BY307" s="567"/>
      <c r="BZ307" s="567"/>
      <c r="CA307" s="567"/>
      <c r="CB307" s="567"/>
      <c r="CC307" s="567"/>
      <c r="CD307" s="567"/>
      <c r="CE307" s="567"/>
      <c r="CF307" s="567"/>
      <c r="CG307" s="567"/>
      <c r="CH307" s="567"/>
      <c r="CI307" s="567"/>
      <c r="CJ307" s="567"/>
      <c r="CK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  <c r="BW308" s="567"/>
      <c r="BX308" s="567"/>
      <c r="BY308" s="567"/>
      <c r="BZ308" s="567"/>
      <c r="CA308" s="567"/>
      <c r="CB308" s="567"/>
      <c r="CC308" s="567"/>
      <c r="CD308" s="567"/>
      <c r="CE308" s="567"/>
      <c r="CF308" s="567"/>
      <c r="CG308" s="567"/>
      <c r="CH308" s="567"/>
      <c r="CI308" s="567"/>
      <c r="CJ308" s="567"/>
      <c r="CK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  <c r="BW309" s="567"/>
      <c r="BX309" s="567"/>
      <c r="BY309" s="567"/>
      <c r="BZ309" s="567"/>
      <c r="CA309" s="567"/>
      <c r="CB309" s="567"/>
      <c r="CC309" s="567"/>
      <c r="CD309" s="567"/>
      <c r="CE309" s="567"/>
      <c r="CF309" s="567"/>
      <c r="CG309" s="567"/>
      <c r="CH309" s="567"/>
      <c r="CI309" s="567"/>
      <c r="CJ309" s="567"/>
      <c r="CK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  <c r="BW310" s="567"/>
      <c r="BX310" s="567"/>
      <c r="BY310" s="567"/>
      <c r="BZ310" s="567"/>
      <c r="CA310" s="567"/>
      <c r="CB310" s="567"/>
      <c r="CC310" s="567"/>
      <c r="CD310" s="567"/>
      <c r="CE310" s="567"/>
      <c r="CF310" s="567"/>
      <c r="CG310" s="567"/>
      <c r="CH310" s="567"/>
      <c r="CI310" s="567"/>
      <c r="CJ310" s="567"/>
      <c r="CK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  <c r="BW311" s="567"/>
      <c r="BX311" s="567"/>
      <c r="BY311" s="567"/>
      <c r="BZ311" s="567"/>
      <c r="CA311" s="567"/>
      <c r="CB311" s="567"/>
      <c r="CC311" s="567"/>
      <c r="CD311" s="567"/>
      <c r="CE311" s="567"/>
      <c r="CF311" s="567"/>
      <c r="CG311" s="567"/>
      <c r="CH311" s="567"/>
      <c r="CI311" s="567"/>
      <c r="CJ311" s="567"/>
      <c r="CK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  <c r="BW312" s="567"/>
      <c r="BX312" s="567"/>
      <c r="BY312" s="567"/>
      <c r="BZ312" s="567"/>
      <c r="CA312" s="567"/>
      <c r="CB312" s="567"/>
      <c r="CC312" s="567"/>
      <c r="CD312" s="567"/>
      <c r="CE312" s="567"/>
      <c r="CF312" s="567"/>
      <c r="CG312" s="567"/>
      <c r="CH312" s="567"/>
      <c r="CI312" s="567"/>
      <c r="CJ312" s="567"/>
      <c r="CK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  <c r="BW313" s="567"/>
      <c r="BX313" s="567"/>
      <c r="BY313" s="567"/>
      <c r="BZ313" s="567"/>
      <c r="CA313" s="567"/>
      <c r="CB313" s="567"/>
      <c r="CC313" s="567"/>
      <c r="CD313" s="567"/>
      <c r="CE313" s="567"/>
      <c r="CF313" s="567"/>
      <c r="CG313" s="567"/>
      <c r="CH313" s="567"/>
      <c r="CI313" s="567"/>
      <c r="CJ313" s="567"/>
      <c r="CK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  <c r="BW314" s="567"/>
      <c r="BX314" s="567"/>
      <c r="BY314" s="567"/>
      <c r="BZ314" s="567"/>
      <c r="CA314" s="567"/>
      <c r="CB314" s="567"/>
      <c r="CC314" s="567"/>
      <c r="CD314" s="567"/>
      <c r="CE314" s="567"/>
      <c r="CF314" s="567"/>
      <c r="CG314" s="567"/>
      <c r="CH314" s="567"/>
      <c r="CI314" s="567"/>
      <c r="CJ314" s="567"/>
      <c r="CK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  <c r="BW315" s="567"/>
      <c r="BX315" s="567"/>
      <c r="BY315" s="567"/>
      <c r="BZ315" s="567"/>
      <c r="CA315" s="567"/>
      <c r="CB315" s="567"/>
      <c r="CC315" s="567"/>
      <c r="CD315" s="567"/>
      <c r="CE315" s="567"/>
      <c r="CF315" s="567"/>
      <c r="CG315" s="567"/>
      <c r="CH315" s="567"/>
      <c r="CI315" s="567"/>
      <c r="CJ315" s="567"/>
      <c r="CK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  <c r="BW316" s="567"/>
      <c r="BX316" s="567"/>
      <c r="BY316" s="567"/>
      <c r="BZ316" s="567"/>
      <c r="CA316" s="567"/>
      <c r="CB316" s="567"/>
      <c r="CC316" s="567"/>
      <c r="CD316" s="567"/>
      <c r="CE316" s="567"/>
      <c r="CF316" s="567"/>
      <c r="CG316" s="567"/>
      <c r="CH316" s="567"/>
      <c r="CI316" s="567"/>
      <c r="CJ316" s="567"/>
      <c r="CK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  <c r="BW317" s="567"/>
      <c r="BX317" s="567"/>
      <c r="BY317" s="567"/>
      <c r="BZ317" s="567"/>
      <c r="CA317" s="567"/>
      <c r="CB317" s="567"/>
      <c r="CC317" s="567"/>
      <c r="CD317" s="567"/>
      <c r="CE317" s="567"/>
      <c r="CF317" s="567"/>
      <c r="CG317" s="567"/>
      <c r="CH317" s="567"/>
      <c r="CI317" s="567"/>
      <c r="CJ317" s="567"/>
      <c r="CK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  <c r="BW318" s="567"/>
      <c r="BX318" s="567"/>
      <c r="BY318" s="567"/>
      <c r="BZ318" s="567"/>
      <c r="CA318" s="567"/>
      <c r="CB318" s="567"/>
      <c r="CC318" s="567"/>
      <c r="CD318" s="567"/>
      <c r="CE318" s="567"/>
      <c r="CF318" s="567"/>
      <c r="CG318" s="567"/>
      <c r="CH318" s="567"/>
      <c r="CI318" s="567"/>
      <c r="CJ318" s="567"/>
      <c r="CK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  <c r="BW319" s="567"/>
      <c r="BX319" s="567"/>
      <c r="BY319" s="567"/>
      <c r="BZ319" s="567"/>
      <c r="CA319" s="567"/>
      <c r="CB319" s="567"/>
      <c r="CC319" s="567"/>
      <c r="CD319" s="567"/>
      <c r="CE319" s="567"/>
      <c r="CF319" s="567"/>
      <c r="CG319" s="567"/>
      <c r="CH319" s="567"/>
      <c r="CI319" s="567"/>
      <c r="CJ319" s="567"/>
      <c r="CK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  <c r="BW320" s="567"/>
      <c r="BX320" s="567"/>
      <c r="BY320" s="567"/>
      <c r="BZ320" s="567"/>
      <c r="CA320" s="567"/>
      <c r="CB320" s="567"/>
      <c r="CC320" s="567"/>
      <c r="CD320" s="567"/>
      <c r="CE320" s="567"/>
      <c r="CF320" s="567"/>
      <c r="CG320" s="567"/>
      <c r="CH320" s="567"/>
      <c r="CI320" s="567"/>
      <c r="CJ320" s="567"/>
      <c r="CK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  <c r="BW321" s="567"/>
      <c r="BX321" s="567"/>
      <c r="BY321" s="567"/>
      <c r="BZ321" s="567"/>
      <c r="CA321" s="567"/>
      <c r="CB321" s="567"/>
      <c r="CC321" s="567"/>
      <c r="CD321" s="567"/>
      <c r="CE321" s="567"/>
      <c r="CF321" s="567"/>
      <c r="CG321" s="567"/>
      <c r="CH321" s="567"/>
      <c r="CI321" s="567"/>
      <c r="CJ321" s="567"/>
      <c r="CK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  <c r="BW322" s="567"/>
      <c r="BX322" s="567"/>
      <c r="BY322" s="567"/>
      <c r="BZ322" s="567"/>
      <c r="CA322" s="567"/>
      <c r="CB322" s="567"/>
      <c r="CC322" s="567"/>
      <c r="CD322" s="567"/>
      <c r="CE322" s="567"/>
      <c r="CF322" s="567"/>
      <c r="CG322" s="567"/>
      <c r="CH322" s="567"/>
      <c r="CI322" s="567"/>
      <c r="CJ322" s="567"/>
      <c r="CK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  <c r="BW323" s="567"/>
      <c r="BX323" s="567"/>
      <c r="BY323" s="567"/>
      <c r="BZ323" s="567"/>
      <c r="CA323" s="567"/>
      <c r="CB323" s="567"/>
      <c r="CC323" s="567"/>
      <c r="CD323" s="567"/>
      <c r="CE323" s="567"/>
      <c r="CF323" s="567"/>
      <c r="CG323" s="567"/>
      <c r="CH323" s="567"/>
      <c r="CI323" s="567"/>
      <c r="CJ323" s="567"/>
      <c r="CK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  <c r="BW324" s="567"/>
      <c r="BX324" s="567"/>
      <c r="BY324" s="567"/>
      <c r="BZ324" s="567"/>
      <c r="CA324" s="567"/>
      <c r="CB324" s="567"/>
      <c r="CC324" s="567"/>
      <c r="CD324" s="567"/>
      <c r="CE324" s="567"/>
      <c r="CF324" s="567"/>
      <c r="CG324" s="567"/>
      <c r="CH324" s="567"/>
      <c r="CI324" s="567"/>
      <c r="CJ324" s="567"/>
      <c r="CK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  <c r="BW325" s="567"/>
      <c r="BX325" s="567"/>
      <c r="BY325" s="567"/>
      <c r="BZ325" s="567"/>
      <c r="CA325" s="567"/>
      <c r="CB325" s="567"/>
      <c r="CC325" s="567"/>
      <c r="CD325" s="567"/>
      <c r="CE325" s="567"/>
      <c r="CF325" s="567"/>
      <c r="CG325" s="567"/>
      <c r="CH325" s="567"/>
      <c r="CI325" s="567"/>
      <c r="CJ325" s="567"/>
      <c r="CK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  <c r="BW326" s="567"/>
      <c r="BX326" s="567"/>
      <c r="BY326" s="567"/>
      <c r="BZ326" s="567"/>
      <c r="CA326" s="567"/>
      <c r="CB326" s="567"/>
      <c r="CC326" s="567"/>
      <c r="CD326" s="567"/>
      <c r="CE326" s="567"/>
      <c r="CF326" s="567"/>
      <c r="CG326" s="567"/>
      <c r="CH326" s="567"/>
      <c r="CI326" s="567"/>
      <c r="CJ326" s="567"/>
      <c r="CK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  <c r="BW327" s="567"/>
      <c r="BX327" s="567"/>
      <c r="BY327" s="567"/>
      <c r="BZ327" s="567"/>
      <c r="CA327" s="567"/>
      <c r="CB327" s="567"/>
      <c r="CC327" s="567"/>
      <c r="CD327" s="567"/>
      <c r="CE327" s="567"/>
      <c r="CF327" s="567"/>
      <c r="CG327" s="567"/>
      <c r="CH327" s="567"/>
      <c r="CI327" s="567"/>
      <c r="CJ327" s="567"/>
      <c r="CK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  <c r="BW328" s="567"/>
      <c r="BX328" s="567"/>
      <c r="BY328" s="567"/>
      <c r="BZ328" s="567"/>
      <c r="CA328" s="567"/>
      <c r="CB328" s="567"/>
      <c r="CC328" s="567"/>
      <c r="CD328" s="567"/>
      <c r="CE328" s="567"/>
      <c r="CF328" s="567"/>
      <c r="CG328" s="567"/>
      <c r="CH328" s="567"/>
      <c r="CI328" s="567"/>
      <c r="CJ328" s="567"/>
      <c r="CK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  <c r="BW329" s="567"/>
      <c r="BX329" s="567"/>
      <c r="BY329" s="567"/>
      <c r="BZ329" s="567"/>
      <c r="CA329" s="567"/>
      <c r="CB329" s="567"/>
      <c r="CC329" s="567"/>
      <c r="CD329" s="567"/>
      <c r="CE329" s="567"/>
      <c r="CF329" s="567"/>
      <c r="CG329" s="567"/>
      <c r="CH329" s="567"/>
      <c r="CI329" s="567"/>
      <c r="CJ329" s="567"/>
      <c r="CK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  <c r="BW330" s="567"/>
      <c r="BX330" s="567"/>
      <c r="BY330" s="567"/>
      <c r="BZ330" s="567"/>
      <c r="CA330" s="567"/>
      <c r="CB330" s="567"/>
      <c r="CC330" s="567"/>
      <c r="CD330" s="567"/>
      <c r="CE330" s="567"/>
      <c r="CF330" s="567"/>
      <c r="CG330" s="567"/>
      <c r="CH330" s="567"/>
      <c r="CI330" s="567"/>
      <c r="CJ330" s="567"/>
      <c r="CK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  <c r="BW331" s="567"/>
      <c r="BX331" s="567"/>
      <c r="BY331" s="567"/>
      <c r="BZ331" s="567"/>
      <c r="CA331" s="567"/>
      <c r="CB331" s="567"/>
      <c r="CC331" s="567"/>
      <c r="CD331" s="567"/>
      <c r="CE331" s="567"/>
      <c r="CF331" s="567"/>
      <c r="CG331" s="567"/>
      <c r="CH331" s="567"/>
      <c r="CI331" s="567"/>
      <c r="CJ331" s="567"/>
      <c r="CK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  <c r="BW332" s="567"/>
      <c r="BX332" s="567"/>
      <c r="BY332" s="567"/>
      <c r="BZ332" s="567"/>
      <c r="CA332" s="567"/>
      <c r="CB332" s="567"/>
      <c r="CC332" s="567"/>
      <c r="CD332" s="567"/>
      <c r="CE332" s="567"/>
      <c r="CF332" s="567"/>
      <c r="CG332" s="567"/>
      <c r="CH332" s="567"/>
      <c r="CI332" s="567"/>
      <c r="CJ332" s="567"/>
      <c r="CK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  <c r="BW333" s="567"/>
      <c r="BX333" s="567"/>
      <c r="BY333" s="567"/>
      <c r="BZ333" s="567"/>
      <c r="CA333" s="567"/>
      <c r="CB333" s="567"/>
      <c r="CC333" s="567"/>
      <c r="CD333" s="567"/>
      <c r="CE333" s="567"/>
      <c r="CF333" s="567"/>
      <c r="CG333" s="567"/>
      <c r="CH333" s="567"/>
      <c r="CI333" s="567"/>
      <c r="CJ333" s="567"/>
      <c r="CK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  <c r="BW334" s="567"/>
      <c r="BX334" s="567"/>
      <c r="BY334" s="567"/>
      <c r="BZ334" s="567"/>
      <c r="CA334" s="567"/>
      <c r="CB334" s="567"/>
      <c r="CC334" s="567"/>
      <c r="CD334" s="567"/>
      <c r="CE334" s="567"/>
      <c r="CF334" s="567"/>
      <c r="CG334" s="567"/>
      <c r="CH334" s="567"/>
      <c r="CI334" s="567"/>
      <c r="CJ334" s="567"/>
      <c r="CK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  <c r="BW335" s="567"/>
      <c r="BX335" s="567"/>
      <c r="BY335" s="567"/>
      <c r="BZ335" s="567"/>
      <c r="CA335" s="567"/>
      <c r="CB335" s="567"/>
      <c r="CC335" s="567"/>
      <c r="CD335" s="567"/>
      <c r="CE335" s="567"/>
      <c r="CF335" s="567"/>
      <c r="CG335" s="567"/>
      <c r="CH335" s="567"/>
      <c r="CI335" s="567"/>
      <c r="CJ335" s="567"/>
      <c r="CK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  <c r="BW336" s="567"/>
      <c r="BX336" s="567"/>
      <c r="BY336" s="567"/>
      <c r="BZ336" s="567"/>
      <c r="CA336" s="567"/>
      <c r="CB336" s="567"/>
      <c r="CC336" s="567"/>
      <c r="CD336" s="567"/>
      <c r="CE336" s="567"/>
      <c r="CF336" s="567"/>
      <c r="CG336" s="567"/>
      <c r="CH336" s="567"/>
      <c r="CI336" s="567"/>
      <c r="CJ336" s="567"/>
      <c r="CK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  <c r="BW337" s="567"/>
      <c r="BX337" s="567"/>
      <c r="BY337" s="567"/>
      <c r="BZ337" s="567"/>
      <c r="CA337" s="567"/>
      <c r="CB337" s="567"/>
      <c r="CC337" s="567"/>
      <c r="CD337" s="567"/>
      <c r="CE337" s="567"/>
      <c r="CF337" s="567"/>
      <c r="CG337" s="567"/>
      <c r="CH337" s="567"/>
      <c r="CI337" s="567"/>
      <c r="CJ337" s="567"/>
      <c r="CK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  <c r="BW338" s="567"/>
      <c r="BX338" s="567"/>
      <c r="BY338" s="567"/>
      <c r="BZ338" s="567"/>
      <c r="CA338" s="567"/>
      <c r="CB338" s="567"/>
      <c r="CC338" s="567"/>
      <c r="CD338" s="567"/>
      <c r="CE338" s="567"/>
      <c r="CF338" s="567"/>
      <c r="CG338" s="567"/>
      <c r="CH338" s="567"/>
      <c r="CI338" s="567"/>
      <c r="CJ338" s="567"/>
      <c r="CK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  <c r="BW339" s="567"/>
      <c r="BX339" s="567"/>
      <c r="BY339" s="567"/>
      <c r="BZ339" s="567"/>
      <c r="CA339" s="567"/>
      <c r="CB339" s="567"/>
      <c r="CC339" s="567"/>
      <c r="CD339" s="567"/>
      <c r="CE339" s="567"/>
      <c r="CF339" s="567"/>
      <c r="CG339" s="567"/>
      <c r="CH339" s="567"/>
      <c r="CI339" s="567"/>
      <c r="CJ339" s="567"/>
      <c r="CK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  <c r="BW340" s="567"/>
      <c r="BX340" s="567"/>
      <c r="BY340" s="567"/>
      <c r="BZ340" s="567"/>
      <c r="CA340" s="567"/>
      <c r="CB340" s="567"/>
      <c r="CC340" s="567"/>
      <c r="CD340" s="567"/>
      <c r="CE340" s="567"/>
      <c r="CF340" s="567"/>
      <c r="CG340" s="567"/>
      <c r="CH340" s="567"/>
      <c r="CI340" s="567"/>
      <c r="CJ340" s="567"/>
      <c r="CK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  <c r="BW341" s="567"/>
      <c r="BX341" s="567"/>
      <c r="BY341" s="567"/>
      <c r="BZ341" s="567"/>
      <c r="CA341" s="567"/>
      <c r="CB341" s="567"/>
      <c r="CC341" s="567"/>
      <c r="CD341" s="567"/>
      <c r="CE341" s="567"/>
      <c r="CF341" s="567"/>
      <c r="CG341" s="567"/>
      <c r="CH341" s="567"/>
      <c r="CI341" s="567"/>
      <c r="CJ341" s="567"/>
      <c r="CK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  <c r="BW342" s="567"/>
      <c r="BX342" s="567"/>
      <c r="BY342" s="567"/>
      <c r="BZ342" s="567"/>
      <c r="CA342" s="567"/>
      <c r="CB342" s="567"/>
      <c r="CC342" s="567"/>
      <c r="CD342" s="567"/>
      <c r="CE342" s="567"/>
      <c r="CF342" s="567"/>
      <c r="CG342" s="567"/>
      <c r="CH342" s="567"/>
      <c r="CI342" s="567"/>
      <c r="CJ342" s="567"/>
      <c r="CK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  <c r="BW343" s="567"/>
      <c r="BX343" s="567"/>
      <c r="BY343" s="567"/>
      <c r="BZ343" s="567"/>
      <c r="CA343" s="567"/>
      <c r="CB343" s="567"/>
      <c r="CC343" s="567"/>
      <c r="CD343" s="567"/>
      <c r="CE343" s="567"/>
      <c r="CF343" s="567"/>
      <c r="CG343" s="567"/>
      <c r="CH343" s="567"/>
      <c r="CI343" s="567"/>
      <c r="CJ343" s="567"/>
      <c r="CK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  <c r="BW344" s="567"/>
      <c r="BX344" s="567"/>
      <c r="BY344" s="567"/>
      <c r="BZ344" s="567"/>
      <c r="CA344" s="567"/>
      <c r="CB344" s="567"/>
      <c r="CC344" s="567"/>
      <c r="CD344" s="567"/>
      <c r="CE344" s="567"/>
      <c r="CF344" s="567"/>
      <c r="CG344" s="567"/>
      <c r="CH344" s="567"/>
      <c r="CI344" s="567"/>
      <c r="CJ344" s="567"/>
      <c r="CK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  <c r="BW345" s="567"/>
      <c r="BX345" s="567"/>
      <c r="BY345" s="567"/>
      <c r="BZ345" s="567"/>
      <c r="CA345" s="567"/>
      <c r="CB345" s="567"/>
      <c r="CC345" s="567"/>
      <c r="CD345" s="567"/>
      <c r="CE345" s="567"/>
      <c r="CF345" s="567"/>
      <c r="CG345" s="567"/>
      <c r="CH345" s="567"/>
      <c r="CI345" s="567"/>
      <c r="CJ345" s="567"/>
      <c r="CK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  <c r="BW346" s="567"/>
      <c r="BX346" s="567"/>
      <c r="BY346" s="567"/>
      <c r="BZ346" s="567"/>
      <c r="CA346" s="567"/>
      <c r="CB346" s="567"/>
      <c r="CC346" s="567"/>
      <c r="CD346" s="567"/>
      <c r="CE346" s="567"/>
      <c r="CF346" s="567"/>
      <c r="CG346" s="567"/>
      <c r="CH346" s="567"/>
      <c r="CI346" s="567"/>
      <c r="CJ346" s="567"/>
      <c r="CK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  <c r="BW347" s="567"/>
      <c r="BX347" s="567"/>
      <c r="BY347" s="567"/>
      <c r="BZ347" s="567"/>
      <c r="CA347" s="567"/>
      <c r="CB347" s="567"/>
      <c r="CC347" s="567"/>
      <c r="CD347" s="567"/>
      <c r="CE347" s="567"/>
      <c r="CF347" s="567"/>
      <c r="CG347" s="567"/>
      <c r="CH347" s="567"/>
      <c r="CI347" s="567"/>
      <c r="CJ347" s="567"/>
      <c r="CK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  <c r="BW348" s="567"/>
      <c r="BX348" s="567"/>
      <c r="BY348" s="567"/>
      <c r="BZ348" s="567"/>
      <c r="CA348" s="567"/>
      <c r="CB348" s="567"/>
      <c r="CC348" s="567"/>
      <c r="CD348" s="567"/>
      <c r="CE348" s="567"/>
      <c r="CF348" s="567"/>
      <c r="CG348" s="567"/>
      <c r="CH348" s="567"/>
      <c r="CI348" s="567"/>
      <c r="CJ348" s="567"/>
      <c r="CK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  <c r="BW349" s="567"/>
      <c r="BX349" s="567"/>
      <c r="BY349" s="567"/>
      <c r="BZ349" s="567"/>
      <c r="CA349" s="567"/>
      <c r="CB349" s="567"/>
      <c r="CC349" s="567"/>
      <c r="CD349" s="567"/>
      <c r="CE349" s="567"/>
      <c r="CF349" s="567"/>
      <c r="CG349" s="567"/>
      <c r="CH349" s="567"/>
      <c r="CI349" s="567"/>
      <c r="CJ349" s="567"/>
      <c r="CK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  <c r="BW350" s="567"/>
      <c r="BX350" s="567"/>
      <c r="BY350" s="567"/>
      <c r="BZ350" s="567"/>
      <c r="CA350" s="567"/>
      <c r="CB350" s="567"/>
      <c r="CC350" s="567"/>
      <c r="CD350" s="567"/>
      <c r="CE350" s="567"/>
      <c r="CF350" s="567"/>
      <c r="CG350" s="567"/>
      <c r="CH350" s="567"/>
      <c r="CI350" s="567"/>
      <c r="CJ350" s="567"/>
      <c r="CK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  <c r="BW351" s="567"/>
      <c r="BX351" s="567"/>
      <c r="BY351" s="567"/>
      <c r="BZ351" s="567"/>
      <c r="CA351" s="567"/>
      <c r="CB351" s="567"/>
      <c r="CC351" s="567"/>
      <c r="CD351" s="567"/>
      <c r="CE351" s="567"/>
      <c r="CF351" s="567"/>
      <c r="CG351" s="567"/>
      <c r="CH351" s="567"/>
      <c r="CI351" s="567"/>
      <c r="CJ351" s="567"/>
      <c r="CK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  <c r="BW352" s="567"/>
      <c r="BX352" s="567"/>
      <c r="BY352" s="567"/>
      <c r="BZ352" s="567"/>
      <c r="CA352" s="567"/>
      <c r="CB352" s="567"/>
      <c r="CC352" s="567"/>
      <c r="CD352" s="567"/>
      <c r="CE352" s="567"/>
      <c r="CF352" s="567"/>
      <c r="CG352" s="567"/>
      <c r="CH352" s="567"/>
      <c r="CI352" s="567"/>
      <c r="CJ352" s="567"/>
      <c r="CK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  <c r="BW353" s="567"/>
      <c r="BX353" s="567"/>
      <c r="BY353" s="567"/>
      <c r="BZ353" s="567"/>
      <c r="CA353" s="567"/>
      <c r="CB353" s="567"/>
      <c r="CC353" s="567"/>
      <c r="CD353" s="567"/>
      <c r="CE353" s="567"/>
      <c r="CF353" s="567"/>
      <c r="CG353" s="567"/>
      <c r="CH353" s="567"/>
      <c r="CI353" s="567"/>
      <c r="CJ353" s="567"/>
      <c r="CK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  <c r="BW354" s="567"/>
      <c r="BX354" s="567"/>
      <c r="BY354" s="567"/>
      <c r="BZ354" s="567"/>
      <c r="CA354" s="567"/>
      <c r="CB354" s="567"/>
      <c r="CC354" s="567"/>
      <c r="CD354" s="567"/>
      <c r="CE354" s="567"/>
      <c r="CF354" s="567"/>
      <c r="CG354" s="567"/>
      <c r="CH354" s="567"/>
      <c r="CI354" s="567"/>
      <c r="CJ354" s="567"/>
      <c r="CK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  <c r="BW355" s="567"/>
      <c r="BX355" s="567"/>
      <c r="BY355" s="567"/>
      <c r="BZ355" s="567"/>
      <c r="CA355" s="567"/>
      <c r="CB355" s="567"/>
      <c r="CC355" s="567"/>
      <c r="CD355" s="567"/>
      <c r="CE355" s="567"/>
      <c r="CF355" s="567"/>
      <c r="CG355" s="567"/>
      <c r="CH355" s="567"/>
      <c r="CI355" s="567"/>
      <c r="CJ355" s="567"/>
      <c r="CK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  <c r="BW356" s="567"/>
      <c r="BX356" s="567"/>
      <c r="BY356" s="567"/>
      <c r="BZ356" s="567"/>
      <c r="CA356" s="567"/>
      <c r="CB356" s="567"/>
      <c r="CC356" s="567"/>
      <c r="CD356" s="567"/>
      <c r="CE356" s="567"/>
      <c r="CF356" s="567"/>
      <c r="CG356" s="567"/>
      <c r="CH356" s="567"/>
      <c r="CI356" s="567"/>
      <c r="CJ356" s="567"/>
      <c r="CK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  <c r="BW357" s="567"/>
      <c r="BX357" s="567"/>
      <c r="BY357" s="567"/>
      <c r="BZ357" s="567"/>
      <c r="CA357" s="567"/>
      <c r="CB357" s="567"/>
      <c r="CC357" s="567"/>
      <c r="CD357" s="567"/>
      <c r="CE357" s="567"/>
      <c r="CF357" s="567"/>
      <c r="CG357" s="567"/>
      <c r="CH357" s="567"/>
      <c r="CI357" s="567"/>
      <c r="CJ357" s="567"/>
      <c r="CK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  <c r="BW358" s="567"/>
      <c r="BX358" s="567"/>
      <c r="BY358" s="567"/>
      <c r="BZ358" s="567"/>
      <c r="CA358" s="567"/>
      <c r="CB358" s="567"/>
      <c r="CC358" s="567"/>
      <c r="CD358" s="567"/>
      <c r="CE358" s="567"/>
      <c r="CF358" s="567"/>
      <c r="CG358" s="567"/>
      <c r="CH358" s="567"/>
      <c r="CI358" s="567"/>
      <c r="CJ358" s="567"/>
      <c r="CK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  <c r="BW359" s="567"/>
      <c r="BX359" s="567"/>
      <c r="BY359" s="567"/>
      <c r="BZ359" s="567"/>
      <c r="CA359" s="567"/>
      <c r="CB359" s="567"/>
      <c r="CC359" s="567"/>
      <c r="CD359" s="567"/>
      <c r="CE359" s="567"/>
      <c r="CF359" s="567"/>
      <c r="CG359" s="567"/>
      <c r="CH359" s="567"/>
      <c r="CI359" s="567"/>
      <c r="CJ359" s="567"/>
      <c r="CK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  <c r="BW360" s="567"/>
      <c r="BX360" s="567"/>
      <c r="BY360" s="567"/>
      <c r="BZ360" s="567"/>
      <c r="CA360" s="567"/>
      <c r="CB360" s="567"/>
      <c r="CC360" s="567"/>
      <c r="CD360" s="567"/>
      <c r="CE360" s="567"/>
      <c r="CF360" s="567"/>
      <c r="CG360" s="567"/>
      <c r="CH360" s="567"/>
      <c r="CI360" s="567"/>
      <c r="CJ360" s="567"/>
      <c r="CK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  <c r="BW361" s="567"/>
      <c r="BX361" s="567"/>
      <c r="BY361" s="567"/>
      <c r="BZ361" s="567"/>
      <c r="CA361" s="567"/>
      <c r="CB361" s="567"/>
      <c r="CC361" s="567"/>
      <c r="CD361" s="567"/>
      <c r="CE361" s="567"/>
      <c r="CF361" s="567"/>
      <c r="CG361" s="567"/>
      <c r="CH361" s="567"/>
      <c r="CI361" s="567"/>
      <c r="CJ361" s="567"/>
      <c r="CK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  <c r="BW362" s="567"/>
      <c r="BX362" s="567"/>
      <c r="BY362" s="567"/>
      <c r="BZ362" s="567"/>
      <c r="CA362" s="567"/>
      <c r="CB362" s="567"/>
      <c r="CC362" s="567"/>
      <c r="CD362" s="567"/>
      <c r="CE362" s="567"/>
      <c r="CF362" s="567"/>
      <c r="CG362" s="567"/>
      <c r="CH362" s="567"/>
      <c r="CI362" s="567"/>
      <c r="CJ362" s="567"/>
      <c r="CK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  <c r="BW363" s="567"/>
      <c r="BX363" s="567"/>
      <c r="BY363" s="567"/>
      <c r="BZ363" s="567"/>
      <c r="CA363" s="567"/>
      <c r="CB363" s="567"/>
      <c r="CC363" s="567"/>
      <c r="CD363" s="567"/>
      <c r="CE363" s="567"/>
      <c r="CF363" s="567"/>
      <c r="CG363" s="567"/>
      <c r="CH363" s="567"/>
      <c r="CI363" s="567"/>
      <c r="CJ363" s="567"/>
      <c r="CK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  <c r="BW364" s="567"/>
      <c r="BX364" s="567"/>
      <c r="BY364" s="567"/>
      <c r="BZ364" s="567"/>
      <c r="CA364" s="567"/>
      <c r="CB364" s="567"/>
      <c r="CC364" s="567"/>
      <c r="CD364" s="567"/>
      <c r="CE364" s="567"/>
      <c r="CF364" s="567"/>
      <c r="CG364" s="567"/>
      <c r="CH364" s="567"/>
      <c r="CI364" s="567"/>
      <c r="CJ364" s="567"/>
      <c r="CK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  <c r="BW365" s="567"/>
      <c r="BX365" s="567"/>
      <c r="BY365" s="567"/>
      <c r="BZ365" s="567"/>
      <c r="CA365" s="567"/>
      <c r="CB365" s="567"/>
      <c r="CC365" s="567"/>
      <c r="CD365" s="567"/>
      <c r="CE365" s="567"/>
      <c r="CF365" s="567"/>
      <c r="CG365" s="567"/>
      <c r="CH365" s="567"/>
      <c r="CI365" s="567"/>
      <c r="CJ365" s="567"/>
      <c r="CK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  <c r="BW366" s="567"/>
      <c r="BX366" s="567"/>
      <c r="BY366" s="567"/>
      <c r="BZ366" s="567"/>
      <c r="CA366" s="567"/>
      <c r="CB366" s="567"/>
      <c r="CC366" s="567"/>
      <c r="CD366" s="567"/>
      <c r="CE366" s="567"/>
      <c r="CF366" s="567"/>
      <c r="CG366" s="567"/>
      <c r="CH366" s="567"/>
      <c r="CI366" s="567"/>
      <c r="CJ366" s="567"/>
      <c r="CK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  <c r="BW367" s="567"/>
      <c r="BX367" s="567"/>
      <c r="BY367" s="567"/>
      <c r="BZ367" s="567"/>
      <c r="CA367" s="567"/>
      <c r="CB367" s="567"/>
      <c r="CC367" s="567"/>
      <c r="CD367" s="567"/>
      <c r="CE367" s="567"/>
      <c r="CF367" s="567"/>
      <c r="CG367" s="567"/>
      <c r="CH367" s="567"/>
      <c r="CI367" s="567"/>
      <c r="CJ367" s="567"/>
      <c r="CK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  <c r="BW368" s="567"/>
      <c r="BX368" s="567"/>
      <c r="BY368" s="567"/>
      <c r="BZ368" s="567"/>
      <c r="CA368" s="567"/>
      <c r="CB368" s="567"/>
      <c r="CC368" s="567"/>
      <c r="CD368" s="567"/>
      <c r="CE368" s="567"/>
      <c r="CF368" s="567"/>
      <c r="CG368" s="567"/>
      <c r="CH368" s="567"/>
      <c r="CI368" s="567"/>
      <c r="CJ368" s="567"/>
      <c r="CK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  <c r="BW369" s="567"/>
      <c r="BX369" s="567"/>
      <c r="BY369" s="567"/>
      <c r="BZ369" s="567"/>
      <c r="CA369" s="567"/>
      <c r="CB369" s="567"/>
      <c r="CC369" s="567"/>
      <c r="CD369" s="567"/>
      <c r="CE369" s="567"/>
      <c r="CF369" s="567"/>
      <c r="CG369" s="567"/>
      <c r="CH369" s="567"/>
      <c r="CI369" s="567"/>
      <c r="CJ369" s="567"/>
      <c r="CK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  <c r="BW370" s="567"/>
      <c r="BX370" s="567"/>
      <c r="BY370" s="567"/>
      <c r="BZ370" s="567"/>
      <c r="CA370" s="567"/>
      <c r="CB370" s="567"/>
      <c r="CC370" s="567"/>
      <c r="CD370" s="567"/>
      <c r="CE370" s="567"/>
      <c r="CF370" s="567"/>
      <c r="CG370" s="567"/>
      <c r="CH370" s="567"/>
      <c r="CI370" s="567"/>
      <c r="CJ370" s="567"/>
      <c r="CK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  <c r="BW371" s="567"/>
      <c r="BX371" s="567"/>
      <c r="BY371" s="567"/>
      <c r="BZ371" s="567"/>
      <c r="CA371" s="567"/>
      <c r="CB371" s="567"/>
      <c r="CC371" s="567"/>
      <c r="CD371" s="567"/>
      <c r="CE371" s="567"/>
      <c r="CF371" s="567"/>
      <c r="CG371" s="567"/>
      <c r="CH371" s="567"/>
      <c r="CI371" s="567"/>
      <c r="CJ371" s="567"/>
      <c r="CK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  <c r="BW372" s="567"/>
      <c r="BX372" s="567"/>
      <c r="BY372" s="567"/>
      <c r="BZ372" s="567"/>
      <c r="CA372" s="567"/>
      <c r="CB372" s="567"/>
      <c r="CC372" s="567"/>
      <c r="CD372" s="567"/>
      <c r="CE372" s="567"/>
      <c r="CF372" s="567"/>
      <c r="CG372" s="567"/>
      <c r="CH372" s="567"/>
      <c r="CI372" s="567"/>
      <c r="CJ372" s="567"/>
      <c r="CK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  <c r="BW373" s="567"/>
      <c r="BX373" s="567"/>
      <c r="BY373" s="567"/>
      <c r="BZ373" s="567"/>
      <c r="CA373" s="567"/>
      <c r="CB373" s="567"/>
      <c r="CC373" s="567"/>
      <c r="CD373" s="567"/>
      <c r="CE373" s="567"/>
      <c r="CF373" s="567"/>
      <c r="CG373" s="567"/>
      <c r="CH373" s="567"/>
      <c r="CI373" s="567"/>
      <c r="CJ373" s="567"/>
      <c r="CK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  <c r="BW374" s="567"/>
      <c r="BX374" s="567"/>
      <c r="BY374" s="567"/>
      <c r="BZ374" s="567"/>
      <c r="CA374" s="567"/>
      <c r="CB374" s="567"/>
      <c r="CC374" s="567"/>
      <c r="CD374" s="567"/>
      <c r="CE374" s="567"/>
      <c r="CF374" s="567"/>
      <c r="CG374" s="567"/>
      <c r="CH374" s="567"/>
      <c r="CI374" s="567"/>
      <c r="CJ374" s="567"/>
      <c r="CK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  <c r="BW375" s="567"/>
      <c r="BX375" s="567"/>
      <c r="BY375" s="567"/>
      <c r="BZ375" s="567"/>
      <c r="CA375" s="567"/>
      <c r="CB375" s="567"/>
      <c r="CC375" s="567"/>
      <c r="CD375" s="567"/>
      <c r="CE375" s="567"/>
      <c r="CF375" s="567"/>
      <c r="CG375" s="567"/>
      <c r="CH375" s="567"/>
      <c r="CI375" s="567"/>
      <c r="CJ375" s="567"/>
      <c r="CK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  <c r="BW376" s="567"/>
      <c r="BX376" s="567"/>
      <c r="BY376" s="567"/>
      <c r="BZ376" s="567"/>
      <c r="CA376" s="567"/>
      <c r="CB376" s="567"/>
      <c r="CC376" s="567"/>
      <c r="CD376" s="567"/>
      <c r="CE376" s="567"/>
      <c r="CF376" s="567"/>
      <c r="CG376" s="567"/>
      <c r="CH376" s="567"/>
      <c r="CI376" s="567"/>
      <c r="CJ376" s="567"/>
      <c r="CK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  <c r="BW377" s="567"/>
      <c r="BX377" s="567"/>
      <c r="BY377" s="567"/>
      <c r="BZ377" s="567"/>
      <c r="CA377" s="567"/>
      <c r="CB377" s="567"/>
      <c r="CC377" s="567"/>
      <c r="CD377" s="567"/>
      <c r="CE377" s="567"/>
      <c r="CF377" s="567"/>
      <c r="CG377" s="567"/>
      <c r="CH377" s="567"/>
      <c r="CI377" s="567"/>
      <c r="CJ377" s="567"/>
      <c r="CK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  <c r="BW378" s="567"/>
      <c r="BX378" s="567"/>
      <c r="BY378" s="567"/>
      <c r="BZ378" s="567"/>
      <c r="CA378" s="567"/>
      <c r="CB378" s="567"/>
      <c r="CC378" s="567"/>
      <c r="CD378" s="567"/>
      <c r="CE378" s="567"/>
      <c r="CF378" s="567"/>
      <c r="CG378" s="567"/>
      <c r="CH378" s="567"/>
      <c r="CI378" s="567"/>
      <c r="CJ378" s="567"/>
      <c r="CK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  <c r="BW379" s="567"/>
      <c r="BX379" s="567"/>
      <c r="BY379" s="567"/>
      <c r="BZ379" s="567"/>
      <c r="CA379" s="567"/>
      <c r="CB379" s="567"/>
      <c r="CC379" s="567"/>
      <c r="CD379" s="567"/>
      <c r="CE379" s="567"/>
      <c r="CF379" s="567"/>
      <c r="CG379" s="567"/>
      <c r="CH379" s="567"/>
      <c r="CI379" s="567"/>
      <c r="CJ379" s="567"/>
      <c r="CK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  <c r="BW380" s="567"/>
      <c r="BX380" s="567"/>
      <c r="BY380" s="567"/>
      <c r="BZ380" s="567"/>
      <c r="CA380" s="567"/>
      <c r="CB380" s="567"/>
      <c r="CC380" s="567"/>
      <c r="CD380" s="567"/>
      <c r="CE380" s="567"/>
      <c r="CF380" s="567"/>
      <c r="CG380" s="567"/>
      <c r="CH380" s="567"/>
      <c r="CI380" s="567"/>
      <c r="CJ380" s="567"/>
      <c r="CK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  <c r="BW381" s="567"/>
      <c r="BX381" s="567"/>
      <c r="BY381" s="567"/>
      <c r="BZ381" s="567"/>
      <c r="CA381" s="567"/>
      <c r="CB381" s="567"/>
      <c r="CC381" s="567"/>
      <c r="CD381" s="567"/>
      <c r="CE381" s="567"/>
      <c r="CF381" s="567"/>
      <c r="CG381" s="567"/>
      <c r="CH381" s="567"/>
      <c r="CI381" s="567"/>
      <c r="CJ381" s="567"/>
      <c r="CK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  <c r="BW382" s="567"/>
      <c r="BX382" s="567"/>
      <c r="BY382" s="567"/>
      <c r="BZ382" s="567"/>
      <c r="CA382" s="567"/>
      <c r="CB382" s="567"/>
      <c r="CC382" s="567"/>
      <c r="CD382" s="567"/>
      <c r="CE382" s="567"/>
      <c r="CF382" s="567"/>
      <c r="CG382" s="567"/>
      <c r="CH382" s="567"/>
      <c r="CI382" s="567"/>
      <c r="CJ382" s="567"/>
      <c r="CK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  <c r="BW383" s="567"/>
      <c r="BX383" s="567"/>
      <c r="BY383" s="567"/>
      <c r="BZ383" s="567"/>
      <c r="CA383" s="567"/>
      <c r="CB383" s="567"/>
      <c r="CC383" s="567"/>
      <c r="CD383" s="567"/>
      <c r="CE383" s="567"/>
      <c r="CF383" s="567"/>
      <c r="CG383" s="567"/>
      <c r="CH383" s="567"/>
      <c r="CI383" s="567"/>
      <c r="CJ383" s="567"/>
      <c r="CK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  <c r="BW384" s="567"/>
      <c r="BX384" s="567"/>
      <c r="BY384" s="567"/>
      <c r="BZ384" s="567"/>
      <c r="CA384" s="567"/>
      <c r="CB384" s="567"/>
      <c r="CC384" s="567"/>
      <c r="CD384" s="567"/>
      <c r="CE384" s="567"/>
      <c r="CF384" s="567"/>
      <c r="CG384" s="567"/>
      <c r="CH384" s="567"/>
      <c r="CI384" s="567"/>
      <c r="CJ384" s="567"/>
      <c r="CK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  <c r="BW419" s="567"/>
      <c r="BX419" s="567"/>
      <c r="BY419" s="567"/>
      <c r="BZ419" s="567"/>
      <c r="CA419" s="567"/>
      <c r="CB419" s="567"/>
      <c r="CC419" s="567"/>
      <c r="CD419" s="567"/>
      <c r="CE419" s="567"/>
      <c r="CF419" s="567"/>
      <c r="CG419" s="567"/>
      <c r="CH419" s="567"/>
      <c r="CI419" s="567"/>
      <c r="CJ419" s="567"/>
      <c r="CK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  <c r="BW420" s="567"/>
      <c r="BX420" s="567"/>
      <c r="BY420" s="567"/>
      <c r="BZ420" s="567"/>
      <c r="CA420" s="567"/>
      <c r="CB420" s="567"/>
      <c r="CC420" s="567"/>
      <c r="CD420" s="567"/>
      <c r="CE420" s="567"/>
      <c r="CF420" s="567"/>
      <c r="CG420" s="567"/>
      <c r="CH420" s="567"/>
      <c r="CI420" s="567"/>
      <c r="CJ420" s="567"/>
      <c r="CK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  <c r="BW421" s="567"/>
      <c r="BX421" s="567"/>
      <c r="BY421" s="567"/>
      <c r="BZ421" s="567"/>
      <c r="CA421" s="567"/>
      <c r="CB421" s="567"/>
      <c r="CC421" s="567"/>
      <c r="CD421" s="567"/>
      <c r="CE421" s="567"/>
      <c r="CF421" s="567"/>
      <c r="CG421" s="567"/>
      <c r="CH421" s="567"/>
      <c r="CI421" s="567"/>
      <c r="CJ421" s="567"/>
      <c r="CK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  <c r="BW422" s="567"/>
      <c r="BX422" s="567"/>
      <c r="BY422" s="567"/>
      <c r="BZ422" s="567"/>
      <c r="CA422" s="567"/>
      <c r="CB422" s="567"/>
      <c r="CC422" s="567"/>
      <c r="CD422" s="567"/>
      <c r="CE422" s="567"/>
      <c r="CF422" s="567"/>
      <c r="CG422" s="567"/>
      <c r="CH422" s="567"/>
      <c r="CI422" s="567"/>
      <c r="CJ422" s="567"/>
      <c r="CK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  <c r="BW423" s="567"/>
      <c r="BX423" s="567"/>
      <c r="BY423" s="567"/>
      <c r="BZ423" s="567"/>
      <c r="CA423" s="567"/>
      <c r="CB423" s="567"/>
      <c r="CC423" s="567"/>
      <c r="CD423" s="567"/>
      <c r="CE423" s="567"/>
      <c r="CF423" s="567"/>
      <c r="CG423" s="567"/>
      <c r="CH423" s="567"/>
      <c r="CI423" s="567"/>
      <c r="CJ423" s="567"/>
      <c r="CK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  <c r="BW424" s="567"/>
      <c r="BX424" s="567"/>
      <c r="BY424" s="567"/>
      <c r="BZ424" s="567"/>
      <c r="CA424" s="567"/>
      <c r="CB424" s="567"/>
      <c r="CC424" s="567"/>
      <c r="CD424" s="567"/>
      <c r="CE424" s="567"/>
      <c r="CF424" s="567"/>
      <c r="CG424" s="567"/>
      <c r="CH424" s="567"/>
      <c r="CI424" s="567"/>
      <c r="CJ424" s="567"/>
      <c r="CK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  <c r="BW425" s="567"/>
      <c r="BX425" s="567"/>
      <c r="BY425" s="567"/>
      <c r="BZ425" s="567"/>
      <c r="CA425" s="567"/>
      <c r="CB425" s="567"/>
      <c r="CC425" s="567"/>
      <c r="CD425" s="567"/>
      <c r="CE425" s="567"/>
      <c r="CF425" s="567"/>
      <c r="CG425" s="567"/>
      <c r="CH425" s="567"/>
      <c r="CI425" s="567"/>
      <c r="CJ425" s="567"/>
      <c r="CK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  <c r="BW426" s="567"/>
      <c r="BX426" s="567"/>
      <c r="BY426" s="567"/>
      <c r="BZ426" s="567"/>
      <c r="CA426" s="567"/>
      <c r="CB426" s="567"/>
      <c r="CC426" s="567"/>
      <c r="CD426" s="567"/>
      <c r="CE426" s="567"/>
      <c r="CF426" s="567"/>
      <c r="CG426" s="567"/>
      <c r="CH426" s="567"/>
      <c r="CI426" s="567"/>
      <c r="CJ426" s="567"/>
      <c r="CK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  <c r="BW427" s="567"/>
      <c r="BX427" s="567"/>
      <c r="BY427" s="567"/>
      <c r="BZ427" s="567"/>
      <c r="CA427" s="567"/>
      <c r="CB427" s="567"/>
      <c r="CC427" s="567"/>
      <c r="CD427" s="567"/>
      <c r="CE427" s="567"/>
      <c r="CF427" s="567"/>
      <c r="CG427" s="567"/>
      <c r="CH427" s="567"/>
      <c r="CI427" s="567"/>
      <c r="CJ427" s="567"/>
      <c r="CK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  <c r="BW428" s="567"/>
      <c r="BX428" s="567"/>
      <c r="BY428" s="567"/>
      <c r="BZ428" s="567"/>
      <c r="CA428" s="567"/>
      <c r="CB428" s="567"/>
      <c r="CC428" s="567"/>
      <c r="CD428" s="567"/>
      <c r="CE428" s="567"/>
      <c r="CF428" s="567"/>
      <c r="CG428" s="567"/>
      <c r="CH428" s="567"/>
      <c r="CI428" s="567"/>
      <c r="CJ428" s="567"/>
      <c r="CK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  <c r="BW429" s="567"/>
      <c r="BX429" s="567"/>
      <c r="BY429" s="567"/>
      <c r="BZ429" s="567"/>
      <c r="CA429" s="567"/>
      <c r="CB429" s="567"/>
      <c r="CC429" s="567"/>
      <c r="CD429" s="567"/>
      <c r="CE429" s="567"/>
      <c r="CF429" s="567"/>
      <c r="CG429" s="567"/>
      <c r="CH429" s="567"/>
      <c r="CI429" s="567"/>
      <c r="CJ429" s="567"/>
      <c r="CK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  <c r="BW430" s="567"/>
      <c r="BX430" s="567"/>
      <c r="BY430" s="567"/>
      <c r="BZ430" s="567"/>
      <c r="CA430" s="567"/>
      <c r="CB430" s="567"/>
      <c r="CC430" s="567"/>
      <c r="CD430" s="567"/>
      <c r="CE430" s="567"/>
      <c r="CF430" s="567"/>
      <c r="CG430" s="567"/>
      <c r="CH430" s="567"/>
      <c r="CI430" s="567"/>
      <c r="CJ430" s="567"/>
      <c r="CK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  <c r="BW431" s="567"/>
      <c r="BX431" s="567"/>
      <c r="BY431" s="567"/>
      <c r="BZ431" s="567"/>
      <c r="CA431" s="567"/>
      <c r="CB431" s="567"/>
      <c r="CC431" s="567"/>
      <c r="CD431" s="567"/>
      <c r="CE431" s="567"/>
      <c r="CF431" s="567"/>
      <c r="CG431" s="567"/>
      <c r="CH431" s="567"/>
      <c r="CI431" s="567"/>
      <c r="CJ431" s="567"/>
      <c r="CK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  <c r="BW432" s="567"/>
      <c r="BX432" s="567"/>
      <c r="BY432" s="567"/>
      <c r="BZ432" s="567"/>
      <c r="CA432" s="567"/>
      <c r="CB432" s="567"/>
      <c r="CC432" s="567"/>
      <c r="CD432" s="567"/>
      <c r="CE432" s="567"/>
      <c r="CF432" s="567"/>
      <c r="CG432" s="567"/>
      <c r="CH432" s="567"/>
      <c r="CI432" s="567"/>
      <c r="CJ432" s="567"/>
      <c r="CK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  <c r="BW433" s="567"/>
      <c r="BX433" s="567"/>
      <c r="BY433" s="567"/>
      <c r="BZ433" s="567"/>
      <c r="CA433" s="567"/>
      <c r="CB433" s="567"/>
      <c r="CC433" s="567"/>
      <c r="CD433" s="567"/>
      <c r="CE433" s="567"/>
      <c r="CF433" s="567"/>
      <c r="CG433" s="567"/>
      <c r="CH433" s="567"/>
      <c r="CI433" s="567"/>
      <c r="CJ433" s="567"/>
      <c r="CK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  <c r="BW434" s="567"/>
      <c r="BX434" s="567"/>
      <c r="BY434" s="567"/>
      <c r="BZ434" s="567"/>
      <c r="CA434" s="567"/>
      <c r="CB434" s="567"/>
      <c r="CC434" s="567"/>
      <c r="CD434" s="567"/>
      <c r="CE434" s="567"/>
      <c r="CF434" s="567"/>
      <c r="CG434" s="567"/>
      <c r="CH434" s="567"/>
      <c r="CI434" s="567"/>
      <c r="CJ434" s="567"/>
      <c r="CK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  <c r="BW435" s="567"/>
      <c r="BX435" s="567"/>
      <c r="BY435" s="567"/>
      <c r="BZ435" s="567"/>
      <c r="CA435" s="567"/>
      <c r="CB435" s="567"/>
      <c r="CC435" s="567"/>
      <c r="CD435" s="567"/>
      <c r="CE435" s="567"/>
      <c r="CF435" s="567"/>
      <c r="CG435" s="567"/>
      <c r="CH435" s="567"/>
      <c r="CI435" s="567"/>
      <c r="CJ435" s="567"/>
      <c r="CK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  <c r="BW436" s="567"/>
      <c r="BX436" s="567"/>
      <c r="BY436" s="567"/>
      <c r="BZ436" s="567"/>
      <c r="CA436" s="567"/>
      <c r="CB436" s="567"/>
      <c r="CC436" s="567"/>
      <c r="CD436" s="567"/>
      <c r="CE436" s="567"/>
      <c r="CF436" s="567"/>
      <c r="CG436" s="567"/>
      <c r="CH436" s="567"/>
      <c r="CI436" s="567"/>
      <c r="CJ436" s="567"/>
      <c r="CK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  <c r="BW437" s="567"/>
      <c r="BX437" s="567"/>
      <c r="BY437" s="567"/>
      <c r="BZ437" s="567"/>
      <c r="CA437" s="567"/>
      <c r="CB437" s="567"/>
      <c r="CC437" s="567"/>
      <c r="CD437" s="567"/>
      <c r="CE437" s="567"/>
      <c r="CF437" s="567"/>
      <c r="CG437" s="567"/>
      <c r="CH437" s="567"/>
      <c r="CI437" s="567"/>
      <c r="CJ437" s="567"/>
      <c r="CK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  <c r="BW438" s="567"/>
      <c r="BX438" s="567"/>
      <c r="BY438" s="567"/>
      <c r="BZ438" s="567"/>
      <c r="CA438" s="567"/>
      <c r="CB438" s="567"/>
      <c r="CC438" s="567"/>
      <c r="CD438" s="567"/>
      <c r="CE438" s="567"/>
      <c r="CF438" s="567"/>
      <c r="CG438" s="567"/>
      <c r="CH438" s="567"/>
      <c r="CI438" s="567"/>
      <c r="CJ438" s="567"/>
      <c r="CK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  <c r="BW439" s="567"/>
      <c r="BX439" s="567"/>
      <c r="BY439" s="567"/>
      <c r="BZ439" s="567"/>
      <c r="CA439" s="567"/>
      <c r="CB439" s="567"/>
      <c r="CC439" s="567"/>
      <c r="CD439" s="567"/>
      <c r="CE439" s="567"/>
      <c r="CF439" s="567"/>
      <c r="CG439" s="567"/>
      <c r="CH439" s="567"/>
      <c r="CI439" s="567"/>
      <c r="CJ439" s="567"/>
      <c r="CK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  <c r="BW440" s="567"/>
      <c r="BX440" s="567"/>
      <c r="BY440" s="567"/>
      <c r="BZ440" s="567"/>
      <c r="CA440" s="567"/>
      <c r="CB440" s="567"/>
      <c r="CC440" s="567"/>
      <c r="CD440" s="567"/>
      <c r="CE440" s="567"/>
      <c r="CF440" s="567"/>
      <c r="CG440" s="567"/>
      <c r="CH440" s="567"/>
      <c r="CI440" s="567"/>
      <c r="CJ440" s="567"/>
      <c r="CK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  <c r="BW441" s="567"/>
      <c r="BX441" s="567"/>
      <c r="BY441" s="567"/>
      <c r="BZ441" s="567"/>
      <c r="CA441" s="567"/>
      <c r="CB441" s="567"/>
      <c r="CC441" s="567"/>
      <c r="CD441" s="567"/>
      <c r="CE441" s="567"/>
      <c r="CF441" s="567"/>
      <c r="CG441" s="567"/>
      <c r="CH441" s="567"/>
      <c r="CI441" s="567"/>
      <c r="CJ441" s="567"/>
      <c r="CK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  <c r="BW442" s="567"/>
      <c r="BX442" s="567"/>
      <c r="BY442" s="567"/>
      <c r="BZ442" s="567"/>
      <c r="CA442" s="567"/>
      <c r="CB442" s="567"/>
      <c r="CC442" s="567"/>
      <c r="CD442" s="567"/>
      <c r="CE442" s="567"/>
      <c r="CF442" s="567"/>
      <c r="CG442" s="567"/>
      <c r="CH442" s="567"/>
      <c r="CI442" s="567"/>
      <c r="CJ442" s="567"/>
      <c r="CK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  <c r="BW443" s="567"/>
      <c r="BX443" s="567"/>
      <c r="BY443" s="567"/>
      <c r="BZ443" s="567"/>
      <c r="CA443" s="567"/>
      <c r="CB443" s="567"/>
      <c r="CC443" s="567"/>
      <c r="CD443" s="567"/>
      <c r="CE443" s="567"/>
      <c r="CF443" s="567"/>
      <c r="CG443" s="567"/>
      <c r="CH443" s="567"/>
      <c r="CI443" s="567"/>
      <c r="CJ443" s="567"/>
      <c r="CK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  <c r="BW444" s="567"/>
      <c r="BX444" s="567"/>
      <c r="BY444" s="567"/>
      <c r="BZ444" s="567"/>
      <c r="CA444" s="567"/>
      <c r="CB444" s="567"/>
      <c r="CC444" s="567"/>
      <c r="CD444" s="567"/>
      <c r="CE444" s="567"/>
      <c r="CF444" s="567"/>
      <c r="CG444" s="567"/>
      <c r="CH444" s="567"/>
      <c r="CI444" s="567"/>
      <c r="CJ444" s="567"/>
      <c r="CK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  <c r="BW445" s="567"/>
      <c r="BX445" s="567"/>
      <c r="BY445" s="567"/>
      <c r="BZ445" s="567"/>
      <c r="CA445" s="567"/>
      <c r="CB445" s="567"/>
      <c r="CC445" s="567"/>
      <c r="CD445" s="567"/>
      <c r="CE445" s="567"/>
      <c r="CF445" s="567"/>
      <c r="CG445" s="567"/>
      <c r="CH445" s="567"/>
      <c r="CI445" s="567"/>
      <c r="CJ445" s="567"/>
      <c r="CK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  <c r="BW446" s="567"/>
      <c r="BX446" s="567"/>
      <c r="BY446" s="567"/>
      <c r="BZ446" s="567"/>
      <c r="CA446" s="567"/>
      <c r="CB446" s="567"/>
      <c r="CC446" s="567"/>
      <c r="CD446" s="567"/>
      <c r="CE446" s="567"/>
      <c r="CF446" s="567"/>
      <c r="CG446" s="567"/>
      <c r="CH446" s="567"/>
      <c r="CI446" s="567"/>
      <c r="CJ446" s="567"/>
      <c r="CK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  <c r="BW447" s="567"/>
      <c r="BX447" s="567"/>
      <c r="BY447" s="567"/>
      <c r="BZ447" s="567"/>
      <c r="CA447" s="567"/>
      <c r="CB447" s="567"/>
      <c r="CC447" s="567"/>
      <c r="CD447" s="567"/>
      <c r="CE447" s="567"/>
      <c r="CF447" s="567"/>
      <c r="CG447" s="567"/>
      <c r="CH447" s="567"/>
      <c r="CI447" s="567"/>
      <c r="CJ447" s="567"/>
      <c r="CK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  <c r="BW448" s="567"/>
      <c r="BX448" s="567"/>
      <c r="BY448" s="567"/>
      <c r="BZ448" s="567"/>
      <c r="CA448" s="567"/>
      <c r="CB448" s="567"/>
      <c r="CC448" s="567"/>
      <c r="CD448" s="567"/>
      <c r="CE448" s="567"/>
      <c r="CF448" s="567"/>
      <c r="CG448" s="567"/>
      <c r="CH448" s="567"/>
      <c r="CI448" s="567"/>
      <c r="CJ448" s="567"/>
      <c r="CK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  <c r="BW449" s="567"/>
      <c r="BX449" s="567"/>
      <c r="BY449" s="567"/>
      <c r="BZ449" s="567"/>
      <c r="CA449" s="567"/>
      <c r="CB449" s="567"/>
      <c r="CC449" s="567"/>
      <c r="CD449" s="567"/>
      <c r="CE449" s="567"/>
      <c r="CF449" s="567"/>
      <c r="CG449" s="567"/>
      <c r="CH449" s="567"/>
      <c r="CI449" s="567"/>
      <c r="CJ449" s="567"/>
      <c r="CK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  <c r="BW450" s="567"/>
      <c r="BX450" s="567"/>
      <c r="BY450" s="567"/>
      <c r="BZ450" s="567"/>
      <c r="CA450" s="567"/>
      <c r="CB450" s="567"/>
      <c r="CC450" s="567"/>
      <c r="CD450" s="567"/>
      <c r="CE450" s="567"/>
      <c r="CF450" s="567"/>
      <c r="CG450" s="567"/>
      <c r="CH450" s="567"/>
      <c r="CI450" s="567"/>
      <c r="CJ450" s="567"/>
      <c r="CK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  <c r="BW451" s="567"/>
      <c r="BX451" s="567"/>
      <c r="BY451" s="567"/>
      <c r="BZ451" s="567"/>
      <c r="CA451" s="567"/>
      <c r="CB451" s="567"/>
      <c r="CC451" s="567"/>
      <c r="CD451" s="567"/>
      <c r="CE451" s="567"/>
      <c r="CF451" s="567"/>
      <c r="CG451" s="567"/>
      <c r="CH451" s="567"/>
      <c r="CI451" s="567"/>
      <c r="CJ451" s="567"/>
      <c r="CK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  <c r="BW452" s="567"/>
      <c r="BX452" s="567"/>
      <c r="BY452" s="567"/>
      <c r="BZ452" s="567"/>
      <c r="CA452" s="567"/>
      <c r="CB452" s="567"/>
      <c r="CC452" s="567"/>
      <c r="CD452" s="567"/>
      <c r="CE452" s="567"/>
      <c r="CF452" s="567"/>
      <c r="CG452" s="567"/>
      <c r="CH452" s="567"/>
      <c r="CI452" s="567"/>
      <c r="CJ452" s="567"/>
      <c r="CK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  <c r="BW453" s="567"/>
      <c r="BX453" s="567"/>
      <c r="BY453" s="567"/>
      <c r="BZ453" s="567"/>
      <c r="CA453" s="567"/>
      <c r="CB453" s="567"/>
      <c r="CC453" s="567"/>
      <c r="CD453" s="567"/>
      <c r="CE453" s="567"/>
      <c r="CF453" s="567"/>
      <c r="CG453" s="567"/>
      <c r="CH453" s="567"/>
      <c r="CI453" s="567"/>
      <c r="CJ453" s="567"/>
      <c r="CK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  <c r="BW454" s="567"/>
      <c r="BX454" s="567"/>
      <c r="BY454" s="567"/>
      <c r="BZ454" s="567"/>
      <c r="CA454" s="567"/>
      <c r="CB454" s="567"/>
      <c r="CC454" s="567"/>
      <c r="CD454" s="567"/>
      <c r="CE454" s="567"/>
      <c r="CF454" s="567"/>
      <c r="CG454" s="567"/>
      <c r="CH454" s="567"/>
      <c r="CI454" s="567"/>
      <c r="CJ454" s="567"/>
      <c r="CK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  <c r="BW455" s="567"/>
      <c r="BX455" s="567"/>
      <c r="BY455" s="567"/>
      <c r="BZ455" s="567"/>
      <c r="CA455" s="567"/>
      <c r="CB455" s="567"/>
      <c r="CC455" s="567"/>
      <c r="CD455" s="567"/>
      <c r="CE455" s="567"/>
      <c r="CF455" s="567"/>
      <c r="CG455" s="567"/>
      <c r="CH455" s="567"/>
      <c r="CI455" s="567"/>
      <c r="CJ455" s="567"/>
      <c r="CK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  <c r="BW456" s="567"/>
      <c r="BX456" s="567"/>
      <c r="BY456" s="567"/>
      <c r="BZ456" s="567"/>
      <c r="CA456" s="567"/>
      <c r="CB456" s="567"/>
      <c r="CC456" s="567"/>
      <c r="CD456" s="567"/>
      <c r="CE456" s="567"/>
      <c r="CF456" s="567"/>
      <c r="CG456" s="567"/>
      <c r="CH456" s="567"/>
      <c r="CI456" s="567"/>
      <c r="CJ456" s="567"/>
      <c r="CK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  <c r="BW457" s="567"/>
      <c r="BX457" s="567"/>
      <c r="BY457" s="567"/>
      <c r="BZ457" s="567"/>
      <c r="CA457" s="567"/>
      <c r="CB457" s="567"/>
      <c r="CC457" s="567"/>
      <c r="CD457" s="567"/>
      <c r="CE457" s="567"/>
      <c r="CF457" s="567"/>
      <c r="CG457" s="567"/>
      <c r="CH457" s="567"/>
      <c r="CI457" s="567"/>
      <c r="CJ457" s="567"/>
      <c r="CK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  <c r="BW458" s="567"/>
      <c r="BX458" s="567"/>
      <c r="BY458" s="567"/>
      <c r="BZ458" s="567"/>
      <c r="CA458" s="567"/>
      <c r="CB458" s="567"/>
      <c r="CC458" s="567"/>
      <c r="CD458" s="567"/>
      <c r="CE458" s="567"/>
      <c r="CF458" s="567"/>
      <c r="CG458" s="567"/>
      <c r="CH458" s="567"/>
      <c r="CI458" s="567"/>
      <c r="CJ458" s="567"/>
      <c r="CK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  <c r="BW459" s="567"/>
      <c r="BX459" s="567"/>
      <c r="BY459" s="567"/>
      <c r="BZ459" s="567"/>
      <c r="CA459" s="567"/>
      <c r="CB459" s="567"/>
      <c r="CC459" s="567"/>
      <c r="CD459" s="567"/>
      <c r="CE459" s="567"/>
      <c r="CF459" s="567"/>
      <c r="CG459" s="567"/>
      <c r="CH459" s="567"/>
      <c r="CI459" s="567"/>
      <c r="CJ459" s="567"/>
      <c r="CK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  <c r="BW460" s="567"/>
      <c r="BX460" s="567"/>
      <c r="BY460" s="567"/>
      <c r="BZ460" s="567"/>
      <c r="CA460" s="567"/>
      <c r="CB460" s="567"/>
      <c r="CC460" s="567"/>
      <c r="CD460" s="567"/>
      <c r="CE460" s="567"/>
      <c r="CF460" s="567"/>
      <c r="CG460" s="567"/>
      <c r="CH460" s="567"/>
      <c r="CI460" s="567"/>
      <c r="CJ460" s="567"/>
      <c r="CK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  <c r="BW461" s="567"/>
      <c r="BX461" s="567"/>
      <c r="BY461" s="567"/>
      <c r="BZ461" s="567"/>
      <c r="CA461" s="567"/>
      <c r="CB461" s="567"/>
      <c r="CC461" s="567"/>
      <c r="CD461" s="567"/>
      <c r="CE461" s="567"/>
      <c r="CF461" s="567"/>
      <c r="CG461" s="567"/>
      <c r="CH461" s="567"/>
      <c r="CI461" s="567"/>
      <c r="CJ461" s="567"/>
      <c r="CK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  <c r="BW462" s="567"/>
      <c r="BX462" s="567"/>
      <c r="BY462" s="567"/>
      <c r="BZ462" s="567"/>
      <c r="CA462" s="567"/>
      <c r="CB462" s="567"/>
      <c r="CC462" s="567"/>
      <c r="CD462" s="567"/>
      <c r="CE462" s="567"/>
      <c r="CF462" s="567"/>
      <c r="CG462" s="567"/>
      <c r="CH462" s="567"/>
      <c r="CI462" s="567"/>
      <c r="CJ462" s="567"/>
      <c r="CK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  <c r="BW463" s="567"/>
      <c r="BX463" s="567"/>
      <c r="BY463" s="567"/>
      <c r="BZ463" s="567"/>
      <c r="CA463" s="567"/>
      <c r="CB463" s="567"/>
      <c r="CC463" s="567"/>
      <c r="CD463" s="567"/>
      <c r="CE463" s="567"/>
      <c r="CF463" s="567"/>
      <c r="CG463" s="567"/>
      <c r="CH463" s="567"/>
      <c r="CI463" s="567"/>
      <c r="CJ463" s="567"/>
      <c r="CK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  <c r="BW464" s="567"/>
      <c r="BX464" s="567"/>
      <c r="BY464" s="567"/>
      <c r="BZ464" s="567"/>
      <c r="CA464" s="567"/>
      <c r="CB464" s="567"/>
      <c r="CC464" s="567"/>
      <c r="CD464" s="567"/>
      <c r="CE464" s="567"/>
      <c r="CF464" s="567"/>
      <c r="CG464" s="567"/>
      <c r="CH464" s="567"/>
      <c r="CI464" s="567"/>
      <c r="CJ464" s="567"/>
      <c r="CK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  <c r="BW465" s="567"/>
      <c r="BX465" s="567"/>
      <c r="BY465" s="567"/>
      <c r="BZ465" s="567"/>
      <c r="CA465" s="567"/>
      <c r="CB465" s="567"/>
      <c r="CC465" s="567"/>
      <c r="CD465" s="567"/>
      <c r="CE465" s="567"/>
      <c r="CF465" s="567"/>
      <c r="CG465" s="567"/>
      <c r="CH465" s="567"/>
      <c r="CI465" s="567"/>
      <c r="CJ465" s="567"/>
      <c r="CK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  <c r="BW466" s="567"/>
      <c r="BX466" s="567"/>
      <c r="BY466" s="567"/>
      <c r="BZ466" s="567"/>
      <c r="CA466" s="567"/>
      <c r="CB466" s="567"/>
      <c r="CC466" s="567"/>
      <c r="CD466" s="567"/>
      <c r="CE466" s="567"/>
      <c r="CF466" s="567"/>
      <c r="CG466" s="567"/>
      <c r="CH466" s="567"/>
      <c r="CI466" s="567"/>
      <c r="CJ466" s="567"/>
      <c r="CK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  <c r="BW467" s="567"/>
      <c r="BX467" s="567"/>
      <c r="BY467" s="567"/>
      <c r="BZ467" s="567"/>
      <c r="CA467" s="567"/>
      <c r="CB467" s="567"/>
      <c r="CC467" s="567"/>
      <c r="CD467" s="567"/>
      <c r="CE467" s="567"/>
      <c r="CF467" s="567"/>
      <c r="CG467" s="567"/>
      <c r="CH467" s="567"/>
      <c r="CI467" s="567"/>
      <c r="CJ467" s="567"/>
      <c r="CK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  <c r="BW468" s="567"/>
      <c r="BX468" s="567"/>
      <c r="BY468" s="567"/>
      <c r="BZ468" s="567"/>
      <c r="CA468" s="567"/>
      <c r="CB468" s="567"/>
      <c r="CC468" s="567"/>
      <c r="CD468" s="567"/>
      <c r="CE468" s="567"/>
      <c r="CF468" s="567"/>
      <c r="CG468" s="567"/>
      <c r="CH468" s="567"/>
      <c r="CI468" s="567"/>
      <c r="CJ468" s="567"/>
      <c r="CK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  <c r="BW469" s="567"/>
      <c r="BX469" s="567"/>
      <c r="BY469" s="567"/>
      <c r="BZ469" s="567"/>
      <c r="CA469" s="567"/>
      <c r="CB469" s="567"/>
      <c r="CC469" s="567"/>
      <c r="CD469" s="567"/>
      <c r="CE469" s="567"/>
      <c r="CF469" s="567"/>
      <c r="CG469" s="567"/>
      <c r="CH469" s="567"/>
      <c r="CI469" s="567"/>
      <c r="CJ469" s="567"/>
      <c r="CK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  <c r="BW470" s="567"/>
      <c r="BX470" s="567"/>
      <c r="BY470" s="567"/>
      <c r="BZ470" s="567"/>
      <c r="CA470" s="567"/>
      <c r="CB470" s="567"/>
      <c r="CC470" s="567"/>
      <c r="CD470" s="567"/>
      <c r="CE470" s="567"/>
      <c r="CF470" s="567"/>
      <c r="CG470" s="567"/>
      <c r="CH470" s="567"/>
      <c r="CI470" s="567"/>
      <c r="CJ470" s="567"/>
      <c r="CK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  <c r="BW471" s="567"/>
      <c r="BX471" s="567"/>
      <c r="BY471" s="567"/>
      <c r="BZ471" s="567"/>
      <c r="CA471" s="567"/>
      <c r="CB471" s="567"/>
      <c r="CC471" s="567"/>
      <c r="CD471" s="567"/>
      <c r="CE471" s="567"/>
      <c r="CF471" s="567"/>
      <c r="CG471" s="567"/>
      <c r="CH471" s="567"/>
      <c r="CI471" s="567"/>
      <c r="CJ471" s="567"/>
      <c r="CK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  <c r="BW472" s="567"/>
      <c r="BX472" s="567"/>
      <c r="BY472" s="567"/>
      <c r="BZ472" s="567"/>
      <c r="CA472" s="567"/>
      <c r="CB472" s="567"/>
      <c r="CC472" s="567"/>
      <c r="CD472" s="567"/>
      <c r="CE472" s="567"/>
      <c r="CF472" s="567"/>
      <c r="CG472" s="567"/>
      <c r="CH472" s="567"/>
      <c r="CI472" s="567"/>
      <c r="CJ472" s="567"/>
      <c r="CK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  <c r="BW473" s="567"/>
      <c r="BX473" s="567"/>
      <c r="BY473" s="567"/>
      <c r="BZ473" s="567"/>
      <c r="CA473" s="567"/>
      <c r="CB473" s="567"/>
      <c r="CC473" s="567"/>
      <c r="CD473" s="567"/>
      <c r="CE473" s="567"/>
      <c r="CF473" s="567"/>
      <c r="CG473" s="567"/>
      <c r="CH473" s="567"/>
      <c r="CI473" s="567"/>
      <c r="CJ473" s="567"/>
      <c r="CK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  <c r="BW474" s="567"/>
      <c r="BX474" s="567"/>
      <c r="BY474" s="567"/>
      <c r="BZ474" s="567"/>
      <c r="CA474" s="567"/>
      <c r="CB474" s="567"/>
      <c r="CC474" s="567"/>
      <c r="CD474" s="567"/>
      <c r="CE474" s="567"/>
      <c r="CF474" s="567"/>
      <c r="CG474" s="567"/>
      <c r="CH474" s="567"/>
      <c r="CI474" s="567"/>
      <c r="CJ474" s="567"/>
      <c r="CK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  <c r="BW475" s="567"/>
      <c r="BX475" s="567"/>
      <c r="BY475" s="567"/>
      <c r="BZ475" s="567"/>
      <c r="CA475" s="567"/>
      <c r="CB475" s="567"/>
      <c r="CC475" s="567"/>
      <c r="CD475" s="567"/>
      <c r="CE475" s="567"/>
      <c r="CF475" s="567"/>
      <c r="CG475" s="567"/>
      <c r="CH475" s="567"/>
      <c r="CI475" s="567"/>
      <c r="CJ475" s="567"/>
      <c r="CK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  <c r="BW476" s="567"/>
      <c r="BX476" s="567"/>
      <c r="BY476" s="567"/>
      <c r="BZ476" s="567"/>
      <c r="CA476" s="567"/>
      <c r="CB476" s="567"/>
      <c r="CC476" s="567"/>
      <c r="CD476" s="567"/>
      <c r="CE476" s="567"/>
      <c r="CF476" s="567"/>
      <c r="CG476" s="567"/>
      <c r="CH476" s="567"/>
      <c r="CI476" s="567"/>
      <c r="CJ476" s="567"/>
      <c r="CK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  <c r="BW477" s="567"/>
      <c r="BX477" s="567"/>
      <c r="BY477" s="567"/>
      <c r="BZ477" s="567"/>
      <c r="CA477" s="567"/>
      <c r="CB477" s="567"/>
      <c r="CC477" s="567"/>
      <c r="CD477" s="567"/>
      <c r="CE477" s="567"/>
      <c r="CF477" s="567"/>
      <c r="CG477" s="567"/>
      <c r="CH477" s="567"/>
      <c r="CI477" s="567"/>
      <c r="CJ477" s="567"/>
      <c r="CK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  <c r="BW478" s="567"/>
      <c r="BX478" s="567"/>
      <c r="BY478" s="567"/>
      <c r="BZ478" s="567"/>
      <c r="CA478" s="567"/>
      <c r="CB478" s="567"/>
      <c r="CC478" s="567"/>
      <c r="CD478" s="567"/>
      <c r="CE478" s="567"/>
      <c r="CF478" s="567"/>
      <c r="CG478" s="567"/>
      <c r="CH478" s="567"/>
      <c r="CI478" s="567"/>
      <c r="CJ478" s="567"/>
      <c r="CK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  <c r="BW479" s="567"/>
      <c r="BX479" s="567"/>
      <c r="BY479" s="567"/>
      <c r="BZ479" s="567"/>
      <c r="CA479" s="567"/>
      <c r="CB479" s="567"/>
      <c r="CC479" s="567"/>
      <c r="CD479" s="567"/>
      <c r="CE479" s="567"/>
      <c r="CF479" s="567"/>
      <c r="CG479" s="567"/>
      <c r="CH479" s="567"/>
      <c r="CI479" s="567"/>
      <c r="CJ479" s="567"/>
      <c r="CK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  <c r="BW480" s="567"/>
      <c r="BX480" s="567"/>
      <c r="BY480" s="567"/>
      <c r="BZ480" s="567"/>
      <c r="CA480" s="567"/>
      <c r="CB480" s="567"/>
      <c r="CC480" s="567"/>
      <c r="CD480" s="567"/>
      <c r="CE480" s="567"/>
      <c r="CF480" s="567"/>
      <c r="CG480" s="567"/>
      <c r="CH480" s="567"/>
      <c r="CI480" s="567"/>
      <c r="CJ480" s="567"/>
      <c r="CK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  <c r="BW481" s="567"/>
      <c r="BX481" s="567"/>
      <c r="BY481" s="567"/>
      <c r="BZ481" s="567"/>
      <c r="CA481" s="567"/>
      <c r="CB481" s="567"/>
      <c r="CC481" s="567"/>
      <c r="CD481" s="567"/>
      <c r="CE481" s="567"/>
      <c r="CF481" s="567"/>
      <c r="CG481" s="567"/>
      <c r="CH481" s="567"/>
      <c r="CI481" s="567"/>
      <c r="CJ481" s="567"/>
      <c r="CK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  <c r="BW482" s="567"/>
      <c r="BX482" s="567"/>
      <c r="BY482" s="567"/>
      <c r="BZ482" s="567"/>
      <c r="CA482" s="567"/>
      <c r="CB482" s="567"/>
      <c r="CC482" s="567"/>
      <c r="CD482" s="567"/>
      <c r="CE482" s="567"/>
      <c r="CF482" s="567"/>
      <c r="CG482" s="567"/>
      <c r="CH482" s="567"/>
      <c r="CI482" s="567"/>
      <c r="CJ482" s="567"/>
      <c r="CK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  <c r="BW483" s="567"/>
      <c r="BX483" s="567"/>
      <c r="BY483" s="567"/>
      <c r="BZ483" s="567"/>
      <c r="CA483" s="567"/>
      <c r="CB483" s="567"/>
      <c r="CC483" s="567"/>
      <c r="CD483" s="567"/>
      <c r="CE483" s="567"/>
      <c r="CF483" s="567"/>
      <c r="CG483" s="567"/>
      <c r="CH483" s="567"/>
      <c r="CI483" s="567"/>
      <c r="CJ483" s="567"/>
      <c r="CK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  <c r="BW484" s="567"/>
      <c r="BX484" s="567"/>
      <c r="BY484" s="567"/>
      <c r="BZ484" s="567"/>
      <c r="CA484" s="567"/>
      <c r="CB484" s="567"/>
      <c r="CC484" s="567"/>
      <c r="CD484" s="567"/>
      <c r="CE484" s="567"/>
      <c r="CF484" s="567"/>
      <c r="CG484" s="567"/>
      <c r="CH484" s="567"/>
      <c r="CI484" s="567"/>
      <c r="CJ484" s="567"/>
      <c r="CK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  <c r="BW485" s="567"/>
      <c r="BX485" s="567"/>
      <c r="BY485" s="567"/>
      <c r="BZ485" s="567"/>
      <c r="CA485" s="567"/>
      <c r="CB485" s="567"/>
      <c r="CC485" s="567"/>
      <c r="CD485" s="567"/>
      <c r="CE485" s="567"/>
      <c r="CF485" s="567"/>
      <c r="CG485" s="567"/>
      <c r="CH485" s="567"/>
      <c r="CI485" s="567"/>
      <c r="CJ485" s="567"/>
      <c r="CK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  <c r="BW486" s="567"/>
      <c r="BX486" s="567"/>
      <c r="BY486" s="567"/>
      <c r="BZ486" s="567"/>
      <c r="CA486" s="567"/>
      <c r="CB486" s="567"/>
      <c r="CC486" s="567"/>
      <c r="CD486" s="567"/>
      <c r="CE486" s="567"/>
      <c r="CF486" s="567"/>
      <c r="CG486" s="567"/>
      <c r="CH486" s="567"/>
      <c r="CI486" s="567"/>
      <c r="CJ486" s="567"/>
      <c r="CK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  <c r="BW487" s="567"/>
      <c r="BX487" s="567"/>
      <c r="BY487" s="567"/>
      <c r="BZ487" s="567"/>
      <c r="CA487" s="567"/>
      <c r="CB487" s="567"/>
      <c r="CC487" s="567"/>
      <c r="CD487" s="567"/>
      <c r="CE487" s="567"/>
      <c r="CF487" s="567"/>
      <c r="CG487" s="567"/>
      <c r="CH487" s="567"/>
      <c r="CI487" s="567"/>
      <c r="CJ487" s="567"/>
      <c r="CK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  <c r="BW488" s="567"/>
      <c r="BX488" s="567"/>
      <c r="BY488" s="567"/>
      <c r="BZ488" s="567"/>
      <c r="CA488" s="567"/>
      <c r="CB488" s="567"/>
      <c r="CC488" s="567"/>
      <c r="CD488" s="567"/>
      <c r="CE488" s="567"/>
      <c r="CF488" s="567"/>
      <c r="CG488" s="567"/>
      <c r="CH488" s="567"/>
      <c r="CI488" s="567"/>
      <c r="CJ488" s="567"/>
      <c r="CK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  <c r="BW489" s="567"/>
      <c r="BX489" s="567"/>
      <c r="BY489" s="567"/>
      <c r="BZ489" s="567"/>
      <c r="CA489" s="567"/>
      <c r="CB489" s="567"/>
      <c r="CC489" s="567"/>
      <c r="CD489" s="567"/>
      <c r="CE489" s="567"/>
      <c r="CF489" s="567"/>
      <c r="CG489" s="567"/>
      <c r="CH489" s="567"/>
      <c r="CI489" s="567"/>
      <c r="CJ489" s="567"/>
      <c r="CK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  <c r="BW490" s="567"/>
      <c r="BX490" s="567"/>
      <c r="BY490" s="567"/>
      <c r="BZ490" s="567"/>
      <c r="CA490" s="567"/>
      <c r="CB490" s="567"/>
      <c r="CC490" s="567"/>
      <c r="CD490" s="567"/>
      <c r="CE490" s="567"/>
      <c r="CF490" s="567"/>
      <c r="CG490" s="567"/>
      <c r="CH490" s="567"/>
      <c r="CI490" s="567"/>
      <c r="CJ490" s="567"/>
      <c r="CK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  <c r="BW491" s="567"/>
      <c r="BX491" s="567"/>
      <c r="BY491" s="567"/>
      <c r="BZ491" s="567"/>
      <c r="CA491" s="567"/>
      <c r="CB491" s="567"/>
      <c r="CC491" s="567"/>
      <c r="CD491" s="567"/>
      <c r="CE491" s="567"/>
      <c r="CF491" s="567"/>
      <c r="CG491" s="567"/>
      <c r="CH491" s="567"/>
      <c r="CI491" s="567"/>
      <c r="CJ491" s="567"/>
      <c r="CK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  <c r="BW492" s="567"/>
      <c r="BX492" s="567"/>
      <c r="BY492" s="567"/>
      <c r="BZ492" s="567"/>
      <c r="CA492" s="567"/>
      <c r="CB492" s="567"/>
      <c r="CC492" s="567"/>
      <c r="CD492" s="567"/>
      <c r="CE492" s="567"/>
      <c r="CF492" s="567"/>
      <c r="CG492" s="567"/>
      <c r="CH492" s="567"/>
      <c r="CI492" s="567"/>
      <c r="CJ492" s="567"/>
      <c r="CK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  <c r="BW493" s="567"/>
      <c r="BX493" s="567"/>
      <c r="BY493" s="567"/>
      <c r="BZ493" s="567"/>
      <c r="CA493" s="567"/>
      <c r="CB493" s="567"/>
      <c r="CC493" s="567"/>
      <c r="CD493" s="567"/>
      <c r="CE493" s="567"/>
      <c r="CF493" s="567"/>
      <c r="CG493" s="567"/>
      <c r="CH493" s="567"/>
      <c r="CI493" s="567"/>
      <c r="CJ493" s="567"/>
      <c r="CK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  <c r="BW494" s="567"/>
      <c r="BX494" s="567"/>
      <c r="BY494" s="567"/>
      <c r="BZ494" s="567"/>
      <c r="CA494" s="567"/>
      <c r="CB494" s="567"/>
      <c r="CC494" s="567"/>
      <c r="CD494" s="567"/>
      <c r="CE494" s="567"/>
      <c r="CF494" s="567"/>
      <c r="CG494" s="567"/>
      <c r="CH494" s="567"/>
      <c r="CI494" s="567"/>
      <c r="CJ494" s="567"/>
      <c r="CK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  <c r="BW495" s="567"/>
      <c r="BX495" s="567"/>
      <c r="BY495" s="567"/>
      <c r="BZ495" s="567"/>
      <c r="CA495" s="567"/>
      <c r="CB495" s="567"/>
      <c r="CC495" s="567"/>
      <c r="CD495" s="567"/>
      <c r="CE495" s="567"/>
      <c r="CF495" s="567"/>
      <c r="CG495" s="567"/>
      <c r="CH495" s="567"/>
      <c r="CI495" s="567"/>
      <c r="CJ495" s="567"/>
      <c r="CK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  <c r="BW496" s="567"/>
      <c r="BX496" s="567"/>
      <c r="BY496" s="567"/>
      <c r="BZ496" s="567"/>
      <c r="CA496" s="567"/>
      <c r="CB496" s="567"/>
      <c r="CC496" s="567"/>
      <c r="CD496" s="567"/>
      <c r="CE496" s="567"/>
      <c r="CF496" s="567"/>
      <c r="CG496" s="567"/>
      <c r="CH496" s="567"/>
      <c r="CI496" s="567"/>
      <c r="CJ496" s="567"/>
      <c r="CK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  <c r="BW497" s="567"/>
      <c r="BX497" s="567"/>
      <c r="BY497" s="567"/>
      <c r="BZ497" s="567"/>
      <c r="CA497" s="567"/>
      <c r="CB497" s="567"/>
      <c r="CC497" s="567"/>
      <c r="CD497" s="567"/>
      <c r="CE497" s="567"/>
      <c r="CF497" s="567"/>
      <c r="CG497" s="567"/>
      <c r="CH497" s="567"/>
      <c r="CI497" s="567"/>
      <c r="CJ497" s="567"/>
      <c r="CK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  <c r="BW498" s="567"/>
      <c r="BX498" s="567"/>
      <c r="BY498" s="567"/>
      <c r="BZ498" s="567"/>
      <c r="CA498" s="567"/>
      <c r="CB498" s="567"/>
      <c r="CC498" s="567"/>
      <c r="CD498" s="567"/>
      <c r="CE498" s="567"/>
      <c r="CF498" s="567"/>
      <c r="CG498" s="567"/>
      <c r="CH498" s="567"/>
      <c r="CI498" s="567"/>
      <c r="CJ498" s="567"/>
      <c r="CK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  <c r="BW499" s="567"/>
      <c r="BX499" s="567"/>
      <c r="BY499" s="567"/>
      <c r="BZ499" s="567"/>
      <c r="CA499" s="567"/>
      <c r="CB499" s="567"/>
      <c r="CC499" s="567"/>
      <c r="CD499" s="567"/>
      <c r="CE499" s="567"/>
      <c r="CF499" s="567"/>
      <c r="CG499" s="567"/>
      <c r="CH499" s="567"/>
      <c r="CI499" s="567"/>
      <c r="CJ499" s="567"/>
      <c r="CK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  <c r="BW500" s="567"/>
      <c r="BX500" s="567"/>
      <c r="BY500" s="567"/>
      <c r="BZ500" s="567"/>
      <c r="CA500" s="567"/>
      <c r="CB500" s="567"/>
      <c r="CC500" s="567"/>
      <c r="CD500" s="567"/>
      <c r="CE500" s="567"/>
      <c r="CF500" s="567"/>
      <c r="CG500" s="567"/>
      <c r="CH500" s="567"/>
      <c r="CI500" s="567"/>
      <c r="CJ500" s="567"/>
      <c r="CK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  <c r="BW501" s="567"/>
      <c r="BX501" s="567"/>
      <c r="BY501" s="567"/>
      <c r="BZ501" s="567"/>
      <c r="CA501" s="567"/>
      <c r="CB501" s="567"/>
      <c r="CC501" s="567"/>
      <c r="CD501" s="567"/>
      <c r="CE501" s="567"/>
      <c r="CF501" s="567"/>
      <c r="CG501" s="567"/>
      <c r="CH501" s="567"/>
      <c r="CI501" s="567"/>
      <c r="CJ501" s="567"/>
      <c r="CK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  <c r="BW502" s="567"/>
      <c r="BX502" s="567"/>
      <c r="BY502" s="567"/>
      <c r="BZ502" s="567"/>
      <c r="CA502" s="567"/>
      <c r="CB502" s="567"/>
      <c r="CC502" s="567"/>
      <c r="CD502" s="567"/>
      <c r="CE502" s="567"/>
      <c r="CF502" s="567"/>
      <c r="CG502" s="567"/>
      <c r="CH502" s="567"/>
      <c r="CI502" s="567"/>
      <c r="CJ502" s="567"/>
      <c r="CK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  <c r="BW503" s="567"/>
      <c r="BX503" s="567"/>
      <c r="BY503" s="567"/>
      <c r="BZ503" s="567"/>
      <c r="CA503" s="567"/>
      <c r="CB503" s="567"/>
      <c r="CC503" s="567"/>
      <c r="CD503" s="567"/>
      <c r="CE503" s="567"/>
      <c r="CF503" s="567"/>
      <c r="CG503" s="567"/>
      <c r="CH503" s="567"/>
      <c r="CI503" s="567"/>
      <c r="CJ503" s="567"/>
      <c r="CK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  <c r="BW504" s="567"/>
      <c r="BX504" s="567"/>
      <c r="BY504" s="567"/>
      <c r="BZ504" s="567"/>
      <c r="CA504" s="567"/>
      <c r="CB504" s="567"/>
      <c r="CC504" s="567"/>
      <c r="CD504" s="567"/>
      <c r="CE504" s="567"/>
      <c r="CF504" s="567"/>
      <c r="CG504" s="567"/>
      <c r="CH504" s="567"/>
      <c r="CI504" s="567"/>
      <c r="CJ504" s="567"/>
      <c r="CK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  <c r="BW505" s="567"/>
      <c r="BX505" s="567"/>
      <c r="BY505" s="567"/>
      <c r="BZ505" s="567"/>
      <c r="CA505" s="567"/>
      <c r="CB505" s="567"/>
      <c r="CC505" s="567"/>
      <c r="CD505" s="567"/>
      <c r="CE505" s="567"/>
      <c r="CF505" s="567"/>
      <c r="CG505" s="567"/>
      <c r="CH505" s="567"/>
      <c r="CI505" s="567"/>
      <c r="CJ505" s="567"/>
      <c r="CK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  <c r="BW506" s="567"/>
      <c r="BX506" s="567"/>
      <c r="BY506" s="567"/>
      <c r="BZ506" s="567"/>
      <c r="CA506" s="567"/>
      <c r="CB506" s="567"/>
      <c r="CC506" s="567"/>
      <c r="CD506" s="567"/>
      <c r="CE506" s="567"/>
      <c r="CF506" s="567"/>
      <c r="CG506" s="567"/>
      <c r="CH506" s="567"/>
      <c r="CI506" s="567"/>
      <c r="CJ506" s="567"/>
      <c r="CK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  <c r="BW507" s="567"/>
      <c r="BX507" s="567"/>
      <c r="BY507" s="567"/>
      <c r="BZ507" s="567"/>
      <c r="CA507" s="567"/>
      <c r="CB507" s="567"/>
      <c r="CC507" s="567"/>
      <c r="CD507" s="567"/>
      <c r="CE507" s="567"/>
      <c r="CF507" s="567"/>
      <c r="CG507" s="567"/>
      <c r="CH507" s="567"/>
      <c r="CI507" s="567"/>
      <c r="CJ507" s="567"/>
      <c r="CK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  <c r="BW508" s="567"/>
      <c r="BX508" s="567"/>
      <c r="BY508" s="567"/>
      <c r="BZ508" s="567"/>
      <c r="CA508" s="567"/>
      <c r="CB508" s="567"/>
      <c r="CC508" s="567"/>
      <c r="CD508" s="567"/>
      <c r="CE508" s="567"/>
      <c r="CF508" s="567"/>
      <c r="CG508" s="567"/>
      <c r="CH508" s="567"/>
      <c r="CI508" s="567"/>
      <c r="CJ508" s="567"/>
      <c r="CK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  <c r="BW509" s="567"/>
      <c r="BX509" s="567"/>
      <c r="BY509" s="567"/>
      <c r="BZ509" s="567"/>
      <c r="CA509" s="567"/>
      <c r="CB509" s="567"/>
      <c r="CC509" s="567"/>
      <c r="CD509" s="567"/>
      <c r="CE509" s="567"/>
      <c r="CF509" s="567"/>
      <c r="CG509" s="567"/>
      <c r="CH509" s="567"/>
      <c r="CI509" s="567"/>
      <c r="CJ509" s="567"/>
      <c r="CK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  <c r="BW510" s="567"/>
      <c r="BX510" s="567"/>
      <c r="BY510" s="567"/>
      <c r="BZ510" s="567"/>
      <c r="CA510" s="567"/>
      <c r="CB510" s="567"/>
      <c r="CC510" s="567"/>
      <c r="CD510" s="567"/>
      <c r="CE510" s="567"/>
      <c r="CF510" s="567"/>
      <c r="CG510" s="567"/>
      <c r="CH510" s="567"/>
      <c r="CI510" s="567"/>
      <c r="CJ510" s="567"/>
      <c r="CK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  <c r="BW511" s="567"/>
      <c r="BX511" s="567"/>
      <c r="BY511" s="567"/>
      <c r="BZ511" s="567"/>
      <c r="CA511" s="567"/>
      <c r="CB511" s="567"/>
      <c r="CC511" s="567"/>
      <c r="CD511" s="567"/>
      <c r="CE511" s="567"/>
      <c r="CF511" s="567"/>
      <c r="CG511" s="567"/>
      <c r="CH511" s="567"/>
      <c r="CI511" s="567"/>
      <c r="CJ511" s="567"/>
      <c r="CK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  <c r="BW512" s="567"/>
      <c r="BX512" s="567"/>
      <c r="BY512" s="567"/>
      <c r="BZ512" s="567"/>
      <c r="CA512" s="567"/>
      <c r="CB512" s="567"/>
      <c r="CC512" s="567"/>
      <c r="CD512" s="567"/>
      <c r="CE512" s="567"/>
      <c r="CF512" s="567"/>
      <c r="CG512" s="567"/>
      <c r="CH512" s="567"/>
      <c r="CI512" s="567"/>
      <c r="CJ512" s="567"/>
      <c r="CK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  <c r="BW513" s="567"/>
      <c r="BX513" s="567"/>
      <c r="BY513" s="567"/>
      <c r="BZ513" s="567"/>
      <c r="CA513" s="567"/>
      <c r="CB513" s="567"/>
      <c r="CC513" s="567"/>
      <c r="CD513" s="567"/>
      <c r="CE513" s="567"/>
      <c r="CF513" s="567"/>
      <c r="CG513" s="567"/>
      <c r="CH513" s="567"/>
      <c r="CI513" s="567"/>
      <c r="CJ513" s="567"/>
      <c r="CK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  <c r="BW514" s="567"/>
      <c r="BX514" s="567"/>
      <c r="BY514" s="567"/>
      <c r="BZ514" s="567"/>
      <c r="CA514" s="567"/>
      <c r="CB514" s="567"/>
      <c r="CC514" s="567"/>
      <c r="CD514" s="567"/>
      <c r="CE514" s="567"/>
      <c r="CF514" s="567"/>
      <c r="CG514" s="567"/>
      <c r="CH514" s="567"/>
      <c r="CI514" s="567"/>
      <c r="CJ514" s="567"/>
      <c r="CK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  <c r="BW515" s="567"/>
      <c r="BX515" s="567"/>
      <c r="BY515" s="567"/>
      <c r="BZ515" s="567"/>
      <c r="CA515" s="567"/>
      <c r="CB515" s="567"/>
      <c r="CC515" s="567"/>
      <c r="CD515" s="567"/>
      <c r="CE515" s="567"/>
      <c r="CF515" s="567"/>
      <c r="CG515" s="567"/>
      <c r="CH515" s="567"/>
      <c r="CI515" s="567"/>
      <c r="CJ515" s="567"/>
      <c r="CK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  <c r="BW516" s="567"/>
      <c r="BX516" s="567"/>
      <c r="BY516" s="567"/>
      <c r="BZ516" s="567"/>
      <c r="CA516" s="567"/>
      <c r="CB516" s="567"/>
      <c r="CC516" s="567"/>
      <c r="CD516" s="567"/>
      <c r="CE516" s="567"/>
      <c r="CF516" s="567"/>
      <c r="CG516" s="567"/>
      <c r="CH516" s="567"/>
      <c r="CI516" s="567"/>
      <c r="CJ516" s="567"/>
      <c r="CK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  <c r="BW517" s="567"/>
      <c r="BX517" s="567"/>
      <c r="BY517" s="567"/>
      <c r="BZ517" s="567"/>
      <c r="CA517" s="567"/>
      <c r="CB517" s="567"/>
      <c r="CC517" s="567"/>
      <c r="CD517" s="567"/>
      <c r="CE517" s="567"/>
      <c r="CF517" s="567"/>
      <c r="CG517" s="567"/>
      <c r="CH517" s="567"/>
      <c r="CI517" s="567"/>
      <c r="CJ517" s="567"/>
      <c r="CK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  <c r="BW518" s="567"/>
      <c r="BX518" s="567"/>
      <c r="BY518" s="567"/>
      <c r="BZ518" s="567"/>
      <c r="CA518" s="567"/>
      <c r="CB518" s="567"/>
      <c r="CC518" s="567"/>
      <c r="CD518" s="567"/>
      <c r="CE518" s="567"/>
      <c r="CF518" s="567"/>
      <c r="CG518" s="567"/>
      <c r="CH518" s="567"/>
      <c r="CI518" s="567"/>
      <c r="CJ518" s="567"/>
      <c r="CK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  <c r="BW519" s="567"/>
      <c r="BX519" s="567"/>
      <c r="BY519" s="567"/>
      <c r="BZ519" s="567"/>
      <c r="CA519" s="567"/>
      <c r="CB519" s="567"/>
      <c r="CC519" s="567"/>
      <c r="CD519" s="567"/>
      <c r="CE519" s="567"/>
      <c r="CF519" s="567"/>
      <c r="CG519" s="567"/>
      <c r="CH519" s="567"/>
      <c r="CI519" s="567"/>
      <c r="CJ519" s="567"/>
      <c r="CK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  <c r="BW520" s="567"/>
      <c r="BX520" s="567"/>
      <c r="BY520" s="567"/>
      <c r="BZ520" s="567"/>
      <c r="CA520" s="567"/>
      <c r="CB520" s="567"/>
      <c r="CC520" s="567"/>
      <c r="CD520" s="567"/>
      <c r="CE520" s="567"/>
      <c r="CF520" s="567"/>
      <c r="CG520" s="567"/>
      <c r="CH520" s="567"/>
      <c r="CI520" s="567"/>
      <c r="CJ520" s="567"/>
      <c r="CK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  <c r="BW521" s="567"/>
      <c r="BX521" s="567"/>
      <c r="BY521" s="567"/>
      <c r="BZ521" s="567"/>
      <c r="CA521" s="567"/>
      <c r="CB521" s="567"/>
      <c r="CC521" s="567"/>
      <c r="CD521" s="567"/>
      <c r="CE521" s="567"/>
      <c r="CF521" s="567"/>
      <c r="CG521" s="567"/>
      <c r="CH521" s="567"/>
      <c r="CI521" s="567"/>
      <c r="CJ521" s="567"/>
      <c r="CK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  <c r="BW522" s="567"/>
      <c r="BX522" s="567"/>
      <c r="BY522" s="567"/>
      <c r="BZ522" s="567"/>
      <c r="CA522" s="567"/>
      <c r="CB522" s="567"/>
      <c r="CC522" s="567"/>
      <c r="CD522" s="567"/>
      <c r="CE522" s="567"/>
      <c r="CF522" s="567"/>
      <c r="CG522" s="567"/>
      <c r="CH522" s="567"/>
      <c r="CI522" s="567"/>
      <c r="CJ522" s="567"/>
      <c r="CK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  <c r="BW523" s="567"/>
      <c r="BX523" s="567"/>
      <c r="BY523" s="567"/>
      <c r="BZ523" s="567"/>
      <c r="CA523" s="567"/>
      <c r="CB523" s="567"/>
      <c r="CC523" s="567"/>
      <c r="CD523" s="567"/>
      <c r="CE523" s="567"/>
      <c r="CF523" s="567"/>
      <c r="CG523" s="567"/>
      <c r="CH523" s="567"/>
      <c r="CI523" s="567"/>
      <c r="CJ523" s="567"/>
      <c r="CK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  <c r="BW524" s="567"/>
      <c r="BX524" s="567"/>
      <c r="BY524" s="567"/>
      <c r="BZ524" s="567"/>
      <c r="CA524" s="567"/>
      <c r="CB524" s="567"/>
      <c r="CC524" s="567"/>
      <c r="CD524" s="567"/>
      <c r="CE524" s="567"/>
      <c r="CF524" s="567"/>
      <c r="CG524" s="567"/>
      <c r="CH524" s="567"/>
      <c r="CI524" s="567"/>
      <c r="CJ524" s="567"/>
      <c r="CK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  <c r="BW525" s="567"/>
      <c r="BX525" s="567"/>
      <c r="BY525" s="567"/>
      <c r="BZ525" s="567"/>
      <c r="CA525" s="567"/>
      <c r="CB525" s="567"/>
      <c r="CC525" s="567"/>
      <c r="CD525" s="567"/>
      <c r="CE525" s="567"/>
      <c r="CF525" s="567"/>
      <c r="CG525" s="567"/>
      <c r="CH525" s="567"/>
      <c r="CI525" s="567"/>
      <c r="CJ525" s="567"/>
      <c r="CK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  <c r="BW526" s="567"/>
      <c r="BX526" s="567"/>
      <c r="BY526" s="567"/>
      <c r="BZ526" s="567"/>
      <c r="CA526" s="567"/>
      <c r="CB526" s="567"/>
      <c r="CC526" s="567"/>
      <c r="CD526" s="567"/>
      <c r="CE526" s="567"/>
      <c r="CF526" s="567"/>
      <c r="CG526" s="567"/>
      <c r="CH526" s="567"/>
      <c r="CI526" s="567"/>
      <c r="CJ526" s="567"/>
      <c r="CK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  <c r="BW527" s="567"/>
      <c r="BX527" s="567"/>
      <c r="BY527" s="567"/>
      <c r="BZ527" s="567"/>
      <c r="CA527" s="567"/>
      <c r="CB527" s="567"/>
      <c r="CC527" s="567"/>
      <c r="CD527" s="567"/>
      <c r="CE527" s="567"/>
      <c r="CF527" s="567"/>
      <c r="CG527" s="567"/>
      <c r="CH527" s="567"/>
      <c r="CI527" s="567"/>
      <c r="CJ527" s="567"/>
      <c r="CK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  <c r="BW528" s="567"/>
      <c r="BX528" s="567"/>
      <c r="BY528" s="567"/>
      <c r="BZ528" s="567"/>
      <c r="CA528" s="567"/>
      <c r="CB528" s="567"/>
      <c r="CC528" s="567"/>
      <c r="CD528" s="567"/>
      <c r="CE528" s="567"/>
      <c r="CF528" s="567"/>
      <c r="CG528" s="567"/>
      <c r="CH528" s="567"/>
      <c r="CI528" s="567"/>
      <c r="CJ528" s="567"/>
      <c r="CK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  <c r="BW529" s="567"/>
      <c r="BX529" s="567"/>
      <c r="BY529" s="567"/>
      <c r="BZ529" s="567"/>
      <c r="CA529" s="567"/>
      <c r="CB529" s="567"/>
      <c r="CC529" s="567"/>
      <c r="CD529" s="567"/>
      <c r="CE529" s="567"/>
      <c r="CF529" s="567"/>
      <c r="CG529" s="567"/>
      <c r="CH529" s="567"/>
      <c r="CI529" s="567"/>
      <c r="CJ529" s="567"/>
      <c r="CK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  <c r="BW530" s="567"/>
      <c r="BX530" s="567"/>
      <c r="BY530" s="567"/>
      <c r="BZ530" s="567"/>
      <c r="CA530" s="567"/>
      <c r="CB530" s="567"/>
      <c r="CC530" s="567"/>
      <c r="CD530" s="567"/>
      <c r="CE530" s="567"/>
      <c r="CF530" s="567"/>
      <c r="CG530" s="567"/>
      <c r="CH530" s="567"/>
      <c r="CI530" s="567"/>
      <c r="CJ530" s="567"/>
      <c r="CK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  <c r="BW531" s="567"/>
      <c r="BX531" s="567"/>
      <c r="BY531" s="567"/>
      <c r="BZ531" s="567"/>
      <c r="CA531" s="567"/>
      <c r="CB531" s="567"/>
      <c r="CC531" s="567"/>
      <c r="CD531" s="567"/>
      <c r="CE531" s="567"/>
      <c r="CF531" s="567"/>
      <c r="CG531" s="567"/>
      <c r="CH531" s="567"/>
      <c r="CI531" s="567"/>
      <c r="CJ531" s="567"/>
      <c r="CK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  <c r="BW532" s="567"/>
      <c r="BX532" s="567"/>
      <c r="BY532" s="567"/>
      <c r="BZ532" s="567"/>
      <c r="CA532" s="567"/>
      <c r="CB532" s="567"/>
      <c r="CC532" s="567"/>
      <c r="CD532" s="567"/>
      <c r="CE532" s="567"/>
      <c r="CF532" s="567"/>
      <c r="CG532" s="567"/>
      <c r="CH532" s="567"/>
      <c r="CI532" s="567"/>
      <c r="CJ532" s="567"/>
      <c r="CK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  <c r="BW533" s="567"/>
      <c r="BX533" s="567"/>
      <c r="BY533" s="567"/>
      <c r="BZ533" s="567"/>
      <c r="CA533" s="567"/>
      <c r="CB533" s="567"/>
      <c r="CC533" s="567"/>
      <c r="CD533" s="567"/>
      <c r="CE533" s="567"/>
      <c r="CF533" s="567"/>
      <c r="CG533" s="567"/>
      <c r="CH533" s="567"/>
      <c r="CI533" s="567"/>
      <c r="CJ533" s="567"/>
      <c r="CK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  <c r="BW534" s="567"/>
      <c r="BX534" s="567"/>
      <c r="BY534" s="567"/>
      <c r="BZ534" s="567"/>
      <c r="CA534" s="567"/>
      <c r="CB534" s="567"/>
      <c r="CC534" s="567"/>
      <c r="CD534" s="567"/>
      <c r="CE534" s="567"/>
      <c r="CF534" s="567"/>
      <c r="CG534" s="567"/>
      <c r="CH534" s="567"/>
      <c r="CI534" s="567"/>
      <c r="CJ534" s="567"/>
      <c r="CK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  <c r="BW535" s="567"/>
      <c r="BX535" s="567"/>
      <c r="BY535" s="567"/>
      <c r="BZ535" s="567"/>
      <c r="CA535" s="567"/>
      <c r="CB535" s="567"/>
      <c r="CC535" s="567"/>
      <c r="CD535" s="567"/>
      <c r="CE535" s="567"/>
      <c r="CF535" s="567"/>
      <c r="CG535" s="567"/>
      <c r="CH535" s="567"/>
      <c r="CI535" s="567"/>
      <c r="CJ535" s="567"/>
      <c r="CK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  <c r="BW536" s="567"/>
      <c r="BX536" s="567"/>
      <c r="BY536" s="567"/>
      <c r="BZ536" s="567"/>
      <c r="CA536" s="567"/>
      <c r="CB536" s="567"/>
      <c r="CC536" s="567"/>
      <c r="CD536" s="567"/>
      <c r="CE536" s="567"/>
      <c r="CF536" s="567"/>
      <c r="CG536" s="567"/>
      <c r="CH536" s="567"/>
      <c r="CI536" s="567"/>
      <c r="CJ536" s="567"/>
      <c r="CK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  <c r="BW537" s="567"/>
      <c r="BX537" s="567"/>
      <c r="BY537" s="567"/>
      <c r="BZ537" s="567"/>
      <c r="CA537" s="567"/>
      <c r="CB537" s="567"/>
      <c r="CC537" s="567"/>
      <c r="CD537" s="567"/>
      <c r="CE537" s="567"/>
      <c r="CF537" s="567"/>
      <c r="CG537" s="567"/>
      <c r="CH537" s="567"/>
      <c r="CI537" s="567"/>
      <c r="CJ537" s="567"/>
      <c r="CK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  <c r="BW538" s="567"/>
      <c r="BX538" s="567"/>
      <c r="BY538" s="567"/>
      <c r="BZ538" s="567"/>
      <c r="CA538" s="567"/>
      <c r="CB538" s="567"/>
      <c r="CC538" s="567"/>
      <c r="CD538" s="567"/>
      <c r="CE538" s="567"/>
      <c r="CF538" s="567"/>
      <c r="CG538" s="567"/>
      <c r="CH538" s="567"/>
      <c r="CI538" s="567"/>
      <c r="CJ538" s="567"/>
      <c r="CK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  <c r="BW539" s="567"/>
      <c r="BX539" s="567"/>
      <c r="BY539" s="567"/>
      <c r="BZ539" s="567"/>
      <c r="CA539" s="567"/>
      <c r="CB539" s="567"/>
      <c r="CC539" s="567"/>
      <c r="CD539" s="567"/>
      <c r="CE539" s="567"/>
      <c r="CF539" s="567"/>
      <c r="CG539" s="567"/>
      <c r="CH539" s="567"/>
      <c r="CI539" s="567"/>
      <c r="CJ539" s="567"/>
      <c r="CK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  <c r="BW540" s="567"/>
      <c r="BX540" s="567"/>
      <c r="BY540" s="567"/>
      <c r="BZ540" s="567"/>
      <c r="CA540" s="567"/>
      <c r="CB540" s="567"/>
      <c r="CC540" s="567"/>
      <c r="CD540" s="567"/>
      <c r="CE540" s="567"/>
      <c r="CF540" s="567"/>
      <c r="CG540" s="567"/>
      <c r="CH540" s="567"/>
      <c r="CI540" s="567"/>
      <c r="CJ540" s="567"/>
      <c r="CK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  <c r="BW541" s="567"/>
      <c r="BX541" s="567"/>
      <c r="BY541" s="567"/>
      <c r="BZ541" s="567"/>
      <c r="CA541" s="567"/>
      <c r="CB541" s="567"/>
      <c r="CC541" s="567"/>
      <c r="CD541" s="567"/>
      <c r="CE541" s="567"/>
      <c r="CF541" s="567"/>
      <c r="CG541" s="567"/>
      <c r="CH541" s="567"/>
      <c r="CI541" s="567"/>
      <c r="CJ541" s="567"/>
      <c r="CK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  <c r="BW542" s="567"/>
      <c r="BX542" s="567"/>
      <c r="BY542" s="567"/>
      <c r="BZ542" s="567"/>
      <c r="CA542" s="567"/>
      <c r="CB542" s="567"/>
      <c r="CC542" s="567"/>
      <c r="CD542" s="567"/>
      <c r="CE542" s="567"/>
      <c r="CF542" s="567"/>
      <c r="CG542" s="567"/>
      <c r="CH542" s="567"/>
      <c r="CI542" s="567"/>
      <c r="CJ542" s="567"/>
      <c r="CK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  <c r="BW543" s="567"/>
      <c r="BX543" s="567"/>
      <c r="BY543" s="567"/>
      <c r="BZ543" s="567"/>
      <c r="CA543" s="567"/>
      <c r="CB543" s="567"/>
      <c r="CC543" s="567"/>
      <c r="CD543" s="567"/>
      <c r="CE543" s="567"/>
      <c r="CF543" s="567"/>
      <c r="CG543" s="567"/>
      <c r="CH543" s="567"/>
      <c r="CI543" s="567"/>
      <c r="CJ543" s="567"/>
      <c r="CK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  <c r="BW544" s="567"/>
      <c r="BX544" s="567"/>
      <c r="BY544" s="567"/>
      <c r="BZ544" s="567"/>
      <c r="CA544" s="567"/>
      <c r="CB544" s="567"/>
      <c r="CC544" s="567"/>
      <c r="CD544" s="567"/>
      <c r="CE544" s="567"/>
      <c r="CF544" s="567"/>
      <c r="CG544" s="567"/>
      <c r="CH544" s="567"/>
      <c r="CI544" s="567"/>
      <c r="CJ544" s="567"/>
      <c r="CK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  <c r="BW545" s="567"/>
      <c r="BX545" s="567"/>
      <c r="BY545" s="567"/>
      <c r="BZ545" s="567"/>
      <c r="CA545" s="567"/>
      <c r="CB545" s="567"/>
      <c r="CC545" s="567"/>
      <c r="CD545" s="567"/>
      <c r="CE545" s="567"/>
      <c r="CF545" s="567"/>
      <c r="CG545" s="567"/>
      <c r="CH545" s="567"/>
      <c r="CI545" s="567"/>
      <c r="CJ545" s="567"/>
      <c r="CK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  <c r="BW546" s="567"/>
      <c r="BX546" s="567"/>
      <c r="BY546" s="567"/>
      <c r="BZ546" s="567"/>
      <c r="CA546" s="567"/>
      <c r="CB546" s="567"/>
      <c r="CC546" s="567"/>
      <c r="CD546" s="567"/>
      <c r="CE546" s="567"/>
      <c r="CF546" s="567"/>
      <c r="CG546" s="567"/>
      <c r="CH546" s="567"/>
      <c r="CI546" s="567"/>
      <c r="CJ546" s="567"/>
      <c r="CK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  <c r="BW547" s="567"/>
      <c r="BX547" s="567"/>
      <c r="BY547" s="567"/>
      <c r="BZ547" s="567"/>
      <c r="CA547" s="567"/>
      <c r="CB547" s="567"/>
      <c r="CC547" s="567"/>
      <c r="CD547" s="567"/>
      <c r="CE547" s="567"/>
      <c r="CF547" s="567"/>
      <c r="CG547" s="567"/>
      <c r="CH547" s="567"/>
      <c r="CI547" s="567"/>
      <c r="CJ547" s="567"/>
      <c r="CK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  <c r="BW548" s="567"/>
      <c r="BX548" s="567"/>
      <c r="BY548" s="567"/>
      <c r="BZ548" s="567"/>
      <c r="CA548" s="567"/>
      <c r="CB548" s="567"/>
      <c r="CC548" s="567"/>
      <c r="CD548" s="567"/>
      <c r="CE548" s="567"/>
      <c r="CF548" s="567"/>
      <c r="CG548" s="567"/>
      <c r="CH548" s="567"/>
      <c r="CI548" s="567"/>
      <c r="CJ548" s="567"/>
      <c r="CK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  <c r="BW549" s="567"/>
      <c r="BX549" s="567"/>
      <c r="BY549" s="567"/>
      <c r="BZ549" s="567"/>
      <c r="CA549" s="567"/>
      <c r="CB549" s="567"/>
      <c r="CC549" s="567"/>
      <c r="CD549" s="567"/>
      <c r="CE549" s="567"/>
      <c r="CF549" s="567"/>
      <c r="CG549" s="567"/>
      <c r="CH549" s="567"/>
      <c r="CI549" s="567"/>
      <c r="CJ549" s="567"/>
      <c r="CK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  <c r="BW550" s="567"/>
      <c r="BX550" s="567"/>
      <c r="BY550" s="567"/>
      <c r="BZ550" s="567"/>
      <c r="CA550" s="567"/>
      <c r="CB550" s="567"/>
      <c r="CC550" s="567"/>
      <c r="CD550" s="567"/>
      <c r="CE550" s="567"/>
      <c r="CF550" s="567"/>
      <c r="CG550" s="567"/>
      <c r="CH550" s="567"/>
      <c r="CI550" s="567"/>
      <c r="CJ550" s="567"/>
      <c r="CK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  <c r="BW551" s="567"/>
      <c r="BX551" s="567"/>
      <c r="BY551" s="567"/>
      <c r="BZ551" s="567"/>
      <c r="CA551" s="567"/>
      <c r="CB551" s="567"/>
      <c r="CC551" s="567"/>
      <c r="CD551" s="567"/>
      <c r="CE551" s="567"/>
      <c r="CF551" s="567"/>
      <c r="CG551" s="567"/>
      <c r="CH551" s="567"/>
      <c r="CI551" s="567"/>
      <c r="CJ551" s="567"/>
      <c r="CK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  <c r="BW552" s="567"/>
      <c r="BX552" s="567"/>
      <c r="BY552" s="567"/>
      <c r="BZ552" s="567"/>
      <c r="CA552" s="567"/>
      <c r="CB552" s="567"/>
      <c r="CC552" s="567"/>
      <c r="CD552" s="567"/>
      <c r="CE552" s="567"/>
      <c r="CF552" s="567"/>
      <c r="CG552" s="567"/>
      <c r="CH552" s="567"/>
      <c r="CI552" s="567"/>
      <c r="CJ552" s="567"/>
      <c r="CK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  <c r="BW553" s="567"/>
      <c r="BX553" s="567"/>
      <c r="BY553" s="567"/>
      <c r="BZ553" s="567"/>
      <c r="CA553" s="567"/>
      <c r="CB553" s="567"/>
      <c r="CC553" s="567"/>
      <c r="CD553" s="567"/>
      <c r="CE553" s="567"/>
      <c r="CF553" s="567"/>
      <c r="CG553" s="567"/>
      <c r="CH553" s="567"/>
      <c r="CI553" s="567"/>
      <c r="CJ553" s="567"/>
      <c r="CK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  <c r="BW554" s="567"/>
      <c r="BX554" s="567"/>
      <c r="BY554" s="567"/>
      <c r="BZ554" s="567"/>
      <c r="CA554" s="567"/>
      <c r="CB554" s="567"/>
      <c r="CC554" s="567"/>
      <c r="CD554" s="567"/>
      <c r="CE554" s="567"/>
      <c r="CF554" s="567"/>
      <c r="CG554" s="567"/>
      <c r="CH554" s="567"/>
      <c r="CI554" s="567"/>
      <c r="CJ554" s="567"/>
      <c r="CK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  <c r="BW555" s="567"/>
      <c r="BX555" s="567"/>
      <c r="BY555" s="567"/>
      <c r="BZ555" s="567"/>
      <c r="CA555" s="567"/>
      <c r="CB555" s="567"/>
      <c r="CC555" s="567"/>
      <c r="CD555" s="567"/>
      <c r="CE555" s="567"/>
      <c r="CF555" s="567"/>
      <c r="CG555" s="567"/>
      <c r="CH555" s="567"/>
      <c r="CI555" s="567"/>
      <c r="CJ555" s="567"/>
      <c r="CK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  <c r="BW556" s="567"/>
      <c r="BX556" s="567"/>
      <c r="BY556" s="567"/>
      <c r="BZ556" s="567"/>
      <c r="CA556" s="567"/>
      <c r="CB556" s="567"/>
      <c r="CC556" s="567"/>
      <c r="CD556" s="567"/>
      <c r="CE556" s="567"/>
      <c r="CF556" s="567"/>
      <c r="CG556" s="567"/>
      <c r="CH556" s="567"/>
      <c r="CI556" s="567"/>
      <c r="CJ556" s="567"/>
      <c r="CK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  <c r="BW557" s="567"/>
      <c r="BX557" s="567"/>
      <c r="BY557" s="567"/>
      <c r="BZ557" s="567"/>
      <c r="CA557" s="567"/>
      <c r="CB557" s="567"/>
      <c r="CC557" s="567"/>
      <c r="CD557" s="567"/>
      <c r="CE557" s="567"/>
      <c r="CF557" s="567"/>
      <c r="CG557" s="567"/>
      <c r="CH557" s="567"/>
      <c r="CI557" s="567"/>
      <c r="CJ557" s="567"/>
      <c r="CK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  <c r="BW558" s="567"/>
      <c r="BX558" s="567"/>
      <c r="BY558" s="567"/>
      <c r="BZ558" s="567"/>
      <c r="CA558" s="567"/>
      <c r="CB558" s="567"/>
      <c r="CC558" s="567"/>
      <c r="CD558" s="567"/>
      <c r="CE558" s="567"/>
      <c r="CF558" s="567"/>
      <c r="CG558" s="567"/>
      <c r="CH558" s="567"/>
      <c r="CI558" s="567"/>
      <c r="CJ558" s="567"/>
      <c r="CK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  <c r="BW559" s="567"/>
      <c r="BX559" s="567"/>
      <c r="BY559" s="567"/>
      <c r="BZ559" s="567"/>
      <c r="CA559" s="567"/>
      <c r="CB559" s="567"/>
      <c r="CC559" s="567"/>
      <c r="CD559" s="567"/>
      <c r="CE559" s="567"/>
      <c r="CF559" s="567"/>
      <c r="CG559" s="567"/>
      <c r="CH559" s="567"/>
      <c r="CI559" s="567"/>
      <c r="CJ559" s="567"/>
      <c r="CK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  <c r="BW560" s="567"/>
      <c r="BX560" s="567"/>
      <c r="BY560" s="567"/>
      <c r="BZ560" s="567"/>
      <c r="CA560" s="567"/>
      <c r="CB560" s="567"/>
      <c r="CC560" s="567"/>
      <c r="CD560" s="567"/>
      <c r="CE560" s="567"/>
      <c r="CF560" s="567"/>
      <c r="CG560" s="567"/>
      <c r="CH560" s="567"/>
      <c r="CI560" s="567"/>
      <c r="CJ560" s="567"/>
      <c r="CK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  <c r="BW561" s="567"/>
      <c r="BX561" s="567"/>
      <c r="BY561" s="567"/>
      <c r="BZ561" s="567"/>
      <c r="CA561" s="567"/>
      <c r="CB561" s="567"/>
      <c r="CC561" s="567"/>
      <c r="CD561" s="567"/>
      <c r="CE561" s="567"/>
      <c r="CF561" s="567"/>
      <c r="CG561" s="567"/>
      <c r="CH561" s="567"/>
      <c r="CI561" s="567"/>
      <c r="CJ561" s="567"/>
      <c r="CK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  <c r="BW562" s="567"/>
      <c r="BX562" s="567"/>
      <c r="BY562" s="567"/>
      <c r="BZ562" s="567"/>
      <c r="CA562" s="567"/>
      <c r="CB562" s="567"/>
      <c r="CC562" s="567"/>
      <c r="CD562" s="567"/>
      <c r="CE562" s="567"/>
      <c r="CF562" s="567"/>
      <c r="CG562" s="567"/>
      <c r="CH562" s="567"/>
      <c r="CI562" s="567"/>
      <c r="CJ562" s="567"/>
      <c r="CK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  <c r="BW563" s="567"/>
      <c r="BX563" s="567"/>
      <c r="BY563" s="567"/>
      <c r="BZ563" s="567"/>
      <c r="CA563" s="567"/>
      <c r="CB563" s="567"/>
      <c r="CC563" s="567"/>
      <c r="CD563" s="567"/>
      <c r="CE563" s="567"/>
      <c r="CF563" s="567"/>
      <c r="CG563" s="567"/>
      <c r="CH563" s="567"/>
      <c r="CI563" s="567"/>
      <c r="CJ563" s="567"/>
      <c r="CK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  <c r="BW564" s="567"/>
      <c r="BX564" s="567"/>
      <c r="BY564" s="567"/>
      <c r="BZ564" s="567"/>
      <c r="CA564" s="567"/>
      <c r="CB564" s="567"/>
      <c r="CC564" s="567"/>
      <c r="CD564" s="567"/>
      <c r="CE564" s="567"/>
      <c r="CF564" s="567"/>
      <c r="CG564" s="567"/>
      <c r="CH564" s="567"/>
      <c r="CI564" s="567"/>
      <c r="CJ564" s="567"/>
      <c r="CK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  <c r="BW565" s="567"/>
      <c r="BX565" s="567"/>
      <c r="BY565" s="567"/>
      <c r="BZ565" s="567"/>
      <c r="CA565" s="567"/>
      <c r="CB565" s="567"/>
      <c r="CC565" s="567"/>
      <c r="CD565" s="567"/>
      <c r="CE565" s="567"/>
      <c r="CF565" s="567"/>
      <c r="CG565" s="567"/>
      <c r="CH565" s="567"/>
      <c r="CI565" s="567"/>
      <c r="CJ565" s="567"/>
      <c r="CK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  <c r="BW566" s="567"/>
      <c r="BX566" s="567"/>
      <c r="BY566" s="567"/>
      <c r="BZ566" s="567"/>
      <c r="CA566" s="567"/>
      <c r="CB566" s="567"/>
      <c r="CC566" s="567"/>
      <c r="CD566" s="567"/>
      <c r="CE566" s="567"/>
      <c r="CF566" s="567"/>
      <c r="CG566" s="567"/>
      <c r="CH566" s="567"/>
      <c r="CI566" s="567"/>
      <c r="CJ566" s="567"/>
      <c r="CK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  <c r="BW567" s="567"/>
      <c r="BX567" s="567"/>
      <c r="BY567" s="567"/>
      <c r="BZ567" s="567"/>
      <c r="CA567" s="567"/>
      <c r="CB567" s="567"/>
      <c r="CC567" s="567"/>
      <c r="CD567" s="567"/>
      <c r="CE567" s="567"/>
      <c r="CF567" s="567"/>
      <c r="CG567" s="567"/>
      <c r="CH567" s="567"/>
      <c r="CI567" s="567"/>
      <c r="CJ567" s="567"/>
      <c r="CK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  <c r="BW568" s="567"/>
      <c r="BX568" s="567"/>
      <c r="BY568" s="567"/>
      <c r="BZ568" s="567"/>
      <c r="CA568" s="567"/>
      <c r="CB568" s="567"/>
      <c r="CC568" s="567"/>
      <c r="CD568" s="567"/>
      <c r="CE568" s="567"/>
      <c r="CF568" s="567"/>
      <c r="CG568" s="567"/>
      <c r="CH568" s="567"/>
      <c r="CI568" s="567"/>
      <c r="CJ568" s="567"/>
      <c r="CK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  <c r="BW569" s="567"/>
      <c r="BX569" s="567"/>
      <c r="BY569" s="567"/>
      <c r="BZ569" s="567"/>
      <c r="CA569" s="567"/>
      <c r="CB569" s="567"/>
      <c r="CC569" s="567"/>
      <c r="CD569" s="567"/>
      <c r="CE569" s="567"/>
      <c r="CF569" s="567"/>
      <c r="CG569" s="567"/>
      <c r="CH569" s="567"/>
      <c r="CI569" s="567"/>
      <c r="CJ569" s="567"/>
      <c r="CK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  <c r="BW570" s="567"/>
      <c r="BX570" s="567"/>
      <c r="BY570" s="567"/>
      <c r="BZ570" s="567"/>
      <c r="CA570" s="567"/>
      <c r="CB570" s="567"/>
      <c r="CC570" s="567"/>
      <c r="CD570" s="567"/>
      <c r="CE570" s="567"/>
      <c r="CF570" s="567"/>
      <c r="CG570" s="567"/>
      <c r="CH570" s="567"/>
      <c r="CI570" s="567"/>
      <c r="CJ570" s="567"/>
      <c r="CK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  <c r="BW571" s="567"/>
      <c r="BX571" s="567"/>
      <c r="BY571" s="567"/>
      <c r="BZ571" s="567"/>
      <c r="CA571" s="567"/>
      <c r="CB571" s="567"/>
      <c r="CC571" s="567"/>
      <c r="CD571" s="567"/>
      <c r="CE571" s="567"/>
      <c r="CF571" s="567"/>
      <c r="CG571" s="567"/>
      <c r="CH571" s="567"/>
      <c r="CI571" s="567"/>
      <c r="CJ571" s="567"/>
      <c r="CK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  <c r="BW572" s="567"/>
      <c r="BX572" s="567"/>
      <c r="BY572" s="567"/>
      <c r="BZ572" s="567"/>
      <c r="CA572" s="567"/>
      <c r="CB572" s="567"/>
      <c r="CC572" s="567"/>
      <c r="CD572" s="567"/>
      <c r="CE572" s="567"/>
      <c r="CF572" s="567"/>
      <c r="CG572" s="567"/>
      <c r="CH572" s="567"/>
      <c r="CI572" s="567"/>
      <c r="CJ572" s="567"/>
      <c r="CK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  <c r="BW573" s="567"/>
      <c r="BX573" s="567"/>
      <c r="BY573" s="567"/>
      <c r="BZ573" s="567"/>
      <c r="CA573" s="567"/>
      <c r="CB573" s="567"/>
      <c r="CC573" s="567"/>
      <c r="CD573" s="567"/>
      <c r="CE573" s="567"/>
      <c r="CF573" s="567"/>
      <c r="CG573" s="567"/>
      <c r="CH573" s="567"/>
      <c r="CI573" s="567"/>
      <c r="CJ573" s="567"/>
      <c r="CK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  <c r="BW574" s="567"/>
      <c r="BX574" s="567"/>
      <c r="BY574" s="567"/>
      <c r="BZ574" s="567"/>
      <c r="CA574" s="567"/>
      <c r="CB574" s="567"/>
      <c r="CC574" s="567"/>
      <c r="CD574" s="567"/>
      <c r="CE574" s="567"/>
      <c r="CF574" s="567"/>
      <c r="CG574" s="567"/>
      <c r="CH574" s="567"/>
      <c r="CI574" s="567"/>
      <c r="CJ574" s="567"/>
      <c r="CK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  <c r="BW575" s="567"/>
      <c r="BX575" s="567"/>
      <c r="BY575" s="567"/>
      <c r="BZ575" s="567"/>
      <c r="CA575" s="567"/>
      <c r="CB575" s="567"/>
      <c r="CC575" s="567"/>
      <c r="CD575" s="567"/>
      <c r="CE575" s="567"/>
      <c r="CF575" s="567"/>
      <c r="CG575" s="567"/>
      <c r="CH575" s="567"/>
      <c r="CI575" s="567"/>
      <c r="CJ575" s="567"/>
      <c r="CK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  <c r="BW576" s="567"/>
      <c r="BX576" s="567"/>
      <c r="BY576" s="567"/>
      <c r="BZ576" s="567"/>
      <c r="CA576" s="567"/>
      <c r="CB576" s="567"/>
      <c r="CC576" s="567"/>
      <c r="CD576" s="567"/>
      <c r="CE576" s="567"/>
      <c r="CF576" s="567"/>
      <c r="CG576" s="567"/>
      <c r="CH576" s="567"/>
      <c r="CI576" s="567"/>
      <c r="CJ576" s="567"/>
      <c r="CK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  <c r="BW577" s="567"/>
      <c r="BX577" s="567"/>
      <c r="BY577" s="567"/>
      <c r="BZ577" s="567"/>
      <c r="CA577" s="567"/>
      <c r="CB577" s="567"/>
      <c r="CC577" s="567"/>
      <c r="CD577" s="567"/>
      <c r="CE577" s="567"/>
      <c r="CF577" s="567"/>
      <c r="CG577" s="567"/>
      <c r="CH577" s="567"/>
      <c r="CI577" s="567"/>
      <c r="CJ577" s="567"/>
      <c r="CK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  <c r="BW578" s="567"/>
      <c r="BX578" s="567"/>
      <c r="BY578" s="567"/>
      <c r="BZ578" s="567"/>
      <c r="CA578" s="567"/>
      <c r="CB578" s="567"/>
      <c r="CC578" s="567"/>
      <c r="CD578" s="567"/>
      <c r="CE578" s="567"/>
      <c r="CF578" s="567"/>
      <c r="CG578" s="567"/>
      <c r="CH578" s="567"/>
      <c r="CI578" s="567"/>
      <c r="CJ578" s="567"/>
      <c r="CK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  <c r="BW579" s="567"/>
      <c r="BX579" s="567"/>
      <c r="BY579" s="567"/>
      <c r="BZ579" s="567"/>
      <c r="CA579" s="567"/>
      <c r="CB579" s="567"/>
      <c r="CC579" s="567"/>
      <c r="CD579" s="567"/>
      <c r="CE579" s="567"/>
      <c r="CF579" s="567"/>
      <c r="CG579" s="567"/>
      <c r="CH579" s="567"/>
      <c r="CI579" s="567"/>
      <c r="CJ579" s="567"/>
      <c r="CK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  <c r="BW580" s="567"/>
      <c r="BX580" s="567"/>
      <c r="BY580" s="567"/>
      <c r="BZ580" s="567"/>
      <c r="CA580" s="567"/>
      <c r="CB580" s="567"/>
      <c r="CC580" s="567"/>
      <c r="CD580" s="567"/>
      <c r="CE580" s="567"/>
      <c r="CF580" s="567"/>
      <c r="CG580" s="567"/>
      <c r="CH580" s="567"/>
      <c r="CI580" s="567"/>
      <c r="CJ580" s="567"/>
      <c r="CK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  <c r="BW581" s="567"/>
      <c r="BX581" s="567"/>
      <c r="BY581" s="567"/>
      <c r="BZ581" s="567"/>
      <c r="CA581" s="567"/>
      <c r="CB581" s="567"/>
      <c r="CC581" s="567"/>
      <c r="CD581" s="567"/>
      <c r="CE581" s="567"/>
      <c r="CF581" s="567"/>
      <c r="CG581" s="567"/>
      <c r="CH581" s="567"/>
      <c r="CI581" s="567"/>
      <c r="CJ581" s="567"/>
      <c r="CK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  <c r="BW582" s="567"/>
      <c r="BX582" s="567"/>
      <c r="BY582" s="567"/>
      <c r="BZ582" s="567"/>
      <c r="CA582" s="567"/>
      <c r="CB582" s="567"/>
      <c r="CC582" s="567"/>
      <c r="CD582" s="567"/>
      <c r="CE582" s="567"/>
      <c r="CF582" s="567"/>
      <c r="CG582" s="567"/>
      <c r="CH582" s="567"/>
      <c r="CI582" s="567"/>
      <c r="CJ582" s="567"/>
      <c r="CK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  <c r="BW583" s="567"/>
      <c r="BX583" s="567"/>
      <c r="BY583" s="567"/>
      <c r="BZ583" s="567"/>
      <c r="CA583" s="567"/>
      <c r="CB583" s="567"/>
      <c r="CC583" s="567"/>
      <c r="CD583" s="567"/>
      <c r="CE583" s="567"/>
      <c r="CF583" s="567"/>
      <c r="CG583" s="567"/>
      <c r="CH583" s="567"/>
      <c r="CI583" s="567"/>
      <c r="CJ583" s="567"/>
      <c r="CK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  <c r="BW584" s="567"/>
      <c r="BX584" s="567"/>
      <c r="BY584" s="567"/>
      <c r="BZ584" s="567"/>
      <c r="CA584" s="567"/>
      <c r="CB584" s="567"/>
      <c r="CC584" s="567"/>
      <c r="CD584" s="567"/>
      <c r="CE584" s="567"/>
      <c r="CF584" s="567"/>
      <c r="CG584" s="567"/>
      <c r="CH584" s="567"/>
      <c r="CI584" s="567"/>
      <c r="CJ584" s="567"/>
      <c r="CK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  <c r="BW585" s="567"/>
      <c r="BX585" s="567"/>
      <c r="BY585" s="567"/>
      <c r="BZ585" s="567"/>
      <c r="CA585" s="567"/>
      <c r="CB585" s="567"/>
      <c r="CC585" s="567"/>
      <c r="CD585" s="567"/>
      <c r="CE585" s="567"/>
      <c r="CF585" s="567"/>
      <c r="CG585" s="567"/>
      <c r="CH585" s="567"/>
      <c r="CI585" s="567"/>
      <c r="CJ585" s="567"/>
      <c r="CK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  <c r="BW586" s="567"/>
      <c r="BX586" s="567"/>
      <c r="BY586" s="567"/>
      <c r="BZ586" s="567"/>
      <c r="CA586" s="567"/>
      <c r="CB586" s="567"/>
      <c r="CC586" s="567"/>
      <c r="CD586" s="567"/>
      <c r="CE586" s="567"/>
      <c r="CF586" s="567"/>
      <c r="CG586" s="567"/>
      <c r="CH586" s="567"/>
      <c r="CI586" s="567"/>
      <c r="CJ586" s="567"/>
      <c r="CK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  <c r="BW587" s="567"/>
      <c r="BX587" s="567"/>
      <c r="BY587" s="567"/>
      <c r="BZ587" s="567"/>
      <c r="CA587" s="567"/>
      <c r="CB587" s="567"/>
      <c r="CC587" s="567"/>
      <c r="CD587" s="567"/>
      <c r="CE587" s="567"/>
      <c r="CF587" s="567"/>
      <c r="CG587" s="567"/>
      <c r="CH587" s="567"/>
      <c r="CI587" s="567"/>
      <c r="CJ587" s="567"/>
      <c r="CK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  <c r="BW588" s="567"/>
      <c r="BX588" s="567"/>
      <c r="BY588" s="567"/>
      <c r="BZ588" s="567"/>
      <c r="CA588" s="567"/>
      <c r="CB588" s="567"/>
      <c r="CC588" s="567"/>
      <c r="CD588" s="567"/>
      <c r="CE588" s="567"/>
      <c r="CF588" s="567"/>
      <c r="CG588" s="567"/>
      <c r="CH588" s="567"/>
      <c r="CI588" s="567"/>
      <c r="CJ588" s="567"/>
      <c r="CK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  <c r="BW589" s="567"/>
      <c r="BX589" s="567"/>
      <c r="BY589" s="567"/>
      <c r="BZ589" s="567"/>
      <c r="CA589" s="567"/>
      <c r="CB589" s="567"/>
      <c r="CC589" s="567"/>
      <c r="CD589" s="567"/>
      <c r="CE589" s="567"/>
      <c r="CF589" s="567"/>
      <c r="CG589" s="567"/>
      <c r="CH589" s="567"/>
      <c r="CI589" s="567"/>
      <c r="CJ589" s="567"/>
      <c r="CK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  <c r="BW590" s="567"/>
      <c r="BX590" s="567"/>
      <c r="BY590" s="567"/>
      <c r="BZ590" s="567"/>
      <c r="CA590" s="567"/>
      <c r="CB590" s="567"/>
      <c r="CC590" s="567"/>
      <c r="CD590" s="567"/>
      <c r="CE590" s="567"/>
      <c r="CF590" s="567"/>
      <c r="CG590" s="567"/>
      <c r="CH590" s="567"/>
      <c r="CI590" s="567"/>
      <c r="CJ590" s="567"/>
      <c r="CK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  <c r="BW591" s="567"/>
      <c r="BX591" s="567"/>
      <c r="BY591" s="567"/>
      <c r="BZ591" s="567"/>
      <c r="CA591" s="567"/>
      <c r="CB591" s="567"/>
      <c r="CC591" s="567"/>
      <c r="CD591" s="567"/>
      <c r="CE591" s="567"/>
      <c r="CF591" s="567"/>
      <c r="CG591" s="567"/>
      <c r="CH591" s="567"/>
      <c r="CI591" s="567"/>
      <c r="CJ591" s="567"/>
      <c r="CK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  <c r="BW592" s="567"/>
      <c r="BX592" s="567"/>
      <c r="BY592" s="567"/>
      <c r="BZ592" s="567"/>
      <c r="CA592" s="567"/>
      <c r="CB592" s="567"/>
      <c r="CC592" s="567"/>
      <c r="CD592" s="567"/>
      <c r="CE592" s="567"/>
      <c r="CF592" s="567"/>
      <c r="CG592" s="567"/>
      <c r="CH592" s="567"/>
      <c r="CI592" s="567"/>
      <c r="CJ592" s="567"/>
      <c r="CK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  <c r="BW593" s="567"/>
      <c r="BX593" s="567"/>
      <c r="BY593" s="567"/>
      <c r="BZ593" s="567"/>
      <c r="CA593" s="567"/>
      <c r="CB593" s="567"/>
      <c r="CC593" s="567"/>
      <c r="CD593" s="567"/>
      <c r="CE593" s="567"/>
      <c r="CF593" s="567"/>
      <c r="CG593" s="567"/>
      <c r="CH593" s="567"/>
      <c r="CI593" s="567"/>
      <c r="CJ593" s="567"/>
      <c r="CK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  <c r="BW594" s="567"/>
      <c r="BX594" s="567"/>
      <c r="BY594" s="567"/>
      <c r="BZ594" s="567"/>
      <c r="CA594" s="567"/>
      <c r="CB594" s="567"/>
      <c r="CC594" s="567"/>
      <c r="CD594" s="567"/>
      <c r="CE594" s="567"/>
      <c r="CF594" s="567"/>
      <c r="CG594" s="567"/>
      <c r="CH594" s="567"/>
      <c r="CI594" s="567"/>
      <c r="CJ594" s="567"/>
      <c r="CK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  <c r="BW595" s="567"/>
      <c r="BX595" s="567"/>
      <c r="BY595" s="567"/>
      <c r="BZ595" s="567"/>
      <c r="CA595" s="567"/>
      <c r="CB595" s="567"/>
      <c r="CC595" s="567"/>
      <c r="CD595" s="567"/>
      <c r="CE595" s="567"/>
      <c r="CF595" s="567"/>
      <c r="CG595" s="567"/>
      <c r="CH595" s="567"/>
      <c r="CI595" s="567"/>
      <c r="CJ595" s="567"/>
      <c r="CK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  <c r="BW596" s="567"/>
      <c r="BX596" s="567"/>
      <c r="BY596" s="567"/>
      <c r="BZ596" s="567"/>
      <c r="CA596" s="567"/>
      <c r="CB596" s="567"/>
      <c r="CC596" s="567"/>
      <c r="CD596" s="567"/>
      <c r="CE596" s="567"/>
      <c r="CF596" s="567"/>
      <c r="CG596" s="567"/>
      <c r="CH596" s="567"/>
      <c r="CI596" s="567"/>
      <c r="CJ596" s="567"/>
      <c r="CK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  <c r="BW597" s="567"/>
      <c r="BX597" s="567"/>
      <c r="BY597" s="567"/>
      <c r="BZ597" s="567"/>
      <c r="CA597" s="567"/>
      <c r="CB597" s="567"/>
      <c r="CC597" s="567"/>
      <c r="CD597" s="567"/>
      <c r="CE597" s="567"/>
      <c r="CF597" s="567"/>
      <c r="CG597" s="567"/>
      <c r="CH597" s="567"/>
      <c r="CI597" s="567"/>
      <c r="CJ597" s="567"/>
      <c r="CK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  <c r="BW598" s="567"/>
      <c r="BX598" s="567"/>
      <c r="BY598" s="567"/>
      <c r="BZ598" s="567"/>
      <c r="CA598" s="567"/>
      <c r="CB598" s="567"/>
      <c r="CC598" s="567"/>
      <c r="CD598" s="567"/>
      <c r="CE598" s="567"/>
      <c r="CF598" s="567"/>
      <c r="CG598" s="567"/>
      <c r="CH598" s="567"/>
      <c r="CI598" s="567"/>
      <c r="CJ598" s="567"/>
      <c r="CK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  <c r="BW599" s="567"/>
      <c r="BX599" s="567"/>
      <c r="BY599" s="567"/>
      <c r="BZ599" s="567"/>
      <c r="CA599" s="567"/>
      <c r="CB599" s="567"/>
      <c r="CC599" s="567"/>
      <c r="CD599" s="567"/>
      <c r="CE599" s="567"/>
      <c r="CF599" s="567"/>
      <c r="CG599" s="567"/>
      <c r="CH599" s="567"/>
      <c r="CI599" s="567"/>
      <c r="CJ599" s="567"/>
      <c r="CK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  <c r="BW600" s="567"/>
      <c r="BX600" s="567"/>
      <c r="BY600" s="567"/>
      <c r="BZ600" s="567"/>
      <c r="CA600" s="567"/>
      <c r="CB600" s="567"/>
      <c r="CC600" s="567"/>
      <c r="CD600" s="567"/>
      <c r="CE600" s="567"/>
      <c r="CF600" s="567"/>
      <c r="CG600" s="567"/>
      <c r="CH600" s="567"/>
      <c r="CI600" s="567"/>
      <c r="CJ600" s="567"/>
      <c r="CK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  <c r="BW601" s="567"/>
      <c r="BX601" s="567"/>
      <c r="BY601" s="567"/>
      <c r="BZ601" s="567"/>
      <c r="CA601" s="567"/>
      <c r="CB601" s="567"/>
      <c r="CC601" s="567"/>
      <c r="CD601" s="567"/>
      <c r="CE601" s="567"/>
      <c r="CF601" s="567"/>
      <c r="CG601" s="567"/>
      <c r="CH601" s="567"/>
      <c r="CI601" s="567"/>
      <c r="CJ601" s="567"/>
      <c r="CK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  <c r="BW602" s="567"/>
      <c r="BX602" s="567"/>
      <c r="BY602" s="567"/>
      <c r="BZ602" s="567"/>
      <c r="CA602" s="567"/>
      <c r="CB602" s="567"/>
      <c r="CC602" s="567"/>
      <c r="CD602" s="567"/>
      <c r="CE602" s="567"/>
      <c r="CF602" s="567"/>
      <c r="CG602" s="567"/>
      <c r="CH602" s="567"/>
      <c r="CI602" s="567"/>
      <c r="CJ602" s="567"/>
      <c r="CK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  <c r="BW603" s="567"/>
      <c r="BX603" s="567"/>
      <c r="BY603" s="567"/>
      <c r="BZ603" s="567"/>
      <c r="CA603" s="567"/>
      <c r="CB603" s="567"/>
      <c r="CC603" s="567"/>
      <c r="CD603" s="567"/>
      <c r="CE603" s="567"/>
      <c r="CF603" s="567"/>
      <c r="CG603" s="567"/>
      <c r="CH603" s="567"/>
      <c r="CI603" s="567"/>
      <c r="CJ603" s="567"/>
      <c r="CK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  <c r="BW604" s="567"/>
      <c r="BX604" s="567"/>
      <c r="BY604" s="567"/>
      <c r="BZ604" s="567"/>
      <c r="CA604" s="567"/>
      <c r="CB604" s="567"/>
      <c r="CC604" s="567"/>
      <c r="CD604" s="567"/>
      <c r="CE604" s="567"/>
      <c r="CF604" s="567"/>
      <c r="CG604" s="567"/>
      <c r="CH604" s="567"/>
      <c r="CI604" s="567"/>
      <c r="CJ604" s="567"/>
      <c r="CK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  <c r="BW605" s="567"/>
      <c r="BX605" s="567"/>
      <c r="BY605" s="567"/>
      <c r="BZ605" s="567"/>
      <c r="CA605" s="567"/>
      <c r="CB605" s="567"/>
      <c r="CC605" s="567"/>
      <c r="CD605" s="567"/>
      <c r="CE605" s="567"/>
      <c r="CF605" s="567"/>
      <c r="CG605" s="567"/>
      <c r="CH605" s="567"/>
      <c r="CI605" s="567"/>
      <c r="CJ605" s="567"/>
      <c r="CK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  <c r="BW606" s="567"/>
      <c r="BX606" s="567"/>
      <c r="BY606" s="567"/>
      <c r="BZ606" s="567"/>
      <c r="CA606" s="567"/>
      <c r="CB606" s="567"/>
      <c r="CC606" s="567"/>
      <c r="CD606" s="567"/>
      <c r="CE606" s="567"/>
      <c r="CF606" s="567"/>
      <c r="CG606" s="567"/>
      <c r="CH606" s="567"/>
      <c r="CI606" s="567"/>
      <c r="CJ606" s="567"/>
      <c r="CK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  <c r="BW607" s="567"/>
      <c r="BX607" s="567"/>
      <c r="BY607" s="567"/>
      <c r="BZ607" s="567"/>
      <c r="CA607" s="567"/>
      <c r="CB607" s="567"/>
      <c r="CC607" s="567"/>
      <c r="CD607" s="567"/>
      <c r="CE607" s="567"/>
      <c r="CF607" s="567"/>
      <c r="CG607" s="567"/>
      <c r="CH607" s="567"/>
      <c r="CI607" s="567"/>
      <c r="CJ607" s="567"/>
      <c r="CK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  <c r="BW608" s="567"/>
      <c r="BX608" s="567"/>
      <c r="BY608" s="567"/>
      <c r="BZ608" s="567"/>
      <c r="CA608" s="567"/>
      <c r="CB608" s="567"/>
      <c r="CC608" s="567"/>
      <c r="CD608" s="567"/>
      <c r="CE608" s="567"/>
      <c r="CF608" s="567"/>
      <c r="CG608" s="567"/>
      <c r="CH608" s="567"/>
      <c r="CI608" s="567"/>
      <c r="CJ608" s="567"/>
      <c r="CK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  <c r="BW609" s="567"/>
      <c r="BX609" s="567"/>
      <c r="BY609" s="567"/>
      <c r="BZ609" s="567"/>
      <c r="CA609" s="567"/>
      <c r="CB609" s="567"/>
      <c r="CC609" s="567"/>
      <c r="CD609" s="567"/>
      <c r="CE609" s="567"/>
      <c r="CF609" s="567"/>
      <c r="CG609" s="567"/>
      <c r="CH609" s="567"/>
      <c r="CI609" s="567"/>
      <c r="CJ609" s="567"/>
      <c r="CK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  <c r="BW610" s="567"/>
      <c r="BX610" s="567"/>
      <c r="BY610" s="567"/>
      <c r="BZ610" s="567"/>
      <c r="CA610" s="567"/>
      <c r="CB610" s="567"/>
      <c r="CC610" s="567"/>
      <c r="CD610" s="567"/>
      <c r="CE610" s="567"/>
      <c r="CF610" s="567"/>
      <c r="CG610" s="567"/>
      <c r="CH610" s="567"/>
      <c r="CI610" s="567"/>
      <c r="CJ610" s="567"/>
      <c r="CK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  <c r="BW611" s="567"/>
      <c r="BX611" s="567"/>
      <c r="BY611" s="567"/>
      <c r="BZ611" s="567"/>
      <c r="CA611" s="567"/>
      <c r="CB611" s="567"/>
      <c r="CC611" s="567"/>
      <c r="CD611" s="567"/>
      <c r="CE611" s="567"/>
      <c r="CF611" s="567"/>
      <c r="CG611" s="567"/>
      <c r="CH611" s="567"/>
      <c r="CI611" s="567"/>
      <c r="CJ611" s="567"/>
      <c r="CK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  <c r="BW612" s="567"/>
      <c r="BX612" s="567"/>
      <c r="BY612" s="567"/>
      <c r="BZ612" s="567"/>
      <c r="CA612" s="567"/>
      <c r="CB612" s="567"/>
      <c r="CC612" s="567"/>
      <c r="CD612" s="567"/>
      <c r="CE612" s="567"/>
      <c r="CF612" s="567"/>
      <c r="CG612" s="567"/>
      <c r="CH612" s="567"/>
      <c r="CI612" s="567"/>
      <c r="CJ612" s="567"/>
      <c r="CK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  <c r="BW613" s="567"/>
      <c r="BX613" s="567"/>
      <c r="BY613" s="567"/>
      <c r="BZ613" s="567"/>
      <c r="CA613" s="567"/>
      <c r="CB613" s="567"/>
      <c r="CC613" s="567"/>
      <c r="CD613" s="567"/>
      <c r="CE613" s="567"/>
      <c r="CF613" s="567"/>
      <c r="CG613" s="567"/>
      <c r="CH613" s="567"/>
      <c r="CI613" s="567"/>
      <c r="CJ613" s="567"/>
      <c r="CK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  <c r="BW614" s="567"/>
      <c r="BX614" s="567"/>
      <c r="BY614" s="567"/>
      <c r="BZ614" s="567"/>
      <c r="CA614" s="567"/>
      <c r="CB614" s="567"/>
      <c r="CC614" s="567"/>
      <c r="CD614" s="567"/>
      <c r="CE614" s="567"/>
      <c r="CF614" s="567"/>
      <c r="CG614" s="567"/>
      <c r="CH614" s="567"/>
      <c r="CI614" s="567"/>
      <c r="CJ614" s="567"/>
      <c r="CK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  <c r="BW615" s="567"/>
      <c r="BX615" s="567"/>
      <c r="BY615" s="567"/>
      <c r="BZ615" s="567"/>
      <c r="CA615" s="567"/>
      <c r="CB615" s="567"/>
      <c r="CC615" s="567"/>
      <c r="CD615" s="567"/>
      <c r="CE615" s="567"/>
      <c r="CF615" s="567"/>
      <c r="CG615" s="567"/>
      <c r="CH615" s="567"/>
      <c r="CI615" s="567"/>
      <c r="CJ615" s="567"/>
      <c r="CK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  <c r="BW616" s="567"/>
      <c r="BX616" s="567"/>
      <c r="BY616" s="567"/>
      <c r="BZ616" s="567"/>
      <c r="CA616" s="567"/>
      <c r="CB616" s="567"/>
      <c r="CC616" s="567"/>
      <c r="CD616" s="567"/>
      <c r="CE616" s="567"/>
      <c r="CF616" s="567"/>
      <c r="CG616" s="567"/>
      <c r="CH616" s="567"/>
      <c r="CI616" s="567"/>
      <c r="CJ616" s="567"/>
      <c r="CK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  <c r="BW617" s="567"/>
      <c r="BX617" s="567"/>
      <c r="BY617" s="567"/>
      <c r="BZ617" s="567"/>
      <c r="CA617" s="567"/>
      <c r="CB617" s="567"/>
      <c r="CC617" s="567"/>
      <c r="CD617" s="567"/>
      <c r="CE617" s="567"/>
      <c r="CF617" s="567"/>
      <c r="CG617" s="567"/>
      <c r="CH617" s="567"/>
      <c r="CI617" s="567"/>
      <c r="CJ617" s="567"/>
      <c r="CK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  <c r="BW618" s="567"/>
      <c r="BX618" s="567"/>
      <c r="BY618" s="567"/>
      <c r="BZ618" s="567"/>
      <c r="CA618" s="567"/>
      <c r="CB618" s="567"/>
      <c r="CC618" s="567"/>
      <c r="CD618" s="567"/>
      <c r="CE618" s="567"/>
      <c r="CF618" s="567"/>
      <c r="CG618" s="567"/>
      <c r="CH618" s="567"/>
      <c r="CI618" s="567"/>
      <c r="CJ618" s="567"/>
      <c r="CK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  <c r="BW619" s="567"/>
      <c r="BX619" s="567"/>
      <c r="BY619" s="567"/>
      <c r="BZ619" s="567"/>
      <c r="CA619" s="567"/>
      <c r="CB619" s="567"/>
      <c r="CC619" s="567"/>
      <c r="CD619" s="567"/>
      <c r="CE619" s="567"/>
      <c r="CF619" s="567"/>
      <c r="CG619" s="567"/>
      <c r="CH619" s="567"/>
      <c r="CI619" s="567"/>
      <c r="CJ619" s="567"/>
      <c r="CK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  <c r="BW620" s="567"/>
      <c r="BX620" s="567"/>
      <c r="BY620" s="567"/>
      <c r="BZ620" s="567"/>
      <c r="CA620" s="567"/>
      <c r="CB620" s="567"/>
      <c r="CC620" s="567"/>
      <c r="CD620" s="567"/>
      <c r="CE620" s="567"/>
      <c r="CF620" s="567"/>
      <c r="CG620" s="567"/>
      <c r="CH620" s="567"/>
      <c r="CI620" s="567"/>
      <c r="CJ620" s="567"/>
      <c r="CK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  <c r="BW621" s="567"/>
      <c r="BX621" s="567"/>
      <c r="BY621" s="567"/>
      <c r="BZ621" s="567"/>
      <c r="CA621" s="567"/>
      <c r="CB621" s="567"/>
      <c r="CC621" s="567"/>
      <c r="CD621" s="567"/>
      <c r="CE621" s="567"/>
      <c r="CF621" s="567"/>
      <c r="CG621" s="567"/>
      <c r="CH621" s="567"/>
      <c r="CI621" s="567"/>
      <c r="CJ621" s="567"/>
      <c r="CK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  <c r="BW622" s="567"/>
      <c r="BX622" s="567"/>
      <c r="BY622" s="567"/>
      <c r="BZ622" s="567"/>
      <c r="CA622" s="567"/>
      <c r="CB622" s="567"/>
      <c r="CC622" s="567"/>
      <c r="CD622" s="567"/>
      <c r="CE622" s="567"/>
      <c r="CF622" s="567"/>
      <c r="CG622" s="567"/>
      <c r="CH622" s="567"/>
      <c r="CI622" s="567"/>
      <c r="CJ622" s="567"/>
      <c r="CK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  <c r="BW623" s="567"/>
      <c r="BX623" s="567"/>
      <c r="BY623" s="567"/>
      <c r="BZ623" s="567"/>
      <c r="CA623" s="567"/>
      <c r="CB623" s="567"/>
      <c r="CC623" s="567"/>
      <c r="CD623" s="567"/>
      <c r="CE623" s="567"/>
      <c r="CF623" s="567"/>
      <c r="CG623" s="567"/>
      <c r="CH623" s="567"/>
      <c r="CI623" s="567"/>
      <c r="CJ623" s="567"/>
      <c r="CK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  <c r="BW624" s="567"/>
      <c r="BX624" s="567"/>
      <c r="BY624" s="567"/>
      <c r="BZ624" s="567"/>
      <c r="CA624" s="567"/>
      <c r="CB624" s="567"/>
      <c r="CC624" s="567"/>
      <c r="CD624" s="567"/>
      <c r="CE624" s="567"/>
      <c r="CF624" s="567"/>
      <c r="CG624" s="567"/>
      <c r="CH624" s="567"/>
      <c r="CI624" s="567"/>
      <c r="CJ624" s="567"/>
      <c r="CK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  <c r="BW625" s="567"/>
      <c r="BX625" s="567"/>
      <c r="BY625" s="567"/>
      <c r="BZ625" s="567"/>
      <c r="CA625" s="567"/>
      <c r="CB625" s="567"/>
      <c r="CC625" s="567"/>
      <c r="CD625" s="567"/>
      <c r="CE625" s="567"/>
      <c r="CF625" s="567"/>
      <c r="CG625" s="567"/>
      <c r="CH625" s="567"/>
      <c r="CI625" s="567"/>
      <c r="CJ625" s="567"/>
      <c r="CK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  <c r="BW626" s="567"/>
      <c r="BX626" s="567"/>
      <c r="BY626" s="567"/>
      <c r="BZ626" s="567"/>
      <c r="CA626" s="567"/>
      <c r="CB626" s="567"/>
      <c r="CC626" s="567"/>
      <c r="CD626" s="567"/>
      <c r="CE626" s="567"/>
      <c r="CF626" s="567"/>
      <c r="CG626" s="567"/>
      <c r="CH626" s="567"/>
      <c r="CI626" s="567"/>
      <c r="CJ626" s="567"/>
      <c r="CK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  <c r="BW627" s="567"/>
      <c r="BX627" s="567"/>
      <c r="BY627" s="567"/>
      <c r="BZ627" s="567"/>
      <c r="CA627" s="567"/>
      <c r="CB627" s="567"/>
      <c r="CC627" s="567"/>
      <c r="CD627" s="567"/>
      <c r="CE627" s="567"/>
      <c r="CF627" s="567"/>
      <c r="CG627" s="567"/>
      <c r="CH627" s="567"/>
      <c r="CI627" s="567"/>
      <c r="CJ627" s="567"/>
      <c r="CK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  <c r="BW628" s="567"/>
      <c r="BX628" s="567"/>
      <c r="BY628" s="567"/>
      <c r="BZ628" s="567"/>
      <c r="CA628" s="567"/>
      <c r="CB628" s="567"/>
      <c r="CC628" s="567"/>
      <c r="CD628" s="567"/>
      <c r="CE628" s="567"/>
      <c r="CF628" s="567"/>
      <c r="CG628" s="567"/>
      <c r="CH628" s="567"/>
      <c r="CI628" s="567"/>
      <c r="CJ628" s="567"/>
      <c r="CK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  <c r="BW629" s="567"/>
      <c r="BX629" s="567"/>
      <c r="BY629" s="567"/>
      <c r="BZ629" s="567"/>
      <c r="CA629" s="567"/>
      <c r="CB629" s="567"/>
      <c r="CC629" s="567"/>
      <c r="CD629" s="567"/>
      <c r="CE629" s="567"/>
      <c r="CF629" s="567"/>
      <c r="CG629" s="567"/>
      <c r="CH629" s="567"/>
      <c r="CI629" s="567"/>
      <c r="CJ629" s="567"/>
      <c r="CK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  <c r="BW630" s="567"/>
      <c r="BX630" s="567"/>
      <c r="BY630" s="567"/>
      <c r="BZ630" s="567"/>
      <c r="CA630" s="567"/>
      <c r="CB630" s="567"/>
      <c r="CC630" s="567"/>
      <c r="CD630" s="567"/>
      <c r="CE630" s="567"/>
      <c r="CF630" s="567"/>
      <c r="CG630" s="567"/>
      <c r="CH630" s="567"/>
      <c r="CI630" s="567"/>
      <c r="CJ630" s="567"/>
      <c r="CK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  <c r="BW631" s="567"/>
      <c r="BX631" s="567"/>
      <c r="BY631" s="567"/>
      <c r="BZ631" s="567"/>
      <c r="CA631" s="567"/>
      <c r="CB631" s="567"/>
      <c r="CC631" s="567"/>
      <c r="CD631" s="567"/>
      <c r="CE631" s="567"/>
      <c r="CF631" s="567"/>
      <c r="CG631" s="567"/>
      <c r="CH631" s="567"/>
      <c r="CI631" s="567"/>
      <c r="CJ631" s="567"/>
      <c r="CK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  <c r="BW632" s="567"/>
      <c r="BX632" s="567"/>
      <c r="BY632" s="567"/>
      <c r="BZ632" s="567"/>
      <c r="CA632" s="567"/>
      <c r="CB632" s="567"/>
      <c r="CC632" s="567"/>
      <c r="CD632" s="567"/>
      <c r="CE632" s="567"/>
      <c r="CF632" s="567"/>
      <c r="CG632" s="567"/>
      <c r="CH632" s="567"/>
      <c r="CI632" s="567"/>
      <c r="CJ632" s="567"/>
      <c r="CK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  <c r="BW633" s="567"/>
      <c r="BX633" s="567"/>
      <c r="BY633" s="567"/>
      <c r="BZ633" s="567"/>
      <c r="CA633" s="567"/>
      <c r="CB633" s="567"/>
      <c r="CC633" s="567"/>
      <c r="CD633" s="567"/>
      <c r="CE633" s="567"/>
      <c r="CF633" s="567"/>
      <c r="CG633" s="567"/>
      <c r="CH633" s="567"/>
      <c r="CI633" s="567"/>
      <c r="CJ633" s="567"/>
      <c r="CK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  <c r="BW634" s="567"/>
      <c r="BX634" s="567"/>
      <c r="BY634" s="567"/>
      <c r="BZ634" s="567"/>
      <c r="CA634" s="567"/>
      <c r="CB634" s="567"/>
      <c r="CC634" s="567"/>
      <c r="CD634" s="567"/>
      <c r="CE634" s="567"/>
      <c r="CF634" s="567"/>
      <c r="CG634" s="567"/>
      <c r="CH634" s="567"/>
      <c r="CI634" s="567"/>
      <c r="CJ634" s="567"/>
      <c r="CK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  <c r="BW635" s="567"/>
      <c r="BX635" s="567"/>
      <c r="BY635" s="567"/>
      <c r="BZ635" s="567"/>
      <c r="CA635" s="567"/>
      <c r="CB635" s="567"/>
      <c r="CC635" s="567"/>
      <c r="CD635" s="567"/>
      <c r="CE635" s="567"/>
      <c r="CF635" s="567"/>
      <c r="CG635" s="567"/>
      <c r="CH635" s="567"/>
      <c r="CI635" s="567"/>
      <c r="CJ635" s="567"/>
      <c r="CK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  <c r="BW636" s="567"/>
      <c r="BX636" s="567"/>
      <c r="BY636" s="567"/>
      <c r="BZ636" s="567"/>
      <c r="CA636" s="567"/>
      <c r="CB636" s="567"/>
      <c r="CC636" s="567"/>
      <c r="CD636" s="567"/>
      <c r="CE636" s="567"/>
      <c r="CF636" s="567"/>
      <c r="CG636" s="567"/>
      <c r="CH636" s="567"/>
      <c r="CI636" s="567"/>
      <c r="CJ636" s="567"/>
      <c r="CK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  <c r="BW637" s="567"/>
      <c r="BX637" s="567"/>
      <c r="BY637" s="567"/>
      <c r="BZ637" s="567"/>
      <c r="CA637" s="567"/>
      <c r="CB637" s="567"/>
      <c r="CC637" s="567"/>
      <c r="CD637" s="567"/>
      <c r="CE637" s="567"/>
      <c r="CF637" s="567"/>
      <c r="CG637" s="567"/>
      <c r="CH637" s="567"/>
      <c r="CI637" s="567"/>
      <c r="CJ637" s="567"/>
      <c r="CK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  <c r="BW638" s="567"/>
      <c r="BX638" s="567"/>
      <c r="BY638" s="567"/>
      <c r="BZ638" s="567"/>
      <c r="CA638" s="567"/>
      <c r="CB638" s="567"/>
      <c r="CC638" s="567"/>
      <c r="CD638" s="567"/>
      <c r="CE638" s="567"/>
      <c r="CF638" s="567"/>
      <c r="CG638" s="567"/>
      <c r="CH638" s="567"/>
      <c r="CI638" s="567"/>
      <c r="CJ638" s="567"/>
      <c r="CK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  <c r="BW639" s="567"/>
      <c r="BX639" s="567"/>
      <c r="BY639" s="567"/>
      <c r="BZ639" s="567"/>
      <c r="CA639" s="567"/>
      <c r="CB639" s="567"/>
      <c r="CC639" s="567"/>
      <c r="CD639" s="567"/>
      <c r="CE639" s="567"/>
      <c r="CF639" s="567"/>
      <c r="CG639" s="567"/>
      <c r="CH639" s="567"/>
      <c r="CI639" s="567"/>
      <c r="CJ639" s="567"/>
      <c r="CK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  <c r="BW640" s="567"/>
      <c r="BX640" s="567"/>
      <c r="BY640" s="567"/>
      <c r="BZ640" s="567"/>
      <c r="CA640" s="567"/>
      <c r="CB640" s="567"/>
      <c r="CC640" s="567"/>
      <c r="CD640" s="567"/>
      <c r="CE640" s="567"/>
      <c r="CF640" s="567"/>
      <c r="CG640" s="567"/>
      <c r="CH640" s="567"/>
      <c r="CI640" s="567"/>
      <c r="CJ640" s="567"/>
      <c r="CK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  <c r="BW641" s="567"/>
      <c r="BX641" s="567"/>
      <c r="BY641" s="567"/>
      <c r="BZ641" s="567"/>
      <c r="CA641" s="567"/>
      <c r="CB641" s="567"/>
      <c r="CC641" s="567"/>
      <c r="CD641" s="567"/>
      <c r="CE641" s="567"/>
      <c r="CF641" s="567"/>
      <c r="CG641" s="567"/>
      <c r="CH641" s="567"/>
      <c r="CI641" s="567"/>
      <c r="CJ641" s="567"/>
      <c r="CK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  <c r="BW642" s="567"/>
      <c r="BX642" s="567"/>
      <c r="BY642" s="567"/>
      <c r="BZ642" s="567"/>
      <c r="CA642" s="567"/>
      <c r="CB642" s="567"/>
      <c r="CC642" s="567"/>
      <c r="CD642" s="567"/>
      <c r="CE642" s="567"/>
      <c r="CF642" s="567"/>
      <c r="CG642" s="567"/>
      <c r="CH642" s="567"/>
      <c r="CI642" s="567"/>
      <c r="CJ642" s="567"/>
      <c r="CK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  <c r="BW643" s="567"/>
      <c r="BX643" s="567"/>
      <c r="BY643" s="567"/>
      <c r="BZ643" s="567"/>
      <c r="CA643" s="567"/>
      <c r="CB643" s="567"/>
      <c r="CC643" s="567"/>
      <c r="CD643" s="567"/>
      <c r="CE643" s="567"/>
      <c r="CF643" s="567"/>
      <c r="CG643" s="567"/>
      <c r="CH643" s="567"/>
      <c r="CI643" s="567"/>
      <c r="CJ643" s="567"/>
      <c r="CK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  <c r="BW644" s="567"/>
      <c r="BX644" s="567"/>
      <c r="BY644" s="567"/>
      <c r="BZ644" s="567"/>
      <c r="CA644" s="567"/>
      <c r="CB644" s="567"/>
      <c r="CC644" s="567"/>
      <c r="CD644" s="567"/>
      <c r="CE644" s="567"/>
      <c r="CF644" s="567"/>
      <c r="CG644" s="567"/>
      <c r="CH644" s="567"/>
      <c r="CI644" s="567"/>
      <c r="CJ644" s="567"/>
      <c r="CK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  <c r="BW645" s="567"/>
      <c r="BX645" s="567"/>
      <c r="BY645" s="567"/>
      <c r="BZ645" s="567"/>
      <c r="CA645" s="567"/>
      <c r="CB645" s="567"/>
      <c r="CC645" s="567"/>
      <c r="CD645" s="567"/>
      <c r="CE645" s="567"/>
      <c r="CF645" s="567"/>
      <c r="CG645" s="567"/>
      <c r="CH645" s="567"/>
      <c r="CI645" s="567"/>
      <c r="CJ645" s="567"/>
      <c r="CK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  <c r="BW646" s="567"/>
      <c r="BX646" s="567"/>
      <c r="BY646" s="567"/>
      <c r="BZ646" s="567"/>
      <c r="CA646" s="567"/>
      <c r="CB646" s="567"/>
      <c r="CC646" s="567"/>
      <c r="CD646" s="567"/>
      <c r="CE646" s="567"/>
      <c r="CF646" s="567"/>
      <c r="CG646" s="567"/>
      <c r="CH646" s="567"/>
      <c r="CI646" s="567"/>
      <c r="CJ646" s="567"/>
      <c r="CK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  <c r="BW647" s="567"/>
      <c r="BX647" s="567"/>
      <c r="BY647" s="567"/>
      <c r="BZ647" s="567"/>
      <c r="CA647" s="567"/>
      <c r="CB647" s="567"/>
      <c r="CC647" s="567"/>
      <c r="CD647" s="567"/>
      <c r="CE647" s="567"/>
      <c r="CF647" s="567"/>
      <c r="CG647" s="567"/>
      <c r="CH647" s="567"/>
      <c r="CI647" s="567"/>
      <c r="CJ647" s="567"/>
      <c r="CK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  <c r="BW648" s="567"/>
      <c r="BX648" s="567"/>
      <c r="BY648" s="567"/>
      <c r="BZ648" s="567"/>
      <c r="CA648" s="567"/>
      <c r="CB648" s="567"/>
      <c r="CC648" s="567"/>
      <c r="CD648" s="567"/>
      <c r="CE648" s="567"/>
      <c r="CF648" s="567"/>
      <c r="CG648" s="567"/>
      <c r="CH648" s="567"/>
      <c r="CI648" s="567"/>
      <c r="CJ648" s="567"/>
      <c r="CK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  <c r="BW649" s="567"/>
      <c r="BX649" s="567"/>
      <c r="BY649" s="567"/>
      <c r="BZ649" s="567"/>
      <c r="CA649" s="567"/>
      <c r="CB649" s="567"/>
      <c r="CC649" s="567"/>
      <c r="CD649" s="567"/>
      <c r="CE649" s="567"/>
      <c r="CF649" s="567"/>
      <c r="CG649" s="567"/>
      <c r="CH649" s="567"/>
      <c r="CI649" s="567"/>
      <c r="CJ649" s="567"/>
      <c r="CK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  <c r="BW650" s="567"/>
      <c r="BX650" s="567"/>
      <c r="BY650" s="567"/>
      <c r="BZ650" s="567"/>
      <c r="CA650" s="567"/>
      <c r="CB650" s="567"/>
      <c r="CC650" s="567"/>
      <c r="CD650" s="567"/>
      <c r="CE650" s="567"/>
      <c r="CF650" s="567"/>
      <c r="CG650" s="567"/>
      <c r="CH650" s="567"/>
      <c r="CI650" s="567"/>
      <c r="CJ650" s="567"/>
      <c r="CK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  <c r="BW651" s="567"/>
      <c r="BX651" s="567"/>
      <c r="BY651" s="567"/>
      <c r="BZ651" s="567"/>
      <c r="CA651" s="567"/>
      <c r="CB651" s="567"/>
      <c r="CC651" s="567"/>
      <c r="CD651" s="567"/>
      <c r="CE651" s="567"/>
      <c r="CF651" s="567"/>
      <c r="CG651" s="567"/>
      <c r="CH651" s="567"/>
      <c r="CI651" s="567"/>
      <c r="CJ651" s="567"/>
      <c r="CK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  <c r="BW652" s="567"/>
      <c r="BX652" s="567"/>
      <c r="BY652" s="567"/>
      <c r="BZ652" s="567"/>
      <c r="CA652" s="567"/>
      <c r="CB652" s="567"/>
      <c r="CC652" s="567"/>
      <c r="CD652" s="567"/>
      <c r="CE652" s="567"/>
      <c r="CF652" s="567"/>
      <c r="CG652" s="567"/>
      <c r="CH652" s="567"/>
      <c r="CI652" s="567"/>
      <c r="CJ652" s="567"/>
      <c r="CK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  <c r="BW653" s="567"/>
      <c r="BX653" s="567"/>
      <c r="BY653" s="567"/>
      <c r="BZ653" s="567"/>
      <c r="CA653" s="567"/>
      <c r="CB653" s="567"/>
      <c r="CC653" s="567"/>
      <c r="CD653" s="567"/>
      <c r="CE653" s="567"/>
      <c r="CF653" s="567"/>
      <c r="CG653" s="567"/>
      <c r="CH653" s="567"/>
      <c r="CI653" s="567"/>
      <c r="CJ653" s="567"/>
      <c r="CK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  <c r="BW654" s="567"/>
      <c r="BX654" s="567"/>
      <c r="BY654" s="567"/>
      <c r="BZ654" s="567"/>
      <c r="CA654" s="567"/>
      <c r="CB654" s="567"/>
      <c r="CC654" s="567"/>
      <c r="CD654" s="567"/>
      <c r="CE654" s="567"/>
      <c r="CF654" s="567"/>
      <c r="CG654" s="567"/>
      <c r="CH654" s="567"/>
      <c r="CI654" s="567"/>
      <c r="CJ654" s="567"/>
      <c r="CK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  <c r="BW655" s="567"/>
      <c r="BX655" s="567"/>
      <c r="BY655" s="567"/>
      <c r="BZ655" s="567"/>
      <c r="CA655" s="567"/>
      <c r="CB655" s="567"/>
      <c r="CC655" s="567"/>
      <c r="CD655" s="567"/>
      <c r="CE655" s="567"/>
      <c r="CF655" s="567"/>
      <c r="CG655" s="567"/>
      <c r="CH655" s="567"/>
      <c r="CI655" s="567"/>
      <c r="CJ655" s="567"/>
      <c r="CK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  <c r="BW656" s="567"/>
      <c r="BX656" s="567"/>
      <c r="BY656" s="567"/>
      <c r="BZ656" s="567"/>
      <c r="CA656" s="567"/>
      <c r="CB656" s="567"/>
      <c r="CC656" s="567"/>
      <c r="CD656" s="567"/>
      <c r="CE656" s="567"/>
      <c r="CF656" s="567"/>
      <c r="CG656" s="567"/>
      <c r="CH656" s="567"/>
      <c r="CI656" s="567"/>
      <c r="CJ656" s="567"/>
      <c r="CK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  <c r="BW657" s="567"/>
      <c r="BX657" s="567"/>
      <c r="BY657" s="567"/>
      <c r="BZ657" s="567"/>
      <c r="CA657" s="567"/>
      <c r="CB657" s="567"/>
      <c r="CC657" s="567"/>
      <c r="CD657" s="567"/>
      <c r="CE657" s="567"/>
      <c r="CF657" s="567"/>
      <c r="CG657" s="567"/>
      <c r="CH657" s="567"/>
      <c r="CI657" s="567"/>
      <c r="CJ657" s="567"/>
      <c r="CK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  <c r="BW658" s="567"/>
      <c r="BX658" s="567"/>
      <c r="BY658" s="567"/>
      <c r="BZ658" s="567"/>
      <c r="CA658" s="567"/>
      <c r="CB658" s="567"/>
      <c r="CC658" s="567"/>
      <c r="CD658" s="567"/>
      <c r="CE658" s="567"/>
      <c r="CF658" s="567"/>
      <c r="CG658" s="567"/>
      <c r="CH658" s="567"/>
      <c r="CI658" s="567"/>
      <c r="CJ658" s="567"/>
      <c r="CK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  <c r="BW659" s="567"/>
      <c r="BX659" s="567"/>
      <c r="BY659" s="567"/>
      <c r="BZ659" s="567"/>
      <c r="CA659" s="567"/>
      <c r="CB659" s="567"/>
      <c r="CC659" s="567"/>
      <c r="CD659" s="567"/>
      <c r="CE659" s="567"/>
      <c r="CF659" s="567"/>
      <c r="CG659" s="567"/>
      <c r="CH659" s="567"/>
      <c r="CI659" s="567"/>
      <c r="CJ659" s="567"/>
      <c r="CK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  <c r="BW660" s="567"/>
      <c r="BX660" s="567"/>
      <c r="BY660" s="567"/>
      <c r="BZ660" s="567"/>
      <c r="CA660" s="567"/>
      <c r="CB660" s="567"/>
      <c r="CC660" s="567"/>
      <c r="CD660" s="567"/>
      <c r="CE660" s="567"/>
      <c r="CF660" s="567"/>
      <c r="CG660" s="567"/>
      <c r="CH660" s="567"/>
      <c r="CI660" s="567"/>
      <c r="CJ660" s="567"/>
      <c r="CK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  <c r="BW661" s="567"/>
      <c r="BX661" s="567"/>
      <c r="BY661" s="567"/>
      <c r="BZ661" s="567"/>
      <c r="CA661" s="567"/>
      <c r="CB661" s="567"/>
      <c r="CC661" s="567"/>
      <c r="CD661" s="567"/>
      <c r="CE661" s="567"/>
      <c r="CF661" s="567"/>
      <c r="CG661" s="567"/>
      <c r="CH661" s="567"/>
      <c r="CI661" s="567"/>
      <c r="CJ661" s="567"/>
      <c r="CK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  <c r="BW662" s="567"/>
      <c r="BX662" s="567"/>
      <c r="BY662" s="567"/>
      <c r="BZ662" s="567"/>
      <c r="CA662" s="567"/>
      <c r="CB662" s="567"/>
      <c r="CC662" s="567"/>
      <c r="CD662" s="567"/>
      <c r="CE662" s="567"/>
      <c r="CF662" s="567"/>
      <c r="CG662" s="567"/>
      <c r="CH662" s="567"/>
      <c r="CI662" s="567"/>
      <c r="CJ662" s="567"/>
      <c r="CK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  <c r="BW663" s="567"/>
      <c r="BX663" s="567"/>
      <c r="BY663" s="567"/>
      <c r="BZ663" s="567"/>
      <c r="CA663" s="567"/>
      <c r="CB663" s="567"/>
      <c r="CC663" s="567"/>
      <c r="CD663" s="567"/>
      <c r="CE663" s="567"/>
      <c r="CF663" s="567"/>
      <c r="CG663" s="567"/>
      <c r="CH663" s="567"/>
      <c r="CI663" s="567"/>
      <c r="CJ663" s="567"/>
      <c r="CK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  <c r="BW664" s="567"/>
      <c r="BX664" s="567"/>
      <c r="BY664" s="567"/>
      <c r="BZ664" s="567"/>
      <c r="CA664" s="567"/>
      <c r="CB664" s="567"/>
      <c r="CC664" s="567"/>
      <c r="CD664" s="567"/>
      <c r="CE664" s="567"/>
      <c r="CF664" s="567"/>
      <c r="CG664" s="567"/>
      <c r="CH664" s="567"/>
      <c r="CI664" s="567"/>
      <c r="CJ664" s="567"/>
      <c r="CK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  <c r="BW665" s="567"/>
      <c r="BX665" s="567"/>
      <c r="BY665" s="567"/>
      <c r="BZ665" s="567"/>
      <c r="CA665" s="567"/>
      <c r="CB665" s="567"/>
      <c r="CC665" s="567"/>
      <c r="CD665" s="567"/>
      <c r="CE665" s="567"/>
      <c r="CF665" s="567"/>
      <c r="CG665" s="567"/>
      <c r="CH665" s="567"/>
      <c r="CI665" s="567"/>
      <c r="CJ665" s="567"/>
      <c r="CK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  <c r="BW666" s="567"/>
      <c r="BX666" s="567"/>
      <c r="BY666" s="567"/>
      <c r="BZ666" s="567"/>
      <c r="CA666" s="567"/>
      <c r="CB666" s="567"/>
      <c r="CC666" s="567"/>
      <c r="CD666" s="567"/>
      <c r="CE666" s="567"/>
      <c r="CF666" s="567"/>
      <c r="CG666" s="567"/>
      <c r="CH666" s="567"/>
      <c r="CI666" s="567"/>
      <c r="CJ666" s="567"/>
      <c r="CK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  <c r="BW667" s="567"/>
      <c r="BX667" s="567"/>
      <c r="BY667" s="567"/>
      <c r="BZ667" s="567"/>
      <c r="CA667" s="567"/>
      <c r="CB667" s="567"/>
      <c r="CC667" s="567"/>
      <c r="CD667" s="567"/>
      <c r="CE667" s="567"/>
      <c r="CF667" s="567"/>
      <c r="CG667" s="567"/>
      <c r="CH667" s="567"/>
      <c r="CI667" s="567"/>
      <c r="CJ667" s="567"/>
      <c r="CK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  <c r="BW668" s="567"/>
      <c r="BX668" s="567"/>
      <c r="BY668" s="567"/>
      <c r="BZ668" s="567"/>
      <c r="CA668" s="567"/>
      <c r="CB668" s="567"/>
      <c r="CC668" s="567"/>
      <c r="CD668" s="567"/>
      <c r="CE668" s="567"/>
      <c r="CF668" s="567"/>
      <c r="CG668" s="567"/>
      <c r="CH668" s="567"/>
      <c r="CI668" s="567"/>
      <c r="CJ668" s="567"/>
      <c r="CK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  <c r="BW669" s="567"/>
      <c r="BX669" s="567"/>
      <c r="BY669" s="567"/>
      <c r="BZ669" s="567"/>
      <c r="CA669" s="567"/>
      <c r="CB669" s="567"/>
      <c r="CC669" s="567"/>
      <c r="CD669" s="567"/>
      <c r="CE669" s="567"/>
      <c r="CF669" s="567"/>
      <c r="CG669" s="567"/>
      <c r="CH669" s="567"/>
      <c r="CI669" s="567"/>
      <c r="CJ669" s="567"/>
      <c r="CK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  <c r="BW670" s="567"/>
      <c r="BX670" s="567"/>
      <c r="BY670" s="567"/>
      <c r="BZ670" s="567"/>
      <c r="CA670" s="567"/>
      <c r="CB670" s="567"/>
      <c r="CC670" s="567"/>
      <c r="CD670" s="567"/>
      <c r="CE670" s="567"/>
      <c r="CF670" s="567"/>
      <c r="CG670" s="567"/>
      <c r="CH670" s="567"/>
      <c r="CI670" s="567"/>
      <c r="CJ670" s="567"/>
      <c r="CK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  <c r="BW671" s="567"/>
      <c r="BX671" s="567"/>
      <c r="BY671" s="567"/>
      <c r="BZ671" s="567"/>
      <c r="CA671" s="567"/>
      <c r="CB671" s="567"/>
      <c r="CC671" s="567"/>
      <c r="CD671" s="567"/>
      <c r="CE671" s="567"/>
      <c r="CF671" s="567"/>
      <c r="CG671" s="567"/>
      <c r="CH671" s="567"/>
      <c r="CI671" s="567"/>
      <c r="CJ671" s="567"/>
      <c r="CK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  <c r="BW672" s="567"/>
      <c r="BX672" s="567"/>
      <c r="BY672" s="567"/>
      <c r="BZ672" s="567"/>
      <c r="CA672" s="567"/>
      <c r="CB672" s="567"/>
      <c r="CC672" s="567"/>
      <c r="CD672" s="567"/>
      <c r="CE672" s="567"/>
      <c r="CF672" s="567"/>
      <c r="CG672" s="567"/>
      <c r="CH672" s="567"/>
      <c r="CI672" s="567"/>
      <c r="CJ672" s="567"/>
      <c r="CK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  <c r="BW673" s="567"/>
      <c r="BX673" s="567"/>
      <c r="BY673" s="567"/>
      <c r="BZ673" s="567"/>
      <c r="CA673" s="567"/>
      <c r="CB673" s="567"/>
      <c r="CC673" s="567"/>
      <c r="CD673" s="567"/>
      <c r="CE673" s="567"/>
      <c r="CF673" s="567"/>
      <c r="CG673" s="567"/>
      <c r="CH673" s="567"/>
      <c r="CI673" s="567"/>
      <c r="CJ673" s="567"/>
      <c r="CK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  <c r="BW674" s="567"/>
      <c r="BX674" s="567"/>
      <c r="BY674" s="567"/>
      <c r="BZ674" s="567"/>
      <c r="CA674" s="567"/>
      <c r="CB674" s="567"/>
      <c r="CC674" s="567"/>
      <c r="CD674" s="567"/>
      <c r="CE674" s="567"/>
      <c r="CF674" s="567"/>
      <c r="CG674" s="567"/>
      <c r="CH674" s="567"/>
      <c r="CI674" s="567"/>
      <c r="CJ674" s="567"/>
      <c r="CK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  <c r="BW675" s="567"/>
      <c r="BX675" s="567"/>
      <c r="BY675" s="567"/>
      <c r="BZ675" s="567"/>
      <c r="CA675" s="567"/>
      <c r="CB675" s="567"/>
      <c r="CC675" s="567"/>
      <c r="CD675" s="567"/>
      <c r="CE675" s="567"/>
      <c r="CF675" s="567"/>
      <c r="CG675" s="567"/>
      <c r="CH675" s="567"/>
      <c r="CI675" s="567"/>
      <c r="CJ675" s="567"/>
      <c r="CK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  <c r="BW676" s="567"/>
      <c r="BX676" s="567"/>
      <c r="BY676" s="567"/>
      <c r="BZ676" s="567"/>
      <c r="CA676" s="567"/>
      <c r="CB676" s="567"/>
      <c r="CC676" s="567"/>
      <c r="CD676" s="567"/>
      <c r="CE676" s="567"/>
      <c r="CF676" s="567"/>
      <c r="CG676" s="567"/>
      <c r="CH676" s="567"/>
      <c r="CI676" s="567"/>
      <c r="CJ676" s="567"/>
      <c r="CK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  <c r="BW677" s="567"/>
      <c r="BX677" s="567"/>
      <c r="BY677" s="567"/>
      <c r="BZ677" s="567"/>
      <c r="CA677" s="567"/>
      <c r="CB677" s="567"/>
      <c r="CC677" s="567"/>
      <c r="CD677" s="567"/>
      <c r="CE677" s="567"/>
      <c r="CF677" s="567"/>
      <c r="CG677" s="567"/>
      <c r="CH677" s="567"/>
      <c r="CI677" s="567"/>
      <c r="CJ677" s="567"/>
      <c r="CK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  <c r="BW678" s="567"/>
      <c r="BX678" s="567"/>
      <c r="BY678" s="567"/>
      <c r="BZ678" s="567"/>
      <c r="CA678" s="567"/>
      <c r="CB678" s="567"/>
      <c r="CC678" s="567"/>
      <c r="CD678" s="567"/>
      <c r="CE678" s="567"/>
      <c r="CF678" s="567"/>
      <c r="CG678" s="567"/>
      <c r="CH678" s="567"/>
      <c r="CI678" s="567"/>
      <c r="CJ678" s="567"/>
      <c r="CK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  <c r="BW679" s="567"/>
      <c r="BX679" s="567"/>
      <c r="BY679" s="567"/>
      <c r="BZ679" s="567"/>
      <c r="CA679" s="567"/>
      <c r="CB679" s="567"/>
      <c r="CC679" s="567"/>
      <c r="CD679" s="567"/>
      <c r="CE679" s="567"/>
      <c r="CF679" s="567"/>
      <c r="CG679" s="567"/>
      <c r="CH679" s="567"/>
      <c r="CI679" s="567"/>
      <c r="CJ679" s="567"/>
      <c r="CK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  <c r="BW680" s="567"/>
      <c r="BX680" s="567"/>
      <c r="BY680" s="567"/>
      <c r="BZ680" s="567"/>
      <c r="CA680" s="567"/>
      <c r="CB680" s="567"/>
      <c r="CC680" s="567"/>
      <c r="CD680" s="567"/>
      <c r="CE680" s="567"/>
      <c r="CF680" s="567"/>
      <c r="CG680" s="567"/>
      <c r="CH680" s="567"/>
      <c r="CI680" s="567"/>
      <c r="CJ680" s="567"/>
      <c r="CK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  <c r="BW681" s="567"/>
      <c r="BX681" s="567"/>
      <c r="BY681" s="567"/>
      <c r="BZ681" s="567"/>
      <c r="CA681" s="567"/>
      <c r="CB681" s="567"/>
      <c r="CC681" s="567"/>
      <c r="CD681" s="567"/>
      <c r="CE681" s="567"/>
      <c r="CF681" s="567"/>
      <c r="CG681" s="567"/>
      <c r="CH681" s="567"/>
      <c r="CI681" s="567"/>
      <c r="CJ681" s="567"/>
      <c r="CK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  <c r="BW682" s="567"/>
      <c r="BX682" s="567"/>
      <c r="BY682" s="567"/>
      <c r="BZ682" s="567"/>
      <c r="CA682" s="567"/>
      <c r="CB682" s="567"/>
      <c r="CC682" s="567"/>
      <c r="CD682" s="567"/>
      <c r="CE682" s="567"/>
      <c r="CF682" s="567"/>
      <c r="CG682" s="567"/>
      <c r="CH682" s="567"/>
      <c r="CI682" s="567"/>
      <c r="CJ682" s="567"/>
      <c r="CK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  <c r="BW683" s="567"/>
      <c r="BX683" s="567"/>
      <c r="BY683" s="567"/>
      <c r="BZ683" s="567"/>
      <c r="CA683" s="567"/>
      <c r="CB683" s="567"/>
      <c r="CC683" s="567"/>
      <c r="CD683" s="567"/>
      <c r="CE683" s="567"/>
      <c r="CF683" s="567"/>
      <c r="CG683" s="567"/>
      <c r="CH683" s="567"/>
      <c r="CI683" s="567"/>
      <c r="CJ683" s="567"/>
      <c r="CK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  <c r="BW684" s="567"/>
      <c r="BX684" s="567"/>
      <c r="BY684" s="567"/>
      <c r="BZ684" s="567"/>
      <c r="CA684" s="567"/>
      <c r="CB684" s="567"/>
      <c r="CC684" s="567"/>
      <c r="CD684" s="567"/>
      <c r="CE684" s="567"/>
      <c r="CF684" s="567"/>
      <c r="CG684" s="567"/>
      <c r="CH684" s="567"/>
      <c r="CI684" s="567"/>
      <c r="CJ684" s="567"/>
      <c r="CK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  <c r="BW685" s="567"/>
      <c r="BX685" s="567"/>
      <c r="BY685" s="567"/>
      <c r="BZ685" s="567"/>
      <c r="CA685" s="567"/>
      <c r="CB685" s="567"/>
      <c r="CC685" s="567"/>
      <c r="CD685" s="567"/>
      <c r="CE685" s="567"/>
      <c r="CF685" s="567"/>
      <c r="CG685" s="567"/>
      <c r="CH685" s="567"/>
      <c r="CI685" s="567"/>
      <c r="CJ685" s="567"/>
      <c r="CK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  <c r="BW686" s="567"/>
      <c r="BX686" s="567"/>
      <c r="BY686" s="567"/>
      <c r="BZ686" s="567"/>
      <c r="CA686" s="567"/>
      <c r="CB686" s="567"/>
      <c r="CC686" s="567"/>
      <c r="CD686" s="567"/>
      <c r="CE686" s="567"/>
      <c r="CF686" s="567"/>
      <c r="CG686" s="567"/>
      <c r="CH686" s="567"/>
      <c r="CI686" s="567"/>
      <c r="CJ686" s="567"/>
      <c r="CK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  <c r="BW687" s="567"/>
      <c r="BX687" s="567"/>
      <c r="BY687" s="567"/>
      <c r="BZ687" s="567"/>
      <c r="CA687" s="567"/>
      <c r="CB687" s="567"/>
      <c r="CC687" s="567"/>
      <c r="CD687" s="567"/>
      <c r="CE687" s="567"/>
      <c r="CF687" s="567"/>
      <c r="CG687" s="567"/>
      <c r="CH687" s="567"/>
      <c r="CI687" s="567"/>
      <c r="CJ687" s="567"/>
      <c r="CK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  <c r="BW688" s="567"/>
      <c r="BX688" s="567"/>
      <c r="BY688" s="567"/>
      <c r="BZ688" s="567"/>
      <c r="CA688" s="567"/>
      <c r="CB688" s="567"/>
      <c r="CC688" s="567"/>
      <c r="CD688" s="567"/>
      <c r="CE688" s="567"/>
      <c r="CF688" s="567"/>
      <c r="CG688" s="567"/>
      <c r="CH688" s="567"/>
      <c r="CI688" s="567"/>
      <c r="CJ688" s="567"/>
      <c r="CK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  <c r="BW689" s="567"/>
      <c r="BX689" s="567"/>
      <c r="BY689" s="567"/>
      <c r="BZ689" s="567"/>
      <c r="CA689" s="567"/>
      <c r="CB689" s="567"/>
      <c r="CC689" s="567"/>
      <c r="CD689" s="567"/>
      <c r="CE689" s="567"/>
      <c r="CF689" s="567"/>
      <c r="CG689" s="567"/>
      <c r="CH689" s="567"/>
      <c r="CI689" s="567"/>
      <c r="CJ689" s="567"/>
      <c r="CK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  <c r="BW690" s="567"/>
      <c r="BX690" s="567"/>
      <c r="BY690" s="567"/>
      <c r="BZ690" s="567"/>
      <c r="CA690" s="567"/>
      <c r="CB690" s="567"/>
      <c r="CC690" s="567"/>
      <c r="CD690" s="567"/>
      <c r="CE690" s="567"/>
      <c r="CF690" s="567"/>
      <c r="CG690" s="567"/>
      <c r="CH690" s="567"/>
      <c r="CI690" s="567"/>
      <c r="CJ690" s="567"/>
      <c r="CK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  <c r="BW691" s="567"/>
      <c r="BX691" s="567"/>
      <c r="BY691" s="567"/>
      <c r="BZ691" s="567"/>
      <c r="CA691" s="567"/>
      <c r="CB691" s="567"/>
      <c r="CC691" s="567"/>
      <c r="CD691" s="567"/>
      <c r="CE691" s="567"/>
      <c r="CF691" s="567"/>
      <c r="CG691" s="567"/>
      <c r="CH691" s="567"/>
      <c r="CI691" s="567"/>
      <c r="CJ691" s="567"/>
      <c r="CK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  <c r="BW692" s="567"/>
      <c r="BX692" s="567"/>
      <c r="BY692" s="567"/>
      <c r="BZ692" s="567"/>
      <c r="CA692" s="567"/>
      <c r="CB692" s="567"/>
      <c r="CC692" s="567"/>
      <c r="CD692" s="567"/>
      <c r="CE692" s="567"/>
      <c r="CF692" s="567"/>
      <c r="CG692" s="567"/>
      <c r="CH692" s="567"/>
      <c r="CI692" s="567"/>
      <c r="CJ692" s="567"/>
      <c r="CK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  <c r="BW693" s="567"/>
      <c r="BX693" s="567"/>
      <c r="BY693" s="567"/>
      <c r="BZ693" s="567"/>
      <c r="CA693" s="567"/>
      <c r="CB693" s="567"/>
      <c r="CC693" s="567"/>
      <c r="CD693" s="567"/>
      <c r="CE693" s="567"/>
      <c r="CF693" s="567"/>
      <c r="CG693" s="567"/>
      <c r="CH693" s="567"/>
      <c r="CI693" s="567"/>
      <c r="CJ693" s="567"/>
      <c r="CK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  <c r="BW694" s="567"/>
      <c r="BX694" s="567"/>
      <c r="BY694" s="567"/>
      <c r="BZ694" s="567"/>
      <c r="CA694" s="567"/>
      <c r="CB694" s="567"/>
      <c r="CC694" s="567"/>
      <c r="CD694" s="567"/>
      <c r="CE694" s="567"/>
      <c r="CF694" s="567"/>
      <c r="CG694" s="567"/>
      <c r="CH694" s="567"/>
      <c r="CI694" s="567"/>
      <c r="CJ694" s="567"/>
      <c r="CK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  <c r="BW695" s="567"/>
      <c r="BX695" s="567"/>
      <c r="BY695" s="567"/>
      <c r="BZ695" s="567"/>
      <c r="CA695" s="567"/>
      <c r="CB695" s="567"/>
      <c r="CC695" s="567"/>
      <c r="CD695" s="567"/>
      <c r="CE695" s="567"/>
      <c r="CF695" s="567"/>
      <c r="CG695" s="567"/>
      <c r="CH695" s="567"/>
      <c r="CI695" s="567"/>
      <c r="CJ695" s="567"/>
      <c r="CK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  <c r="BW696" s="567"/>
      <c r="BX696" s="567"/>
      <c r="BY696" s="567"/>
      <c r="BZ696" s="567"/>
      <c r="CA696" s="567"/>
      <c r="CB696" s="567"/>
      <c r="CC696" s="567"/>
      <c r="CD696" s="567"/>
      <c r="CE696" s="567"/>
      <c r="CF696" s="567"/>
      <c r="CG696" s="567"/>
      <c r="CH696" s="567"/>
      <c r="CI696" s="567"/>
      <c r="CJ696" s="567"/>
      <c r="CK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  <c r="BW697" s="567"/>
      <c r="BX697" s="567"/>
      <c r="BY697" s="567"/>
      <c r="BZ697" s="567"/>
      <c r="CA697" s="567"/>
      <c r="CB697" s="567"/>
      <c r="CC697" s="567"/>
      <c r="CD697" s="567"/>
      <c r="CE697" s="567"/>
      <c r="CF697" s="567"/>
      <c r="CG697" s="567"/>
      <c r="CH697" s="567"/>
      <c r="CI697" s="567"/>
      <c r="CJ697" s="567"/>
      <c r="CK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  <c r="BW698" s="567"/>
      <c r="BX698" s="567"/>
      <c r="BY698" s="567"/>
      <c r="BZ698" s="567"/>
      <c r="CA698" s="567"/>
      <c r="CB698" s="567"/>
      <c r="CC698" s="567"/>
      <c r="CD698" s="567"/>
      <c r="CE698" s="567"/>
      <c r="CF698" s="567"/>
      <c r="CG698" s="567"/>
      <c r="CH698" s="567"/>
      <c r="CI698" s="567"/>
      <c r="CJ698" s="567"/>
      <c r="CK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  <c r="BW699" s="567"/>
      <c r="BX699" s="567"/>
      <c r="BY699" s="567"/>
      <c r="BZ699" s="567"/>
      <c r="CA699" s="567"/>
      <c r="CB699" s="567"/>
      <c r="CC699" s="567"/>
      <c r="CD699" s="567"/>
      <c r="CE699" s="567"/>
      <c r="CF699" s="567"/>
      <c r="CG699" s="567"/>
      <c r="CH699" s="567"/>
      <c r="CI699" s="567"/>
      <c r="CJ699" s="567"/>
      <c r="CK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  <c r="BW700" s="567"/>
      <c r="BX700" s="567"/>
      <c r="BY700" s="567"/>
      <c r="BZ700" s="567"/>
      <c r="CA700" s="567"/>
      <c r="CB700" s="567"/>
      <c r="CC700" s="567"/>
      <c r="CD700" s="567"/>
      <c r="CE700" s="567"/>
      <c r="CF700" s="567"/>
      <c r="CG700" s="567"/>
      <c r="CH700" s="567"/>
      <c r="CI700" s="567"/>
      <c r="CJ700" s="567"/>
      <c r="CK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  <c r="BW701" s="567"/>
      <c r="BX701" s="567"/>
      <c r="BY701" s="567"/>
      <c r="BZ701" s="567"/>
      <c r="CA701" s="567"/>
      <c r="CB701" s="567"/>
      <c r="CC701" s="567"/>
      <c r="CD701" s="567"/>
      <c r="CE701" s="567"/>
      <c r="CF701" s="567"/>
      <c r="CG701" s="567"/>
      <c r="CH701" s="567"/>
      <c r="CI701" s="567"/>
      <c r="CJ701" s="567"/>
      <c r="CK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  <c r="BW702" s="567"/>
      <c r="BX702" s="567"/>
      <c r="BY702" s="567"/>
      <c r="BZ702" s="567"/>
      <c r="CA702" s="567"/>
      <c r="CB702" s="567"/>
      <c r="CC702" s="567"/>
      <c r="CD702" s="567"/>
      <c r="CE702" s="567"/>
      <c r="CF702" s="567"/>
      <c r="CG702" s="567"/>
      <c r="CH702" s="567"/>
      <c r="CI702" s="567"/>
      <c r="CJ702" s="567"/>
      <c r="CK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  <c r="BW703" s="567"/>
      <c r="BX703" s="567"/>
      <c r="BY703" s="567"/>
      <c r="BZ703" s="567"/>
      <c r="CA703" s="567"/>
      <c r="CB703" s="567"/>
      <c r="CC703" s="567"/>
      <c r="CD703" s="567"/>
      <c r="CE703" s="567"/>
      <c r="CF703" s="567"/>
      <c r="CG703" s="567"/>
      <c r="CH703" s="567"/>
      <c r="CI703" s="567"/>
      <c r="CJ703" s="567"/>
      <c r="CK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  <c r="BW704" s="567"/>
      <c r="BX704" s="567"/>
      <c r="BY704" s="567"/>
      <c r="BZ704" s="567"/>
      <c r="CA704" s="567"/>
      <c r="CB704" s="567"/>
      <c r="CC704" s="567"/>
      <c r="CD704" s="567"/>
      <c r="CE704" s="567"/>
      <c r="CF704" s="567"/>
      <c r="CG704" s="567"/>
      <c r="CH704" s="567"/>
      <c r="CI704" s="567"/>
      <c r="CJ704" s="567"/>
      <c r="CK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  <c r="BW705" s="567"/>
      <c r="BX705" s="567"/>
      <c r="BY705" s="567"/>
      <c r="BZ705" s="567"/>
      <c r="CA705" s="567"/>
      <c r="CB705" s="567"/>
      <c r="CC705" s="567"/>
      <c r="CD705" s="567"/>
      <c r="CE705" s="567"/>
      <c r="CF705" s="567"/>
      <c r="CG705" s="567"/>
      <c r="CH705" s="567"/>
      <c r="CI705" s="567"/>
      <c r="CJ705" s="567"/>
      <c r="CK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  <c r="BW706" s="567"/>
      <c r="BX706" s="567"/>
      <c r="BY706" s="567"/>
      <c r="BZ706" s="567"/>
      <c r="CA706" s="567"/>
      <c r="CB706" s="567"/>
      <c r="CC706" s="567"/>
      <c r="CD706" s="567"/>
      <c r="CE706" s="567"/>
      <c r="CF706" s="567"/>
      <c r="CG706" s="567"/>
      <c r="CH706" s="567"/>
      <c r="CI706" s="567"/>
      <c r="CJ706" s="567"/>
      <c r="CK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  <c r="BW707" s="567"/>
      <c r="BX707" s="567"/>
      <c r="BY707" s="567"/>
      <c r="BZ707" s="567"/>
      <c r="CA707" s="567"/>
      <c r="CB707" s="567"/>
      <c r="CC707" s="567"/>
      <c r="CD707" s="567"/>
      <c r="CE707" s="567"/>
      <c r="CF707" s="567"/>
      <c r="CG707" s="567"/>
      <c r="CH707" s="567"/>
      <c r="CI707" s="567"/>
      <c r="CJ707" s="567"/>
      <c r="CK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  <c r="BW708" s="567"/>
      <c r="BX708" s="567"/>
      <c r="BY708" s="567"/>
      <c r="BZ708" s="567"/>
      <c r="CA708" s="567"/>
      <c r="CB708" s="567"/>
      <c r="CC708" s="567"/>
      <c r="CD708" s="567"/>
      <c r="CE708" s="567"/>
      <c r="CF708" s="567"/>
      <c r="CG708" s="567"/>
      <c r="CH708" s="567"/>
      <c r="CI708" s="567"/>
      <c r="CJ708" s="567"/>
      <c r="CK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  <c r="BW709" s="567"/>
      <c r="BX709" s="567"/>
      <c r="BY709" s="567"/>
      <c r="BZ709" s="567"/>
      <c r="CA709" s="567"/>
      <c r="CB709" s="567"/>
      <c r="CC709" s="567"/>
      <c r="CD709" s="567"/>
      <c r="CE709" s="567"/>
      <c r="CF709" s="567"/>
      <c r="CG709" s="567"/>
      <c r="CH709" s="567"/>
      <c r="CI709" s="567"/>
      <c r="CJ709" s="567"/>
      <c r="CK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  <c r="BW710" s="567"/>
      <c r="BX710" s="567"/>
      <c r="BY710" s="567"/>
      <c r="BZ710" s="567"/>
      <c r="CA710" s="567"/>
      <c r="CB710" s="567"/>
      <c r="CC710" s="567"/>
      <c r="CD710" s="567"/>
      <c r="CE710" s="567"/>
      <c r="CF710" s="567"/>
      <c r="CG710" s="567"/>
      <c r="CH710" s="567"/>
      <c r="CI710" s="567"/>
      <c r="CJ710" s="567"/>
      <c r="CK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  <c r="BW711" s="567"/>
      <c r="BX711" s="567"/>
      <c r="BY711" s="567"/>
      <c r="BZ711" s="567"/>
      <c r="CA711" s="567"/>
      <c r="CB711" s="567"/>
      <c r="CC711" s="567"/>
      <c r="CD711" s="567"/>
      <c r="CE711" s="567"/>
      <c r="CF711" s="567"/>
      <c r="CG711" s="567"/>
      <c r="CH711" s="567"/>
      <c r="CI711" s="567"/>
      <c r="CJ711" s="567"/>
      <c r="CK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  <c r="BW712" s="567"/>
      <c r="BX712" s="567"/>
      <c r="BY712" s="567"/>
      <c r="BZ712" s="567"/>
      <c r="CA712" s="567"/>
      <c r="CB712" s="567"/>
      <c r="CC712" s="567"/>
      <c r="CD712" s="567"/>
      <c r="CE712" s="567"/>
      <c r="CF712" s="567"/>
      <c r="CG712" s="567"/>
      <c r="CH712" s="567"/>
      <c r="CI712" s="567"/>
      <c r="CJ712" s="567"/>
      <c r="CK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  <c r="BW713" s="567"/>
      <c r="BX713" s="567"/>
      <c r="BY713" s="567"/>
      <c r="BZ713" s="567"/>
      <c r="CA713" s="567"/>
      <c r="CB713" s="567"/>
      <c r="CC713" s="567"/>
      <c r="CD713" s="567"/>
      <c r="CE713" s="567"/>
      <c r="CF713" s="567"/>
      <c r="CG713" s="567"/>
      <c r="CH713" s="567"/>
      <c r="CI713" s="567"/>
      <c r="CJ713" s="567"/>
      <c r="CK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  <c r="BW714" s="567"/>
      <c r="BX714" s="567"/>
      <c r="BY714" s="567"/>
      <c r="BZ714" s="567"/>
      <c r="CA714" s="567"/>
      <c r="CB714" s="567"/>
      <c r="CC714" s="567"/>
      <c r="CD714" s="567"/>
      <c r="CE714" s="567"/>
      <c r="CF714" s="567"/>
      <c r="CG714" s="567"/>
      <c r="CH714" s="567"/>
      <c r="CI714" s="567"/>
      <c r="CJ714" s="567"/>
      <c r="CK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  <c r="BW715" s="567"/>
      <c r="BX715" s="567"/>
      <c r="BY715" s="567"/>
      <c r="BZ715" s="567"/>
      <c r="CA715" s="567"/>
      <c r="CB715" s="567"/>
      <c r="CC715" s="567"/>
      <c r="CD715" s="567"/>
      <c r="CE715" s="567"/>
      <c r="CF715" s="567"/>
      <c r="CG715" s="567"/>
      <c r="CH715" s="567"/>
      <c r="CI715" s="567"/>
      <c r="CJ715" s="567"/>
      <c r="CK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  <c r="BW716" s="567"/>
      <c r="BX716" s="567"/>
      <c r="BY716" s="567"/>
      <c r="BZ716" s="567"/>
      <c r="CA716" s="567"/>
      <c r="CB716" s="567"/>
      <c r="CC716" s="567"/>
      <c r="CD716" s="567"/>
      <c r="CE716" s="567"/>
      <c r="CF716" s="567"/>
      <c r="CG716" s="567"/>
      <c r="CH716" s="567"/>
      <c r="CI716" s="567"/>
      <c r="CJ716" s="567"/>
      <c r="CK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  <c r="BW717" s="567"/>
      <c r="BX717" s="567"/>
      <c r="BY717" s="567"/>
      <c r="BZ717" s="567"/>
      <c r="CA717" s="567"/>
      <c r="CB717" s="567"/>
      <c r="CC717" s="567"/>
      <c r="CD717" s="567"/>
      <c r="CE717" s="567"/>
      <c r="CF717" s="567"/>
      <c r="CG717" s="567"/>
      <c r="CH717" s="567"/>
      <c r="CI717" s="567"/>
      <c r="CJ717" s="567"/>
      <c r="CK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  <c r="BW718" s="567"/>
      <c r="BX718" s="567"/>
      <c r="BY718" s="567"/>
      <c r="BZ718" s="567"/>
      <c r="CA718" s="567"/>
      <c r="CB718" s="567"/>
      <c r="CC718" s="567"/>
      <c r="CD718" s="567"/>
      <c r="CE718" s="567"/>
      <c r="CF718" s="567"/>
      <c r="CG718" s="567"/>
      <c r="CH718" s="567"/>
      <c r="CI718" s="567"/>
      <c r="CJ718" s="567"/>
      <c r="CK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  <c r="BW719" s="567"/>
      <c r="BX719" s="567"/>
      <c r="BY719" s="567"/>
      <c r="BZ719" s="567"/>
      <c r="CA719" s="567"/>
      <c r="CB719" s="567"/>
      <c r="CC719" s="567"/>
      <c r="CD719" s="567"/>
      <c r="CE719" s="567"/>
      <c r="CF719" s="567"/>
      <c r="CG719" s="567"/>
      <c r="CH719" s="567"/>
      <c r="CI719" s="567"/>
      <c r="CJ719" s="567"/>
      <c r="CK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  <c r="BW720" s="567"/>
      <c r="BX720" s="567"/>
      <c r="BY720" s="567"/>
      <c r="BZ720" s="567"/>
      <c r="CA720" s="567"/>
      <c r="CB720" s="567"/>
      <c r="CC720" s="567"/>
      <c r="CD720" s="567"/>
      <c r="CE720" s="567"/>
      <c r="CF720" s="567"/>
      <c r="CG720" s="567"/>
      <c r="CH720" s="567"/>
      <c r="CI720" s="567"/>
      <c r="CJ720" s="567"/>
      <c r="CK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  <c r="BW721" s="567"/>
      <c r="BX721" s="567"/>
      <c r="BY721" s="567"/>
      <c r="BZ721" s="567"/>
      <c r="CA721" s="567"/>
      <c r="CB721" s="567"/>
      <c r="CC721" s="567"/>
      <c r="CD721" s="567"/>
      <c r="CE721" s="567"/>
      <c r="CF721" s="567"/>
      <c r="CG721" s="567"/>
      <c r="CH721" s="567"/>
      <c r="CI721" s="567"/>
      <c r="CJ721" s="567"/>
      <c r="CK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  <c r="BW722" s="567"/>
      <c r="BX722" s="567"/>
      <c r="BY722" s="567"/>
      <c r="BZ722" s="567"/>
      <c r="CA722" s="567"/>
      <c r="CB722" s="567"/>
      <c r="CC722" s="567"/>
      <c r="CD722" s="567"/>
      <c r="CE722" s="567"/>
      <c r="CF722" s="567"/>
      <c r="CG722" s="567"/>
      <c r="CH722" s="567"/>
      <c r="CI722" s="567"/>
      <c r="CJ722" s="567"/>
      <c r="CK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  <c r="BW723" s="567"/>
      <c r="BX723" s="567"/>
      <c r="BY723" s="567"/>
      <c r="BZ723" s="567"/>
      <c r="CA723" s="567"/>
      <c r="CB723" s="567"/>
      <c r="CC723" s="567"/>
      <c r="CD723" s="567"/>
      <c r="CE723" s="567"/>
      <c r="CF723" s="567"/>
      <c r="CG723" s="567"/>
      <c r="CH723" s="567"/>
      <c r="CI723" s="567"/>
      <c r="CJ723" s="567"/>
      <c r="CK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  <c r="BW724" s="567"/>
      <c r="BX724" s="567"/>
      <c r="BY724" s="567"/>
      <c r="BZ724" s="567"/>
      <c r="CA724" s="567"/>
      <c r="CB724" s="567"/>
      <c r="CC724" s="567"/>
      <c r="CD724" s="567"/>
      <c r="CE724" s="567"/>
      <c r="CF724" s="567"/>
      <c r="CG724" s="567"/>
      <c r="CH724" s="567"/>
      <c r="CI724" s="567"/>
      <c r="CJ724" s="567"/>
      <c r="CK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  <c r="BW725" s="567"/>
      <c r="BX725" s="567"/>
      <c r="BY725" s="567"/>
      <c r="BZ725" s="567"/>
      <c r="CA725" s="567"/>
      <c r="CB725" s="567"/>
      <c r="CC725" s="567"/>
      <c r="CD725" s="567"/>
      <c r="CE725" s="567"/>
      <c r="CF725" s="567"/>
      <c r="CG725" s="567"/>
      <c r="CH725" s="567"/>
      <c r="CI725" s="567"/>
      <c r="CJ725" s="567"/>
      <c r="CK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  <c r="BW726" s="567"/>
      <c r="BX726" s="567"/>
      <c r="BY726" s="567"/>
      <c r="BZ726" s="567"/>
      <c r="CA726" s="567"/>
      <c r="CB726" s="567"/>
      <c r="CC726" s="567"/>
      <c r="CD726" s="567"/>
      <c r="CE726" s="567"/>
      <c r="CF726" s="567"/>
      <c r="CG726" s="567"/>
      <c r="CH726" s="567"/>
      <c r="CI726" s="567"/>
      <c r="CJ726" s="567"/>
      <c r="CK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  <c r="BW727" s="567"/>
      <c r="BX727" s="567"/>
      <c r="BY727" s="567"/>
      <c r="BZ727" s="567"/>
      <c r="CA727" s="567"/>
      <c r="CB727" s="567"/>
      <c r="CC727" s="567"/>
      <c r="CD727" s="567"/>
      <c r="CE727" s="567"/>
      <c r="CF727" s="567"/>
      <c r="CG727" s="567"/>
      <c r="CH727" s="567"/>
      <c r="CI727" s="567"/>
      <c r="CJ727" s="567"/>
      <c r="CK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  <c r="BW728" s="567"/>
      <c r="BX728" s="567"/>
      <c r="BY728" s="567"/>
      <c r="BZ728" s="567"/>
      <c r="CA728" s="567"/>
      <c r="CB728" s="567"/>
      <c r="CC728" s="567"/>
      <c r="CD728" s="567"/>
      <c r="CE728" s="567"/>
      <c r="CF728" s="567"/>
      <c r="CG728" s="567"/>
      <c r="CH728" s="567"/>
      <c r="CI728" s="567"/>
      <c r="CJ728" s="567"/>
      <c r="CK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  <c r="BW729" s="567"/>
      <c r="BX729" s="567"/>
      <c r="BY729" s="567"/>
      <c r="BZ729" s="567"/>
      <c r="CA729" s="567"/>
      <c r="CB729" s="567"/>
      <c r="CC729" s="567"/>
      <c r="CD729" s="567"/>
      <c r="CE729" s="567"/>
      <c r="CF729" s="567"/>
      <c r="CG729" s="567"/>
      <c r="CH729" s="567"/>
      <c r="CI729" s="567"/>
      <c r="CJ729" s="567"/>
      <c r="CK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  <c r="BW730" s="567"/>
      <c r="BX730" s="567"/>
      <c r="BY730" s="567"/>
      <c r="BZ730" s="567"/>
      <c r="CA730" s="567"/>
      <c r="CB730" s="567"/>
      <c r="CC730" s="567"/>
      <c r="CD730" s="567"/>
      <c r="CE730" s="567"/>
      <c r="CF730" s="567"/>
      <c r="CG730" s="567"/>
      <c r="CH730" s="567"/>
      <c r="CI730" s="567"/>
      <c r="CJ730" s="567"/>
      <c r="CK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  <c r="BW731" s="567"/>
      <c r="BX731" s="567"/>
      <c r="BY731" s="567"/>
      <c r="BZ731" s="567"/>
      <c r="CA731" s="567"/>
      <c r="CB731" s="567"/>
      <c r="CC731" s="567"/>
      <c r="CD731" s="567"/>
      <c r="CE731" s="567"/>
      <c r="CF731" s="567"/>
      <c r="CG731" s="567"/>
      <c r="CH731" s="567"/>
      <c r="CI731" s="567"/>
      <c r="CJ731" s="567"/>
      <c r="CK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  <c r="BW732" s="567"/>
      <c r="BX732" s="567"/>
      <c r="BY732" s="567"/>
      <c r="BZ732" s="567"/>
      <c r="CA732" s="567"/>
      <c r="CB732" s="567"/>
      <c r="CC732" s="567"/>
      <c r="CD732" s="567"/>
      <c r="CE732" s="567"/>
      <c r="CF732" s="567"/>
      <c r="CG732" s="567"/>
      <c r="CH732" s="567"/>
      <c r="CI732" s="567"/>
      <c r="CJ732" s="567"/>
      <c r="CK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  <c r="BW733" s="567"/>
      <c r="BX733" s="567"/>
      <c r="BY733" s="567"/>
      <c r="BZ733" s="567"/>
      <c r="CA733" s="567"/>
      <c r="CB733" s="567"/>
      <c r="CC733" s="567"/>
      <c r="CD733" s="567"/>
      <c r="CE733" s="567"/>
      <c r="CF733" s="567"/>
      <c r="CG733" s="567"/>
      <c r="CH733" s="567"/>
      <c r="CI733" s="567"/>
      <c r="CJ733" s="567"/>
      <c r="CK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  <c r="BW734" s="567"/>
      <c r="BX734" s="567"/>
      <c r="BY734" s="567"/>
      <c r="BZ734" s="567"/>
      <c r="CA734" s="567"/>
      <c r="CB734" s="567"/>
      <c r="CC734" s="567"/>
      <c r="CD734" s="567"/>
      <c r="CE734" s="567"/>
      <c r="CF734" s="567"/>
      <c r="CG734" s="567"/>
      <c r="CH734" s="567"/>
      <c r="CI734" s="567"/>
      <c r="CJ734" s="567"/>
      <c r="CK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  <c r="BW735" s="567"/>
      <c r="BX735" s="567"/>
      <c r="BY735" s="567"/>
      <c r="BZ735" s="567"/>
      <c r="CA735" s="567"/>
      <c r="CB735" s="567"/>
      <c r="CC735" s="567"/>
      <c r="CD735" s="567"/>
      <c r="CE735" s="567"/>
      <c r="CF735" s="567"/>
      <c r="CG735" s="567"/>
      <c r="CH735" s="567"/>
      <c r="CI735" s="567"/>
      <c r="CJ735" s="567"/>
      <c r="CK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  <c r="BW736" s="567"/>
      <c r="BX736" s="567"/>
      <c r="BY736" s="567"/>
      <c r="BZ736" s="567"/>
      <c r="CA736" s="567"/>
      <c r="CB736" s="567"/>
      <c r="CC736" s="567"/>
      <c r="CD736" s="567"/>
      <c r="CE736" s="567"/>
      <c r="CF736" s="567"/>
      <c r="CG736" s="567"/>
      <c r="CH736" s="567"/>
      <c r="CI736" s="567"/>
      <c r="CJ736" s="567"/>
      <c r="CK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  <c r="BW737" s="567"/>
      <c r="BX737" s="567"/>
      <c r="BY737" s="567"/>
      <c r="BZ737" s="567"/>
      <c r="CA737" s="567"/>
      <c r="CB737" s="567"/>
      <c r="CC737" s="567"/>
      <c r="CD737" s="567"/>
      <c r="CE737" s="567"/>
      <c r="CF737" s="567"/>
      <c r="CG737" s="567"/>
      <c r="CH737" s="567"/>
      <c r="CI737" s="567"/>
      <c r="CJ737" s="567"/>
      <c r="CK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  <c r="BW738" s="567"/>
      <c r="BX738" s="567"/>
      <c r="BY738" s="567"/>
      <c r="BZ738" s="567"/>
      <c r="CA738" s="567"/>
      <c r="CB738" s="567"/>
      <c r="CC738" s="567"/>
      <c r="CD738" s="567"/>
      <c r="CE738" s="567"/>
      <c r="CF738" s="567"/>
      <c r="CG738" s="567"/>
      <c r="CH738" s="567"/>
      <c r="CI738" s="567"/>
      <c r="CJ738" s="567"/>
      <c r="CK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  <c r="BW739" s="567"/>
      <c r="BX739" s="567"/>
      <c r="BY739" s="567"/>
      <c r="BZ739" s="567"/>
      <c r="CA739" s="567"/>
      <c r="CB739" s="567"/>
      <c r="CC739" s="567"/>
      <c r="CD739" s="567"/>
      <c r="CE739" s="567"/>
      <c r="CF739" s="567"/>
      <c r="CG739" s="567"/>
      <c r="CH739" s="567"/>
      <c r="CI739" s="567"/>
      <c r="CJ739" s="567"/>
      <c r="CK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  <c r="BW740" s="567"/>
      <c r="BX740" s="567"/>
      <c r="BY740" s="567"/>
      <c r="BZ740" s="567"/>
      <c r="CA740" s="567"/>
      <c r="CB740" s="567"/>
      <c r="CC740" s="567"/>
      <c r="CD740" s="567"/>
      <c r="CE740" s="567"/>
      <c r="CF740" s="567"/>
      <c r="CG740" s="567"/>
      <c r="CH740" s="567"/>
      <c r="CI740" s="567"/>
      <c r="CJ740" s="567"/>
      <c r="CK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  <c r="BW741" s="567"/>
      <c r="BX741" s="567"/>
      <c r="BY741" s="567"/>
      <c r="BZ741" s="567"/>
      <c r="CA741" s="567"/>
      <c r="CB741" s="567"/>
      <c r="CC741" s="567"/>
      <c r="CD741" s="567"/>
      <c r="CE741" s="567"/>
      <c r="CF741" s="567"/>
      <c r="CG741" s="567"/>
      <c r="CH741" s="567"/>
      <c r="CI741" s="567"/>
      <c r="CJ741" s="567"/>
      <c r="CK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  <c r="BW742" s="567"/>
      <c r="BX742" s="567"/>
      <c r="BY742" s="567"/>
      <c r="BZ742" s="567"/>
      <c r="CA742" s="567"/>
      <c r="CB742" s="567"/>
      <c r="CC742" s="567"/>
      <c r="CD742" s="567"/>
      <c r="CE742" s="567"/>
      <c r="CF742" s="567"/>
      <c r="CG742" s="567"/>
      <c r="CH742" s="567"/>
      <c r="CI742" s="567"/>
      <c r="CJ742" s="567"/>
      <c r="CK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  <c r="BW743" s="567"/>
      <c r="BX743" s="567"/>
      <c r="BY743" s="567"/>
      <c r="BZ743" s="567"/>
      <c r="CA743" s="567"/>
      <c r="CB743" s="567"/>
      <c r="CC743" s="567"/>
      <c r="CD743" s="567"/>
      <c r="CE743" s="567"/>
      <c r="CF743" s="567"/>
      <c r="CG743" s="567"/>
      <c r="CH743" s="567"/>
      <c r="CI743" s="567"/>
      <c r="CJ743" s="567"/>
      <c r="CK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  <c r="BW744" s="567"/>
      <c r="BX744" s="567"/>
      <c r="BY744" s="567"/>
      <c r="BZ744" s="567"/>
      <c r="CA744" s="567"/>
      <c r="CB744" s="567"/>
      <c r="CC744" s="567"/>
      <c r="CD744" s="567"/>
      <c r="CE744" s="567"/>
      <c r="CF744" s="567"/>
      <c r="CG744" s="567"/>
      <c r="CH744" s="567"/>
      <c r="CI744" s="567"/>
      <c r="CJ744" s="567"/>
      <c r="CK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  <c r="BW745" s="567"/>
      <c r="BX745" s="567"/>
      <c r="BY745" s="567"/>
      <c r="BZ745" s="567"/>
      <c r="CA745" s="567"/>
      <c r="CB745" s="567"/>
      <c r="CC745" s="567"/>
      <c r="CD745" s="567"/>
      <c r="CE745" s="567"/>
      <c r="CF745" s="567"/>
      <c r="CG745" s="567"/>
      <c r="CH745" s="567"/>
      <c r="CI745" s="567"/>
      <c r="CJ745" s="567"/>
      <c r="CK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  <c r="BW746" s="567"/>
      <c r="BX746" s="567"/>
      <c r="BY746" s="567"/>
      <c r="BZ746" s="567"/>
      <c r="CA746" s="567"/>
      <c r="CB746" s="567"/>
      <c r="CC746" s="567"/>
      <c r="CD746" s="567"/>
      <c r="CE746" s="567"/>
      <c r="CF746" s="567"/>
      <c r="CG746" s="567"/>
      <c r="CH746" s="567"/>
      <c r="CI746" s="567"/>
      <c r="CJ746" s="567"/>
      <c r="CK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  <c r="BW747" s="567"/>
      <c r="BX747" s="567"/>
      <c r="BY747" s="567"/>
      <c r="BZ747" s="567"/>
      <c r="CA747" s="567"/>
      <c r="CB747" s="567"/>
      <c r="CC747" s="567"/>
      <c r="CD747" s="567"/>
      <c r="CE747" s="567"/>
      <c r="CF747" s="567"/>
      <c r="CG747" s="567"/>
      <c r="CH747" s="567"/>
      <c r="CI747" s="567"/>
      <c r="CJ747" s="567"/>
      <c r="CK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  <c r="BW748" s="567"/>
      <c r="BX748" s="567"/>
      <c r="BY748" s="567"/>
      <c r="BZ748" s="567"/>
      <c r="CA748" s="567"/>
      <c r="CB748" s="567"/>
      <c r="CC748" s="567"/>
      <c r="CD748" s="567"/>
      <c r="CE748" s="567"/>
      <c r="CF748" s="567"/>
      <c r="CG748" s="567"/>
      <c r="CH748" s="567"/>
      <c r="CI748" s="567"/>
      <c r="CJ748" s="567"/>
      <c r="CK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  <c r="BW749" s="567"/>
      <c r="BX749" s="567"/>
      <c r="BY749" s="567"/>
      <c r="BZ749" s="567"/>
      <c r="CA749" s="567"/>
      <c r="CB749" s="567"/>
      <c r="CC749" s="567"/>
      <c r="CD749" s="567"/>
      <c r="CE749" s="567"/>
      <c r="CF749" s="567"/>
      <c r="CG749" s="567"/>
      <c r="CH749" s="567"/>
      <c r="CI749" s="567"/>
      <c r="CJ749" s="567"/>
      <c r="CK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  <c r="BW750" s="567"/>
      <c r="BX750" s="567"/>
      <c r="BY750" s="567"/>
      <c r="BZ750" s="567"/>
      <c r="CA750" s="567"/>
      <c r="CB750" s="567"/>
      <c r="CC750" s="567"/>
      <c r="CD750" s="567"/>
      <c r="CE750" s="567"/>
      <c r="CF750" s="567"/>
      <c r="CG750" s="567"/>
      <c r="CH750" s="567"/>
      <c r="CI750" s="567"/>
      <c r="CJ750" s="567"/>
      <c r="CK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  <c r="BW751" s="567"/>
      <c r="BX751" s="567"/>
      <c r="BY751" s="567"/>
      <c r="BZ751" s="567"/>
      <c r="CA751" s="567"/>
      <c r="CB751" s="567"/>
      <c r="CC751" s="567"/>
      <c r="CD751" s="567"/>
      <c r="CE751" s="567"/>
      <c r="CF751" s="567"/>
      <c r="CG751" s="567"/>
      <c r="CH751" s="567"/>
      <c r="CI751" s="567"/>
      <c r="CJ751" s="567"/>
      <c r="CK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  <c r="BW752" s="567"/>
      <c r="BX752" s="567"/>
      <c r="BY752" s="567"/>
      <c r="BZ752" s="567"/>
      <c r="CA752" s="567"/>
      <c r="CB752" s="567"/>
      <c r="CC752" s="567"/>
      <c r="CD752" s="567"/>
      <c r="CE752" s="567"/>
      <c r="CF752" s="567"/>
      <c r="CG752" s="567"/>
      <c r="CH752" s="567"/>
      <c r="CI752" s="567"/>
      <c r="CJ752" s="567"/>
      <c r="CK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  <c r="BW753" s="567"/>
      <c r="BX753" s="567"/>
      <c r="BY753" s="567"/>
      <c r="BZ753" s="567"/>
      <c r="CA753" s="567"/>
      <c r="CB753" s="567"/>
      <c r="CC753" s="567"/>
      <c r="CD753" s="567"/>
      <c r="CE753" s="567"/>
      <c r="CF753" s="567"/>
      <c r="CG753" s="567"/>
      <c r="CH753" s="567"/>
      <c r="CI753" s="567"/>
      <c r="CJ753" s="567"/>
      <c r="CK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  <c r="BW754" s="567"/>
      <c r="BX754" s="567"/>
      <c r="BY754" s="567"/>
      <c r="BZ754" s="567"/>
      <c r="CA754" s="567"/>
      <c r="CB754" s="567"/>
      <c r="CC754" s="567"/>
      <c r="CD754" s="567"/>
      <c r="CE754" s="567"/>
      <c r="CF754" s="567"/>
      <c r="CG754" s="567"/>
      <c r="CH754" s="567"/>
      <c r="CI754" s="567"/>
      <c r="CJ754" s="567"/>
      <c r="CK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  <c r="BW755" s="567"/>
      <c r="BX755" s="567"/>
      <c r="BY755" s="567"/>
      <c r="BZ755" s="567"/>
      <c r="CA755" s="567"/>
      <c r="CB755" s="567"/>
      <c r="CC755" s="567"/>
      <c r="CD755" s="567"/>
      <c r="CE755" s="567"/>
      <c r="CF755" s="567"/>
      <c r="CG755" s="567"/>
      <c r="CH755" s="567"/>
      <c r="CI755" s="567"/>
      <c r="CJ755" s="567"/>
      <c r="CK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  <c r="BW756" s="567"/>
      <c r="BX756" s="567"/>
      <c r="BY756" s="567"/>
      <c r="BZ756" s="567"/>
      <c r="CA756" s="567"/>
      <c r="CB756" s="567"/>
      <c r="CC756" s="567"/>
      <c r="CD756" s="567"/>
      <c r="CE756" s="567"/>
      <c r="CF756" s="567"/>
      <c r="CG756" s="567"/>
      <c r="CH756" s="567"/>
      <c r="CI756" s="567"/>
      <c r="CJ756" s="567"/>
      <c r="CK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  <c r="BW757" s="567"/>
      <c r="BX757" s="567"/>
      <c r="BY757" s="567"/>
      <c r="BZ757" s="567"/>
      <c r="CA757" s="567"/>
      <c r="CB757" s="567"/>
      <c r="CC757" s="567"/>
      <c r="CD757" s="567"/>
      <c r="CE757" s="567"/>
      <c r="CF757" s="567"/>
      <c r="CG757" s="567"/>
      <c r="CH757" s="567"/>
      <c r="CI757" s="567"/>
      <c r="CJ757" s="567"/>
      <c r="CK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  <c r="BW758" s="567"/>
      <c r="BX758" s="567"/>
      <c r="BY758" s="567"/>
      <c r="BZ758" s="567"/>
      <c r="CA758" s="567"/>
      <c r="CB758" s="567"/>
      <c r="CC758" s="567"/>
      <c r="CD758" s="567"/>
      <c r="CE758" s="567"/>
      <c r="CF758" s="567"/>
      <c r="CG758" s="567"/>
      <c r="CH758" s="567"/>
      <c r="CI758" s="567"/>
      <c r="CJ758" s="567"/>
      <c r="CK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  <c r="BW759" s="567"/>
      <c r="BX759" s="567"/>
      <c r="BY759" s="567"/>
      <c r="BZ759" s="567"/>
      <c r="CA759" s="567"/>
      <c r="CB759" s="567"/>
      <c r="CC759" s="567"/>
      <c r="CD759" s="567"/>
      <c r="CE759" s="567"/>
      <c r="CF759" s="567"/>
      <c r="CG759" s="567"/>
      <c r="CH759" s="567"/>
      <c r="CI759" s="567"/>
      <c r="CJ759" s="567"/>
      <c r="CK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  <c r="BW760" s="567"/>
      <c r="BX760" s="567"/>
      <c r="BY760" s="567"/>
      <c r="BZ760" s="567"/>
      <c r="CA760" s="567"/>
      <c r="CB760" s="567"/>
      <c r="CC760" s="567"/>
      <c r="CD760" s="567"/>
      <c r="CE760" s="567"/>
      <c r="CF760" s="567"/>
      <c r="CG760" s="567"/>
      <c r="CH760" s="567"/>
      <c r="CI760" s="567"/>
      <c r="CJ760" s="567"/>
      <c r="CK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  <c r="BW761" s="567"/>
      <c r="BX761" s="567"/>
      <c r="BY761" s="567"/>
      <c r="BZ761" s="567"/>
      <c r="CA761" s="567"/>
      <c r="CB761" s="567"/>
      <c r="CC761" s="567"/>
      <c r="CD761" s="567"/>
      <c r="CE761" s="567"/>
      <c r="CF761" s="567"/>
      <c r="CG761" s="567"/>
      <c r="CH761" s="567"/>
      <c r="CI761" s="567"/>
      <c r="CJ761" s="567"/>
      <c r="CK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  <c r="BW762" s="567"/>
      <c r="BX762" s="567"/>
      <c r="BY762" s="567"/>
      <c r="BZ762" s="567"/>
      <c r="CA762" s="567"/>
      <c r="CB762" s="567"/>
      <c r="CC762" s="567"/>
      <c r="CD762" s="567"/>
      <c r="CE762" s="567"/>
      <c r="CF762" s="567"/>
      <c r="CG762" s="567"/>
      <c r="CH762" s="567"/>
      <c r="CI762" s="567"/>
      <c r="CJ762" s="567"/>
      <c r="CK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  <c r="BW763" s="567"/>
      <c r="BX763" s="567"/>
      <c r="BY763" s="567"/>
      <c r="BZ763" s="567"/>
      <c r="CA763" s="567"/>
      <c r="CB763" s="567"/>
      <c r="CC763" s="567"/>
      <c r="CD763" s="567"/>
      <c r="CE763" s="567"/>
      <c r="CF763" s="567"/>
      <c r="CG763" s="567"/>
      <c r="CH763" s="567"/>
      <c r="CI763" s="567"/>
      <c r="CJ763" s="567"/>
      <c r="CK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  <c r="BW764" s="567"/>
      <c r="BX764" s="567"/>
      <c r="BY764" s="567"/>
      <c r="BZ764" s="567"/>
      <c r="CA764" s="567"/>
      <c r="CB764" s="567"/>
      <c r="CC764" s="567"/>
      <c r="CD764" s="567"/>
      <c r="CE764" s="567"/>
      <c r="CF764" s="567"/>
      <c r="CG764" s="567"/>
      <c r="CH764" s="567"/>
      <c r="CI764" s="567"/>
      <c r="CJ764" s="567"/>
      <c r="CK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  <c r="BW765" s="567"/>
      <c r="BX765" s="567"/>
      <c r="BY765" s="567"/>
      <c r="BZ765" s="567"/>
      <c r="CA765" s="567"/>
      <c r="CB765" s="567"/>
      <c r="CC765" s="567"/>
      <c r="CD765" s="567"/>
      <c r="CE765" s="567"/>
      <c r="CF765" s="567"/>
      <c r="CG765" s="567"/>
      <c r="CH765" s="567"/>
      <c r="CI765" s="567"/>
      <c r="CJ765" s="567"/>
      <c r="CK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  <c r="BW766" s="567"/>
      <c r="BX766" s="567"/>
      <c r="BY766" s="567"/>
      <c r="BZ766" s="567"/>
      <c r="CA766" s="567"/>
      <c r="CB766" s="567"/>
      <c r="CC766" s="567"/>
      <c r="CD766" s="567"/>
      <c r="CE766" s="567"/>
      <c r="CF766" s="567"/>
      <c r="CG766" s="567"/>
      <c r="CH766" s="567"/>
      <c r="CI766" s="567"/>
      <c r="CJ766" s="567"/>
      <c r="CK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  <c r="BW767" s="567"/>
      <c r="BX767" s="567"/>
      <c r="BY767" s="567"/>
      <c r="BZ767" s="567"/>
      <c r="CA767" s="567"/>
      <c r="CB767" s="567"/>
      <c r="CC767" s="567"/>
      <c r="CD767" s="567"/>
      <c r="CE767" s="567"/>
      <c r="CF767" s="567"/>
      <c r="CG767" s="567"/>
      <c r="CH767" s="567"/>
      <c r="CI767" s="567"/>
      <c r="CJ767" s="567"/>
      <c r="CK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  <c r="BW768" s="567"/>
      <c r="BX768" s="567"/>
      <c r="BY768" s="567"/>
      <c r="BZ768" s="567"/>
      <c r="CA768" s="567"/>
      <c r="CB768" s="567"/>
      <c r="CC768" s="567"/>
      <c r="CD768" s="567"/>
      <c r="CE768" s="567"/>
      <c r="CF768" s="567"/>
      <c r="CG768" s="567"/>
      <c r="CH768" s="567"/>
      <c r="CI768" s="567"/>
      <c r="CJ768" s="567"/>
      <c r="CK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  <c r="BW769" s="567"/>
      <c r="BX769" s="567"/>
      <c r="BY769" s="567"/>
      <c r="BZ769" s="567"/>
      <c r="CA769" s="567"/>
      <c r="CB769" s="567"/>
      <c r="CC769" s="567"/>
      <c r="CD769" s="567"/>
      <c r="CE769" s="567"/>
      <c r="CF769" s="567"/>
      <c r="CG769" s="567"/>
      <c r="CH769" s="567"/>
      <c r="CI769" s="567"/>
      <c r="CJ769" s="567"/>
      <c r="CK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  <c r="BW770" s="567"/>
      <c r="BX770" s="567"/>
      <c r="BY770" s="567"/>
      <c r="BZ770" s="567"/>
      <c r="CA770" s="567"/>
      <c r="CB770" s="567"/>
      <c r="CC770" s="567"/>
      <c r="CD770" s="567"/>
      <c r="CE770" s="567"/>
      <c r="CF770" s="567"/>
      <c r="CG770" s="567"/>
      <c r="CH770" s="567"/>
      <c r="CI770" s="567"/>
      <c r="CJ770" s="567"/>
      <c r="CK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  <c r="BW771" s="567"/>
      <c r="BX771" s="567"/>
      <c r="BY771" s="567"/>
      <c r="BZ771" s="567"/>
      <c r="CA771" s="567"/>
      <c r="CB771" s="567"/>
      <c r="CC771" s="567"/>
      <c r="CD771" s="567"/>
      <c r="CE771" s="567"/>
      <c r="CF771" s="567"/>
      <c r="CG771" s="567"/>
      <c r="CH771" s="567"/>
      <c r="CI771" s="567"/>
      <c r="CJ771" s="567"/>
      <c r="CK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  <c r="BW772" s="567"/>
      <c r="BX772" s="567"/>
      <c r="BY772" s="567"/>
      <c r="BZ772" s="567"/>
      <c r="CA772" s="567"/>
      <c r="CB772" s="567"/>
      <c r="CC772" s="567"/>
      <c r="CD772" s="567"/>
      <c r="CE772" s="567"/>
      <c r="CF772" s="567"/>
      <c r="CG772" s="567"/>
      <c r="CH772" s="567"/>
      <c r="CI772" s="567"/>
      <c r="CJ772" s="567"/>
      <c r="CK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  <c r="BW773" s="567"/>
      <c r="BX773" s="567"/>
      <c r="BY773" s="567"/>
      <c r="BZ773" s="567"/>
      <c r="CA773" s="567"/>
      <c r="CB773" s="567"/>
      <c r="CC773" s="567"/>
      <c r="CD773" s="567"/>
      <c r="CE773" s="567"/>
      <c r="CF773" s="567"/>
      <c r="CG773" s="567"/>
      <c r="CH773" s="567"/>
      <c r="CI773" s="567"/>
      <c r="CJ773" s="567"/>
      <c r="CK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  <c r="BW774" s="567"/>
      <c r="BX774" s="567"/>
      <c r="BY774" s="567"/>
      <c r="BZ774" s="567"/>
      <c r="CA774" s="567"/>
      <c r="CB774" s="567"/>
      <c r="CC774" s="567"/>
      <c r="CD774" s="567"/>
      <c r="CE774" s="567"/>
      <c r="CF774" s="567"/>
      <c r="CG774" s="567"/>
      <c r="CH774" s="567"/>
      <c r="CI774" s="567"/>
      <c r="CJ774" s="567"/>
      <c r="CK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  <c r="BW775" s="567"/>
      <c r="BX775" s="567"/>
      <c r="BY775" s="567"/>
      <c r="BZ775" s="567"/>
      <c r="CA775" s="567"/>
      <c r="CB775" s="567"/>
      <c r="CC775" s="567"/>
      <c r="CD775" s="567"/>
      <c r="CE775" s="567"/>
      <c r="CF775" s="567"/>
      <c r="CG775" s="567"/>
      <c r="CH775" s="567"/>
      <c r="CI775" s="567"/>
      <c r="CJ775" s="567"/>
      <c r="CK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  <c r="BW776" s="567"/>
      <c r="BX776" s="567"/>
      <c r="BY776" s="567"/>
      <c r="BZ776" s="567"/>
      <c r="CA776" s="567"/>
      <c r="CB776" s="567"/>
      <c r="CC776" s="567"/>
      <c r="CD776" s="567"/>
      <c r="CE776" s="567"/>
      <c r="CF776" s="567"/>
      <c r="CG776" s="567"/>
      <c r="CH776" s="567"/>
      <c r="CI776" s="567"/>
      <c r="CJ776" s="567"/>
      <c r="CK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  <c r="BW777" s="567"/>
      <c r="BX777" s="567"/>
      <c r="BY777" s="567"/>
      <c r="BZ777" s="567"/>
      <c r="CA777" s="567"/>
      <c r="CB777" s="567"/>
      <c r="CC777" s="567"/>
      <c r="CD777" s="567"/>
      <c r="CE777" s="567"/>
      <c r="CF777" s="567"/>
      <c r="CG777" s="567"/>
      <c r="CH777" s="567"/>
      <c r="CI777" s="567"/>
      <c r="CJ777" s="567"/>
      <c r="CK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  <c r="BW778" s="567"/>
      <c r="BX778" s="567"/>
      <c r="BY778" s="567"/>
      <c r="BZ778" s="567"/>
      <c r="CA778" s="567"/>
      <c r="CB778" s="567"/>
      <c r="CC778" s="567"/>
      <c r="CD778" s="567"/>
      <c r="CE778" s="567"/>
      <c r="CF778" s="567"/>
      <c r="CG778" s="567"/>
      <c r="CH778" s="567"/>
      <c r="CI778" s="567"/>
      <c r="CJ778" s="567"/>
      <c r="CK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  <c r="BW779" s="567"/>
      <c r="BX779" s="567"/>
      <c r="BY779" s="567"/>
      <c r="BZ779" s="567"/>
      <c r="CA779" s="567"/>
      <c r="CB779" s="567"/>
      <c r="CC779" s="567"/>
      <c r="CD779" s="567"/>
      <c r="CE779" s="567"/>
      <c r="CF779" s="567"/>
      <c r="CG779" s="567"/>
      <c r="CH779" s="567"/>
      <c r="CI779" s="567"/>
      <c r="CJ779" s="567"/>
      <c r="CK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  <c r="BW780" s="567"/>
      <c r="BX780" s="567"/>
      <c r="BY780" s="567"/>
      <c r="BZ780" s="567"/>
      <c r="CA780" s="567"/>
      <c r="CB780" s="567"/>
      <c r="CC780" s="567"/>
      <c r="CD780" s="567"/>
      <c r="CE780" s="567"/>
      <c r="CF780" s="567"/>
      <c r="CG780" s="567"/>
      <c r="CH780" s="567"/>
      <c r="CI780" s="567"/>
      <c r="CJ780" s="567"/>
      <c r="CK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  <c r="BW781" s="567"/>
      <c r="BX781" s="567"/>
      <c r="BY781" s="567"/>
      <c r="BZ781" s="567"/>
      <c r="CA781" s="567"/>
      <c r="CB781" s="567"/>
      <c r="CC781" s="567"/>
      <c r="CD781" s="567"/>
      <c r="CE781" s="567"/>
      <c r="CF781" s="567"/>
      <c r="CG781" s="567"/>
      <c r="CH781" s="567"/>
      <c r="CI781" s="567"/>
      <c r="CJ781" s="567"/>
      <c r="CK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  <c r="BW782" s="567"/>
      <c r="BX782" s="567"/>
      <c r="BY782" s="567"/>
      <c r="BZ782" s="567"/>
      <c r="CA782" s="567"/>
      <c r="CB782" s="567"/>
      <c r="CC782" s="567"/>
      <c r="CD782" s="567"/>
      <c r="CE782" s="567"/>
      <c r="CF782" s="567"/>
      <c r="CG782" s="567"/>
      <c r="CH782" s="567"/>
      <c r="CI782" s="567"/>
      <c r="CJ782" s="567"/>
      <c r="CK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  <c r="BW783" s="567"/>
      <c r="BX783" s="567"/>
      <c r="BY783" s="567"/>
      <c r="BZ783" s="567"/>
      <c r="CA783" s="567"/>
      <c r="CB783" s="567"/>
      <c r="CC783" s="567"/>
      <c r="CD783" s="567"/>
      <c r="CE783" s="567"/>
      <c r="CF783" s="567"/>
      <c r="CG783" s="567"/>
      <c r="CH783" s="567"/>
      <c r="CI783" s="567"/>
      <c r="CJ783" s="567"/>
      <c r="CK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  <c r="BW784" s="567"/>
      <c r="BX784" s="567"/>
      <c r="BY784" s="567"/>
      <c r="BZ784" s="567"/>
      <c r="CA784" s="567"/>
      <c r="CB784" s="567"/>
      <c r="CC784" s="567"/>
      <c r="CD784" s="567"/>
      <c r="CE784" s="567"/>
      <c r="CF784" s="567"/>
      <c r="CG784" s="567"/>
      <c r="CH784" s="567"/>
      <c r="CI784" s="567"/>
      <c r="CJ784" s="567"/>
      <c r="CK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  <c r="BW785" s="567"/>
      <c r="BX785" s="567"/>
      <c r="BY785" s="567"/>
      <c r="BZ785" s="567"/>
      <c r="CA785" s="567"/>
      <c r="CB785" s="567"/>
      <c r="CC785" s="567"/>
      <c r="CD785" s="567"/>
      <c r="CE785" s="567"/>
      <c r="CF785" s="567"/>
      <c r="CG785" s="567"/>
      <c r="CH785" s="567"/>
      <c r="CI785" s="567"/>
      <c r="CJ785" s="567"/>
      <c r="CK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  <c r="BW786" s="567"/>
      <c r="BX786" s="567"/>
      <c r="BY786" s="567"/>
      <c r="BZ786" s="567"/>
      <c r="CA786" s="567"/>
      <c r="CB786" s="567"/>
      <c r="CC786" s="567"/>
      <c r="CD786" s="567"/>
      <c r="CE786" s="567"/>
      <c r="CF786" s="567"/>
      <c r="CG786" s="567"/>
      <c r="CH786" s="567"/>
      <c r="CI786" s="567"/>
      <c r="CJ786" s="567"/>
      <c r="CK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  <c r="BW787" s="567"/>
      <c r="BX787" s="567"/>
      <c r="BY787" s="567"/>
      <c r="BZ787" s="567"/>
      <c r="CA787" s="567"/>
      <c r="CB787" s="567"/>
      <c r="CC787" s="567"/>
      <c r="CD787" s="567"/>
      <c r="CE787" s="567"/>
      <c r="CF787" s="567"/>
      <c r="CG787" s="567"/>
      <c r="CH787" s="567"/>
      <c r="CI787" s="567"/>
      <c r="CJ787" s="567"/>
      <c r="CK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  <c r="BW788" s="567"/>
      <c r="BX788" s="567"/>
      <c r="BY788" s="567"/>
      <c r="BZ788" s="567"/>
      <c r="CA788" s="567"/>
      <c r="CB788" s="567"/>
      <c r="CC788" s="567"/>
      <c r="CD788" s="567"/>
      <c r="CE788" s="567"/>
      <c r="CF788" s="567"/>
      <c r="CG788" s="567"/>
      <c r="CH788" s="567"/>
      <c r="CI788" s="567"/>
      <c r="CJ788" s="567"/>
      <c r="CK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  <c r="BW789" s="567"/>
      <c r="BX789" s="567"/>
      <c r="BY789" s="567"/>
      <c r="BZ789" s="567"/>
      <c r="CA789" s="567"/>
      <c r="CB789" s="567"/>
      <c r="CC789" s="567"/>
      <c r="CD789" s="567"/>
      <c r="CE789" s="567"/>
      <c r="CF789" s="567"/>
      <c r="CG789" s="567"/>
      <c r="CH789" s="567"/>
      <c r="CI789" s="567"/>
      <c r="CJ789" s="567"/>
      <c r="CK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  <c r="BW790" s="567"/>
      <c r="BX790" s="567"/>
      <c r="BY790" s="567"/>
      <c r="BZ790" s="567"/>
      <c r="CA790" s="567"/>
      <c r="CB790" s="567"/>
      <c r="CC790" s="567"/>
      <c r="CD790" s="567"/>
      <c r="CE790" s="567"/>
      <c r="CF790" s="567"/>
      <c r="CG790" s="567"/>
      <c r="CH790" s="567"/>
      <c r="CI790" s="567"/>
      <c r="CJ790" s="567"/>
      <c r="CK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  <c r="BW791" s="567"/>
      <c r="BX791" s="567"/>
      <c r="BY791" s="567"/>
      <c r="BZ791" s="567"/>
      <c r="CA791" s="567"/>
      <c r="CB791" s="567"/>
      <c r="CC791" s="567"/>
      <c r="CD791" s="567"/>
      <c r="CE791" s="567"/>
      <c r="CF791" s="567"/>
      <c r="CG791" s="567"/>
      <c r="CH791" s="567"/>
      <c r="CI791" s="567"/>
      <c r="CJ791" s="567"/>
      <c r="CK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  <c r="BW792" s="567"/>
      <c r="BX792" s="567"/>
      <c r="BY792" s="567"/>
      <c r="BZ792" s="567"/>
      <c r="CA792" s="567"/>
      <c r="CB792" s="567"/>
      <c r="CC792" s="567"/>
      <c r="CD792" s="567"/>
      <c r="CE792" s="567"/>
      <c r="CF792" s="567"/>
      <c r="CG792" s="567"/>
      <c r="CH792" s="567"/>
      <c r="CI792" s="567"/>
      <c r="CJ792" s="567"/>
      <c r="CK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  <c r="BW793" s="567"/>
      <c r="BX793" s="567"/>
      <c r="BY793" s="567"/>
      <c r="BZ793" s="567"/>
      <c r="CA793" s="567"/>
      <c r="CB793" s="567"/>
      <c r="CC793" s="567"/>
      <c r="CD793" s="567"/>
      <c r="CE793" s="567"/>
      <c r="CF793" s="567"/>
      <c r="CG793" s="567"/>
      <c r="CH793" s="567"/>
      <c r="CI793" s="567"/>
      <c r="CJ793" s="567"/>
      <c r="CK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  <c r="BW794" s="567"/>
      <c r="BX794" s="567"/>
      <c r="BY794" s="567"/>
      <c r="BZ794" s="567"/>
      <c r="CA794" s="567"/>
      <c r="CB794" s="567"/>
      <c r="CC794" s="567"/>
      <c r="CD794" s="567"/>
      <c r="CE794" s="567"/>
      <c r="CF794" s="567"/>
      <c r="CG794" s="567"/>
      <c r="CH794" s="567"/>
      <c r="CI794" s="567"/>
      <c r="CJ794" s="567"/>
      <c r="CK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  <c r="BW795" s="567"/>
      <c r="BX795" s="567"/>
      <c r="BY795" s="567"/>
      <c r="BZ795" s="567"/>
      <c r="CA795" s="567"/>
      <c r="CB795" s="567"/>
      <c r="CC795" s="567"/>
      <c r="CD795" s="567"/>
      <c r="CE795" s="567"/>
      <c r="CF795" s="567"/>
      <c r="CG795" s="567"/>
      <c r="CH795" s="567"/>
      <c r="CI795" s="567"/>
      <c r="CJ795" s="567"/>
      <c r="CK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  <c r="BW796" s="567"/>
      <c r="BX796" s="567"/>
      <c r="BY796" s="567"/>
      <c r="BZ796" s="567"/>
      <c r="CA796" s="567"/>
      <c r="CB796" s="567"/>
      <c r="CC796" s="567"/>
      <c r="CD796" s="567"/>
      <c r="CE796" s="567"/>
      <c r="CF796" s="567"/>
      <c r="CG796" s="567"/>
      <c r="CH796" s="567"/>
      <c r="CI796" s="567"/>
      <c r="CJ796" s="567"/>
      <c r="CK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  <c r="BW797" s="567"/>
      <c r="BX797" s="567"/>
      <c r="BY797" s="567"/>
      <c r="BZ797" s="567"/>
      <c r="CA797" s="567"/>
      <c r="CB797" s="567"/>
      <c r="CC797" s="567"/>
      <c r="CD797" s="567"/>
      <c r="CE797" s="567"/>
      <c r="CF797" s="567"/>
      <c r="CG797" s="567"/>
      <c r="CH797" s="567"/>
      <c r="CI797" s="567"/>
      <c r="CJ797" s="567"/>
      <c r="CK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  <c r="BW798" s="567"/>
      <c r="BX798" s="567"/>
      <c r="BY798" s="567"/>
      <c r="BZ798" s="567"/>
      <c r="CA798" s="567"/>
      <c r="CB798" s="567"/>
      <c r="CC798" s="567"/>
      <c r="CD798" s="567"/>
      <c r="CE798" s="567"/>
      <c r="CF798" s="567"/>
      <c r="CG798" s="567"/>
      <c r="CH798" s="567"/>
      <c r="CI798" s="567"/>
      <c r="CJ798" s="567"/>
      <c r="CK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  <c r="BW799" s="567"/>
      <c r="BX799" s="567"/>
      <c r="BY799" s="567"/>
      <c r="BZ799" s="567"/>
      <c r="CA799" s="567"/>
      <c r="CB799" s="567"/>
      <c r="CC799" s="567"/>
      <c r="CD799" s="567"/>
      <c r="CE799" s="567"/>
      <c r="CF799" s="567"/>
      <c r="CG799" s="567"/>
      <c r="CH799" s="567"/>
      <c r="CI799" s="567"/>
      <c r="CJ799" s="567"/>
      <c r="CK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  <c r="BW800" s="567"/>
      <c r="BX800" s="567"/>
      <c r="BY800" s="567"/>
      <c r="BZ800" s="567"/>
      <c r="CA800" s="567"/>
      <c r="CB800" s="567"/>
      <c r="CC800" s="567"/>
      <c r="CD800" s="567"/>
      <c r="CE800" s="567"/>
      <c r="CF800" s="567"/>
      <c r="CG800" s="567"/>
      <c r="CH800" s="567"/>
      <c r="CI800" s="567"/>
      <c r="CJ800" s="567"/>
      <c r="CK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  <c r="BW801" s="567"/>
      <c r="BX801" s="567"/>
      <c r="BY801" s="567"/>
      <c r="BZ801" s="567"/>
      <c r="CA801" s="567"/>
      <c r="CB801" s="567"/>
      <c r="CC801" s="567"/>
      <c r="CD801" s="567"/>
      <c r="CE801" s="567"/>
      <c r="CF801" s="567"/>
      <c r="CG801" s="567"/>
      <c r="CH801" s="567"/>
      <c r="CI801" s="567"/>
      <c r="CJ801" s="567"/>
      <c r="CK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  <c r="BW802" s="567"/>
      <c r="BX802" s="567"/>
      <c r="BY802" s="567"/>
      <c r="BZ802" s="567"/>
      <c r="CA802" s="567"/>
      <c r="CB802" s="567"/>
      <c r="CC802" s="567"/>
      <c r="CD802" s="567"/>
      <c r="CE802" s="567"/>
      <c r="CF802" s="567"/>
      <c r="CG802" s="567"/>
      <c r="CH802" s="567"/>
      <c r="CI802" s="567"/>
      <c r="CJ802" s="567"/>
      <c r="CK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  <c r="BW803" s="567"/>
      <c r="BX803" s="567"/>
      <c r="BY803" s="567"/>
      <c r="BZ803" s="567"/>
      <c r="CA803" s="567"/>
      <c r="CB803" s="567"/>
      <c r="CC803" s="567"/>
      <c r="CD803" s="567"/>
      <c r="CE803" s="567"/>
      <c r="CF803" s="567"/>
      <c r="CG803" s="567"/>
      <c r="CH803" s="567"/>
      <c r="CI803" s="567"/>
      <c r="CJ803" s="567"/>
      <c r="CK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  <c r="BW804" s="567"/>
      <c r="BX804" s="567"/>
      <c r="BY804" s="567"/>
      <c r="BZ804" s="567"/>
      <c r="CA804" s="567"/>
      <c r="CB804" s="567"/>
      <c r="CC804" s="567"/>
      <c r="CD804" s="567"/>
      <c r="CE804" s="567"/>
      <c r="CF804" s="567"/>
      <c r="CG804" s="567"/>
      <c r="CH804" s="567"/>
      <c r="CI804" s="567"/>
      <c r="CJ804" s="567"/>
      <c r="CK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  <c r="BW805" s="567"/>
      <c r="BX805" s="567"/>
      <c r="BY805" s="567"/>
      <c r="BZ805" s="567"/>
      <c r="CA805" s="567"/>
      <c r="CB805" s="567"/>
      <c r="CC805" s="567"/>
      <c r="CD805" s="567"/>
      <c r="CE805" s="567"/>
      <c r="CF805" s="567"/>
      <c r="CG805" s="567"/>
      <c r="CH805" s="567"/>
      <c r="CI805" s="567"/>
      <c r="CJ805" s="567"/>
      <c r="CK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  <c r="BW806" s="567"/>
      <c r="BX806" s="567"/>
      <c r="BY806" s="567"/>
      <c r="BZ806" s="567"/>
      <c r="CA806" s="567"/>
      <c r="CB806" s="567"/>
      <c r="CC806" s="567"/>
      <c r="CD806" s="567"/>
      <c r="CE806" s="567"/>
      <c r="CF806" s="567"/>
      <c r="CG806" s="567"/>
      <c r="CH806" s="567"/>
      <c r="CI806" s="567"/>
      <c r="CJ806" s="567"/>
      <c r="CK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  <c r="BW807" s="567"/>
      <c r="BX807" s="567"/>
      <c r="BY807" s="567"/>
      <c r="BZ807" s="567"/>
      <c r="CA807" s="567"/>
      <c r="CB807" s="567"/>
      <c r="CC807" s="567"/>
      <c r="CD807" s="567"/>
      <c r="CE807" s="567"/>
      <c r="CF807" s="567"/>
      <c r="CG807" s="567"/>
      <c r="CH807" s="567"/>
      <c r="CI807" s="567"/>
      <c r="CJ807" s="567"/>
      <c r="CK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  <c r="BW808" s="567"/>
      <c r="BX808" s="567"/>
      <c r="BY808" s="567"/>
      <c r="BZ808" s="567"/>
      <c r="CA808" s="567"/>
      <c r="CB808" s="567"/>
      <c r="CC808" s="567"/>
      <c r="CD808" s="567"/>
      <c r="CE808" s="567"/>
      <c r="CF808" s="567"/>
      <c r="CG808" s="567"/>
      <c r="CH808" s="567"/>
      <c r="CI808" s="567"/>
      <c r="CJ808" s="567"/>
      <c r="CK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  <c r="BW809" s="567"/>
      <c r="BX809" s="567"/>
      <c r="BY809" s="567"/>
      <c r="BZ809" s="567"/>
      <c r="CA809" s="567"/>
      <c r="CB809" s="567"/>
      <c r="CC809" s="567"/>
      <c r="CD809" s="567"/>
      <c r="CE809" s="567"/>
      <c r="CF809" s="567"/>
      <c r="CG809" s="567"/>
      <c r="CH809" s="567"/>
      <c r="CI809" s="567"/>
      <c r="CJ809" s="567"/>
      <c r="CK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  <c r="BW810" s="567"/>
      <c r="BX810" s="567"/>
      <c r="BY810" s="567"/>
      <c r="BZ810" s="567"/>
      <c r="CA810" s="567"/>
      <c r="CB810" s="567"/>
      <c r="CC810" s="567"/>
      <c r="CD810" s="567"/>
      <c r="CE810" s="567"/>
      <c r="CF810" s="567"/>
      <c r="CG810" s="567"/>
      <c r="CH810" s="567"/>
      <c r="CI810" s="567"/>
      <c r="CJ810" s="567"/>
      <c r="CK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  <c r="BW811" s="567"/>
      <c r="BX811" s="567"/>
      <c r="BY811" s="567"/>
      <c r="BZ811" s="567"/>
      <c r="CA811" s="567"/>
      <c r="CB811" s="567"/>
      <c r="CC811" s="567"/>
      <c r="CD811" s="567"/>
      <c r="CE811" s="567"/>
      <c r="CF811" s="567"/>
      <c r="CG811" s="567"/>
      <c r="CH811" s="567"/>
      <c r="CI811" s="567"/>
      <c r="CJ811" s="567"/>
      <c r="CK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  <c r="BW812" s="567"/>
      <c r="BX812" s="567"/>
      <c r="BY812" s="567"/>
      <c r="BZ812" s="567"/>
      <c r="CA812" s="567"/>
      <c r="CB812" s="567"/>
      <c r="CC812" s="567"/>
      <c r="CD812" s="567"/>
      <c r="CE812" s="567"/>
      <c r="CF812" s="567"/>
      <c r="CG812" s="567"/>
      <c r="CH812" s="567"/>
      <c r="CI812" s="567"/>
      <c r="CJ812" s="567"/>
      <c r="CK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  <c r="BW813" s="567"/>
      <c r="BX813" s="567"/>
      <c r="BY813" s="567"/>
      <c r="BZ813" s="567"/>
      <c r="CA813" s="567"/>
      <c r="CB813" s="567"/>
      <c r="CC813" s="567"/>
      <c r="CD813" s="567"/>
      <c r="CE813" s="567"/>
      <c r="CF813" s="567"/>
      <c r="CG813" s="567"/>
      <c r="CH813" s="567"/>
      <c r="CI813" s="567"/>
      <c r="CJ813" s="567"/>
      <c r="CK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  <c r="BW814" s="567"/>
      <c r="BX814" s="567"/>
      <c r="BY814" s="567"/>
      <c r="BZ814" s="567"/>
      <c r="CA814" s="567"/>
      <c r="CB814" s="567"/>
      <c r="CC814" s="567"/>
      <c r="CD814" s="567"/>
      <c r="CE814" s="567"/>
      <c r="CF814" s="567"/>
      <c r="CG814" s="567"/>
      <c r="CH814" s="567"/>
      <c r="CI814" s="567"/>
      <c r="CJ814" s="567"/>
      <c r="CK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  <c r="BW815" s="567"/>
      <c r="BX815" s="567"/>
      <c r="BY815" s="567"/>
      <c r="BZ815" s="567"/>
      <c r="CA815" s="567"/>
      <c r="CB815" s="567"/>
      <c r="CC815" s="567"/>
      <c r="CD815" s="567"/>
      <c r="CE815" s="567"/>
      <c r="CF815" s="567"/>
      <c r="CG815" s="567"/>
      <c r="CH815" s="567"/>
      <c r="CI815" s="567"/>
      <c r="CJ815" s="567"/>
      <c r="CK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  <c r="BW816" s="567"/>
      <c r="BX816" s="567"/>
      <c r="BY816" s="567"/>
      <c r="BZ816" s="567"/>
      <c r="CA816" s="567"/>
      <c r="CB816" s="567"/>
      <c r="CC816" s="567"/>
      <c r="CD816" s="567"/>
      <c r="CE816" s="567"/>
      <c r="CF816" s="567"/>
      <c r="CG816" s="567"/>
      <c r="CH816" s="567"/>
      <c r="CI816" s="567"/>
      <c r="CJ816" s="567"/>
      <c r="CK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  <c r="BW817" s="567"/>
      <c r="BX817" s="567"/>
      <c r="BY817" s="567"/>
      <c r="BZ817" s="567"/>
      <c r="CA817" s="567"/>
      <c r="CB817" s="567"/>
      <c r="CC817" s="567"/>
      <c r="CD817" s="567"/>
      <c r="CE817" s="567"/>
      <c r="CF817" s="567"/>
      <c r="CG817" s="567"/>
      <c r="CH817" s="567"/>
      <c r="CI817" s="567"/>
      <c r="CJ817" s="567"/>
      <c r="CK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  <c r="BW818" s="567"/>
      <c r="BX818" s="567"/>
      <c r="BY818" s="567"/>
      <c r="BZ818" s="567"/>
      <c r="CA818" s="567"/>
      <c r="CB818" s="567"/>
      <c r="CC818" s="567"/>
      <c r="CD818" s="567"/>
      <c r="CE818" s="567"/>
      <c r="CF818" s="567"/>
      <c r="CG818" s="567"/>
      <c r="CH818" s="567"/>
      <c r="CI818" s="567"/>
      <c r="CJ818" s="567"/>
      <c r="CK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  <c r="BW819" s="567"/>
      <c r="BX819" s="567"/>
      <c r="BY819" s="567"/>
      <c r="BZ819" s="567"/>
      <c r="CA819" s="567"/>
      <c r="CB819" s="567"/>
      <c r="CC819" s="567"/>
      <c r="CD819" s="567"/>
      <c r="CE819" s="567"/>
      <c r="CF819" s="567"/>
      <c r="CG819" s="567"/>
      <c r="CH819" s="567"/>
      <c r="CI819" s="567"/>
      <c r="CJ819" s="567"/>
      <c r="CK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  <c r="BW820" s="567"/>
      <c r="BX820" s="567"/>
      <c r="BY820" s="567"/>
      <c r="BZ820" s="567"/>
      <c r="CA820" s="567"/>
      <c r="CB820" s="567"/>
      <c r="CC820" s="567"/>
      <c r="CD820" s="567"/>
      <c r="CE820" s="567"/>
      <c r="CF820" s="567"/>
      <c r="CG820" s="567"/>
      <c r="CH820" s="567"/>
      <c r="CI820" s="567"/>
      <c r="CJ820" s="567"/>
      <c r="CK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  <c r="BW821" s="567"/>
      <c r="BX821" s="567"/>
      <c r="BY821" s="567"/>
      <c r="BZ821" s="567"/>
      <c r="CA821" s="567"/>
      <c r="CB821" s="567"/>
      <c r="CC821" s="567"/>
      <c r="CD821" s="567"/>
      <c r="CE821" s="567"/>
      <c r="CF821" s="567"/>
      <c r="CG821" s="567"/>
      <c r="CH821" s="567"/>
      <c r="CI821" s="567"/>
      <c r="CJ821" s="567"/>
      <c r="CK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  <c r="BW822" s="567"/>
      <c r="BX822" s="567"/>
      <c r="BY822" s="567"/>
      <c r="BZ822" s="567"/>
      <c r="CA822" s="567"/>
      <c r="CB822" s="567"/>
      <c r="CC822" s="567"/>
      <c r="CD822" s="567"/>
      <c r="CE822" s="567"/>
      <c r="CF822" s="567"/>
      <c r="CG822" s="567"/>
      <c r="CH822" s="567"/>
      <c r="CI822" s="567"/>
      <c r="CJ822" s="567"/>
      <c r="CK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  <c r="BW823" s="567"/>
      <c r="BX823" s="567"/>
      <c r="BY823" s="567"/>
      <c r="BZ823" s="567"/>
      <c r="CA823" s="567"/>
      <c r="CB823" s="567"/>
      <c r="CC823" s="567"/>
      <c r="CD823" s="567"/>
      <c r="CE823" s="567"/>
      <c r="CF823" s="567"/>
      <c r="CG823" s="567"/>
      <c r="CH823" s="567"/>
      <c r="CI823" s="567"/>
      <c r="CJ823" s="567"/>
      <c r="CK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  <c r="BW824" s="567"/>
      <c r="BX824" s="567"/>
      <c r="BY824" s="567"/>
      <c r="BZ824" s="567"/>
      <c r="CA824" s="567"/>
      <c r="CB824" s="567"/>
      <c r="CC824" s="567"/>
      <c r="CD824" s="567"/>
      <c r="CE824" s="567"/>
      <c r="CF824" s="567"/>
      <c r="CG824" s="567"/>
      <c r="CH824" s="567"/>
      <c r="CI824" s="567"/>
      <c r="CJ824" s="567"/>
      <c r="CK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  <c r="BW825" s="567"/>
      <c r="BX825" s="567"/>
      <c r="BY825" s="567"/>
      <c r="BZ825" s="567"/>
      <c r="CA825" s="567"/>
      <c r="CB825" s="567"/>
      <c r="CC825" s="567"/>
      <c r="CD825" s="567"/>
      <c r="CE825" s="567"/>
      <c r="CF825" s="567"/>
      <c r="CG825" s="567"/>
      <c r="CH825" s="567"/>
      <c r="CI825" s="567"/>
      <c r="CJ825" s="567"/>
      <c r="CK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  <c r="BW826" s="567"/>
      <c r="BX826" s="567"/>
      <c r="BY826" s="567"/>
      <c r="BZ826" s="567"/>
      <c r="CA826" s="567"/>
      <c r="CB826" s="567"/>
      <c r="CC826" s="567"/>
      <c r="CD826" s="567"/>
      <c r="CE826" s="567"/>
      <c r="CF826" s="567"/>
      <c r="CG826" s="567"/>
      <c r="CH826" s="567"/>
      <c r="CI826" s="567"/>
      <c r="CJ826" s="567"/>
      <c r="CK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  <c r="BW827" s="567"/>
      <c r="BX827" s="567"/>
      <c r="BY827" s="567"/>
      <c r="BZ827" s="567"/>
      <c r="CA827" s="567"/>
      <c r="CB827" s="567"/>
      <c r="CC827" s="567"/>
      <c r="CD827" s="567"/>
      <c r="CE827" s="567"/>
      <c r="CF827" s="567"/>
      <c r="CG827" s="567"/>
      <c r="CH827" s="567"/>
      <c r="CI827" s="567"/>
      <c r="CJ827" s="567"/>
      <c r="CK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  <c r="BW828" s="567"/>
      <c r="BX828" s="567"/>
      <c r="BY828" s="567"/>
      <c r="BZ828" s="567"/>
      <c r="CA828" s="567"/>
      <c r="CB828" s="567"/>
      <c r="CC828" s="567"/>
      <c r="CD828" s="567"/>
      <c r="CE828" s="567"/>
      <c r="CF828" s="567"/>
      <c r="CG828" s="567"/>
      <c r="CH828" s="567"/>
      <c r="CI828" s="567"/>
      <c r="CJ828" s="567"/>
      <c r="CK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  <c r="BW829" s="567"/>
      <c r="BX829" s="567"/>
      <c r="BY829" s="567"/>
      <c r="BZ829" s="567"/>
      <c r="CA829" s="567"/>
      <c r="CB829" s="567"/>
      <c r="CC829" s="567"/>
      <c r="CD829" s="567"/>
      <c r="CE829" s="567"/>
      <c r="CF829" s="567"/>
      <c r="CG829" s="567"/>
      <c r="CH829" s="567"/>
      <c r="CI829" s="567"/>
      <c r="CJ829" s="567"/>
      <c r="CK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  <c r="BW830" s="567"/>
      <c r="BX830" s="567"/>
      <c r="BY830" s="567"/>
      <c r="BZ830" s="567"/>
      <c r="CA830" s="567"/>
      <c r="CB830" s="567"/>
      <c r="CC830" s="567"/>
      <c r="CD830" s="567"/>
      <c r="CE830" s="567"/>
      <c r="CF830" s="567"/>
      <c r="CG830" s="567"/>
      <c r="CH830" s="567"/>
      <c r="CI830" s="567"/>
      <c r="CJ830" s="567"/>
      <c r="CK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  <c r="BW831" s="567"/>
      <c r="BX831" s="567"/>
      <c r="BY831" s="567"/>
      <c r="BZ831" s="567"/>
      <c r="CA831" s="567"/>
      <c r="CB831" s="567"/>
      <c r="CC831" s="567"/>
      <c r="CD831" s="567"/>
      <c r="CE831" s="567"/>
      <c r="CF831" s="567"/>
      <c r="CG831" s="567"/>
      <c r="CH831" s="567"/>
      <c r="CI831" s="567"/>
      <c r="CJ831" s="567"/>
      <c r="CK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  <c r="BW832" s="567"/>
      <c r="BX832" s="567"/>
      <c r="BY832" s="567"/>
      <c r="BZ832" s="567"/>
      <c r="CA832" s="567"/>
      <c r="CB832" s="567"/>
      <c r="CC832" s="567"/>
      <c r="CD832" s="567"/>
      <c r="CE832" s="567"/>
      <c r="CF832" s="567"/>
      <c r="CG832" s="567"/>
      <c r="CH832" s="567"/>
      <c r="CI832" s="567"/>
      <c r="CJ832" s="567"/>
      <c r="CK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  <c r="BW833" s="567"/>
      <c r="BX833" s="567"/>
      <c r="BY833" s="567"/>
      <c r="BZ833" s="567"/>
      <c r="CA833" s="567"/>
      <c r="CB833" s="567"/>
      <c r="CC833" s="567"/>
      <c r="CD833" s="567"/>
      <c r="CE833" s="567"/>
      <c r="CF833" s="567"/>
      <c r="CG833" s="567"/>
      <c r="CH833" s="567"/>
      <c r="CI833" s="567"/>
      <c r="CJ833" s="567"/>
      <c r="CK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  <c r="BW834" s="567"/>
      <c r="BX834" s="567"/>
      <c r="BY834" s="567"/>
      <c r="BZ834" s="567"/>
      <c r="CA834" s="567"/>
      <c r="CB834" s="567"/>
      <c r="CC834" s="567"/>
      <c r="CD834" s="567"/>
      <c r="CE834" s="567"/>
      <c r="CF834" s="567"/>
      <c r="CG834" s="567"/>
      <c r="CH834" s="567"/>
      <c r="CI834" s="567"/>
      <c r="CJ834" s="567"/>
      <c r="CK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  <c r="BW835" s="567"/>
      <c r="BX835" s="567"/>
      <c r="BY835" s="567"/>
      <c r="BZ835" s="567"/>
      <c r="CA835" s="567"/>
      <c r="CB835" s="567"/>
      <c r="CC835" s="567"/>
      <c r="CD835" s="567"/>
      <c r="CE835" s="567"/>
      <c r="CF835" s="567"/>
      <c r="CG835" s="567"/>
      <c r="CH835" s="567"/>
      <c r="CI835" s="567"/>
      <c r="CJ835" s="567"/>
      <c r="CK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  <c r="BW836" s="567"/>
      <c r="BX836" s="567"/>
      <c r="BY836" s="567"/>
      <c r="BZ836" s="567"/>
      <c r="CA836" s="567"/>
      <c r="CB836" s="567"/>
      <c r="CC836" s="567"/>
      <c r="CD836" s="567"/>
      <c r="CE836" s="567"/>
      <c r="CF836" s="567"/>
      <c r="CG836" s="567"/>
      <c r="CH836" s="567"/>
      <c r="CI836" s="567"/>
      <c r="CJ836" s="567"/>
      <c r="CK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  <c r="BW837" s="567"/>
      <c r="BX837" s="567"/>
      <c r="BY837" s="567"/>
      <c r="BZ837" s="567"/>
      <c r="CA837" s="567"/>
      <c r="CB837" s="567"/>
      <c r="CC837" s="567"/>
      <c r="CD837" s="567"/>
      <c r="CE837" s="567"/>
      <c r="CF837" s="567"/>
      <c r="CG837" s="567"/>
      <c r="CH837" s="567"/>
      <c r="CI837" s="567"/>
      <c r="CJ837" s="567"/>
      <c r="CK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  <c r="BW838" s="567"/>
      <c r="BX838" s="567"/>
      <c r="BY838" s="567"/>
      <c r="BZ838" s="567"/>
      <c r="CA838" s="567"/>
      <c r="CB838" s="567"/>
      <c r="CC838" s="567"/>
      <c r="CD838" s="567"/>
      <c r="CE838" s="567"/>
      <c r="CF838" s="567"/>
      <c r="CG838" s="567"/>
      <c r="CH838" s="567"/>
      <c r="CI838" s="567"/>
      <c r="CJ838" s="567"/>
      <c r="CK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  <c r="BW839" s="567"/>
      <c r="BX839" s="567"/>
      <c r="BY839" s="567"/>
      <c r="BZ839" s="567"/>
      <c r="CA839" s="567"/>
      <c r="CB839" s="567"/>
      <c r="CC839" s="567"/>
      <c r="CD839" s="567"/>
      <c r="CE839" s="567"/>
      <c r="CF839" s="567"/>
      <c r="CG839" s="567"/>
      <c r="CH839" s="567"/>
      <c r="CI839" s="567"/>
      <c r="CJ839" s="567"/>
      <c r="CK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  <c r="BW840" s="567"/>
      <c r="BX840" s="567"/>
      <c r="BY840" s="567"/>
      <c r="BZ840" s="567"/>
      <c r="CA840" s="567"/>
      <c r="CB840" s="567"/>
      <c r="CC840" s="567"/>
      <c r="CD840" s="567"/>
      <c r="CE840" s="567"/>
      <c r="CF840" s="567"/>
      <c r="CG840" s="567"/>
      <c r="CH840" s="567"/>
      <c r="CI840" s="567"/>
      <c r="CJ840" s="567"/>
      <c r="CK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  <c r="BW841" s="567"/>
      <c r="BX841" s="567"/>
      <c r="BY841" s="567"/>
      <c r="BZ841" s="567"/>
      <c r="CA841" s="567"/>
      <c r="CB841" s="567"/>
      <c r="CC841" s="567"/>
      <c r="CD841" s="567"/>
      <c r="CE841" s="567"/>
      <c r="CF841" s="567"/>
      <c r="CG841" s="567"/>
      <c r="CH841" s="567"/>
      <c r="CI841" s="567"/>
      <c r="CJ841" s="567"/>
      <c r="CK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  <c r="BW842" s="567"/>
      <c r="BX842" s="567"/>
      <c r="BY842" s="567"/>
      <c r="BZ842" s="567"/>
      <c r="CA842" s="567"/>
      <c r="CB842" s="567"/>
      <c r="CC842" s="567"/>
      <c r="CD842" s="567"/>
      <c r="CE842" s="567"/>
      <c r="CF842" s="567"/>
      <c r="CG842" s="567"/>
      <c r="CH842" s="567"/>
      <c r="CI842" s="567"/>
      <c r="CJ842" s="567"/>
      <c r="CK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  <c r="BW843" s="567"/>
      <c r="BX843" s="567"/>
      <c r="BY843" s="567"/>
      <c r="BZ843" s="567"/>
      <c r="CA843" s="567"/>
      <c r="CB843" s="567"/>
      <c r="CC843" s="567"/>
      <c r="CD843" s="567"/>
      <c r="CE843" s="567"/>
      <c r="CF843" s="567"/>
      <c r="CG843" s="567"/>
      <c r="CH843" s="567"/>
      <c r="CI843" s="567"/>
      <c r="CJ843" s="567"/>
      <c r="CK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  <c r="BW844" s="567"/>
      <c r="BX844" s="567"/>
      <c r="BY844" s="567"/>
      <c r="BZ844" s="567"/>
      <c r="CA844" s="567"/>
      <c r="CB844" s="567"/>
      <c r="CC844" s="567"/>
      <c r="CD844" s="567"/>
      <c r="CE844" s="567"/>
      <c r="CF844" s="567"/>
      <c r="CG844" s="567"/>
      <c r="CH844" s="567"/>
      <c r="CI844" s="567"/>
      <c r="CJ844" s="567"/>
      <c r="CK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  <c r="BW845" s="567"/>
      <c r="BX845" s="567"/>
      <c r="BY845" s="567"/>
      <c r="BZ845" s="567"/>
      <c r="CA845" s="567"/>
      <c r="CB845" s="567"/>
      <c r="CC845" s="567"/>
      <c r="CD845" s="567"/>
      <c r="CE845" s="567"/>
      <c r="CF845" s="567"/>
      <c r="CG845" s="567"/>
      <c r="CH845" s="567"/>
      <c r="CI845" s="567"/>
      <c r="CJ845" s="567"/>
      <c r="CK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  <c r="BW846" s="567"/>
      <c r="BX846" s="567"/>
      <c r="BY846" s="567"/>
      <c r="BZ846" s="567"/>
      <c r="CA846" s="567"/>
      <c r="CB846" s="567"/>
      <c r="CC846" s="567"/>
      <c r="CD846" s="567"/>
      <c r="CE846" s="567"/>
      <c r="CF846" s="567"/>
      <c r="CG846" s="567"/>
      <c r="CH846" s="567"/>
      <c r="CI846" s="567"/>
      <c r="CJ846" s="567"/>
      <c r="CK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  <c r="BW847" s="567"/>
      <c r="BX847" s="567"/>
      <c r="BY847" s="567"/>
      <c r="BZ847" s="567"/>
      <c r="CA847" s="567"/>
      <c r="CB847" s="567"/>
      <c r="CC847" s="567"/>
      <c r="CD847" s="567"/>
      <c r="CE847" s="567"/>
      <c r="CF847" s="567"/>
      <c r="CG847" s="567"/>
      <c r="CH847" s="567"/>
      <c r="CI847" s="567"/>
      <c r="CJ847" s="567"/>
      <c r="CK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  <c r="BW848" s="567"/>
      <c r="BX848" s="567"/>
      <c r="BY848" s="567"/>
      <c r="BZ848" s="567"/>
      <c r="CA848" s="567"/>
      <c r="CB848" s="567"/>
      <c r="CC848" s="567"/>
      <c r="CD848" s="567"/>
      <c r="CE848" s="567"/>
      <c r="CF848" s="567"/>
      <c r="CG848" s="567"/>
      <c r="CH848" s="567"/>
      <c r="CI848" s="567"/>
      <c r="CJ848" s="567"/>
      <c r="CK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  <c r="BW849" s="567"/>
      <c r="BX849" s="567"/>
      <c r="BY849" s="567"/>
      <c r="BZ849" s="567"/>
      <c r="CA849" s="567"/>
      <c r="CB849" s="567"/>
      <c r="CC849" s="567"/>
      <c r="CD849" s="567"/>
      <c r="CE849" s="567"/>
      <c r="CF849" s="567"/>
      <c r="CG849" s="567"/>
      <c r="CH849" s="567"/>
      <c r="CI849" s="567"/>
      <c r="CJ849" s="567"/>
      <c r="CK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  <c r="BW850" s="567"/>
      <c r="BX850" s="567"/>
      <c r="BY850" s="567"/>
      <c r="BZ850" s="567"/>
      <c r="CA850" s="567"/>
      <c r="CB850" s="567"/>
      <c r="CC850" s="567"/>
      <c r="CD850" s="567"/>
      <c r="CE850" s="567"/>
      <c r="CF850" s="567"/>
      <c r="CG850" s="567"/>
      <c r="CH850" s="567"/>
      <c r="CI850" s="567"/>
      <c r="CJ850" s="567"/>
      <c r="CK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  <c r="BW851" s="567"/>
      <c r="BX851" s="567"/>
      <c r="BY851" s="567"/>
      <c r="BZ851" s="567"/>
      <c r="CA851" s="567"/>
      <c r="CB851" s="567"/>
      <c r="CC851" s="567"/>
      <c r="CD851" s="567"/>
      <c r="CE851" s="567"/>
      <c r="CF851" s="567"/>
      <c r="CG851" s="567"/>
      <c r="CH851" s="567"/>
      <c r="CI851" s="567"/>
      <c r="CJ851" s="567"/>
      <c r="CK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  <c r="BW852" s="567"/>
      <c r="BX852" s="567"/>
      <c r="BY852" s="567"/>
      <c r="BZ852" s="567"/>
      <c r="CA852" s="567"/>
      <c r="CB852" s="567"/>
      <c r="CC852" s="567"/>
      <c r="CD852" s="567"/>
      <c r="CE852" s="567"/>
      <c r="CF852" s="567"/>
      <c r="CG852" s="567"/>
      <c r="CH852" s="567"/>
      <c r="CI852" s="567"/>
      <c r="CJ852" s="567"/>
      <c r="CK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  <c r="BW853" s="567"/>
      <c r="BX853" s="567"/>
      <c r="BY853" s="567"/>
      <c r="BZ853" s="567"/>
      <c r="CA853" s="567"/>
      <c r="CB853" s="567"/>
      <c r="CC853" s="567"/>
      <c r="CD853" s="567"/>
      <c r="CE853" s="567"/>
      <c r="CF853" s="567"/>
      <c r="CG853" s="567"/>
      <c r="CH853" s="567"/>
      <c r="CI853" s="567"/>
      <c r="CJ853" s="567"/>
      <c r="CK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  <c r="BW854" s="567"/>
      <c r="BX854" s="567"/>
      <c r="BY854" s="567"/>
      <c r="BZ854" s="567"/>
      <c r="CA854" s="567"/>
      <c r="CB854" s="567"/>
      <c r="CC854" s="567"/>
      <c r="CD854" s="567"/>
      <c r="CE854" s="567"/>
      <c r="CF854" s="567"/>
      <c r="CG854" s="567"/>
      <c r="CH854" s="567"/>
      <c r="CI854" s="567"/>
      <c r="CJ854" s="567"/>
      <c r="CK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  <c r="BW855" s="567"/>
      <c r="BX855" s="567"/>
      <c r="BY855" s="567"/>
      <c r="BZ855" s="567"/>
      <c r="CA855" s="567"/>
      <c r="CB855" s="567"/>
      <c r="CC855" s="567"/>
      <c r="CD855" s="567"/>
      <c r="CE855" s="567"/>
      <c r="CF855" s="567"/>
      <c r="CG855" s="567"/>
      <c r="CH855" s="567"/>
      <c r="CI855" s="567"/>
      <c r="CJ855" s="567"/>
      <c r="CK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  <c r="BW856" s="567"/>
      <c r="BX856" s="567"/>
      <c r="BY856" s="567"/>
      <c r="BZ856" s="567"/>
      <c r="CA856" s="567"/>
      <c r="CB856" s="567"/>
      <c r="CC856" s="567"/>
      <c r="CD856" s="567"/>
      <c r="CE856" s="567"/>
      <c r="CF856" s="567"/>
      <c r="CG856" s="567"/>
      <c r="CH856" s="567"/>
      <c r="CI856" s="567"/>
      <c r="CJ856" s="567"/>
      <c r="CK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  <c r="BW857" s="567"/>
      <c r="BX857" s="567"/>
      <c r="BY857" s="567"/>
      <c r="BZ857" s="567"/>
      <c r="CA857" s="567"/>
      <c r="CB857" s="567"/>
      <c r="CC857" s="567"/>
      <c r="CD857" s="567"/>
      <c r="CE857" s="567"/>
      <c r="CF857" s="567"/>
      <c r="CG857" s="567"/>
      <c r="CH857" s="567"/>
      <c r="CI857" s="567"/>
      <c r="CJ857" s="567"/>
      <c r="CK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  <c r="BW858" s="567"/>
      <c r="BX858" s="567"/>
      <c r="BY858" s="567"/>
      <c r="BZ858" s="567"/>
      <c r="CA858" s="567"/>
      <c r="CB858" s="567"/>
      <c r="CC858" s="567"/>
      <c r="CD858" s="567"/>
      <c r="CE858" s="567"/>
      <c r="CF858" s="567"/>
      <c r="CG858" s="567"/>
      <c r="CH858" s="567"/>
      <c r="CI858" s="567"/>
      <c r="CJ858" s="567"/>
      <c r="CK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  <c r="BW859" s="567"/>
      <c r="BX859" s="567"/>
      <c r="BY859" s="567"/>
      <c r="BZ859" s="567"/>
      <c r="CA859" s="567"/>
      <c r="CB859" s="567"/>
      <c r="CC859" s="567"/>
      <c r="CD859" s="567"/>
      <c r="CE859" s="567"/>
      <c r="CF859" s="567"/>
      <c r="CG859" s="567"/>
      <c r="CH859" s="567"/>
      <c r="CI859" s="567"/>
      <c r="CJ859" s="567"/>
      <c r="CK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  <c r="BW860" s="567"/>
      <c r="BX860" s="567"/>
      <c r="BY860" s="567"/>
      <c r="BZ860" s="567"/>
      <c r="CA860" s="567"/>
      <c r="CB860" s="567"/>
      <c r="CC860" s="567"/>
      <c r="CD860" s="567"/>
      <c r="CE860" s="567"/>
      <c r="CF860" s="567"/>
      <c r="CG860" s="567"/>
      <c r="CH860" s="567"/>
      <c r="CI860" s="567"/>
      <c r="CJ860" s="567"/>
      <c r="CK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  <c r="BW861" s="567"/>
      <c r="BX861" s="567"/>
      <c r="BY861" s="567"/>
      <c r="BZ861" s="567"/>
      <c r="CA861" s="567"/>
      <c r="CB861" s="567"/>
      <c r="CC861" s="567"/>
      <c r="CD861" s="567"/>
      <c r="CE861" s="567"/>
      <c r="CF861" s="567"/>
      <c r="CG861" s="567"/>
      <c r="CH861" s="567"/>
      <c r="CI861" s="567"/>
      <c r="CJ861" s="567"/>
      <c r="CK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  <c r="BW862" s="567"/>
      <c r="BX862" s="567"/>
      <c r="BY862" s="567"/>
      <c r="BZ862" s="567"/>
      <c r="CA862" s="567"/>
      <c r="CB862" s="567"/>
      <c r="CC862" s="567"/>
      <c r="CD862" s="567"/>
      <c r="CE862" s="567"/>
      <c r="CF862" s="567"/>
      <c r="CG862" s="567"/>
      <c r="CH862" s="567"/>
      <c r="CI862" s="567"/>
      <c r="CJ862" s="567"/>
      <c r="CK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  <c r="BW863" s="567"/>
      <c r="BX863" s="567"/>
      <c r="BY863" s="567"/>
      <c r="BZ863" s="567"/>
      <c r="CA863" s="567"/>
      <c r="CB863" s="567"/>
      <c r="CC863" s="567"/>
      <c r="CD863" s="567"/>
      <c r="CE863" s="567"/>
      <c r="CF863" s="567"/>
      <c r="CG863" s="567"/>
      <c r="CH863" s="567"/>
      <c r="CI863" s="567"/>
      <c r="CJ863" s="567"/>
      <c r="CK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  <c r="BW864" s="567"/>
      <c r="BX864" s="567"/>
      <c r="BY864" s="567"/>
      <c r="BZ864" s="567"/>
      <c r="CA864" s="567"/>
      <c r="CB864" s="567"/>
      <c r="CC864" s="567"/>
      <c r="CD864" s="567"/>
      <c r="CE864" s="567"/>
      <c r="CF864" s="567"/>
      <c r="CG864" s="567"/>
      <c r="CH864" s="567"/>
      <c r="CI864" s="567"/>
      <c r="CJ864" s="567"/>
      <c r="CK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  <c r="BW865" s="567"/>
      <c r="BX865" s="567"/>
      <c r="BY865" s="567"/>
      <c r="BZ865" s="567"/>
      <c r="CA865" s="567"/>
      <c r="CB865" s="567"/>
      <c r="CC865" s="567"/>
      <c r="CD865" s="567"/>
      <c r="CE865" s="567"/>
      <c r="CF865" s="567"/>
      <c r="CG865" s="567"/>
      <c r="CH865" s="567"/>
      <c r="CI865" s="567"/>
      <c r="CJ865" s="567"/>
      <c r="CK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  <c r="BW866" s="567"/>
      <c r="BX866" s="567"/>
      <c r="BY866" s="567"/>
      <c r="BZ866" s="567"/>
      <c r="CA866" s="567"/>
      <c r="CB866" s="567"/>
      <c r="CC866" s="567"/>
      <c r="CD866" s="567"/>
      <c r="CE866" s="567"/>
      <c r="CF866" s="567"/>
      <c r="CG866" s="567"/>
      <c r="CH866" s="567"/>
      <c r="CI866" s="567"/>
      <c r="CJ866" s="567"/>
      <c r="CK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  <c r="BW867" s="567"/>
      <c r="BX867" s="567"/>
      <c r="BY867" s="567"/>
      <c r="BZ867" s="567"/>
      <c r="CA867" s="567"/>
      <c r="CB867" s="567"/>
      <c r="CC867" s="567"/>
      <c r="CD867" s="567"/>
      <c r="CE867" s="567"/>
      <c r="CF867" s="567"/>
      <c r="CG867" s="567"/>
      <c r="CH867" s="567"/>
      <c r="CI867" s="567"/>
      <c r="CJ867" s="567"/>
      <c r="CK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  <c r="BW868" s="567"/>
      <c r="BX868" s="567"/>
      <c r="BY868" s="567"/>
      <c r="BZ868" s="567"/>
      <c r="CA868" s="567"/>
      <c r="CB868" s="567"/>
      <c r="CC868" s="567"/>
      <c r="CD868" s="567"/>
      <c r="CE868" s="567"/>
      <c r="CF868" s="567"/>
      <c r="CG868" s="567"/>
      <c r="CH868" s="567"/>
      <c r="CI868" s="567"/>
      <c r="CJ868" s="567"/>
      <c r="CK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  <c r="BW869" s="567"/>
      <c r="BX869" s="567"/>
      <c r="BY869" s="567"/>
      <c r="BZ869" s="567"/>
      <c r="CA869" s="567"/>
      <c r="CB869" s="567"/>
      <c r="CC869" s="567"/>
      <c r="CD869" s="567"/>
      <c r="CE869" s="567"/>
      <c r="CF869" s="567"/>
      <c r="CG869" s="567"/>
      <c r="CH869" s="567"/>
      <c r="CI869" s="567"/>
      <c r="CJ869" s="567"/>
      <c r="CK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  <c r="BW870" s="567"/>
      <c r="BX870" s="567"/>
      <c r="BY870" s="567"/>
      <c r="BZ870" s="567"/>
      <c r="CA870" s="567"/>
      <c r="CB870" s="567"/>
      <c r="CC870" s="567"/>
      <c r="CD870" s="567"/>
      <c r="CE870" s="567"/>
      <c r="CF870" s="567"/>
      <c r="CG870" s="567"/>
      <c r="CH870" s="567"/>
      <c r="CI870" s="567"/>
      <c r="CJ870" s="567"/>
      <c r="CK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  <c r="BW871" s="567"/>
      <c r="BX871" s="567"/>
      <c r="BY871" s="567"/>
      <c r="BZ871" s="567"/>
      <c r="CA871" s="567"/>
      <c r="CB871" s="567"/>
      <c r="CC871" s="567"/>
      <c r="CD871" s="567"/>
      <c r="CE871" s="567"/>
      <c r="CF871" s="567"/>
      <c r="CG871" s="567"/>
      <c r="CH871" s="567"/>
      <c r="CI871" s="567"/>
      <c r="CJ871" s="567"/>
      <c r="CK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  <c r="BW872" s="567"/>
      <c r="BX872" s="567"/>
      <c r="BY872" s="567"/>
      <c r="BZ872" s="567"/>
      <c r="CA872" s="567"/>
      <c r="CB872" s="567"/>
      <c r="CC872" s="567"/>
      <c r="CD872" s="567"/>
      <c r="CE872" s="567"/>
      <c r="CF872" s="567"/>
      <c r="CG872" s="567"/>
      <c r="CH872" s="567"/>
      <c r="CI872" s="567"/>
      <c r="CJ872" s="567"/>
      <c r="CK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  <c r="BW873" s="567"/>
      <c r="BX873" s="567"/>
      <c r="BY873" s="567"/>
      <c r="BZ873" s="567"/>
      <c r="CA873" s="567"/>
      <c r="CB873" s="567"/>
      <c r="CC873" s="567"/>
      <c r="CD873" s="567"/>
      <c r="CE873" s="567"/>
      <c r="CF873" s="567"/>
      <c r="CG873" s="567"/>
      <c r="CH873" s="567"/>
      <c r="CI873" s="567"/>
      <c r="CJ873" s="567"/>
      <c r="CK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  <c r="BW874" s="567"/>
      <c r="BX874" s="567"/>
      <c r="BY874" s="567"/>
      <c r="BZ874" s="567"/>
      <c r="CA874" s="567"/>
      <c r="CB874" s="567"/>
      <c r="CC874" s="567"/>
      <c r="CD874" s="567"/>
      <c r="CE874" s="567"/>
      <c r="CF874" s="567"/>
      <c r="CG874" s="567"/>
      <c r="CH874" s="567"/>
      <c r="CI874" s="567"/>
      <c r="CJ874" s="567"/>
      <c r="CK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  <c r="BW875" s="567"/>
      <c r="BX875" s="567"/>
      <c r="BY875" s="567"/>
      <c r="BZ875" s="567"/>
      <c r="CA875" s="567"/>
      <c r="CB875" s="567"/>
      <c r="CC875" s="567"/>
      <c r="CD875" s="567"/>
      <c r="CE875" s="567"/>
      <c r="CF875" s="567"/>
      <c r="CG875" s="567"/>
      <c r="CH875" s="567"/>
      <c r="CI875" s="567"/>
      <c r="CJ875" s="567"/>
      <c r="CK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  <c r="BW876" s="567"/>
      <c r="BX876" s="567"/>
      <c r="BY876" s="567"/>
      <c r="BZ876" s="567"/>
      <c r="CA876" s="567"/>
      <c r="CB876" s="567"/>
      <c r="CC876" s="567"/>
      <c r="CD876" s="567"/>
      <c r="CE876" s="567"/>
      <c r="CF876" s="567"/>
      <c r="CG876" s="567"/>
      <c r="CH876" s="567"/>
      <c r="CI876" s="567"/>
      <c r="CJ876" s="567"/>
      <c r="CK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  <c r="BW877" s="567"/>
      <c r="BX877" s="567"/>
      <c r="BY877" s="567"/>
      <c r="BZ877" s="567"/>
      <c r="CA877" s="567"/>
      <c r="CB877" s="567"/>
      <c r="CC877" s="567"/>
      <c r="CD877" s="567"/>
      <c r="CE877" s="567"/>
      <c r="CF877" s="567"/>
      <c r="CG877" s="567"/>
      <c r="CH877" s="567"/>
      <c r="CI877" s="567"/>
      <c r="CJ877" s="567"/>
      <c r="CK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  <c r="BW878" s="567"/>
      <c r="BX878" s="567"/>
      <c r="BY878" s="567"/>
      <c r="BZ878" s="567"/>
      <c r="CA878" s="567"/>
      <c r="CB878" s="567"/>
      <c r="CC878" s="567"/>
      <c r="CD878" s="567"/>
      <c r="CE878" s="567"/>
      <c r="CF878" s="567"/>
      <c r="CG878" s="567"/>
      <c r="CH878" s="567"/>
      <c r="CI878" s="567"/>
      <c r="CJ878" s="567"/>
      <c r="CK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  <c r="BW879" s="567"/>
      <c r="BX879" s="567"/>
      <c r="BY879" s="567"/>
      <c r="BZ879" s="567"/>
      <c r="CA879" s="567"/>
      <c r="CB879" s="567"/>
      <c r="CC879" s="567"/>
      <c r="CD879" s="567"/>
      <c r="CE879" s="567"/>
      <c r="CF879" s="567"/>
      <c r="CG879" s="567"/>
      <c r="CH879" s="567"/>
      <c r="CI879" s="567"/>
      <c r="CJ879" s="567"/>
      <c r="CK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  <c r="BW880" s="567"/>
      <c r="BX880" s="567"/>
      <c r="BY880" s="567"/>
      <c r="BZ880" s="567"/>
      <c r="CA880" s="567"/>
      <c r="CB880" s="567"/>
      <c r="CC880" s="567"/>
      <c r="CD880" s="567"/>
      <c r="CE880" s="567"/>
      <c r="CF880" s="567"/>
      <c r="CG880" s="567"/>
      <c r="CH880" s="567"/>
      <c r="CI880" s="567"/>
      <c r="CJ880" s="567"/>
      <c r="CK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  <c r="BW881" s="567"/>
      <c r="BX881" s="567"/>
      <c r="BY881" s="567"/>
      <c r="BZ881" s="567"/>
      <c r="CA881" s="567"/>
      <c r="CB881" s="567"/>
      <c r="CC881" s="567"/>
      <c r="CD881" s="567"/>
      <c r="CE881" s="567"/>
      <c r="CF881" s="567"/>
      <c r="CG881" s="567"/>
      <c r="CH881" s="567"/>
      <c r="CI881" s="567"/>
      <c r="CJ881" s="567"/>
      <c r="CK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  <c r="BW882" s="567"/>
      <c r="BX882" s="567"/>
      <c r="BY882" s="567"/>
      <c r="BZ882" s="567"/>
      <c r="CA882" s="567"/>
      <c r="CB882" s="567"/>
      <c r="CC882" s="567"/>
      <c r="CD882" s="567"/>
      <c r="CE882" s="567"/>
      <c r="CF882" s="567"/>
      <c r="CG882" s="567"/>
      <c r="CH882" s="567"/>
      <c r="CI882" s="567"/>
      <c r="CJ882" s="567"/>
      <c r="CK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  <c r="BW883" s="567"/>
      <c r="BX883" s="567"/>
      <c r="BY883" s="567"/>
      <c r="BZ883" s="567"/>
      <c r="CA883" s="567"/>
      <c r="CB883" s="567"/>
      <c r="CC883" s="567"/>
      <c r="CD883" s="567"/>
      <c r="CE883" s="567"/>
      <c r="CF883" s="567"/>
      <c r="CG883" s="567"/>
      <c r="CH883" s="567"/>
      <c r="CI883" s="567"/>
      <c r="CJ883" s="567"/>
      <c r="CK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  <c r="BW884" s="567"/>
      <c r="BX884" s="567"/>
      <c r="BY884" s="567"/>
      <c r="BZ884" s="567"/>
      <c r="CA884" s="567"/>
      <c r="CB884" s="567"/>
      <c r="CC884" s="567"/>
      <c r="CD884" s="567"/>
      <c r="CE884" s="567"/>
      <c r="CF884" s="567"/>
      <c r="CG884" s="567"/>
      <c r="CH884" s="567"/>
      <c r="CI884" s="567"/>
      <c r="CJ884" s="567"/>
      <c r="CK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  <c r="BW885" s="567"/>
      <c r="BX885" s="567"/>
      <c r="BY885" s="567"/>
      <c r="BZ885" s="567"/>
      <c r="CA885" s="567"/>
      <c r="CB885" s="567"/>
      <c r="CC885" s="567"/>
      <c r="CD885" s="567"/>
      <c r="CE885" s="567"/>
      <c r="CF885" s="567"/>
      <c r="CG885" s="567"/>
      <c r="CH885" s="567"/>
      <c r="CI885" s="567"/>
      <c r="CJ885" s="567"/>
      <c r="CK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  <c r="BW886" s="567"/>
      <c r="BX886" s="567"/>
      <c r="BY886" s="567"/>
      <c r="BZ886" s="567"/>
      <c r="CA886" s="567"/>
      <c r="CB886" s="567"/>
      <c r="CC886" s="567"/>
      <c r="CD886" s="567"/>
      <c r="CE886" s="567"/>
      <c r="CF886" s="567"/>
      <c r="CG886" s="567"/>
      <c r="CH886" s="567"/>
      <c r="CI886" s="567"/>
      <c r="CJ886" s="567"/>
      <c r="CK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  <c r="BW887" s="567"/>
      <c r="BX887" s="567"/>
      <c r="BY887" s="567"/>
      <c r="BZ887" s="567"/>
      <c r="CA887" s="567"/>
      <c r="CB887" s="567"/>
      <c r="CC887" s="567"/>
      <c r="CD887" s="567"/>
      <c r="CE887" s="567"/>
      <c r="CF887" s="567"/>
      <c r="CG887" s="567"/>
      <c r="CH887" s="567"/>
      <c r="CI887" s="567"/>
      <c r="CJ887" s="567"/>
      <c r="CK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  <c r="BW888" s="567"/>
      <c r="BX888" s="567"/>
      <c r="BY888" s="567"/>
      <c r="BZ888" s="567"/>
      <c r="CA888" s="567"/>
      <c r="CB888" s="567"/>
      <c r="CC888" s="567"/>
      <c r="CD888" s="567"/>
      <c r="CE888" s="567"/>
      <c r="CF888" s="567"/>
      <c r="CG888" s="567"/>
      <c r="CH888" s="567"/>
      <c r="CI888" s="567"/>
      <c r="CJ888" s="567"/>
      <c r="CK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  <c r="BW889" s="567"/>
      <c r="BX889" s="567"/>
      <c r="BY889" s="567"/>
      <c r="BZ889" s="567"/>
      <c r="CA889" s="567"/>
      <c r="CB889" s="567"/>
      <c r="CC889" s="567"/>
      <c r="CD889" s="567"/>
      <c r="CE889" s="567"/>
      <c r="CF889" s="567"/>
      <c r="CG889" s="567"/>
      <c r="CH889" s="567"/>
      <c r="CI889" s="567"/>
      <c r="CJ889" s="567"/>
      <c r="CK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  <c r="BW890" s="567"/>
      <c r="BX890" s="567"/>
      <c r="BY890" s="567"/>
      <c r="BZ890" s="567"/>
      <c r="CA890" s="567"/>
      <c r="CB890" s="567"/>
      <c r="CC890" s="567"/>
      <c r="CD890" s="567"/>
      <c r="CE890" s="567"/>
      <c r="CF890" s="567"/>
      <c r="CG890" s="567"/>
      <c r="CH890" s="567"/>
      <c r="CI890" s="567"/>
      <c r="CJ890" s="567"/>
      <c r="CK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  <c r="BW891" s="567"/>
      <c r="BX891" s="567"/>
      <c r="BY891" s="567"/>
      <c r="BZ891" s="567"/>
      <c r="CA891" s="567"/>
      <c r="CB891" s="567"/>
      <c r="CC891" s="567"/>
      <c r="CD891" s="567"/>
      <c r="CE891" s="567"/>
      <c r="CF891" s="567"/>
      <c r="CG891" s="567"/>
      <c r="CH891" s="567"/>
      <c r="CI891" s="567"/>
      <c r="CJ891" s="567"/>
      <c r="CK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  <c r="BW892" s="567"/>
      <c r="BX892" s="567"/>
      <c r="BY892" s="567"/>
      <c r="BZ892" s="567"/>
      <c r="CA892" s="567"/>
      <c r="CB892" s="567"/>
      <c r="CC892" s="567"/>
      <c r="CD892" s="567"/>
      <c r="CE892" s="567"/>
      <c r="CF892" s="567"/>
      <c r="CG892" s="567"/>
      <c r="CH892" s="567"/>
      <c r="CI892" s="567"/>
      <c r="CJ892" s="567"/>
      <c r="CK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  <c r="BW893" s="567"/>
      <c r="BX893" s="567"/>
      <c r="BY893" s="567"/>
      <c r="BZ893" s="567"/>
      <c r="CA893" s="567"/>
      <c r="CB893" s="567"/>
      <c r="CC893" s="567"/>
      <c r="CD893" s="567"/>
      <c r="CE893" s="567"/>
      <c r="CF893" s="567"/>
      <c r="CG893" s="567"/>
      <c r="CH893" s="567"/>
      <c r="CI893" s="567"/>
      <c r="CJ893" s="567"/>
      <c r="CK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  <c r="BW894" s="567"/>
      <c r="BX894" s="567"/>
      <c r="BY894" s="567"/>
      <c r="BZ894" s="567"/>
      <c r="CA894" s="567"/>
      <c r="CB894" s="567"/>
      <c r="CC894" s="567"/>
      <c r="CD894" s="567"/>
      <c r="CE894" s="567"/>
      <c r="CF894" s="567"/>
      <c r="CG894" s="567"/>
      <c r="CH894" s="567"/>
      <c r="CI894" s="567"/>
      <c r="CJ894" s="567"/>
      <c r="CK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  <c r="BW895" s="567"/>
      <c r="BX895" s="567"/>
      <c r="BY895" s="567"/>
      <c r="BZ895" s="567"/>
      <c r="CA895" s="567"/>
      <c r="CB895" s="567"/>
      <c r="CC895" s="567"/>
      <c r="CD895" s="567"/>
      <c r="CE895" s="567"/>
      <c r="CF895" s="567"/>
      <c r="CG895" s="567"/>
      <c r="CH895" s="567"/>
      <c r="CI895" s="567"/>
      <c r="CJ895" s="567"/>
      <c r="CK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  <c r="BW896" s="567"/>
      <c r="BX896" s="567"/>
      <c r="BY896" s="567"/>
      <c r="BZ896" s="567"/>
      <c r="CA896" s="567"/>
      <c r="CB896" s="567"/>
      <c r="CC896" s="567"/>
      <c r="CD896" s="567"/>
      <c r="CE896" s="567"/>
      <c r="CF896" s="567"/>
      <c r="CG896" s="567"/>
      <c r="CH896" s="567"/>
      <c r="CI896" s="567"/>
      <c r="CJ896" s="567"/>
      <c r="CK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  <c r="BW897" s="567"/>
      <c r="BX897" s="567"/>
      <c r="BY897" s="567"/>
      <c r="BZ897" s="567"/>
      <c r="CA897" s="567"/>
      <c r="CB897" s="567"/>
      <c r="CC897" s="567"/>
      <c r="CD897" s="567"/>
      <c r="CE897" s="567"/>
      <c r="CF897" s="567"/>
      <c r="CG897" s="567"/>
      <c r="CH897" s="567"/>
      <c r="CI897" s="567"/>
      <c r="CJ897" s="567"/>
      <c r="CK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  <c r="BW898" s="567"/>
      <c r="BX898" s="567"/>
      <c r="BY898" s="567"/>
      <c r="BZ898" s="567"/>
      <c r="CA898" s="567"/>
      <c r="CB898" s="567"/>
      <c r="CC898" s="567"/>
      <c r="CD898" s="567"/>
      <c r="CE898" s="567"/>
      <c r="CF898" s="567"/>
      <c r="CG898" s="567"/>
      <c r="CH898" s="567"/>
      <c r="CI898" s="567"/>
      <c r="CJ898" s="567"/>
      <c r="CK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  <c r="BW899" s="567"/>
      <c r="BX899" s="567"/>
      <c r="BY899" s="567"/>
      <c r="BZ899" s="567"/>
      <c r="CA899" s="567"/>
      <c r="CB899" s="567"/>
      <c r="CC899" s="567"/>
      <c r="CD899" s="567"/>
      <c r="CE899" s="567"/>
      <c r="CF899" s="567"/>
      <c r="CG899" s="567"/>
      <c r="CH899" s="567"/>
      <c r="CI899" s="567"/>
      <c r="CJ899" s="567"/>
      <c r="CK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  <c r="BW900" s="567"/>
      <c r="BX900" s="567"/>
      <c r="BY900" s="567"/>
      <c r="BZ900" s="567"/>
      <c r="CA900" s="567"/>
      <c r="CB900" s="567"/>
      <c r="CC900" s="567"/>
      <c r="CD900" s="567"/>
      <c r="CE900" s="567"/>
      <c r="CF900" s="567"/>
      <c r="CG900" s="567"/>
      <c r="CH900" s="567"/>
      <c r="CI900" s="567"/>
      <c r="CJ900" s="567"/>
      <c r="CK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  <c r="BW901" s="567"/>
      <c r="BX901" s="567"/>
      <c r="BY901" s="567"/>
      <c r="BZ901" s="567"/>
      <c r="CA901" s="567"/>
      <c r="CB901" s="567"/>
      <c r="CC901" s="567"/>
      <c r="CD901" s="567"/>
      <c r="CE901" s="567"/>
      <c r="CF901" s="567"/>
      <c r="CG901" s="567"/>
      <c r="CH901" s="567"/>
      <c r="CI901" s="567"/>
      <c r="CJ901" s="567"/>
      <c r="CK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  <c r="BW902" s="567"/>
      <c r="BX902" s="567"/>
      <c r="BY902" s="567"/>
      <c r="BZ902" s="567"/>
      <c r="CA902" s="567"/>
      <c r="CB902" s="567"/>
      <c r="CC902" s="567"/>
      <c r="CD902" s="567"/>
      <c r="CE902" s="567"/>
      <c r="CF902" s="567"/>
      <c r="CG902" s="567"/>
      <c r="CH902" s="567"/>
      <c r="CI902" s="567"/>
      <c r="CJ902" s="567"/>
      <c r="CK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  <c r="BW903" s="567"/>
      <c r="BX903" s="567"/>
      <c r="BY903" s="567"/>
      <c r="BZ903" s="567"/>
      <c r="CA903" s="567"/>
      <c r="CB903" s="567"/>
      <c r="CC903" s="567"/>
      <c r="CD903" s="567"/>
      <c r="CE903" s="567"/>
      <c r="CF903" s="567"/>
      <c r="CG903" s="567"/>
      <c r="CH903" s="567"/>
      <c r="CI903" s="567"/>
      <c r="CJ903" s="567"/>
      <c r="CK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  <c r="BW904" s="567"/>
      <c r="BX904" s="567"/>
      <c r="BY904" s="567"/>
      <c r="BZ904" s="567"/>
      <c r="CA904" s="567"/>
      <c r="CB904" s="567"/>
      <c r="CC904" s="567"/>
      <c r="CD904" s="567"/>
      <c r="CE904" s="567"/>
      <c r="CF904" s="567"/>
      <c r="CG904" s="567"/>
      <c r="CH904" s="567"/>
      <c r="CI904" s="567"/>
      <c r="CJ904" s="567"/>
      <c r="CK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  <c r="BW905" s="567"/>
      <c r="BX905" s="567"/>
      <c r="BY905" s="567"/>
      <c r="BZ905" s="567"/>
      <c r="CA905" s="567"/>
      <c r="CB905" s="567"/>
      <c r="CC905" s="567"/>
      <c r="CD905" s="567"/>
      <c r="CE905" s="567"/>
      <c r="CF905" s="567"/>
      <c r="CG905" s="567"/>
      <c r="CH905" s="567"/>
      <c r="CI905" s="567"/>
      <c r="CJ905" s="567"/>
      <c r="CK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  <c r="BW906" s="567"/>
      <c r="BX906" s="567"/>
      <c r="BY906" s="567"/>
      <c r="BZ906" s="567"/>
      <c r="CA906" s="567"/>
      <c r="CB906" s="567"/>
      <c r="CC906" s="567"/>
      <c r="CD906" s="567"/>
      <c r="CE906" s="567"/>
      <c r="CF906" s="567"/>
      <c r="CG906" s="567"/>
      <c r="CH906" s="567"/>
      <c r="CI906" s="567"/>
      <c r="CJ906" s="567"/>
      <c r="CK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  <c r="BW907" s="567"/>
      <c r="BX907" s="567"/>
      <c r="BY907" s="567"/>
      <c r="BZ907" s="567"/>
      <c r="CA907" s="567"/>
      <c r="CB907" s="567"/>
      <c r="CC907" s="567"/>
      <c r="CD907" s="567"/>
      <c r="CE907" s="567"/>
      <c r="CF907" s="567"/>
      <c r="CG907" s="567"/>
      <c r="CH907" s="567"/>
      <c r="CI907" s="567"/>
      <c r="CJ907" s="567"/>
      <c r="CK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  <c r="BW908" s="567"/>
      <c r="BX908" s="567"/>
      <c r="BY908" s="567"/>
      <c r="BZ908" s="567"/>
      <c r="CA908" s="567"/>
      <c r="CB908" s="567"/>
      <c r="CC908" s="567"/>
      <c r="CD908" s="567"/>
      <c r="CE908" s="567"/>
      <c r="CF908" s="567"/>
      <c r="CG908" s="567"/>
      <c r="CH908" s="567"/>
      <c r="CI908" s="567"/>
      <c r="CJ908" s="567"/>
      <c r="CK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  <c r="BW909" s="567"/>
      <c r="BX909" s="567"/>
      <c r="BY909" s="567"/>
      <c r="BZ909" s="567"/>
      <c r="CA909" s="567"/>
      <c r="CB909" s="567"/>
      <c r="CC909" s="567"/>
      <c r="CD909" s="567"/>
      <c r="CE909" s="567"/>
      <c r="CF909" s="567"/>
      <c r="CG909" s="567"/>
      <c r="CH909" s="567"/>
      <c r="CI909" s="567"/>
      <c r="CJ909" s="567"/>
      <c r="CK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  <c r="BW910" s="567"/>
      <c r="BX910" s="567"/>
      <c r="BY910" s="567"/>
      <c r="BZ910" s="567"/>
      <c r="CA910" s="567"/>
      <c r="CB910" s="567"/>
      <c r="CC910" s="567"/>
      <c r="CD910" s="567"/>
      <c r="CE910" s="567"/>
      <c r="CF910" s="567"/>
      <c r="CG910" s="567"/>
      <c r="CH910" s="567"/>
      <c r="CI910" s="567"/>
      <c r="CJ910" s="567"/>
      <c r="CK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  <c r="BW911" s="567"/>
      <c r="BX911" s="567"/>
      <c r="BY911" s="567"/>
      <c r="BZ911" s="567"/>
      <c r="CA911" s="567"/>
      <c r="CB911" s="567"/>
      <c r="CC911" s="567"/>
      <c r="CD911" s="567"/>
      <c r="CE911" s="567"/>
      <c r="CF911" s="567"/>
      <c r="CG911" s="567"/>
      <c r="CH911" s="567"/>
      <c r="CI911" s="567"/>
      <c r="CJ911" s="567"/>
      <c r="CK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  <c r="BW912" s="567"/>
      <c r="BX912" s="567"/>
      <c r="BY912" s="567"/>
      <c r="BZ912" s="567"/>
      <c r="CA912" s="567"/>
      <c r="CB912" s="567"/>
      <c r="CC912" s="567"/>
      <c r="CD912" s="567"/>
      <c r="CE912" s="567"/>
      <c r="CF912" s="567"/>
      <c r="CG912" s="567"/>
      <c r="CH912" s="567"/>
      <c r="CI912" s="567"/>
      <c r="CJ912" s="567"/>
      <c r="CK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  <c r="BW913" s="567"/>
      <c r="BX913" s="567"/>
      <c r="BY913" s="567"/>
      <c r="BZ913" s="567"/>
      <c r="CA913" s="567"/>
      <c r="CB913" s="567"/>
      <c r="CC913" s="567"/>
      <c r="CD913" s="567"/>
      <c r="CE913" s="567"/>
      <c r="CF913" s="567"/>
      <c r="CG913" s="567"/>
      <c r="CH913" s="567"/>
      <c r="CI913" s="567"/>
      <c r="CJ913" s="567"/>
      <c r="CK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  <c r="BW914" s="567"/>
      <c r="BX914" s="567"/>
      <c r="BY914" s="567"/>
      <c r="BZ914" s="567"/>
      <c r="CA914" s="567"/>
      <c r="CB914" s="567"/>
      <c r="CC914" s="567"/>
      <c r="CD914" s="567"/>
      <c r="CE914" s="567"/>
      <c r="CF914" s="567"/>
      <c r="CG914" s="567"/>
      <c r="CH914" s="567"/>
      <c r="CI914" s="567"/>
      <c r="CJ914" s="567"/>
      <c r="CK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  <c r="BW915" s="567"/>
      <c r="BX915" s="567"/>
      <c r="BY915" s="567"/>
      <c r="BZ915" s="567"/>
      <c r="CA915" s="567"/>
      <c r="CB915" s="567"/>
      <c r="CC915" s="567"/>
      <c r="CD915" s="567"/>
      <c r="CE915" s="567"/>
      <c r="CF915" s="567"/>
      <c r="CG915" s="567"/>
      <c r="CH915" s="567"/>
      <c r="CI915" s="567"/>
      <c r="CJ915" s="567"/>
      <c r="CK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  <c r="BW916" s="567"/>
      <c r="BX916" s="567"/>
      <c r="BY916" s="567"/>
      <c r="BZ916" s="567"/>
      <c r="CA916" s="567"/>
      <c r="CB916" s="567"/>
      <c r="CC916" s="567"/>
      <c r="CD916" s="567"/>
      <c r="CE916" s="567"/>
      <c r="CF916" s="567"/>
      <c r="CG916" s="567"/>
      <c r="CH916" s="567"/>
      <c r="CI916" s="567"/>
      <c r="CJ916" s="567"/>
      <c r="CK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  <c r="BW917" s="567"/>
      <c r="BX917" s="567"/>
      <c r="BY917" s="567"/>
      <c r="BZ917" s="567"/>
      <c r="CA917" s="567"/>
      <c r="CB917" s="567"/>
      <c r="CC917" s="567"/>
      <c r="CD917" s="567"/>
      <c r="CE917" s="567"/>
      <c r="CF917" s="567"/>
      <c r="CG917" s="567"/>
      <c r="CH917" s="567"/>
      <c r="CI917" s="567"/>
      <c r="CJ917" s="567"/>
      <c r="CK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  <c r="BW918" s="567"/>
      <c r="BX918" s="567"/>
      <c r="BY918" s="567"/>
      <c r="BZ918" s="567"/>
      <c r="CA918" s="567"/>
      <c r="CB918" s="567"/>
      <c r="CC918" s="567"/>
      <c r="CD918" s="567"/>
      <c r="CE918" s="567"/>
      <c r="CF918" s="567"/>
      <c r="CG918" s="567"/>
      <c r="CH918" s="567"/>
      <c r="CI918" s="567"/>
      <c r="CJ918" s="567"/>
      <c r="CK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  <c r="BW919" s="567"/>
      <c r="BX919" s="567"/>
      <c r="BY919" s="567"/>
      <c r="BZ919" s="567"/>
      <c r="CA919" s="567"/>
      <c r="CB919" s="567"/>
      <c r="CC919" s="567"/>
      <c r="CD919" s="567"/>
      <c r="CE919" s="567"/>
      <c r="CF919" s="567"/>
      <c r="CG919" s="567"/>
      <c r="CH919" s="567"/>
      <c r="CI919" s="567"/>
      <c r="CJ919" s="567"/>
      <c r="CK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  <c r="BW920" s="567"/>
      <c r="BX920" s="567"/>
      <c r="BY920" s="567"/>
      <c r="BZ920" s="567"/>
      <c r="CA920" s="567"/>
      <c r="CB920" s="567"/>
      <c r="CC920" s="567"/>
      <c r="CD920" s="567"/>
      <c r="CE920" s="567"/>
      <c r="CF920" s="567"/>
      <c r="CG920" s="567"/>
      <c r="CH920" s="567"/>
      <c r="CI920" s="567"/>
      <c r="CJ920" s="567"/>
      <c r="CK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  <c r="BW921" s="567"/>
      <c r="BX921" s="567"/>
      <c r="BY921" s="567"/>
      <c r="BZ921" s="567"/>
      <c r="CA921" s="567"/>
      <c r="CB921" s="567"/>
      <c r="CC921" s="567"/>
      <c r="CD921" s="567"/>
      <c r="CE921" s="567"/>
      <c r="CF921" s="567"/>
      <c r="CG921" s="567"/>
      <c r="CH921" s="567"/>
      <c r="CI921" s="567"/>
      <c r="CJ921" s="567"/>
      <c r="CK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  <c r="BW922" s="567"/>
      <c r="BX922" s="567"/>
      <c r="BY922" s="567"/>
      <c r="BZ922" s="567"/>
      <c r="CA922" s="567"/>
      <c r="CB922" s="567"/>
      <c r="CC922" s="567"/>
      <c r="CD922" s="567"/>
      <c r="CE922" s="567"/>
      <c r="CF922" s="567"/>
      <c r="CG922" s="567"/>
      <c r="CH922" s="567"/>
      <c r="CI922" s="567"/>
      <c r="CJ922" s="567"/>
      <c r="CK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  <c r="BW923" s="567"/>
      <c r="BX923" s="567"/>
      <c r="BY923" s="567"/>
      <c r="BZ923" s="567"/>
      <c r="CA923" s="567"/>
      <c r="CB923" s="567"/>
      <c r="CC923" s="567"/>
      <c r="CD923" s="567"/>
      <c r="CE923" s="567"/>
      <c r="CF923" s="567"/>
      <c r="CG923" s="567"/>
      <c r="CH923" s="567"/>
      <c r="CI923" s="567"/>
      <c r="CJ923" s="567"/>
      <c r="CK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  <c r="BW924" s="567"/>
      <c r="BX924" s="567"/>
      <c r="BY924" s="567"/>
      <c r="BZ924" s="567"/>
      <c r="CA924" s="567"/>
      <c r="CB924" s="567"/>
      <c r="CC924" s="567"/>
      <c r="CD924" s="567"/>
      <c r="CE924" s="567"/>
      <c r="CF924" s="567"/>
      <c r="CG924" s="567"/>
      <c r="CH924" s="567"/>
      <c r="CI924" s="567"/>
      <c r="CJ924" s="567"/>
      <c r="CK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  <c r="BW925" s="567"/>
      <c r="BX925" s="567"/>
      <c r="BY925" s="567"/>
      <c r="BZ925" s="567"/>
      <c r="CA925" s="567"/>
      <c r="CB925" s="567"/>
      <c r="CC925" s="567"/>
      <c r="CD925" s="567"/>
      <c r="CE925" s="567"/>
      <c r="CF925" s="567"/>
      <c r="CG925" s="567"/>
      <c r="CH925" s="567"/>
      <c r="CI925" s="567"/>
      <c r="CJ925" s="567"/>
      <c r="CK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  <c r="BW926" s="567"/>
      <c r="BX926" s="567"/>
      <c r="BY926" s="567"/>
      <c r="BZ926" s="567"/>
      <c r="CA926" s="567"/>
      <c r="CB926" s="567"/>
      <c r="CC926" s="567"/>
      <c r="CD926" s="567"/>
      <c r="CE926" s="567"/>
      <c r="CF926" s="567"/>
      <c r="CG926" s="567"/>
      <c r="CH926" s="567"/>
      <c r="CI926" s="567"/>
      <c r="CJ926" s="567"/>
      <c r="CK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  <c r="BW927" s="567"/>
      <c r="BX927" s="567"/>
      <c r="BY927" s="567"/>
      <c r="BZ927" s="567"/>
      <c r="CA927" s="567"/>
      <c r="CB927" s="567"/>
      <c r="CC927" s="567"/>
      <c r="CD927" s="567"/>
      <c r="CE927" s="567"/>
      <c r="CF927" s="567"/>
      <c r="CG927" s="567"/>
      <c r="CH927" s="567"/>
      <c r="CI927" s="567"/>
      <c r="CJ927" s="567"/>
      <c r="CK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  <c r="BW928" s="567"/>
      <c r="BX928" s="567"/>
      <c r="BY928" s="567"/>
      <c r="BZ928" s="567"/>
      <c r="CA928" s="567"/>
      <c r="CB928" s="567"/>
      <c r="CC928" s="567"/>
      <c r="CD928" s="567"/>
      <c r="CE928" s="567"/>
      <c r="CF928" s="567"/>
      <c r="CG928" s="567"/>
      <c r="CH928" s="567"/>
      <c r="CI928" s="567"/>
      <c r="CJ928" s="567"/>
      <c r="CK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  <c r="BW929" s="567"/>
      <c r="BX929" s="567"/>
      <c r="BY929" s="567"/>
      <c r="BZ929" s="567"/>
      <c r="CA929" s="567"/>
      <c r="CB929" s="567"/>
      <c r="CC929" s="567"/>
      <c r="CD929" s="567"/>
      <c r="CE929" s="567"/>
      <c r="CF929" s="567"/>
      <c r="CG929" s="567"/>
      <c r="CH929" s="567"/>
      <c r="CI929" s="567"/>
      <c r="CJ929" s="567"/>
      <c r="CK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  <c r="BW930" s="567"/>
      <c r="BX930" s="567"/>
      <c r="BY930" s="567"/>
      <c r="BZ930" s="567"/>
      <c r="CA930" s="567"/>
      <c r="CB930" s="567"/>
      <c r="CC930" s="567"/>
      <c r="CD930" s="567"/>
      <c r="CE930" s="567"/>
      <c r="CF930" s="567"/>
      <c r="CG930" s="567"/>
      <c r="CH930" s="567"/>
      <c r="CI930" s="567"/>
      <c r="CJ930" s="567"/>
      <c r="CK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  <c r="BW931" s="567"/>
      <c r="BX931" s="567"/>
      <c r="BY931" s="567"/>
      <c r="BZ931" s="567"/>
      <c r="CA931" s="567"/>
      <c r="CB931" s="567"/>
      <c r="CC931" s="567"/>
      <c r="CD931" s="567"/>
      <c r="CE931" s="567"/>
      <c r="CF931" s="567"/>
      <c r="CG931" s="567"/>
      <c r="CH931" s="567"/>
      <c r="CI931" s="567"/>
      <c r="CJ931" s="567"/>
      <c r="CK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  <c r="BW932" s="567"/>
      <c r="BX932" s="567"/>
      <c r="BY932" s="567"/>
      <c r="BZ932" s="567"/>
      <c r="CA932" s="567"/>
      <c r="CB932" s="567"/>
      <c r="CC932" s="567"/>
      <c r="CD932" s="567"/>
      <c r="CE932" s="567"/>
      <c r="CF932" s="567"/>
      <c r="CG932" s="567"/>
      <c r="CH932" s="567"/>
      <c r="CI932" s="567"/>
      <c r="CJ932" s="567"/>
      <c r="CK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  <c r="BW933" s="567"/>
      <c r="BX933" s="567"/>
      <c r="BY933" s="567"/>
      <c r="BZ933" s="567"/>
      <c r="CA933" s="567"/>
      <c r="CB933" s="567"/>
      <c r="CC933" s="567"/>
      <c r="CD933" s="567"/>
      <c r="CE933" s="567"/>
      <c r="CF933" s="567"/>
      <c r="CG933" s="567"/>
      <c r="CH933" s="567"/>
      <c r="CI933" s="567"/>
      <c r="CJ933" s="567"/>
      <c r="CK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  <c r="BW934" s="567"/>
      <c r="BX934" s="567"/>
      <c r="BY934" s="567"/>
      <c r="BZ934" s="567"/>
      <c r="CA934" s="567"/>
      <c r="CB934" s="567"/>
      <c r="CC934" s="567"/>
      <c r="CD934" s="567"/>
      <c r="CE934" s="567"/>
      <c r="CF934" s="567"/>
      <c r="CG934" s="567"/>
      <c r="CH934" s="567"/>
      <c r="CI934" s="567"/>
      <c r="CJ934" s="567"/>
      <c r="CK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  <c r="BW935" s="567"/>
      <c r="BX935" s="567"/>
      <c r="BY935" s="567"/>
      <c r="BZ935" s="567"/>
      <c r="CA935" s="567"/>
      <c r="CB935" s="567"/>
      <c r="CC935" s="567"/>
      <c r="CD935" s="567"/>
      <c r="CE935" s="567"/>
      <c r="CF935" s="567"/>
      <c r="CG935" s="567"/>
      <c r="CH935" s="567"/>
      <c r="CI935" s="567"/>
      <c r="CJ935" s="567"/>
      <c r="CK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  <c r="BW936" s="567"/>
      <c r="BX936" s="567"/>
      <c r="BY936" s="567"/>
      <c r="BZ936" s="567"/>
      <c r="CA936" s="567"/>
      <c r="CB936" s="567"/>
      <c r="CC936" s="567"/>
      <c r="CD936" s="567"/>
      <c r="CE936" s="567"/>
      <c r="CF936" s="567"/>
      <c r="CG936" s="567"/>
      <c r="CH936" s="567"/>
      <c r="CI936" s="567"/>
      <c r="CJ936" s="567"/>
      <c r="CK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  <c r="BW937" s="567"/>
      <c r="BX937" s="567"/>
      <c r="BY937" s="567"/>
      <c r="BZ937" s="567"/>
      <c r="CA937" s="567"/>
      <c r="CB937" s="567"/>
      <c r="CC937" s="567"/>
      <c r="CD937" s="567"/>
      <c r="CE937" s="567"/>
      <c r="CF937" s="567"/>
      <c r="CG937" s="567"/>
      <c r="CH937" s="567"/>
      <c r="CI937" s="567"/>
      <c r="CJ937" s="567"/>
      <c r="CK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  <c r="BW938" s="567"/>
      <c r="BX938" s="567"/>
      <c r="BY938" s="567"/>
      <c r="BZ938" s="567"/>
      <c r="CA938" s="567"/>
      <c r="CB938" s="567"/>
      <c r="CC938" s="567"/>
      <c r="CD938" s="567"/>
      <c r="CE938" s="567"/>
      <c r="CF938" s="567"/>
      <c r="CG938" s="567"/>
      <c r="CH938" s="567"/>
      <c r="CI938" s="567"/>
      <c r="CJ938" s="567"/>
      <c r="CK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  <c r="BW939" s="567"/>
      <c r="BX939" s="567"/>
      <c r="BY939" s="567"/>
      <c r="BZ939" s="567"/>
      <c r="CA939" s="567"/>
      <c r="CB939" s="567"/>
      <c r="CC939" s="567"/>
      <c r="CD939" s="567"/>
      <c r="CE939" s="567"/>
      <c r="CF939" s="567"/>
      <c r="CG939" s="567"/>
      <c r="CH939" s="567"/>
      <c r="CI939" s="567"/>
      <c r="CJ939" s="567"/>
      <c r="CK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  <c r="BW940" s="567"/>
      <c r="BX940" s="567"/>
      <c r="BY940" s="567"/>
      <c r="BZ940" s="567"/>
      <c r="CA940" s="567"/>
      <c r="CB940" s="567"/>
      <c r="CC940" s="567"/>
      <c r="CD940" s="567"/>
      <c r="CE940" s="567"/>
      <c r="CF940" s="567"/>
      <c r="CG940" s="567"/>
      <c r="CH940" s="567"/>
      <c r="CI940" s="567"/>
      <c r="CJ940" s="567"/>
      <c r="CK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  <c r="BW941" s="567"/>
      <c r="BX941" s="567"/>
      <c r="BY941" s="567"/>
      <c r="BZ941" s="567"/>
      <c r="CA941" s="567"/>
      <c r="CB941" s="567"/>
      <c r="CC941" s="567"/>
      <c r="CD941" s="567"/>
      <c r="CE941" s="567"/>
      <c r="CF941" s="567"/>
      <c r="CG941" s="567"/>
      <c r="CH941" s="567"/>
      <c r="CI941" s="567"/>
      <c r="CJ941" s="567"/>
      <c r="CK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  <c r="BW942" s="567"/>
      <c r="BX942" s="567"/>
      <c r="BY942" s="567"/>
      <c r="BZ942" s="567"/>
      <c r="CA942" s="567"/>
      <c r="CB942" s="567"/>
      <c r="CC942" s="567"/>
      <c r="CD942" s="567"/>
      <c r="CE942" s="567"/>
      <c r="CF942" s="567"/>
      <c r="CG942" s="567"/>
      <c r="CH942" s="567"/>
      <c r="CI942" s="567"/>
      <c r="CJ942" s="567"/>
      <c r="CK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  <c r="BW943" s="567"/>
      <c r="BX943" s="567"/>
      <c r="BY943" s="567"/>
      <c r="BZ943" s="567"/>
      <c r="CA943" s="567"/>
      <c r="CB943" s="567"/>
      <c r="CC943" s="567"/>
      <c r="CD943" s="567"/>
      <c r="CE943" s="567"/>
      <c r="CF943" s="567"/>
      <c r="CG943" s="567"/>
      <c r="CH943" s="567"/>
      <c r="CI943" s="567"/>
      <c r="CJ943" s="567"/>
      <c r="CK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  <c r="BW944" s="567"/>
      <c r="BX944" s="567"/>
      <c r="BY944" s="567"/>
      <c r="BZ944" s="567"/>
      <c r="CA944" s="567"/>
      <c r="CB944" s="567"/>
      <c r="CC944" s="567"/>
      <c r="CD944" s="567"/>
      <c r="CE944" s="567"/>
      <c r="CF944" s="567"/>
      <c r="CG944" s="567"/>
      <c r="CH944" s="567"/>
      <c r="CI944" s="567"/>
      <c r="CJ944" s="567"/>
      <c r="CK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  <c r="BW945" s="567"/>
      <c r="BX945" s="567"/>
      <c r="BY945" s="567"/>
      <c r="BZ945" s="567"/>
      <c r="CA945" s="567"/>
      <c r="CB945" s="567"/>
      <c r="CC945" s="567"/>
      <c r="CD945" s="567"/>
      <c r="CE945" s="567"/>
      <c r="CF945" s="567"/>
      <c r="CG945" s="567"/>
      <c r="CH945" s="567"/>
      <c r="CI945" s="567"/>
      <c r="CJ945" s="567"/>
      <c r="CK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  <c r="BW946" s="567"/>
      <c r="BX946" s="567"/>
      <c r="BY946" s="567"/>
      <c r="BZ946" s="567"/>
      <c r="CA946" s="567"/>
      <c r="CB946" s="567"/>
      <c r="CC946" s="567"/>
      <c r="CD946" s="567"/>
      <c r="CE946" s="567"/>
      <c r="CF946" s="567"/>
      <c r="CG946" s="567"/>
      <c r="CH946" s="567"/>
      <c r="CI946" s="567"/>
      <c r="CJ946" s="567"/>
      <c r="CK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  <c r="BW947" s="567"/>
      <c r="BX947" s="567"/>
      <c r="BY947" s="567"/>
      <c r="BZ947" s="567"/>
      <c r="CA947" s="567"/>
      <c r="CB947" s="567"/>
      <c r="CC947" s="567"/>
      <c r="CD947" s="567"/>
      <c r="CE947" s="567"/>
      <c r="CF947" s="567"/>
      <c r="CG947" s="567"/>
      <c r="CH947" s="567"/>
      <c r="CI947" s="567"/>
      <c r="CJ947" s="567"/>
      <c r="CK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  <c r="BW948" s="567"/>
      <c r="BX948" s="567"/>
      <c r="BY948" s="567"/>
      <c r="BZ948" s="567"/>
      <c r="CA948" s="567"/>
      <c r="CB948" s="567"/>
      <c r="CC948" s="567"/>
      <c r="CD948" s="567"/>
      <c r="CE948" s="567"/>
      <c r="CF948" s="567"/>
      <c r="CG948" s="567"/>
      <c r="CH948" s="567"/>
      <c r="CI948" s="567"/>
      <c r="CJ948" s="567"/>
      <c r="CK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  <c r="BW949" s="567"/>
      <c r="BX949" s="567"/>
      <c r="BY949" s="567"/>
      <c r="BZ949" s="567"/>
      <c r="CA949" s="567"/>
      <c r="CB949" s="567"/>
      <c r="CC949" s="567"/>
      <c r="CD949" s="567"/>
      <c r="CE949" s="567"/>
      <c r="CF949" s="567"/>
      <c r="CG949" s="567"/>
      <c r="CH949" s="567"/>
      <c r="CI949" s="567"/>
      <c r="CJ949" s="567"/>
      <c r="CK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  <c r="BW950" s="567"/>
      <c r="BX950" s="567"/>
      <c r="BY950" s="567"/>
      <c r="BZ950" s="567"/>
      <c r="CA950" s="567"/>
      <c r="CB950" s="567"/>
      <c r="CC950" s="567"/>
      <c r="CD950" s="567"/>
      <c r="CE950" s="567"/>
      <c r="CF950" s="567"/>
      <c r="CG950" s="567"/>
      <c r="CH950" s="567"/>
      <c r="CI950" s="567"/>
      <c r="CJ950" s="567"/>
      <c r="CK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  <c r="BW951" s="567"/>
      <c r="BX951" s="567"/>
      <c r="BY951" s="567"/>
      <c r="BZ951" s="567"/>
      <c r="CA951" s="567"/>
      <c r="CB951" s="567"/>
      <c r="CC951" s="567"/>
      <c r="CD951" s="567"/>
      <c r="CE951" s="567"/>
      <c r="CF951" s="567"/>
      <c r="CG951" s="567"/>
      <c r="CH951" s="567"/>
      <c r="CI951" s="567"/>
      <c r="CJ951" s="567"/>
      <c r="CK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  <c r="BW952" s="567"/>
      <c r="BX952" s="567"/>
      <c r="BY952" s="567"/>
      <c r="BZ952" s="567"/>
      <c r="CA952" s="567"/>
      <c r="CB952" s="567"/>
      <c r="CC952" s="567"/>
      <c r="CD952" s="567"/>
      <c r="CE952" s="567"/>
      <c r="CF952" s="567"/>
      <c r="CG952" s="567"/>
      <c r="CH952" s="567"/>
      <c r="CI952" s="567"/>
      <c r="CJ952" s="567"/>
      <c r="CK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  <c r="BW953" s="567"/>
      <c r="BX953" s="567"/>
      <c r="BY953" s="567"/>
      <c r="BZ953" s="567"/>
      <c r="CA953" s="567"/>
      <c r="CB953" s="567"/>
      <c r="CC953" s="567"/>
      <c r="CD953" s="567"/>
      <c r="CE953" s="567"/>
      <c r="CF953" s="567"/>
      <c r="CG953" s="567"/>
      <c r="CH953" s="567"/>
      <c r="CI953" s="567"/>
      <c r="CJ953" s="567"/>
      <c r="CK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  <c r="BW954" s="567"/>
      <c r="BX954" s="567"/>
      <c r="BY954" s="567"/>
      <c r="BZ954" s="567"/>
      <c r="CA954" s="567"/>
      <c r="CB954" s="567"/>
      <c r="CC954" s="567"/>
      <c r="CD954" s="567"/>
      <c r="CE954" s="567"/>
      <c r="CF954" s="567"/>
      <c r="CG954" s="567"/>
      <c r="CH954" s="567"/>
      <c r="CI954" s="567"/>
      <c r="CJ954" s="567"/>
      <c r="CK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  <c r="BW955" s="567"/>
      <c r="BX955" s="567"/>
      <c r="BY955" s="567"/>
      <c r="BZ955" s="567"/>
      <c r="CA955" s="567"/>
      <c r="CB955" s="567"/>
      <c r="CC955" s="567"/>
      <c r="CD955" s="567"/>
      <c r="CE955" s="567"/>
      <c r="CF955" s="567"/>
      <c r="CG955" s="567"/>
      <c r="CH955" s="567"/>
      <c r="CI955" s="567"/>
      <c r="CJ955" s="567"/>
      <c r="CK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  <c r="BW956" s="567"/>
      <c r="BX956" s="567"/>
      <c r="BY956" s="567"/>
      <c r="BZ956" s="567"/>
      <c r="CA956" s="567"/>
      <c r="CB956" s="567"/>
      <c r="CC956" s="567"/>
      <c r="CD956" s="567"/>
      <c r="CE956" s="567"/>
      <c r="CF956" s="567"/>
      <c r="CG956" s="567"/>
      <c r="CH956" s="567"/>
      <c r="CI956" s="567"/>
      <c r="CJ956" s="567"/>
      <c r="CK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  <c r="BW957" s="567"/>
      <c r="BX957" s="567"/>
      <c r="BY957" s="567"/>
      <c r="BZ957" s="567"/>
      <c r="CA957" s="567"/>
      <c r="CB957" s="567"/>
      <c r="CC957" s="567"/>
      <c r="CD957" s="567"/>
      <c r="CE957" s="567"/>
      <c r="CF957" s="567"/>
      <c r="CG957" s="567"/>
      <c r="CH957" s="567"/>
      <c r="CI957" s="567"/>
      <c r="CJ957" s="567"/>
      <c r="CK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  <c r="BW958" s="567"/>
      <c r="BX958" s="567"/>
      <c r="BY958" s="567"/>
      <c r="BZ958" s="567"/>
      <c r="CA958" s="567"/>
      <c r="CB958" s="567"/>
      <c r="CC958" s="567"/>
      <c r="CD958" s="567"/>
      <c r="CE958" s="567"/>
      <c r="CF958" s="567"/>
      <c r="CG958" s="567"/>
      <c r="CH958" s="567"/>
      <c r="CI958" s="567"/>
      <c r="CJ958" s="567"/>
      <c r="CK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  <c r="BW959" s="567"/>
      <c r="BX959" s="567"/>
      <c r="BY959" s="567"/>
      <c r="BZ959" s="567"/>
      <c r="CA959" s="567"/>
      <c r="CB959" s="567"/>
      <c r="CC959" s="567"/>
      <c r="CD959" s="567"/>
      <c r="CE959" s="567"/>
      <c r="CF959" s="567"/>
      <c r="CG959" s="567"/>
      <c r="CH959" s="567"/>
      <c r="CI959" s="567"/>
      <c r="CJ959" s="567"/>
      <c r="CK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  <c r="BW960" s="567"/>
      <c r="BX960" s="567"/>
      <c r="BY960" s="567"/>
      <c r="BZ960" s="567"/>
      <c r="CA960" s="567"/>
      <c r="CB960" s="567"/>
      <c r="CC960" s="567"/>
      <c r="CD960" s="567"/>
      <c r="CE960" s="567"/>
      <c r="CF960" s="567"/>
      <c r="CG960" s="567"/>
      <c r="CH960" s="567"/>
      <c r="CI960" s="567"/>
      <c r="CJ960" s="567"/>
      <c r="CK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  <c r="BW961" s="567"/>
      <c r="BX961" s="567"/>
      <c r="BY961" s="567"/>
      <c r="BZ961" s="567"/>
      <c r="CA961" s="567"/>
      <c r="CB961" s="567"/>
      <c r="CC961" s="567"/>
      <c r="CD961" s="567"/>
      <c r="CE961" s="567"/>
      <c r="CF961" s="567"/>
      <c r="CG961" s="567"/>
      <c r="CH961" s="567"/>
      <c r="CI961" s="567"/>
      <c r="CJ961" s="567"/>
      <c r="CK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  <c r="BW962" s="567"/>
      <c r="BX962" s="567"/>
      <c r="BY962" s="567"/>
      <c r="BZ962" s="567"/>
      <c r="CA962" s="567"/>
      <c r="CB962" s="567"/>
      <c r="CC962" s="567"/>
      <c r="CD962" s="567"/>
      <c r="CE962" s="567"/>
      <c r="CF962" s="567"/>
      <c r="CG962" s="567"/>
      <c r="CH962" s="567"/>
      <c r="CI962" s="567"/>
      <c r="CJ962" s="567"/>
      <c r="CK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  <c r="BW963" s="567"/>
      <c r="BX963" s="567"/>
      <c r="BY963" s="567"/>
      <c r="BZ963" s="567"/>
      <c r="CA963" s="567"/>
      <c r="CB963" s="567"/>
      <c r="CC963" s="567"/>
      <c r="CD963" s="567"/>
      <c r="CE963" s="567"/>
      <c r="CF963" s="567"/>
      <c r="CG963" s="567"/>
      <c r="CH963" s="567"/>
      <c r="CI963" s="567"/>
      <c r="CJ963" s="567"/>
      <c r="CK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  <c r="BW964" s="567"/>
      <c r="BX964" s="567"/>
      <c r="BY964" s="567"/>
      <c r="BZ964" s="567"/>
      <c r="CA964" s="567"/>
      <c r="CB964" s="567"/>
      <c r="CC964" s="567"/>
      <c r="CD964" s="567"/>
      <c r="CE964" s="567"/>
      <c r="CF964" s="567"/>
      <c r="CG964" s="567"/>
      <c r="CH964" s="567"/>
      <c r="CI964" s="567"/>
      <c r="CJ964" s="567"/>
      <c r="CK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  <c r="BW965" s="567"/>
      <c r="BX965" s="567"/>
      <c r="BY965" s="567"/>
      <c r="BZ965" s="567"/>
      <c r="CA965" s="567"/>
      <c r="CB965" s="567"/>
      <c r="CC965" s="567"/>
      <c r="CD965" s="567"/>
      <c r="CE965" s="567"/>
      <c r="CF965" s="567"/>
      <c r="CG965" s="567"/>
      <c r="CH965" s="567"/>
      <c r="CI965" s="567"/>
      <c r="CJ965" s="567"/>
      <c r="CK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  <c r="BW966" s="567"/>
      <c r="BX966" s="567"/>
      <c r="BY966" s="567"/>
      <c r="BZ966" s="567"/>
      <c r="CA966" s="567"/>
      <c r="CB966" s="567"/>
      <c r="CC966" s="567"/>
      <c r="CD966" s="567"/>
      <c r="CE966" s="567"/>
      <c r="CF966" s="567"/>
      <c r="CG966" s="567"/>
      <c r="CH966" s="567"/>
      <c r="CI966" s="567"/>
      <c r="CJ966" s="567"/>
      <c r="CK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  <c r="BW967" s="567"/>
      <c r="BX967" s="567"/>
      <c r="BY967" s="567"/>
      <c r="BZ967" s="567"/>
      <c r="CA967" s="567"/>
      <c r="CB967" s="567"/>
      <c r="CC967" s="567"/>
      <c r="CD967" s="567"/>
      <c r="CE967" s="567"/>
      <c r="CF967" s="567"/>
      <c r="CG967" s="567"/>
      <c r="CH967" s="567"/>
      <c r="CI967" s="567"/>
      <c r="CJ967" s="567"/>
      <c r="CK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  <c r="BW968" s="567"/>
      <c r="BX968" s="567"/>
      <c r="BY968" s="567"/>
      <c r="BZ968" s="567"/>
      <c r="CA968" s="567"/>
      <c r="CB968" s="567"/>
      <c r="CC968" s="567"/>
      <c r="CD968" s="567"/>
      <c r="CE968" s="567"/>
      <c r="CF968" s="567"/>
      <c r="CG968" s="567"/>
      <c r="CH968" s="567"/>
      <c r="CI968" s="567"/>
      <c r="CJ968" s="567"/>
      <c r="CK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  <c r="BW969" s="567"/>
      <c r="BX969" s="567"/>
      <c r="BY969" s="567"/>
      <c r="BZ969" s="567"/>
      <c r="CA969" s="567"/>
      <c r="CB969" s="567"/>
      <c r="CC969" s="567"/>
      <c r="CD969" s="567"/>
      <c r="CE969" s="567"/>
      <c r="CF969" s="567"/>
      <c r="CG969" s="567"/>
      <c r="CH969" s="567"/>
      <c r="CI969" s="567"/>
      <c r="CJ969" s="567"/>
      <c r="CK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  <c r="BW970" s="567"/>
      <c r="BX970" s="567"/>
      <c r="BY970" s="567"/>
      <c r="BZ970" s="567"/>
      <c r="CA970" s="567"/>
      <c r="CB970" s="567"/>
      <c r="CC970" s="567"/>
      <c r="CD970" s="567"/>
      <c r="CE970" s="567"/>
      <c r="CF970" s="567"/>
      <c r="CG970" s="567"/>
      <c r="CH970" s="567"/>
      <c r="CI970" s="567"/>
      <c r="CJ970" s="567"/>
      <c r="CK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  <c r="BW971" s="567"/>
      <c r="BX971" s="567"/>
      <c r="BY971" s="567"/>
      <c r="BZ971" s="567"/>
      <c r="CA971" s="567"/>
      <c r="CB971" s="567"/>
      <c r="CC971" s="567"/>
      <c r="CD971" s="567"/>
      <c r="CE971" s="567"/>
      <c r="CF971" s="567"/>
      <c r="CG971" s="567"/>
      <c r="CH971" s="567"/>
      <c r="CI971" s="567"/>
      <c r="CJ971" s="567"/>
      <c r="CK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  <c r="BW972" s="567"/>
      <c r="BX972" s="567"/>
      <c r="BY972" s="567"/>
      <c r="BZ972" s="567"/>
      <c r="CA972" s="567"/>
      <c r="CB972" s="567"/>
      <c r="CC972" s="567"/>
      <c r="CD972" s="567"/>
      <c r="CE972" s="567"/>
      <c r="CF972" s="567"/>
      <c r="CG972" s="567"/>
      <c r="CH972" s="567"/>
      <c r="CI972" s="567"/>
      <c r="CJ972" s="567"/>
      <c r="CK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  <c r="BW973" s="567"/>
      <c r="BX973" s="567"/>
      <c r="BY973" s="567"/>
      <c r="BZ973" s="567"/>
      <c r="CA973" s="567"/>
      <c r="CB973" s="567"/>
      <c r="CC973" s="567"/>
      <c r="CD973" s="567"/>
      <c r="CE973" s="567"/>
      <c r="CF973" s="567"/>
      <c r="CG973" s="567"/>
      <c r="CH973" s="567"/>
      <c r="CI973" s="567"/>
      <c r="CJ973" s="567"/>
      <c r="CK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  <c r="BW974" s="567"/>
      <c r="BX974" s="567"/>
      <c r="BY974" s="567"/>
      <c r="BZ974" s="567"/>
      <c r="CA974" s="567"/>
      <c r="CB974" s="567"/>
      <c r="CC974" s="567"/>
      <c r="CD974" s="567"/>
      <c r="CE974" s="567"/>
      <c r="CF974" s="567"/>
      <c r="CG974" s="567"/>
      <c r="CH974" s="567"/>
      <c r="CI974" s="567"/>
      <c r="CJ974" s="567"/>
      <c r="CK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  <c r="BW975" s="567"/>
      <c r="BX975" s="567"/>
      <c r="BY975" s="567"/>
      <c r="BZ975" s="567"/>
      <c r="CA975" s="567"/>
      <c r="CB975" s="567"/>
      <c r="CC975" s="567"/>
      <c r="CD975" s="567"/>
      <c r="CE975" s="567"/>
      <c r="CF975" s="567"/>
      <c r="CG975" s="567"/>
      <c r="CH975" s="567"/>
      <c r="CI975" s="567"/>
      <c r="CJ975" s="567"/>
      <c r="CK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  <c r="BW976" s="567"/>
      <c r="BX976" s="567"/>
      <c r="BY976" s="567"/>
      <c r="BZ976" s="567"/>
      <c r="CA976" s="567"/>
      <c r="CB976" s="567"/>
      <c r="CC976" s="567"/>
      <c r="CD976" s="567"/>
      <c r="CE976" s="567"/>
      <c r="CF976" s="567"/>
      <c r="CG976" s="567"/>
      <c r="CH976" s="567"/>
      <c r="CI976" s="567"/>
      <c r="CJ976" s="567"/>
      <c r="CK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  <c r="BW977" s="567"/>
      <c r="BX977" s="567"/>
      <c r="BY977" s="567"/>
      <c r="BZ977" s="567"/>
      <c r="CA977" s="567"/>
      <c r="CB977" s="567"/>
      <c r="CC977" s="567"/>
      <c r="CD977" s="567"/>
      <c r="CE977" s="567"/>
      <c r="CF977" s="567"/>
      <c r="CG977" s="567"/>
      <c r="CH977" s="567"/>
      <c r="CI977" s="567"/>
      <c r="CJ977" s="567"/>
      <c r="CK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  <c r="BW978" s="567"/>
      <c r="BX978" s="567"/>
      <c r="BY978" s="567"/>
      <c r="BZ978" s="567"/>
      <c r="CA978" s="567"/>
      <c r="CB978" s="567"/>
      <c r="CC978" s="567"/>
      <c r="CD978" s="567"/>
      <c r="CE978" s="567"/>
      <c r="CF978" s="567"/>
      <c r="CG978" s="567"/>
      <c r="CH978" s="567"/>
      <c r="CI978" s="567"/>
      <c r="CJ978" s="567"/>
      <c r="CK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  <c r="BW979" s="567"/>
      <c r="BX979" s="567"/>
      <c r="BY979" s="567"/>
      <c r="BZ979" s="567"/>
      <c r="CA979" s="567"/>
      <c r="CB979" s="567"/>
      <c r="CC979" s="567"/>
      <c r="CD979" s="567"/>
      <c r="CE979" s="567"/>
      <c r="CF979" s="567"/>
      <c r="CG979" s="567"/>
      <c r="CH979" s="567"/>
      <c r="CI979" s="567"/>
      <c r="CJ979" s="567"/>
      <c r="CK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  <c r="BW980" s="567"/>
      <c r="BX980" s="567"/>
      <c r="BY980" s="567"/>
      <c r="BZ980" s="567"/>
      <c r="CA980" s="567"/>
      <c r="CB980" s="567"/>
      <c r="CC980" s="567"/>
      <c r="CD980" s="567"/>
      <c r="CE980" s="567"/>
      <c r="CF980" s="567"/>
      <c r="CG980" s="567"/>
      <c r="CH980" s="567"/>
      <c r="CI980" s="567"/>
      <c r="CJ980" s="567"/>
      <c r="CK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  <c r="BW981" s="567"/>
      <c r="BX981" s="567"/>
      <c r="BY981" s="567"/>
      <c r="BZ981" s="567"/>
      <c r="CA981" s="567"/>
      <c r="CB981" s="567"/>
      <c r="CC981" s="567"/>
      <c r="CD981" s="567"/>
      <c r="CE981" s="567"/>
      <c r="CF981" s="567"/>
      <c r="CG981" s="567"/>
      <c r="CH981" s="567"/>
      <c r="CI981" s="567"/>
      <c r="CJ981" s="567"/>
      <c r="CK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  <c r="BW982" s="567"/>
      <c r="BX982" s="567"/>
      <c r="BY982" s="567"/>
      <c r="BZ982" s="567"/>
      <c r="CA982" s="567"/>
      <c r="CB982" s="567"/>
      <c r="CC982" s="567"/>
      <c r="CD982" s="567"/>
      <c r="CE982" s="567"/>
      <c r="CF982" s="567"/>
      <c r="CG982" s="567"/>
      <c r="CH982" s="567"/>
      <c r="CI982" s="567"/>
      <c r="CJ982" s="567"/>
      <c r="CK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  <c r="BW983" s="567"/>
      <c r="BX983" s="567"/>
      <c r="BY983" s="567"/>
      <c r="BZ983" s="567"/>
      <c r="CA983" s="567"/>
      <c r="CB983" s="567"/>
      <c r="CC983" s="567"/>
      <c r="CD983" s="567"/>
      <c r="CE983" s="567"/>
      <c r="CF983" s="567"/>
      <c r="CG983" s="567"/>
      <c r="CH983" s="567"/>
      <c r="CI983" s="567"/>
      <c r="CJ983" s="567"/>
      <c r="CK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  <c r="BW984" s="567"/>
      <c r="BX984" s="567"/>
      <c r="BY984" s="567"/>
      <c r="BZ984" s="567"/>
      <c r="CA984" s="567"/>
      <c r="CB984" s="567"/>
      <c r="CC984" s="567"/>
      <c r="CD984" s="567"/>
      <c r="CE984" s="567"/>
      <c r="CF984" s="567"/>
      <c r="CG984" s="567"/>
      <c r="CH984" s="567"/>
      <c r="CI984" s="567"/>
      <c r="CJ984" s="567"/>
      <c r="CK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  <c r="BW985" s="567"/>
      <c r="BX985" s="567"/>
      <c r="BY985" s="567"/>
      <c r="BZ985" s="567"/>
      <c r="CA985" s="567"/>
      <c r="CB985" s="567"/>
      <c r="CC985" s="567"/>
      <c r="CD985" s="567"/>
      <c r="CE985" s="567"/>
      <c r="CF985" s="567"/>
      <c r="CG985" s="567"/>
      <c r="CH985" s="567"/>
      <c r="CI985" s="567"/>
      <c r="CJ985" s="567"/>
      <c r="CK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  <c r="BW986" s="567"/>
      <c r="BX986" s="567"/>
      <c r="BY986" s="567"/>
      <c r="BZ986" s="567"/>
      <c r="CA986" s="567"/>
      <c r="CB986" s="567"/>
      <c r="CC986" s="567"/>
      <c r="CD986" s="567"/>
      <c r="CE986" s="567"/>
      <c r="CF986" s="567"/>
      <c r="CG986" s="567"/>
      <c r="CH986" s="567"/>
      <c r="CI986" s="567"/>
      <c r="CJ986" s="567"/>
      <c r="CK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  <c r="BW987" s="567"/>
      <c r="BX987" s="567"/>
      <c r="BY987" s="567"/>
      <c r="BZ987" s="567"/>
      <c r="CA987" s="567"/>
      <c r="CB987" s="567"/>
      <c r="CC987" s="567"/>
      <c r="CD987" s="567"/>
      <c r="CE987" s="567"/>
      <c r="CF987" s="567"/>
      <c r="CG987" s="567"/>
      <c r="CH987" s="567"/>
      <c r="CI987" s="567"/>
      <c r="CJ987" s="567"/>
      <c r="CK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  <c r="BW988" s="567"/>
      <c r="BX988" s="567"/>
      <c r="BY988" s="567"/>
      <c r="BZ988" s="567"/>
      <c r="CA988" s="567"/>
      <c r="CB988" s="567"/>
      <c r="CC988" s="567"/>
      <c r="CD988" s="567"/>
      <c r="CE988" s="567"/>
      <c r="CF988" s="567"/>
      <c r="CG988" s="567"/>
      <c r="CH988" s="567"/>
      <c r="CI988" s="567"/>
      <c r="CJ988" s="567"/>
      <c r="CK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  <c r="BW989" s="567"/>
      <c r="BX989" s="567"/>
      <c r="BY989" s="567"/>
      <c r="BZ989" s="567"/>
      <c r="CA989" s="567"/>
      <c r="CB989" s="567"/>
      <c r="CC989" s="567"/>
      <c r="CD989" s="567"/>
      <c r="CE989" s="567"/>
      <c r="CF989" s="567"/>
      <c r="CG989" s="567"/>
      <c r="CH989" s="567"/>
      <c r="CI989" s="567"/>
      <c r="CJ989" s="567"/>
      <c r="CK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  <c r="BW990" s="567"/>
      <c r="BX990" s="567"/>
      <c r="BY990" s="567"/>
      <c r="BZ990" s="567"/>
      <c r="CA990" s="567"/>
      <c r="CB990" s="567"/>
      <c r="CC990" s="567"/>
      <c r="CD990" s="567"/>
      <c r="CE990" s="567"/>
      <c r="CF990" s="567"/>
      <c r="CG990" s="567"/>
      <c r="CH990" s="567"/>
      <c r="CI990" s="567"/>
      <c r="CJ990" s="567"/>
      <c r="CK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  <c r="BW991" s="567"/>
      <c r="BX991" s="567"/>
      <c r="BY991" s="567"/>
      <c r="BZ991" s="567"/>
      <c r="CA991" s="567"/>
      <c r="CB991" s="567"/>
      <c r="CC991" s="567"/>
      <c r="CD991" s="567"/>
      <c r="CE991" s="567"/>
      <c r="CF991" s="567"/>
      <c r="CG991" s="567"/>
      <c r="CH991" s="567"/>
      <c r="CI991" s="567"/>
      <c r="CJ991" s="567"/>
      <c r="CK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  <c r="BW992" s="567"/>
      <c r="BX992" s="567"/>
      <c r="BY992" s="567"/>
      <c r="BZ992" s="567"/>
      <c r="CA992" s="567"/>
      <c r="CB992" s="567"/>
      <c r="CC992" s="567"/>
      <c r="CD992" s="567"/>
      <c r="CE992" s="567"/>
      <c r="CF992" s="567"/>
      <c r="CG992" s="567"/>
      <c r="CH992" s="567"/>
      <c r="CI992" s="567"/>
      <c r="CJ992" s="567"/>
      <c r="CK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  <c r="BW993" s="567"/>
      <c r="BX993" s="567"/>
      <c r="BY993" s="567"/>
      <c r="BZ993" s="567"/>
      <c r="CA993" s="567"/>
      <c r="CB993" s="567"/>
      <c r="CC993" s="567"/>
      <c r="CD993" s="567"/>
      <c r="CE993" s="567"/>
      <c r="CF993" s="567"/>
      <c r="CG993" s="567"/>
      <c r="CH993" s="567"/>
      <c r="CI993" s="567"/>
      <c r="CJ993" s="567"/>
      <c r="CK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  <c r="BW994" s="567"/>
      <c r="BX994" s="567"/>
      <c r="BY994" s="567"/>
      <c r="BZ994" s="567"/>
      <c r="CA994" s="567"/>
      <c r="CB994" s="567"/>
      <c r="CC994" s="567"/>
      <c r="CD994" s="567"/>
      <c r="CE994" s="567"/>
      <c r="CF994" s="567"/>
      <c r="CG994" s="567"/>
      <c r="CH994" s="567"/>
      <c r="CI994" s="567"/>
      <c r="CJ994" s="567"/>
      <c r="CK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  <c r="BW995" s="567"/>
      <c r="BX995" s="567"/>
      <c r="BY995" s="567"/>
      <c r="BZ995" s="567"/>
      <c r="CA995" s="567"/>
      <c r="CB995" s="567"/>
      <c r="CC995" s="567"/>
      <c r="CD995" s="567"/>
      <c r="CE995" s="567"/>
      <c r="CF995" s="567"/>
      <c r="CG995" s="567"/>
      <c r="CH995" s="567"/>
      <c r="CI995" s="567"/>
      <c r="CJ995" s="567"/>
      <c r="CK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  <c r="BW996" s="567"/>
      <c r="BX996" s="567"/>
      <c r="BY996" s="567"/>
      <c r="BZ996" s="567"/>
      <c r="CA996" s="567"/>
      <c r="CB996" s="567"/>
      <c r="CC996" s="567"/>
      <c r="CD996" s="567"/>
      <c r="CE996" s="567"/>
      <c r="CF996" s="567"/>
      <c r="CG996" s="567"/>
      <c r="CH996" s="567"/>
      <c r="CI996" s="567"/>
      <c r="CJ996" s="567"/>
      <c r="CK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  <c r="BW997" s="567"/>
      <c r="BX997" s="567"/>
      <c r="BY997" s="567"/>
      <c r="BZ997" s="567"/>
      <c r="CA997" s="567"/>
      <c r="CB997" s="567"/>
      <c r="CC997" s="567"/>
      <c r="CD997" s="567"/>
      <c r="CE997" s="567"/>
      <c r="CF997" s="567"/>
      <c r="CG997" s="567"/>
      <c r="CH997" s="567"/>
      <c r="CI997" s="567"/>
      <c r="CJ997" s="567"/>
      <c r="CK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  <c r="BW998" s="567"/>
      <c r="BX998" s="567"/>
      <c r="BY998" s="567"/>
      <c r="BZ998" s="567"/>
      <c r="CA998" s="567"/>
      <c r="CB998" s="567"/>
      <c r="CC998" s="567"/>
      <c r="CD998" s="567"/>
      <c r="CE998" s="567"/>
      <c r="CF998" s="567"/>
      <c r="CG998" s="567"/>
      <c r="CH998" s="567"/>
      <c r="CI998" s="567"/>
      <c r="CJ998" s="567"/>
      <c r="CK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  <c r="BW999" s="567"/>
      <c r="BX999" s="567"/>
      <c r="BY999" s="567"/>
      <c r="BZ999" s="567"/>
      <c r="CA999" s="567"/>
      <c r="CB999" s="567"/>
      <c r="CC999" s="567"/>
      <c r="CD999" s="567"/>
      <c r="CE999" s="567"/>
      <c r="CF999" s="567"/>
      <c r="CG999" s="567"/>
      <c r="CH999" s="567"/>
      <c r="CI999" s="567"/>
      <c r="CJ999" s="567"/>
      <c r="CK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  <c r="BW1000" s="567"/>
      <c r="BX1000" s="567"/>
      <c r="BY1000" s="567"/>
      <c r="BZ1000" s="567"/>
      <c r="CA1000" s="567"/>
      <c r="CB1000" s="567"/>
      <c r="CC1000" s="567"/>
      <c r="CD1000" s="567"/>
      <c r="CE1000" s="567"/>
      <c r="CF1000" s="567"/>
      <c r="CG1000" s="567"/>
      <c r="CH1000" s="567"/>
      <c r="CI1000" s="567"/>
      <c r="CJ1000" s="567"/>
      <c r="CK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  <c r="BW1001" s="567"/>
      <c r="BX1001" s="567"/>
      <c r="BY1001" s="567"/>
      <c r="BZ1001" s="567"/>
      <c r="CA1001" s="567"/>
      <c r="CB1001" s="567"/>
      <c r="CC1001" s="567"/>
      <c r="CD1001" s="567"/>
      <c r="CE1001" s="567"/>
      <c r="CF1001" s="567"/>
      <c r="CG1001" s="567"/>
      <c r="CH1001" s="567"/>
      <c r="CI1001" s="567"/>
      <c r="CJ1001" s="567"/>
      <c r="CK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  <c r="BW1002" s="567"/>
      <c r="BX1002" s="567"/>
      <c r="BY1002" s="567"/>
      <c r="BZ1002" s="567"/>
      <c r="CA1002" s="567"/>
      <c r="CB1002" s="567"/>
      <c r="CC1002" s="567"/>
      <c r="CD1002" s="567"/>
      <c r="CE1002" s="567"/>
      <c r="CF1002" s="567"/>
      <c r="CG1002" s="567"/>
      <c r="CH1002" s="567"/>
      <c r="CI1002" s="567"/>
      <c r="CJ1002" s="567"/>
      <c r="CK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  <c r="BW1003" s="567"/>
      <c r="BX1003" s="567"/>
      <c r="BY1003" s="567"/>
      <c r="BZ1003" s="567"/>
      <c r="CA1003" s="567"/>
      <c r="CB1003" s="567"/>
      <c r="CC1003" s="567"/>
      <c r="CD1003" s="567"/>
      <c r="CE1003" s="567"/>
      <c r="CF1003" s="567"/>
      <c r="CG1003" s="567"/>
      <c r="CH1003" s="567"/>
      <c r="CI1003" s="567"/>
      <c r="CJ1003" s="567"/>
      <c r="CK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  <c r="BW1004" s="567"/>
      <c r="BX1004" s="567"/>
      <c r="BY1004" s="567"/>
      <c r="BZ1004" s="567"/>
      <c r="CA1004" s="567"/>
      <c r="CB1004" s="567"/>
      <c r="CC1004" s="567"/>
      <c r="CD1004" s="567"/>
      <c r="CE1004" s="567"/>
      <c r="CF1004" s="567"/>
      <c r="CG1004" s="567"/>
      <c r="CH1004" s="567"/>
      <c r="CI1004" s="567"/>
      <c r="CJ1004" s="567"/>
      <c r="CK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  <c r="BW1005" s="567"/>
      <c r="BX1005" s="567"/>
      <c r="BY1005" s="567"/>
      <c r="BZ1005" s="567"/>
      <c r="CA1005" s="567"/>
      <c r="CB1005" s="567"/>
      <c r="CC1005" s="567"/>
      <c r="CD1005" s="567"/>
      <c r="CE1005" s="567"/>
      <c r="CF1005" s="567"/>
      <c r="CG1005" s="567"/>
      <c r="CH1005" s="567"/>
      <c r="CI1005" s="567"/>
      <c r="CJ1005" s="567"/>
      <c r="CK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  <c r="BW1006" s="567"/>
      <c r="BX1006" s="567"/>
      <c r="BY1006" s="567"/>
      <c r="BZ1006" s="567"/>
      <c r="CA1006" s="567"/>
      <c r="CB1006" s="567"/>
      <c r="CC1006" s="567"/>
      <c r="CD1006" s="567"/>
      <c r="CE1006" s="567"/>
      <c r="CF1006" s="567"/>
      <c r="CG1006" s="567"/>
      <c r="CH1006" s="567"/>
      <c r="CI1006" s="567"/>
      <c r="CJ1006" s="567"/>
      <c r="CK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  <c r="BW1007" s="567"/>
      <c r="BX1007" s="567"/>
      <c r="BY1007" s="567"/>
      <c r="BZ1007" s="567"/>
      <c r="CA1007" s="567"/>
      <c r="CB1007" s="567"/>
      <c r="CC1007" s="567"/>
      <c r="CD1007" s="567"/>
      <c r="CE1007" s="567"/>
      <c r="CF1007" s="567"/>
      <c r="CG1007" s="567"/>
      <c r="CH1007" s="567"/>
      <c r="CI1007" s="567"/>
      <c r="CJ1007" s="567"/>
      <c r="CK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  <c r="BW1008" s="567"/>
      <c r="BX1008" s="567"/>
      <c r="BY1008" s="567"/>
      <c r="BZ1008" s="567"/>
      <c r="CA1008" s="567"/>
      <c r="CB1008" s="567"/>
      <c r="CC1008" s="567"/>
      <c r="CD1008" s="567"/>
      <c r="CE1008" s="567"/>
      <c r="CF1008" s="567"/>
      <c r="CG1008" s="567"/>
      <c r="CH1008" s="567"/>
      <c r="CI1008" s="567"/>
      <c r="CJ1008" s="567"/>
      <c r="CK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  <c r="BW1009" s="567"/>
      <c r="BX1009" s="567"/>
      <c r="BY1009" s="567"/>
      <c r="BZ1009" s="567"/>
      <c r="CA1009" s="567"/>
      <c r="CB1009" s="567"/>
      <c r="CC1009" s="567"/>
      <c r="CD1009" s="567"/>
      <c r="CE1009" s="567"/>
      <c r="CF1009" s="567"/>
      <c r="CG1009" s="567"/>
      <c r="CH1009" s="567"/>
      <c r="CI1009" s="567"/>
      <c r="CJ1009" s="567"/>
      <c r="CK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  <c r="BW1010" s="567"/>
      <c r="BX1010" s="567"/>
      <c r="BY1010" s="567"/>
      <c r="BZ1010" s="567"/>
      <c r="CA1010" s="567"/>
      <c r="CB1010" s="567"/>
      <c r="CC1010" s="567"/>
      <c r="CD1010" s="567"/>
      <c r="CE1010" s="567"/>
      <c r="CF1010" s="567"/>
      <c r="CG1010" s="567"/>
      <c r="CH1010" s="567"/>
      <c r="CI1010" s="567"/>
      <c r="CJ1010" s="567"/>
      <c r="CK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  <c r="BW1011" s="567"/>
      <c r="BX1011" s="567"/>
      <c r="BY1011" s="567"/>
      <c r="BZ1011" s="567"/>
      <c r="CA1011" s="567"/>
      <c r="CB1011" s="567"/>
      <c r="CC1011" s="567"/>
      <c r="CD1011" s="567"/>
      <c r="CE1011" s="567"/>
      <c r="CF1011" s="567"/>
      <c r="CG1011" s="567"/>
      <c r="CH1011" s="567"/>
      <c r="CI1011" s="567"/>
      <c r="CJ1011" s="567"/>
      <c r="CK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  <c r="BW1012" s="567"/>
      <c r="BX1012" s="567"/>
      <c r="BY1012" s="567"/>
      <c r="BZ1012" s="567"/>
      <c r="CA1012" s="567"/>
      <c r="CB1012" s="567"/>
      <c r="CC1012" s="567"/>
      <c r="CD1012" s="567"/>
      <c r="CE1012" s="567"/>
      <c r="CF1012" s="567"/>
      <c r="CG1012" s="567"/>
      <c r="CH1012" s="567"/>
      <c r="CI1012" s="567"/>
      <c r="CJ1012" s="567"/>
      <c r="CK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  <c r="BW1013" s="567"/>
      <c r="BX1013" s="567"/>
      <c r="BY1013" s="567"/>
      <c r="BZ1013" s="567"/>
      <c r="CA1013" s="567"/>
      <c r="CB1013" s="567"/>
      <c r="CC1013" s="567"/>
      <c r="CD1013" s="567"/>
      <c r="CE1013" s="567"/>
      <c r="CF1013" s="567"/>
      <c r="CG1013" s="567"/>
      <c r="CH1013" s="567"/>
      <c r="CI1013" s="567"/>
      <c r="CJ1013" s="567"/>
      <c r="CK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  <c r="BW1014" s="567"/>
      <c r="BX1014" s="567"/>
      <c r="BY1014" s="567"/>
      <c r="BZ1014" s="567"/>
      <c r="CA1014" s="567"/>
      <c r="CB1014" s="567"/>
      <c r="CC1014" s="567"/>
      <c r="CD1014" s="567"/>
      <c r="CE1014" s="567"/>
      <c r="CF1014" s="567"/>
      <c r="CG1014" s="567"/>
      <c r="CH1014" s="567"/>
      <c r="CI1014" s="567"/>
      <c r="CJ1014" s="567"/>
      <c r="CK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  <c r="BW1015" s="567"/>
      <c r="BX1015" s="567"/>
      <c r="BY1015" s="567"/>
      <c r="BZ1015" s="567"/>
      <c r="CA1015" s="567"/>
      <c r="CB1015" s="567"/>
      <c r="CC1015" s="567"/>
      <c r="CD1015" s="567"/>
      <c r="CE1015" s="567"/>
      <c r="CF1015" s="567"/>
      <c r="CG1015" s="567"/>
      <c r="CH1015" s="567"/>
      <c r="CI1015" s="567"/>
      <c r="CJ1015" s="567"/>
      <c r="CK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  <c r="BW1016" s="567"/>
      <c r="BX1016" s="567"/>
      <c r="BY1016" s="567"/>
      <c r="BZ1016" s="567"/>
      <c r="CA1016" s="567"/>
      <c r="CB1016" s="567"/>
      <c r="CC1016" s="567"/>
      <c r="CD1016" s="567"/>
      <c r="CE1016" s="567"/>
      <c r="CF1016" s="567"/>
      <c r="CG1016" s="567"/>
      <c r="CH1016" s="567"/>
      <c r="CI1016" s="567"/>
      <c r="CJ1016" s="567"/>
      <c r="CK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  <c r="BW1017" s="567"/>
      <c r="BX1017" s="567"/>
      <c r="BY1017" s="567"/>
      <c r="BZ1017" s="567"/>
      <c r="CA1017" s="567"/>
      <c r="CB1017" s="567"/>
      <c r="CC1017" s="567"/>
      <c r="CD1017" s="567"/>
      <c r="CE1017" s="567"/>
      <c r="CF1017" s="567"/>
      <c r="CG1017" s="567"/>
      <c r="CH1017" s="567"/>
      <c r="CI1017" s="567"/>
      <c r="CJ1017" s="567"/>
      <c r="CK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  <c r="BW1018" s="567"/>
      <c r="BX1018" s="567"/>
      <c r="BY1018" s="567"/>
      <c r="BZ1018" s="567"/>
      <c r="CA1018" s="567"/>
      <c r="CB1018" s="567"/>
      <c r="CC1018" s="567"/>
      <c r="CD1018" s="567"/>
      <c r="CE1018" s="567"/>
      <c r="CF1018" s="567"/>
      <c r="CG1018" s="567"/>
      <c r="CH1018" s="567"/>
      <c r="CI1018" s="567"/>
      <c r="CJ1018" s="567"/>
      <c r="CK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  <c r="BW1019" s="567"/>
      <c r="BX1019" s="567"/>
      <c r="BY1019" s="567"/>
      <c r="BZ1019" s="567"/>
      <c r="CA1019" s="567"/>
      <c r="CB1019" s="567"/>
      <c r="CC1019" s="567"/>
      <c r="CD1019" s="567"/>
      <c r="CE1019" s="567"/>
      <c r="CF1019" s="567"/>
      <c r="CG1019" s="567"/>
      <c r="CH1019" s="567"/>
      <c r="CI1019" s="567"/>
      <c r="CJ1019" s="567"/>
      <c r="CK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  <c r="BW1020" s="567"/>
      <c r="BX1020" s="567"/>
      <c r="BY1020" s="567"/>
      <c r="BZ1020" s="567"/>
      <c r="CA1020" s="567"/>
      <c r="CB1020" s="567"/>
      <c r="CC1020" s="567"/>
      <c r="CD1020" s="567"/>
      <c r="CE1020" s="567"/>
      <c r="CF1020" s="567"/>
      <c r="CG1020" s="567"/>
      <c r="CH1020" s="567"/>
      <c r="CI1020" s="567"/>
      <c r="CJ1020" s="567"/>
      <c r="CK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  <c r="BW1021" s="567"/>
      <c r="BX1021" s="567"/>
      <c r="BY1021" s="567"/>
      <c r="BZ1021" s="567"/>
      <c r="CA1021" s="567"/>
      <c r="CB1021" s="567"/>
      <c r="CC1021" s="567"/>
      <c r="CD1021" s="567"/>
      <c r="CE1021" s="567"/>
      <c r="CF1021" s="567"/>
      <c r="CG1021" s="567"/>
      <c r="CH1021" s="567"/>
      <c r="CI1021" s="567"/>
      <c r="CJ1021" s="567"/>
      <c r="CK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  <c r="BW1022" s="567"/>
      <c r="BX1022" s="567"/>
      <c r="BY1022" s="567"/>
      <c r="BZ1022" s="567"/>
      <c r="CA1022" s="567"/>
      <c r="CB1022" s="567"/>
      <c r="CC1022" s="567"/>
      <c r="CD1022" s="567"/>
      <c r="CE1022" s="567"/>
      <c r="CF1022" s="567"/>
      <c r="CG1022" s="567"/>
      <c r="CH1022" s="567"/>
      <c r="CI1022" s="567"/>
      <c r="CJ1022" s="567"/>
      <c r="CK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  <c r="BW1023" s="567"/>
      <c r="BX1023" s="567"/>
      <c r="BY1023" s="567"/>
      <c r="BZ1023" s="567"/>
      <c r="CA1023" s="567"/>
      <c r="CB1023" s="567"/>
      <c r="CC1023" s="567"/>
      <c r="CD1023" s="567"/>
      <c r="CE1023" s="567"/>
      <c r="CF1023" s="567"/>
      <c r="CG1023" s="567"/>
      <c r="CH1023" s="567"/>
      <c r="CI1023" s="567"/>
      <c r="CJ1023" s="567"/>
      <c r="CK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  <c r="BW1024" s="567"/>
      <c r="BX1024" s="567"/>
      <c r="BY1024" s="567"/>
      <c r="BZ1024" s="567"/>
      <c r="CA1024" s="567"/>
      <c r="CB1024" s="567"/>
      <c r="CC1024" s="567"/>
      <c r="CD1024" s="567"/>
      <c r="CE1024" s="567"/>
      <c r="CF1024" s="567"/>
      <c r="CG1024" s="567"/>
      <c r="CH1024" s="567"/>
      <c r="CI1024" s="567"/>
      <c r="CJ1024" s="567"/>
      <c r="CK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  <c r="BW1025" s="567"/>
      <c r="BX1025" s="567"/>
      <c r="BY1025" s="567"/>
      <c r="BZ1025" s="567"/>
      <c r="CA1025" s="567"/>
      <c r="CB1025" s="567"/>
      <c r="CC1025" s="567"/>
      <c r="CD1025" s="567"/>
      <c r="CE1025" s="567"/>
      <c r="CF1025" s="567"/>
      <c r="CG1025" s="567"/>
      <c r="CH1025" s="567"/>
      <c r="CI1025" s="567"/>
      <c r="CJ1025" s="567"/>
      <c r="CK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  <c r="BW1026" s="567"/>
      <c r="BX1026" s="567"/>
      <c r="BY1026" s="567"/>
      <c r="BZ1026" s="567"/>
      <c r="CA1026" s="567"/>
      <c r="CB1026" s="567"/>
      <c r="CC1026" s="567"/>
      <c r="CD1026" s="567"/>
      <c r="CE1026" s="567"/>
      <c r="CF1026" s="567"/>
      <c r="CG1026" s="567"/>
      <c r="CH1026" s="567"/>
      <c r="CI1026" s="567"/>
      <c r="CJ1026" s="567"/>
      <c r="CK1026" s="567"/>
    </row>
    <row r="1027">
      <c r="A1027" s="567"/>
      <c r="B1027" s="567"/>
      <c r="C1027" s="567"/>
      <c r="D1027" s="567"/>
      <c r="E1027" s="567"/>
      <c r="F1027" s="567"/>
      <c r="G1027" s="567"/>
      <c r="H1027" s="567"/>
      <c r="I1027" s="567"/>
      <c r="J1027" s="567"/>
      <c r="K1027" s="567"/>
      <c r="L1027" s="567"/>
      <c r="M1027" s="567"/>
      <c r="N1027" s="567"/>
      <c r="O1027" s="567"/>
      <c r="P1027" s="567"/>
      <c r="Q1027" s="567"/>
      <c r="R1027" s="567"/>
      <c r="S1027" s="567"/>
      <c r="T1027" s="567"/>
      <c r="U1027" s="567"/>
      <c r="V1027" s="567"/>
      <c r="W1027" s="567"/>
      <c r="X1027" s="567"/>
      <c r="Y1027" s="567"/>
      <c r="Z1027" s="567"/>
      <c r="AA1027" s="567"/>
      <c r="AB1027" s="567"/>
      <c r="AC1027" s="567"/>
      <c r="AD1027" s="567"/>
      <c r="AE1027" s="567"/>
      <c r="AF1027" s="567"/>
      <c r="AG1027" s="567"/>
      <c r="AH1027" s="567"/>
      <c r="AI1027" s="567"/>
      <c r="AJ1027" s="567"/>
      <c r="AK1027" s="567"/>
      <c r="AL1027" s="567"/>
      <c r="AM1027" s="567"/>
      <c r="AN1027" s="567"/>
      <c r="AO1027" s="567"/>
      <c r="AP1027" s="567"/>
      <c r="AQ1027" s="567"/>
      <c r="AR1027" s="567"/>
      <c r="AS1027" s="567"/>
      <c r="AT1027" s="567"/>
      <c r="AU1027" s="567"/>
      <c r="AV1027" s="567"/>
      <c r="AW1027" s="567"/>
      <c r="AX1027" s="567"/>
      <c r="AY1027" s="567"/>
      <c r="AZ1027" s="567"/>
      <c r="BA1027" s="567"/>
      <c r="BB1027" s="567"/>
      <c r="BC1027" s="567"/>
      <c r="BD1027" s="567"/>
      <c r="BE1027" s="567"/>
      <c r="BF1027" s="567"/>
      <c r="BG1027" s="567"/>
      <c r="BH1027" s="567"/>
      <c r="BI1027" s="567"/>
      <c r="BJ1027" s="567"/>
      <c r="BK1027" s="567"/>
      <c r="BL1027" s="567"/>
      <c r="BM1027" s="567"/>
      <c r="BN1027" s="567"/>
      <c r="BO1027" s="567"/>
      <c r="BP1027" s="567"/>
      <c r="BQ1027" s="567"/>
      <c r="BR1027" s="567"/>
      <c r="BS1027" s="567"/>
      <c r="BT1027" s="567"/>
      <c r="BU1027" s="567"/>
      <c r="BV1027" s="567"/>
      <c r="BW1027" s="567"/>
      <c r="BX1027" s="567"/>
      <c r="BY1027" s="567"/>
      <c r="BZ1027" s="567"/>
      <c r="CA1027" s="567"/>
      <c r="CB1027" s="567"/>
      <c r="CC1027" s="567"/>
      <c r="CD1027" s="567"/>
      <c r="CE1027" s="567"/>
      <c r="CF1027" s="567"/>
      <c r="CG1027" s="567"/>
      <c r="CH1027" s="567"/>
      <c r="CI1027" s="567"/>
      <c r="CJ1027" s="567"/>
      <c r="CK1027" s="567"/>
    </row>
    <row r="1028">
      <c r="A1028" s="567"/>
      <c r="B1028" s="567"/>
      <c r="C1028" s="567"/>
      <c r="D1028" s="567"/>
      <c r="E1028" s="567"/>
      <c r="F1028" s="567"/>
      <c r="G1028" s="567"/>
      <c r="H1028" s="567"/>
      <c r="I1028" s="567"/>
      <c r="J1028" s="567"/>
      <c r="K1028" s="567"/>
      <c r="L1028" s="567"/>
      <c r="M1028" s="567"/>
      <c r="N1028" s="567"/>
      <c r="O1028" s="567"/>
      <c r="P1028" s="567"/>
      <c r="Q1028" s="567"/>
      <c r="R1028" s="567"/>
      <c r="S1028" s="567"/>
      <c r="T1028" s="567"/>
      <c r="U1028" s="567"/>
      <c r="V1028" s="567"/>
      <c r="W1028" s="567"/>
      <c r="X1028" s="567"/>
      <c r="Y1028" s="567"/>
      <c r="Z1028" s="567"/>
      <c r="AA1028" s="567"/>
      <c r="AB1028" s="567"/>
      <c r="AC1028" s="567"/>
      <c r="AD1028" s="567"/>
      <c r="AE1028" s="567"/>
      <c r="AF1028" s="567"/>
      <c r="AG1028" s="567"/>
      <c r="AH1028" s="567"/>
      <c r="AI1028" s="567"/>
      <c r="AJ1028" s="567"/>
      <c r="AK1028" s="567"/>
      <c r="AL1028" s="567"/>
      <c r="AM1028" s="567"/>
      <c r="AN1028" s="567"/>
      <c r="AO1028" s="567"/>
      <c r="AP1028" s="567"/>
      <c r="AQ1028" s="567"/>
      <c r="AR1028" s="567"/>
      <c r="AS1028" s="567"/>
      <c r="AT1028" s="567"/>
      <c r="AU1028" s="567"/>
      <c r="AV1028" s="567"/>
      <c r="AW1028" s="567"/>
      <c r="AX1028" s="567"/>
      <c r="AY1028" s="567"/>
      <c r="AZ1028" s="567"/>
      <c r="BA1028" s="567"/>
      <c r="BB1028" s="567"/>
      <c r="BC1028" s="567"/>
      <c r="BD1028" s="567"/>
      <c r="BE1028" s="567"/>
      <c r="BF1028" s="567"/>
      <c r="BG1028" s="567"/>
      <c r="BH1028" s="567"/>
      <c r="BI1028" s="567"/>
      <c r="BJ1028" s="567"/>
      <c r="BK1028" s="567"/>
      <c r="BL1028" s="567"/>
      <c r="BM1028" s="567"/>
      <c r="BN1028" s="567"/>
      <c r="BO1028" s="567"/>
      <c r="BP1028" s="567"/>
      <c r="BQ1028" s="567"/>
      <c r="BR1028" s="567"/>
      <c r="BS1028" s="567"/>
      <c r="BT1028" s="567"/>
      <c r="BU1028" s="567"/>
      <c r="BV1028" s="567"/>
      <c r="BW1028" s="567"/>
      <c r="BX1028" s="567"/>
      <c r="BY1028" s="567"/>
      <c r="BZ1028" s="567"/>
      <c r="CA1028" s="567"/>
      <c r="CB1028" s="567"/>
      <c r="CC1028" s="567"/>
      <c r="CD1028" s="567"/>
      <c r="CE1028" s="567"/>
      <c r="CF1028" s="567"/>
      <c r="CG1028" s="567"/>
      <c r="CH1028" s="567"/>
      <c r="CI1028" s="567"/>
      <c r="CJ1028" s="567"/>
      <c r="CK1028" s="567"/>
    </row>
    <row r="1029">
      <c r="A1029" s="567"/>
      <c r="B1029" s="567"/>
      <c r="C1029" s="567"/>
      <c r="D1029" s="567"/>
      <c r="E1029" s="567"/>
      <c r="F1029" s="567"/>
      <c r="G1029" s="567"/>
      <c r="H1029" s="567"/>
      <c r="I1029" s="567"/>
      <c r="J1029" s="567"/>
      <c r="K1029" s="567"/>
      <c r="L1029" s="567"/>
      <c r="M1029" s="567"/>
      <c r="N1029" s="567"/>
      <c r="O1029" s="567"/>
      <c r="P1029" s="567"/>
      <c r="Q1029" s="567"/>
      <c r="R1029" s="567"/>
      <c r="S1029" s="567"/>
      <c r="T1029" s="567"/>
      <c r="U1029" s="567"/>
      <c r="V1029" s="567"/>
      <c r="W1029" s="567"/>
      <c r="X1029" s="567"/>
      <c r="Y1029" s="567"/>
      <c r="Z1029" s="567"/>
      <c r="AA1029" s="567"/>
      <c r="AB1029" s="567"/>
      <c r="AC1029" s="567"/>
      <c r="AD1029" s="567"/>
      <c r="AE1029" s="567"/>
      <c r="AF1029" s="567"/>
      <c r="AG1029" s="567"/>
      <c r="AH1029" s="567"/>
      <c r="AI1029" s="567"/>
      <c r="AJ1029" s="567"/>
      <c r="AK1029" s="567"/>
      <c r="AL1029" s="567"/>
      <c r="AM1029" s="567"/>
      <c r="AN1029" s="567"/>
      <c r="AO1029" s="567"/>
      <c r="AP1029" s="567"/>
      <c r="AQ1029" s="567"/>
      <c r="AR1029" s="567"/>
      <c r="AS1029" s="567"/>
      <c r="AT1029" s="567"/>
      <c r="AU1029" s="567"/>
      <c r="AV1029" s="567"/>
      <c r="AW1029" s="567"/>
      <c r="AX1029" s="567"/>
      <c r="AY1029" s="567"/>
      <c r="AZ1029" s="567"/>
      <c r="BA1029" s="567"/>
      <c r="BB1029" s="567"/>
      <c r="BC1029" s="567"/>
      <c r="BD1029" s="567"/>
      <c r="BE1029" s="567"/>
      <c r="BF1029" s="567"/>
      <c r="BG1029" s="567"/>
      <c r="BH1029" s="567"/>
      <c r="BI1029" s="567"/>
      <c r="BJ1029" s="567"/>
      <c r="BK1029" s="567"/>
      <c r="BL1029" s="567"/>
      <c r="BM1029" s="567"/>
      <c r="BN1029" s="567"/>
      <c r="BO1029" s="567"/>
      <c r="BP1029" s="567"/>
      <c r="BQ1029" s="567"/>
      <c r="BR1029" s="567"/>
      <c r="BS1029" s="567"/>
      <c r="BT1029" s="567"/>
      <c r="BU1029" s="567"/>
      <c r="BV1029" s="567"/>
      <c r="BW1029" s="567"/>
      <c r="BX1029" s="567"/>
      <c r="BY1029" s="567"/>
      <c r="BZ1029" s="567"/>
      <c r="CA1029" s="567"/>
      <c r="CB1029" s="567"/>
      <c r="CC1029" s="567"/>
      <c r="CD1029" s="567"/>
      <c r="CE1029" s="567"/>
      <c r="CF1029" s="567"/>
      <c r="CG1029" s="567"/>
      <c r="CH1029" s="567"/>
      <c r="CI1029" s="567"/>
      <c r="CJ1029" s="567"/>
      <c r="CK1029" s="567"/>
    </row>
    <row r="1030">
      <c r="A1030" s="567"/>
      <c r="B1030" s="567"/>
      <c r="C1030" s="567"/>
      <c r="D1030" s="567"/>
      <c r="E1030" s="567"/>
      <c r="F1030" s="567"/>
      <c r="G1030" s="567"/>
      <c r="H1030" s="567"/>
      <c r="I1030" s="567"/>
      <c r="J1030" s="567"/>
      <c r="K1030" s="567"/>
      <c r="L1030" s="567"/>
      <c r="M1030" s="567"/>
      <c r="N1030" s="567"/>
      <c r="O1030" s="567"/>
      <c r="P1030" s="567"/>
      <c r="Q1030" s="567"/>
      <c r="R1030" s="567"/>
      <c r="S1030" s="567"/>
      <c r="T1030" s="567"/>
      <c r="U1030" s="567"/>
      <c r="V1030" s="567"/>
      <c r="W1030" s="567"/>
      <c r="X1030" s="567"/>
      <c r="Y1030" s="567"/>
      <c r="Z1030" s="567"/>
      <c r="AA1030" s="567"/>
      <c r="AB1030" s="567"/>
      <c r="AC1030" s="567"/>
      <c r="AD1030" s="567"/>
      <c r="AE1030" s="567"/>
      <c r="AF1030" s="567"/>
      <c r="AG1030" s="567"/>
      <c r="AH1030" s="567"/>
      <c r="AI1030" s="567"/>
      <c r="AJ1030" s="567"/>
      <c r="AK1030" s="567"/>
      <c r="AL1030" s="567"/>
      <c r="AM1030" s="567"/>
      <c r="AN1030" s="567"/>
      <c r="AO1030" s="567"/>
      <c r="AP1030" s="567"/>
      <c r="AQ1030" s="567"/>
      <c r="AR1030" s="567"/>
      <c r="AS1030" s="567"/>
      <c r="AT1030" s="567"/>
      <c r="AU1030" s="567"/>
      <c r="AV1030" s="567"/>
      <c r="AW1030" s="567"/>
      <c r="AX1030" s="567"/>
      <c r="AY1030" s="567"/>
      <c r="AZ1030" s="567"/>
      <c r="BA1030" s="567"/>
      <c r="BB1030" s="567"/>
      <c r="BC1030" s="567"/>
      <c r="BD1030" s="567"/>
      <c r="BE1030" s="567"/>
      <c r="BF1030" s="567"/>
      <c r="BG1030" s="567"/>
      <c r="BH1030" s="567"/>
      <c r="BI1030" s="567"/>
      <c r="BJ1030" s="567"/>
      <c r="BK1030" s="567"/>
      <c r="BL1030" s="567"/>
      <c r="BM1030" s="567"/>
      <c r="BN1030" s="567"/>
      <c r="BO1030" s="567"/>
      <c r="BP1030" s="567"/>
      <c r="BQ1030" s="567"/>
      <c r="BR1030" s="567"/>
      <c r="BS1030" s="567"/>
      <c r="BT1030" s="567"/>
      <c r="BU1030" s="567"/>
      <c r="BV1030" s="567"/>
      <c r="BW1030" s="567"/>
      <c r="BX1030" s="567"/>
      <c r="BY1030" s="567"/>
      <c r="BZ1030" s="567"/>
      <c r="CA1030" s="567"/>
      <c r="CB1030" s="567"/>
      <c r="CC1030" s="567"/>
      <c r="CD1030" s="567"/>
      <c r="CE1030" s="567"/>
      <c r="CF1030" s="567"/>
      <c r="CG1030" s="567"/>
      <c r="CH1030" s="567"/>
      <c r="CI1030" s="567"/>
      <c r="CJ1030" s="567"/>
      <c r="CK1030" s="567"/>
    </row>
    <row r="1031">
      <c r="A1031" s="567"/>
      <c r="B1031" s="567"/>
      <c r="C1031" s="567"/>
      <c r="D1031" s="567"/>
      <c r="E1031" s="567"/>
      <c r="F1031" s="567"/>
      <c r="G1031" s="567"/>
      <c r="H1031" s="567"/>
      <c r="I1031" s="567"/>
      <c r="J1031" s="567"/>
      <c r="K1031" s="567"/>
      <c r="L1031" s="567"/>
      <c r="M1031" s="567"/>
      <c r="N1031" s="567"/>
      <c r="O1031" s="567"/>
      <c r="P1031" s="567"/>
      <c r="Q1031" s="567"/>
      <c r="R1031" s="567"/>
      <c r="S1031" s="567"/>
      <c r="T1031" s="567"/>
      <c r="U1031" s="567"/>
      <c r="V1031" s="567"/>
      <c r="W1031" s="567"/>
      <c r="X1031" s="567"/>
      <c r="Y1031" s="567"/>
      <c r="Z1031" s="567"/>
      <c r="AA1031" s="567"/>
      <c r="AB1031" s="567"/>
      <c r="AC1031" s="567"/>
      <c r="AD1031" s="567"/>
      <c r="AE1031" s="567"/>
      <c r="AF1031" s="567"/>
      <c r="AG1031" s="567"/>
      <c r="AH1031" s="567"/>
      <c r="AI1031" s="567"/>
      <c r="AJ1031" s="567"/>
      <c r="AK1031" s="567"/>
      <c r="AL1031" s="567"/>
      <c r="AM1031" s="567"/>
      <c r="AN1031" s="567"/>
      <c r="AO1031" s="567"/>
      <c r="AP1031" s="567"/>
      <c r="AQ1031" s="567"/>
      <c r="AR1031" s="567"/>
      <c r="AS1031" s="567"/>
      <c r="AT1031" s="567"/>
      <c r="AU1031" s="567"/>
      <c r="AV1031" s="567"/>
      <c r="AW1031" s="567"/>
      <c r="AX1031" s="567"/>
      <c r="AY1031" s="567"/>
      <c r="AZ1031" s="567"/>
      <c r="BA1031" s="567"/>
      <c r="BB1031" s="567"/>
      <c r="BC1031" s="567"/>
      <c r="BD1031" s="567"/>
      <c r="BE1031" s="567"/>
      <c r="BF1031" s="567"/>
      <c r="BG1031" s="567"/>
      <c r="BH1031" s="567"/>
      <c r="BI1031" s="567"/>
      <c r="BJ1031" s="567"/>
      <c r="BK1031" s="567"/>
      <c r="BL1031" s="567"/>
      <c r="BM1031" s="567"/>
      <c r="BN1031" s="567"/>
      <c r="BO1031" s="567"/>
      <c r="BP1031" s="567"/>
      <c r="BQ1031" s="567"/>
      <c r="BR1031" s="567"/>
      <c r="BS1031" s="567"/>
      <c r="BT1031" s="567"/>
      <c r="BU1031" s="567"/>
      <c r="BV1031" s="567"/>
      <c r="BW1031" s="567"/>
      <c r="BX1031" s="567"/>
      <c r="BY1031" s="567"/>
      <c r="BZ1031" s="567"/>
      <c r="CA1031" s="567"/>
      <c r="CB1031" s="567"/>
      <c r="CC1031" s="567"/>
      <c r="CD1031" s="567"/>
      <c r="CE1031" s="567"/>
      <c r="CF1031" s="567"/>
      <c r="CG1031" s="567"/>
      <c r="CH1031" s="567"/>
      <c r="CI1031" s="567"/>
      <c r="CJ1031" s="567"/>
      <c r="CK1031" s="567"/>
    </row>
    <row r="1032">
      <c r="A1032" s="567"/>
      <c r="B1032" s="567"/>
      <c r="C1032" s="567"/>
      <c r="D1032" s="567"/>
      <c r="E1032" s="567"/>
      <c r="F1032" s="567"/>
      <c r="G1032" s="567"/>
      <c r="H1032" s="567"/>
      <c r="I1032" s="567"/>
      <c r="J1032" s="567"/>
      <c r="K1032" s="567"/>
      <c r="L1032" s="567"/>
      <c r="M1032" s="567"/>
      <c r="N1032" s="567"/>
      <c r="O1032" s="567"/>
      <c r="P1032" s="567"/>
      <c r="Q1032" s="567"/>
      <c r="R1032" s="567"/>
      <c r="S1032" s="567"/>
      <c r="T1032" s="567"/>
      <c r="U1032" s="567"/>
      <c r="V1032" s="567"/>
      <c r="W1032" s="567"/>
      <c r="X1032" s="567"/>
      <c r="Y1032" s="567"/>
      <c r="Z1032" s="567"/>
      <c r="AA1032" s="567"/>
      <c r="AB1032" s="567"/>
      <c r="AC1032" s="567"/>
      <c r="AD1032" s="567"/>
      <c r="AE1032" s="567"/>
      <c r="AF1032" s="567"/>
      <c r="AG1032" s="567"/>
      <c r="AH1032" s="567"/>
      <c r="AI1032" s="567"/>
      <c r="AJ1032" s="567"/>
      <c r="AK1032" s="567"/>
      <c r="AL1032" s="567"/>
      <c r="AM1032" s="567"/>
      <c r="AN1032" s="567"/>
      <c r="AO1032" s="567"/>
      <c r="AP1032" s="567"/>
      <c r="AQ1032" s="567"/>
      <c r="AR1032" s="567"/>
      <c r="AS1032" s="567"/>
      <c r="AT1032" s="567"/>
      <c r="AU1032" s="567"/>
      <c r="AV1032" s="567"/>
      <c r="AW1032" s="567"/>
      <c r="AX1032" s="567"/>
      <c r="AY1032" s="567"/>
      <c r="AZ1032" s="567"/>
      <c r="BA1032" s="567"/>
      <c r="BB1032" s="567"/>
      <c r="BC1032" s="567"/>
      <c r="BD1032" s="567"/>
      <c r="BE1032" s="567"/>
      <c r="BF1032" s="567"/>
      <c r="BG1032" s="567"/>
      <c r="BH1032" s="567"/>
      <c r="BI1032" s="567"/>
      <c r="BJ1032" s="567"/>
      <c r="BK1032" s="567"/>
      <c r="BL1032" s="567"/>
      <c r="BM1032" s="567"/>
      <c r="BN1032" s="567"/>
      <c r="BO1032" s="567"/>
      <c r="BP1032" s="567"/>
      <c r="BQ1032" s="567"/>
      <c r="BR1032" s="567"/>
      <c r="BS1032" s="567"/>
      <c r="BT1032" s="567"/>
      <c r="BU1032" s="567"/>
      <c r="BV1032" s="567"/>
      <c r="BW1032" s="567"/>
      <c r="BX1032" s="567"/>
      <c r="BY1032" s="567"/>
      <c r="BZ1032" s="567"/>
      <c r="CA1032" s="567"/>
      <c r="CB1032" s="567"/>
      <c r="CC1032" s="567"/>
      <c r="CD1032" s="567"/>
      <c r="CE1032" s="567"/>
      <c r="CF1032" s="567"/>
      <c r="CG1032" s="567"/>
      <c r="CH1032" s="567"/>
      <c r="CI1032" s="567"/>
      <c r="CJ1032" s="567"/>
      <c r="CK1032" s="567"/>
    </row>
    <row r="1033">
      <c r="A1033" s="567"/>
      <c r="B1033" s="567"/>
      <c r="C1033" s="567"/>
      <c r="D1033" s="567"/>
      <c r="E1033" s="567"/>
      <c r="F1033" s="567"/>
      <c r="G1033" s="567"/>
      <c r="H1033" s="567"/>
      <c r="I1033" s="567"/>
      <c r="J1033" s="567"/>
      <c r="K1033" s="567"/>
      <c r="L1033" s="567"/>
      <c r="M1033" s="567"/>
      <c r="N1033" s="567"/>
      <c r="O1033" s="567"/>
      <c r="P1033" s="567"/>
      <c r="Q1033" s="567"/>
      <c r="R1033" s="567"/>
      <c r="S1033" s="567"/>
      <c r="T1033" s="567"/>
      <c r="U1033" s="567"/>
      <c r="V1033" s="567"/>
      <c r="W1033" s="567"/>
      <c r="X1033" s="567"/>
      <c r="Y1033" s="567"/>
      <c r="Z1033" s="567"/>
      <c r="AA1033" s="567"/>
      <c r="AB1033" s="567"/>
      <c r="AC1033" s="567"/>
      <c r="AD1033" s="567"/>
      <c r="AE1033" s="567"/>
      <c r="AF1033" s="567"/>
      <c r="AG1033" s="567"/>
      <c r="AH1033" s="567"/>
      <c r="AI1033" s="567"/>
      <c r="AJ1033" s="567"/>
      <c r="AK1033" s="567"/>
      <c r="AL1033" s="567"/>
      <c r="AM1033" s="567"/>
      <c r="AN1033" s="567"/>
      <c r="AO1033" s="567"/>
      <c r="AP1033" s="567"/>
      <c r="AQ1033" s="567"/>
      <c r="AR1033" s="567"/>
      <c r="AS1033" s="567"/>
      <c r="AT1033" s="567"/>
      <c r="AU1033" s="567"/>
      <c r="AV1033" s="567"/>
      <c r="AW1033" s="567"/>
      <c r="AX1033" s="567"/>
      <c r="AY1033" s="567"/>
      <c r="AZ1033" s="567"/>
      <c r="BA1033" s="567"/>
      <c r="BB1033" s="567"/>
      <c r="BC1033" s="567"/>
      <c r="BD1033" s="567"/>
      <c r="BE1033" s="567"/>
      <c r="BF1033" s="567"/>
      <c r="BG1033" s="567"/>
      <c r="BH1033" s="567"/>
      <c r="BI1033" s="567"/>
      <c r="BJ1033" s="567"/>
      <c r="BK1033" s="567"/>
      <c r="BL1033" s="567"/>
      <c r="BM1033" s="567"/>
      <c r="BN1033" s="567"/>
      <c r="BO1033" s="567"/>
      <c r="BP1033" s="567"/>
      <c r="BQ1033" s="567"/>
      <c r="BR1033" s="567"/>
      <c r="BS1033" s="567"/>
      <c r="BT1033" s="567"/>
      <c r="BU1033" s="567"/>
      <c r="BV1033" s="567"/>
      <c r="BW1033" s="567"/>
      <c r="BX1033" s="567"/>
      <c r="BY1033" s="567"/>
      <c r="BZ1033" s="567"/>
      <c r="CA1033" s="567"/>
      <c r="CB1033" s="567"/>
      <c r="CC1033" s="567"/>
      <c r="CD1033" s="567"/>
      <c r="CE1033" s="567"/>
      <c r="CF1033" s="567"/>
      <c r="CG1033" s="567"/>
      <c r="CH1033" s="567"/>
      <c r="CI1033" s="567"/>
      <c r="CJ1033" s="567"/>
      <c r="CK1033" s="567"/>
    </row>
    <row r="1034">
      <c r="A1034" s="567"/>
      <c r="B1034" s="567"/>
      <c r="C1034" s="567"/>
      <c r="D1034" s="567"/>
      <c r="E1034" s="567"/>
      <c r="F1034" s="567"/>
      <c r="G1034" s="567"/>
      <c r="H1034" s="567"/>
      <c r="I1034" s="567"/>
      <c r="J1034" s="567"/>
      <c r="K1034" s="567"/>
      <c r="L1034" s="567"/>
      <c r="M1034" s="567"/>
      <c r="N1034" s="567"/>
      <c r="O1034" s="567"/>
      <c r="P1034" s="567"/>
      <c r="Q1034" s="567"/>
      <c r="R1034" s="567"/>
      <c r="S1034" s="567"/>
      <c r="T1034" s="567"/>
      <c r="U1034" s="567"/>
      <c r="V1034" s="567"/>
      <c r="W1034" s="567"/>
      <c r="X1034" s="567"/>
      <c r="Y1034" s="567"/>
      <c r="Z1034" s="567"/>
      <c r="AA1034" s="567"/>
      <c r="AB1034" s="567"/>
      <c r="AC1034" s="567"/>
      <c r="AD1034" s="567"/>
      <c r="AE1034" s="567"/>
      <c r="AF1034" s="567"/>
      <c r="AG1034" s="567"/>
      <c r="AH1034" s="567"/>
      <c r="AI1034" s="567"/>
      <c r="AJ1034" s="567"/>
      <c r="AK1034" s="567"/>
      <c r="AL1034" s="567"/>
      <c r="AM1034" s="567"/>
      <c r="AN1034" s="567"/>
      <c r="AO1034" s="567"/>
      <c r="AP1034" s="567"/>
      <c r="AQ1034" s="567"/>
      <c r="AR1034" s="567"/>
      <c r="AS1034" s="567"/>
      <c r="AT1034" s="567"/>
      <c r="AU1034" s="567"/>
      <c r="AV1034" s="567"/>
      <c r="AW1034" s="567"/>
      <c r="AX1034" s="567"/>
      <c r="AY1034" s="567"/>
      <c r="AZ1034" s="567"/>
      <c r="BA1034" s="567"/>
      <c r="BB1034" s="567"/>
      <c r="BC1034" s="567"/>
      <c r="BD1034" s="567"/>
      <c r="BE1034" s="567"/>
      <c r="BF1034" s="567"/>
      <c r="BG1034" s="567"/>
      <c r="BH1034" s="567"/>
      <c r="BI1034" s="567"/>
      <c r="BJ1034" s="567"/>
      <c r="BK1034" s="567"/>
      <c r="BL1034" s="567"/>
      <c r="BM1034" s="567"/>
      <c r="BN1034" s="567"/>
      <c r="BO1034" s="567"/>
      <c r="BP1034" s="567"/>
      <c r="BQ1034" s="567"/>
      <c r="BR1034" s="567"/>
      <c r="BS1034" s="567"/>
      <c r="BT1034" s="567"/>
      <c r="BU1034" s="567"/>
      <c r="BV1034" s="567"/>
      <c r="BW1034" s="567"/>
      <c r="BX1034" s="567"/>
      <c r="BY1034" s="567"/>
      <c r="BZ1034" s="567"/>
      <c r="CA1034" s="567"/>
      <c r="CB1034" s="567"/>
      <c r="CC1034" s="567"/>
      <c r="CD1034" s="567"/>
      <c r="CE1034" s="567"/>
      <c r="CF1034" s="567"/>
      <c r="CG1034" s="567"/>
      <c r="CH1034" s="567"/>
      <c r="CI1034" s="567"/>
      <c r="CJ1034" s="567"/>
      <c r="CK1034" s="567"/>
    </row>
    <row r="1035">
      <c r="A1035" s="567"/>
      <c r="B1035" s="567"/>
      <c r="C1035" s="567"/>
      <c r="D1035" s="567"/>
      <c r="E1035" s="567"/>
      <c r="F1035" s="567"/>
      <c r="G1035" s="567"/>
      <c r="H1035" s="567"/>
      <c r="I1035" s="567"/>
      <c r="J1035" s="567"/>
      <c r="K1035" s="567"/>
      <c r="L1035" s="567"/>
      <c r="M1035" s="567"/>
      <c r="N1035" s="567"/>
      <c r="O1035" s="567"/>
      <c r="P1035" s="567"/>
      <c r="Q1035" s="567"/>
      <c r="R1035" s="567"/>
      <c r="S1035" s="567"/>
      <c r="T1035" s="567"/>
      <c r="U1035" s="567"/>
      <c r="V1035" s="567"/>
      <c r="W1035" s="567"/>
      <c r="X1035" s="567"/>
      <c r="Y1035" s="567"/>
      <c r="Z1035" s="567"/>
      <c r="AA1035" s="567"/>
      <c r="AB1035" s="567"/>
      <c r="AC1035" s="567"/>
      <c r="AD1035" s="567"/>
      <c r="AE1035" s="567"/>
      <c r="AF1035" s="567"/>
      <c r="AG1035" s="567"/>
      <c r="AH1035" s="567"/>
      <c r="AI1035" s="567"/>
      <c r="AJ1035" s="567"/>
      <c r="AK1035" s="567"/>
      <c r="AL1035" s="567"/>
      <c r="AM1035" s="567"/>
      <c r="AN1035" s="567"/>
      <c r="AO1035" s="567"/>
      <c r="AP1035" s="567"/>
      <c r="AQ1035" s="567"/>
      <c r="AR1035" s="567"/>
      <c r="AS1035" s="567"/>
      <c r="AT1035" s="567"/>
      <c r="AU1035" s="567"/>
      <c r="AV1035" s="567"/>
      <c r="AW1035" s="567"/>
      <c r="AX1035" s="567"/>
      <c r="AY1035" s="567"/>
      <c r="AZ1035" s="567"/>
      <c r="BA1035" s="567"/>
      <c r="BB1035" s="567"/>
      <c r="BC1035" s="567"/>
      <c r="BD1035" s="567"/>
      <c r="BE1035" s="567"/>
      <c r="BF1035" s="567"/>
      <c r="BG1035" s="567"/>
      <c r="BH1035" s="567"/>
      <c r="BI1035" s="567"/>
      <c r="BJ1035" s="567"/>
      <c r="BK1035" s="567"/>
      <c r="BL1035" s="567"/>
      <c r="BM1035" s="567"/>
      <c r="BN1035" s="567"/>
      <c r="BO1035" s="567"/>
      <c r="BP1035" s="567"/>
      <c r="BQ1035" s="567"/>
      <c r="BR1035" s="567"/>
      <c r="BS1035" s="567"/>
      <c r="BT1035" s="567"/>
      <c r="BU1035" s="567"/>
      <c r="BV1035" s="567"/>
      <c r="BW1035" s="567"/>
      <c r="BX1035" s="567"/>
      <c r="BY1035" s="567"/>
      <c r="BZ1035" s="567"/>
      <c r="CA1035" s="567"/>
      <c r="CB1035" s="567"/>
      <c r="CC1035" s="567"/>
      <c r="CD1035" s="567"/>
      <c r="CE1035" s="567"/>
      <c r="CF1035" s="567"/>
      <c r="CG1035" s="567"/>
      <c r="CH1035" s="567"/>
      <c r="CI1035" s="567"/>
      <c r="CJ1035" s="567"/>
      <c r="CK1035" s="567"/>
    </row>
    <row r="1036">
      <c r="A1036" s="567"/>
      <c r="B1036" s="567"/>
      <c r="C1036" s="567"/>
      <c r="D1036" s="567"/>
      <c r="E1036" s="567"/>
      <c r="F1036" s="567"/>
      <c r="G1036" s="567"/>
      <c r="H1036" s="567"/>
      <c r="I1036" s="567"/>
      <c r="J1036" s="567"/>
      <c r="K1036" s="567"/>
      <c r="L1036" s="567"/>
      <c r="M1036" s="567"/>
      <c r="N1036" s="567"/>
      <c r="O1036" s="567"/>
      <c r="P1036" s="567"/>
      <c r="Q1036" s="567"/>
      <c r="R1036" s="567"/>
      <c r="S1036" s="567"/>
      <c r="T1036" s="567"/>
      <c r="U1036" s="567"/>
      <c r="V1036" s="567"/>
      <c r="W1036" s="567"/>
      <c r="X1036" s="567"/>
      <c r="Y1036" s="567"/>
      <c r="Z1036" s="567"/>
      <c r="AA1036" s="567"/>
      <c r="AB1036" s="567"/>
      <c r="AC1036" s="567"/>
      <c r="AD1036" s="567"/>
      <c r="AE1036" s="567"/>
      <c r="AF1036" s="567"/>
      <c r="AG1036" s="567"/>
      <c r="AH1036" s="567"/>
      <c r="AI1036" s="567"/>
      <c r="AJ1036" s="567"/>
      <c r="AK1036" s="567"/>
      <c r="AL1036" s="567"/>
      <c r="AM1036" s="567"/>
      <c r="AN1036" s="567"/>
      <c r="AO1036" s="567"/>
      <c r="AP1036" s="567"/>
      <c r="AQ1036" s="567"/>
      <c r="AR1036" s="567"/>
      <c r="AS1036" s="567"/>
      <c r="AT1036" s="567"/>
      <c r="AU1036" s="567"/>
      <c r="AV1036" s="567"/>
      <c r="AW1036" s="567"/>
      <c r="AX1036" s="567"/>
      <c r="AY1036" s="567"/>
      <c r="AZ1036" s="567"/>
      <c r="BA1036" s="567"/>
      <c r="BB1036" s="567"/>
      <c r="BC1036" s="567"/>
      <c r="BD1036" s="567"/>
      <c r="BE1036" s="567"/>
      <c r="BF1036" s="567"/>
      <c r="BG1036" s="567"/>
      <c r="BH1036" s="567"/>
      <c r="BI1036" s="567"/>
      <c r="BJ1036" s="567"/>
      <c r="BK1036" s="567"/>
      <c r="BL1036" s="567"/>
      <c r="BM1036" s="567"/>
      <c r="BN1036" s="567"/>
      <c r="BO1036" s="567"/>
      <c r="BP1036" s="567"/>
      <c r="BQ1036" s="567"/>
      <c r="BR1036" s="567"/>
      <c r="BS1036" s="567"/>
      <c r="BT1036" s="567"/>
      <c r="BU1036" s="567"/>
      <c r="BV1036" s="567"/>
      <c r="BW1036" s="567"/>
      <c r="BX1036" s="567"/>
      <c r="BY1036" s="567"/>
      <c r="BZ1036" s="567"/>
      <c r="CA1036" s="567"/>
      <c r="CB1036" s="567"/>
      <c r="CC1036" s="567"/>
      <c r="CD1036" s="567"/>
      <c r="CE1036" s="567"/>
      <c r="CF1036" s="567"/>
      <c r="CG1036" s="567"/>
      <c r="CH1036" s="567"/>
      <c r="CI1036" s="567"/>
      <c r="CJ1036" s="567"/>
      <c r="CK1036" s="567"/>
    </row>
    <row r="1037">
      <c r="A1037" s="567"/>
      <c r="B1037" s="567"/>
      <c r="C1037" s="567"/>
      <c r="D1037" s="567"/>
      <c r="E1037" s="567"/>
      <c r="F1037" s="567"/>
      <c r="G1037" s="567"/>
      <c r="H1037" s="567"/>
      <c r="I1037" s="567"/>
      <c r="J1037" s="567"/>
      <c r="K1037" s="567"/>
      <c r="L1037" s="567"/>
      <c r="M1037" s="567"/>
      <c r="N1037" s="567"/>
      <c r="O1037" s="567"/>
      <c r="P1037" s="567"/>
      <c r="Q1037" s="567"/>
      <c r="R1037" s="567"/>
      <c r="S1037" s="567"/>
      <c r="T1037" s="567"/>
      <c r="U1037" s="567"/>
      <c r="V1037" s="567"/>
      <c r="W1037" s="567"/>
      <c r="X1037" s="567"/>
      <c r="Y1037" s="567"/>
      <c r="Z1037" s="567"/>
      <c r="AA1037" s="567"/>
      <c r="AB1037" s="567"/>
      <c r="AC1037" s="567"/>
      <c r="AD1037" s="567"/>
      <c r="AE1037" s="567"/>
      <c r="AF1037" s="567"/>
      <c r="AG1037" s="567"/>
      <c r="AH1037" s="567"/>
      <c r="AI1037" s="567"/>
      <c r="AJ1037" s="567"/>
      <c r="AK1037" s="567"/>
      <c r="AL1037" s="567"/>
      <c r="AM1037" s="567"/>
      <c r="AN1037" s="567"/>
      <c r="AO1037" s="567"/>
      <c r="AP1037" s="567"/>
      <c r="AQ1037" s="567"/>
      <c r="AR1037" s="567"/>
      <c r="AS1037" s="567"/>
      <c r="AT1037" s="567"/>
      <c r="AU1037" s="567"/>
      <c r="AV1037" s="567"/>
      <c r="AW1037" s="567"/>
      <c r="AX1037" s="567"/>
      <c r="AY1037" s="567"/>
      <c r="AZ1037" s="567"/>
      <c r="BA1037" s="567"/>
      <c r="BB1037" s="567"/>
      <c r="BC1037" s="567"/>
      <c r="BD1037" s="567"/>
      <c r="BE1037" s="567"/>
      <c r="BF1037" s="567"/>
      <c r="BG1037" s="567"/>
      <c r="BH1037" s="567"/>
      <c r="BI1037" s="567"/>
      <c r="BJ1037" s="567"/>
      <c r="BK1037" s="567"/>
      <c r="BL1037" s="567"/>
      <c r="BM1037" s="567"/>
      <c r="BN1037" s="567"/>
      <c r="BO1037" s="567"/>
      <c r="BP1037" s="567"/>
      <c r="BQ1037" s="567"/>
      <c r="BR1037" s="567"/>
      <c r="BS1037" s="567"/>
      <c r="BT1037" s="567"/>
      <c r="BU1037" s="567"/>
      <c r="BV1037" s="567"/>
      <c r="BW1037" s="567"/>
      <c r="BX1037" s="567"/>
      <c r="BY1037" s="567"/>
      <c r="BZ1037" s="567"/>
      <c r="CA1037" s="567"/>
      <c r="CB1037" s="567"/>
      <c r="CC1037" s="567"/>
      <c r="CD1037" s="567"/>
      <c r="CE1037" s="567"/>
      <c r="CF1037" s="567"/>
      <c r="CG1037" s="567"/>
      <c r="CH1037" s="567"/>
      <c r="CI1037" s="567"/>
      <c r="CJ1037" s="567"/>
      <c r="CK1037" s="567"/>
    </row>
    <row r="1038">
      <c r="A1038" s="567"/>
      <c r="B1038" s="567"/>
      <c r="C1038" s="567"/>
      <c r="D1038" s="567"/>
      <c r="E1038" s="567"/>
      <c r="F1038" s="567"/>
      <c r="G1038" s="567"/>
      <c r="H1038" s="567"/>
      <c r="I1038" s="567"/>
      <c r="J1038" s="567"/>
      <c r="K1038" s="567"/>
      <c r="L1038" s="567"/>
      <c r="M1038" s="567"/>
      <c r="N1038" s="567"/>
      <c r="O1038" s="567"/>
      <c r="P1038" s="567"/>
      <c r="Q1038" s="567"/>
      <c r="R1038" s="567"/>
      <c r="S1038" s="567"/>
      <c r="T1038" s="567"/>
      <c r="U1038" s="567"/>
      <c r="V1038" s="567"/>
      <c r="W1038" s="567"/>
      <c r="X1038" s="567"/>
      <c r="Y1038" s="567"/>
      <c r="Z1038" s="567"/>
      <c r="AA1038" s="567"/>
      <c r="AB1038" s="567"/>
      <c r="AC1038" s="567"/>
      <c r="AD1038" s="567"/>
      <c r="AE1038" s="567"/>
      <c r="AF1038" s="567"/>
      <c r="AG1038" s="567"/>
      <c r="AH1038" s="567"/>
      <c r="AI1038" s="567"/>
      <c r="AJ1038" s="567"/>
      <c r="AK1038" s="567"/>
      <c r="AL1038" s="567"/>
      <c r="AM1038" s="567"/>
      <c r="AN1038" s="567"/>
      <c r="AO1038" s="567"/>
      <c r="AP1038" s="567"/>
      <c r="AQ1038" s="567"/>
      <c r="AR1038" s="567"/>
      <c r="AS1038" s="567"/>
      <c r="AT1038" s="567"/>
      <c r="AU1038" s="567"/>
      <c r="AV1038" s="567"/>
      <c r="AW1038" s="567"/>
      <c r="AX1038" s="567"/>
      <c r="AY1038" s="567"/>
      <c r="AZ1038" s="567"/>
      <c r="BA1038" s="567"/>
      <c r="BB1038" s="567"/>
      <c r="BC1038" s="567"/>
      <c r="BD1038" s="567"/>
      <c r="BE1038" s="567"/>
      <c r="BF1038" s="567"/>
      <c r="BG1038" s="567"/>
      <c r="BH1038" s="567"/>
      <c r="BI1038" s="567"/>
      <c r="BJ1038" s="567"/>
      <c r="BK1038" s="567"/>
      <c r="BL1038" s="567"/>
      <c r="BM1038" s="567"/>
      <c r="BN1038" s="567"/>
      <c r="BO1038" s="567"/>
      <c r="BP1038" s="567"/>
      <c r="BQ1038" s="567"/>
      <c r="BR1038" s="567"/>
      <c r="BS1038" s="567"/>
      <c r="BT1038" s="567"/>
      <c r="BU1038" s="567"/>
      <c r="BV1038" s="567"/>
      <c r="BW1038" s="567"/>
      <c r="BX1038" s="567"/>
      <c r="BY1038" s="567"/>
      <c r="BZ1038" s="567"/>
      <c r="CA1038" s="567"/>
      <c r="CB1038" s="567"/>
      <c r="CC1038" s="567"/>
      <c r="CD1038" s="567"/>
      <c r="CE1038" s="567"/>
      <c r="CF1038" s="567"/>
      <c r="CG1038" s="567"/>
      <c r="CH1038" s="567"/>
      <c r="CI1038" s="567"/>
      <c r="CJ1038" s="567"/>
      <c r="CK1038" s="567"/>
    </row>
    <row r="1039">
      <c r="A1039" s="567"/>
      <c r="B1039" s="567"/>
      <c r="C1039" s="567"/>
      <c r="D1039" s="567"/>
      <c r="E1039" s="567"/>
      <c r="F1039" s="567"/>
      <c r="G1039" s="567"/>
      <c r="H1039" s="567"/>
      <c r="I1039" s="567"/>
      <c r="J1039" s="567"/>
      <c r="K1039" s="567"/>
      <c r="L1039" s="567"/>
      <c r="M1039" s="567"/>
      <c r="N1039" s="567"/>
      <c r="O1039" s="567"/>
      <c r="P1039" s="567"/>
      <c r="Q1039" s="567"/>
      <c r="R1039" s="567"/>
      <c r="S1039" s="567"/>
      <c r="T1039" s="567"/>
      <c r="U1039" s="567"/>
      <c r="V1039" s="567"/>
      <c r="W1039" s="567"/>
      <c r="X1039" s="567"/>
      <c r="Y1039" s="567"/>
      <c r="Z1039" s="567"/>
      <c r="AA1039" s="567"/>
      <c r="AB1039" s="567"/>
      <c r="AC1039" s="567"/>
      <c r="AD1039" s="567"/>
      <c r="AE1039" s="567"/>
      <c r="AF1039" s="567"/>
      <c r="AG1039" s="567"/>
      <c r="AH1039" s="567"/>
      <c r="AI1039" s="567"/>
      <c r="AJ1039" s="567"/>
      <c r="AK1039" s="567"/>
      <c r="AL1039" s="567"/>
      <c r="AM1039" s="567"/>
      <c r="AN1039" s="567"/>
      <c r="AO1039" s="567"/>
      <c r="AP1039" s="567"/>
      <c r="AQ1039" s="567"/>
      <c r="AR1039" s="567"/>
      <c r="AS1039" s="567"/>
      <c r="AT1039" s="567"/>
      <c r="AU1039" s="567"/>
      <c r="AV1039" s="567"/>
      <c r="AW1039" s="567"/>
      <c r="AX1039" s="567"/>
      <c r="AY1039" s="567"/>
      <c r="AZ1039" s="567"/>
      <c r="BA1039" s="567"/>
      <c r="BB1039" s="567"/>
      <c r="BC1039" s="567"/>
      <c r="BD1039" s="567"/>
      <c r="BE1039" s="567"/>
      <c r="BF1039" s="567"/>
      <c r="BG1039" s="567"/>
      <c r="BH1039" s="567"/>
      <c r="BI1039" s="567"/>
      <c r="BJ1039" s="567"/>
      <c r="BK1039" s="567"/>
      <c r="BL1039" s="567"/>
      <c r="BM1039" s="567"/>
      <c r="BN1039" s="567"/>
      <c r="BO1039" s="567"/>
      <c r="BP1039" s="567"/>
      <c r="BQ1039" s="567"/>
      <c r="BR1039" s="567"/>
      <c r="BS1039" s="567"/>
      <c r="BT1039" s="567"/>
      <c r="BU1039" s="567"/>
      <c r="BV1039" s="567"/>
      <c r="BW1039" s="567"/>
      <c r="BX1039" s="567"/>
      <c r="BY1039" s="567"/>
      <c r="BZ1039" s="567"/>
      <c r="CA1039" s="567"/>
      <c r="CB1039" s="567"/>
      <c r="CC1039" s="567"/>
      <c r="CD1039" s="567"/>
      <c r="CE1039" s="567"/>
      <c r="CF1039" s="567"/>
      <c r="CG1039" s="567"/>
      <c r="CH1039" s="567"/>
      <c r="CI1039" s="567"/>
      <c r="CJ1039" s="567"/>
      <c r="CK1039" s="567"/>
    </row>
    <row r="1040">
      <c r="A1040" s="567"/>
      <c r="B1040" s="567"/>
      <c r="C1040" s="567"/>
      <c r="D1040" s="567"/>
      <c r="E1040" s="567"/>
      <c r="F1040" s="567"/>
      <c r="G1040" s="567"/>
      <c r="H1040" s="567"/>
      <c r="I1040" s="567"/>
      <c r="J1040" s="567"/>
      <c r="K1040" s="567"/>
      <c r="L1040" s="567"/>
      <c r="M1040" s="567"/>
      <c r="N1040" s="567"/>
      <c r="O1040" s="567"/>
      <c r="P1040" s="567"/>
      <c r="Q1040" s="567"/>
      <c r="R1040" s="567"/>
      <c r="S1040" s="567"/>
      <c r="T1040" s="567"/>
      <c r="U1040" s="567"/>
      <c r="V1040" s="567"/>
      <c r="W1040" s="567"/>
      <c r="X1040" s="567"/>
      <c r="Y1040" s="567"/>
      <c r="Z1040" s="567"/>
      <c r="AA1040" s="567"/>
      <c r="AB1040" s="567"/>
      <c r="AC1040" s="567"/>
      <c r="AD1040" s="567"/>
      <c r="AE1040" s="567"/>
      <c r="AF1040" s="567"/>
      <c r="AG1040" s="567"/>
      <c r="AH1040" s="567"/>
      <c r="AI1040" s="567"/>
      <c r="AJ1040" s="567"/>
      <c r="AK1040" s="567"/>
      <c r="AL1040" s="567"/>
      <c r="AM1040" s="567"/>
      <c r="AN1040" s="567"/>
      <c r="AO1040" s="567"/>
      <c r="AP1040" s="567"/>
      <c r="AQ1040" s="567"/>
      <c r="AR1040" s="567"/>
      <c r="AS1040" s="567"/>
      <c r="AT1040" s="567"/>
      <c r="AU1040" s="567"/>
      <c r="AV1040" s="567"/>
      <c r="AW1040" s="567"/>
      <c r="AX1040" s="567"/>
      <c r="AY1040" s="567"/>
      <c r="AZ1040" s="567"/>
      <c r="BA1040" s="567"/>
      <c r="BB1040" s="567"/>
      <c r="BC1040" s="567"/>
      <c r="BD1040" s="567"/>
      <c r="BE1040" s="567"/>
      <c r="BF1040" s="567"/>
      <c r="BG1040" s="567"/>
      <c r="BH1040" s="567"/>
      <c r="BI1040" s="567"/>
      <c r="BJ1040" s="567"/>
      <c r="BK1040" s="567"/>
      <c r="BL1040" s="567"/>
      <c r="BM1040" s="567"/>
      <c r="BN1040" s="567"/>
      <c r="BO1040" s="567"/>
      <c r="BP1040" s="567"/>
      <c r="BQ1040" s="567"/>
      <c r="BR1040" s="567"/>
      <c r="BS1040" s="567"/>
      <c r="BT1040" s="567"/>
      <c r="BU1040" s="567"/>
      <c r="BV1040" s="567"/>
      <c r="BW1040" s="567"/>
      <c r="BX1040" s="567"/>
      <c r="BY1040" s="567"/>
      <c r="BZ1040" s="567"/>
      <c r="CA1040" s="567"/>
      <c r="CB1040" s="567"/>
      <c r="CC1040" s="567"/>
      <c r="CD1040" s="567"/>
      <c r="CE1040" s="567"/>
      <c r="CF1040" s="567"/>
      <c r="CG1040" s="567"/>
      <c r="CH1040" s="567"/>
      <c r="CI1040" s="567"/>
      <c r="CJ1040" s="567"/>
      <c r="CK1040" s="567"/>
    </row>
    <row r="1041">
      <c r="A1041" s="567"/>
      <c r="B1041" s="567"/>
      <c r="C1041" s="567"/>
      <c r="D1041" s="567"/>
      <c r="E1041" s="567"/>
      <c r="F1041" s="567"/>
      <c r="G1041" s="567"/>
      <c r="H1041" s="567"/>
      <c r="I1041" s="567"/>
      <c r="J1041" s="567"/>
      <c r="K1041" s="567"/>
      <c r="L1041" s="567"/>
      <c r="M1041" s="567"/>
      <c r="N1041" s="567"/>
      <c r="O1041" s="567"/>
      <c r="P1041" s="567"/>
      <c r="Q1041" s="567"/>
      <c r="R1041" s="567"/>
      <c r="S1041" s="567"/>
      <c r="T1041" s="567"/>
      <c r="U1041" s="567"/>
      <c r="V1041" s="567"/>
      <c r="W1041" s="567"/>
      <c r="X1041" s="567"/>
      <c r="Y1041" s="567"/>
      <c r="Z1041" s="567"/>
      <c r="AA1041" s="567"/>
      <c r="AB1041" s="567"/>
      <c r="AC1041" s="567"/>
      <c r="AD1041" s="567"/>
      <c r="AE1041" s="567"/>
      <c r="AF1041" s="567"/>
      <c r="AG1041" s="567"/>
      <c r="AH1041" s="567"/>
      <c r="AI1041" s="567"/>
      <c r="AJ1041" s="567"/>
      <c r="AK1041" s="567"/>
      <c r="AL1041" s="567"/>
      <c r="AM1041" s="567"/>
      <c r="AN1041" s="567"/>
      <c r="AO1041" s="567"/>
      <c r="AP1041" s="567"/>
      <c r="AQ1041" s="567"/>
      <c r="AR1041" s="567"/>
      <c r="AS1041" s="567"/>
      <c r="AT1041" s="567"/>
      <c r="AU1041" s="567"/>
      <c r="AV1041" s="567"/>
      <c r="AW1041" s="567"/>
      <c r="AX1041" s="567"/>
      <c r="AY1041" s="567"/>
      <c r="AZ1041" s="567"/>
      <c r="BA1041" s="567"/>
      <c r="BB1041" s="567"/>
      <c r="BC1041" s="567"/>
      <c r="BD1041" s="567"/>
      <c r="BE1041" s="567"/>
      <c r="BF1041" s="567"/>
      <c r="BG1041" s="567"/>
      <c r="BH1041" s="567"/>
      <c r="BI1041" s="567"/>
      <c r="BJ1041" s="567"/>
      <c r="BK1041" s="567"/>
      <c r="BL1041" s="567"/>
      <c r="BM1041" s="567"/>
      <c r="BN1041" s="567"/>
      <c r="BO1041" s="567"/>
      <c r="BP1041" s="567"/>
      <c r="BQ1041" s="567"/>
      <c r="BR1041" s="567"/>
      <c r="BS1041" s="567"/>
      <c r="BT1041" s="567"/>
      <c r="BU1041" s="567"/>
      <c r="BV1041" s="567"/>
      <c r="BW1041" s="567"/>
      <c r="BX1041" s="567"/>
      <c r="BY1041" s="567"/>
      <c r="BZ1041" s="567"/>
      <c r="CA1041" s="567"/>
      <c r="CB1041" s="567"/>
      <c r="CC1041" s="567"/>
      <c r="CD1041" s="567"/>
      <c r="CE1041" s="567"/>
      <c r="CF1041" s="567"/>
      <c r="CG1041" s="567"/>
      <c r="CH1041" s="567"/>
      <c r="CI1041" s="567"/>
      <c r="CJ1041" s="567"/>
      <c r="CK1041" s="567"/>
    </row>
    <row r="1042">
      <c r="A1042" s="567"/>
      <c r="B1042" s="567"/>
      <c r="C1042" s="567"/>
      <c r="D1042" s="567"/>
      <c r="E1042" s="567"/>
      <c r="F1042" s="567"/>
      <c r="G1042" s="567"/>
      <c r="H1042" s="567"/>
      <c r="I1042" s="567"/>
      <c r="J1042" s="567"/>
      <c r="K1042" s="567"/>
      <c r="L1042" s="567"/>
      <c r="M1042" s="567"/>
      <c r="N1042" s="567"/>
      <c r="O1042" s="567"/>
      <c r="P1042" s="567"/>
      <c r="Q1042" s="567"/>
      <c r="R1042" s="567"/>
      <c r="S1042" s="567"/>
      <c r="T1042" s="567"/>
      <c r="U1042" s="567"/>
      <c r="V1042" s="567"/>
      <c r="W1042" s="567"/>
      <c r="X1042" s="567"/>
      <c r="Y1042" s="567"/>
      <c r="Z1042" s="567"/>
      <c r="AA1042" s="567"/>
      <c r="AB1042" s="567"/>
      <c r="AC1042" s="567"/>
      <c r="AD1042" s="567"/>
      <c r="AE1042" s="567"/>
      <c r="AF1042" s="567"/>
      <c r="AG1042" s="567"/>
      <c r="AH1042" s="567"/>
      <c r="AI1042" s="567"/>
      <c r="AJ1042" s="567"/>
      <c r="AK1042" s="567"/>
      <c r="AL1042" s="567"/>
      <c r="AM1042" s="567"/>
      <c r="AN1042" s="567"/>
      <c r="AO1042" s="567"/>
      <c r="AP1042" s="567"/>
      <c r="AQ1042" s="567"/>
      <c r="AR1042" s="567"/>
      <c r="AS1042" s="567"/>
      <c r="AT1042" s="567"/>
      <c r="AU1042" s="567"/>
      <c r="AV1042" s="567"/>
      <c r="AW1042" s="567"/>
      <c r="AX1042" s="567"/>
      <c r="AY1042" s="567"/>
      <c r="AZ1042" s="567"/>
      <c r="BA1042" s="567"/>
      <c r="BB1042" s="567"/>
      <c r="BC1042" s="567"/>
      <c r="BD1042" s="567"/>
      <c r="BE1042" s="567"/>
      <c r="BF1042" s="567"/>
      <c r="BG1042" s="567"/>
      <c r="BH1042" s="567"/>
      <c r="BI1042" s="567"/>
      <c r="BJ1042" s="567"/>
      <c r="BK1042" s="567"/>
      <c r="BL1042" s="567"/>
      <c r="BM1042" s="567"/>
      <c r="BN1042" s="567"/>
      <c r="BO1042" s="567"/>
      <c r="BP1042" s="567"/>
      <c r="BQ1042" s="567"/>
      <c r="BR1042" s="567"/>
      <c r="BS1042" s="567"/>
      <c r="BT1042" s="567"/>
      <c r="BU1042" s="567"/>
      <c r="BV1042" s="567"/>
      <c r="BW1042" s="567"/>
      <c r="BX1042" s="567"/>
      <c r="BY1042" s="567"/>
      <c r="BZ1042" s="567"/>
      <c r="CA1042" s="567"/>
      <c r="CB1042" s="567"/>
      <c r="CC1042" s="567"/>
      <c r="CD1042" s="567"/>
      <c r="CE1042" s="567"/>
      <c r="CF1042" s="567"/>
      <c r="CG1042" s="567"/>
      <c r="CH1042" s="567"/>
      <c r="CI1042" s="567"/>
      <c r="CJ1042" s="567"/>
      <c r="CK1042" s="567"/>
    </row>
  </sheetData>
  <mergeCells count="83">
    <mergeCell ref="H6:H14"/>
    <mergeCell ref="H16:H18"/>
    <mergeCell ref="V25:V26"/>
    <mergeCell ref="X25:X26"/>
    <mergeCell ref="Z25:Z26"/>
    <mergeCell ref="B25:B26"/>
    <mergeCell ref="H25:H26"/>
    <mergeCell ref="L25:L26"/>
    <mergeCell ref="N25:N26"/>
    <mergeCell ref="P25:P26"/>
    <mergeCell ref="R25:R26"/>
    <mergeCell ref="T25:T26"/>
    <mergeCell ref="A2:C3"/>
    <mergeCell ref="A4:C4"/>
    <mergeCell ref="A5:C5"/>
    <mergeCell ref="A6:A18"/>
    <mergeCell ref="B6:B15"/>
    <mergeCell ref="J6:J14"/>
    <mergeCell ref="J25:J26"/>
    <mergeCell ref="G28:J28"/>
    <mergeCell ref="A38:C38"/>
    <mergeCell ref="A39:C39"/>
    <mergeCell ref="G39:J39"/>
    <mergeCell ref="A40:C40"/>
    <mergeCell ref="A41:C41"/>
    <mergeCell ref="A19:A26"/>
    <mergeCell ref="A27:C27"/>
    <mergeCell ref="A28:C28"/>
    <mergeCell ref="A32:C32"/>
    <mergeCell ref="A33:C33"/>
    <mergeCell ref="A34:C34"/>
    <mergeCell ref="A35:C35"/>
    <mergeCell ref="A62:B62"/>
    <mergeCell ref="A64:B64"/>
    <mergeCell ref="A65:B65"/>
    <mergeCell ref="BL82:BW82"/>
    <mergeCell ref="A45:C46"/>
    <mergeCell ref="A50:B50"/>
    <mergeCell ref="A51:A53"/>
    <mergeCell ref="A55:B55"/>
    <mergeCell ref="A58:B58"/>
    <mergeCell ref="A59:B59"/>
    <mergeCell ref="A61:B61"/>
    <mergeCell ref="S1:T1"/>
    <mergeCell ref="U1:V1"/>
    <mergeCell ref="W1:X1"/>
    <mergeCell ref="Y1:Z1"/>
    <mergeCell ref="B1:C1"/>
    <mergeCell ref="G1:H1"/>
    <mergeCell ref="I1:J1"/>
    <mergeCell ref="K1:L1"/>
    <mergeCell ref="M1:N1"/>
    <mergeCell ref="O1:P1"/>
    <mergeCell ref="Q1:R1"/>
    <mergeCell ref="L6:L14"/>
    <mergeCell ref="N6:N14"/>
    <mergeCell ref="P6:P14"/>
    <mergeCell ref="R6:R14"/>
    <mergeCell ref="T6:T15"/>
    <mergeCell ref="V6:V15"/>
    <mergeCell ref="X6:X15"/>
    <mergeCell ref="Z6:Z15"/>
    <mergeCell ref="X16:X18"/>
    <mergeCell ref="Z16:Z18"/>
    <mergeCell ref="J16:J18"/>
    <mergeCell ref="L16:L18"/>
    <mergeCell ref="N16:N18"/>
    <mergeCell ref="P16:P18"/>
    <mergeCell ref="R16:R18"/>
    <mergeCell ref="T16:T18"/>
    <mergeCell ref="V16:V18"/>
    <mergeCell ref="B16:B18"/>
    <mergeCell ref="B19:B23"/>
    <mergeCell ref="V19:V23"/>
    <mergeCell ref="X19:X23"/>
    <mergeCell ref="Z19:Z23"/>
    <mergeCell ref="H19:H22"/>
    <mergeCell ref="J19:J22"/>
    <mergeCell ref="L19:L22"/>
    <mergeCell ref="N19:N22"/>
    <mergeCell ref="P19:P22"/>
    <mergeCell ref="R19:R22"/>
    <mergeCell ref="T19:T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88"/>
    <col customWidth="1" min="2" max="2" width="20.75"/>
    <col customWidth="1" min="3" max="3" width="14.38"/>
    <col customWidth="1" hidden="1" min="4" max="4" width="9.63"/>
    <col customWidth="1" hidden="1" min="5" max="5" width="9.38"/>
    <col customWidth="1" hidden="1" min="6" max="6" width="5.5"/>
    <col customWidth="1" hidden="1" min="7" max="8" width="15.75"/>
    <col customWidth="1" min="9" max="9" width="12.38"/>
    <col customWidth="1" min="10" max="11" width="11.5"/>
    <col customWidth="1" min="12" max="12" width="11.75"/>
    <col customWidth="1" min="13" max="16" width="11.63"/>
    <col customWidth="1" min="17" max="70" width="8.88"/>
  </cols>
  <sheetData>
    <row r="1">
      <c r="A1" s="568" t="s">
        <v>791</v>
      </c>
      <c r="B1" s="28"/>
      <c r="C1" s="29"/>
      <c r="D1" s="417" t="s">
        <v>647</v>
      </c>
      <c r="E1" s="15"/>
      <c r="F1" s="16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1"/>
      <c r="AU1" s="421"/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  <c r="BM1" s="421"/>
      <c r="BN1" s="421"/>
      <c r="BO1" s="421"/>
      <c r="BP1" s="421"/>
      <c r="BQ1" s="421"/>
      <c r="BR1" s="421"/>
    </row>
    <row r="2">
      <c r="A2" s="287"/>
      <c r="B2" s="114"/>
      <c r="C2" s="65"/>
      <c r="D2" s="422" t="s">
        <v>648</v>
      </c>
      <c r="E2" s="422" t="s">
        <v>649</v>
      </c>
      <c r="F2" s="423" t="s">
        <v>650</v>
      </c>
      <c r="G2" s="674" t="s">
        <v>762</v>
      </c>
      <c r="H2" s="674" t="s">
        <v>763</v>
      </c>
      <c r="I2" s="675" t="s">
        <v>764</v>
      </c>
      <c r="J2" s="676" t="s">
        <v>765</v>
      </c>
      <c r="K2" s="676" t="s">
        <v>766</v>
      </c>
      <c r="L2" s="676" t="s">
        <v>767</v>
      </c>
      <c r="M2" s="675" t="s">
        <v>792</v>
      </c>
      <c r="N2" s="675" t="s">
        <v>793</v>
      </c>
      <c r="O2" s="675" t="s">
        <v>770</v>
      </c>
      <c r="P2" s="675" t="s">
        <v>771</v>
      </c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0"/>
      <c r="AT2" s="530"/>
      <c r="AU2" s="530"/>
      <c r="AV2" s="530"/>
      <c r="AW2" s="530"/>
      <c r="AX2" s="530"/>
      <c r="AY2" s="530"/>
      <c r="AZ2" s="530"/>
      <c r="BA2" s="530"/>
      <c r="BB2" s="530"/>
      <c r="BC2" s="530"/>
      <c r="BD2" s="530"/>
      <c r="BE2" s="530"/>
      <c r="BF2" s="530"/>
      <c r="BG2" s="530"/>
      <c r="BH2" s="530"/>
      <c r="BI2" s="530"/>
      <c r="BJ2" s="530"/>
      <c r="BK2" s="530"/>
      <c r="BL2" s="530"/>
      <c r="BM2" s="530"/>
      <c r="BN2" s="530"/>
      <c r="BO2" s="530"/>
      <c r="BP2" s="530"/>
      <c r="BQ2" s="530"/>
      <c r="BR2" s="530"/>
    </row>
    <row r="3">
      <c r="A3" s="677" t="s">
        <v>729</v>
      </c>
      <c r="B3" s="678" t="s">
        <v>720</v>
      </c>
      <c r="C3" s="679"/>
      <c r="D3" s="680" t="s">
        <v>794</v>
      </c>
      <c r="E3" s="436">
        <v>2.0</v>
      </c>
      <c r="F3" s="681">
        <v>1.0</v>
      </c>
      <c r="G3" s="682">
        <f>IFERROR(__xludf.DUMMYFUNCTION("INDIRECT(CONCATENATE(""'"",INDEX(SPLIT($D3,""G""),1),CHAR(CODE(""G"")+$E3*(COLUMN()-COLUMN($G3))),INDEX(SPLIT($D3,""G""),2)))"),185924.0)</f>
        <v>185924</v>
      </c>
      <c r="H3" s="683">
        <f>IFERROR(__xludf.DUMMYFUNCTION("INDIRECT(CONCATENATE(""'"",INDEX(SPLIT($D3,""G""),1),CHAR(CODE(""G"")+$E3*(COLUMN()-COLUMN($G3))),INDEX(SPLIT($D3,""G""),2)))"),15349.0)</f>
        <v>15349</v>
      </c>
      <c r="I3" s="684">
        <f>IFERROR(__xludf.DUMMYFUNCTION("INDIRECT(CONCATENATE(""'"",INDEX(SPLIT($D3,""G""),1),CHAR(CODE(""G"")+$E3*(COLUMN()-COLUMN($G3))),INDEX(SPLIT($D3,""G""),2)))"),512095.0)</f>
        <v>512095</v>
      </c>
      <c r="J3" s="685">
        <f>IFERROR(__xludf.DUMMYFUNCTION("INDIRECT(CONCATENATE(""'"",INDEX(SPLIT($D3,""G""),1),CHAR(CODE(""G"")+$E3*(COLUMN()-COLUMN($G3))),INDEX(SPLIT($D3,""G""),2)))"),100200.0)</f>
        <v>100200</v>
      </c>
      <c r="K3" s="685">
        <f>IFERROR(__xludf.DUMMYFUNCTION("INDIRECT(CONCATENATE(""'"",INDEX(SPLIT($D3,""G""),1),CHAR(CODE(""G"")+$E3*(COLUMN()-COLUMN($G3))),INDEX(SPLIT($D3,""G""),2)))"),115895.0)</f>
        <v>115895</v>
      </c>
      <c r="L3" s="686">
        <f>IFERROR(__xludf.DUMMYFUNCTION("INDIRECT(CONCATENATE(""'"",INDEX(SPLIT($D3,""G""),1),CHAR(CODE(""G"")+$E3*(COLUMN()-COLUMN($G3))),INDEX(SPLIT($D3,""G""),2)))"),66307.0)</f>
        <v>66307</v>
      </c>
      <c r="M3" s="684">
        <f>IFERROR(__xludf.DUMMYFUNCTION("INDIRECT(CONCATENATE(""'"",INDEX(SPLIT($D3,""G""),1),CHAR(CODE(""G"")+$E3*(COLUMN()-COLUMN($G3))),INDEX(SPLIT($D3,""G""),2)))"),482472.0)</f>
        <v>482472</v>
      </c>
      <c r="N3" s="685">
        <f>IFERROR(__xludf.DUMMYFUNCTION("INDIRECT(CONCATENATE(""'"",INDEX(SPLIT($D3,""G""),1),CHAR(CODE(""G"")+$E3*(COLUMN()-COLUMN($G3))),INDEX(SPLIT($D3,""G""),2)))"),146086.0)</f>
        <v>146086</v>
      </c>
      <c r="O3" s="685">
        <f>IFERROR(__xludf.DUMMYFUNCTION("INDIRECT(CONCATENATE(""'"",INDEX(SPLIT($D3,""G""),1),CHAR(CODE(""G"")+$E3*(COLUMN()-COLUMN($G3))),INDEX(SPLIT($D3,""G""),2)))"),78810.0)</f>
        <v>78810</v>
      </c>
      <c r="P3" s="686">
        <f>IFERROR(__xludf.DUMMYFUNCTION("INDIRECT(CONCATENATE(""'"",INDEX(SPLIT($D3,""G""),1),CHAR(CODE(""G"")+$E3*(COLUMN()-COLUMN($G3))),INDEX(SPLIT($D3,""G""),2)))"),-2030.0)</f>
        <v>-2030</v>
      </c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</row>
    <row r="4">
      <c r="A4" s="457"/>
      <c r="B4" s="580" t="s">
        <v>730</v>
      </c>
      <c r="C4" s="580" t="s">
        <v>731</v>
      </c>
      <c r="D4" s="581" t="s">
        <v>795</v>
      </c>
      <c r="E4" s="444">
        <v>2.0</v>
      </c>
      <c r="F4" s="687">
        <v>1.0</v>
      </c>
      <c r="G4" s="688">
        <f>IFERROR(__xludf.DUMMYFUNCTION("INDIRECT(CONCATENATE(""'"",INDEX(SPLIT($D4,""G""),1),CHAR(CODE(""G"")+$E4*(COLUMN()-COLUMN($G4))),INDEX(SPLIT($D4,""G""),2)))"),432850.0)</f>
        <v>432850</v>
      </c>
      <c r="H4" s="537">
        <f>IFERROR(__xludf.DUMMYFUNCTION("INDIRECT(CONCATENATE(""'"",INDEX(SPLIT($D4,""G""),1),CHAR(CODE(""G"")+$E4*(COLUMN()-COLUMN($G4))),INDEX(SPLIT($D4,""G""),2)))"),301300.0)</f>
        <v>301300</v>
      </c>
      <c r="I4" s="689">
        <f>IFERROR(__xludf.DUMMYFUNCTION("INDIRECT(CONCATENATE(""'"",INDEX(SPLIT($D4,""G""),1),CHAR(CODE(""G"")+$E4*(COLUMN()-COLUMN($G4))),INDEX(SPLIT($D4,""G""),2)))"),850160.0)</f>
        <v>850160</v>
      </c>
      <c r="J4" s="537">
        <f>IFERROR(__xludf.DUMMYFUNCTION("INDIRECT(CONCATENATE(""'"",INDEX(SPLIT($D4,""G""),1),CHAR(CODE(""G"")+$E4*(COLUMN()-COLUMN($G4))),INDEX(SPLIT($D4,""G""),2)))"),387813.0)</f>
        <v>387813</v>
      </c>
      <c r="K4" s="537">
        <f>IFERROR(__xludf.DUMMYFUNCTION("INDIRECT(CONCATENATE(""'"",INDEX(SPLIT($D4,""G""),1),CHAR(CODE(""G"")+$E4*(COLUMN()-COLUMN($G4))),INDEX(SPLIT($D4,""G""),2)))"),450576.0)</f>
        <v>450576</v>
      </c>
      <c r="L4" s="538">
        <f>IFERROR(__xludf.DUMMYFUNCTION("INDIRECT(CONCATENATE(""'"",INDEX(SPLIT($D4,""G""),1),CHAR(CODE(""G"")+$E4*(COLUMN()-COLUMN($G4))),INDEX(SPLIT($D4,""G""),2)))"),421665.0)</f>
        <v>421665</v>
      </c>
      <c r="M4" s="689">
        <f>IFERROR(__xludf.DUMMYFUNCTION("INDIRECT(CONCATENATE(""'"",INDEX(SPLIT($D4,""G""),1),CHAR(CODE(""G"")+$E4*(COLUMN()-COLUMN($G4))),INDEX(SPLIT($D4,""G""),2)))"),817940.0)</f>
        <v>817940</v>
      </c>
      <c r="N4" s="537">
        <f>IFERROR(__xludf.DUMMYFUNCTION("INDIRECT(CONCATENATE(""'"",INDEX(SPLIT($D4,""G""),1),CHAR(CODE(""G"")+$E4*(COLUMN()-COLUMN($G4))),INDEX(SPLIT($D4,""G""),2)))"),445030.0)</f>
        <v>445030</v>
      </c>
      <c r="O4" s="537">
        <f>IFERROR(__xludf.DUMMYFUNCTION("INDIRECT(CONCATENATE(""'"",INDEX(SPLIT($D4,""G""),1),CHAR(CODE(""G"")+$E4*(COLUMN()-COLUMN($G4))),INDEX(SPLIT($D4,""G""),2)))"),110300.0)</f>
        <v>110300</v>
      </c>
      <c r="P4" s="538">
        <f>IFERROR(__xludf.DUMMYFUNCTION("INDIRECT(CONCATENATE(""'"",INDEX(SPLIT($D4,""G""),1),CHAR(CODE(""G"")+$E4*(COLUMN()-COLUMN($G4))),INDEX(SPLIT($D4,""G""),2)))"),0.0)</f>
        <v>0</v>
      </c>
      <c r="Q4" s="567"/>
      <c r="R4" s="567"/>
      <c r="S4" s="567"/>
      <c r="T4" s="567"/>
      <c r="U4" s="567"/>
      <c r="V4" s="567"/>
      <c r="W4" s="567"/>
      <c r="X4" s="567"/>
      <c r="Y4" s="567"/>
      <c r="Z4" s="567"/>
      <c r="AA4" s="567"/>
      <c r="AB4" s="567"/>
      <c r="AC4" s="567"/>
      <c r="AD4" s="567"/>
      <c r="AE4" s="567"/>
      <c r="AF4" s="567"/>
      <c r="AG4" s="567"/>
      <c r="AH4" s="567"/>
      <c r="AI4" s="567"/>
      <c r="AJ4" s="567"/>
      <c r="AK4" s="567"/>
      <c r="AL4" s="567"/>
      <c r="AM4" s="567"/>
      <c r="AN4" s="567"/>
      <c r="AO4" s="567"/>
      <c r="AP4" s="567"/>
      <c r="AQ4" s="567"/>
      <c r="AR4" s="567"/>
      <c r="AS4" s="567"/>
      <c r="AT4" s="567"/>
      <c r="AU4" s="567"/>
      <c r="AV4" s="567"/>
      <c r="AW4" s="567"/>
      <c r="AX4" s="567"/>
      <c r="AY4" s="567"/>
      <c r="AZ4" s="567"/>
      <c r="BA4" s="567"/>
      <c r="BB4" s="567"/>
      <c r="BC4" s="567"/>
      <c r="BD4" s="567"/>
      <c r="BE4" s="567"/>
      <c r="BF4" s="567"/>
      <c r="BG4" s="567"/>
      <c r="BH4" s="567"/>
      <c r="BI4" s="567"/>
      <c r="BJ4" s="567"/>
      <c r="BK4" s="567"/>
      <c r="BL4" s="567"/>
      <c r="BM4" s="567"/>
      <c r="BN4" s="567"/>
      <c r="BO4" s="567"/>
      <c r="BP4" s="567"/>
      <c r="BQ4" s="567"/>
      <c r="BR4" s="567"/>
    </row>
    <row r="5">
      <c r="A5" s="457"/>
      <c r="B5" s="690" t="s">
        <v>732</v>
      </c>
      <c r="C5" s="16"/>
      <c r="D5" s="572" t="s">
        <v>652</v>
      </c>
      <c r="E5" s="444" t="s">
        <v>652</v>
      </c>
      <c r="F5" s="691"/>
      <c r="G5" s="688">
        <f t="shared" ref="G5:P5" si="1">G3+G4</f>
        <v>618774</v>
      </c>
      <c r="H5" s="537">
        <f t="shared" si="1"/>
        <v>316649</v>
      </c>
      <c r="I5" s="689">
        <f t="shared" si="1"/>
        <v>1362255</v>
      </c>
      <c r="J5" s="537">
        <f t="shared" si="1"/>
        <v>488013</v>
      </c>
      <c r="K5" s="537">
        <f t="shared" si="1"/>
        <v>566471</v>
      </c>
      <c r="L5" s="538">
        <f t="shared" si="1"/>
        <v>487972</v>
      </c>
      <c r="M5" s="689">
        <f t="shared" si="1"/>
        <v>1300412</v>
      </c>
      <c r="N5" s="537">
        <f t="shared" si="1"/>
        <v>591116</v>
      </c>
      <c r="O5" s="537">
        <f t="shared" si="1"/>
        <v>189110</v>
      </c>
      <c r="P5" s="538">
        <f t="shared" si="1"/>
        <v>-2030</v>
      </c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  <c r="AB5" s="567"/>
      <c r="AC5" s="567"/>
      <c r="AD5" s="567"/>
      <c r="AE5" s="567"/>
      <c r="AF5" s="567"/>
      <c r="AG5" s="567"/>
      <c r="AH5" s="567"/>
      <c r="AI5" s="567"/>
      <c r="AJ5" s="567"/>
      <c r="AK5" s="567"/>
      <c r="AL5" s="567"/>
      <c r="AM5" s="567"/>
      <c r="AN5" s="567"/>
      <c r="AO5" s="567"/>
      <c r="AP5" s="567"/>
      <c r="AQ5" s="567"/>
      <c r="AR5" s="567"/>
      <c r="AS5" s="567"/>
      <c r="AT5" s="567"/>
      <c r="AU5" s="567"/>
      <c r="AV5" s="567"/>
      <c r="AW5" s="567"/>
      <c r="AX5" s="567"/>
      <c r="AY5" s="567"/>
      <c r="AZ5" s="567"/>
      <c r="BA5" s="567"/>
      <c r="BB5" s="567"/>
      <c r="BC5" s="567"/>
      <c r="BD5" s="567"/>
      <c r="BE5" s="567"/>
      <c r="BF5" s="567"/>
      <c r="BG5" s="567"/>
      <c r="BH5" s="567"/>
      <c r="BI5" s="567"/>
      <c r="BJ5" s="567"/>
      <c r="BK5" s="567"/>
      <c r="BL5" s="567"/>
      <c r="BM5" s="567"/>
      <c r="BN5" s="567"/>
      <c r="BO5" s="567"/>
      <c r="BP5" s="567"/>
      <c r="BQ5" s="567"/>
      <c r="BR5" s="567"/>
    </row>
    <row r="6">
      <c r="A6" s="459"/>
      <c r="B6" s="580" t="s">
        <v>733</v>
      </c>
      <c r="C6" s="692"/>
      <c r="D6" s="581" t="s">
        <v>796</v>
      </c>
      <c r="E6" s="444">
        <v>2.0</v>
      </c>
      <c r="F6" s="687">
        <v>1.0</v>
      </c>
      <c r="G6" s="688">
        <f>IFERROR(__xludf.DUMMYFUNCTION("INDIRECT(CONCATENATE(""'"",INDEX(SPLIT($D6,""G""),1),CHAR(CODE(""G"")+$E6*(COLUMN()-COLUMN($G6))),INDEX(SPLIT($D6,""G""),2)))"),40363.0)</f>
        <v>40363</v>
      </c>
      <c r="H6" s="537">
        <f>IFERROR(__xludf.DUMMYFUNCTION("INDIRECT(CONCATENATE(""'"",INDEX(SPLIT($D6,""G""),1),CHAR(CODE(""G"")+$E6*(COLUMN()-COLUMN($G6))),INDEX(SPLIT($D6,""G""),2)))"),38068.0)</f>
        <v>38068</v>
      </c>
      <c r="I6" s="689">
        <f>IFERROR(__xludf.DUMMYFUNCTION("INDIRECT(CONCATENATE(""'"",INDEX(SPLIT($D6,""G""),1),CHAR(CODE(""G"")+$E6*(COLUMN()-COLUMN($G6))),INDEX(SPLIT($D6,""G""),2)))"),36479.0)</f>
        <v>36479</v>
      </c>
      <c r="J6" s="537">
        <f>IFERROR(__xludf.DUMMYFUNCTION("INDIRECT(CONCATENATE(""'"",INDEX(SPLIT($D6,""G""),1),CHAR(CODE(""G"")+$E6*(COLUMN()-COLUMN($G6))),INDEX(SPLIT($D6,""G""),2)))"),38512.0)</f>
        <v>38512</v>
      </c>
      <c r="K6" s="537">
        <f>IFERROR(__xludf.DUMMYFUNCTION("INDIRECT(CONCATENATE(""'"",INDEX(SPLIT($D6,""G""),1),CHAR(CODE(""G"")+$E6*(COLUMN()-COLUMN($G6))),INDEX(SPLIT($D6,""G""),2)))"),77433.0)</f>
        <v>77433</v>
      </c>
      <c r="L6" s="538">
        <f>IFERROR(__xludf.DUMMYFUNCTION("INDIRECT(CONCATENATE(""'"",INDEX(SPLIT($D6,""G""),1),CHAR(CODE(""G"")+$E6*(COLUMN()-COLUMN($G6))),INDEX(SPLIT($D6,""G""),2)))"),39180.0)</f>
        <v>39180</v>
      </c>
      <c r="M6" s="689">
        <f>IFERROR(__xludf.DUMMYFUNCTION("INDIRECT(CONCATENATE(""'"",INDEX(SPLIT($D6,""G""),1),CHAR(CODE(""G"")+$E6*(COLUMN()-COLUMN($G6))),INDEX(SPLIT($D6,""G""),2)))"),955724.0)</f>
        <v>955724</v>
      </c>
      <c r="N6" s="537">
        <f>IFERROR(__xludf.DUMMYFUNCTION("INDIRECT(CONCATENATE(""'"",INDEX(SPLIT($D6,""G""),1),CHAR(CODE(""G"")+$E6*(COLUMN()-COLUMN($G6))),INDEX(SPLIT($D6,""G""),2)))"),20800.0)</f>
        <v>20800</v>
      </c>
      <c r="O6" s="537">
        <f>IFERROR(__xludf.DUMMYFUNCTION("INDIRECT(CONCATENATE(""'"",INDEX(SPLIT($D6,""G""),1),CHAR(CODE(""G"")+$E6*(COLUMN()-COLUMN($G6))),INDEX(SPLIT($D6,""G""),2)))"),6000.0)</f>
        <v>6000</v>
      </c>
      <c r="P6" s="538">
        <f>IFERROR(__xludf.DUMMYFUNCTION("INDIRECT(CONCATENATE(""'"",INDEX(SPLIT($D6,""G""),1),CHAR(CODE(""G"")+$E6*(COLUMN()-COLUMN($G6))),INDEX(SPLIT($D6,""G""),2)))"),0.0)</f>
        <v>0</v>
      </c>
      <c r="Q6" s="567"/>
      <c r="R6" s="567"/>
      <c r="S6" s="567"/>
      <c r="T6" s="567"/>
      <c r="U6" s="567"/>
      <c r="V6" s="567"/>
      <c r="W6" s="567"/>
      <c r="X6" s="567"/>
      <c r="Y6" s="567"/>
      <c r="Z6" s="567"/>
      <c r="AA6" s="567"/>
      <c r="AB6" s="567"/>
      <c r="AC6" s="567"/>
      <c r="AD6" s="567"/>
      <c r="AE6" s="567"/>
      <c r="AF6" s="567"/>
      <c r="AG6" s="567"/>
      <c r="AH6" s="567"/>
      <c r="AI6" s="567"/>
      <c r="AJ6" s="567"/>
      <c r="AK6" s="567"/>
      <c r="AL6" s="567"/>
      <c r="AM6" s="567"/>
      <c r="AN6" s="567"/>
      <c r="AO6" s="567"/>
      <c r="AP6" s="567"/>
      <c r="AQ6" s="567"/>
      <c r="AR6" s="567"/>
      <c r="AS6" s="567"/>
      <c r="AT6" s="567"/>
      <c r="AU6" s="567"/>
      <c r="AV6" s="567"/>
      <c r="AW6" s="567"/>
      <c r="AX6" s="567"/>
      <c r="AY6" s="567"/>
      <c r="AZ6" s="567"/>
      <c r="BA6" s="567"/>
      <c r="BB6" s="567"/>
      <c r="BC6" s="567"/>
      <c r="BD6" s="567"/>
      <c r="BE6" s="567"/>
      <c r="BF6" s="567"/>
      <c r="BG6" s="567"/>
      <c r="BH6" s="567"/>
      <c r="BI6" s="567"/>
      <c r="BJ6" s="567"/>
      <c r="BK6" s="567"/>
      <c r="BL6" s="567"/>
      <c r="BM6" s="567"/>
      <c r="BN6" s="567"/>
      <c r="BO6" s="567"/>
      <c r="BP6" s="567"/>
      <c r="BQ6" s="567"/>
      <c r="BR6" s="567"/>
    </row>
    <row r="7">
      <c r="A7" s="693" t="s">
        <v>734</v>
      </c>
      <c r="B7" s="15"/>
      <c r="C7" s="16"/>
      <c r="D7" s="583" t="s">
        <v>652</v>
      </c>
      <c r="E7" s="584" t="s">
        <v>652</v>
      </c>
      <c r="F7" s="694"/>
      <c r="G7" s="695">
        <f t="shared" ref="G7:P7" si="2">G5-G6</f>
        <v>578411</v>
      </c>
      <c r="H7" s="696">
        <f t="shared" si="2"/>
        <v>278581</v>
      </c>
      <c r="I7" s="697">
        <f t="shared" si="2"/>
        <v>1325776</v>
      </c>
      <c r="J7" s="696">
        <f t="shared" si="2"/>
        <v>449501</v>
      </c>
      <c r="K7" s="696">
        <f t="shared" si="2"/>
        <v>489038</v>
      </c>
      <c r="L7" s="698">
        <f t="shared" si="2"/>
        <v>448792</v>
      </c>
      <c r="M7" s="697">
        <f t="shared" si="2"/>
        <v>344688</v>
      </c>
      <c r="N7" s="696">
        <f t="shared" si="2"/>
        <v>570316</v>
      </c>
      <c r="O7" s="696">
        <f t="shared" si="2"/>
        <v>183110</v>
      </c>
      <c r="P7" s="698">
        <f t="shared" si="2"/>
        <v>-2030</v>
      </c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7"/>
      <c r="BD7" s="567"/>
      <c r="BE7" s="567"/>
      <c r="BF7" s="567"/>
      <c r="BG7" s="567"/>
      <c r="BH7" s="567"/>
      <c r="BI7" s="567"/>
      <c r="BJ7" s="567"/>
      <c r="BK7" s="567"/>
      <c r="BL7" s="567"/>
      <c r="BM7" s="567"/>
      <c r="BN7" s="567"/>
      <c r="BO7" s="567"/>
      <c r="BP7" s="567"/>
      <c r="BQ7" s="567"/>
      <c r="BR7" s="567"/>
    </row>
    <row r="8">
      <c r="A8" s="699" t="s">
        <v>735</v>
      </c>
      <c r="B8" s="580" t="s">
        <v>736</v>
      </c>
      <c r="C8" s="580" t="s">
        <v>742</v>
      </c>
      <c r="D8" s="581" t="s">
        <v>797</v>
      </c>
      <c r="E8" s="444">
        <v>2.0</v>
      </c>
      <c r="F8" s="687">
        <v>3.0</v>
      </c>
      <c r="G8" s="700">
        <f>IFERROR(__xludf.DUMMYFUNCTION("SUM(INDIRECT(CONCATENATE(""'"",INDEX(SPLIT($D8,""G""),1),CHAR(CODE(""G"")+$E8*(COLUMN()-COLUMN($G8))),INDEX(SPLIT($D8,""G""),2),"":"",CHAR(CODE(""G"")+$E8*(COLUMN()-COLUMN($G8))),INDEX(SPLIT($D8,""G""),2)+($F8-1))))"),3128740.0)</f>
        <v>3128740</v>
      </c>
      <c r="H8" s="542">
        <f>IFERROR(__xludf.DUMMYFUNCTION("SUM(INDIRECT(CONCATENATE(""'"",INDEX(SPLIT($D8,""G""),1),CHAR(CODE(""G"")+$E8*(COLUMN()-COLUMN($G8))),INDEX(SPLIT($D8,""G""),2),"":"",CHAR(CODE(""G"")+$E8*(COLUMN()-COLUMN($G8))),INDEX(SPLIT($D8,""G""),2)+($F8-1))))"),3634645.0)</f>
        <v>3634645</v>
      </c>
      <c r="I8" s="701">
        <f>IFERROR(__xludf.DUMMYFUNCTION("SUM(INDIRECT(CONCATENATE(""'"",INDEX(SPLIT($D8,""G""),1),CHAR(CODE(""G"")+$E8*(COLUMN()-COLUMN($G8))),INDEX(SPLIT($D8,""G""),2),"":"",CHAR(CODE(""G"")+$E8*(COLUMN()-COLUMN($G8))),INDEX(SPLIT($D8,""G""),2)+($F8-1))))"),4163071.0)</f>
        <v>4163071</v>
      </c>
      <c r="J8" s="542">
        <f>IFERROR(__xludf.DUMMYFUNCTION("SUM(INDIRECT(CONCATENATE(""'"",INDEX(SPLIT($D8,""G""),1),CHAR(CODE(""G"")+$E8*(COLUMN()-COLUMN($G8))),INDEX(SPLIT($D8,""G""),2),"":"",CHAR(CODE(""G"")+$E8*(COLUMN()-COLUMN($G8))),INDEX(SPLIT($D8,""G""),2)+($F8-1))))"),3415062.0)</f>
        <v>3415062</v>
      </c>
      <c r="K8" s="542">
        <f>IFERROR(__xludf.DUMMYFUNCTION("SUM(INDIRECT(CONCATENATE(""'"",INDEX(SPLIT($D8,""G""),1),CHAR(CODE(""G"")+$E8*(COLUMN()-COLUMN($G8))),INDEX(SPLIT($D8,""G""),2),"":"",CHAR(CODE(""G"")+$E8*(COLUMN()-COLUMN($G8))),INDEX(SPLIT($D8,""G""),2)+($F8-1))))"),3321042.0)</f>
        <v>3321042</v>
      </c>
      <c r="L8" s="543">
        <f>IFERROR(__xludf.DUMMYFUNCTION("SUM(INDIRECT(CONCATENATE(""'"",INDEX(SPLIT($D8,""G""),1),CHAR(CODE(""G"")+$E8*(COLUMN()-COLUMN($G8))),INDEX(SPLIT($D8,""G""),2),"":"",CHAR(CODE(""G"")+$E8*(COLUMN()-COLUMN($G8))),INDEX(SPLIT($D8,""G""),2)+($F8-1))))"),3265437.0)</f>
        <v>3265437</v>
      </c>
      <c r="M8" s="701">
        <f>IFERROR(__xludf.DUMMYFUNCTION("SUM(INDIRECT(CONCATENATE(""'"",INDEX(SPLIT($D8,""G""),1),CHAR(CODE(""G"")+$E8*(COLUMN()-COLUMN($G8))),INDEX(SPLIT($D8,""G""),2),"":"",CHAR(CODE(""G"")+$E8*(COLUMN()-COLUMN($G8))),INDEX(SPLIT($D8,""G""),2)+($F8-1))))"),3767860.0)</f>
        <v>3767860</v>
      </c>
      <c r="N8" s="542">
        <f>IFERROR(__xludf.DUMMYFUNCTION("SUM(INDIRECT(CONCATENATE(""'"",INDEX(SPLIT($D8,""G""),1),CHAR(CODE(""G"")+$E8*(COLUMN()-COLUMN($G8))),INDEX(SPLIT($D8,""G""),2),"":"",CHAR(CODE(""G"")+$E8*(COLUMN()-COLUMN($G8))),INDEX(SPLIT($D8,""G""),2)+($F8-1))))"),3081427.0)</f>
        <v>3081427</v>
      </c>
      <c r="O8" s="542">
        <f>IFERROR(__xludf.DUMMYFUNCTION("SUM(INDIRECT(CONCATENATE(""'"",INDEX(SPLIT($D8,""G""),1),CHAR(CODE(""G"")+$E8*(COLUMN()-COLUMN($G8))),INDEX(SPLIT($D8,""G""),2),"":"",CHAR(CODE(""G"")+$E8*(COLUMN()-COLUMN($G8))),INDEX(SPLIT($D8,""G""),2)+($F8-1))))"),0.0)</f>
        <v>0</v>
      </c>
      <c r="P8" s="543">
        <f>IFERROR(__xludf.DUMMYFUNCTION("SUM(INDIRECT(CONCATENATE(""'"",INDEX(SPLIT($D8,""G""),1),CHAR(CODE(""G"")+$E8*(COLUMN()-COLUMN($G8))),INDEX(SPLIT($D8,""G""),2),"":"",CHAR(CODE(""G"")+$E8*(COLUMN()-COLUMN($G8))),INDEX(SPLIT($D8,""G""),2)+($F8-1))))"),0.0)</f>
        <v>0</v>
      </c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7"/>
      <c r="AE8" s="567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7"/>
      <c r="BK8" s="567"/>
      <c r="BL8" s="567"/>
      <c r="BM8" s="567"/>
      <c r="BN8" s="567"/>
      <c r="BO8" s="567"/>
      <c r="BP8" s="567"/>
      <c r="BQ8" s="567"/>
      <c r="BR8" s="567"/>
    </row>
    <row r="9">
      <c r="A9" s="457"/>
      <c r="B9" s="580" t="s">
        <v>736</v>
      </c>
      <c r="C9" s="580" t="s">
        <v>677</v>
      </c>
      <c r="D9" s="581" t="s">
        <v>798</v>
      </c>
      <c r="E9" s="444">
        <v>2.0</v>
      </c>
      <c r="F9" s="687">
        <v>1.0</v>
      </c>
      <c r="G9" s="700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H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I9" s="701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J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K9" s="542">
        <f>IFERROR(__xludf.DUMMYFUNCTION("SUM(INDIRECT(CONCATENATE(""'"",INDEX(SPLIT($D9,""G""),1),CHAR(CODE(""G"")+$E9*(COLUMN()-COLUMN($G9))),INDEX(SPLIT($D9,""G""),2),"":"",CHAR(CODE(""G"")+$E9*(COLUMN()-COLUMN($G9))),INDEX(SPLIT($D9,""G""),2)+($F9-1))))"),34025.0)</f>
        <v>34025</v>
      </c>
      <c r="L9" s="543">
        <f>IFERROR(__xludf.DUMMYFUNCTION("SUM(INDIRECT(CONCATENATE(""'"",INDEX(SPLIT($D9,""G""),1),CHAR(CODE(""G"")+$E9*(COLUMN()-COLUMN($G9))),INDEX(SPLIT($D9,""G""),2),"":"",CHAR(CODE(""G"")+$E9*(COLUMN()-COLUMN($G9))),INDEX(SPLIT($D9,""G""),2)+($F9-1))))"),136713.0)</f>
        <v>136713</v>
      </c>
      <c r="M9" s="701">
        <f>IFERROR(__xludf.DUMMYFUNCTION("SUM(INDIRECT(CONCATENATE(""'"",INDEX(SPLIT($D10,""G""),1),CHAR(CODE(""G"")+$E10*(COLUMN()-COLUMN($G10))),INDEX(SPLIT($D10,""G""),2),"":"",CHAR(CODE(""G"")+$E10*(COLUMN()-COLUMN($G10))),INDEX(SPLIT($D10,""G""),2)+($F10-1))))"),1985656.0)</f>
        <v>1985656</v>
      </c>
      <c r="N9" s="542">
        <f>IFERROR(__xludf.DUMMYFUNCTION("SUM(INDIRECT(CONCATENATE(""'"",INDEX(SPLIT($D9,""G""),1),CHAR(CODE(""G"")+$E9*(COLUMN()-COLUMN($G9))),INDEX(SPLIT($D9,""G""),2),"":"",CHAR(CODE(""G"")+$E9*(COLUMN()-COLUMN($G9))),INDEX(SPLIT($D9,""G""),2)+($F9-1))))"),777908.0)</f>
        <v>777908</v>
      </c>
      <c r="O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P9" s="543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567"/>
      <c r="AI9" s="567"/>
      <c r="AJ9" s="567"/>
      <c r="AK9" s="567"/>
      <c r="AL9" s="567"/>
      <c r="AM9" s="567"/>
      <c r="AN9" s="567"/>
      <c r="AO9" s="567"/>
      <c r="AP9" s="567"/>
      <c r="AQ9" s="567"/>
      <c r="AR9" s="567"/>
      <c r="AS9" s="567"/>
      <c r="AT9" s="567"/>
      <c r="AU9" s="567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567"/>
      <c r="BG9" s="567"/>
      <c r="BH9" s="567"/>
      <c r="BI9" s="567"/>
      <c r="BJ9" s="567"/>
      <c r="BK9" s="567"/>
      <c r="BL9" s="567"/>
      <c r="BM9" s="567"/>
      <c r="BN9" s="567"/>
      <c r="BO9" s="567"/>
      <c r="BP9" s="567"/>
      <c r="BQ9" s="567"/>
      <c r="BR9" s="567"/>
    </row>
    <row r="10">
      <c r="A10" s="457"/>
      <c r="B10" s="580" t="s">
        <v>736</v>
      </c>
      <c r="C10" s="580" t="s">
        <v>678</v>
      </c>
      <c r="D10" s="581" t="s">
        <v>799</v>
      </c>
      <c r="E10" s="444">
        <v>2.0</v>
      </c>
      <c r="F10" s="687">
        <v>2.0</v>
      </c>
      <c r="G10" s="700">
        <f>IFERROR(__xludf.DUMMYFUNCTION("SUM(INDIRECT(CONCATENATE(""'"",INDEX(SPLIT($D10,""G""),1),CHAR(CODE(""G"")+$E10*(COLUMN()-COLUMN($G10))),INDEX(SPLIT($D10,""G""),2),"":"",CHAR(CODE(""G"")+$E10*(COLUMN()-COLUMN($G10))),INDEX(SPLIT($D10,""G""),2)+($F10-1))))"),1010624.0)</f>
        <v>1010624</v>
      </c>
      <c r="H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IFERROR(__xludf.DUMMYFUNCTION("SUM(INDIRECT(CONCATENATE(""'"",INDEX(SPLIT($D10,""G""),1),CHAR(CODE(""G"")+$E10*(COLUMN()-COLUMN($G10))),INDEX(SPLIT($D10,""G""),2),"":"",CHAR(CODE(""G"")+$E10*(COLUMN()-COLUMN($G10))),INDEX(SPLIT($D10,""G""),2)+($F10-1))))"),1412313.0)</f>
        <v>1412313</v>
      </c>
      <c r="I10" s="701">
        <f>IFERROR(__xludf.DUMMYFUNCTION("SUM(INDIRECT(CONCATENATE(""'"",INDEX(SPLIT($D10,""G""),1),CHAR(CODE(""G"")+$E10*(COLUMN()-COLUMN($G10))),INDEX(SPLIT($D10,""G""),2),"":"",CHAR(CODE(""G"")+$E10*(COLUMN()-COLUMN($G10))),INDEX(SPLIT($D10,""G""),2)+($F10-1))))"),1448489.0)</f>
        <v>1448489</v>
      </c>
      <c r="J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IFERROR(__xludf.DUMMYFUNCTION("SUM(INDIRECT(CONCATENATE(""'"",INDEX(SPLIT($D10,""G""),1),CHAR(CODE(""G"")+$E10*(COLUMN()-COLUMN($G10))),INDEX(SPLIT($D10,""G""),2),"":"",CHAR(CODE(""G"")+$E10*(COLUMN()-COLUMN($G10))),INDEX(SPLIT($D10,""G""),2)+($F10-1))))"),1419198.0)</f>
        <v>1419198</v>
      </c>
      <c r="K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IFERROR(__xludf.DUMMYFUNCTION("SUM(INDIRECT(CONCATENATE(""'"",INDEX(SPLIT($D10,""G""),1),CHAR(CODE(""G"")+$E10*(COLUMN()-COLUMN($G10))),INDEX(SPLIT($D10,""G""),2),"":"",CHAR(CODE(""G"")+$E10*(COLUMN()-COLUMN($G10))),INDEX(SPLIT($D10,""G""),2)+($F10-1))))"),1594875.0)</f>
        <v>1594875</v>
      </c>
      <c r="L10" s="543">
        <f>IFERROR(__xludf.DUMMYFUNCTION("SUM(INDIRECT(CONCATENATE(""'"",INDEX(SPLIT($D10,""G""),1),CHAR(CODE(""G"")+$E10*(COLUMN()-COLUMN($G10))),INDEX(SPLIT($D10,""G""),2),"":"",CHAR(CODE(""G"")+$E10*(COLUMN()-COLUMN($G10))),INDEX(SPLIT($D10,""G""),2)+($F10-1))))"),1666476.0)</f>
        <v>1666476</v>
      </c>
      <c r="N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IFERROR(__xludf.DUMMYFUNCTION("SUM(INDIRECT(CONCATENATE(""'"",INDEX(SPLIT($D10,""G""),1),CHAR(CODE(""G"")+$E10*(COLUMN()-COLUMN($G10))),INDEX(SPLIT($D10,""G""),2),"":"",CHAR(CODE(""G"")+$E10*(COLUMN()-COLUMN($G10))),INDEX(SPLIT($D10,""G""),2)+($F10-1))))"),2741516.0)</f>
        <v>2741516</v>
      </c>
      <c r="O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P10" s="543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D10" s="567"/>
      <c r="AE10" s="567"/>
      <c r="AF10" s="567"/>
      <c r="AG10" s="567"/>
      <c r="AH10" s="567"/>
      <c r="AI10" s="567"/>
      <c r="AJ10" s="567"/>
      <c r="AK10" s="567"/>
      <c r="AL10" s="567"/>
      <c r="AM10" s="567"/>
      <c r="AN10" s="567"/>
      <c r="AO10" s="567"/>
      <c r="AP10" s="567"/>
      <c r="AQ10" s="567"/>
      <c r="AR10" s="567"/>
      <c r="AS10" s="567"/>
      <c r="AT10" s="567"/>
      <c r="AU10" s="567"/>
      <c r="AV10" s="567"/>
      <c r="AW10" s="567"/>
      <c r="AX10" s="567"/>
      <c r="AY10" s="567"/>
      <c r="AZ10" s="567"/>
      <c r="BA10" s="567"/>
      <c r="BB10" s="567"/>
      <c r="BC10" s="567"/>
      <c r="BD10" s="567"/>
      <c r="BE10" s="567"/>
      <c r="BF10" s="567"/>
      <c r="BG10" s="567"/>
      <c r="BH10" s="567"/>
      <c r="BI10" s="567"/>
      <c r="BJ10" s="567"/>
      <c r="BK10" s="567"/>
      <c r="BL10" s="567"/>
      <c r="BM10" s="567"/>
      <c r="BN10" s="567"/>
      <c r="BO10" s="567"/>
      <c r="BP10" s="567"/>
      <c r="BQ10" s="567"/>
      <c r="BR10" s="567"/>
    </row>
    <row r="11">
      <c r="A11" s="457"/>
      <c r="B11" s="580" t="s">
        <v>741</v>
      </c>
      <c r="C11" s="580" t="s">
        <v>742</v>
      </c>
      <c r="D11" s="572" t="s">
        <v>652</v>
      </c>
      <c r="E11" s="444" t="s">
        <v>652</v>
      </c>
      <c r="F11" s="687" t="s">
        <v>652</v>
      </c>
      <c r="G11" s="700">
        <v>0.0</v>
      </c>
      <c r="H11" s="542">
        <f t="shared" ref="H11:L11" si="3">G8</f>
        <v>3128740</v>
      </c>
      <c r="I11" s="701">
        <f t="shared" si="3"/>
        <v>3634645</v>
      </c>
      <c r="J11" s="542">
        <f t="shared" si="3"/>
        <v>4163071</v>
      </c>
      <c r="K11" s="542">
        <f t="shared" si="3"/>
        <v>3415062</v>
      </c>
      <c r="L11" s="543">
        <f t="shared" si="3"/>
        <v>3321042</v>
      </c>
      <c r="M11" s="701" t="str">
        <f t="shared" ref="M11:M13" si="6">#REF!</f>
        <v>#REF!</v>
      </c>
      <c r="N11" s="542">
        <f t="shared" ref="N11:P11" si="4">M8</f>
        <v>3767860</v>
      </c>
      <c r="O11" s="542">
        <f t="shared" si="4"/>
        <v>3081427</v>
      </c>
      <c r="P11" s="543">
        <f t="shared" si="4"/>
        <v>0</v>
      </c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  <c r="AY11" s="567"/>
      <c r="AZ11" s="567"/>
      <c r="BA11" s="567"/>
      <c r="BB11" s="567"/>
      <c r="BC11" s="567"/>
      <c r="BD11" s="567"/>
      <c r="BE11" s="567"/>
      <c r="BF11" s="567"/>
      <c r="BG11" s="567"/>
      <c r="BH11" s="567"/>
      <c r="BI11" s="567"/>
      <c r="BJ11" s="567"/>
      <c r="BK11" s="567"/>
      <c r="BL11" s="567"/>
      <c r="BM11" s="567"/>
      <c r="BN11" s="567"/>
      <c r="BO11" s="567"/>
      <c r="BP11" s="567"/>
      <c r="BQ11" s="567"/>
      <c r="BR11" s="567"/>
    </row>
    <row r="12">
      <c r="A12" s="457"/>
      <c r="B12" s="580" t="s">
        <v>741</v>
      </c>
      <c r="C12" s="580" t="s">
        <v>677</v>
      </c>
      <c r="D12" s="572" t="s">
        <v>652</v>
      </c>
      <c r="E12" s="444" t="s">
        <v>652</v>
      </c>
      <c r="F12" s="687" t="s">
        <v>652</v>
      </c>
      <c r="G12" s="700">
        <v>0.0</v>
      </c>
      <c r="H12" s="542">
        <f t="shared" ref="H12:L12" si="5">G9</f>
        <v>0</v>
      </c>
      <c r="I12" s="701">
        <f t="shared" si="5"/>
        <v>0</v>
      </c>
      <c r="J12" s="542">
        <f t="shared" si="5"/>
        <v>0</v>
      </c>
      <c r="K12" s="542">
        <f t="shared" si="5"/>
        <v>0</v>
      </c>
      <c r="L12" s="543">
        <f t="shared" si="5"/>
        <v>34025</v>
      </c>
      <c r="M12" s="701" t="str">
        <f t="shared" si="6"/>
        <v>#REF!</v>
      </c>
      <c r="N12" s="542" t="str">
        <f>#REF!</f>
        <v>#REF!</v>
      </c>
      <c r="O12" s="542">
        <f t="shared" ref="O12:P12" si="7">N9</f>
        <v>777908</v>
      </c>
      <c r="P12" s="543">
        <f t="shared" si="7"/>
        <v>0</v>
      </c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567"/>
      <c r="BJ12" s="567"/>
      <c r="BK12" s="567"/>
      <c r="BL12" s="567"/>
      <c r="BM12" s="567"/>
      <c r="BN12" s="567"/>
      <c r="BO12" s="567"/>
      <c r="BP12" s="567"/>
      <c r="BQ12" s="567"/>
      <c r="BR12" s="567"/>
    </row>
    <row r="13">
      <c r="A13" s="457"/>
      <c r="B13" s="580" t="s">
        <v>741</v>
      </c>
      <c r="C13" s="580" t="s">
        <v>678</v>
      </c>
      <c r="D13" s="572" t="s">
        <v>652</v>
      </c>
      <c r="E13" s="444" t="s">
        <v>652</v>
      </c>
      <c r="F13" s="687" t="s">
        <v>652</v>
      </c>
      <c r="G13" s="700">
        <v>0.0</v>
      </c>
      <c r="H13" s="542">
        <f t="shared" ref="H13:L13" si="8">G10</f>
        <v>1010624</v>
      </c>
      <c r="I13" s="701">
        <f t="shared" si="8"/>
        <v>1412313</v>
      </c>
      <c r="J13" s="542">
        <f t="shared" si="8"/>
        <v>1448489</v>
      </c>
      <c r="K13" s="542">
        <f t="shared" si="8"/>
        <v>1419198</v>
      </c>
      <c r="L13" s="543">
        <f t="shared" si="8"/>
        <v>1594875</v>
      </c>
      <c r="M13" s="701" t="str">
        <f t="shared" si="6"/>
        <v>#REF!</v>
      </c>
      <c r="N13" s="542">
        <f>M9</f>
        <v>1985656</v>
      </c>
      <c r="O13" s="542">
        <f t="shared" ref="O13:P13" si="9">N10</f>
        <v>2741516</v>
      </c>
      <c r="P13" s="543">
        <f t="shared" si="9"/>
        <v>0</v>
      </c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67"/>
      <c r="AG13" s="567"/>
      <c r="AH13" s="567"/>
      <c r="AI13" s="567"/>
      <c r="AJ13" s="567"/>
      <c r="AK13" s="567"/>
      <c r="AL13" s="567"/>
      <c r="AM13" s="567"/>
      <c r="AN13" s="567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567"/>
      <c r="BJ13" s="567"/>
      <c r="BK13" s="567"/>
      <c r="BL13" s="567"/>
      <c r="BM13" s="567"/>
      <c r="BN13" s="567"/>
      <c r="BO13" s="567"/>
      <c r="BP13" s="567"/>
      <c r="BQ13" s="567"/>
      <c r="BR13" s="567"/>
    </row>
    <row r="14">
      <c r="A14" s="457"/>
      <c r="B14" s="580" t="s">
        <v>725</v>
      </c>
      <c r="C14" s="580" t="s">
        <v>743</v>
      </c>
      <c r="D14" s="581" t="s">
        <v>800</v>
      </c>
      <c r="E14" s="444">
        <v>2.0</v>
      </c>
      <c r="F14" s="687">
        <v>1.0</v>
      </c>
      <c r="G14" s="700">
        <v>0.0</v>
      </c>
      <c r="H14" s="537" t="str">
        <f>IFERROR(__xludf.DUMMYFUNCTION("INDIRECT(CONCATENATE(""'"",INDEX(SPLIT($D14,""G""),1),CHAR(CODE(""G"")+$E14*(COLUMN()-COLUMN($G14))),INDEX(SPLIT($D14,""G""),2)))"),"金額")</f>
        <v>金額</v>
      </c>
      <c r="I14" s="689" t="str">
        <f>IFERROR(__xludf.DUMMYFUNCTION("INDIRECT(CONCATENATE(""'"",INDEX(SPLIT($D14,""G""),1),CHAR(CODE(""G"")+$E14*(COLUMN()-COLUMN($G14))),INDEX(SPLIT($D14,""G""),2)))"),"金額")</f>
        <v>金額</v>
      </c>
      <c r="J14" s="537" t="str">
        <f>IFERROR(__xludf.DUMMYFUNCTION("INDIRECT(CONCATENATE(""'"",INDEX(SPLIT($D14,""G""),1),CHAR(CODE(""G"")+$E14*(COLUMN()-COLUMN($G14))),INDEX(SPLIT($D14,""G""),2)))"),"金額")</f>
        <v>金額</v>
      </c>
      <c r="K14" s="537" t="str">
        <f>IFERROR(__xludf.DUMMYFUNCTION("INDIRECT(CONCATENATE(""'"",INDEX(SPLIT($D14,""G""),1),CHAR(CODE(""G"")+$E14*(COLUMN()-COLUMN($G14))),INDEX(SPLIT($D14,""G""),2)))"),"金額")</f>
        <v>金額</v>
      </c>
      <c r="L14" s="538" t="str">
        <f>IFERROR(__xludf.DUMMYFUNCTION("INDIRECT(CONCATENATE(""'"",INDEX(SPLIT($D14,""G""),1),CHAR(CODE(""G"")+$E14*(COLUMN()-COLUMN($G14))),INDEX(SPLIT($D14,""G""),2)))"),"金額")</f>
        <v>金額</v>
      </c>
      <c r="M14" s="689" t="str">
        <f>IFERROR(__xludf.DUMMYFUNCTION("INDIRECT(CONCATENATE(""'"",INDEX(SPLIT($D14,""G""),1),CHAR(CODE(""G"")+$E14*(COLUMN()-COLUMN($G14))),INDEX(SPLIT($D14,""G""),2)))"),"金額")</f>
        <v>金額</v>
      </c>
      <c r="N14" s="537" t="str">
        <f>IFERROR(__xludf.DUMMYFUNCTION("INDIRECT(CONCATENATE(""'"",INDEX(SPLIT($D14,""G""),1),CHAR(CODE(""G"")+$E14*(COLUMN()-COLUMN($G14))),INDEX(SPLIT($D14,""G""),2)))"),"金額")</f>
        <v>金額</v>
      </c>
      <c r="O14" s="537" t="str">
        <f>IFERROR(__xludf.DUMMYFUNCTION("INDIRECT(CONCATENATE(""'"",INDEX(SPLIT($D14,""G""),1),CHAR(CODE(""G"")+$E14*(COLUMN()-COLUMN($G14))),INDEX(SPLIT($D14,""G""),2)))"),"金額")</f>
        <v>金額</v>
      </c>
      <c r="P14" s="538" t="str">
        <f>IFERROR(__xludf.DUMMYFUNCTION("INDIRECT(CONCATENATE(""'"",INDEX(SPLIT($D14,""G""),1),CHAR(CODE(""G"")+$E14*(COLUMN()-COLUMN($G14))),INDEX(SPLIT($D14,""G""),2)))"),"金額")</f>
        <v>金額</v>
      </c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  <c r="AB14" s="567"/>
      <c r="AC14" s="567"/>
      <c r="AD14" s="567"/>
      <c r="AE14" s="567"/>
      <c r="AF14" s="567"/>
      <c r="AG14" s="567"/>
      <c r="AH14" s="567"/>
      <c r="AI14" s="567"/>
      <c r="AJ14" s="567"/>
      <c r="AK14" s="567"/>
      <c r="AL14" s="567"/>
      <c r="AM14" s="567"/>
      <c r="AN14" s="567"/>
      <c r="AO14" s="567"/>
      <c r="AP14" s="567"/>
      <c r="AQ14" s="567"/>
      <c r="AR14" s="567"/>
      <c r="AS14" s="567"/>
      <c r="AT14" s="567"/>
      <c r="AU14" s="567"/>
      <c r="AV14" s="567"/>
      <c r="AW14" s="567"/>
      <c r="AX14" s="567"/>
      <c r="AY14" s="567"/>
      <c r="AZ14" s="567"/>
      <c r="BA14" s="567"/>
      <c r="BB14" s="567"/>
      <c r="BC14" s="567"/>
      <c r="BD14" s="567"/>
      <c r="BE14" s="567"/>
      <c r="BF14" s="567"/>
      <c r="BG14" s="567"/>
      <c r="BH14" s="567"/>
      <c r="BI14" s="567"/>
      <c r="BJ14" s="567"/>
      <c r="BK14" s="567"/>
      <c r="BL14" s="567"/>
      <c r="BM14" s="567"/>
      <c r="BN14" s="567"/>
      <c r="BO14" s="567"/>
      <c r="BP14" s="567"/>
      <c r="BQ14" s="567"/>
      <c r="BR14" s="567"/>
    </row>
    <row r="15">
      <c r="A15" s="457"/>
      <c r="B15" s="580" t="s">
        <v>744</v>
      </c>
      <c r="C15" s="580" t="s">
        <v>745</v>
      </c>
      <c r="D15" s="581" t="s">
        <v>801</v>
      </c>
      <c r="E15" s="444">
        <v>3.0</v>
      </c>
      <c r="F15" s="687">
        <v>3.0</v>
      </c>
      <c r="G15" s="702">
        <f>IFERROR(__xludf.DUMMYFUNCTION("SUM(INDIRECT(CONCATENATE(""'"",INDEX(SPLIT($D15,""C""),1),""C"",INDEX(SPLIT($D15,""C""),2)+$E15*(COLUMN()-COLUMN($G15)),"":"",""C"",INDEX(SPLIT($D15,""C""),2)+$E15*(COLUMN()-COLUMN($G15))+$F15-1)))"),100000.0)</f>
        <v>100000</v>
      </c>
      <c r="H15" s="574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I15" s="703">
        <f>IFERROR(__xludf.DUMMYFUNCTION("SUM(INDIRECT(CONCATENATE(""'"",INDEX(SPLIT($D15,""C""),1),""C"",INDEX(SPLIT($D15,""C""),2)+$E15*(COLUMN()-COLUMN($G15)),"":"",""C"",INDEX(SPLIT($D15,""C""),2)+$E15*(COLUMN()-COLUMN($G15))+$F15-1)))"),100000.0)</f>
        <v>100000</v>
      </c>
      <c r="J15" s="574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K15" s="574">
        <f>IFERROR(__xludf.DUMMYFUNCTION("SUM(INDIRECT(CONCATENATE(""'"",INDEX(SPLIT($D15,""C""),1),""C"",INDEX(SPLIT($D15,""C""),2)+$E15*(COLUMN()-COLUMN($G15)),"":"",""C"",INDEX(SPLIT($D15,""C""),2)+$E15*(COLUMN()-COLUMN($G15))+$F15-1)))"),100000.0)</f>
        <v>100000</v>
      </c>
      <c r="L15" s="575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M15" s="703">
        <f>IFERROR(__xludf.DUMMYFUNCTION("SUM(INDIRECT(CONCATENATE(""'"",INDEX(SPLIT($D15,""C""),1),""C"",INDEX(SPLIT($D15,""C""),2)+$E15*(COLUMN()-COLUMN($G15)),"":"",""C"",INDEX(SPLIT($D15,""C""),2)+$E15*(COLUMN()-COLUMN($G15))+$F15-1)))"),95000.0)</f>
        <v>95000</v>
      </c>
      <c r="N15" s="574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O15" s="574">
        <f>IFERROR(__xludf.DUMMYFUNCTION("SUM(INDIRECT(CONCATENATE(""'"",INDEX(SPLIT($D15,""C""),1),""C"",INDEX(SPLIT($D15,""C""),2)+$E15*(COLUMN()-COLUMN($G15)),"":"",""C"",INDEX(SPLIT($D15,""C""),2)+$E15*(COLUMN()-COLUMN($G15))+$F15-1)))"),80000.0)</f>
        <v>80000</v>
      </c>
      <c r="P15" s="575">
        <f>IFERROR(__xludf.DUMMYFUNCTION("SUM(INDIRECT(CONCATENATE(""'"",INDEX(SPLIT($D15,""C""),1),""C"",INDEX(SPLIT($D15,""C""),2)+$E15*(COLUMN()-COLUMN($G15)),"":"",""C"",INDEX(SPLIT($D15,""C""),2)+$E15*(COLUMN()-COLUMN($G15))+$F15-1)))"),40000.0)</f>
        <v>40000</v>
      </c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  <c r="AB15" s="567"/>
      <c r="AC15" s="567"/>
      <c r="AD15" s="567"/>
      <c r="AE15" s="567"/>
      <c r="AF15" s="567"/>
      <c r="AG15" s="567"/>
      <c r="AH15" s="567"/>
      <c r="AI15" s="567"/>
      <c r="AJ15" s="567"/>
      <c r="AK15" s="567"/>
      <c r="AL15" s="567"/>
      <c r="AM15" s="567"/>
      <c r="AN15" s="567"/>
      <c r="AO15" s="567"/>
      <c r="AP15" s="567"/>
      <c r="AQ15" s="567"/>
      <c r="AR15" s="567"/>
      <c r="AS15" s="567"/>
      <c r="AT15" s="567"/>
      <c r="AU15" s="567"/>
      <c r="AV15" s="567"/>
      <c r="AW15" s="567"/>
      <c r="AX15" s="567"/>
      <c r="AY15" s="567"/>
      <c r="AZ15" s="567"/>
      <c r="BA15" s="567"/>
      <c r="BB15" s="567"/>
      <c r="BC15" s="567"/>
      <c r="BD15" s="567"/>
      <c r="BE15" s="567"/>
      <c r="BF15" s="567"/>
      <c r="BG15" s="567"/>
      <c r="BH15" s="567"/>
      <c r="BI15" s="567"/>
      <c r="BJ15" s="567"/>
      <c r="BK15" s="567"/>
      <c r="BL15" s="567"/>
      <c r="BM15" s="567"/>
      <c r="BN15" s="567"/>
      <c r="BO15" s="567"/>
      <c r="BP15" s="567"/>
      <c r="BQ15" s="567"/>
      <c r="BR15" s="567"/>
    </row>
    <row r="16">
      <c r="A16" s="457"/>
      <c r="B16" s="580" t="s">
        <v>747</v>
      </c>
      <c r="C16" s="580" t="s">
        <v>629</v>
      </c>
      <c r="D16" s="581" t="s">
        <v>802</v>
      </c>
      <c r="E16" s="444">
        <v>3.0</v>
      </c>
      <c r="F16" s="687">
        <v>3.0</v>
      </c>
      <c r="G16" s="702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H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I16" s="703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J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K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L16" s="575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M16" s="703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N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O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P16" s="575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  <c r="AB16" s="567"/>
      <c r="AC16" s="567"/>
      <c r="AD16" s="567"/>
      <c r="AE16" s="567"/>
      <c r="AF16" s="567"/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67"/>
      <c r="AR16" s="567"/>
      <c r="AS16" s="567"/>
      <c r="AT16" s="567"/>
      <c r="AU16" s="567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567"/>
      <c r="BG16" s="567"/>
      <c r="BH16" s="567"/>
      <c r="BI16" s="567"/>
      <c r="BJ16" s="567"/>
      <c r="BK16" s="567"/>
      <c r="BL16" s="567"/>
      <c r="BM16" s="567"/>
      <c r="BN16" s="567"/>
      <c r="BO16" s="567"/>
      <c r="BP16" s="567"/>
      <c r="BQ16" s="567"/>
      <c r="BR16" s="567"/>
    </row>
    <row r="17">
      <c r="A17" s="459"/>
      <c r="B17" s="580" t="s">
        <v>749</v>
      </c>
      <c r="C17" s="580" t="s">
        <v>633</v>
      </c>
      <c r="D17" s="581" t="s">
        <v>803</v>
      </c>
      <c r="E17" s="444">
        <v>3.0</v>
      </c>
      <c r="F17" s="687">
        <v>3.0</v>
      </c>
      <c r="G17" s="702">
        <f>IFERROR(__xludf.DUMMYFUNCTION("SUM(INDIRECT(CONCATENATE(""'"",INDEX(SPLIT($D17,""I""),1),""I"",INDEX(SPLIT($D17,""I""),2)+$E17*(COLUMN()-COLUMN($G17)),"":"",""I"",INDEX(SPLIT($D17,""I""),2)+$E17*(COLUMN()-COLUMN($G17))+$F17-1)))"),9261.0)</f>
        <v>9261</v>
      </c>
      <c r="H17" s="574">
        <f>IFERROR(__xludf.DUMMYFUNCTION("SUM(INDIRECT(CONCATENATE(""'"",INDEX(SPLIT($D17,""I""),1),""I"",INDEX(SPLIT($D17,""I""),2)+$E17*(COLUMN()-COLUMN($G17)),"":"",""I"",INDEX(SPLIT($D17,""I""),2)+$E17*(COLUMN()-COLUMN($G17))+$F17-1)))"),6174.0)</f>
        <v>6174</v>
      </c>
      <c r="I17" s="703">
        <f>IFERROR(__xludf.DUMMYFUNCTION("SUM(INDIRECT(CONCATENATE(""'"",INDEX(SPLIT($D17,""I""),1),""I"",INDEX(SPLIT($D17,""I""),2)+$E17*(COLUMN()-COLUMN($G17)),"":"",""I"",INDEX(SPLIT($D17,""I""),2)+$E17*(COLUMN()-COLUMN($G17))+$F17-1)))"),9261.0)</f>
        <v>9261</v>
      </c>
      <c r="J17" s="574">
        <f>IFERROR(__xludf.DUMMYFUNCTION("SUM(INDIRECT(CONCATENATE(""'"",INDEX(SPLIT($D17,""I""),1),""I"",INDEX(SPLIT($D17,""I""),2)+$E17*(COLUMN()-COLUMN($G17)),"":"",""I"",INDEX(SPLIT($D17,""I""),2)+$E17*(COLUMN()-COLUMN($G17))+$F17-1)))"),11495.0)</f>
        <v>11495</v>
      </c>
      <c r="K17" s="574">
        <f>IFERROR(__xludf.DUMMYFUNCTION("SUM(INDIRECT(CONCATENATE(""'"",INDEX(SPLIT($D17,""I""),1),""I"",INDEX(SPLIT($D17,""I""),2)+$E17*(COLUMN()-COLUMN($G17)),"":"",""I"",INDEX(SPLIT($D17,""I""),2)+$E17*(COLUMN()-COLUMN($G17))+$F17-1)))"),12876.0)</f>
        <v>12876</v>
      </c>
      <c r="L17" s="575">
        <f>IFERROR(__xludf.DUMMYFUNCTION("SUM(INDIRECT(CONCATENATE(""'"",INDEX(SPLIT($D17,""I""),1),""I"",INDEX(SPLIT($D17,""I""),2)+$E17*(COLUMN()-COLUMN($G17)),"":"",""I"",INDEX(SPLIT($D17,""I""),2)+$E17*(COLUMN()-COLUMN($G17))+$F17-1)))"),12876.0)</f>
        <v>12876</v>
      </c>
      <c r="M17" s="703">
        <f>IFERROR(__xludf.DUMMYFUNCTION("SUM(INDIRECT(CONCATENATE(""'"",INDEX(SPLIT($D17,""I""),1),""I"",INDEX(SPLIT($D17,""I""),2)+$E17*(COLUMN()-COLUMN($G17)),"":"",""I"",INDEX(SPLIT($D17,""I""),2)+$E17*(COLUMN()-COLUMN($G17))+$F17-1)))"),12876.0)</f>
        <v>12876</v>
      </c>
      <c r="N17" s="574">
        <f>IFERROR(__xludf.DUMMYFUNCTION("SUM(INDIRECT(CONCATENATE(""'"",INDEX(SPLIT($D17,""I""),1),""I"",INDEX(SPLIT($D17,""I""),2)+$E17*(COLUMN()-COLUMN($G17)),"":"",""I"",INDEX(SPLIT($D17,""I""),2)+$E17*(COLUMN()-COLUMN($G17))+$F17-1)))"),12996.0)</f>
        <v>12996</v>
      </c>
      <c r="O17" s="574">
        <f>IFERROR(__xludf.DUMMYFUNCTION("SUM(INDIRECT(CONCATENATE(""'"",INDEX(SPLIT($D17,""I""),1),""I"",INDEX(SPLIT($D17,""I""),2)+$E17*(COLUMN()-COLUMN($G17)),"":"",""I"",INDEX(SPLIT($D17,""I""),2)+$E17*(COLUMN()-COLUMN($G17))+$F17-1)))"),4412.0)</f>
        <v>4412</v>
      </c>
      <c r="P17" s="575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  <c r="AB17" s="567"/>
      <c r="AC17" s="567"/>
      <c r="AD17" s="567"/>
      <c r="AE17" s="567"/>
      <c r="AF17" s="567"/>
      <c r="AG17" s="567"/>
      <c r="AH17" s="567"/>
      <c r="AI17" s="567"/>
      <c r="AJ17" s="567"/>
      <c r="AK17" s="567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7"/>
      <c r="AZ17" s="567"/>
      <c r="BA17" s="567"/>
      <c r="BB17" s="567"/>
      <c r="BC17" s="567"/>
      <c r="BD17" s="567"/>
      <c r="BE17" s="567"/>
      <c r="BF17" s="567"/>
      <c r="BG17" s="567"/>
      <c r="BH17" s="567"/>
      <c r="BI17" s="567"/>
      <c r="BJ17" s="567"/>
      <c r="BK17" s="567"/>
      <c r="BL17" s="567"/>
      <c r="BM17" s="567"/>
      <c r="BN17" s="567"/>
      <c r="BO17" s="567"/>
      <c r="BP17" s="567"/>
      <c r="BQ17" s="567"/>
      <c r="BR17" s="567"/>
    </row>
    <row r="18">
      <c r="A18" s="693" t="s">
        <v>751</v>
      </c>
      <c r="B18" s="15"/>
      <c r="C18" s="16"/>
      <c r="D18" s="583" t="s">
        <v>652</v>
      </c>
      <c r="E18" s="584" t="s">
        <v>652</v>
      </c>
      <c r="F18" s="704" t="s">
        <v>652</v>
      </c>
      <c r="G18" s="695">
        <f>G11-G8+G13-G10-G15-G16-G17</f>
        <v>-4248625</v>
      </c>
      <c r="H18" s="696" t="str">
        <f t="shared" ref="H18:L18" si="10">H11+H12+H13+H14-H8-H9-H10-H15-H16-H17</f>
        <v>#VALUE!</v>
      </c>
      <c r="I18" s="697" t="str">
        <f t="shared" si="10"/>
        <v>#VALUE!</v>
      </c>
      <c r="J18" s="696" t="str">
        <f t="shared" si="10"/>
        <v>#VALUE!</v>
      </c>
      <c r="K18" s="696" t="str">
        <f t="shared" si="10"/>
        <v>#VALUE!</v>
      </c>
      <c r="L18" s="698" t="str">
        <f t="shared" si="10"/>
        <v>#VALUE!</v>
      </c>
      <c r="M18" s="697" t="str">
        <f>M11+M12+M13+M14-M8-#REF!-M9-M15-M16-M17</f>
        <v>#REF!</v>
      </c>
      <c r="N18" s="696" t="str">
        <f t="shared" ref="N18:P18" si="11">N11+N12+N13+N14-N8-N9-N10-N15-N16-N17</f>
        <v>#REF!</v>
      </c>
      <c r="O18" s="696" t="str">
        <f t="shared" si="11"/>
        <v>#VALUE!</v>
      </c>
      <c r="P18" s="698" t="str">
        <f t="shared" si="11"/>
        <v>#VALUE!</v>
      </c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  <c r="AB18" s="567"/>
      <c r="AC18" s="567"/>
      <c r="AD18" s="567"/>
      <c r="AE18" s="567"/>
      <c r="AF18" s="567"/>
      <c r="AG18" s="567"/>
      <c r="AH18" s="567"/>
      <c r="AI18" s="567"/>
      <c r="AJ18" s="567"/>
      <c r="AK18" s="567"/>
      <c r="AL18" s="567"/>
      <c r="AM18" s="567"/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567"/>
      <c r="BG18" s="567"/>
      <c r="BH18" s="567"/>
      <c r="BI18" s="567"/>
      <c r="BJ18" s="567"/>
      <c r="BK18" s="567"/>
      <c r="BL18" s="567"/>
      <c r="BM18" s="567"/>
      <c r="BN18" s="567"/>
      <c r="BO18" s="567"/>
      <c r="BP18" s="567"/>
      <c r="BQ18" s="567"/>
      <c r="BR18" s="567"/>
    </row>
    <row r="19">
      <c r="A19" s="699" t="s">
        <v>752</v>
      </c>
      <c r="B19" s="580" t="s">
        <v>753</v>
      </c>
      <c r="C19" s="580" t="s">
        <v>558</v>
      </c>
      <c r="D19" s="572" t="s">
        <v>652</v>
      </c>
      <c r="E19" s="444" t="s">
        <v>652</v>
      </c>
      <c r="F19" s="687" t="s">
        <v>652</v>
      </c>
      <c r="G19" s="700">
        <v>0.0</v>
      </c>
      <c r="H19" s="542">
        <v>0.0</v>
      </c>
      <c r="I19" s="701">
        <v>0.0</v>
      </c>
      <c r="J19" s="542">
        <v>0.0</v>
      </c>
      <c r="K19" s="542">
        <v>0.0</v>
      </c>
      <c r="L19" s="543">
        <v>0.0</v>
      </c>
      <c r="M19" s="701">
        <v>0.0</v>
      </c>
      <c r="N19" s="542">
        <v>0.0</v>
      </c>
      <c r="O19" s="542">
        <v>0.0</v>
      </c>
      <c r="P19" s="543">
        <v>0.0</v>
      </c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  <c r="AB19" s="567"/>
      <c r="AC19" s="567"/>
      <c r="AD19" s="567"/>
      <c r="AE19" s="567"/>
      <c r="AF19" s="567"/>
      <c r="AG19" s="567"/>
      <c r="AH19" s="567"/>
      <c r="AI19" s="567"/>
      <c r="AJ19" s="567"/>
      <c r="AK19" s="567"/>
      <c r="AL19" s="567"/>
      <c r="AM19" s="567"/>
      <c r="AN19" s="567"/>
      <c r="AO19" s="567"/>
      <c r="AP19" s="567"/>
      <c r="AQ19" s="567"/>
      <c r="AR19" s="567"/>
      <c r="AS19" s="567"/>
      <c r="AT19" s="567"/>
      <c r="AU19" s="567"/>
      <c r="AV19" s="567"/>
      <c r="AW19" s="567"/>
      <c r="AX19" s="567"/>
      <c r="AY19" s="567"/>
      <c r="AZ19" s="567"/>
      <c r="BA19" s="567"/>
      <c r="BB19" s="567"/>
      <c r="BC19" s="567"/>
      <c r="BD19" s="567"/>
      <c r="BE19" s="567"/>
      <c r="BF19" s="567"/>
      <c r="BG19" s="567"/>
      <c r="BH19" s="567"/>
      <c r="BI19" s="567"/>
      <c r="BJ19" s="567"/>
      <c r="BK19" s="567"/>
      <c r="BL19" s="567"/>
      <c r="BM19" s="567"/>
      <c r="BN19" s="567"/>
      <c r="BO19" s="567"/>
      <c r="BP19" s="567"/>
      <c r="BQ19" s="567"/>
      <c r="BR19" s="567"/>
    </row>
    <row r="20">
      <c r="A20" s="459"/>
      <c r="B20" s="580" t="s">
        <v>754</v>
      </c>
      <c r="C20" s="580" t="s">
        <v>558</v>
      </c>
      <c r="D20" s="581" t="s">
        <v>804</v>
      </c>
      <c r="E20" s="444">
        <v>3.0</v>
      </c>
      <c r="F20" s="687">
        <v>3.0</v>
      </c>
      <c r="G20" s="700">
        <v>0.0</v>
      </c>
      <c r="H20" s="585">
        <f>IFERROR(__xludf.DUMMYFUNCTION("SUM(INDIRECT(CONCATENATE(""'"",INDEX(SPLIT($D20,""F""),1),""F"",INDEX(SPLIT($D20,""F""),2)+$E20*(COLUMN()-COLUMN($H20)),"":"",""F"",INDEX(SPLIT($D20,""F""),2)+$E20*(COLUMN()-COLUMN($H20))+$F20-1)))"),16749.6679)</f>
        <v>16749.6679</v>
      </c>
      <c r="I20" s="705">
        <f>IFERROR(__xludf.DUMMYFUNCTION("SUM(INDIRECT(CONCATENATE(""'"",INDEX(SPLIT($D20,""F""),1),""F"",INDEX(SPLIT($D20,""F""),2)+$E20*(COLUMN()-COLUMN($H20)),"":"",""F"",INDEX(SPLIT($D20,""F""),2)+$E20*(COLUMN()-COLUMN($H20))+$F20-1)))"),16839.0183)</f>
        <v>16839.0183</v>
      </c>
      <c r="J20" s="585">
        <f>IFERROR(__xludf.DUMMYFUNCTION("SUM(INDIRECT(CONCATENATE(""'"",INDEX(SPLIT($D20,""F""),1),""F"",INDEX(SPLIT($D20,""F""),2)+$E20*(COLUMN()-COLUMN($H20)),"":"",""F"",INDEX(SPLIT($D20,""F""),2)+$E20*(COLUMN()-COLUMN($H20))+$F20-1)))"),16928.8452)</f>
        <v>16928.8452</v>
      </c>
      <c r="K20" s="585">
        <f>IFERROR(__xludf.DUMMYFUNCTION("SUM(INDIRECT(CONCATENATE(""'"",INDEX(SPLIT($D20,""F""),1),""F"",INDEX(SPLIT($D20,""F""),2)+$E20*(COLUMN()-COLUMN($H20)),"":"",""F"",INDEX(SPLIT($D20,""F""),2)+$E20*(COLUMN()-COLUMN($H20))+$F20-1)))"),17019.1515)</f>
        <v>17019.1515</v>
      </c>
      <c r="L20" s="586">
        <f>IFERROR(__xludf.DUMMYFUNCTION("SUM(INDIRECT(CONCATENATE(""'"",INDEX(SPLIT($D20,""F""),1),""F"",INDEX(SPLIT($D20,""F""),2)+$E20*(COLUMN()-COLUMN($H20)),"":"",""F"",INDEX(SPLIT($D20,""F""),2)+$E20*(COLUMN()-COLUMN($H20))+$F20-1)))"),17109.939400000003)</f>
        <v>17109.9394</v>
      </c>
      <c r="M20" s="705">
        <f>IFERROR(__xludf.DUMMYFUNCTION("SUM(INDIRECT(CONCATENATE(""'"",INDEX(SPLIT($D20,""F""),1),""F"",INDEX(SPLIT($D20,""F""),2)+$E20*(COLUMN()-COLUMN($H20)),"":"",""F"",INDEX(SPLIT($D20,""F""),2)+$E20*(COLUMN()-COLUMN($H20))+$F20-1)))"),8324.8994)</f>
        <v>8324.8994</v>
      </c>
      <c r="N20" s="585">
        <f>IFERROR(__xludf.DUMMYFUNCTION("SUM(INDIRECT(CONCATENATE(""'"",INDEX(SPLIT($D20,""F""),1),""F"",INDEX(SPLIT($D20,""F""),2)+$E20*(COLUMN()-COLUMN($H20)),"":"",""F"",INDEX(SPLIT($D20,""F""),2)+$E20*(COLUMN()-COLUMN($H20))+$F20-1)))"),8369.308200000001)</f>
        <v>8369.3082</v>
      </c>
      <c r="O20" s="585">
        <f>IFERROR(__xludf.DUMMYFUNCTION("SUM(INDIRECT(CONCATENATE(""'"",INDEX(SPLIT($D20,""F""),1),""F"",INDEX(SPLIT($D20,""F""),2)+$E20*(COLUMN()-COLUMN($H20)),"":"",""F"",INDEX(SPLIT($D20,""F""),2)+$E20*(COLUMN()-COLUMN($H20))+$F20-1)))"),13782.678899999999)</f>
        <v>13782.6789</v>
      </c>
      <c r="P20" s="586">
        <f>IFERROR(__xludf.DUMMYFUNCTION("SUM(INDIRECT(CONCATENATE(""'"",INDEX(SPLIT($D20,""F""),1),""F"",INDEX(SPLIT($D20,""F""),2)+$E20*(COLUMN()-COLUMN($H20)),"":"",""F"",INDEX(SPLIT($D20,""F""),2)+$E20*(COLUMN()-COLUMN($H20))+$F20-1)))"),33076.0)</f>
        <v>33076</v>
      </c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  <c r="AB20" s="567"/>
      <c r="AC20" s="567"/>
      <c r="AD20" s="567"/>
      <c r="AE20" s="567"/>
      <c r="AF20" s="567"/>
      <c r="AG20" s="567"/>
      <c r="AH20" s="567"/>
      <c r="AI20" s="567"/>
      <c r="AJ20" s="567"/>
      <c r="AK20" s="567"/>
      <c r="AL20" s="567"/>
      <c r="AM20" s="567"/>
      <c r="AN20" s="567"/>
      <c r="AO20" s="567"/>
      <c r="AP20" s="567"/>
      <c r="AQ20" s="567"/>
      <c r="AR20" s="567"/>
      <c r="AS20" s="567"/>
      <c r="AT20" s="567"/>
      <c r="AU20" s="567"/>
      <c r="AV20" s="567"/>
      <c r="AW20" s="567"/>
      <c r="AX20" s="567"/>
      <c r="AY20" s="567"/>
      <c r="AZ20" s="567"/>
      <c r="BA20" s="567"/>
      <c r="BB20" s="567"/>
      <c r="BC20" s="567"/>
      <c r="BD20" s="567"/>
      <c r="BE20" s="567"/>
      <c r="BF20" s="567"/>
      <c r="BG20" s="567"/>
      <c r="BH20" s="567"/>
      <c r="BI20" s="567"/>
      <c r="BJ20" s="567"/>
      <c r="BK20" s="567"/>
      <c r="BL20" s="567"/>
      <c r="BM20" s="567"/>
      <c r="BN20" s="567"/>
      <c r="BO20" s="567"/>
      <c r="BP20" s="567"/>
      <c r="BQ20" s="567"/>
      <c r="BR20" s="567"/>
    </row>
    <row r="21">
      <c r="A21" s="693" t="s">
        <v>756</v>
      </c>
      <c r="B21" s="15"/>
      <c r="C21" s="16"/>
      <c r="D21" s="583" t="s">
        <v>652</v>
      </c>
      <c r="E21" s="584" t="s">
        <v>652</v>
      </c>
      <c r="F21" s="704" t="s">
        <v>652</v>
      </c>
      <c r="G21" s="706">
        <f t="shared" ref="G21:P21" si="12">G19-G20</f>
        <v>0</v>
      </c>
      <c r="H21" s="589">
        <f t="shared" si="12"/>
        <v>-16749.6679</v>
      </c>
      <c r="I21" s="707">
        <f t="shared" si="12"/>
        <v>-16839.0183</v>
      </c>
      <c r="J21" s="589">
        <f t="shared" si="12"/>
        <v>-16928.8452</v>
      </c>
      <c r="K21" s="589">
        <f t="shared" si="12"/>
        <v>-17019.1515</v>
      </c>
      <c r="L21" s="590">
        <f t="shared" si="12"/>
        <v>-17109.9394</v>
      </c>
      <c r="M21" s="707">
        <f t="shared" si="12"/>
        <v>-8324.8994</v>
      </c>
      <c r="N21" s="589">
        <f t="shared" si="12"/>
        <v>-8369.3082</v>
      </c>
      <c r="O21" s="589">
        <f t="shared" si="12"/>
        <v>-13782.6789</v>
      </c>
      <c r="P21" s="590">
        <f t="shared" si="12"/>
        <v>-33076</v>
      </c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7"/>
      <c r="AK21" s="567"/>
      <c r="AL21" s="567"/>
      <c r="AM21" s="567"/>
      <c r="AN21" s="567"/>
      <c r="AO21" s="567"/>
      <c r="AP21" s="567"/>
      <c r="AQ21" s="567"/>
      <c r="AR21" s="567"/>
      <c r="AS21" s="567"/>
      <c r="AT21" s="567"/>
      <c r="AU21" s="567"/>
      <c r="AV21" s="567"/>
      <c r="AW21" s="567"/>
      <c r="AX21" s="567"/>
      <c r="AY21" s="567"/>
      <c r="AZ21" s="567"/>
      <c r="BA21" s="567"/>
      <c r="BB21" s="567"/>
      <c r="BC21" s="567"/>
      <c r="BD21" s="567"/>
      <c r="BE21" s="567"/>
      <c r="BF21" s="567"/>
      <c r="BG21" s="567"/>
      <c r="BH21" s="567"/>
      <c r="BI21" s="567"/>
      <c r="BJ21" s="567"/>
      <c r="BK21" s="567"/>
      <c r="BL21" s="567"/>
      <c r="BM21" s="567"/>
      <c r="BN21" s="567"/>
      <c r="BO21" s="567"/>
      <c r="BP21" s="567"/>
      <c r="BQ21" s="567"/>
      <c r="BR21" s="567"/>
    </row>
    <row r="22">
      <c r="A22" s="693" t="s">
        <v>757</v>
      </c>
      <c r="B22" s="15"/>
      <c r="C22" s="16"/>
      <c r="D22" s="572" t="s">
        <v>652</v>
      </c>
      <c r="E22" s="444" t="s">
        <v>652</v>
      </c>
      <c r="F22" s="687" t="s">
        <v>652</v>
      </c>
      <c r="G22" s="695">
        <f t="shared" ref="G22:P22" si="13">G7+G18+G21</f>
        <v>-3670214</v>
      </c>
      <c r="H22" s="696" t="str">
        <f t="shared" si="13"/>
        <v>#VALUE!</v>
      </c>
      <c r="I22" s="697" t="str">
        <f t="shared" si="13"/>
        <v>#VALUE!</v>
      </c>
      <c r="J22" s="696" t="str">
        <f t="shared" si="13"/>
        <v>#VALUE!</v>
      </c>
      <c r="K22" s="696" t="str">
        <f t="shared" si="13"/>
        <v>#VALUE!</v>
      </c>
      <c r="L22" s="698" t="str">
        <f t="shared" si="13"/>
        <v>#VALUE!</v>
      </c>
      <c r="M22" s="697" t="str">
        <f t="shared" si="13"/>
        <v>#REF!</v>
      </c>
      <c r="N22" s="696" t="str">
        <f t="shared" si="13"/>
        <v>#REF!</v>
      </c>
      <c r="O22" s="696" t="str">
        <f t="shared" si="13"/>
        <v>#VALUE!</v>
      </c>
      <c r="P22" s="698" t="str">
        <f t="shared" si="13"/>
        <v>#VALUE!</v>
      </c>
      <c r="Q22" s="708"/>
      <c r="R22" s="708"/>
      <c r="S22" s="708"/>
      <c r="T22" s="708"/>
      <c r="U22" s="708"/>
      <c r="V22" s="708"/>
      <c r="W22" s="708"/>
      <c r="X22" s="708"/>
      <c r="Y22" s="708"/>
      <c r="Z22" s="708"/>
      <c r="AA22" s="708"/>
      <c r="AB22" s="708"/>
      <c r="AC22" s="708"/>
      <c r="AD22" s="708"/>
      <c r="AE22" s="708"/>
      <c r="AF22" s="708"/>
      <c r="AG22" s="708"/>
      <c r="AH22" s="708"/>
      <c r="AI22" s="708"/>
      <c r="AJ22" s="708"/>
      <c r="AK22" s="708"/>
      <c r="AL22" s="708"/>
      <c r="AM22" s="708"/>
      <c r="AN22" s="708"/>
      <c r="AO22" s="708"/>
      <c r="AP22" s="708"/>
      <c r="AQ22" s="708"/>
      <c r="AR22" s="708"/>
      <c r="AS22" s="708"/>
      <c r="AT22" s="708"/>
      <c r="AU22" s="708"/>
      <c r="AV22" s="708"/>
      <c r="AW22" s="708"/>
      <c r="AX22" s="708"/>
      <c r="AY22" s="708"/>
      <c r="AZ22" s="708"/>
      <c r="BA22" s="708"/>
      <c r="BB22" s="708"/>
      <c r="BC22" s="708"/>
      <c r="BD22" s="708"/>
      <c r="BE22" s="708"/>
      <c r="BF22" s="708"/>
      <c r="BG22" s="708"/>
      <c r="BH22" s="708"/>
      <c r="BI22" s="708"/>
      <c r="BJ22" s="708"/>
      <c r="BK22" s="708"/>
      <c r="BL22" s="708"/>
      <c r="BM22" s="708"/>
      <c r="BN22" s="708"/>
      <c r="BO22" s="708"/>
      <c r="BP22" s="708"/>
      <c r="BQ22" s="708"/>
      <c r="BR22" s="708"/>
    </row>
    <row r="23">
      <c r="A23" s="693" t="s">
        <v>805</v>
      </c>
      <c r="B23" s="15"/>
      <c r="C23" s="16"/>
      <c r="D23" s="572" t="s">
        <v>652</v>
      </c>
      <c r="E23" s="444" t="s">
        <v>652</v>
      </c>
      <c r="F23" s="687" t="s">
        <v>652</v>
      </c>
      <c r="G23" s="700">
        <v>0.0</v>
      </c>
      <c r="H23" s="537">
        <f t="shared" ref="H23:L23" si="14">G25</f>
        <v>1349831</v>
      </c>
      <c r="I23" s="537">
        <f t="shared" si="14"/>
        <v>224425</v>
      </c>
      <c r="J23" s="537">
        <f t="shared" si="14"/>
        <v>297463</v>
      </c>
      <c r="K23" s="537">
        <f t="shared" si="14"/>
        <v>974213</v>
      </c>
      <c r="L23" s="538">
        <f t="shared" si="14"/>
        <v>1035347</v>
      </c>
      <c r="M23" s="537" t="str">
        <f>#REF!</f>
        <v>#REF!</v>
      </c>
      <c r="N23" s="537">
        <f t="shared" ref="N23:P23" si="15">M25</f>
        <v>1079795</v>
      </c>
      <c r="O23" s="537">
        <f t="shared" si="15"/>
        <v>2816237</v>
      </c>
      <c r="P23" s="538">
        <f t="shared" si="15"/>
        <v>0</v>
      </c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  <c r="AB23" s="567"/>
      <c r="AC23" s="567"/>
      <c r="AD23" s="567"/>
      <c r="AE23" s="567"/>
      <c r="AF23" s="567"/>
      <c r="AG23" s="567"/>
      <c r="AH23" s="567"/>
      <c r="AI23" s="567"/>
      <c r="AJ23" s="567"/>
      <c r="AK23" s="567"/>
      <c r="AL23" s="567"/>
      <c r="AM23" s="567"/>
      <c r="AN23" s="567"/>
      <c r="AO23" s="567"/>
      <c r="AP23" s="567"/>
      <c r="AQ23" s="567"/>
      <c r="AR23" s="567"/>
      <c r="AS23" s="567"/>
      <c r="AT23" s="567"/>
      <c r="AU23" s="567"/>
      <c r="AV23" s="567"/>
      <c r="AW23" s="567"/>
      <c r="AX23" s="567"/>
      <c r="AY23" s="567"/>
      <c r="AZ23" s="567"/>
      <c r="BA23" s="567"/>
      <c r="BB23" s="567"/>
      <c r="BC23" s="567"/>
      <c r="BD23" s="567"/>
      <c r="BE23" s="567"/>
      <c r="BF23" s="567"/>
      <c r="BG23" s="567"/>
      <c r="BH23" s="567"/>
      <c r="BI23" s="567"/>
      <c r="BJ23" s="567"/>
      <c r="BK23" s="567"/>
      <c r="BL23" s="567"/>
      <c r="BM23" s="567"/>
      <c r="BN23" s="567"/>
      <c r="BO23" s="567"/>
      <c r="BP23" s="567"/>
      <c r="BQ23" s="567"/>
      <c r="BR23" s="567"/>
    </row>
    <row r="24">
      <c r="A24" s="693" t="s">
        <v>806</v>
      </c>
      <c r="B24" s="15"/>
      <c r="C24" s="16"/>
      <c r="D24" s="572" t="s">
        <v>652</v>
      </c>
      <c r="E24" s="444" t="s">
        <v>652</v>
      </c>
      <c r="F24" s="687" t="s">
        <v>652</v>
      </c>
      <c r="G24" s="709">
        <v>1350100.0</v>
      </c>
      <c r="H24" s="696" t="str">
        <f t="shared" ref="H24:P24" si="16">H23+H22</f>
        <v>#VALUE!</v>
      </c>
      <c r="I24" s="697" t="str">
        <f t="shared" si="16"/>
        <v>#VALUE!</v>
      </c>
      <c r="J24" s="696" t="str">
        <f t="shared" si="16"/>
        <v>#VALUE!</v>
      </c>
      <c r="K24" s="696" t="str">
        <f t="shared" si="16"/>
        <v>#VALUE!</v>
      </c>
      <c r="L24" s="698" t="str">
        <f t="shared" si="16"/>
        <v>#VALUE!</v>
      </c>
      <c r="M24" s="697" t="str">
        <f t="shared" si="16"/>
        <v>#REF!</v>
      </c>
      <c r="N24" s="696" t="str">
        <f t="shared" si="16"/>
        <v>#REF!</v>
      </c>
      <c r="O24" s="696" t="str">
        <f t="shared" si="16"/>
        <v>#VALUE!</v>
      </c>
      <c r="P24" s="698" t="str">
        <f t="shared" si="16"/>
        <v>#VALUE!</v>
      </c>
      <c r="Q24" s="708"/>
      <c r="R24" s="708"/>
      <c r="S24" s="708"/>
      <c r="T24" s="708"/>
      <c r="U24" s="708"/>
      <c r="V24" s="708"/>
      <c r="W24" s="708"/>
      <c r="X24" s="708"/>
      <c r="Y24" s="708"/>
      <c r="Z24" s="708"/>
      <c r="AA24" s="708"/>
      <c r="AB24" s="708"/>
      <c r="AC24" s="708"/>
      <c r="AD24" s="708"/>
      <c r="AE24" s="708"/>
      <c r="AF24" s="708"/>
      <c r="AG24" s="708"/>
      <c r="AH24" s="708"/>
      <c r="AI24" s="708"/>
      <c r="AJ24" s="708"/>
      <c r="AK24" s="708"/>
      <c r="AL24" s="708"/>
      <c r="AM24" s="708"/>
      <c r="AN24" s="708"/>
      <c r="AO24" s="708"/>
      <c r="AP24" s="708"/>
      <c r="AQ24" s="708"/>
      <c r="AR24" s="708"/>
      <c r="AS24" s="708"/>
      <c r="AT24" s="708"/>
      <c r="AU24" s="708"/>
      <c r="AV24" s="708"/>
      <c r="AW24" s="708"/>
      <c r="AX24" s="708"/>
      <c r="AY24" s="708"/>
      <c r="AZ24" s="708"/>
      <c r="BA24" s="708"/>
      <c r="BB24" s="708"/>
      <c r="BC24" s="708"/>
      <c r="BD24" s="708"/>
      <c r="BE24" s="708"/>
      <c r="BF24" s="708"/>
      <c r="BG24" s="708"/>
      <c r="BH24" s="708"/>
      <c r="BI24" s="708"/>
      <c r="BJ24" s="708"/>
      <c r="BK24" s="708"/>
      <c r="BL24" s="708"/>
      <c r="BM24" s="708"/>
      <c r="BN24" s="708"/>
      <c r="BO24" s="708"/>
      <c r="BP24" s="708"/>
      <c r="BQ24" s="708"/>
      <c r="BR24" s="708"/>
    </row>
    <row r="25">
      <c r="A25" s="693" t="s">
        <v>807</v>
      </c>
      <c r="B25" s="15"/>
      <c r="C25" s="16"/>
      <c r="D25" s="581" t="s">
        <v>808</v>
      </c>
      <c r="E25" s="444">
        <v>2.0</v>
      </c>
      <c r="F25" s="687">
        <v>12.0</v>
      </c>
      <c r="G25" s="709">
        <f>IFERROR(__xludf.DUMMYFUNCTION("SUM(INDIRECT(CONCATENATE(""'"",INDEX(SPLIT($D25,""G""),1),CHAR(CODE(""G"")+$E25*(COLUMN()-COLUMN($G25))),INDEX(SPLIT($D25,""G""),2),"":"",CHAR(CODE(""G"")+$E25*(COLUMN()-COLUMN($G25))),INDEX(SPLIT($D25,""G""),2)+($F25-1))))"),1349831.0)</f>
        <v>1349831</v>
      </c>
      <c r="H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IFERROR(__xludf.DUMMYFUNCTION("SUM(INDIRECT(CONCATENATE(""'"",INDEX(SPLIT($D25,""G""),1),CHAR(CODE(""G"")+$E25*(COLUMN()-COLUMN($G25))),INDEX(SPLIT($D25,""G""),2),"":"",CHAR(CODE(""G"")+$E25*(COLUMN()-COLUMN($G25))),INDEX(SPLIT($D25,""G""),2)+($F25-1))))"),224425.0)</f>
        <v>224425</v>
      </c>
      <c r="I25" s="711">
        <f>IFERROR(__xludf.DUMMYFUNCTION("SUM(INDIRECT(CONCATENATE(""'"",INDEX(SPLIT($D25,""G""),1),CHAR(CODE(""G"")+$E25*(COLUMN()-COLUMN($G25))),INDEX(SPLIT($D25,""G""),2),"":"",CHAR(CODE(""G"")+$E25*(COLUMN()-COLUMN($G25))),INDEX(SPLIT($D25,""G""),2)+($F25-1))))"),297463.0)</f>
        <v>297463</v>
      </c>
      <c r="J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IFERROR(__xludf.DUMMYFUNCTION("SUM(INDIRECT(CONCATENATE(""'"",INDEX(SPLIT($D25,""G""),1),CHAR(CODE(""G"")+$E25*(COLUMN()-COLUMN($G25))),INDEX(SPLIT($D25,""G""),2),"":"",CHAR(CODE(""G"")+$E25*(COLUMN()-COLUMN($G25))),INDEX(SPLIT($D25,""G""),2)+($F25-1))))"),974213.0)</f>
        <v>974213</v>
      </c>
      <c r="K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IFERROR(__xludf.DUMMYFUNCTION("SUM(INDIRECT(CONCATENATE(""'"",INDEX(SPLIT($D25,""G""),1),CHAR(CODE(""G"")+$E25*(COLUMN()-COLUMN($G25))),INDEX(SPLIT($D25,""G""),2),"":"",CHAR(CODE(""G"")+$E25*(COLUMN()-COLUMN($G25))),INDEX(SPLIT($D25,""G""),2)+($F25-1))))"),1035347.0)</f>
        <v>1035347</v>
      </c>
      <c r="L25" s="712">
        <f>IFERROR(__xludf.DUMMYFUNCTION("SUM(INDIRECT(CONCATENATE(""'"",INDEX(SPLIT($D25,""G""),1),CHAR(CODE(""G"")+$E25*(COLUMN()-COLUMN($G25))),INDEX(SPLIT($D25,""G""),2),"":"",CHAR(CODE(""G"")+$E25*(COLUMN()-COLUMN($G25))),INDEX(SPLIT($D25,""G""),2)+($F25-1))))"),1098436.0)</f>
        <v>1098436</v>
      </c>
      <c r="M25" s="711">
        <f>IFERROR(__xludf.DUMMYFUNCTION("SUM(INDIRECT(CONCATENATE(""'"",INDEX(SPLIT($D25,""G""),1),CHAR(CODE(""G"")+$E25*(COLUMN()-COLUMN($G25))),INDEX(SPLIT($D25,""G""),2),"":"",CHAR(CODE(""G"")+$E25*(COLUMN()-COLUMN($G25))),INDEX(SPLIT($D25,""G""),2)+($F25-1))))"),1079795.0)</f>
        <v>1079795</v>
      </c>
      <c r="N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IFERROR(__xludf.DUMMYFUNCTION("SUM(INDIRECT(CONCATENATE(""'"",INDEX(SPLIT($D25,""G""),1),CHAR(CODE(""G"")+$E25*(COLUMN()-COLUMN($G25))),INDEX(SPLIT($D25,""G""),2),"":"",CHAR(CODE(""G"")+$E25*(COLUMN()-COLUMN($G25))),INDEX(SPLIT($D25,""G""),2)+($F25-1))))"),2816237.0)</f>
        <v>2816237</v>
      </c>
      <c r="O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IFERROR(__xludf.DUMMYFUNCTION("SUM(INDIRECT(CONCATENATE(""'"",INDEX(SPLIT($D25,""G""),1),CHAR(CODE(""G"")+$E25*(COLUMN()-COLUMN($G25))),INDEX(SPLIT($D25,""G""),2),"":"",CHAR(CODE(""G"")+$E25*(COLUMN()-COLUMN($G25))),INDEX(SPLIT($D25,""G""),2)+($F25-1))))"),0.0)</f>
        <v>0</v>
      </c>
      <c r="P25" s="712">
        <f>IFERROR(__xludf.DUMMYFUNCTION("SUM(INDIRECT(CONCATENATE(""'"",INDEX(SPLIT($D25,""G""),1),CHAR(CODE(""G"")+$E25*(COLUMN()-COLUMN($G25))),INDEX(SPLIT($D25,""G""),2),"":"",CHAR(CODE(""G"")+$E25*(COLUMN()-COLUMN($G25))),INDEX(SPLIT($D25,""G""),2)+($F25-1))))"),0.0)</f>
        <v>0</v>
      </c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567"/>
      <c r="AD25" s="567"/>
      <c r="AE25" s="567"/>
      <c r="AF25" s="567"/>
      <c r="AG25" s="567"/>
      <c r="AH25" s="567"/>
      <c r="AI25" s="567"/>
      <c r="AJ25" s="567"/>
      <c r="AK25" s="567"/>
      <c r="AL25" s="567"/>
      <c r="AM25" s="567"/>
      <c r="AN25" s="567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/>
      <c r="BM25" s="567"/>
      <c r="BN25" s="567"/>
      <c r="BO25" s="567"/>
      <c r="BP25" s="567"/>
      <c r="BQ25" s="567"/>
      <c r="BR25" s="567"/>
    </row>
    <row r="26">
      <c r="A26" s="693" t="s">
        <v>809</v>
      </c>
      <c r="B26" s="15"/>
      <c r="C26" s="16"/>
      <c r="D26" s="713"/>
      <c r="E26" s="713"/>
      <c r="F26" s="714"/>
      <c r="G26" s="715">
        <f t="shared" ref="G26:P26" si="17">(G25-G24)/G24</f>
        <v>-0.0001992445004</v>
      </c>
      <c r="H26" s="716" t="str">
        <f t="shared" si="17"/>
        <v>#VALUE!</v>
      </c>
      <c r="I26" s="716" t="str">
        <f t="shared" si="17"/>
        <v>#VALUE!</v>
      </c>
      <c r="J26" s="716" t="str">
        <f t="shared" si="17"/>
        <v>#VALUE!</v>
      </c>
      <c r="K26" s="716" t="str">
        <f t="shared" si="17"/>
        <v>#VALUE!</v>
      </c>
      <c r="L26" s="717" t="str">
        <f t="shared" si="17"/>
        <v>#VALUE!</v>
      </c>
      <c r="M26" s="716" t="str">
        <f t="shared" si="17"/>
        <v>#REF!</v>
      </c>
      <c r="N26" s="716" t="str">
        <f t="shared" si="17"/>
        <v>#REF!</v>
      </c>
      <c r="O26" s="716" t="str">
        <f t="shared" si="17"/>
        <v>#VALUE!</v>
      </c>
      <c r="P26" s="717" t="str">
        <f t="shared" si="17"/>
        <v>#VALUE!</v>
      </c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  <c r="AB26" s="567"/>
      <c r="AC26" s="567"/>
      <c r="AD26" s="567"/>
      <c r="AE26" s="567"/>
      <c r="AF26" s="567"/>
      <c r="AG26" s="567"/>
      <c r="AH26" s="567"/>
      <c r="AI26" s="567"/>
      <c r="AJ26" s="567"/>
      <c r="AK26" s="567"/>
      <c r="AL26" s="567"/>
      <c r="AM26" s="567"/>
      <c r="AN26" s="567"/>
      <c r="AO26" s="567"/>
      <c r="AP26" s="567"/>
      <c r="AQ26" s="567"/>
      <c r="AR26" s="567"/>
      <c r="AS26" s="567"/>
      <c r="AT26" s="567"/>
      <c r="AU26" s="567"/>
      <c r="AV26" s="567"/>
      <c r="AW26" s="567"/>
      <c r="AX26" s="567"/>
      <c r="AY26" s="567"/>
      <c r="AZ26" s="567"/>
      <c r="BA26" s="567"/>
      <c r="BB26" s="567"/>
      <c r="BC26" s="567"/>
      <c r="BD26" s="567"/>
      <c r="BE26" s="567"/>
      <c r="BF26" s="567"/>
      <c r="BG26" s="567"/>
      <c r="BH26" s="567"/>
      <c r="BI26" s="567"/>
      <c r="BJ26" s="567"/>
      <c r="BK26" s="567"/>
      <c r="BL26" s="567"/>
      <c r="BM26" s="567"/>
      <c r="BN26" s="567"/>
      <c r="BO26" s="567"/>
      <c r="BP26" s="567"/>
      <c r="BQ26" s="567"/>
      <c r="BR26" s="567"/>
    </row>
    <row r="27">
      <c r="A27" s="718" t="s">
        <v>18</v>
      </c>
      <c r="B27" s="490"/>
      <c r="C27" s="719"/>
      <c r="D27" s="672"/>
      <c r="E27" s="672"/>
      <c r="F27" s="720"/>
      <c r="G27" s="721" t="s">
        <v>810</v>
      </c>
      <c r="H27" s="490"/>
      <c r="I27" s="719"/>
      <c r="J27" s="720"/>
      <c r="K27" s="490"/>
      <c r="L27" s="722"/>
      <c r="M27" s="723"/>
      <c r="N27" s="720"/>
      <c r="O27" s="490"/>
      <c r="P27" s="722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7"/>
      <c r="AH27" s="567"/>
      <c r="AI27" s="567"/>
      <c r="AJ27" s="567"/>
      <c r="AK27" s="567"/>
      <c r="AL27" s="567"/>
      <c r="AM27" s="567"/>
      <c r="AN27" s="567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  <c r="BA27" s="567"/>
      <c r="BB27" s="567"/>
      <c r="BC27" s="567"/>
      <c r="BD27" s="567"/>
      <c r="BE27" s="567"/>
      <c r="BF27" s="567"/>
      <c r="BG27" s="567"/>
      <c r="BH27" s="567"/>
      <c r="BI27" s="567"/>
      <c r="BJ27" s="567"/>
      <c r="BK27" s="567"/>
      <c r="BL27" s="567"/>
      <c r="BM27" s="567"/>
      <c r="BN27" s="567"/>
      <c r="BO27" s="567"/>
      <c r="BP27" s="567"/>
      <c r="BQ27" s="567"/>
      <c r="BR27" s="567"/>
    </row>
    <row r="28">
      <c r="A28" s="567"/>
      <c r="B28" s="567"/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7"/>
      <c r="AK28" s="567"/>
      <c r="AL28" s="567"/>
      <c r="AM28" s="567"/>
      <c r="AN28" s="567"/>
      <c r="AO28" s="567"/>
      <c r="AP28" s="567"/>
      <c r="AQ28" s="567"/>
      <c r="AR28" s="567"/>
      <c r="AS28" s="567"/>
      <c r="AT28" s="567"/>
      <c r="AU28" s="567"/>
      <c r="AV28" s="567"/>
      <c r="AW28" s="567"/>
      <c r="AX28" s="567"/>
      <c r="AY28" s="567"/>
      <c r="AZ28" s="567"/>
      <c r="BA28" s="567"/>
      <c r="BB28" s="567"/>
      <c r="BC28" s="567"/>
      <c r="BD28" s="567"/>
      <c r="BE28" s="567"/>
      <c r="BF28" s="567"/>
      <c r="BG28" s="567"/>
      <c r="BH28" s="567"/>
      <c r="BI28" s="567"/>
      <c r="BJ28" s="567"/>
      <c r="BK28" s="567"/>
      <c r="BL28" s="567"/>
      <c r="BM28" s="567"/>
      <c r="BN28" s="567"/>
      <c r="BO28" s="567"/>
      <c r="BP28" s="567"/>
      <c r="BQ28" s="567"/>
      <c r="BR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  <c r="AB29" s="567"/>
      <c r="AC29" s="567"/>
      <c r="AD29" s="567"/>
      <c r="AE29" s="567"/>
      <c r="AF29" s="567"/>
      <c r="AG29" s="567"/>
      <c r="AH29" s="567"/>
      <c r="AI29" s="567"/>
      <c r="AJ29" s="567"/>
      <c r="AK29" s="567"/>
      <c r="AL29" s="567"/>
      <c r="AM29" s="567"/>
      <c r="AN29" s="567"/>
      <c r="AO29" s="567"/>
      <c r="AP29" s="567"/>
      <c r="AQ29" s="567"/>
      <c r="AR29" s="567"/>
      <c r="AS29" s="567"/>
      <c r="AT29" s="567"/>
      <c r="AU29" s="567"/>
      <c r="AV29" s="567"/>
      <c r="AW29" s="567"/>
      <c r="AX29" s="567"/>
      <c r="AY29" s="567"/>
      <c r="AZ29" s="567"/>
      <c r="BA29" s="567"/>
      <c r="BB29" s="567"/>
      <c r="BC29" s="567"/>
      <c r="BD29" s="567"/>
      <c r="BE29" s="567"/>
      <c r="BF29" s="567"/>
      <c r="BG29" s="567"/>
      <c r="BH29" s="567"/>
      <c r="BI29" s="567"/>
      <c r="BJ29" s="567"/>
      <c r="BK29" s="567"/>
      <c r="BL29" s="567"/>
      <c r="BM29" s="567"/>
      <c r="BN29" s="567"/>
      <c r="BO29" s="567"/>
      <c r="BP29" s="567"/>
      <c r="BQ29" s="567"/>
      <c r="BR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7"/>
      <c r="AK30" s="567"/>
      <c r="AL30" s="567"/>
      <c r="AM30" s="567"/>
      <c r="AN30" s="567"/>
      <c r="AO30" s="567"/>
      <c r="AP30" s="567"/>
      <c r="AQ30" s="567"/>
      <c r="AR30" s="567"/>
      <c r="AS30" s="567"/>
      <c r="AT30" s="567"/>
      <c r="AU30" s="567"/>
      <c r="AV30" s="567"/>
      <c r="AW30" s="567"/>
      <c r="AX30" s="567"/>
      <c r="AY30" s="567"/>
      <c r="AZ30" s="567"/>
      <c r="BA30" s="567"/>
      <c r="BB30" s="567"/>
      <c r="BC30" s="567"/>
      <c r="BD30" s="567"/>
      <c r="BE30" s="567"/>
      <c r="BF30" s="567"/>
      <c r="BG30" s="567"/>
      <c r="BH30" s="567"/>
      <c r="BI30" s="567"/>
      <c r="BJ30" s="567"/>
      <c r="BK30" s="567"/>
      <c r="BL30" s="567"/>
      <c r="BM30" s="567"/>
      <c r="BN30" s="567"/>
      <c r="BO30" s="567"/>
      <c r="BP30" s="567"/>
      <c r="BQ30" s="567"/>
      <c r="BR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567"/>
      <c r="AG31" s="567"/>
      <c r="AH31" s="567"/>
      <c r="AI31" s="567"/>
      <c r="AJ31" s="567"/>
      <c r="AK31" s="567"/>
      <c r="AL31" s="567"/>
      <c r="AM31" s="567"/>
      <c r="AN31" s="567"/>
      <c r="AO31" s="567"/>
      <c r="AP31" s="567"/>
      <c r="AQ31" s="567"/>
      <c r="AR31" s="567"/>
      <c r="AS31" s="567"/>
      <c r="AT31" s="567"/>
      <c r="AU31" s="567"/>
      <c r="AV31" s="567"/>
      <c r="AW31" s="567"/>
      <c r="AX31" s="567"/>
      <c r="AY31" s="567"/>
      <c r="AZ31" s="567"/>
      <c r="BA31" s="567"/>
      <c r="BB31" s="567"/>
      <c r="BC31" s="567"/>
      <c r="BD31" s="567"/>
      <c r="BE31" s="567"/>
      <c r="BF31" s="567"/>
      <c r="BG31" s="567"/>
      <c r="BH31" s="567"/>
      <c r="BI31" s="567"/>
      <c r="BJ31" s="567"/>
      <c r="BK31" s="567"/>
      <c r="BL31" s="567"/>
      <c r="BM31" s="567"/>
      <c r="BN31" s="567"/>
      <c r="BO31" s="567"/>
      <c r="BP31" s="567"/>
      <c r="BQ31" s="567"/>
      <c r="BR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  <c r="AB32" s="567"/>
      <c r="AC32" s="567"/>
      <c r="AD32" s="567"/>
      <c r="AE32" s="567"/>
      <c r="AF32" s="567"/>
      <c r="AG32" s="567"/>
      <c r="AH32" s="567"/>
      <c r="AI32" s="567"/>
      <c r="AJ32" s="567"/>
      <c r="AK32" s="567"/>
      <c r="AL32" s="567"/>
      <c r="AM32" s="567"/>
      <c r="AN32" s="567"/>
      <c r="AO32" s="567"/>
      <c r="AP32" s="567"/>
      <c r="AQ32" s="567"/>
      <c r="AR32" s="567"/>
      <c r="AS32" s="567"/>
      <c r="AT32" s="567"/>
      <c r="AU32" s="567"/>
      <c r="AV32" s="567"/>
      <c r="AW32" s="567"/>
      <c r="AX32" s="567"/>
      <c r="AY32" s="567"/>
      <c r="AZ32" s="567"/>
      <c r="BA32" s="567"/>
      <c r="BB32" s="567"/>
      <c r="BC32" s="567"/>
      <c r="BD32" s="567"/>
      <c r="BE32" s="567"/>
      <c r="BF32" s="567"/>
      <c r="BG32" s="567"/>
      <c r="BH32" s="567"/>
      <c r="BI32" s="567"/>
      <c r="BJ32" s="567"/>
      <c r="BK32" s="567"/>
      <c r="BL32" s="567"/>
      <c r="BM32" s="567"/>
      <c r="BN32" s="567"/>
      <c r="BO32" s="567"/>
      <c r="BP32" s="567"/>
      <c r="BQ32" s="567"/>
      <c r="BR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  <c r="AB33" s="567"/>
      <c r="AC33" s="567"/>
      <c r="AD33" s="567"/>
      <c r="AE33" s="567"/>
      <c r="AF33" s="567"/>
      <c r="AG33" s="567"/>
      <c r="AH33" s="567"/>
      <c r="AI33" s="567"/>
      <c r="AJ33" s="567"/>
      <c r="AK33" s="567"/>
      <c r="AL33" s="567"/>
      <c r="AM33" s="567"/>
      <c r="AN33" s="567"/>
      <c r="AO33" s="567"/>
      <c r="AP33" s="567"/>
      <c r="AQ33" s="567"/>
      <c r="AR33" s="567"/>
      <c r="AS33" s="567"/>
      <c r="AT33" s="567"/>
      <c r="AU33" s="567"/>
      <c r="AV33" s="567"/>
      <c r="AW33" s="567"/>
      <c r="AX33" s="567"/>
      <c r="AY33" s="567"/>
      <c r="AZ33" s="567"/>
      <c r="BA33" s="567"/>
      <c r="BB33" s="567"/>
      <c r="BC33" s="567"/>
      <c r="BD33" s="567"/>
      <c r="BE33" s="567"/>
      <c r="BF33" s="567"/>
      <c r="BG33" s="567"/>
      <c r="BH33" s="567"/>
      <c r="BI33" s="567"/>
      <c r="BJ33" s="567"/>
      <c r="BK33" s="567"/>
      <c r="BL33" s="567"/>
      <c r="BM33" s="567"/>
      <c r="BN33" s="567"/>
      <c r="BO33" s="567"/>
      <c r="BP33" s="567"/>
      <c r="BQ33" s="567"/>
      <c r="BR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  <c r="AH34" s="567"/>
      <c r="AI34" s="567"/>
      <c r="AJ34" s="567"/>
      <c r="AK34" s="567"/>
      <c r="AL34" s="567"/>
      <c r="AM34" s="567"/>
      <c r="AN34" s="567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/>
      <c r="BA34" s="567"/>
      <c r="BB34" s="567"/>
      <c r="BC34" s="567"/>
      <c r="BD34" s="567"/>
      <c r="BE34" s="567"/>
      <c r="BF34" s="567"/>
      <c r="BG34" s="567"/>
      <c r="BH34" s="567"/>
      <c r="BI34" s="567"/>
      <c r="BJ34" s="567"/>
      <c r="BK34" s="567"/>
      <c r="BL34" s="567"/>
      <c r="BM34" s="567"/>
      <c r="BN34" s="567"/>
      <c r="BO34" s="567"/>
      <c r="BP34" s="567"/>
      <c r="BQ34" s="567"/>
      <c r="BR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  <c r="AB35" s="567"/>
      <c r="AC35" s="567"/>
      <c r="AD35" s="567"/>
      <c r="AE35" s="567"/>
      <c r="AF35" s="567"/>
      <c r="AG35" s="567"/>
      <c r="AH35" s="567"/>
      <c r="AI35" s="567"/>
      <c r="AJ35" s="567"/>
      <c r="AK35" s="567"/>
      <c r="AL35" s="567"/>
      <c r="AM35" s="567"/>
      <c r="AN35" s="567"/>
      <c r="AO35" s="567"/>
      <c r="AP35" s="567"/>
      <c r="AQ35" s="567"/>
      <c r="AR35" s="567"/>
      <c r="AS35" s="567"/>
      <c r="AT35" s="567"/>
      <c r="AU35" s="567"/>
      <c r="AV35" s="567"/>
      <c r="AW35" s="567"/>
      <c r="AX35" s="567"/>
      <c r="AY35" s="567"/>
      <c r="AZ35" s="567"/>
      <c r="BA35" s="567"/>
      <c r="BB35" s="567"/>
      <c r="BC35" s="567"/>
      <c r="BD35" s="567"/>
      <c r="BE35" s="567"/>
      <c r="BF35" s="567"/>
      <c r="BG35" s="567"/>
      <c r="BH35" s="567"/>
      <c r="BI35" s="567"/>
      <c r="BJ35" s="567"/>
      <c r="BK35" s="567"/>
      <c r="BL35" s="567"/>
      <c r="BM35" s="567"/>
      <c r="BN35" s="567"/>
      <c r="BO35" s="567"/>
      <c r="BP35" s="567"/>
      <c r="BQ35" s="567"/>
      <c r="BR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  <c r="AI36" s="567"/>
      <c r="AJ36" s="567"/>
      <c r="AK36" s="567"/>
      <c r="AL36" s="567"/>
      <c r="AM36" s="567"/>
      <c r="AN36" s="567"/>
      <c r="AO36" s="567"/>
      <c r="AP36" s="567"/>
      <c r="AQ36" s="567"/>
      <c r="AR36" s="567"/>
      <c r="AS36" s="567"/>
      <c r="AT36" s="567"/>
      <c r="AU36" s="567"/>
      <c r="AV36" s="567"/>
      <c r="AW36" s="567"/>
      <c r="AX36" s="567"/>
      <c r="AY36" s="567"/>
      <c r="AZ36" s="567"/>
      <c r="BA36" s="567"/>
      <c r="BB36" s="567"/>
      <c r="BC36" s="567"/>
      <c r="BD36" s="567"/>
      <c r="BE36" s="567"/>
      <c r="BF36" s="567"/>
      <c r="BG36" s="567"/>
      <c r="BH36" s="567"/>
      <c r="BI36" s="567"/>
      <c r="BJ36" s="567"/>
      <c r="BK36" s="567"/>
      <c r="BL36" s="567"/>
      <c r="BM36" s="567"/>
      <c r="BN36" s="567"/>
      <c r="BO36" s="567"/>
      <c r="BP36" s="567"/>
      <c r="BQ36" s="567"/>
      <c r="BR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  <c r="AH37" s="567"/>
      <c r="AI37" s="567"/>
      <c r="AJ37" s="567"/>
      <c r="AK37" s="567"/>
      <c r="AL37" s="567"/>
      <c r="AM37" s="567"/>
      <c r="AN37" s="567"/>
      <c r="AO37" s="567"/>
      <c r="AP37" s="567"/>
      <c r="AQ37" s="567"/>
      <c r="AR37" s="567"/>
      <c r="AS37" s="567"/>
      <c r="AT37" s="567"/>
      <c r="AU37" s="567"/>
      <c r="AV37" s="567"/>
      <c r="AW37" s="567"/>
      <c r="AX37" s="567"/>
      <c r="AY37" s="567"/>
      <c r="AZ37" s="567"/>
      <c r="BA37" s="567"/>
      <c r="BB37" s="567"/>
      <c r="BC37" s="567"/>
      <c r="BD37" s="567"/>
      <c r="BE37" s="567"/>
      <c r="BF37" s="567"/>
      <c r="BG37" s="567"/>
      <c r="BH37" s="567"/>
      <c r="BI37" s="567"/>
      <c r="BJ37" s="567"/>
      <c r="BK37" s="567"/>
      <c r="BL37" s="567"/>
      <c r="BM37" s="567"/>
      <c r="BN37" s="567"/>
      <c r="BO37" s="567"/>
      <c r="BP37" s="567"/>
      <c r="BQ37" s="567"/>
      <c r="BR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  <c r="AB38" s="567"/>
      <c r="AC38" s="567"/>
      <c r="AD38" s="567"/>
      <c r="AE38" s="567"/>
      <c r="AF38" s="567"/>
      <c r="AG38" s="567"/>
      <c r="AH38" s="567"/>
      <c r="AI38" s="567"/>
      <c r="AJ38" s="567"/>
      <c r="AK38" s="567"/>
      <c r="AL38" s="567"/>
      <c r="AM38" s="567"/>
      <c r="AN38" s="567"/>
      <c r="AO38" s="567"/>
      <c r="AP38" s="567"/>
      <c r="AQ38" s="567"/>
      <c r="AR38" s="567"/>
      <c r="AS38" s="567"/>
      <c r="AT38" s="567"/>
      <c r="AU38" s="567"/>
      <c r="AV38" s="567"/>
      <c r="AW38" s="567"/>
      <c r="AX38" s="567"/>
      <c r="AY38" s="567"/>
      <c r="AZ38" s="567"/>
      <c r="BA38" s="567"/>
      <c r="BB38" s="567"/>
      <c r="BC38" s="567"/>
      <c r="BD38" s="567"/>
      <c r="BE38" s="567"/>
      <c r="BF38" s="567"/>
      <c r="BG38" s="567"/>
      <c r="BH38" s="567"/>
      <c r="BI38" s="567"/>
      <c r="BJ38" s="567"/>
      <c r="BK38" s="567"/>
      <c r="BL38" s="567"/>
      <c r="BM38" s="567"/>
      <c r="BN38" s="567"/>
      <c r="BO38" s="567"/>
      <c r="BP38" s="567"/>
      <c r="BQ38" s="567"/>
      <c r="BR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  <c r="AG39" s="567"/>
      <c r="AH39" s="567"/>
      <c r="AI39" s="567"/>
      <c r="AJ39" s="567"/>
      <c r="AK39" s="567"/>
      <c r="AL39" s="567"/>
      <c r="AM39" s="567"/>
      <c r="AN39" s="567"/>
      <c r="AO39" s="567"/>
      <c r="AP39" s="567"/>
      <c r="AQ39" s="567"/>
      <c r="AR39" s="567"/>
      <c r="AS39" s="567"/>
      <c r="AT39" s="567"/>
      <c r="AU39" s="567"/>
      <c r="AV39" s="567"/>
      <c r="AW39" s="567"/>
      <c r="AX39" s="567"/>
      <c r="AY39" s="567"/>
      <c r="AZ39" s="567"/>
      <c r="BA39" s="567"/>
      <c r="BB39" s="567"/>
      <c r="BC39" s="567"/>
      <c r="BD39" s="567"/>
      <c r="BE39" s="567"/>
      <c r="BF39" s="567"/>
      <c r="BG39" s="567"/>
      <c r="BH39" s="567"/>
      <c r="BI39" s="567"/>
      <c r="BJ39" s="567"/>
      <c r="BK39" s="567"/>
      <c r="BL39" s="567"/>
      <c r="BM39" s="567"/>
      <c r="BN39" s="567"/>
      <c r="BO39" s="567"/>
      <c r="BP39" s="567"/>
      <c r="BQ39" s="567"/>
      <c r="BR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  <c r="AB40" s="567"/>
      <c r="AC40" s="567"/>
      <c r="AD40" s="567"/>
      <c r="AE40" s="567"/>
      <c r="AF40" s="567"/>
      <c r="AG40" s="567"/>
      <c r="AH40" s="567"/>
      <c r="AI40" s="567"/>
      <c r="AJ40" s="567"/>
      <c r="AK40" s="567"/>
      <c r="AL40" s="567"/>
      <c r="AM40" s="567"/>
      <c r="AN40" s="567"/>
      <c r="AO40" s="567"/>
      <c r="AP40" s="567"/>
      <c r="AQ40" s="567"/>
      <c r="AR40" s="567"/>
      <c r="AS40" s="567"/>
      <c r="AT40" s="567"/>
      <c r="AU40" s="567"/>
      <c r="AV40" s="567"/>
      <c r="AW40" s="567"/>
      <c r="AX40" s="567"/>
      <c r="AY40" s="567"/>
      <c r="AZ40" s="567"/>
      <c r="BA40" s="567"/>
      <c r="BB40" s="567"/>
      <c r="BC40" s="567"/>
      <c r="BD40" s="567"/>
      <c r="BE40" s="567"/>
      <c r="BF40" s="567"/>
      <c r="BG40" s="567"/>
      <c r="BH40" s="567"/>
      <c r="BI40" s="567"/>
      <c r="BJ40" s="567"/>
      <c r="BK40" s="567"/>
      <c r="BL40" s="567"/>
      <c r="BM40" s="567"/>
      <c r="BN40" s="567"/>
      <c r="BO40" s="567"/>
      <c r="BP40" s="567"/>
      <c r="BQ40" s="567"/>
      <c r="BR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  <c r="AB41" s="567"/>
      <c r="AC41" s="567"/>
      <c r="AD41" s="567"/>
      <c r="AE41" s="567"/>
      <c r="AF41" s="567"/>
      <c r="AG41" s="567"/>
      <c r="AH41" s="567"/>
      <c r="AI41" s="567"/>
      <c r="AJ41" s="567"/>
      <c r="AK41" s="567"/>
      <c r="AL41" s="567"/>
      <c r="AM41" s="567"/>
      <c r="AN41" s="567"/>
      <c r="AO41" s="567"/>
      <c r="AP41" s="567"/>
      <c r="AQ41" s="567"/>
      <c r="AR41" s="567"/>
      <c r="AS41" s="567"/>
      <c r="AT41" s="567"/>
      <c r="AU41" s="567"/>
      <c r="AV41" s="567"/>
      <c r="AW41" s="567"/>
      <c r="AX41" s="567"/>
      <c r="AY41" s="567"/>
      <c r="AZ41" s="567"/>
      <c r="BA41" s="567"/>
      <c r="BB41" s="567"/>
      <c r="BC41" s="567"/>
      <c r="BD41" s="567"/>
      <c r="BE41" s="567"/>
      <c r="BF41" s="567"/>
      <c r="BG41" s="567"/>
      <c r="BH41" s="567"/>
      <c r="BI41" s="567"/>
      <c r="BJ41" s="567"/>
      <c r="BK41" s="567"/>
      <c r="BL41" s="567"/>
      <c r="BM41" s="567"/>
      <c r="BN41" s="567"/>
      <c r="BO41" s="567"/>
      <c r="BP41" s="567"/>
      <c r="BQ41" s="567"/>
      <c r="BR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  <c r="AB42" s="567"/>
      <c r="AC42" s="567"/>
      <c r="AD42" s="567"/>
      <c r="AE42" s="567"/>
      <c r="AF42" s="567"/>
      <c r="AG42" s="567"/>
      <c r="AH42" s="567"/>
      <c r="AI42" s="567"/>
      <c r="AJ42" s="567"/>
      <c r="AK42" s="567"/>
      <c r="AL42" s="567"/>
      <c r="AM42" s="567"/>
      <c r="AN42" s="567"/>
      <c r="AO42" s="567"/>
      <c r="AP42" s="567"/>
      <c r="AQ42" s="567"/>
      <c r="AR42" s="567"/>
      <c r="AS42" s="567"/>
      <c r="AT42" s="567"/>
      <c r="AU42" s="567"/>
      <c r="AV42" s="567"/>
      <c r="AW42" s="567"/>
      <c r="AX42" s="567"/>
      <c r="AY42" s="567"/>
      <c r="AZ42" s="567"/>
      <c r="BA42" s="567"/>
      <c r="BB42" s="567"/>
      <c r="BC42" s="567"/>
      <c r="BD42" s="567"/>
      <c r="BE42" s="567"/>
      <c r="BF42" s="567"/>
      <c r="BG42" s="567"/>
      <c r="BH42" s="567"/>
      <c r="BI42" s="567"/>
      <c r="BJ42" s="567"/>
      <c r="BK42" s="567"/>
      <c r="BL42" s="567"/>
      <c r="BM42" s="567"/>
      <c r="BN42" s="567"/>
      <c r="BO42" s="567"/>
      <c r="BP42" s="567"/>
      <c r="BQ42" s="567"/>
      <c r="BR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  <c r="AP43" s="567"/>
      <c r="AQ43" s="567"/>
      <c r="AR43" s="567"/>
      <c r="AS43" s="567"/>
      <c r="AT43" s="567"/>
      <c r="AU43" s="567"/>
      <c r="AV43" s="567"/>
      <c r="AW43" s="567"/>
      <c r="AX43" s="567"/>
      <c r="AY43" s="567"/>
      <c r="AZ43" s="567"/>
      <c r="BA43" s="567"/>
      <c r="BB43" s="567"/>
      <c r="BC43" s="567"/>
      <c r="BD43" s="567"/>
      <c r="BE43" s="567"/>
      <c r="BF43" s="567"/>
      <c r="BG43" s="567"/>
      <c r="BH43" s="567"/>
      <c r="BI43" s="567"/>
      <c r="BJ43" s="567"/>
      <c r="BK43" s="567"/>
      <c r="BL43" s="567"/>
      <c r="BM43" s="567"/>
      <c r="BN43" s="567"/>
      <c r="BO43" s="567"/>
      <c r="BP43" s="567"/>
      <c r="BQ43" s="567"/>
      <c r="BR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7"/>
      <c r="AU44" s="567"/>
      <c r="AV44" s="567"/>
      <c r="AW44" s="567"/>
      <c r="AX44" s="567"/>
      <c r="AY44" s="567"/>
      <c r="AZ44" s="567"/>
      <c r="BA44" s="567"/>
      <c r="BB44" s="567"/>
      <c r="BC44" s="567"/>
      <c r="BD44" s="567"/>
      <c r="BE44" s="567"/>
      <c r="BF44" s="567"/>
      <c r="BG44" s="567"/>
      <c r="BH44" s="567"/>
      <c r="BI44" s="567"/>
      <c r="BJ44" s="567"/>
      <c r="BK44" s="567"/>
      <c r="BL44" s="567"/>
      <c r="BM44" s="567"/>
      <c r="BN44" s="567"/>
      <c r="BO44" s="567"/>
      <c r="BP44" s="567"/>
      <c r="BQ44" s="567"/>
      <c r="BR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BQ80" s="567"/>
      <c r="BR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BQ82" s="567"/>
      <c r="BR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</row>
  </sheetData>
  <mergeCells count="18">
    <mergeCell ref="A1:C2"/>
    <mergeCell ref="D1:F1"/>
    <mergeCell ref="A3:A6"/>
    <mergeCell ref="B5:C5"/>
    <mergeCell ref="A7:C7"/>
    <mergeCell ref="A8:A17"/>
    <mergeCell ref="A18:C18"/>
    <mergeCell ref="A27:C27"/>
    <mergeCell ref="G27:I27"/>
    <mergeCell ref="J27:L27"/>
    <mergeCell ref="N27:P27"/>
    <mergeCell ref="A19:A20"/>
    <mergeCell ref="A21:C21"/>
    <mergeCell ref="A22:C22"/>
    <mergeCell ref="A23:C23"/>
    <mergeCell ref="A24:C24"/>
    <mergeCell ref="A25:C25"/>
    <mergeCell ref="A26:C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4.0"/>
    <col customWidth="1" min="2" max="2" width="12.5"/>
    <col customWidth="1" min="3" max="3" width="19.88"/>
    <col customWidth="1" min="4" max="4" width="12.0"/>
    <col customWidth="1" min="5" max="7" width="11.0"/>
    <col customWidth="1" min="8" max="8" width="7.63"/>
    <col customWidth="1" min="9" max="9" width="6.0"/>
    <col customWidth="1" min="10" max="10" width="12.0"/>
    <col customWidth="1" min="11" max="13" width="11.0"/>
    <col customWidth="1" min="14" max="14" width="8.38"/>
    <col customWidth="1" min="15" max="15" width="6.0"/>
    <col customWidth="1" min="16" max="16" width="12.0"/>
    <col customWidth="1" min="17" max="19" width="11.0"/>
    <col customWidth="1" min="20" max="20" width="7.63"/>
    <col customWidth="1" min="21" max="21" width="6.0"/>
    <col customWidth="1" min="22" max="22" width="12.0"/>
    <col customWidth="1" min="23" max="25" width="11.0"/>
    <col customWidth="1" min="26" max="26" width="7.63"/>
    <col customWidth="1" min="27" max="27" width="6.0"/>
  </cols>
  <sheetData>
    <row r="1">
      <c r="A1" s="724" t="s">
        <v>811</v>
      </c>
      <c r="B1" s="15"/>
      <c r="C1" s="16"/>
      <c r="D1" s="725" t="s">
        <v>812</v>
      </c>
      <c r="E1" s="15"/>
      <c r="F1" s="15"/>
      <c r="G1" s="15"/>
      <c r="H1" s="15"/>
      <c r="I1" s="16"/>
      <c r="J1" s="725" t="s">
        <v>813</v>
      </c>
      <c r="K1" s="15"/>
      <c r="L1" s="15"/>
      <c r="M1" s="15"/>
      <c r="N1" s="15"/>
      <c r="O1" s="16"/>
      <c r="P1" s="725" t="s">
        <v>814</v>
      </c>
      <c r="Q1" s="15"/>
      <c r="R1" s="15"/>
      <c r="S1" s="15"/>
      <c r="T1" s="15"/>
      <c r="U1" s="16"/>
      <c r="V1" s="725" t="s">
        <v>815</v>
      </c>
      <c r="W1" s="15"/>
      <c r="X1" s="15"/>
      <c r="Y1" s="15"/>
      <c r="Z1" s="15"/>
      <c r="AA1" s="16"/>
    </row>
    <row r="2">
      <c r="A2" s="726" t="s">
        <v>816</v>
      </c>
      <c r="B2" s="726" t="s">
        <v>817</v>
      </c>
      <c r="C2" s="726" t="s">
        <v>18</v>
      </c>
      <c r="D2" s="727" t="s">
        <v>818</v>
      </c>
      <c r="E2" s="728" t="s">
        <v>819</v>
      </c>
      <c r="F2" s="728" t="s">
        <v>820</v>
      </c>
      <c r="G2" s="728" t="s">
        <v>821</v>
      </c>
      <c r="H2" s="728" t="s">
        <v>822</v>
      </c>
      <c r="I2" s="728" t="s">
        <v>823</v>
      </c>
      <c r="J2" s="727" t="s">
        <v>818</v>
      </c>
      <c r="K2" s="728" t="s">
        <v>819</v>
      </c>
      <c r="L2" s="728" t="s">
        <v>820</v>
      </c>
      <c r="M2" s="728" t="s">
        <v>821</v>
      </c>
      <c r="N2" s="728" t="s">
        <v>822</v>
      </c>
      <c r="O2" s="728" t="s">
        <v>823</v>
      </c>
      <c r="P2" s="727" t="s">
        <v>818</v>
      </c>
      <c r="Q2" s="728" t="s">
        <v>819</v>
      </c>
      <c r="R2" s="728" t="s">
        <v>820</v>
      </c>
      <c r="S2" s="728" t="s">
        <v>821</v>
      </c>
      <c r="T2" s="728" t="s">
        <v>822</v>
      </c>
      <c r="U2" s="728" t="s">
        <v>823</v>
      </c>
      <c r="V2" s="727" t="s">
        <v>818</v>
      </c>
      <c r="W2" s="728" t="s">
        <v>819</v>
      </c>
      <c r="X2" s="728" t="s">
        <v>820</v>
      </c>
      <c r="Y2" s="728" t="s">
        <v>821</v>
      </c>
      <c r="Z2" s="728" t="s">
        <v>822</v>
      </c>
      <c r="AA2" s="728" t="s">
        <v>823</v>
      </c>
    </row>
    <row r="3">
      <c r="A3" s="729" t="s">
        <v>627</v>
      </c>
      <c r="B3" s="730" t="s">
        <v>824</v>
      </c>
      <c r="C3" s="731" t="s">
        <v>825</v>
      </c>
      <c r="D3" s="732"/>
      <c r="E3" s="732"/>
      <c r="F3" s="732"/>
      <c r="G3" s="732"/>
      <c r="H3" s="733">
        <f t="shared" ref="H3:H8" si="1">G3-D3-E3+F3</f>
        <v>0</v>
      </c>
      <c r="I3" s="734">
        <f t="shared" ref="I3:I8" si="2">IFERROR(H3/(D3+E3),0)</f>
        <v>0</v>
      </c>
      <c r="J3" s="733">
        <v>0.0</v>
      </c>
      <c r="K3" s="733">
        <v>0.0</v>
      </c>
      <c r="L3" s="733">
        <v>0.0</v>
      </c>
      <c r="M3" s="733">
        <v>865472.0</v>
      </c>
      <c r="N3" s="733">
        <f t="shared" ref="N3:N8" si="3">M3-J3-K3+L3</f>
        <v>865472</v>
      </c>
      <c r="O3" s="734">
        <f t="shared" ref="O3:O8" si="4">IFERROR(N3/(J3+K3),0)</f>
        <v>0</v>
      </c>
      <c r="P3" s="732"/>
      <c r="Q3" s="732"/>
      <c r="R3" s="732"/>
      <c r="S3" s="732"/>
      <c r="T3" s="733">
        <f t="shared" ref="T3:T8" si="5">S3-P3-Q3+R3</f>
        <v>0</v>
      </c>
      <c r="U3" s="734">
        <f t="shared" ref="U3:U8" si="6">IFERROR(T3/(P3+Q3),0)</f>
        <v>0</v>
      </c>
      <c r="V3" s="732"/>
      <c r="W3" s="732"/>
      <c r="X3" s="732"/>
      <c r="Y3" s="732"/>
      <c r="Z3" s="733">
        <f t="shared" ref="Z3:Z8" si="7">Y3-V3-W3+X3</f>
        <v>0</v>
      </c>
      <c r="AA3" s="734">
        <f t="shared" ref="AA3:AA8" si="8">IFERROR(Z3/(V3+W3),0)</f>
        <v>0</v>
      </c>
    </row>
    <row r="4">
      <c r="A4" s="146"/>
      <c r="B4" s="730" t="s">
        <v>826</v>
      </c>
      <c r="C4" s="731" t="s">
        <v>827</v>
      </c>
      <c r="D4" s="732"/>
      <c r="E4" s="732"/>
      <c r="F4" s="732"/>
      <c r="G4" s="732"/>
      <c r="H4" s="733">
        <f t="shared" si="1"/>
        <v>0</v>
      </c>
      <c r="I4" s="734">
        <f t="shared" si="2"/>
        <v>0</v>
      </c>
      <c r="J4" s="733">
        <v>1706943.0</v>
      </c>
      <c r="K4" s="733">
        <v>100000.0</v>
      </c>
      <c r="L4" s="733">
        <v>0.0</v>
      </c>
      <c r="M4" s="733">
        <v>1912655.0</v>
      </c>
      <c r="N4" s="733">
        <f t="shared" si="3"/>
        <v>105712</v>
      </c>
      <c r="O4" s="734">
        <f t="shared" si="4"/>
        <v>0.05850322893</v>
      </c>
      <c r="P4" s="732"/>
      <c r="Q4" s="732"/>
      <c r="R4" s="732"/>
      <c r="S4" s="732"/>
      <c r="T4" s="733">
        <f t="shared" si="5"/>
        <v>0</v>
      </c>
      <c r="U4" s="734">
        <f t="shared" si="6"/>
        <v>0</v>
      </c>
      <c r="V4" s="732"/>
      <c r="W4" s="732"/>
      <c r="X4" s="732"/>
      <c r="Y4" s="732"/>
      <c r="Z4" s="733">
        <f t="shared" si="7"/>
        <v>0</v>
      </c>
      <c r="AA4" s="734">
        <f t="shared" si="8"/>
        <v>0</v>
      </c>
    </row>
    <row r="5">
      <c r="A5" s="146"/>
      <c r="B5" s="730" t="s">
        <v>828</v>
      </c>
      <c r="C5" s="731" t="s">
        <v>829</v>
      </c>
      <c r="D5" s="732"/>
      <c r="E5" s="732"/>
      <c r="F5" s="732"/>
      <c r="G5" s="732"/>
      <c r="H5" s="733">
        <f t="shared" si="1"/>
        <v>0</v>
      </c>
      <c r="I5" s="734">
        <f t="shared" si="2"/>
        <v>0</v>
      </c>
      <c r="J5" s="733">
        <v>0.0</v>
      </c>
      <c r="K5" s="733">
        <v>0.0</v>
      </c>
      <c r="L5" s="733">
        <v>0.0</v>
      </c>
      <c r="M5" s="733">
        <v>0.0</v>
      </c>
      <c r="N5" s="733">
        <f t="shared" si="3"/>
        <v>0</v>
      </c>
      <c r="O5" s="734">
        <f t="shared" si="4"/>
        <v>0</v>
      </c>
      <c r="P5" s="732"/>
      <c r="Q5" s="732"/>
      <c r="R5" s="732"/>
      <c r="S5" s="732"/>
      <c r="T5" s="733">
        <f t="shared" si="5"/>
        <v>0</v>
      </c>
      <c r="U5" s="734">
        <f t="shared" si="6"/>
        <v>0</v>
      </c>
      <c r="V5" s="732"/>
      <c r="W5" s="732"/>
      <c r="X5" s="732"/>
      <c r="Y5" s="732"/>
      <c r="Z5" s="733">
        <f t="shared" si="7"/>
        <v>0</v>
      </c>
      <c r="AA5" s="734">
        <f t="shared" si="8"/>
        <v>0</v>
      </c>
    </row>
    <row r="6">
      <c r="A6" s="146"/>
      <c r="B6" s="730" t="s">
        <v>830</v>
      </c>
      <c r="C6" s="731" t="s">
        <v>831</v>
      </c>
      <c r="D6" s="732"/>
      <c r="E6" s="732"/>
      <c r="F6" s="732"/>
      <c r="G6" s="732"/>
      <c r="H6" s="733">
        <f t="shared" si="1"/>
        <v>0</v>
      </c>
      <c r="I6" s="734">
        <f t="shared" si="2"/>
        <v>0</v>
      </c>
      <c r="J6" s="733">
        <v>0.0</v>
      </c>
      <c r="K6" s="733">
        <v>0.0</v>
      </c>
      <c r="L6" s="733">
        <v>0.0</v>
      </c>
      <c r="M6" s="733">
        <v>0.0</v>
      </c>
      <c r="N6" s="733">
        <f t="shared" si="3"/>
        <v>0</v>
      </c>
      <c r="O6" s="734">
        <f t="shared" si="4"/>
        <v>0</v>
      </c>
      <c r="P6" s="732"/>
      <c r="Q6" s="732"/>
      <c r="R6" s="732"/>
      <c r="S6" s="732"/>
      <c r="T6" s="733">
        <f t="shared" si="5"/>
        <v>0</v>
      </c>
      <c r="U6" s="734">
        <f t="shared" si="6"/>
        <v>0</v>
      </c>
      <c r="V6" s="732"/>
      <c r="W6" s="732"/>
      <c r="X6" s="732"/>
      <c r="Y6" s="732"/>
      <c r="Z6" s="733">
        <f t="shared" si="7"/>
        <v>0</v>
      </c>
      <c r="AA6" s="734">
        <f t="shared" si="8"/>
        <v>0</v>
      </c>
    </row>
    <row r="7">
      <c r="A7" s="147"/>
      <c r="B7" s="730" t="s">
        <v>678</v>
      </c>
      <c r="C7" s="731" t="s">
        <v>832</v>
      </c>
      <c r="D7" s="732"/>
      <c r="E7" s="732"/>
      <c r="F7" s="732"/>
      <c r="G7" s="732"/>
      <c r="H7" s="733">
        <f t="shared" si="1"/>
        <v>0</v>
      </c>
      <c r="I7" s="734">
        <f t="shared" si="2"/>
        <v>0</v>
      </c>
      <c r="J7" s="733">
        <v>333488.0</v>
      </c>
      <c r="K7" s="733">
        <v>0.0</v>
      </c>
      <c r="L7" s="733">
        <v>0.0</v>
      </c>
      <c r="M7" s="733">
        <v>0.0</v>
      </c>
      <c r="N7" s="733">
        <f t="shared" si="3"/>
        <v>-333488</v>
      </c>
      <c r="O7" s="734">
        <f t="shared" si="4"/>
        <v>-1</v>
      </c>
      <c r="P7" s="732"/>
      <c r="Q7" s="732"/>
      <c r="R7" s="732"/>
      <c r="S7" s="732"/>
      <c r="T7" s="733">
        <f t="shared" si="5"/>
        <v>0</v>
      </c>
      <c r="U7" s="734">
        <f t="shared" si="6"/>
        <v>0</v>
      </c>
      <c r="V7" s="732"/>
      <c r="W7" s="732"/>
      <c r="X7" s="732"/>
      <c r="Y7" s="732"/>
      <c r="Z7" s="733">
        <f t="shared" si="7"/>
        <v>0</v>
      </c>
      <c r="AA7" s="734">
        <f t="shared" si="8"/>
        <v>0</v>
      </c>
    </row>
    <row r="8">
      <c r="A8" s="735" t="s">
        <v>833</v>
      </c>
      <c r="B8" s="16"/>
      <c r="C8" s="731" t="s">
        <v>834</v>
      </c>
      <c r="D8" s="736">
        <f t="shared" ref="D8:G8" si="9">SUM(D3:D7)</f>
        <v>0</v>
      </c>
      <c r="E8" s="736">
        <f t="shared" si="9"/>
        <v>0</v>
      </c>
      <c r="F8" s="736">
        <f t="shared" si="9"/>
        <v>0</v>
      </c>
      <c r="G8" s="736">
        <f t="shared" si="9"/>
        <v>0</v>
      </c>
      <c r="H8" s="736">
        <f t="shared" si="1"/>
        <v>0</v>
      </c>
      <c r="I8" s="737">
        <f t="shared" si="2"/>
        <v>0</v>
      </c>
      <c r="J8" s="736">
        <f t="shared" ref="J8:M8" si="10">SUM(J3:J7)</f>
        <v>2040431</v>
      </c>
      <c r="K8" s="736">
        <f t="shared" si="10"/>
        <v>100000</v>
      </c>
      <c r="L8" s="736">
        <f t="shared" si="10"/>
        <v>0</v>
      </c>
      <c r="M8" s="736">
        <f t="shared" si="10"/>
        <v>2778127</v>
      </c>
      <c r="N8" s="736">
        <f t="shared" si="3"/>
        <v>637696</v>
      </c>
      <c r="O8" s="737">
        <f t="shared" si="4"/>
        <v>0.2979287816</v>
      </c>
      <c r="P8" s="736">
        <f t="shared" ref="P8:S8" si="11">SUM(P3:P7)</f>
        <v>0</v>
      </c>
      <c r="Q8" s="736">
        <f t="shared" si="11"/>
        <v>0</v>
      </c>
      <c r="R8" s="736">
        <f t="shared" si="11"/>
        <v>0</v>
      </c>
      <c r="S8" s="736">
        <f t="shared" si="11"/>
        <v>0</v>
      </c>
      <c r="T8" s="736">
        <f t="shared" si="5"/>
        <v>0</v>
      </c>
      <c r="U8" s="737">
        <f t="shared" si="6"/>
        <v>0</v>
      </c>
      <c r="V8" s="736">
        <f t="shared" ref="V8:Y8" si="12">SUM(V3:V7)</f>
        <v>0</v>
      </c>
      <c r="W8" s="736">
        <f t="shared" si="12"/>
        <v>0</v>
      </c>
      <c r="X8" s="736">
        <f t="shared" si="12"/>
        <v>0</v>
      </c>
      <c r="Y8" s="736">
        <f t="shared" si="12"/>
        <v>0</v>
      </c>
      <c r="Z8" s="736">
        <f t="shared" si="7"/>
        <v>0</v>
      </c>
      <c r="AA8" s="737">
        <f t="shared" si="8"/>
        <v>0</v>
      </c>
    </row>
    <row r="9">
      <c r="A9" s="738"/>
      <c r="B9" s="738"/>
      <c r="C9" s="738"/>
      <c r="D9" s="738"/>
      <c r="E9" s="738"/>
      <c r="F9" s="738"/>
      <c r="G9" s="738"/>
      <c r="H9" s="738"/>
      <c r="I9" s="738"/>
      <c r="J9" s="738"/>
      <c r="K9" s="738"/>
      <c r="L9" s="738"/>
      <c r="M9" s="738"/>
      <c r="N9" s="738"/>
      <c r="O9" s="738"/>
      <c r="P9" s="738"/>
      <c r="Q9" s="738"/>
      <c r="R9" s="738"/>
      <c r="S9" s="738"/>
      <c r="T9" s="738"/>
      <c r="U9" s="738"/>
      <c r="V9" s="738"/>
      <c r="W9" s="738"/>
      <c r="X9" s="738"/>
      <c r="Y9" s="738"/>
      <c r="Z9" s="738"/>
      <c r="AA9" s="738"/>
    </row>
    <row r="10">
      <c r="A10" s="739" t="s">
        <v>835</v>
      </c>
      <c r="B10" s="114"/>
      <c r="C10" s="65"/>
      <c r="D10" s="740"/>
      <c r="E10" s="740"/>
      <c r="F10" s="740"/>
      <c r="G10" s="740"/>
      <c r="H10" s="740"/>
      <c r="I10" s="740"/>
      <c r="J10" s="740"/>
      <c r="K10" s="740"/>
      <c r="L10" s="740"/>
      <c r="M10" s="740"/>
      <c r="N10" s="740"/>
      <c r="O10" s="740"/>
      <c r="P10" s="740"/>
      <c r="Q10" s="740"/>
      <c r="R10" s="740"/>
      <c r="S10" s="740"/>
      <c r="T10" s="740"/>
      <c r="U10" s="740"/>
      <c r="V10" s="740"/>
      <c r="W10" s="740"/>
      <c r="X10" s="740"/>
      <c r="Y10" s="740"/>
      <c r="Z10" s="740"/>
      <c r="AA10" s="740"/>
    </row>
    <row r="11">
      <c r="A11" s="741" t="s">
        <v>836</v>
      </c>
      <c r="B11" s="730" t="s">
        <v>837</v>
      </c>
      <c r="C11" s="742"/>
      <c r="D11" s="736">
        <f>E8</f>
        <v>0</v>
      </c>
      <c r="E11" s="743"/>
      <c r="F11" s="743"/>
      <c r="G11" s="743"/>
      <c r="H11" s="743"/>
      <c r="I11" s="743"/>
      <c r="J11" s="736">
        <f>K8</f>
        <v>100000</v>
      </c>
      <c r="K11" s="743"/>
      <c r="L11" s="743"/>
      <c r="M11" s="743"/>
      <c r="N11" s="743"/>
      <c r="O11" s="743"/>
      <c r="P11" s="736">
        <f>Q8</f>
        <v>0</v>
      </c>
      <c r="Q11" s="743"/>
      <c r="R11" s="743"/>
      <c r="S11" s="743"/>
      <c r="T11" s="743"/>
      <c r="U11" s="743"/>
      <c r="V11" s="736">
        <f>W8</f>
        <v>0</v>
      </c>
      <c r="W11" s="743"/>
      <c r="X11" s="743"/>
      <c r="Y11" s="743"/>
      <c r="Z11" s="743"/>
      <c r="AA11" s="743"/>
    </row>
    <row r="12">
      <c r="A12" s="146"/>
      <c r="B12" s="730" t="s">
        <v>838</v>
      </c>
      <c r="C12" s="742"/>
      <c r="D12" s="736">
        <f>F8</f>
        <v>0</v>
      </c>
      <c r="E12" s="743"/>
      <c r="F12" s="743"/>
      <c r="G12" s="743"/>
      <c r="H12" s="743"/>
      <c r="I12" s="743"/>
      <c r="J12" s="736">
        <f>L8</f>
        <v>0</v>
      </c>
      <c r="K12" s="743"/>
      <c r="L12" s="743"/>
      <c r="M12" s="743"/>
      <c r="N12" s="743"/>
      <c r="O12" s="743"/>
      <c r="P12" s="736">
        <f>R8</f>
        <v>0</v>
      </c>
      <c r="Q12" s="743"/>
      <c r="R12" s="743"/>
      <c r="S12" s="743"/>
      <c r="T12" s="743"/>
      <c r="U12" s="743"/>
      <c r="V12" s="736">
        <f>X8</f>
        <v>0</v>
      </c>
      <c r="W12" s="743"/>
      <c r="X12" s="743"/>
      <c r="Y12" s="743"/>
      <c r="Z12" s="743"/>
      <c r="AA12" s="743"/>
    </row>
    <row r="13">
      <c r="A13" s="146"/>
      <c r="B13" s="730" t="s">
        <v>839</v>
      </c>
      <c r="C13" s="742"/>
      <c r="D13" s="736">
        <f>G8</f>
        <v>0</v>
      </c>
      <c r="E13" s="743"/>
      <c r="F13" s="743"/>
      <c r="G13" s="743"/>
      <c r="H13" s="743"/>
      <c r="I13" s="743"/>
      <c r="J13" s="736">
        <f>M8</f>
        <v>2778127</v>
      </c>
      <c r="K13" s="743"/>
      <c r="L13" s="743"/>
      <c r="M13" s="743"/>
      <c r="N13" s="743"/>
      <c r="O13" s="743"/>
      <c r="P13" s="736">
        <f>S8</f>
        <v>0</v>
      </c>
      <c r="Q13" s="743"/>
      <c r="R13" s="743"/>
      <c r="S13" s="743"/>
      <c r="T13" s="743"/>
      <c r="U13" s="743"/>
      <c r="V13" s="736">
        <f>Y8</f>
        <v>0</v>
      </c>
      <c r="W13" s="743"/>
      <c r="X13" s="743"/>
      <c r="Y13" s="743"/>
      <c r="Z13" s="743"/>
      <c r="AA13" s="743"/>
    </row>
    <row r="14">
      <c r="A14" s="146"/>
      <c r="B14" s="730" t="s">
        <v>840</v>
      </c>
      <c r="C14" s="742"/>
      <c r="D14" s="736">
        <f>H8</f>
        <v>0</v>
      </c>
      <c r="E14" s="743"/>
      <c r="F14" s="743"/>
      <c r="G14" s="743"/>
      <c r="H14" s="743"/>
      <c r="I14" s="743"/>
      <c r="J14" s="736">
        <f>N8</f>
        <v>637696</v>
      </c>
      <c r="K14" s="743"/>
      <c r="L14" s="743"/>
      <c r="M14" s="743"/>
      <c r="N14" s="743"/>
      <c r="O14" s="743"/>
      <c r="P14" s="736">
        <f>T8</f>
        <v>0</v>
      </c>
      <c r="Q14" s="743"/>
      <c r="R14" s="743"/>
      <c r="S14" s="743"/>
      <c r="T14" s="743"/>
      <c r="U14" s="743"/>
      <c r="V14" s="736">
        <f>Z8</f>
        <v>0</v>
      </c>
      <c r="W14" s="743"/>
      <c r="X14" s="743"/>
      <c r="Y14" s="743"/>
      <c r="Z14" s="743"/>
      <c r="AA14" s="743"/>
    </row>
    <row r="15">
      <c r="A15" s="146"/>
      <c r="B15" s="730" t="s">
        <v>841</v>
      </c>
      <c r="C15" s="742"/>
      <c r="D15" s="744">
        <f>I8</f>
        <v>0</v>
      </c>
      <c r="E15" s="743"/>
      <c r="F15" s="743"/>
      <c r="G15" s="743"/>
      <c r="H15" s="743"/>
      <c r="I15" s="743"/>
      <c r="J15" s="744">
        <f>O8</f>
        <v>0.2979287816</v>
      </c>
      <c r="K15" s="743"/>
      <c r="L15" s="743"/>
      <c r="M15" s="743"/>
      <c r="N15" s="743"/>
      <c r="O15" s="743"/>
      <c r="P15" s="744">
        <f>U8</f>
        <v>0</v>
      </c>
      <c r="Q15" s="743"/>
      <c r="R15" s="743"/>
      <c r="S15" s="743"/>
      <c r="T15" s="743"/>
      <c r="U15" s="743"/>
      <c r="V15" s="744">
        <f>AA8</f>
        <v>0</v>
      </c>
      <c r="W15" s="743"/>
      <c r="X15" s="743"/>
      <c r="Y15" s="743"/>
      <c r="Z15" s="743"/>
      <c r="AA15" s="743"/>
    </row>
    <row r="16">
      <c r="A16" s="146"/>
      <c r="B16" s="730" t="s">
        <v>842</v>
      </c>
      <c r="C16" s="742"/>
      <c r="D16" s="736">
        <f>0+H8</f>
        <v>0</v>
      </c>
      <c r="E16" s="743"/>
      <c r="F16" s="743"/>
      <c r="G16" s="743"/>
      <c r="H16" s="743"/>
      <c r="I16" s="743"/>
      <c r="J16" s="736">
        <f>D16+N8</f>
        <v>637696</v>
      </c>
      <c r="K16" s="743"/>
      <c r="L16" s="743"/>
      <c r="M16" s="743"/>
      <c r="N16" s="743"/>
      <c r="O16" s="743"/>
      <c r="P16" s="736">
        <f>J16+T8</f>
        <v>637696</v>
      </c>
      <c r="Q16" s="743"/>
      <c r="R16" s="743"/>
      <c r="S16" s="743"/>
      <c r="T16" s="743"/>
      <c r="U16" s="743"/>
      <c r="V16" s="736">
        <f>P16+Z8</f>
        <v>637696</v>
      </c>
      <c r="W16" s="743"/>
      <c r="X16" s="743"/>
      <c r="Y16" s="743"/>
      <c r="Z16" s="743"/>
      <c r="AA16" s="743"/>
    </row>
    <row r="17">
      <c r="A17" s="147"/>
      <c r="B17" s="730" t="s">
        <v>843</v>
      </c>
      <c r="C17" s="731" t="s">
        <v>844</v>
      </c>
      <c r="D17" s="736">
        <f>G8-(D8+E8-F8+H8)</f>
        <v>0</v>
      </c>
      <c r="E17" s="743"/>
      <c r="F17" s="743"/>
      <c r="G17" s="743"/>
      <c r="H17" s="743"/>
      <c r="I17" s="745"/>
      <c r="J17" s="736">
        <f>M8-(J8+K8-L8+N8)</f>
        <v>0</v>
      </c>
      <c r="K17" s="743"/>
      <c r="L17" s="743"/>
      <c r="M17" s="743"/>
      <c r="N17" s="743"/>
      <c r="O17" s="745"/>
      <c r="P17" s="736">
        <f>S8-(P8+Q8-R8+T8)</f>
        <v>0</v>
      </c>
      <c r="Q17" s="743"/>
      <c r="R17" s="743"/>
      <c r="S17" s="743"/>
      <c r="T17" s="743"/>
      <c r="U17" s="745"/>
      <c r="V17" s="736">
        <f>Y8-(V8+W8-X8+Z8)</f>
        <v>0</v>
      </c>
      <c r="W17" s="743"/>
      <c r="X17" s="743"/>
      <c r="Y17" s="743"/>
      <c r="Z17" s="743"/>
      <c r="AA17" s="745"/>
    </row>
    <row r="18">
      <c r="A18" s="746" t="s">
        <v>18</v>
      </c>
      <c r="B18" s="15"/>
      <c r="C18" s="16"/>
      <c r="D18" s="747"/>
      <c r="E18" s="15"/>
      <c r="F18" s="15"/>
      <c r="G18" s="15"/>
      <c r="H18" s="15"/>
      <c r="I18" s="16"/>
      <c r="J18" s="746" t="s">
        <v>845</v>
      </c>
      <c r="K18" s="15"/>
      <c r="L18" s="15"/>
      <c r="M18" s="15"/>
      <c r="N18" s="15"/>
      <c r="O18" s="16"/>
      <c r="P18" s="747"/>
      <c r="Q18" s="15"/>
      <c r="R18" s="15"/>
      <c r="S18" s="15"/>
      <c r="T18" s="15"/>
      <c r="U18" s="16"/>
      <c r="V18" s="747"/>
      <c r="W18" s="15"/>
      <c r="X18" s="15"/>
      <c r="Y18" s="15"/>
      <c r="Z18" s="15"/>
      <c r="AA18" s="16"/>
    </row>
    <row r="19">
      <c r="A19" s="748"/>
      <c r="B19" s="748"/>
      <c r="C19" s="748"/>
      <c r="D19" s="748"/>
      <c r="E19" s="748"/>
      <c r="F19" s="748"/>
      <c r="G19" s="748"/>
      <c r="H19" s="748"/>
      <c r="I19" s="748"/>
      <c r="J19" s="748"/>
      <c r="K19" s="748"/>
      <c r="L19" s="748"/>
      <c r="M19" s="748"/>
      <c r="N19" s="748"/>
      <c r="O19" s="748"/>
      <c r="P19" s="748"/>
      <c r="Q19" s="748"/>
      <c r="R19" s="748"/>
      <c r="S19" s="748"/>
      <c r="T19" s="748"/>
      <c r="U19" s="748"/>
      <c r="V19" s="748"/>
      <c r="W19" s="748"/>
      <c r="X19" s="748"/>
      <c r="Y19" s="748"/>
      <c r="Z19" s="748"/>
      <c r="AA19" s="748"/>
    </row>
    <row r="20">
      <c r="A20" s="735" t="s">
        <v>846</v>
      </c>
      <c r="B20" s="749" t="s">
        <v>847</v>
      </c>
      <c r="C20" s="750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738"/>
    </row>
  </sheetData>
  <mergeCells count="14">
    <mergeCell ref="A3:A7"/>
    <mergeCell ref="A11:A17"/>
    <mergeCell ref="A18:C18"/>
    <mergeCell ref="D18:I18"/>
    <mergeCell ref="J18:O18"/>
    <mergeCell ref="P18:U18"/>
    <mergeCell ref="V18:AA18"/>
    <mergeCell ref="A1:C1"/>
    <mergeCell ref="D1:I1"/>
    <mergeCell ref="J1:O1"/>
    <mergeCell ref="P1:U1"/>
    <mergeCell ref="V1:AA1"/>
    <mergeCell ref="A8:B8"/>
    <mergeCell ref="A10:C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75"/>
    <col customWidth="1" min="2" max="2" width="18.13"/>
    <col customWidth="1" min="3" max="3" width="14.38"/>
    <col customWidth="1" hidden="1" min="4" max="4" width="11.0"/>
    <col customWidth="1" hidden="1" min="5" max="5" width="7.88"/>
    <col customWidth="1" hidden="1" min="6" max="6" width="5.5"/>
    <col customWidth="1" min="7" max="7" width="15.75"/>
    <col customWidth="1" min="8" max="8" width="6.13"/>
    <col customWidth="1" min="9" max="9" width="16.75"/>
    <col customWidth="1" min="10" max="10" width="6.13"/>
    <col customWidth="1" min="11" max="11" width="13.0"/>
    <col customWidth="1" min="12" max="12" width="6.13"/>
    <col customWidth="1" min="13" max="13" width="13.13"/>
    <col customWidth="1" min="14" max="14" width="6.25"/>
    <col customWidth="1" min="15" max="15" width="13.13"/>
    <col customWidth="1" min="16" max="16" width="6.25"/>
    <col customWidth="1" min="17" max="17" width="8.88"/>
    <col customWidth="1" min="18" max="19" width="9.38"/>
    <col customWidth="1" min="20" max="21" width="8.88"/>
    <col customWidth="1" min="22" max="24" width="10.0"/>
    <col customWidth="1" min="25" max="68" width="11.63"/>
    <col customWidth="1" min="69" max="69" width="11.5"/>
    <col customWidth="1" min="70" max="70" width="8.25"/>
    <col customWidth="1" min="71" max="72" width="9.38"/>
    <col customWidth="1" min="73" max="73" width="11.0"/>
    <col customWidth="1" min="74" max="79" width="9.38"/>
    <col customWidth="1" min="80" max="89" width="7.63"/>
    <col customWidth="1" min="90" max="90" width="7.5"/>
    <col customWidth="1" min="91" max="91" width="7.63"/>
    <col customWidth="1" min="92" max="93" width="8.88"/>
  </cols>
  <sheetData>
    <row r="1">
      <c r="A1" s="595" t="s">
        <v>645</v>
      </c>
      <c r="B1" s="596" t="s">
        <v>646</v>
      </c>
      <c r="C1" s="597"/>
      <c r="D1" s="527" t="s">
        <v>648</v>
      </c>
      <c r="E1" s="527" t="s">
        <v>649</v>
      </c>
      <c r="F1" s="598" t="s">
        <v>650</v>
      </c>
      <c r="G1" s="751" t="s">
        <v>848</v>
      </c>
      <c r="H1" s="597"/>
      <c r="I1" s="751" t="s">
        <v>849</v>
      </c>
      <c r="J1" s="597"/>
      <c r="K1" s="751" t="s">
        <v>850</v>
      </c>
      <c r="L1" s="597"/>
      <c r="M1" s="599" t="s">
        <v>851</v>
      </c>
      <c r="N1" s="597"/>
      <c r="O1" s="599" t="s">
        <v>852</v>
      </c>
      <c r="P1" s="597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29"/>
      <c r="BC1" s="429"/>
      <c r="BD1" s="429"/>
      <c r="BE1" s="429"/>
      <c r="BF1" s="429"/>
      <c r="BG1" s="429"/>
      <c r="BH1" s="429"/>
      <c r="BI1" s="429"/>
      <c r="BJ1" s="429"/>
      <c r="BK1" s="429"/>
      <c r="BL1" s="429"/>
      <c r="BM1" s="429"/>
      <c r="BN1" s="429"/>
      <c r="BO1" s="429"/>
      <c r="BP1" s="429"/>
      <c r="BQ1" s="429"/>
      <c r="BR1" s="429"/>
      <c r="BS1" s="429"/>
      <c r="BT1" s="429"/>
      <c r="BU1" s="429"/>
      <c r="BV1" s="429"/>
      <c r="BW1" s="429"/>
      <c r="BX1" s="429"/>
      <c r="BY1" s="429"/>
      <c r="BZ1" s="429"/>
      <c r="CA1" s="429"/>
      <c r="CB1" s="429"/>
      <c r="CC1" s="429"/>
      <c r="CD1" s="429"/>
      <c r="CE1" s="429"/>
      <c r="CF1" s="429"/>
      <c r="CG1" s="429"/>
      <c r="CH1" s="429"/>
      <c r="CI1" s="429"/>
      <c r="CJ1" s="429"/>
      <c r="CK1" s="429"/>
      <c r="CL1" s="429"/>
      <c r="CM1" s="429"/>
      <c r="CN1" s="421"/>
      <c r="CO1" s="421"/>
    </row>
    <row r="2">
      <c r="A2" s="427" t="s">
        <v>853</v>
      </c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  <c r="AP2" s="429"/>
      <c r="AQ2" s="429"/>
      <c r="AR2" s="429"/>
      <c r="AS2" s="429"/>
      <c r="AT2" s="429"/>
      <c r="AU2" s="429"/>
      <c r="AV2" s="429"/>
      <c r="AW2" s="429"/>
      <c r="AX2" s="429"/>
      <c r="AY2" s="429"/>
      <c r="AZ2" s="429"/>
      <c r="BA2" s="429"/>
      <c r="BB2" s="429"/>
      <c r="BC2" s="429"/>
      <c r="BD2" s="429"/>
      <c r="BE2" s="429"/>
      <c r="BF2" s="429"/>
      <c r="BG2" s="429"/>
      <c r="BH2" s="429"/>
      <c r="BI2" s="429"/>
      <c r="BJ2" s="429"/>
      <c r="BK2" s="429"/>
      <c r="BL2" s="429"/>
      <c r="BM2" s="429"/>
      <c r="BN2" s="429"/>
      <c r="BO2" s="429"/>
      <c r="BP2" s="429"/>
      <c r="BQ2" s="429"/>
      <c r="BR2" s="429"/>
      <c r="BS2" s="429"/>
      <c r="BT2" s="429"/>
      <c r="BU2" s="429"/>
      <c r="BV2" s="429"/>
      <c r="BW2" s="429"/>
      <c r="BX2" s="429"/>
      <c r="BY2" s="429"/>
      <c r="BZ2" s="429"/>
      <c r="CA2" s="429"/>
      <c r="CB2" s="429"/>
      <c r="CC2" s="429"/>
      <c r="CD2" s="429"/>
      <c r="CE2" s="429"/>
      <c r="CF2" s="429"/>
      <c r="CG2" s="429"/>
      <c r="CH2" s="429"/>
      <c r="CI2" s="429"/>
      <c r="CJ2" s="429"/>
      <c r="CK2" s="429"/>
      <c r="CL2" s="429"/>
      <c r="CM2" s="429"/>
      <c r="CN2" s="421"/>
      <c r="CO2" s="421"/>
    </row>
    <row r="3">
      <c r="A3" s="430"/>
      <c r="B3" s="431"/>
      <c r="C3" s="431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9"/>
      <c r="R3" s="429"/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V3" s="429"/>
      <c r="BW3" s="429"/>
      <c r="BX3" s="429"/>
      <c r="BY3" s="429"/>
      <c r="BZ3" s="429"/>
      <c r="CA3" s="429"/>
      <c r="CB3" s="429"/>
      <c r="CC3" s="429"/>
      <c r="CD3" s="429"/>
      <c r="CE3" s="429"/>
      <c r="CF3" s="429"/>
      <c r="CG3" s="429"/>
      <c r="CH3" s="429"/>
      <c r="CI3" s="429"/>
      <c r="CJ3" s="429"/>
      <c r="CK3" s="429"/>
      <c r="CL3" s="429"/>
      <c r="CM3" s="429"/>
      <c r="CN3" s="421"/>
      <c r="CO3" s="421"/>
    </row>
    <row r="4">
      <c r="A4" s="432" t="s">
        <v>624</v>
      </c>
      <c r="B4" s="433"/>
      <c r="C4" s="434"/>
      <c r="D4" s="752" t="s">
        <v>652</v>
      </c>
      <c r="E4" s="436" t="s">
        <v>652</v>
      </c>
      <c r="F4" s="436" t="s">
        <v>652</v>
      </c>
      <c r="G4" s="753" t="s">
        <v>653</v>
      </c>
      <c r="H4" s="439" t="s">
        <v>773</v>
      </c>
      <c r="I4" s="753" t="s">
        <v>653</v>
      </c>
      <c r="J4" s="439" t="s">
        <v>773</v>
      </c>
      <c r="K4" s="753" t="s">
        <v>653</v>
      </c>
      <c r="L4" s="439" t="s">
        <v>773</v>
      </c>
      <c r="M4" s="753" t="s">
        <v>653</v>
      </c>
      <c r="N4" s="440" t="s">
        <v>773</v>
      </c>
      <c r="O4" s="753" t="s">
        <v>653</v>
      </c>
      <c r="P4" s="440" t="s">
        <v>773</v>
      </c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8"/>
      <c r="AO4" s="428"/>
      <c r="AP4" s="428"/>
      <c r="AQ4" s="428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1"/>
      <c r="BY4" s="421"/>
      <c r="BZ4" s="421"/>
      <c r="CA4" s="421"/>
      <c r="CB4" s="429"/>
      <c r="CC4" s="429"/>
      <c r="CD4" s="429"/>
      <c r="CE4" s="429"/>
      <c r="CF4" s="429"/>
      <c r="CG4" s="429"/>
      <c r="CH4" s="429"/>
      <c r="CI4" s="429"/>
      <c r="CJ4" s="429"/>
      <c r="CK4" s="429"/>
      <c r="CL4" s="429"/>
      <c r="CM4" s="429"/>
      <c r="CN4" s="421"/>
      <c r="CO4" s="421"/>
    </row>
    <row r="5">
      <c r="A5" s="441" t="s">
        <v>654</v>
      </c>
      <c r="B5" s="114"/>
      <c r="C5" s="442"/>
      <c r="D5" s="572" t="s">
        <v>652</v>
      </c>
      <c r="E5" s="444" t="s">
        <v>652</v>
      </c>
      <c r="F5" s="444" t="s">
        <v>652</v>
      </c>
      <c r="G5" s="754"/>
      <c r="N5" s="755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428"/>
      <c r="AL5" s="428"/>
      <c r="AM5" s="428"/>
      <c r="AN5" s="428"/>
      <c r="AO5" s="428"/>
      <c r="AP5" s="428"/>
      <c r="AQ5" s="428"/>
      <c r="AR5" s="421"/>
      <c r="AS5" s="421"/>
      <c r="AT5" s="421"/>
      <c r="AU5" s="421"/>
      <c r="AV5" s="421"/>
      <c r="AW5" s="421"/>
      <c r="AX5" s="421"/>
      <c r="AY5" s="421"/>
      <c r="AZ5" s="421"/>
      <c r="BA5" s="421"/>
      <c r="BB5" s="421"/>
      <c r="BC5" s="421"/>
      <c r="BD5" s="421"/>
      <c r="BE5" s="421"/>
      <c r="BF5" s="421"/>
      <c r="BG5" s="421"/>
      <c r="BH5" s="421"/>
      <c r="BI5" s="421"/>
      <c r="BJ5" s="421"/>
      <c r="BK5" s="421"/>
      <c r="BL5" s="421"/>
      <c r="BM5" s="421"/>
      <c r="BN5" s="421"/>
      <c r="BO5" s="421"/>
      <c r="BP5" s="421"/>
      <c r="BQ5" s="421"/>
      <c r="BR5" s="421"/>
      <c r="BS5" s="421"/>
      <c r="BT5" s="421"/>
      <c r="BU5" s="421"/>
      <c r="BV5" s="421"/>
      <c r="BW5" s="421"/>
      <c r="BX5" s="421"/>
      <c r="BY5" s="421"/>
      <c r="BZ5" s="421"/>
      <c r="CA5" s="421"/>
      <c r="CB5" s="429"/>
      <c r="CC5" s="429"/>
      <c r="CD5" s="429"/>
      <c r="CE5" s="429"/>
      <c r="CF5" s="429"/>
      <c r="CG5" s="429"/>
      <c r="CH5" s="429"/>
      <c r="CI5" s="429"/>
      <c r="CJ5" s="429"/>
      <c r="CK5" s="429"/>
      <c r="CL5" s="429"/>
      <c r="CM5" s="429"/>
      <c r="CN5" s="421"/>
      <c r="CO5" s="421"/>
    </row>
    <row r="6">
      <c r="A6" s="451" t="s">
        <v>655</v>
      </c>
      <c r="B6" s="452" t="s">
        <v>656</v>
      </c>
      <c r="C6" s="535" t="s">
        <v>657</v>
      </c>
      <c r="D6" s="756" t="s">
        <v>658</v>
      </c>
      <c r="E6" s="444" t="s">
        <v>652</v>
      </c>
      <c r="F6" s="444" t="s">
        <v>652</v>
      </c>
      <c r="G6" s="757">
        <v>129850.0</v>
      </c>
      <c r="H6" s="606">
        <f>sum(G6:G14)/G33</f>
        <v>0.2587944262</v>
      </c>
      <c r="I6" s="603">
        <v>217761.0</v>
      </c>
      <c r="J6" s="606">
        <f>sum(I6:I14)/I33</f>
        <v>0.2857473339</v>
      </c>
      <c r="K6" s="603">
        <v>3780.0</v>
      </c>
      <c r="L6" s="606">
        <f>sum(K6:K14)/K33</f>
        <v>0.250577467</v>
      </c>
      <c r="M6" s="603">
        <v>1737.0</v>
      </c>
      <c r="N6" s="608">
        <f>sum(M6:M14)/M33</f>
        <v>0.02287236983</v>
      </c>
      <c r="O6" s="607">
        <v>26105.0</v>
      </c>
      <c r="P6" s="608">
        <f>sum(O6:O14)/O33</f>
        <v>0.0725614452</v>
      </c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1"/>
      <c r="BY6" s="421"/>
      <c r="BZ6" s="421"/>
      <c r="CA6" s="421"/>
      <c r="CB6" s="429"/>
      <c r="CC6" s="429"/>
      <c r="CD6" s="429"/>
      <c r="CE6" s="429"/>
      <c r="CF6" s="429"/>
      <c r="CG6" s="429"/>
      <c r="CH6" s="429"/>
      <c r="CI6" s="429"/>
      <c r="CJ6" s="429"/>
      <c r="CK6" s="429"/>
      <c r="CL6" s="429"/>
      <c r="CM6" s="429"/>
      <c r="CN6" s="421"/>
      <c r="CO6" s="421"/>
    </row>
    <row r="7">
      <c r="A7" s="457"/>
      <c r="B7" s="146"/>
      <c r="C7" s="535" t="s">
        <v>659</v>
      </c>
      <c r="D7" s="756" t="s">
        <v>658</v>
      </c>
      <c r="E7" s="444" t="s">
        <v>652</v>
      </c>
      <c r="F7" s="444" t="s">
        <v>652</v>
      </c>
      <c r="G7" s="757">
        <v>118761.0</v>
      </c>
      <c r="H7" s="146"/>
      <c r="I7" s="603">
        <v>53412.0</v>
      </c>
      <c r="J7" s="146"/>
      <c r="K7" s="603">
        <v>563544.0</v>
      </c>
      <c r="L7" s="146"/>
      <c r="M7" s="603">
        <v>72667.0</v>
      </c>
      <c r="N7" s="609"/>
      <c r="O7" s="607">
        <v>295549.0</v>
      </c>
      <c r="P7" s="609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1"/>
      <c r="BY7" s="421"/>
      <c r="BZ7" s="421"/>
      <c r="CA7" s="421"/>
      <c r="CB7" s="429"/>
      <c r="CC7" s="429"/>
      <c r="CD7" s="429"/>
      <c r="CE7" s="429"/>
      <c r="CF7" s="429"/>
      <c r="CG7" s="429"/>
      <c r="CH7" s="429"/>
      <c r="CI7" s="429"/>
      <c r="CJ7" s="429"/>
      <c r="CK7" s="429"/>
      <c r="CL7" s="429"/>
      <c r="CM7" s="429"/>
      <c r="CN7" s="421"/>
      <c r="CO7" s="421"/>
    </row>
    <row r="8">
      <c r="A8" s="457"/>
      <c r="B8" s="146"/>
      <c r="C8" s="535" t="s">
        <v>660</v>
      </c>
      <c r="D8" s="756" t="s">
        <v>658</v>
      </c>
      <c r="E8" s="444" t="s">
        <v>652</v>
      </c>
      <c r="F8" s="444" t="s">
        <v>652</v>
      </c>
      <c r="G8" s="757">
        <v>415413.0</v>
      </c>
      <c r="H8" s="146"/>
      <c r="I8" s="603">
        <v>310575.0</v>
      </c>
      <c r="J8" s="146"/>
      <c r="K8" s="603">
        <v>234465.0</v>
      </c>
      <c r="L8" s="146"/>
      <c r="M8" s="603">
        <v>83571.0</v>
      </c>
      <c r="N8" s="609"/>
      <c r="O8" s="607">
        <v>122565.0</v>
      </c>
      <c r="P8" s="609"/>
      <c r="Q8" s="428"/>
      <c r="R8" s="428"/>
      <c r="S8" s="428"/>
      <c r="T8" s="428"/>
      <c r="U8" s="428"/>
      <c r="V8" s="428"/>
      <c r="W8" s="428"/>
      <c r="X8" s="428"/>
      <c r="Y8" s="428"/>
      <c r="Z8" s="428"/>
      <c r="AA8" s="428"/>
      <c r="AB8" s="428"/>
      <c r="AC8" s="428"/>
      <c r="AD8" s="428"/>
      <c r="AE8" s="428"/>
      <c r="AF8" s="428"/>
      <c r="AG8" s="428"/>
      <c r="AH8" s="428"/>
      <c r="AI8" s="428"/>
      <c r="AJ8" s="428"/>
      <c r="AK8" s="428"/>
      <c r="AL8" s="428"/>
      <c r="AM8" s="428"/>
      <c r="AN8" s="428"/>
      <c r="AO8" s="428"/>
      <c r="AP8" s="428"/>
      <c r="AQ8" s="428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1"/>
      <c r="BY8" s="421"/>
      <c r="BZ8" s="421"/>
      <c r="CA8" s="421"/>
      <c r="CB8" s="429"/>
      <c r="CC8" s="429"/>
      <c r="CD8" s="429"/>
      <c r="CE8" s="429"/>
      <c r="CF8" s="429"/>
      <c r="CG8" s="429"/>
      <c r="CH8" s="429"/>
      <c r="CI8" s="429"/>
      <c r="CJ8" s="429"/>
      <c r="CK8" s="429"/>
      <c r="CL8" s="429"/>
      <c r="CM8" s="429"/>
      <c r="CN8" s="421"/>
      <c r="CO8" s="421"/>
    </row>
    <row r="9">
      <c r="A9" s="457"/>
      <c r="B9" s="146"/>
      <c r="C9" s="535" t="s">
        <v>661</v>
      </c>
      <c r="D9" s="756" t="s">
        <v>658</v>
      </c>
      <c r="E9" s="444" t="s">
        <v>652</v>
      </c>
      <c r="F9" s="444" t="s">
        <v>652</v>
      </c>
      <c r="G9" s="757">
        <v>12951.0</v>
      </c>
      <c r="H9" s="146"/>
      <c r="I9" s="603">
        <v>19283.0</v>
      </c>
      <c r="J9" s="146"/>
      <c r="K9" s="603">
        <v>37824.0</v>
      </c>
      <c r="L9" s="146"/>
      <c r="M9" s="603">
        <v>2742.0</v>
      </c>
      <c r="N9" s="609"/>
      <c r="O9" s="607">
        <v>14408.0</v>
      </c>
      <c r="P9" s="609"/>
      <c r="Q9" s="428"/>
      <c r="R9" s="428"/>
      <c r="S9" s="428"/>
      <c r="T9" s="428"/>
      <c r="U9" s="428"/>
      <c r="V9" s="428"/>
      <c r="W9" s="428"/>
      <c r="X9" s="428"/>
      <c r="Y9" s="428"/>
      <c r="Z9" s="428"/>
      <c r="AA9" s="428"/>
      <c r="AB9" s="428"/>
      <c r="AC9" s="428"/>
      <c r="AD9" s="428"/>
      <c r="AE9" s="428"/>
      <c r="AF9" s="428"/>
      <c r="AG9" s="428"/>
      <c r="AH9" s="428"/>
      <c r="AI9" s="428"/>
      <c r="AJ9" s="428"/>
      <c r="AK9" s="428"/>
      <c r="AL9" s="428"/>
      <c r="AM9" s="428"/>
      <c r="AN9" s="428"/>
      <c r="AO9" s="428"/>
      <c r="AP9" s="428"/>
      <c r="AQ9" s="428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1"/>
      <c r="BO9" s="421"/>
      <c r="BP9" s="421"/>
      <c r="BQ9" s="421"/>
      <c r="BR9" s="421"/>
      <c r="BS9" s="421"/>
      <c r="BT9" s="421"/>
      <c r="BU9" s="421"/>
      <c r="BV9" s="421"/>
      <c r="BW9" s="421"/>
      <c r="BX9" s="421"/>
      <c r="BY9" s="421"/>
      <c r="BZ9" s="421"/>
      <c r="CA9" s="421"/>
      <c r="CB9" s="429"/>
      <c r="CC9" s="429"/>
      <c r="CD9" s="429"/>
      <c r="CE9" s="429"/>
      <c r="CF9" s="429"/>
      <c r="CG9" s="429"/>
      <c r="CH9" s="429"/>
      <c r="CI9" s="429"/>
      <c r="CJ9" s="429"/>
      <c r="CK9" s="429"/>
      <c r="CL9" s="429"/>
      <c r="CM9" s="429"/>
      <c r="CN9" s="421"/>
      <c r="CO9" s="421"/>
    </row>
    <row r="10">
      <c r="A10" s="457"/>
      <c r="B10" s="146"/>
      <c r="C10" s="535" t="s">
        <v>662</v>
      </c>
      <c r="D10" s="756" t="s">
        <v>658</v>
      </c>
      <c r="E10" s="444" t="s">
        <v>652</v>
      </c>
      <c r="F10" s="444" t="s">
        <v>652</v>
      </c>
      <c r="G10" s="757">
        <v>0.0</v>
      </c>
      <c r="H10" s="146"/>
      <c r="I10" s="603">
        <v>4984.0</v>
      </c>
      <c r="J10" s="146"/>
      <c r="K10" s="603">
        <v>105.0</v>
      </c>
      <c r="L10" s="146"/>
      <c r="M10" s="603">
        <v>220.0</v>
      </c>
      <c r="N10" s="609"/>
      <c r="O10" s="607">
        <v>220.0</v>
      </c>
      <c r="P10" s="609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28"/>
      <c r="AR10" s="421"/>
      <c r="AS10" s="421"/>
      <c r="AT10" s="421"/>
      <c r="AU10" s="421"/>
      <c r="AV10" s="421"/>
      <c r="AW10" s="421"/>
      <c r="AX10" s="421"/>
      <c r="AY10" s="421"/>
      <c r="AZ10" s="421"/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1"/>
      <c r="BT10" s="421"/>
      <c r="BU10" s="421"/>
      <c r="BV10" s="421"/>
      <c r="BW10" s="421"/>
      <c r="BX10" s="421"/>
      <c r="BY10" s="421"/>
      <c r="BZ10" s="421"/>
      <c r="CA10" s="421"/>
      <c r="CB10" s="429"/>
      <c r="CC10" s="429"/>
      <c r="CD10" s="429"/>
      <c r="CE10" s="429"/>
      <c r="CF10" s="429"/>
      <c r="CG10" s="429"/>
      <c r="CH10" s="429"/>
      <c r="CI10" s="429"/>
      <c r="CJ10" s="429"/>
      <c r="CK10" s="429"/>
      <c r="CL10" s="429"/>
      <c r="CM10" s="429"/>
      <c r="CN10" s="421"/>
      <c r="CO10" s="421"/>
    </row>
    <row r="11">
      <c r="A11" s="457"/>
      <c r="B11" s="146"/>
      <c r="C11" s="535" t="s">
        <v>663</v>
      </c>
      <c r="D11" s="756" t="s">
        <v>658</v>
      </c>
      <c r="E11" s="444" t="s">
        <v>652</v>
      </c>
      <c r="F11" s="444" t="s">
        <v>652</v>
      </c>
      <c r="G11" s="757">
        <v>29.0</v>
      </c>
      <c r="H11" s="146"/>
      <c r="I11" s="603">
        <v>29.0</v>
      </c>
      <c r="J11" s="146"/>
      <c r="K11" s="603">
        <v>29.0</v>
      </c>
      <c r="L11" s="146"/>
      <c r="M11" s="603">
        <v>29.0</v>
      </c>
      <c r="N11" s="609"/>
      <c r="O11" s="607">
        <v>26768.0</v>
      </c>
      <c r="P11" s="609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1"/>
      <c r="AS11" s="421"/>
      <c r="AT11" s="421"/>
      <c r="AU11" s="421"/>
      <c r="AV11" s="421"/>
      <c r="AW11" s="421"/>
      <c r="AX11" s="421"/>
      <c r="AY11" s="421"/>
      <c r="AZ11" s="421"/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1"/>
      <c r="BY11" s="421"/>
      <c r="BZ11" s="421"/>
      <c r="CA11" s="421"/>
      <c r="CB11" s="429"/>
      <c r="CC11" s="429"/>
      <c r="CD11" s="429"/>
      <c r="CE11" s="429"/>
      <c r="CF11" s="429"/>
      <c r="CG11" s="429"/>
      <c r="CH11" s="429"/>
      <c r="CI11" s="429"/>
      <c r="CJ11" s="429"/>
      <c r="CK11" s="429"/>
      <c r="CL11" s="429"/>
      <c r="CM11" s="429"/>
      <c r="CN11" s="421"/>
      <c r="CO11" s="421"/>
    </row>
    <row r="12">
      <c r="A12" s="457"/>
      <c r="B12" s="146"/>
      <c r="C12" s="535" t="s">
        <v>664</v>
      </c>
      <c r="D12" s="756" t="s">
        <v>658</v>
      </c>
      <c r="E12" s="444" t="s">
        <v>652</v>
      </c>
      <c r="F12" s="444" t="s">
        <v>652</v>
      </c>
      <c r="G12" s="757">
        <v>36890.0</v>
      </c>
      <c r="H12" s="146"/>
      <c r="I12" s="603">
        <v>2.0</v>
      </c>
      <c r="J12" s="146"/>
      <c r="K12" s="603">
        <v>2.0</v>
      </c>
      <c r="L12" s="146"/>
      <c r="M12" s="603">
        <v>11.0</v>
      </c>
      <c r="N12" s="609"/>
      <c r="O12" s="607">
        <v>11.0</v>
      </c>
      <c r="P12" s="609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1"/>
      <c r="BY12" s="421"/>
      <c r="BZ12" s="421"/>
      <c r="CA12" s="421"/>
      <c r="CB12" s="429"/>
      <c r="CC12" s="429"/>
      <c r="CD12" s="429"/>
      <c r="CE12" s="429"/>
      <c r="CF12" s="429"/>
      <c r="CG12" s="429"/>
      <c r="CH12" s="429"/>
      <c r="CI12" s="429"/>
      <c r="CJ12" s="429"/>
      <c r="CK12" s="429"/>
      <c r="CL12" s="429"/>
      <c r="CM12" s="429"/>
      <c r="CN12" s="421"/>
      <c r="CO12" s="421"/>
    </row>
    <row r="13">
      <c r="A13" s="457"/>
      <c r="B13" s="146"/>
      <c r="C13" s="535" t="s">
        <v>665</v>
      </c>
      <c r="D13" s="756" t="s">
        <v>658</v>
      </c>
      <c r="E13" s="444" t="s">
        <v>652</v>
      </c>
      <c r="F13" s="444" t="s">
        <v>652</v>
      </c>
      <c r="G13" s="758">
        <v>0.0</v>
      </c>
      <c r="H13" s="146"/>
      <c r="I13" s="603">
        <v>54371.0</v>
      </c>
      <c r="J13" s="146"/>
      <c r="K13" s="603">
        <v>7588.0</v>
      </c>
      <c r="L13" s="146"/>
      <c r="M13" s="603">
        <v>15080.0</v>
      </c>
      <c r="N13" s="609"/>
      <c r="O13" s="607">
        <v>20281.0</v>
      </c>
      <c r="P13" s="609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1"/>
      <c r="AS13" s="421"/>
      <c r="AT13" s="421"/>
      <c r="AU13" s="421"/>
      <c r="AV13" s="421"/>
      <c r="AW13" s="421"/>
      <c r="AX13" s="421"/>
      <c r="AY13" s="421"/>
      <c r="AZ13" s="421"/>
      <c r="BA13" s="421"/>
      <c r="BB13" s="421"/>
      <c r="BC13" s="421"/>
      <c r="BD13" s="421"/>
      <c r="BE13" s="421"/>
      <c r="BF13" s="421"/>
      <c r="BG13" s="421"/>
      <c r="BH13" s="421"/>
      <c r="BI13" s="421"/>
      <c r="BJ13" s="421"/>
      <c r="BK13" s="421"/>
      <c r="BL13" s="421"/>
      <c r="BM13" s="421"/>
      <c r="BN13" s="421"/>
      <c r="BO13" s="421"/>
      <c r="BP13" s="421"/>
      <c r="BQ13" s="421"/>
      <c r="BR13" s="421"/>
      <c r="BS13" s="421"/>
      <c r="BT13" s="421"/>
      <c r="BU13" s="421"/>
      <c r="BV13" s="421"/>
      <c r="BW13" s="421"/>
      <c r="BX13" s="421"/>
      <c r="BY13" s="421"/>
      <c r="BZ13" s="421"/>
      <c r="CA13" s="421"/>
      <c r="CB13" s="429"/>
      <c r="CC13" s="429"/>
      <c r="CD13" s="429"/>
      <c r="CE13" s="429"/>
      <c r="CF13" s="429"/>
      <c r="CG13" s="429"/>
      <c r="CH13" s="429"/>
      <c r="CI13" s="429"/>
      <c r="CJ13" s="429"/>
      <c r="CK13" s="429"/>
      <c r="CL13" s="429"/>
      <c r="CM13" s="429"/>
      <c r="CN13" s="421"/>
      <c r="CO13" s="421"/>
    </row>
    <row r="14">
      <c r="A14" s="457"/>
      <c r="B14" s="146"/>
      <c r="C14" s="535" t="s">
        <v>666</v>
      </c>
      <c r="D14" s="756" t="s">
        <v>658</v>
      </c>
      <c r="E14" s="444" t="s">
        <v>652</v>
      </c>
      <c r="F14" s="444" t="s">
        <v>652</v>
      </c>
      <c r="G14" s="758">
        <v>0.0</v>
      </c>
      <c r="H14" s="147"/>
      <c r="I14" s="603">
        <v>217808.0</v>
      </c>
      <c r="J14" s="147"/>
      <c r="K14" s="603">
        <v>234547.0</v>
      </c>
      <c r="L14" s="147"/>
      <c r="M14" s="603">
        <v>2289.0</v>
      </c>
      <c r="N14" s="610"/>
      <c r="O14" s="607">
        <v>135072.0</v>
      </c>
      <c r="P14" s="610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21"/>
      <c r="BC14" s="421"/>
      <c r="BD14" s="421"/>
      <c r="BE14" s="421"/>
      <c r="BF14" s="421"/>
      <c r="BG14" s="421"/>
      <c r="BH14" s="421"/>
      <c r="BI14" s="421"/>
      <c r="BJ14" s="421"/>
      <c r="BK14" s="421"/>
      <c r="BL14" s="421"/>
      <c r="BM14" s="421"/>
      <c r="BN14" s="421"/>
      <c r="BO14" s="421"/>
      <c r="BP14" s="421"/>
      <c r="BQ14" s="421"/>
      <c r="BR14" s="421"/>
      <c r="BS14" s="421"/>
      <c r="BT14" s="421"/>
      <c r="BU14" s="421"/>
      <c r="BV14" s="421"/>
      <c r="BW14" s="421"/>
      <c r="BX14" s="421"/>
      <c r="BY14" s="421"/>
      <c r="BZ14" s="421"/>
      <c r="CA14" s="421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1"/>
      <c r="CO14" s="421"/>
    </row>
    <row r="15">
      <c r="A15" s="457"/>
      <c r="B15" s="147"/>
      <c r="C15" s="559" t="s">
        <v>667</v>
      </c>
      <c r="D15" s="756"/>
      <c r="E15" s="444"/>
      <c r="F15" s="444"/>
      <c r="G15" s="757"/>
      <c r="H15" s="611"/>
      <c r="I15" s="603"/>
      <c r="J15" s="611"/>
      <c r="K15" s="603"/>
      <c r="L15" s="611"/>
      <c r="M15" s="603"/>
      <c r="N15" s="612"/>
      <c r="O15" s="607"/>
      <c r="P15" s="612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21"/>
      <c r="BC15" s="421"/>
      <c r="BD15" s="421"/>
      <c r="BE15" s="421"/>
      <c r="BF15" s="421"/>
      <c r="BG15" s="421"/>
      <c r="BH15" s="421"/>
      <c r="BI15" s="421"/>
      <c r="BJ15" s="421"/>
      <c r="BK15" s="421"/>
      <c r="BL15" s="421"/>
      <c r="BM15" s="421"/>
      <c r="BN15" s="421"/>
      <c r="BO15" s="421"/>
      <c r="BP15" s="421"/>
      <c r="BQ15" s="421"/>
      <c r="BR15" s="421"/>
      <c r="BS15" s="421"/>
      <c r="BT15" s="421"/>
      <c r="BU15" s="421"/>
      <c r="BV15" s="421"/>
      <c r="BW15" s="421"/>
      <c r="BX15" s="421"/>
      <c r="BY15" s="421"/>
      <c r="BZ15" s="421"/>
      <c r="CA15" s="421"/>
      <c r="CB15" s="429"/>
      <c r="CC15" s="429"/>
      <c r="CD15" s="429"/>
      <c r="CE15" s="429"/>
      <c r="CF15" s="429"/>
      <c r="CG15" s="429"/>
      <c r="CH15" s="429"/>
      <c r="CI15" s="429"/>
      <c r="CJ15" s="429"/>
      <c r="CK15" s="429"/>
      <c r="CL15" s="429"/>
      <c r="CM15" s="429"/>
      <c r="CN15" s="421"/>
      <c r="CO15" s="421"/>
    </row>
    <row r="16">
      <c r="A16" s="457"/>
      <c r="B16" s="452" t="s">
        <v>668</v>
      </c>
      <c r="C16" s="535" t="s">
        <v>669</v>
      </c>
      <c r="D16" s="572" t="s">
        <v>658</v>
      </c>
      <c r="E16" s="444" t="s">
        <v>652</v>
      </c>
      <c r="F16" s="444" t="s">
        <v>652</v>
      </c>
      <c r="G16" s="757">
        <v>75813.0</v>
      </c>
      <c r="H16" s="606">
        <f>SUM(G16:G18)/G33</f>
        <v>0.05364618999</v>
      </c>
      <c r="I16" s="603">
        <v>177706.0</v>
      </c>
      <c r="J16" s="606">
        <f>SUM(I16:I18)/I33</f>
        <v>0.0724522293</v>
      </c>
      <c r="K16" s="603">
        <v>114957.0</v>
      </c>
      <c r="L16" s="606">
        <f>SUM(K16:K18)/K33</f>
        <v>0.05900550843</v>
      </c>
      <c r="M16" s="603">
        <v>46079.0</v>
      </c>
      <c r="N16" s="608">
        <f>SUM(M16:M18)/M33</f>
        <v>0.005944897577</v>
      </c>
      <c r="O16" s="607">
        <v>50447.0</v>
      </c>
      <c r="P16" s="608">
        <f>SUM(O16:O18)/O33</f>
        <v>0.0518172483</v>
      </c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1"/>
      <c r="AS16" s="421"/>
      <c r="AT16" s="421"/>
      <c r="AU16" s="421"/>
      <c r="AV16" s="421"/>
      <c r="AW16" s="421"/>
      <c r="AX16" s="421"/>
      <c r="AY16" s="421"/>
      <c r="AZ16" s="421"/>
      <c r="BA16" s="421"/>
      <c r="BB16" s="421"/>
      <c r="BC16" s="421"/>
      <c r="BD16" s="421"/>
      <c r="BE16" s="421"/>
      <c r="BF16" s="421"/>
      <c r="BG16" s="421"/>
      <c r="BH16" s="421"/>
      <c r="BI16" s="421"/>
      <c r="BJ16" s="421"/>
      <c r="BK16" s="421"/>
      <c r="BL16" s="421"/>
      <c r="BM16" s="421"/>
      <c r="BN16" s="421"/>
      <c r="BO16" s="421"/>
      <c r="BP16" s="421"/>
      <c r="BQ16" s="421"/>
      <c r="BR16" s="421"/>
      <c r="BS16" s="421"/>
      <c r="BT16" s="421"/>
      <c r="BU16" s="421"/>
      <c r="BV16" s="421"/>
      <c r="BW16" s="421"/>
      <c r="BX16" s="421"/>
      <c r="BY16" s="421"/>
      <c r="BZ16" s="421"/>
      <c r="CA16" s="421"/>
      <c r="CB16" s="429"/>
      <c r="CC16" s="429"/>
      <c r="CD16" s="429"/>
      <c r="CE16" s="429"/>
      <c r="CF16" s="429"/>
      <c r="CG16" s="429"/>
      <c r="CH16" s="429"/>
      <c r="CI16" s="429"/>
      <c r="CJ16" s="429"/>
      <c r="CK16" s="429"/>
      <c r="CL16" s="429"/>
      <c r="CM16" s="429"/>
      <c r="CN16" s="421"/>
      <c r="CO16" s="421"/>
    </row>
    <row r="17">
      <c r="A17" s="457"/>
      <c r="B17" s="146"/>
      <c r="C17" s="535" t="s">
        <v>670</v>
      </c>
      <c r="D17" s="572" t="s">
        <v>658</v>
      </c>
      <c r="E17" s="444" t="s">
        <v>652</v>
      </c>
      <c r="F17" s="444" t="s">
        <v>652</v>
      </c>
      <c r="G17" s="757">
        <v>65066.0</v>
      </c>
      <c r="H17" s="146"/>
      <c r="I17" s="603">
        <v>35332.0</v>
      </c>
      <c r="J17" s="146"/>
      <c r="K17" s="603">
        <v>114.0</v>
      </c>
      <c r="L17" s="146"/>
      <c r="M17" s="603">
        <v>0.0</v>
      </c>
      <c r="N17" s="609"/>
      <c r="O17" s="607">
        <v>407010.0</v>
      </c>
      <c r="P17" s="609"/>
      <c r="Q17" s="428"/>
      <c r="R17" s="428"/>
      <c r="S17" s="428"/>
      <c r="T17" s="428"/>
      <c r="U17" s="428"/>
      <c r="V17" s="428"/>
      <c r="W17" s="428"/>
      <c r="X17" s="428"/>
      <c r="Y17" s="428"/>
      <c r="Z17" s="428"/>
      <c r="AA17" s="428"/>
      <c r="AB17" s="428"/>
      <c r="AC17" s="428"/>
      <c r="AD17" s="428"/>
      <c r="AE17" s="428"/>
      <c r="AF17" s="428"/>
      <c r="AG17" s="428"/>
      <c r="AH17" s="428"/>
      <c r="AI17" s="428"/>
      <c r="AJ17" s="428"/>
      <c r="AK17" s="428"/>
      <c r="AL17" s="428"/>
      <c r="AM17" s="428"/>
      <c r="AN17" s="428"/>
      <c r="AO17" s="428"/>
      <c r="AP17" s="428"/>
      <c r="AQ17" s="428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21"/>
      <c r="BC17" s="421"/>
      <c r="BD17" s="421"/>
      <c r="BE17" s="421"/>
      <c r="BF17" s="421"/>
      <c r="BG17" s="421"/>
      <c r="BH17" s="421"/>
      <c r="BI17" s="421"/>
      <c r="BJ17" s="421"/>
      <c r="BK17" s="421"/>
      <c r="BL17" s="421"/>
      <c r="BM17" s="421"/>
      <c r="BN17" s="421"/>
      <c r="BO17" s="421"/>
      <c r="BP17" s="421"/>
      <c r="BQ17" s="421"/>
      <c r="BR17" s="421"/>
      <c r="BS17" s="421"/>
      <c r="BT17" s="421"/>
      <c r="BU17" s="421"/>
      <c r="BV17" s="421"/>
      <c r="BW17" s="421"/>
      <c r="BX17" s="421"/>
      <c r="BY17" s="421"/>
      <c r="BZ17" s="421"/>
      <c r="CA17" s="421"/>
      <c r="CB17" s="429"/>
      <c r="CC17" s="429"/>
      <c r="CD17" s="429"/>
      <c r="CE17" s="429"/>
      <c r="CF17" s="429"/>
      <c r="CG17" s="429"/>
      <c r="CH17" s="429"/>
      <c r="CI17" s="429"/>
      <c r="CJ17" s="429"/>
      <c r="CK17" s="429"/>
      <c r="CL17" s="429"/>
      <c r="CM17" s="429"/>
      <c r="CN17" s="421"/>
      <c r="CO17" s="421"/>
    </row>
    <row r="18">
      <c r="A18" s="459"/>
      <c r="B18" s="147"/>
      <c r="C18" s="535" t="s">
        <v>671</v>
      </c>
      <c r="D18" s="572" t="s">
        <v>658</v>
      </c>
      <c r="E18" s="444" t="s">
        <v>652</v>
      </c>
      <c r="F18" s="444" t="s">
        <v>652</v>
      </c>
      <c r="G18" s="757">
        <v>7106.0</v>
      </c>
      <c r="H18" s="147"/>
      <c r="I18" s="603">
        <v>9639.0</v>
      </c>
      <c r="J18" s="147"/>
      <c r="K18" s="603">
        <v>139689.0</v>
      </c>
      <c r="L18" s="147"/>
      <c r="M18" s="603">
        <v>276.0</v>
      </c>
      <c r="N18" s="610"/>
      <c r="O18" s="607">
        <v>276.0</v>
      </c>
      <c r="P18" s="610"/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8"/>
      <c r="AO18" s="428"/>
      <c r="AP18" s="428"/>
      <c r="AQ18" s="428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21"/>
      <c r="BC18" s="421"/>
      <c r="BD18" s="421"/>
      <c r="BE18" s="421"/>
      <c r="BF18" s="421"/>
      <c r="BG18" s="421"/>
      <c r="BH18" s="421"/>
      <c r="BI18" s="421"/>
      <c r="BJ18" s="421"/>
      <c r="BK18" s="421"/>
      <c r="BL18" s="421"/>
      <c r="BM18" s="421"/>
      <c r="BN18" s="421"/>
      <c r="BO18" s="421"/>
      <c r="BP18" s="421"/>
      <c r="BQ18" s="421"/>
      <c r="BR18" s="421"/>
      <c r="BS18" s="421"/>
      <c r="BT18" s="421"/>
      <c r="BU18" s="421"/>
      <c r="BV18" s="421"/>
      <c r="BW18" s="421"/>
      <c r="BX18" s="421"/>
      <c r="BY18" s="421"/>
      <c r="BZ18" s="421"/>
      <c r="CA18" s="421"/>
      <c r="CB18" s="429"/>
      <c r="CC18" s="429"/>
      <c r="CD18" s="429"/>
      <c r="CE18" s="429"/>
      <c r="CF18" s="429"/>
      <c r="CG18" s="429"/>
      <c r="CH18" s="429"/>
      <c r="CI18" s="429"/>
      <c r="CJ18" s="429"/>
      <c r="CK18" s="429"/>
      <c r="CL18" s="429"/>
      <c r="CM18" s="429"/>
      <c r="CN18" s="421"/>
      <c r="CO18" s="421"/>
    </row>
    <row r="19">
      <c r="A19" s="451" t="s">
        <v>627</v>
      </c>
      <c r="B19" s="452" t="s">
        <v>630</v>
      </c>
      <c r="C19" s="535" t="s">
        <v>672</v>
      </c>
      <c r="D19" s="756" t="s">
        <v>658</v>
      </c>
      <c r="E19" s="444" t="s">
        <v>652</v>
      </c>
      <c r="F19" s="444" t="s">
        <v>652</v>
      </c>
      <c r="G19" s="757">
        <v>893307.0</v>
      </c>
      <c r="H19" s="606">
        <f>SUM(G19:G22)/G33</f>
        <v>0.5064934782</v>
      </c>
      <c r="I19" s="603">
        <v>1122163.0</v>
      </c>
      <c r="J19" s="606">
        <f>SUM(I19:I22)/I33</f>
        <v>0.5676217987</v>
      </c>
      <c r="K19" s="603">
        <v>0.0</v>
      </c>
      <c r="L19" s="606">
        <f>SUM(K19:K22)/K33</f>
        <v>0.6434187527</v>
      </c>
      <c r="M19" s="603">
        <v>906660.0</v>
      </c>
      <c r="N19" s="608">
        <f>SUM(M19:M22)/M33</f>
        <v>0.6472226857</v>
      </c>
      <c r="O19" s="607">
        <v>907480.0</v>
      </c>
      <c r="P19" s="608">
        <f>SUM(O19:O22)/O33</f>
        <v>0.5737579558</v>
      </c>
      <c r="Q19" s="428"/>
      <c r="R19" s="428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/>
      <c r="AE19" s="428"/>
      <c r="AF19" s="428"/>
      <c r="AG19" s="428"/>
      <c r="AH19" s="428"/>
      <c r="AI19" s="428"/>
      <c r="AJ19" s="428"/>
      <c r="AK19" s="428"/>
      <c r="AL19" s="428"/>
      <c r="AM19" s="428"/>
      <c r="AN19" s="428"/>
      <c r="AO19" s="428"/>
      <c r="AP19" s="428"/>
      <c r="AQ19" s="428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  <c r="BV19" s="421"/>
      <c r="BW19" s="421"/>
      <c r="BX19" s="421"/>
      <c r="BY19" s="421"/>
      <c r="BZ19" s="421"/>
      <c r="CA19" s="421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1"/>
      <c r="CO19" s="421"/>
    </row>
    <row r="20">
      <c r="A20" s="457"/>
      <c r="B20" s="146"/>
      <c r="C20" s="535" t="s">
        <v>673</v>
      </c>
      <c r="D20" s="756" t="s">
        <v>658</v>
      </c>
      <c r="E20" s="444" t="s">
        <v>652</v>
      </c>
      <c r="F20" s="444" t="s">
        <v>652</v>
      </c>
      <c r="G20" s="758">
        <v>0.0</v>
      </c>
      <c r="H20" s="146"/>
      <c r="I20" s="603">
        <v>168087.0</v>
      </c>
      <c r="J20" s="146"/>
      <c r="K20" s="603">
        <v>1956997.0</v>
      </c>
      <c r="L20" s="146"/>
      <c r="M20" s="603">
        <v>2727709.0</v>
      </c>
      <c r="N20" s="609"/>
      <c r="O20" s="607">
        <v>2357681.0</v>
      </c>
      <c r="P20" s="609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8"/>
      <c r="AH20" s="428"/>
      <c r="AI20" s="428"/>
      <c r="AJ20" s="428"/>
      <c r="AK20" s="428"/>
      <c r="AL20" s="428"/>
      <c r="AM20" s="428"/>
      <c r="AN20" s="428"/>
      <c r="AO20" s="428"/>
      <c r="AP20" s="428"/>
      <c r="AQ20" s="428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21"/>
      <c r="BC20" s="421"/>
      <c r="BD20" s="421"/>
      <c r="BE20" s="421"/>
      <c r="BF20" s="421"/>
      <c r="BG20" s="421"/>
      <c r="BH20" s="421"/>
      <c r="BI20" s="421"/>
      <c r="BJ20" s="421"/>
      <c r="BK20" s="421"/>
      <c r="BL20" s="421"/>
      <c r="BM20" s="421"/>
      <c r="BN20" s="421"/>
      <c r="BO20" s="421"/>
      <c r="BP20" s="421"/>
      <c r="BQ20" s="421"/>
      <c r="BR20" s="421"/>
      <c r="BS20" s="421"/>
      <c r="BT20" s="421"/>
      <c r="BU20" s="421"/>
      <c r="BV20" s="421"/>
      <c r="BW20" s="421"/>
      <c r="BX20" s="421"/>
      <c r="BY20" s="421"/>
      <c r="BZ20" s="421"/>
      <c r="CA20" s="421"/>
      <c r="CB20" s="429"/>
      <c r="CC20" s="429"/>
      <c r="CD20" s="429"/>
      <c r="CE20" s="429"/>
      <c r="CF20" s="429"/>
      <c r="CG20" s="429"/>
      <c r="CH20" s="429"/>
      <c r="CI20" s="429"/>
      <c r="CJ20" s="429"/>
      <c r="CK20" s="429"/>
      <c r="CL20" s="429"/>
      <c r="CM20" s="429"/>
      <c r="CN20" s="421"/>
      <c r="CO20" s="421"/>
    </row>
    <row r="21">
      <c r="A21" s="457"/>
      <c r="B21" s="146"/>
      <c r="C21" s="559" t="s">
        <v>674</v>
      </c>
      <c r="D21" s="756"/>
      <c r="E21" s="444"/>
      <c r="F21" s="444"/>
      <c r="G21" s="758">
        <v>0.0</v>
      </c>
      <c r="H21" s="146"/>
      <c r="I21" s="607">
        <v>0.0</v>
      </c>
      <c r="J21" s="146"/>
      <c r="K21" s="607">
        <v>0.0</v>
      </c>
      <c r="L21" s="146"/>
      <c r="M21" s="607">
        <v>0.0</v>
      </c>
      <c r="N21" s="609"/>
      <c r="O21" s="607">
        <v>136713.0</v>
      </c>
      <c r="P21" s="609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8"/>
      <c r="AO21" s="428"/>
      <c r="AP21" s="428"/>
      <c r="AQ21" s="428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21"/>
      <c r="BC21" s="421"/>
      <c r="BD21" s="421"/>
      <c r="BE21" s="421"/>
      <c r="BF21" s="421"/>
      <c r="BG21" s="421"/>
      <c r="BH21" s="421"/>
      <c r="BI21" s="421"/>
      <c r="BJ21" s="421"/>
      <c r="BK21" s="421"/>
      <c r="BL21" s="421"/>
      <c r="BM21" s="421"/>
      <c r="BN21" s="421"/>
      <c r="BO21" s="421"/>
      <c r="BP21" s="421"/>
      <c r="BQ21" s="421"/>
      <c r="BR21" s="421"/>
      <c r="BS21" s="421"/>
      <c r="BT21" s="421"/>
      <c r="BU21" s="421"/>
      <c r="BV21" s="421"/>
      <c r="BW21" s="421"/>
      <c r="BX21" s="421"/>
      <c r="BY21" s="421"/>
      <c r="BZ21" s="421"/>
      <c r="CA21" s="421"/>
      <c r="CB21" s="429"/>
      <c r="CC21" s="429"/>
      <c r="CD21" s="429"/>
      <c r="CE21" s="429"/>
      <c r="CF21" s="429"/>
      <c r="CG21" s="429"/>
      <c r="CH21" s="429"/>
      <c r="CI21" s="429"/>
      <c r="CJ21" s="429"/>
      <c r="CK21" s="429"/>
      <c r="CL21" s="429"/>
      <c r="CM21" s="429"/>
      <c r="CN21" s="421"/>
      <c r="CO21" s="421"/>
    </row>
    <row r="22">
      <c r="A22" s="457"/>
      <c r="B22" s="146"/>
      <c r="C22" s="535" t="s">
        <v>675</v>
      </c>
      <c r="D22" s="756" t="s">
        <v>658</v>
      </c>
      <c r="E22" s="444" t="s">
        <v>652</v>
      </c>
      <c r="F22" s="444" t="s">
        <v>652</v>
      </c>
      <c r="G22" s="757">
        <v>503874.0</v>
      </c>
      <c r="H22" s="147"/>
      <c r="I22" s="603">
        <v>454297.0</v>
      </c>
      <c r="J22" s="147"/>
      <c r="K22" s="603">
        <v>821004.0</v>
      </c>
      <c r="L22" s="147"/>
      <c r="M22" s="603">
        <v>1412313.0</v>
      </c>
      <c r="N22" s="610"/>
      <c r="O22" s="607">
        <v>1666476.0</v>
      </c>
      <c r="P22" s="610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428"/>
      <c r="AN22" s="428"/>
      <c r="AO22" s="428"/>
      <c r="AP22" s="428"/>
      <c r="AQ22" s="428"/>
      <c r="AR22" s="421"/>
      <c r="AS22" s="421"/>
      <c r="AT22" s="421"/>
      <c r="AU22" s="421"/>
      <c r="AV22" s="421"/>
      <c r="AW22" s="421"/>
      <c r="AX22" s="421"/>
      <c r="AY22" s="421"/>
      <c r="AZ22" s="421"/>
      <c r="BA22" s="421"/>
      <c r="BB22" s="421"/>
      <c r="BC22" s="421"/>
      <c r="BD22" s="421"/>
      <c r="BE22" s="421"/>
      <c r="BF22" s="421"/>
      <c r="BG22" s="421"/>
      <c r="BH22" s="421"/>
      <c r="BI22" s="421"/>
      <c r="BJ22" s="421"/>
      <c r="BK22" s="421"/>
      <c r="BL22" s="421"/>
      <c r="BM22" s="421"/>
      <c r="BN22" s="421"/>
      <c r="BO22" s="421"/>
      <c r="BP22" s="421"/>
      <c r="BQ22" s="421"/>
      <c r="BR22" s="421"/>
      <c r="BS22" s="421"/>
      <c r="BT22" s="421"/>
      <c r="BU22" s="421"/>
      <c r="BV22" s="421"/>
      <c r="BW22" s="421"/>
      <c r="BX22" s="421"/>
      <c r="BY22" s="421"/>
      <c r="BZ22" s="421"/>
      <c r="CA22" s="421"/>
      <c r="CB22" s="429"/>
      <c r="CC22" s="429"/>
      <c r="CD22" s="429"/>
      <c r="CE22" s="429"/>
      <c r="CF22" s="429"/>
      <c r="CG22" s="429"/>
      <c r="CH22" s="429"/>
      <c r="CI22" s="429"/>
      <c r="CJ22" s="429"/>
      <c r="CK22" s="429"/>
      <c r="CL22" s="429"/>
      <c r="CM22" s="429"/>
      <c r="CN22" s="421"/>
      <c r="CO22" s="421"/>
    </row>
    <row r="23">
      <c r="A23" s="457"/>
      <c r="B23" s="147"/>
      <c r="C23" s="559" t="s">
        <v>676</v>
      </c>
      <c r="D23" s="756"/>
      <c r="E23" s="444"/>
      <c r="F23" s="444"/>
      <c r="G23" s="757"/>
      <c r="H23" s="611"/>
      <c r="I23" s="603"/>
      <c r="J23" s="611"/>
      <c r="K23" s="603"/>
      <c r="L23" s="611"/>
      <c r="M23" s="603"/>
      <c r="N23" s="612"/>
      <c r="O23" s="607"/>
      <c r="P23" s="612"/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  <c r="AH23" s="428"/>
      <c r="AI23" s="428"/>
      <c r="AJ23" s="428"/>
      <c r="AK23" s="428"/>
      <c r="AL23" s="428"/>
      <c r="AM23" s="428"/>
      <c r="AN23" s="428"/>
      <c r="AO23" s="428"/>
      <c r="AP23" s="428"/>
      <c r="AQ23" s="428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1"/>
      <c r="BO23" s="421"/>
      <c r="BP23" s="421"/>
      <c r="BQ23" s="421"/>
      <c r="BR23" s="421"/>
      <c r="BS23" s="421"/>
      <c r="BT23" s="421"/>
      <c r="BU23" s="421"/>
      <c r="BV23" s="421"/>
      <c r="BW23" s="421"/>
      <c r="BX23" s="421"/>
      <c r="BY23" s="421"/>
      <c r="BZ23" s="421"/>
      <c r="CA23" s="421"/>
      <c r="CB23" s="429"/>
      <c r="CC23" s="429"/>
      <c r="CD23" s="429"/>
      <c r="CE23" s="429"/>
      <c r="CF23" s="429"/>
      <c r="CG23" s="429"/>
      <c r="CH23" s="429"/>
      <c r="CI23" s="429"/>
      <c r="CJ23" s="429"/>
      <c r="CK23" s="429"/>
      <c r="CL23" s="429"/>
      <c r="CM23" s="429"/>
      <c r="CN23" s="421"/>
      <c r="CO23" s="421"/>
    </row>
    <row r="24">
      <c r="A24" s="457"/>
      <c r="B24" s="460" t="s">
        <v>677</v>
      </c>
      <c r="C24" s="535" t="s">
        <v>671</v>
      </c>
      <c r="D24" s="572" t="s">
        <v>658</v>
      </c>
      <c r="E24" s="444" t="s">
        <v>652</v>
      </c>
      <c r="F24" s="444" t="s">
        <v>652</v>
      </c>
      <c r="G24" s="757">
        <v>51228.0</v>
      </c>
      <c r="H24" s="611">
        <f>G24/G33</f>
        <v>0.01857071339</v>
      </c>
      <c r="I24" s="603">
        <v>93874.0</v>
      </c>
      <c r="J24" s="611">
        <f>I24/I33</f>
        <v>0.03054370489</v>
      </c>
      <c r="K24" s="603">
        <v>0.0</v>
      </c>
      <c r="L24" s="611">
        <f>K24/K33</f>
        <v>0</v>
      </c>
      <c r="M24" s="603">
        <v>0.0</v>
      </c>
      <c r="N24" s="612">
        <f>M24/M33</f>
        <v>0</v>
      </c>
      <c r="O24" s="607">
        <v>0.0</v>
      </c>
      <c r="P24" s="612">
        <f>O24/O33</f>
        <v>0</v>
      </c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28"/>
      <c r="AO24" s="428"/>
      <c r="AP24" s="428"/>
      <c r="AQ24" s="428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  <c r="BQ24" s="421"/>
      <c r="BR24" s="421"/>
      <c r="BS24" s="421"/>
      <c r="BT24" s="421"/>
      <c r="BU24" s="421"/>
      <c r="BV24" s="421"/>
      <c r="BW24" s="421"/>
      <c r="BX24" s="421"/>
      <c r="BY24" s="421"/>
      <c r="BZ24" s="421"/>
      <c r="CA24" s="421"/>
      <c r="CB24" s="429"/>
      <c r="CC24" s="429"/>
      <c r="CD24" s="429"/>
      <c r="CE24" s="429"/>
      <c r="CF24" s="429"/>
      <c r="CG24" s="429"/>
      <c r="CH24" s="429"/>
      <c r="CI24" s="429"/>
      <c r="CJ24" s="429"/>
      <c r="CK24" s="429"/>
      <c r="CL24" s="429"/>
      <c r="CM24" s="429"/>
      <c r="CN24" s="421"/>
      <c r="CO24" s="421"/>
    </row>
    <row r="25">
      <c r="A25" s="457"/>
      <c r="B25" s="452" t="s">
        <v>678</v>
      </c>
      <c r="C25" s="535" t="s">
        <v>679</v>
      </c>
      <c r="D25" s="572" t="s">
        <v>658</v>
      </c>
      <c r="E25" s="444" t="s">
        <v>652</v>
      </c>
      <c r="F25" s="444" t="s">
        <v>652</v>
      </c>
      <c r="G25" s="757">
        <v>76217.0</v>
      </c>
      <c r="H25" s="606">
        <f>SUM(G25:G26)/G33</f>
        <v>0.1624951922</v>
      </c>
      <c r="I25" s="603">
        <v>148.0</v>
      </c>
      <c r="J25" s="606">
        <f>SUM(I25:I26)/I33</f>
        <v>0.0436349332</v>
      </c>
      <c r="K25" s="603">
        <v>178.0</v>
      </c>
      <c r="L25" s="606">
        <f>SUM(K25:K26)/K33</f>
        <v>0.04699827194</v>
      </c>
      <c r="M25" s="603">
        <v>160.0</v>
      </c>
      <c r="N25" s="608">
        <f>SUM(M25:M26)/M33</f>
        <v>0.03671524114</v>
      </c>
      <c r="O25" s="607">
        <v>0.0</v>
      </c>
      <c r="P25" s="608">
        <f>SUM(O25:O26)/O33</f>
        <v>0.02222241593</v>
      </c>
      <c r="Q25" s="428"/>
      <c r="R25" s="428"/>
      <c r="S25" s="428"/>
      <c r="T25" s="428"/>
      <c r="U25" s="428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428"/>
      <c r="AN25" s="428"/>
      <c r="AO25" s="428"/>
      <c r="AP25" s="428"/>
      <c r="AQ25" s="428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21"/>
      <c r="BC25" s="421"/>
      <c r="BD25" s="421"/>
      <c r="BE25" s="421"/>
      <c r="BF25" s="421"/>
      <c r="BG25" s="421"/>
      <c r="BH25" s="421"/>
      <c r="BI25" s="421"/>
      <c r="BJ25" s="421"/>
      <c r="BK25" s="421"/>
      <c r="BL25" s="421"/>
      <c r="BM25" s="421"/>
      <c r="BN25" s="421"/>
      <c r="BO25" s="421"/>
      <c r="BP25" s="421"/>
      <c r="BQ25" s="421"/>
      <c r="BR25" s="421"/>
      <c r="BS25" s="421"/>
      <c r="BT25" s="421"/>
      <c r="BU25" s="421"/>
      <c r="BV25" s="421"/>
      <c r="BW25" s="421"/>
      <c r="BX25" s="421"/>
      <c r="BY25" s="421"/>
      <c r="BZ25" s="421"/>
      <c r="CA25" s="421"/>
      <c r="CB25" s="429"/>
      <c r="CC25" s="429"/>
      <c r="CD25" s="429"/>
      <c r="CE25" s="429"/>
      <c r="CF25" s="429"/>
      <c r="CG25" s="429"/>
      <c r="CH25" s="429"/>
      <c r="CI25" s="429"/>
      <c r="CJ25" s="429"/>
      <c r="CK25" s="429"/>
      <c r="CL25" s="429"/>
      <c r="CM25" s="429"/>
      <c r="CN25" s="421"/>
      <c r="CO25" s="421"/>
    </row>
    <row r="26">
      <c r="A26" s="459"/>
      <c r="B26" s="147"/>
      <c r="C26" s="535" t="s">
        <v>680</v>
      </c>
      <c r="D26" s="572" t="s">
        <v>658</v>
      </c>
      <c r="E26" s="444" t="s">
        <v>652</v>
      </c>
      <c r="F26" s="444" t="s">
        <v>652</v>
      </c>
      <c r="G26" s="757">
        <v>372032.0</v>
      </c>
      <c r="H26" s="147"/>
      <c r="I26" s="603">
        <v>133961.0</v>
      </c>
      <c r="J26" s="147"/>
      <c r="K26" s="603">
        <v>202740.0</v>
      </c>
      <c r="L26" s="147"/>
      <c r="M26" s="603">
        <v>286125.0</v>
      </c>
      <c r="N26" s="610"/>
      <c r="O26" s="607">
        <v>196304.0</v>
      </c>
      <c r="P26" s="610"/>
      <c r="Q26" s="428"/>
      <c r="R26" s="428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8"/>
      <c r="AO26" s="428"/>
      <c r="AP26" s="428"/>
      <c r="AQ26" s="428"/>
      <c r="AR26" s="421"/>
      <c r="AS26" s="421"/>
      <c r="AT26" s="421"/>
      <c r="AU26" s="421"/>
      <c r="AV26" s="421"/>
      <c r="AW26" s="421"/>
      <c r="AX26" s="421"/>
      <c r="AY26" s="421"/>
      <c r="AZ26" s="421"/>
      <c r="BA26" s="421"/>
      <c r="BB26" s="421"/>
      <c r="BC26" s="421"/>
      <c r="BD26" s="421"/>
      <c r="BE26" s="421"/>
      <c r="BF26" s="421"/>
      <c r="BG26" s="421"/>
      <c r="BH26" s="421"/>
      <c r="BI26" s="421"/>
      <c r="BJ26" s="421"/>
      <c r="BK26" s="421"/>
      <c r="BL26" s="421"/>
      <c r="BM26" s="421"/>
      <c r="BN26" s="421"/>
      <c r="BO26" s="421"/>
      <c r="BP26" s="421"/>
      <c r="BQ26" s="421"/>
      <c r="BR26" s="421"/>
      <c r="BS26" s="421"/>
      <c r="BT26" s="421"/>
      <c r="BU26" s="421"/>
      <c r="BV26" s="421"/>
      <c r="BW26" s="421"/>
      <c r="BX26" s="421"/>
      <c r="BY26" s="421"/>
      <c r="BZ26" s="421"/>
      <c r="CA26" s="421"/>
      <c r="CB26" s="429"/>
      <c r="CC26" s="429"/>
      <c r="CD26" s="429"/>
      <c r="CE26" s="429"/>
      <c r="CF26" s="429"/>
      <c r="CG26" s="429"/>
      <c r="CH26" s="429"/>
      <c r="CI26" s="429"/>
      <c r="CJ26" s="429"/>
      <c r="CK26" s="429"/>
      <c r="CL26" s="429"/>
      <c r="CM26" s="429"/>
      <c r="CN26" s="421"/>
      <c r="CO26" s="421"/>
    </row>
    <row r="27">
      <c r="A27" s="461" t="s">
        <v>681</v>
      </c>
      <c r="B27" s="15"/>
      <c r="C27" s="462"/>
      <c r="D27" s="572" t="s">
        <v>652</v>
      </c>
      <c r="E27" s="444" t="s">
        <v>652</v>
      </c>
      <c r="F27" s="444" t="s">
        <v>652</v>
      </c>
      <c r="G27" s="759">
        <f>SUM(G6:G26)</f>
        <v>2758537</v>
      </c>
      <c r="H27" s="613">
        <f>G27/G33</f>
        <v>1</v>
      </c>
      <c r="I27" s="487">
        <f>SUM(I6:I26)</f>
        <v>3073432</v>
      </c>
      <c r="J27" s="613">
        <f>I27/I33</f>
        <v>1</v>
      </c>
      <c r="K27" s="487">
        <f>SUM(K6:K26)</f>
        <v>4317563</v>
      </c>
      <c r="L27" s="613">
        <f>K27/K33</f>
        <v>1</v>
      </c>
      <c r="M27" s="464">
        <f>SUM(M6:M26)</f>
        <v>5557668</v>
      </c>
      <c r="N27" s="614">
        <f>M27/M33</f>
        <v>0.7127551942</v>
      </c>
      <c r="O27" s="464">
        <f>SUM(O6:O26)</f>
        <v>6363366</v>
      </c>
      <c r="P27" s="614">
        <f>O27/O33</f>
        <v>0.7203590653</v>
      </c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8"/>
      <c r="AO27" s="428"/>
      <c r="AP27" s="428"/>
      <c r="AQ27" s="428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21"/>
      <c r="BC27" s="421"/>
      <c r="BD27" s="421"/>
      <c r="BE27" s="421"/>
      <c r="BF27" s="421"/>
      <c r="BG27" s="421"/>
      <c r="BH27" s="421"/>
      <c r="BI27" s="421"/>
      <c r="BJ27" s="421"/>
      <c r="BK27" s="421"/>
      <c r="BL27" s="421"/>
      <c r="BM27" s="421"/>
      <c r="BN27" s="421"/>
      <c r="BO27" s="421"/>
      <c r="BP27" s="421"/>
      <c r="BQ27" s="421"/>
      <c r="BR27" s="421"/>
      <c r="BS27" s="421"/>
      <c r="BT27" s="421"/>
      <c r="BU27" s="421"/>
      <c r="BV27" s="421"/>
      <c r="BW27" s="421"/>
      <c r="BX27" s="421"/>
      <c r="BY27" s="421"/>
      <c r="BZ27" s="421"/>
      <c r="CA27" s="421"/>
      <c r="CB27" s="429"/>
      <c r="CC27" s="429"/>
      <c r="CD27" s="429"/>
      <c r="CE27" s="429"/>
      <c r="CF27" s="429"/>
      <c r="CG27" s="429"/>
      <c r="CH27" s="429"/>
      <c r="CI27" s="429"/>
      <c r="CJ27" s="429"/>
      <c r="CK27" s="429"/>
      <c r="CL27" s="429"/>
      <c r="CM27" s="429"/>
      <c r="CN27" s="421"/>
      <c r="CO27" s="421"/>
    </row>
    <row r="28">
      <c r="A28" s="466" t="s">
        <v>682</v>
      </c>
      <c r="B28" s="15"/>
      <c r="C28" s="462"/>
      <c r="D28" s="572" t="s">
        <v>652</v>
      </c>
      <c r="E28" s="444" t="s">
        <v>652</v>
      </c>
      <c r="F28" s="444" t="s">
        <v>652</v>
      </c>
      <c r="G28" s="760"/>
      <c r="H28" s="15"/>
      <c r="I28" s="15"/>
      <c r="J28" s="15"/>
      <c r="K28" s="15"/>
      <c r="L28" s="15"/>
      <c r="M28" s="15"/>
      <c r="N28" s="46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8"/>
      <c r="AO28" s="428"/>
      <c r="AP28" s="428"/>
      <c r="AQ28" s="428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421"/>
      <c r="BH28" s="421"/>
      <c r="BI28" s="421"/>
      <c r="BJ28" s="421"/>
      <c r="BK28" s="421"/>
      <c r="BL28" s="421"/>
      <c r="BM28" s="421"/>
      <c r="BN28" s="421"/>
      <c r="BO28" s="421"/>
      <c r="BP28" s="421"/>
      <c r="BQ28" s="421"/>
      <c r="BR28" s="421"/>
      <c r="BS28" s="421"/>
      <c r="BT28" s="421"/>
      <c r="BU28" s="421"/>
      <c r="BV28" s="421"/>
      <c r="BW28" s="421"/>
      <c r="BX28" s="421"/>
      <c r="BY28" s="421"/>
      <c r="BZ28" s="421"/>
      <c r="CA28" s="421"/>
      <c r="CB28" s="429"/>
      <c r="CC28" s="429"/>
      <c r="CD28" s="429"/>
      <c r="CE28" s="429"/>
      <c r="CF28" s="429"/>
      <c r="CG28" s="429"/>
      <c r="CH28" s="429"/>
      <c r="CI28" s="429"/>
      <c r="CJ28" s="429"/>
      <c r="CK28" s="429"/>
      <c r="CL28" s="429"/>
      <c r="CM28" s="429"/>
      <c r="CN28" s="421"/>
      <c r="CO28" s="421"/>
    </row>
    <row r="29">
      <c r="A29" s="469" t="s">
        <v>625</v>
      </c>
      <c r="B29" s="460" t="s">
        <v>628</v>
      </c>
      <c r="C29" s="535" t="s">
        <v>631</v>
      </c>
      <c r="D29" s="761" t="s">
        <v>854</v>
      </c>
      <c r="E29" s="471">
        <v>12.0</v>
      </c>
      <c r="F29" s="471">
        <v>1.0</v>
      </c>
      <c r="G29" s="762">
        <f>IFERROR(__xludf.DUMMYFUNCTION("INDIRECT(CONCATENATE(""'"",INDEX(SPLIT($D29,""E""),1),""E"",INDEX(SPLIT($D29,""E""),2)+$E29*(COLUMN()-COLUMN($G29))/2))"),0.0)</f>
        <v>0</v>
      </c>
      <c r="H29" s="763">
        <v>0.0</v>
      </c>
      <c r="I29" s="762">
        <f>IFERROR(__xludf.DUMMYFUNCTION("INDIRECT(CONCATENATE(""'"",INDEX(SPLIT($D29,""E""),1),""E"",INDEX(SPLIT($D29,""E""),2)+$E29*(COLUMN()-COLUMN($G29))/2))"),0.0)</f>
        <v>0</v>
      </c>
      <c r="J29" s="763">
        <v>0.0</v>
      </c>
      <c r="K29" s="762">
        <f>IFERROR(__xludf.DUMMYFUNCTION("INDIRECT(CONCATENATE(""'"",INDEX(SPLIT($D29,""E""),1),""E"",INDEX(SPLIT($D29,""E""),2)+$E29*(COLUMN()-COLUMN($G29))/2))"),0.0)</f>
        <v>0</v>
      </c>
      <c r="L29" s="763">
        <v>0.0</v>
      </c>
      <c r="M29" s="762">
        <f>IFERROR(__xludf.DUMMYFUNCTION("INDIRECT(CONCATENATE(""'"",INDEX(SPLIT($D29,""E""),1),""E"",INDEX(SPLIT($D29,""E""),2)+$E29*(COLUMN()-COLUMN($G29))/2))"),1580000.0)</f>
        <v>1580000</v>
      </c>
      <c r="N29" s="617">
        <f t="shared" ref="N29:N32" si="1">M29/M$33</f>
        <v>0.202630529</v>
      </c>
      <c r="O29" s="762">
        <f>IFERROR(__xludf.DUMMYFUNCTION("INDIRECT(CONCATENATE(""'"",INDEX(SPLIT($D29,""E""),1),""E"",INDEX(SPLIT($D29,""E""),2)+$E29*(COLUMN()-COLUMN($G29))/2))"),1880000.0)</f>
        <v>1880000</v>
      </c>
      <c r="P29" s="617">
        <f t="shared" ref="P29:P32" si="2">O29/O$33</f>
        <v>0.2128236915</v>
      </c>
      <c r="Q29" s="428"/>
      <c r="R29" s="428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428"/>
      <c r="AN29" s="428"/>
      <c r="AO29" s="428"/>
      <c r="AP29" s="428"/>
      <c r="AQ29" s="428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1"/>
      <c r="BE29" s="421"/>
      <c r="BF29" s="421"/>
      <c r="BG29" s="421"/>
      <c r="BH29" s="421"/>
      <c r="BI29" s="421"/>
      <c r="BJ29" s="421"/>
      <c r="BK29" s="421"/>
      <c r="BL29" s="421"/>
      <c r="BM29" s="421"/>
      <c r="BN29" s="421"/>
      <c r="BO29" s="421"/>
      <c r="BP29" s="421"/>
      <c r="BQ29" s="421"/>
      <c r="BR29" s="421"/>
      <c r="BS29" s="421"/>
      <c r="BT29" s="421"/>
      <c r="BU29" s="421"/>
      <c r="BV29" s="421"/>
      <c r="BW29" s="421"/>
      <c r="BX29" s="421"/>
      <c r="BY29" s="421"/>
      <c r="BZ29" s="421"/>
      <c r="CA29" s="421"/>
      <c r="CB29" s="429"/>
      <c r="CC29" s="429"/>
      <c r="CD29" s="429"/>
      <c r="CE29" s="429"/>
      <c r="CF29" s="429"/>
      <c r="CG29" s="429"/>
      <c r="CH29" s="429"/>
      <c r="CI29" s="429"/>
      <c r="CJ29" s="429"/>
      <c r="CK29" s="429"/>
      <c r="CL29" s="429"/>
      <c r="CM29" s="429"/>
      <c r="CN29" s="421"/>
      <c r="CO29" s="421"/>
    </row>
    <row r="30">
      <c r="A30" s="451" t="s">
        <v>626</v>
      </c>
      <c r="B30" s="452" t="s">
        <v>629</v>
      </c>
      <c r="C30" s="535" t="s">
        <v>632</v>
      </c>
      <c r="D30" s="761" t="s">
        <v>855</v>
      </c>
      <c r="E30" s="471">
        <v>12.0</v>
      </c>
      <c r="F30" s="471">
        <v>1.0</v>
      </c>
      <c r="G30" s="762">
        <f>IFERROR(__xludf.DUMMYFUNCTION("INDIRECT(CONCATENATE(""'"",INDEX(SPLIT($D30,""H""),1),""H"",INDEX(SPLIT($D30,""H""),2)+$E30*(COLUMN()-COLUMN($G30))/2))"),0.0)</f>
        <v>0</v>
      </c>
      <c r="H30" s="763">
        <v>0.0</v>
      </c>
      <c r="I30" s="762">
        <f>IFERROR(__xludf.DUMMYFUNCTION("INDIRECT(CONCATENATE(""'"",INDEX(SPLIT($D30,""H""),1),""H"",INDEX(SPLIT($D30,""H""),2)+$E30*(COLUMN()-COLUMN($G30))/2))"),0.0)</f>
        <v>0</v>
      </c>
      <c r="J30" s="763">
        <v>0.0</v>
      </c>
      <c r="K30" s="762">
        <f>IFERROR(__xludf.DUMMYFUNCTION("INDIRECT(CONCATENATE(""'"",INDEX(SPLIT($D30,""H""),1),""H"",INDEX(SPLIT($D30,""H""),2)+$E30*(COLUMN()-COLUMN($G30))/2))"),0.0)</f>
        <v>0</v>
      </c>
      <c r="L30" s="763">
        <v>0.0</v>
      </c>
      <c r="M30" s="764">
        <f>IFERROR(__xludf.DUMMYFUNCTION("INDIRECT(CONCATENATE(""'"",INDEX(SPLIT($D30,""H""),1),""H"",INDEX(SPLIT($D30,""H""),2)+$E30*(COLUMN()-COLUMN($G30))/2))"),635382.0)</f>
        <v>635382</v>
      </c>
      <c r="N30" s="617">
        <f t="shared" si="1"/>
        <v>0.08148594353</v>
      </c>
      <c r="O30" s="764">
        <f>IFERROR(__xludf.DUMMYFUNCTION("INDIRECT(CONCATENATE(""'"",INDEX(SPLIT($D30,""H""),1),""H"",INDEX(SPLIT($D30,""H""),2)+$E30*(COLUMN()-COLUMN($G30))/2))"),519336.0)</f>
        <v>519336</v>
      </c>
      <c r="P30" s="617">
        <f t="shared" si="2"/>
        <v>0.05879095993</v>
      </c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8"/>
      <c r="AQ30" s="428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21"/>
      <c r="BC30" s="421"/>
      <c r="BD30" s="421"/>
      <c r="BE30" s="421"/>
      <c r="BF30" s="421"/>
      <c r="BG30" s="421"/>
      <c r="BH30" s="421"/>
      <c r="BI30" s="421"/>
      <c r="BJ30" s="421"/>
      <c r="BK30" s="421"/>
      <c r="BL30" s="421"/>
      <c r="BM30" s="421"/>
      <c r="BN30" s="421"/>
      <c r="BO30" s="421"/>
      <c r="BP30" s="421"/>
      <c r="BQ30" s="421"/>
      <c r="BR30" s="421"/>
      <c r="BS30" s="421"/>
      <c r="BT30" s="421"/>
      <c r="BU30" s="421"/>
      <c r="BV30" s="421"/>
      <c r="BW30" s="421"/>
      <c r="BX30" s="421"/>
      <c r="BY30" s="421"/>
      <c r="BZ30" s="421"/>
      <c r="CA30" s="421"/>
      <c r="CB30" s="429"/>
      <c r="CC30" s="429"/>
      <c r="CD30" s="429"/>
      <c r="CE30" s="429"/>
      <c r="CF30" s="429"/>
      <c r="CG30" s="429"/>
      <c r="CH30" s="429"/>
      <c r="CI30" s="429"/>
      <c r="CJ30" s="429"/>
      <c r="CK30" s="429"/>
      <c r="CL30" s="429"/>
      <c r="CM30" s="429"/>
      <c r="CN30" s="421"/>
      <c r="CO30" s="421"/>
    </row>
    <row r="31">
      <c r="A31" s="483" t="s">
        <v>627</v>
      </c>
      <c r="B31" s="484" t="s">
        <v>630</v>
      </c>
      <c r="C31" s="765" t="s">
        <v>633</v>
      </c>
      <c r="D31" s="761" t="s">
        <v>856</v>
      </c>
      <c r="E31" s="471">
        <v>12.0</v>
      </c>
      <c r="F31" s="471">
        <v>1.0</v>
      </c>
      <c r="G31" s="762">
        <f>IFERROR(__xludf.DUMMYFUNCTION("INDIRECT(CONCATENATE(""'"",INDEX(SPLIT($D31,""K""),1),""K"",INDEX(SPLIT($D31,""K""),2)+$E31*(COLUMN()-COLUMN($G31))/2))"),0.0)</f>
        <v>0</v>
      </c>
      <c r="H31" s="763">
        <v>0.0</v>
      </c>
      <c r="I31" s="762">
        <f>IFERROR(__xludf.DUMMYFUNCTION("INDIRECT(CONCATENATE(""'"",INDEX(SPLIT($D31,""K""),1),""K"",INDEX(SPLIT($D31,""K""),2)+$E31*(COLUMN()-COLUMN($G31))/2))"),0.0)</f>
        <v>0</v>
      </c>
      <c r="J31" s="763">
        <v>0.0</v>
      </c>
      <c r="K31" s="762">
        <f>IFERROR(__xludf.DUMMYFUNCTION("INDIRECT(CONCATENATE(""'"",INDEX(SPLIT($D31,""K""),1),""K"",INDEX(SPLIT($D31,""K""),2)+$E31*(COLUMN()-COLUMN($G31))/2))"),0.0)</f>
        <v>0</v>
      </c>
      <c r="L31" s="763">
        <v>0.0</v>
      </c>
      <c r="M31" s="764">
        <f>IFERROR(__xludf.DUMMYFUNCTION("INDIRECT(CONCATENATE(""'"",INDEX(SPLIT($D31,""K""),1),""K"",INDEX(SPLIT($D31,""K""),2)+$E31*(COLUMN()-COLUMN($G31))/2))"),24393.0)</f>
        <v>24393</v>
      </c>
      <c r="N31" s="617">
        <f t="shared" si="1"/>
        <v>0.003128333224</v>
      </c>
      <c r="O31" s="764">
        <f>IFERROR(__xludf.DUMMYFUNCTION("INDIRECT(CONCATENATE(""'"",INDEX(SPLIT($D31,""K""),1),""K"",INDEX(SPLIT($D31,""K""),2)+$E31*(COLUMN()-COLUMN($G31))/2))"),70901.0)</f>
        <v>70901</v>
      </c>
      <c r="P31" s="617">
        <f t="shared" si="2"/>
        <v>0.008026283273</v>
      </c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428"/>
      <c r="AN31" s="428"/>
      <c r="AO31" s="428"/>
      <c r="AP31" s="428"/>
      <c r="AQ31" s="428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  <c r="BT31" s="421"/>
      <c r="BU31" s="421"/>
      <c r="BV31" s="421"/>
      <c r="BW31" s="421"/>
      <c r="BX31" s="421"/>
      <c r="BY31" s="421"/>
      <c r="BZ31" s="421"/>
      <c r="CA31" s="421"/>
      <c r="CB31" s="429"/>
      <c r="CC31" s="429"/>
      <c r="CD31" s="429"/>
      <c r="CE31" s="429"/>
      <c r="CF31" s="429"/>
      <c r="CG31" s="429"/>
      <c r="CH31" s="429"/>
      <c r="CI31" s="429"/>
      <c r="CJ31" s="429"/>
      <c r="CK31" s="429"/>
      <c r="CL31" s="429"/>
      <c r="CM31" s="429"/>
      <c r="CN31" s="421"/>
      <c r="CO31" s="421"/>
    </row>
    <row r="32">
      <c r="A32" s="461" t="s">
        <v>686</v>
      </c>
      <c r="B32" s="15"/>
      <c r="C32" s="462"/>
      <c r="D32" s="572" t="s">
        <v>652</v>
      </c>
      <c r="E32" s="444" t="s">
        <v>652</v>
      </c>
      <c r="F32" s="444" t="s">
        <v>652</v>
      </c>
      <c r="G32" s="766">
        <f>sum(G29:G30)</f>
        <v>0</v>
      </c>
      <c r="H32" s="613">
        <f>G32/G33</f>
        <v>0</v>
      </c>
      <c r="I32" s="767">
        <f>sum(I29:I30)</f>
        <v>0</v>
      </c>
      <c r="J32" s="613">
        <f>I32/I33</f>
        <v>0</v>
      </c>
      <c r="K32" s="767">
        <f>sum(K29:K30)</f>
        <v>0</v>
      </c>
      <c r="L32" s="613">
        <f>K32/K33</f>
        <v>0</v>
      </c>
      <c r="M32" s="487">
        <f>sum(M29:M31)</f>
        <v>2239775</v>
      </c>
      <c r="N32" s="614">
        <f t="shared" si="1"/>
        <v>0.2872448058</v>
      </c>
      <c r="O32" s="487">
        <f>sum(O29:O31)</f>
        <v>2470237</v>
      </c>
      <c r="P32" s="614">
        <f t="shared" si="2"/>
        <v>0.2796409347</v>
      </c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8"/>
      <c r="AO32" s="428"/>
      <c r="AP32" s="428"/>
      <c r="AQ32" s="428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  <c r="BQ32" s="421"/>
      <c r="BR32" s="421"/>
      <c r="BS32" s="421"/>
      <c r="BT32" s="421"/>
      <c r="BU32" s="421"/>
      <c r="BV32" s="421"/>
      <c r="BW32" s="421"/>
      <c r="BX32" s="421"/>
      <c r="BY32" s="421"/>
      <c r="BZ32" s="421"/>
      <c r="CA32" s="421"/>
      <c r="CB32" s="429"/>
      <c r="CC32" s="429"/>
      <c r="CD32" s="429"/>
      <c r="CE32" s="429"/>
      <c r="CF32" s="429"/>
      <c r="CG32" s="429"/>
      <c r="CH32" s="429"/>
      <c r="CI32" s="429"/>
      <c r="CJ32" s="429"/>
      <c r="CK32" s="429"/>
      <c r="CL32" s="429"/>
      <c r="CM32" s="429"/>
      <c r="CN32" s="421"/>
      <c r="CO32" s="421"/>
    </row>
    <row r="33">
      <c r="A33" s="489" t="s">
        <v>687</v>
      </c>
      <c r="B33" s="490"/>
      <c r="C33" s="491"/>
      <c r="D33" s="768" t="s">
        <v>652</v>
      </c>
      <c r="E33" s="517" t="s">
        <v>652</v>
      </c>
      <c r="F33" s="517" t="s">
        <v>652</v>
      </c>
      <c r="G33" s="769">
        <f>G27+G32</f>
        <v>2758537</v>
      </c>
      <c r="H33" s="619">
        <f>G33/G33</f>
        <v>1</v>
      </c>
      <c r="I33" s="770">
        <f>I27+I32</f>
        <v>3073432</v>
      </c>
      <c r="J33" s="619">
        <f>I33/I33</f>
        <v>1</v>
      </c>
      <c r="K33" s="770">
        <f>K27+K32</f>
        <v>4317563</v>
      </c>
      <c r="L33" s="619">
        <f>K33/K33</f>
        <v>1</v>
      </c>
      <c r="M33" s="496">
        <f>M27+M32</f>
        <v>7797443</v>
      </c>
      <c r="N33" s="620">
        <f>M33/M33</f>
        <v>1</v>
      </c>
      <c r="O33" s="496">
        <f>O27+O32</f>
        <v>8833603</v>
      </c>
      <c r="P33" s="620">
        <f>O33/O33</f>
        <v>1</v>
      </c>
      <c r="Q33" s="428"/>
      <c r="R33" s="428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428"/>
      <c r="AN33" s="428"/>
      <c r="AO33" s="428"/>
      <c r="AP33" s="428"/>
      <c r="AQ33" s="428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  <c r="BQ33" s="421"/>
      <c r="BR33" s="421"/>
      <c r="BS33" s="421"/>
      <c r="BT33" s="421"/>
      <c r="BU33" s="421"/>
      <c r="BV33" s="421"/>
      <c r="BW33" s="421"/>
      <c r="BX33" s="421"/>
      <c r="BY33" s="421"/>
      <c r="BZ33" s="421"/>
      <c r="CA33" s="421"/>
      <c r="CB33" s="429"/>
      <c r="CC33" s="429"/>
      <c r="CD33" s="429"/>
      <c r="CE33" s="429"/>
      <c r="CF33" s="429"/>
      <c r="CG33" s="429"/>
      <c r="CH33" s="429"/>
      <c r="CI33" s="429"/>
      <c r="CJ33" s="429"/>
      <c r="CK33" s="429"/>
      <c r="CL33" s="429"/>
      <c r="CM33" s="429"/>
      <c r="CN33" s="421"/>
      <c r="CO33" s="421"/>
    </row>
    <row r="34">
      <c r="A34" s="498" t="s">
        <v>688</v>
      </c>
      <c r="B34" s="499"/>
      <c r="C34" s="500"/>
      <c r="D34" s="752" t="s">
        <v>652</v>
      </c>
      <c r="E34" s="436" t="s">
        <v>652</v>
      </c>
      <c r="F34" s="436" t="s">
        <v>652</v>
      </c>
      <c r="G34" s="753" t="s">
        <v>653</v>
      </c>
      <c r="H34" s="439" t="s">
        <v>773</v>
      </c>
      <c r="I34" s="439" t="s">
        <v>653</v>
      </c>
      <c r="J34" s="439" t="s">
        <v>773</v>
      </c>
      <c r="K34" s="439" t="s">
        <v>653</v>
      </c>
      <c r="L34" s="439" t="s">
        <v>773</v>
      </c>
      <c r="M34" s="439" t="s">
        <v>653</v>
      </c>
      <c r="N34" s="440" t="s">
        <v>773</v>
      </c>
      <c r="O34" s="438" t="s">
        <v>653</v>
      </c>
      <c r="P34" s="440" t="s">
        <v>773</v>
      </c>
      <c r="Q34" s="428"/>
      <c r="R34" s="428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428"/>
      <c r="AN34" s="428"/>
      <c r="AO34" s="428"/>
      <c r="AP34" s="428"/>
      <c r="AQ34" s="428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  <c r="BT34" s="421"/>
      <c r="BU34" s="421"/>
      <c r="BV34" s="421"/>
      <c r="BW34" s="421"/>
      <c r="BX34" s="421"/>
      <c r="BY34" s="421"/>
      <c r="BZ34" s="421"/>
      <c r="CA34" s="421"/>
      <c r="CB34" s="429"/>
      <c r="CC34" s="429"/>
      <c r="CD34" s="429"/>
      <c r="CE34" s="429"/>
      <c r="CF34" s="429"/>
      <c r="CG34" s="429"/>
      <c r="CH34" s="429"/>
      <c r="CI34" s="429"/>
      <c r="CJ34" s="429"/>
      <c r="CK34" s="429"/>
      <c r="CL34" s="429"/>
      <c r="CM34" s="429"/>
      <c r="CN34" s="421"/>
      <c r="CO34" s="421"/>
    </row>
    <row r="35">
      <c r="A35" s="771" t="s">
        <v>689</v>
      </c>
      <c r="B35" s="28"/>
      <c r="C35" s="772"/>
      <c r="D35" s="572" t="s">
        <v>652</v>
      </c>
      <c r="E35" s="444" t="s">
        <v>652</v>
      </c>
      <c r="F35" s="444" t="s">
        <v>652</v>
      </c>
      <c r="G35" s="507"/>
      <c r="H35" s="622"/>
      <c r="I35" s="476"/>
      <c r="J35" s="622"/>
      <c r="K35" s="476"/>
      <c r="L35" s="622"/>
      <c r="M35" s="621"/>
      <c r="N35" s="623"/>
      <c r="O35" s="773"/>
      <c r="P35" s="623"/>
      <c r="Q35" s="428"/>
      <c r="R35" s="428"/>
      <c r="S35" s="428"/>
      <c r="T35" s="428"/>
      <c r="U35" s="428"/>
      <c r="V35" s="428"/>
      <c r="W35" s="428"/>
      <c r="X35" s="428"/>
      <c r="Y35" s="428"/>
      <c r="Z35" s="428"/>
      <c r="AA35" s="428"/>
      <c r="AB35" s="428"/>
      <c r="AC35" s="428"/>
      <c r="AD35" s="428"/>
      <c r="AE35" s="428"/>
      <c r="AF35" s="428"/>
      <c r="AG35" s="428"/>
      <c r="AH35" s="428"/>
      <c r="AI35" s="428"/>
      <c r="AJ35" s="428"/>
      <c r="AK35" s="428"/>
      <c r="AL35" s="428"/>
      <c r="AM35" s="428"/>
      <c r="AN35" s="428"/>
      <c r="AO35" s="428"/>
      <c r="AP35" s="428"/>
      <c r="AQ35" s="428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  <c r="BT35" s="421"/>
      <c r="BU35" s="421"/>
      <c r="BV35" s="421"/>
      <c r="BW35" s="421"/>
      <c r="BX35" s="421"/>
      <c r="BY35" s="421"/>
      <c r="BZ35" s="421"/>
      <c r="CA35" s="421"/>
      <c r="CB35" s="429"/>
      <c r="CC35" s="429"/>
      <c r="CD35" s="429"/>
      <c r="CE35" s="429"/>
      <c r="CF35" s="429"/>
      <c r="CG35" s="429"/>
      <c r="CH35" s="429"/>
      <c r="CI35" s="429"/>
      <c r="CJ35" s="429"/>
      <c r="CK35" s="429"/>
      <c r="CL35" s="429"/>
      <c r="CM35" s="429"/>
      <c r="CN35" s="421"/>
      <c r="CO35" s="421"/>
    </row>
    <row r="36">
      <c r="A36" s="774" t="s">
        <v>690</v>
      </c>
      <c r="B36" s="775" t="s">
        <v>691</v>
      </c>
      <c r="C36" s="776" t="s">
        <v>692</v>
      </c>
      <c r="D36" s="572" t="s">
        <v>658</v>
      </c>
      <c r="E36" s="444" t="s">
        <v>652</v>
      </c>
      <c r="F36" s="444" t="s">
        <v>652</v>
      </c>
      <c r="G36" s="777">
        <v>0.0</v>
      </c>
      <c r="H36" s="622">
        <f t="shared" ref="H36:H38" si="3">G36/G$33</f>
        <v>0</v>
      </c>
      <c r="I36" s="624">
        <v>0.0</v>
      </c>
      <c r="J36" s="622">
        <f t="shared" ref="J36:J38" si="4">I36/I$33</f>
        <v>0</v>
      </c>
      <c r="K36" s="624">
        <v>0.0</v>
      </c>
      <c r="L36" s="622">
        <f t="shared" ref="L36:L38" si="5">K36/K$33</f>
        <v>0</v>
      </c>
      <c r="M36" s="777">
        <v>78557.0</v>
      </c>
      <c r="N36" s="778">
        <f t="shared" ref="N36:N38" si="6">M36/M$33</f>
        <v>0.01007471295</v>
      </c>
      <c r="O36" s="779">
        <v>189278.0</v>
      </c>
      <c r="P36" s="623">
        <f t="shared" ref="P36:P38" si="7">O36/O$33</f>
        <v>0.02142704398</v>
      </c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428"/>
      <c r="AN36" s="428"/>
      <c r="AO36" s="428"/>
      <c r="AP36" s="428"/>
      <c r="AQ36" s="428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1"/>
      <c r="BY36" s="421"/>
      <c r="BZ36" s="421"/>
      <c r="CA36" s="421"/>
      <c r="CB36" s="429"/>
      <c r="CC36" s="429"/>
      <c r="CD36" s="429"/>
      <c r="CE36" s="429"/>
      <c r="CF36" s="429"/>
      <c r="CG36" s="429"/>
      <c r="CH36" s="429"/>
      <c r="CI36" s="429"/>
      <c r="CJ36" s="429"/>
      <c r="CK36" s="429"/>
      <c r="CL36" s="429"/>
      <c r="CM36" s="429"/>
      <c r="CN36" s="421"/>
      <c r="CO36" s="421"/>
    </row>
    <row r="37">
      <c r="A37" s="780" t="s">
        <v>693</v>
      </c>
      <c r="B37" s="781" t="s">
        <v>694</v>
      </c>
      <c r="C37" s="782" t="s">
        <v>695</v>
      </c>
      <c r="D37" s="761" t="s">
        <v>857</v>
      </c>
      <c r="E37" s="471">
        <v>12.0</v>
      </c>
      <c r="F37" s="471">
        <v>1.0</v>
      </c>
      <c r="G37" s="777">
        <v>0.0</v>
      </c>
      <c r="H37" s="622">
        <f t="shared" si="3"/>
        <v>0</v>
      </c>
      <c r="I37" s="624">
        <v>0.0</v>
      </c>
      <c r="J37" s="622">
        <f t="shared" si="4"/>
        <v>0</v>
      </c>
      <c r="K37" s="624">
        <v>0.0</v>
      </c>
      <c r="L37" s="622">
        <f t="shared" si="5"/>
        <v>0</v>
      </c>
      <c r="M37" s="777">
        <f>IFERROR(__xludf.DUMMYFUNCTION("INDIRECT(CONCATENATE(""'"",INDEX(SPLIT($D37,""D""),1),""D"",INDEX(SPLIT($D37,""D""),2)+$E37*(COLUMN()-COLUMN($M37))/2))"),438619.8648)</f>
        <v>438619.8648</v>
      </c>
      <c r="N37" s="778">
        <f t="shared" si="6"/>
        <v>0.05625175648</v>
      </c>
      <c r="O37" s="779">
        <f>IFERROR(__xludf.DUMMYFUNCTION("INDIRECT(CONCATENATE(""'"",INDEX(SPLIT($D37,""D""),1),""D"",INDEX(SPLIT($D37,""D""),2)+$E37*(COLUMN()-COLUMN($M37))/2))"),179244.1006)</f>
        <v>179244.1006</v>
      </c>
      <c r="P37" s="623">
        <f t="shared" si="7"/>
        <v>0.02029116552</v>
      </c>
      <c r="Q37" s="428"/>
      <c r="R37" s="428"/>
      <c r="S37" s="428"/>
      <c r="T37" s="428"/>
      <c r="U37" s="428"/>
      <c r="V37" s="428"/>
      <c r="W37" s="428"/>
      <c r="X37" s="428"/>
      <c r="Y37" s="428"/>
      <c r="Z37" s="428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428"/>
      <c r="AN37" s="428"/>
      <c r="AO37" s="428"/>
      <c r="AP37" s="428"/>
      <c r="AQ37" s="428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  <c r="BT37" s="421"/>
      <c r="BU37" s="421"/>
      <c r="BV37" s="421"/>
      <c r="BW37" s="421"/>
      <c r="BX37" s="421"/>
      <c r="BY37" s="421"/>
      <c r="BZ37" s="421"/>
      <c r="CA37" s="421"/>
      <c r="CB37" s="429"/>
      <c r="CC37" s="429"/>
      <c r="CD37" s="429"/>
      <c r="CE37" s="429"/>
      <c r="CF37" s="429"/>
      <c r="CG37" s="429"/>
      <c r="CH37" s="429"/>
      <c r="CI37" s="429"/>
      <c r="CJ37" s="429"/>
      <c r="CK37" s="429"/>
      <c r="CL37" s="429"/>
      <c r="CM37" s="429"/>
      <c r="CN37" s="421"/>
      <c r="CO37" s="421"/>
    </row>
    <row r="38">
      <c r="A38" s="783" t="s">
        <v>697</v>
      </c>
      <c r="B38" s="114"/>
      <c r="C38" s="442"/>
      <c r="D38" s="572" t="s">
        <v>652</v>
      </c>
      <c r="E38" s="444" t="s">
        <v>652</v>
      </c>
      <c r="F38" s="444" t="s">
        <v>652</v>
      </c>
      <c r="G38" s="784">
        <f>G36+G37</f>
        <v>0</v>
      </c>
      <c r="H38" s="622">
        <f t="shared" si="3"/>
        <v>0</v>
      </c>
      <c r="I38" s="784">
        <f>I36+I37</f>
        <v>0</v>
      </c>
      <c r="J38" s="622">
        <f t="shared" si="4"/>
        <v>0</v>
      </c>
      <c r="K38" s="784">
        <f>K36+K37</f>
        <v>0</v>
      </c>
      <c r="L38" s="622">
        <f t="shared" si="5"/>
        <v>0</v>
      </c>
      <c r="M38" s="784">
        <f>M36+M37</f>
        <v>517176.8648</v>
      </c>
      <c r="N38" s="778">
        <f t="shared" si="6"/>
        <v>0.06632646943</v>
      </c>
      <c r="O38" s="785">
        <f>O36+O37</f>
        <v>368522.1006</v>
      </c>
      <c r="P38" s="623">
        <f t="shared" si="7"/>
        <v>0.0417182095</v>
      </c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428"/>
      <c r="AN38" s="428"/>
      <c r="AO38" s="428"/>
      <c r="AP38" s="428"/>
      <c r="AQ38" s="428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  <c r="BT38" s="421"/>
      <c r="BU38" s="421"/>
      <c r="BV38" s="421"/>
      <c r="BW38" s="421"/>
      <c r="BX38" s="421"/>
      <c r="BY38" s="421"/>
      <c r="BZ38" s="421"/>
      <c r="CA38" s="421"/>
      <c r="CB38" s="429"/>
      <c r="CC38" s="429"/>
      <c r="CD38" s="429"/>
      <c r="CE38" s="429"/>
      <c r="CF38" s="429"/>
      <c r="CG38" s="429"/>
      <c r="CH38" s="429"/>
      <c r="CI38" s="429"/>
      <c r="CJ38" s="429"/>
      <c r="CK38" s="429"/>
      <c r="CL38" s="429"/>
      <c r="CM38" s="429"/>
      <c r="CN38" s="421"/>
      <c r="CO38" s="421"/>
    </row>
    <row r="39">
      <c r="A39" s="513" t="s">
        <v>698</v>
      </c>
      <c r="B39" s="15"/>
      <c r="C39" s="462"/>
      <c r="D39" s="572" t="s">
        <v>652</v>
      </c>
      <c r="E39" s="444" t="s">
        <v>652</v>
      </c>
      <c r="F39" s="444" t="s">
        <v>652</v>
      </c>
      <c r="G39" s="786"/>
      <c r="H39" s="15"/>
      <c r="I39" s="15"/>
      <c r="J39" s="15"/>
      <c r="K39" s="15"/>
      <c r="L39" s="15"/>
      <c r="M39" s="15"/>
      <c r="N39" s="468"/>
      <c r="O39" s="787"/>
      <c r="P39" s="788"/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428"/>
      <c r="AN39" s="428"/>
      <c r="AO39" s="428"/>
      <c r="AP39" s="428"/>
      <c r="AQ39" s="428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1"/>
      <c r="BY39" s="421"/>
      <c r="BZ39" s="421"/>
      <c r="CA39" s="421"/>
      <c r="CB39" s="429"/>
      <c r="CC39" s="429"/>
      <c r="CD39" s="429"/>
      <c r="CE39" s="429"/>
      <c r="CF39" s="429"/>
      <c r="CG39" s="429"/>
      <c r="CH39" s="429"/>
      <c r="CI39" s="429"/>
      <c r="CJ39" s="429"/>
      <c r="CK39" s="429"/>
      <c r="CL39" s="429"/>
      <c r="CM39" s="429"/>
      <c r="CN39" s="421"/>
      <c r="CO39" s="421"/>
    </row>
    <row r="40">
      <c r="A40" s="466" t="s">
        <v>699</v>
      </c>
      <c r="B40" s="15"/>
      <c r="C40" s="462"/>
      <c r="D40" s="572" t="s">
        <v>652</v>
      </c>
      <c r="E40" s="444" t="s">
        <v>652</v>
      </c>
      <c r="F40" s="444" t="s">
        <v>652</v>
      </c>
      <c r="G40" s="759">
        <f>G33-G38</f>
        <v>2758537</v>
      </c>
      <c r="H40" s="613">
        <f>G40/G33</f>
        <v>1</v>
      </c>
      <c r="I40" s="487">
        <f>I33-I38</f>
        <v>3073432</v>
      </c>
      <c r="J40" s="613">
        <f>I40/I33</f>
        <v>1</v>
      </c>
      <c r="K40" s="487">
        <f>K33-K38</f>
        <v>4317563</v>
      </c>
      <c r="L40" s="613">
        <f>K40/K33</f>
        <v>1</v>
      </c>
      <c r="M40" s="464">
        <f>M33-M38</f>
        <v>7280266.135</v>
      </c>
      <c r="N40" s="614">
        <f>M40/M33</f>
        <v>0.9336735306</v>
      </c>
      <c r="O40" s="463">
        <f>O33-O38</f>
        <v>8465080.899</v>
      </c>
      <c r="P40" s="614">
        <f>O40/O33</f>
        <v>0.9582817905</v>
      </c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428"/>
      <c r="AN40" s="428"/>
      <c r="AO40" s="428"/>
      <c r="AP40" s="428"/>
      <c r="AQ40" s="428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  <c r="BT40" s="421"/>
      <c r="BU40" s="421"/>
      <c r="BV40" s="421"/>
      <c r="BW40" s="421"/>
      <c r="BX40" s="421"/>
      <c r="BY40" s="421"/>
      <c r="BZ40" s="421"/>
      <c r="CA40" s="421"/>
      <c r="CB40" s="429"/>
      <c r="CC40" s="429"/>
      <c r="CD40" s="429"/>
      <c r="CE40" s="429"/>
      <c r="CF40" s="429"/>
      <c r="CG40" s="429"/>
      <c r="CH40" s="429"/>
      <c r="CI40" s="429"/>
      <c r="CJ40" s="429"/>
      <c r="CK40" s="429"/>
      <c r="CL40" s="429"/>
      <c r="CM40" s="429"/>
      <c r="CN40" s="421"/>
      <c r="CO40" s="421"/>
    </row>
    <row r="41">
      <c r="A41" s="515" t="s">
        <v>858</v>
      </c>
      <c r="B41" s="490"/>
      <c r="C41" s="491"/>
      <c r="D41" s="768" t="s">
        <v>652</v>
      </c>
      <c r="E41" s="517" t="s">
        <v>652</v>
      </c>
      <c r="F41" s="517" t="s">
        <v>652</v>
      </c>
      <c r="G41" s="789" t="s">
        <v>652</v>
      </c>
      <c r="H41" s="790">
        <v>0.0</v>
      </c>
      <c r="I41" s="791">
        <f>I40-G40</f>
        <v>314895</v>
      </c>
      <c r="J41" s="792">
        <f>(I40-G40)/G40</f>
        <v>0.1141529006</v>
      </c>
      <c r="K41" s="791">
        <f>K40-I40</f>
        <v>1244131</v>
      </c>
      <c r="L41" s="792">
        <f>(K40-I40)/I40</f>
        <v>0.4048018632</v>
      </c>
      <c r="M41" s="793">
        <f>M40-K40</f>
        <v>2962703.135</v>
      </c>
      <c r="N41" s="794">
        <f>(M40-K40)/K40</f>
        <v>0.6861980092</v>
      </c>
      <c r="O41" s="795">
        <f>O40-M40</f>
        <v>1184814.764</v>
      </c>
      <c r="P41" s="794">
        <f>(O40-M40)/M40</f>
        <v>0.1627433314</v>
      </c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1"/>
      <c r="BV41" s="421"/>
      <c r="BW41" s="421"/>
      <c r="BX41" s="421"/>
      <c r="BY41" s="421"/>
      <c r="BZ41" s="421"/>
      <c r="CA41" s="421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1"/>
      <c r="CO41" s="421"/>
    </row>
    <row r="42">
      <c r="D42" s="524"/>
      <c r="E42" s="524"/>
      <c r="F42" s="524"/>
      <c r="G42" s="628"/>
      <c r="H42" s="628"/>
      <c r="I42" s="628"/>
      <c r="J42" s="628"/>
      <c r="K42" s="628"/>
      <c r="L42" s="628"/>
      <c r="M42" s="628"/>
      <c r="O42" s="6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8"/>
      <c r="AO42" s="428"/>
      <c r="AP42" s="428"/>
      <c r="AQ42" s="428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  <c r="BQ42" s="421"/>
      <c r="BR42" s="421"/>
      <c r="BS42" s="421"/>
      <c r="BT42" s="421"/>
      <c r="BU42" s="421"/>
      <c r="BV42" s="421"/>
      <c r="BW42" s="421"/>
      <c r="BX42" s="421"/>
      <c r="BY42" s="421"/>
      <c r="BZ42" s="421"/>
      <c r="CA42" s="421"/>
      <c r="CB42" s="429"/>
      <c r="CC42" s="429"/>
      <c r="CD42" s="429"/>
      <c r="CE42" s="429"/>
      <c r="CF42" s="429"/>
      <c r="CG42" s="429"/>
      <c r="CH42" s="429"/>
      <c r="CI42" s="429"/>
      <c r="CJ42" s="429"/>
      <c r="CK42" s="429"/>
      <c r="CL42" s="429"/>
      <c r="CM42" s="429"/>
      <c r="CN42" s="421"/>
      <c r="CO42" s="421"/>
    </row>
    <row r="43">
      <c r="A43" s="525" t="s">
        <v>18</v>
      </c>
      <c r="B43" s="525" t="s">
        <v>701</v>
      </c>
      <c r="C43" s="525" t="s">
        <v>640</v>
      </c>
      <c r="D43" s="526"/>
      <c r="E43" s="526"/>
      <c r="F43" s="526"/>
      <c r="G43" s="629">
        <v>27.605</v>
      </c>
      <c r="H43" s="629"/>
      <c r="I43" s="629">
        <v>30.5</v>
      </c>
      <c r="J43" s="629"/>
      <c r="K43" s="629">
        <v>31.0</v>
      </c>
      <c r="L43" s="629"/>
      <c r="M43" s="630">
        <v>32.7</v>
      </c>
      <c r="N43" s="604"/>
      <c r="O43" s="630">
        <v>31.3</v>
      </c>
      <c r="P43" s="604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8"/>
      <c r="AO43" s="428"/>
      <c r="AP43" s="428"/>
      <c r="AQ43" s="428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  <c r="BQ43" s="421"/>
      <c r="BR43" s="421"/>
      <c r="BS43" s="421"/>
      <c r="BT43" s="421"/>
      <c r="BU43" s="421"/>
      <c r="BV43" s="421"/>
      <c r="BW43" s="421"/>
      <c r="BX43" s="421"/>
      <c r="BY43" s="421"/>
      <c r="BZ43" s="421"/>
      <c r="CA43" s="421"/>
      <c r="CB43" s="429"/>
      <c r="CC43" s="429"/>
      <c r="CD43" s="429"/>
      <c r="CE43" s="429"/>
      <c r="CF43" s="429"/>
      <c r="CG43" s="429"/>
      <c r="CH43" s="429"/>
      <c r="CI43" s="429"/>
      <c r="CJ43" s="429"/>
      <c r="CK43" s="429"/>
      <c r="CL43" s="429"/>
      <c r="CM43" s="429"/>
      <c r="CN43" s="421"/>
      <c r="CO43" s="421"/>
    </row>
    <row r="44">
      <c r="A44" s="428"/>
      <c r="B44" s="428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428"/>
      <c r="AN44" s="428"/>
      <c r="AO44" s="428"/>
      <c r="AP44" s="428"/>
      <c r="AQ44" s="428"/>
      <c r="AR44" s="421"/>
      <c r="AS44" s="421"/>
      <c r="AT44" s="421"/>
      <c r="AU44" s="421"/>
      <c r="AV44" s="421"/>
      <c r="AW44" s="421"/>
      <c r="AX44" s="421"/>
      <c r="AY44" s="421"/>
      <c r="AZ44" s="421"/>
      <c r="BA44" s="421"/>
      <c r="BB44" s="421"/>
      <c r="BC44" s="421"/>
      <c r="BD44" s="421"/>
      <c r="BE44" s="421"/>
      <c r="BF44" s="421"/>
      <c r="BG44" s="421"/>
      <c r="BH44" s="421"/>
      <c r="BI44" s="421"/>
      <c r="BJ44" s="421"/>
      <c r="BK44" s="421"/>
      <c r="BL44" s="421"/>
      <c r="BM44" s="421"/>
      <c r="BN44" s="421"/>
      <c r="BO44" s="421"/>
      <c r="BP44" s="421"/>
      <c r="BQ44" s="421"/>
      <c r="BR44" s="421"/>
      <c r="BS44" s="421"/>
      <c r="BT44" s="421"/>
      <c r="BU44" s="421"/>
      <c r="BV44" s="421"/>
      <c r="BW44" s="421"/>
      <c r="BX44" s="421"/>
      <c r="BY44" s="421"/>
      <c r="BZ44" s="421"/>
      <c r="CA44" s="421"/>
      <c r="CB44" s="429"/>
      <c r="CC44" s="429"/>
      <c r="CD44" s="429"/>
      <c r="CE44" s="429"/>
      <c r="CF44" s="429"/>
      <c r="CG44" s="429"/>
      <c r="CH44" s="429"/>
      <c r="CI44" s="429"/>
      <c r="CJ44" s="429"/>
      <c r="CK44" s="429"/>
      <c r="CL44" s="429"/>
      <c r="CM44" s="429"/>
      <c r="CN44" s="421"/>
      <c r="CO44" s="421"/>
    </row>
    <row r="45">
      <c r="A45" s="631" t="s">
        <v>859</v>
      </c>
      <c r="D45" s="632"/>
      <c r="E45" s="632"/>
      <c r="F45" s="632"/>
      <c r="G45" s="796"/>
      <c r="H45" s="567"/>
      <c r="I45" s="796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  <c r="BS45" s="567"/>
      <c r="BT45" s="567"/>
      <c r="BU45" s="567"/>
      <c r="BV45" s="567"/>
      <c r="BW45" s="567"/>
      <c r="BX45" s="567"/>
      <c r="BY45" s="567"/>
      <c r="BZ45" s="567"/>
      <c r="CA45" s="567"/>
      <c r="CB45" s="567"/>
      <c r="CC45" s="567"/>
      <c r="CD45" s="567"/>
      <c r="CE45" s="567"/>
      <c r="CF45" s="567"/>
      <c r="CG45" s="567"/>
      <c r="CH45" s="567"/>
      <c r="CI45" s="567"/>
      <c r="CJ45" s="567"/>
      <c r="CK45" s="567"/>
      <c r="CL45" s="567"/>
      <c r="CM45" s="567"/>
      <c r="CN45" s="421"/>
      <c r="CO45" s="421"/>
    </row>
    <row r="46">
      <c r="D46" s="632"/>
      <c r="E46" s="632"/>
      <c r="F46" s="632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  <c r="BS46" s="567"/>
      <c r="BT46" s="567"/>
      <c r="BU46" s="567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30"/>
      <c r="CO46" s="530"/>
    </row>
    <row r="47">
      <c r="A47" s="634"/>
      <c r="B47" s="635"/>
      <c r="C47" s="636"/>
      <c r="D47" s="534" t="s">
        <v>652</v>
      </c>
      <c r="E47" s="436" t="s">
        <v>652</v>
      </c>
      <c r="F47" s="436" t="s">
        <v>652</v>
      </c>
      <c r="G47" s="797" t="s">
        <v>653</v>
      </c>
      <c r="H47" s="798" t="s">
        <v>773</v>
      </c>
      <c r="I47" s="798" t="s">
        <v>653</v>
      </c>
      <c r="J47" s="798" t="s">
        <v>773</v>
      </c>
      <c r="K47" s="798" t="s">
        <v>653</v>
      </c>
      <c r="L47" s="798" t="s">
        <v>773</v>
      </c>
      <c r="M47" s="798" t="s">
        <v>653</v>
      </c>
      <c r="N47" s="799" t="s">
        <v>773</v>
      </c>
      <c r="O47" s="798" t="s">
        <v>653</v>
      </c>
      <c r="P47" s="799" t="s">
        <v>773</v>
      </c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  <c r="BS47" s="567"/>
      <c r="BT47" s="567"/>
      <c r="BU47" s="567"/>
      <c r="BV47" s="567"/>
      <c r="BW47" s="567"/>
      <c r="BX47" s="567"/>
      <c r="BY47" s="567"/>
      <c r="BZ47" s="567"/>
      <c r="CA47" s="567"/>
      <c r="CB47" s="567"/>
      <c r="CC47" s="567"/>
      <c r="CD47" s="567"/>
      <c r="CE47" s="567"/>
      <c r="CF47" s="567"/>
      <c r="CG47" s="567"/>
      <c r="CH47" s="567"/>
      <c r="CI47" s="567"/>
      <c r="CJ47" s="567"/>
      <c r="CK47" s="567"/>
      <c r="CL47" s="567"/>
      <c r="CM47" s="567"/>
      <c r="CN47" s="637"/>
      <c r="CO47" s="637"/>
    </row>
    <row r="48">
      <c r="A48" s="638" t="s">
        <v>703</v>
      </c>
      <c r="B48" s="535" t="s">
        <v>407</v>
      </c>
      <c r="C48" s="639"/>
      <c r="D48" s="800" t="s">
        <v>860</v>
      </c>
      <c r="E48" s="444">
        <v>12.0</v>
      </c>
      <c r="F48" s="444">
        <v>12.0</v>
      </c>
      <c r="G48" s="573">
        <f>IFERROR(__xludf.DUMMYFUNCTION("SUM(INDIRECT(CONCATENATE(""'"",INDEX(SPLIT($D48,""H""),1),""H"",INDEX(SPLIT($D48,""H""),2)+$E48*(COLUMN()-COLUMN($G48))/2,"":"",""H"",INDEX(SPLIT($D48,""H""),2)+$E48*(COLUMN()-COLUMN($G48))/2+$F48-1)))"),842072.0)</f>
        <v>842072</v>
      </c>
      <c r="H48" s="640">
        <f t="shared" ref="H48:H60" si="8">G48/G$48</f>
        <v>1</v>
      </c>
      <c r="I48" s="573">
        <f>IFERROR(__xludf.DUMMYFUNCTION("SUM(INDIRECT(CONCATENATE(""'"",INDEX(SPLIT($D48,""H""),1),""H"",INDEX(SPLIT($D48,""H""),2)+$E48*(COLUMN()-COLUMN($G48))/2,"":"",""H"",INDEX(SPLIT($D48,""H""),2)+$E48*(COLUMN()-COLUMN($G48))/2+$F48-1)))"),1110172.0)</f>
        <v>1110172</v>
      </c>
      <c r="J48" s="640">
        <f t="shared" ref="J48:J60" si="9">I48/I$48</f>
        <v>1</v>
      </c>
      <c r="K48" s="573">
        <f>IFERROR(__xludf.DUMMYFUNCTION("SUM(INDIRECT(CONCATENATE(""'"",INDEX(SPLIT($D48,""H""),1),""H"",INDEX(SPLIT($D48,""H""),2)+$E48*(COLUMN()-COLUMN($G48))/2,"":"",""H"",INDEX(SPLIT($D48,""H""),2)+$E48*(COLUMN()-COLUMN($G48))/2+$F48-1)))"),1624898.0)</f>
        <v>1624898</v>
      </c>
      <c r="L48" s="640">
        <f t="shared" ref="L48:L60" si="10">K48/K$48</f>
        <v>1</v>
      </c>
      <c r="M48" s="573">
        <f>IFERROR(__xludf.DUMMYFUNCTION("SUM(INDIRECT(CONCATENATE(""'"",INDEX(SPLIT($D48,""H""),1),""H"",INDEX(SPLIT($D48,""H""),2)+$E48*(COLUMN()-COLUMN($G48))/2,"":"",""H"",INDEX(SPLIT($D48,""H""),2)+$E48*(COLUMN()-COLUMN($G48))/2+$F48-1)))"),2000437.0)</f>
        <v>2000437</v>
      </c>
      <c r="N48" s="641">
        <f t="shared" ref="N48:N60" si="11">M48/M$48</f>
        <v>1</v>
      </c>
      <c r="O48" s="573">
        <f>IFERROR(__xludf.DUMMYFUNCTION("SUM(INDIRECT(CONCATENATE(""'"",INDEX(SPLIT($D48,""H""),1),""H"",INDEX(SPLIT($D48,""H""),2)+$E48*(COLUMN()-COLUMN($G48))/2,"":"",""H"",INDEX(SPLIT($D48,""H""),2)+$E48*(COLUMN()-COLUMN($G48))/2+$F48-1)))"),2110214.0)</f>
        <v>2110214</v>
      </c>
      <c r="P48" s="641">
        <f t="shared" ref="P48:P60" si="12">O48/O$48</f>
        <v>1</v>
      </c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  <c r="BS48" s="567"/>
      <c r="BT48" s="567"/>
      <c r="BU48" s="567"/>
      <c r="BV48" s="567"/>
      <c r="BW48" s="567"/>
      <c r="BX48" s="567"/>
      <c r="BY48" s="567"/>
      <c r="BZ48" s="567"/>
      <c r="CA48" s="567"/>
      <c r="CB48" s="567"/>
      <c r="CC48" s="567"/>
      <c r="CD48" s="567"/>
      <c r="CE48" s="567"/>
      <c r="CF48" s="567"/>
      <c r="CG48" s="567"/>
      <c r="CH48" s="567"/>
      <c r="CI48" s="567"/>
      <c r="CJ48" s="567"/>
      <c r="CK48" s="567"/>
      <c r="CL48" s="567"/>
      <c r="CM48" s="567"/>
      <c r="CN48" s="637"/>
      <c r="CO48" s="637"/>
    </row>
    <row r="49">
      <c r="A49" s="638" t="s">
        <v>705</v>
      </c>
      <c r="B49" s="535"/>
      <c r="C49" s="560"/>
      <c r="D49" s="540" t="s">
        <v>652</v>
      </c>
      <c r="E49" s="444" t="s">
        <v>652</v>
      </c>
      <c r="F49" s="444" t="s">
        <v>652</v>
      </c>
      <c r="G49" s="582">
        <v>0.0</v>
      </c>
      <c r="H49" s="640">
        <f t="shared" si="8"/>
        <v>0</v>
      </c>
      <c r="I49" s="542">
        <v>0.0</v>
      </c>
      <c r="J49" s="640">
        <f t="shared" si="9"/>
        <v>0</v>
      </c>
      <c r="K49" s="542">
        <v>0.0</v>
      </c>
      <c r="L49" s="640">
        <f t="shared" si="10"/>
        <v>0</v>
      </c>
      <c r="M49" s="542">
        <v>0.0</v>
      </c>
      <c r="N49" s="641">
        <f t="shared" si="11"/>
        <v>0</v>
      </c>
      <c r="O49" s="542">
        <v>0.0</v>
      </c>
      <c r="P49" s="641">
        <f t="shared" si="12"/>
        <v>0</v>
      </c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  <c r="BS49" s="567"/>
      <c r="BT49" s="567"/>
      <c r="BU49" s="567"/>
      <c r="BV49" s="567"/>
      <c r="BW49" s="567"/>
      <c r="BX49" s="567"/>
      <c r="BY49" s="567"/>
      <c r="BZ49" s="567"/>
      <c r="CA49" s="567"/>
      <c r="CB49" s="567"/>
      <c r="CC49" s="567"/>
      <c r="CD49" s="567"/>
      <c r="CE49" s="567"/>
      <c r="CF49" s="567"/>
      <c r="CG49" s="567"/>
      <c r="CH49" s="567"/>
      <c r="CI49" s="567"/>
      <c r="CJ49" s="567"/>
      <c r="CK49" s="567"/>
      <c r="CL49" s="567"/>
      <c r="CM49" s="567"/>
      <c r="CN49" s="642"/>
      <c r="CO49" s="642"/>
    </row>
    <row r="50">
      <c r="A50" s="461" t="s">
        <v>706</v>
      </c>
      <c r="B50" s="462"/>
      <c r="C50" s="639"/>
      <c r="D50" s="540" t="s">
        <v>652</v>
      </c>
      <c r="E50" s="444" t="s">
        <v>652</v>
      </c>
      <c r="F50" s="444" t="s">
        <v>652</v>
      </c>
      <c r="G50" s="573">
        <f>G48-G49</f>
        <v>842072</v>
      </c>
      <c r="H50" s="640">
        <f t="shared" si="8"/>
        <v>1</v>
      </c>
      <c r="I50" s="537">
        <f>I48-I49</f>
        <v>1110172</v>
      </c>
      <c r="J50" s="640">
        <f t="shared" si="9"/>
        <v>1</v>
      </c>
      <c r="K50" s="537">
        <f>K48-K49</f>
        <v>1624898</v>
      </c>
      <c r="L50" s="640">
        <f t="shared" si="10"/>
        <v>1</v>
      </c>
      <c r="M50" s="537">
        <f>M48-M49</f>
        <v>2000437</v>
      </c>
      <c r="N50" s="641">
        <f t="shared" si="11"/>
        <v>1</v>
      </c>
      <c r="O50" s="537">
        <f>O48-O49</f>
        <v>2110214</v>
      </c>
      <c r="P50" s="641">
        <f t="shared" si="12"/>
        <v>1</v>
      </c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  <c r="BS50" s="567"/>
      <c r="BT50" s="567"/>
      <c r="BU50" s="567"/>
      <c r="BV50" s="567"/>
      <c r="BW50" s="567"/>
      <c r="BX50" s="567"/>
      <c r="BY50" s="567"/>
      <c r="BZ50" s="567"/>
      <c r="CA50" s="567"/>
      <c r="CB50" s="567"/>
      <c r="CC50" s="567"/>
      <c r="CD50" s="567"/>
      <c r="CE50" s="567"/>
      <c r="CF50" s="567"/>
      <c r="CG50" s="567"/>
      <c r="CH50" s="567"/>
      <c r="CI50" s="567"/>
      <c r="CJ50" s="567"/>
      <c r="CK50" s="567"/>
      <c r="CL50" s="567"/>
      <c r="CM50" s="567"/>
      <c r="CN50" s="637"/>
      <c r="CO50" s="637"/>
    </row>
    <row r="51">
      <c r="A51" s="643" t="s">
        <v>707</v>
      </c>
      <c r="B51" s="535" t="s">
        <v>708</v>
      </c>
      <c r="C51" s="639"/>
      <c r="D51" s="800" t="s">
        <v>861</v>
      </c>
      <c r="E51" s="444">
        <v>12.0</v>
      </c>
      <c r="F51" s="444">
        <v>12.0</v>
      </c>
      <c r="G51" s="573">
        <f>IFERROR(__xludf.DUMMYFUNCTION("SUM(INDIRECT(CONCATENATE(""'"",INDEX(SPLIT($D51,""AC""),1),""AC"",INDEX(SPLIT($D51,""AC""),2)+$E51*(COLUMN()-COLUMN($G51))/2,"":"",""AC"",INDEX(SPLIT($D51,""AC""),2)+$E51*(COLUMN()-COLUMN($G51))/2+$F51-1)))"),505157.0)</f>
        <v>505157</v>
      </c>
      <c r="H51" s="640">
        <f t="shared" si="8"/>
        <v>0.5998976335</v>
      </c>
      <c r="I51" s="573">
        <f>IFERROR(__xludf.DUMMYFUNCTION("SUM(INDIRECT(CONCATENATE(""'"",INDEX(SPLIT($D51,""AC""),1),""AC"",INDEX(SPLIT($D51,""AC""),2)+$E51*(COLUMN()-COLUMN($G51))/2,"":"",""AC"",INDEX(SPLIT($D51,""AC""),2)+$E51*(COLUMN()-COLUMN($G51))/2+$F51-1)))"),617561.0)</f>
        <v>617561</v>
      </c>
      <c r="J51" s="640">
        <f t="shared" si="9"/>
        <v>0.5562750637</v>
      </c>
      <c r="K51" s="573">
        <f>IFERROR(__xludf.DUMMYFUNCTION("SUM(INDIRECT(CONCATENATE(""'"",INDEX(SPLIT($D51,""AC""),1),""AC"",INDEX(SPLIT($D51,""AC""),2)+$E51*(COLUMN()-COLUMN($G51))/2,"":"",""AC"",INDEX(SPLIT($D51,""AC""),2)+$E51*(COLUMN()-COLUMN($G51))/2+$F51-1)))"),789473.0)</f>
        <v>789473</v>
      </c>
      <c r="L51" s="640">
        <f t="shared" si="10"/>
        <v>0.4858600355</v>
      </c>
      <c r="M51" s="573">
        <f>IFERROR(__xludf.DUMMYFUNCTION("SUM(INDIRECT(CONCATENATE(""'"",INDEX(SPLIT($D51,""AC""),1),""AC"",INDEX(SPLIT($D51,""AC""),2)+$E51*(COLUMN()-COLUMN($G51))/2,"":"",""AC"",INDEX(SPLIT($D51,""AC""),2)+$E51*(COLUMN()-COLUMN($G51))/2+$F51-1)))"),926022.0)</f>
        <v>926022</v>
      </c>
      <c r="N51" s="641">
        <f t="shared" si="11"/>
        <v>0.4629098542</v>
      </c>
      <c r="O51" s="573">
        <f>IFERROR(__xludf.DUMMYFUNCTION("SUM(INDIRECT(CONCATENATE(""'"",INDEX(SPLIT($D51,""AC""),1),""AC"",INDEX(SPLIT($D51,""AC""),2)+$E51*(COLUMN()-COLUMN($G51))/2,"":"",""AC"",INDEX(SPLIT($D51,""AC""),2)+$E51*(COLUMN()-COLUMN($G51))/2+$F51-1)))"),1199671.0)</f>
        <v>1199671</v>
      </c>
      <c r="P51" s="641">
        <f t="shared" si="12"/>
        <v>0.568506796</v>
      </c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  <c r="BS51" s="567"/>
      <c r="BT51" s="567"/>
      <c r="BU51" s="567"/>
      <c r="BV51" s="567"/>
      <c r="BW51" s="567"/>
      <c r="BX51" s="567"/>
      <c r="BY51" s="567"/>
      <c r="BZ51" s="567"/>
      <c r="CA51" s="567"/>
      <c r="CB51" s="567"/>
      <c r="CC51" s="567"/>
      <c r="CD51" s="567"/>
      <c r="CE51" s="567"/>
      <c r="CF51" s="567"/>
      <c r="CG51" s="567"/>
      <c r="CH51" s="567"/>
      <c r="CI51" s="567"/>
      <c r="CJ51" s="567"/>
      <c r="CK51" s="567"/>
      <c r="CL51" s="567"/>
      <c r="CM51" s="567"/>
      <c r="CN51" s="637"/>
      <c r="CO51" s="637"/>
    </row>
    <row r="52">
      <c r="A52" s="644"/>
      <c r="B52" s="535" t="s">
        <v>710</v>
      </c>
      <c r="C52" s="639"/>
      <c r="D52" s="800" t="s">
        <v>862</v>
      </c>
      <c r="E52" s="444">
        <v>12.0</v>
      </c>
      <c r="F52" s="444">
        <v>12.0</v>
      </c>
      <c r="G52" s="573">
        <f>IFERROR(__xludf.DUMMYFUNCTION("SUM(INDIRECT(CONCATENATE(""'"",INDEX(SPLIT($D52,""Y""),1),""Y"",INDEX(SPLIT($D52,""Y""),2)+$E52*(COLUMN()-COLUMN($G52))/2,"":"",""Y"",INDEX(SPLIT($D52,""Y""),2)+$E52*(COLUMN()-COLUMN($G52))/2+$F52-1)))"),0.0)</f>
        <v>0</v>
      </c>
      <c r="H52" s="640">
        <f t="shared" si="8"/>
        <v>0</v>
      </c>
      <c r="I52" s="573">
        <f>IFERROR(__xludf.DUMMYFUNCTION("SUM(INDIRECT(CONCATENATE(""'"",INDEX(SPLIT($D52,""Y""),1),""Y"",INDEX(SPLIT($D52,""Y""),2)+$E52*(COLUMN()-COLUMN($G52))/2,"":"",""Y"",INDEX(SPLIT($D52,""Y""),2)+$E52*(COLUMN()-COLUMN($G52))/2+$F52-1)))"),0.0)</f>
        <v>0</v>
      </c>
      <c r="J52" s="640">
        <f t="shared" si="9"/>
        <v>0</v>
      </c>
      <c r="K52" s="573">
        <f>IFERROR(__xludf.DUMMYFUNCTION("SUM(INDIRECT(CONCATENATE(""'"",INDEX(SPLIT($D52,""Y""),1),""Y"",INDEX(SPLIT($D52,""Y""),2)+$E52*(COLUMN()-COLUMN($G52))/2,"":"",""Y"",INDEX(SPLIT($D52,""Y""),2)+$E52*(COLUMN()-COLUMN($G52))/2+$F52-1)))"),0.0)</f>
        <v>0</v>
      </c>
      <c r="L52" s="640">
        <f t="shared" si="10"/>
        <v>0</v>
      </c>
      <c r="M52" s="573">
        <f>IFERROR(__xludf.DUMMYFUNCTION("SUM(INDIRECT(CONCATENATE(""'"",INDEX(SPLIT($D52,""Y""),1),""Y"",INDEX(SPLIT($D52,""Y""),2)+$E52*(COLUMN()-COLUMN($G52))/2,"":"",""Y"",INDEX(SPLIT($D52,""Y""),2)+$E52*(COLUMN()-COLUMN($G52))/2+$F52-1)))"),141978.0)</f>
        <v>141978</v>
      </c>
      <c r="N52" s="641">
        <f t="shared" si="11"/>
        <v>0.07097349229</v>
      </c>
      <c r="O52" s="573">
        <f>IFERROR(__xludf.DUMMYFUNCTION("SUM(INDIRECT(CONCATENATE(""'"",INDEX(SPLIT($D52,""Y""),1),""Y"",INDEX(SPLIT($D52,""Y""),2)+$E52*(COLUMN()-COLUMN($G52))/2,"":"",""Y"",INDEX(SPLIT($D52,""Y""),2)+$E52*(COLUMN()-COLUMN($G52))/2+$F52-1)))"),116046.0)</f>
        <v>116046</v>
      </c>
      <c r="P52" s="641">
        <f t="shared" si="12"/>
        <v>0.05499252682</v>
      </c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  <c r="BS52" s="567"/>
      <c r="BT52" s="567"/>
      <c r="BU52" s="567"/>
      <c r="BV52" s="567"/>
      <c r="BW52" s="567"/>
      <c r="BX52" s="567"/>
      <c r="BY52" s="567"/>
      <c r="BZ52" s="567"/>
      <c r="CA52" s="567"/>
      <c r="CB52" s="567"/>
      <c r="CC52" s="567"/>
      <c r="CD52" s="567"/>
      <c r="CE52" s="567"/>
      <c r="CF52" s="567"/>
      <c r="CG52" s="567"/>
      <c r="CH52" s="567"/>
      <c r="CI52" s="567"/>
      <c r="CJ52" s="567"/>
      <c r="CK52" s="567"/>
      <c r="CL52" s="567"/>
      <c r="CM52" s="567"/>
      <c r="CN52" s="637"/>
      <c r="CO52" s="637"/>
    </row>
    <row r="53">
      <c r="A53" s="645"/>
      <c r="B53" s="535" t="s">
        <v>712</v>
      </c>
      <c r="C53" s="560"/>
      <c r="D53" s="540" t="s">
        <v>652</v>
      </c>
      <c r="E53" s="444" t="s">
        <v>652</v>
      </c>
      <c r="F53" s="444" t="s">
        <v>652</v>
      </c>
      <c r="G53" s="582">
        <f>G51+G52</f>
        <v>505157</v>
      </c>
      <c r="H53" s="640">
        <f t="shared" si="8"/>
        <v>0.5998976335</v>
      </c>
      <c r="I53" s="542">
        <f>I51+I52</f>
        <v>617561</v>
      </c>
      <c r="J53" s="640">
        <f t="shared" si="9"/>
        <v>0.5562750637</v>
      </c>
      <c r="K53" s="542">
        <f>K51+K52</f>
        <v>789473</v>
      </c>
      <c r="L53" s="640">
        <f t="shared" si="10"/>
        <v>0.4858600355</v>
      </c>
      <c r="M53" s="542">
        <f>M51+M52</f>
        <v>1068000</v>
      </c>
      <c r="N53" s="641">
        <f t="shared" si="11"/>
        <v>0.5338833465</v>
      </c>
      <c r="O53" s="542">
        <f>O51+O52</f>
        <v>1315717</v>
      </c>
      <c r="P53" s="641">
        <f t="shared" si="12"/>
        <v>0.6234993228</v>
      </c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  <c r="BS53" s="567"/>
      <c r="BT53" s="567"/>
      <c r="BU53" s="567"/>
      <c r="BV53" s="567"/>
      <c r="BW53" s="567"/>
      <c r="BX53" s="567"/>
      <c r="BY53" s="567"/>
      <c r="BZ53" s="567"/>
      <c r="CA53" s="567"/>
      <c r="CB53" s="567"/>
      <c r="CC53" s="567"/>
      <c r="CD53" s="567"/>
      <c r="CE53" s="567"/>
      <c r="CF53" s="567"/>
      <c r="CG53" s="567"/>
      <c r="CH53" s="567"/>
      <c r="CI53" s="567"/>
      <c r="CJ53" s="567"/>
      <c r="CK53" s="567"/>
      <c r="CL53" s="567"/>
      <c r="CM53" s="567"/>
      <c r="CN53" s="642"/>
      <c r="CO53" s="642"/>
    </row>
    <row r="54">
      <c r="A54" s="638" t="s">
        <v>713</v>
      </c>
      <c r="B54" s="535"/>
      <c r="C54" s="560"/>
      <c r="D54" s="540" t="s">
        <v>652</v>
      </c>
      <c r="E54" s="444" t="s">
        <v>652</v>
      </c>
      <c r="F54" s="444" t="s">
        <v>652</v>
      </c>
      <c r="G54" s="582">
        <v>0.0</v>
      </c>
      <c r="H54" s="640">
        <f t="shared" si="8"/>
        <v>0</v>
      </c>
      <c r="I54" s="542">
        <v>0.0</v>
      </c>
      <c r="J54" s="640">
        <f t="shared" si="9"/>
        <v>0</v>
      </c>
      <c r="K54" s="542">
        <v>0.0</v>
      </c>
      <c r="L54" s="640">
        <f t="shared" si="10"/>
        <v>0</v>
      </c>
      <c r="M54" s="542">
        <v>0.0</v>
      </c>
      <c r="N54" s="641">
        <f t="shared" si="11"/>
        <v>0</v>
      </c>
      <c r="O54" s="542">
        <v>0.0</v>
      </c>
      <c r="P54" s="641">
        <f t="shared" si="12"/>
        <v>0</v>
      </c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  <c r="BS54" s="567"/>
      <c r="BT54" s="567"/>
      <c r="BU54" s="567"/>
      <c r="BV54" s="567"/>
      <c r="BW54" s="567"/>
      <c r="BX54" s="567"/>
      <c r="BY54" s="567"/>
      <c r="BZ54" s="567"/>
      <c r="CA54" s="567"/>
      <c r="CB54" s="567"/>
      <c r="CC54" s="567"/>
      <c r="CD54" s="567"/>
      <c r="CE54" s="567"/>
      <c r="CF54" s="567"/>
      <c r="CG54" s="567"/>
      <c r="CH54" s="567"/>
      <c r="CI54" s="567"/>
      <c r="CJ54" s="567"/>
      <c r="CK54" s="567"/>
      <c r="CL54" s="567"/>
      <c r="CM54" s="567"/>
      <c r="CN54" s="642"/>
      <c r="CO54" s="642"/>
    </row>
    <row r="55">
      <c r="A55" s="461" t="s">
        <v>714</v>
      </c>
      <c r="B55" s="462"/>
      <c r="C55" s="639"/>
      <c r="D55" s="540" t="s">
        <v>652</v>
      </c>
      <c r="E55" s="444" t="s">
        <v>652</v>
      </c>
      <c r="F55" s="444" t="s">
        <v>652</v>
      </c>
      <c r="G55" s="573">
        <f>G50-G53+G54</f>
        <v>336915</v>
      </c>
      <c r="H55" s="640">
        <f t="shared" si="8"/>
        <v>0.4001023665</v>
      </c>
      <c r="I55" s="537">
        <f>I50-I53+I54</f>
        <v>492611</v>
      </c>
      <c r="J55" s="640">
        <f t="shared" si="9"/>
        <v>0.4437249363</v>
      </c>
      <c r="K55" s="537">
        <f>K50-K53+K54</f>
        <v>835425</v>
      </c>
      <c r="L55" s="640">
        <f t="shared" si="10"/>
        <v>0.5141399645</v>
      </c>
      <c r="M55" s="537">
        <f>M50-M53+M54</f>
        <v>932437</v>
      </c>
      <c r="N55" s="641">
        <f t="shared" si="11"/>
        <v>0.4661166535</v>
      </c>
      <c r="O55" s="537">
        <f>O50-O53+O54</f>
        <v>794497</v>
      </c>
      <c r="P55" s="641">
        <f t="shared" si="12"/>
        <v>0.3765006772</v>
      </c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  <c r="BW55" s="567"/>
      <c r="BX55" s="567"/>
      <c r="BY55" s="567"/>
      <c r="BZ55" s="567"/>
      <c r="CA55" s="567"/>
      <c r="CB55" s="567"/>
      <c r="CC55" s="567"/>
      <c r="CD55" s="567"/>
      <c r="CE55" s="567"/>
      <c r="CF55" s="567"/>
      <c r="CG55" s="567"/>
      <c r="CH55" s="567"/>
      <c r="CI55" s="567"/>
      <c r="CJ55" s="567"/>
      <c r="CK55" s="567"/>
      <c r="CL55" s="567"/>
      <c r="CM55" s="567"/>
      <c r="CN55" s="637"/>
      <c r="CO55" s="637"/>
    </row>
    <row r="56">
      <c r="A56" s="638" t="s">
        <v>715</v>
      </c>
      <c r="B56" s="535" t="s">
        <v>408</v>
      </c>
      <c r="C56" s="646"/>
      <c r="D56" s="800" t="s">
        <v>863</v>
      </c>
      <c r="E56" s="444">
        <v>12.0</v>
      </c>
      <c r="F56" s="444">
        <v>12.0</v>
      </c>
      <c r="G56" s="573">
        <f>IFERROR(__xludf.DUMMYFUNCTION("SUM(INDIRECT(CONCATENATE(""'"",INDEX(SPLIT($D56,""P""),1),""P"",INDEX(SPLIT($D56,""P""),2)+$E56*(COLUMN()-COLUMN($G56))/2,"":"",""P"",INDEX(SPLIT($D56,""P""),2)+$E56*(COLUMN()-COLUMN($G56))/2+$F56-1)))"),47420.0)</f>
        <v>47420</v>
      </c>
      <c r="H56" s="640">
        <f t="shared" si="8"/>
        <v>0.05631347438</v>
      </c>
      <c r="I56" s="573">
        <f>IFERROR(__xludf.DUMMYFUNCTION("SUM(INDIRECT(CONCATENATE(""'"",INDEX(SPLIT($D56,""P""),1),""P"",INDEX(SPLIT($D56,""P""),2)+$E56*(COLUMN()-COLUMN($G56))/2,"":"",""P"",INDEX(SPLIT($D56,""P""),2)+$E56*(COLUMN()-COLUMN($G56))/2+$F56-1)))"),59350.0)</f>
        <v>59350</v>
      </c>
      <c r="J56" s="640">
        <f t="shared" si="9"/>
        <v>0.05346018455</v>
      </c>
      <c r="K56" s="573">
        <f>IFERROR(__xludf.DUMMYFUNCTION("SUM(INDIRECT(CONCATENATE(""'"",INDEX(SPLIT($D56,""P""),1),""P"",INDEX(SPLIT($D56,""P""),2)+$E56*(COLUMN()-COLUMN($G56))/2,"":"",""P"",INDEX(SPLIT($D56,""P""),2)+$E56*(COLUMN()-COLUMN($G56))/2+$F56-1)))"),22011.0)</f>
        <v>22011</v>
      </c>
      <c r="L56" s="640">
        <f t="shared" si="10"/>
        <v>0.01354608105</v>
      </c>
      <c r="M56" s="573">
        <f>IFERROR(__xludf.DUMMYFUNCTION("SUM(INDIRECT(CONCATENATE(""'"",INDEX(SPLIT($D56,""P""),1),""P"",INDEX(SPLIT($D56,""P""),2)+$E56*(COLUMN()-COLUMN($G56))/2,"":"",""P"",INDEX(SPLIT($D56,""P""),2)+$E56*(COLUMN()-COLUMN($G56))/2+$F56-1)))"),1405522.0)</f>
        <v>1405522</v>
      </c>
      <c r="N56" s="641">
        <f t="shared" si="11"/>
        <v>0.7026074803</v>
      </c>
      <c r="O56" s="573">
        <f>IFERROR(__xludf.DUMMYFUNCTION("SUM(INDIRECT(CONCATENATE(""'"",INDEX(SPLIT($D56,""P""),1),""P"",INDEX(SPLIT($D56,""P""),2)+$E56*(COLUMN()-COLUMN($G56))/2,"":"",""P"",INDEX(SPLIT($D56,""P""),2)+$E56*(COLUMN()-COLUMN($G56))/2+$F56-1)))"),191604.0)</f>
        <v>191604</v>
      </c>
      <c r="P56" s="641">
        <f t="shared" si="12"/>
        <v>0.090798374</v>
      </c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  <c r="BS56" s="567"/>
      <c r="BT56" s="567"/>
      <c r="BU56" s="567"/>
      <c r="BV56" s="567"/>
      <c r="BW56" s="567"/>
      <c r="BX56" s="567"/>
      <c r="BY56" s="567"/>
      <c r="BZ56" s="567"/>
      <c r="CA56" s="567"/>
      <c r="CB56" s="567"/>
      <c r="CC56" s="567"/>
      <c r="CD56" s="567"/>
      <c r="CE56" s="567"/>
      <c r="CF56" s="567"/>
      <c r="CG56" s="567"/>
      <c r="CH56" s="567"/>
      <c r="CI56" s="567"/>
      <c r="CJ56" s="567"/>
      <c r="CK56" s="567"/>
      <c r="CL56" s="567"/>
      <c r="CM56" s="567"/>
      <c r="CN56" s="637"/>
      <c r="CO56" s="637"/>
    </row>
    <row r="57">
      <c r="A57" s="638" t="s">
        <v>717</v>
      </c>
      <c r="B57" s="535" t="s">
        <v>548</v>
      </c>
      <c r="C57" s="639"/>
      <c r="D57" s="800" t="s">
        <v>864</v>
      </c>
      <c r="E57" s="444">
        <v>12.0</v>
      </c>
      <c r="F57" s="444">
        <v>12.0</v>
      </c>
      <c r="G57" s="573">
        <f>IFERROR(__xludf.DUMMYFUNCTION("SUM(INDIRECT(CONCATENATE(""'"",INDEX(SPLIT($D57,""Z""),1),""Z"",INDEX(SPLIT($D57,""Z""),2)+$E57*(COLUMN()-COLUMN($G57))/2,"":"",""Z"",INDEX(SPLIT($D57,""Z""),2)+$E57*(COLUMN()-COLUMN($G57))/2+$F57-1)))"),0.0)</f>
        <v>0</v>
      </c>
      <c r="H57" s="640">
        <f t="shared" si="8"/>
        <v>0</v>
      </c>
      <c r="I57" s="573">
        <f>IFERROR(__xludf.DUMMYFUNCTION("SUM(INDIRECT(CONCATENATE(""'"",INDEX(SPLIT($D57,""Z""),1),""Z"",INDEX(SPLIT($D57,""Z""),2)+$E57*(COLUMN()-COLUMN($G57))/2,"":"",""Z"",INDEX(SPLIT($D57,""Z""),2)+$E57*(COLUMN()-COLUMN($G57))/2+$F57-1)))"),0.0)</f>
        <v>0</v>
      </c>
      <c r="J57" s="640">
        <f t="shared" si="9"/>
        <v>0</v>
      </c>
      <c r="K57" s="573">
        <f>IFERROR(__xludf.DUMMYFUNCTION("SUM(INDIRECT(CONCATENATE(""'"",INDEX(SPLIT($D57,""Z""),1),""Z"",INDEX(SPLIT($D57,""Z""),2)+$E57*(COLUMN()-COLUMN($G57))/2,"":"",""Z"",INDEX(SPLIT($D57,""Z""),2)+$E57*(COLUMN()-COLUMN($G57))/2+$F57-1)))"),0.0)</f>
        <v>0</v>
      </c>
      <c r="L57" s="640">
        <f t="shared" si="10"/>
        <v>0</v>
      </c>
      <c r="M57" s="573">
        <f>IFERROR(__xludf.DUMMYFUNCTION("SUM(INDIRECT(CONCATENATE(""'"",INDEX(SPLIT($D57,""Z""),1),""Z"",INDEX(SPLIT($D57,""Z""),2)+$E57*(COLUMN()-COLUMN($G57))/2,"":"",""Z"",INDEX(SPLIT($D57,""Z""),2)+$E57*(COLUMN()-COLUMN($G57))/2+$F57-1)))"),9912.3249)</f>
        <v>9912.3249</v>
      </c>
      <c r="N57" s="641">
        <f t="shared" si="11"/>
        <v>0.004955079765</v>
      </c>
      <c r="O57" s="573">
        <f>IFERROR(__xludf.DUMMYFUNCTION("SUM(INDIRECT(CONCATENATE(""'"",INDEX(SPLIT($D57,""Z""),1),""Z"",INDEX(SPLIT($D57,""Z""),2)+$E57*(COLUMN()-COLUMN($G57))/2,"":"",""Z"",INDEX(SPLIT($D57,""Z""),2)+$E57*(COLUMN()-COLUMN($G57))/2+$F57-1)))"),7629.558300000001)</f>
        <v>7629.5583</v>
      </c>
      <c r="P57" s="641">
        <f t="shared" si="12"/>
        <v>0.003615537713</v>
      </c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  <c r="BS57" s="567"/>
      <c r="BT57" s="567"/>
      <c r="BU57" s="567"/>
      <c r="BV57" s="567"/>
      <c r="BW57" s="567"/>
      <c r="BX57" s="567"/>
      <c r="BY57" s="567"/>
      <c r="BZ57" s="567"/>
      <c r="CA57" s="567"/>
      <c r="CB57" s="567"/>
      <c r="CC57" s="567"/>
      <c r="CD57" s="567"/>
      <c r="CE57" s="567"/>
      <c r="CF57" s="567"/>
      <c r="CG57" s="567"/>
      <c r="CH57" s="567"/>
      <c r="CI57" s="567"/>
      <c r="CJ57" s="567"/>
      <c r="CK57" s="567"/>
      <c r="CL57" s="567"/>
      <c r="CM57" s="567"/>
      <c r="CN57" s="637"/>
      <c r="CO57" s="637"/>
    </row>
    <row r="58">
      <c r="A58" s="466" t="s">
        <v>786</v>
      </c>
      <c r="B58" s="462"/>
      <c r="C58" s="639"/>
      <c r="D58" s="540" t="s">
        <v>652</v>
      </c>
      <c r="E58" s="444" t="s">
        <v>652</v>
      </c>
      <c r="F58" s="444" t="s">
        <v>652</v>
      </c>
      <c r="G58" s="573">
        <f>G56+G57</f>
        <v>47420</v>
      </c>
      <c r="H58" s="640">
        <f t="shared" si="8"/>
        <v>0.05631347438</v>
      </c>
      <c r="I58" s="537">
        <f>I56+I57</f>
        <v>59350</v>
      </c>
      <c r="J58" s="640">
        <f t="shared" si="9"/>
        <v>0.05346018455</v>
      </c>
      <c r="K58" s="537">
        <f>K56+K57</f>
        <v>22011</v>
      </c>
      <c r="L58" s="640">
        <f t="shared" si="10"/>
        <v>0.01354608105</v>
      </c>
      <c r="M58" s="537">
        <f>M56+M57</f>
        <v>1415434.325</v>
      </c>
      <c r="N58" s="641">
        <f t="shared" si="11"/>
        <v>0.70756256</v>
      </c>
      <c r="O58" s="537">
        <f>O56+O57</f>
        <v>199233.5583</v>
      </c>
      <c r="P58" s="641">
        <f t="shared" si="12"/>
        <v>0.09441391172</v>
      </c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  <c r="BS58" s="567"/>
      <c r="BT58" s="567"/>
      <c r="BU58" s="567"/>
      <c r="BV58" s="567"/>
      <c r="BW58" s="567"/>
      <c r="BX58" s="567"/>
      <c r="BY58" s="567"/>
      <c r="BZ58" s="567"/>
      <c r="CA58" s="567"/>
      <c r="CB58" s="567"/>
      <c r="CC58" s="567"/>
      <c r="CD58" s="567"/>
      <c r="CE58" s="567"/>
      <c r="CF58" s="567"/>
      <c r="CG58" s="567"/>
      <c r="CH58" s="567"/>
      <c r="CI58" s="567"/>
      <c r="CJ58" s="567"/>
      <c r="CK58" s="567"/>
      <c r="CL58" s="567"/>
      <c r="CM58" s="567"/>
      <c r="CN58" s="637"/>
      <c r="CO58" s="637"/>
    </row>
    <row r="59">
      <c r="A59" s="461" t="s">
        <v>720</v>
      </c>
      <c r="B59" s="462"/>
      <c r="C59" s="647"/>
      <c r="D59" s="540" t="s">
        <v>652</v>
      </c>
      <c r="E59" s="444" t="s">
        <v>652</v>
      </c>
      <c r="F59" s="444" t="s">
        <v>652</v>
      </c>
      <c r="G59" s="573">
        <f>G55+G58</f>
        <v>384335</v>
      </c>
      <c r="H59" s="640">
        <f t="shared" si="8"/>
        <v>0.4564158409</v>
      </c>
      <c r="I59" s="537">
        <f>I55+I58</f>
        <v>551961</v>
      </c>
      <c r="J59" s="640">
        <f t="shared" si="9"/>
        <v>0.4971851209</v>
      </c>
      <c r="K59" s="537">
        <f>K55+K58</f>
        <v>857436</v>
      </c>
      <c r="L59" s="640">
        <f t="shared" si="10"/>
        <v>0.5276860455</v>
      </c>
      <c r="M59" s="537">
        <f>M55+M58</f>
        <v>2347871.325</v>
      </c>
      <c r="N59" s="641">
        <f t="shared" si="11"/>
        <v>1.173679214</v>
      </c>
      <c r="O59" s="537">
        <f>O55+O58</f>
        <v>993730.5583</v>
      </c>
      <c r="P59" s="641">
        <f t="shared" si="12"/>
        <v>0.4709145889</v>
      </c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  <c r="BS59" s="567"/>
      <c r="BT59" s="567"/>
      <c r="BU59" s="567"/>
      <c r="BV59" s="567"/>
      <c r="BW59" s="567"/>
      <c r="BX59" s="567"/>
      <c r="BY59" s="567"/>
      <c r="BZ59" s="567"/>
      <c r="CA59" s="567"/>
      <c r="CB59" s="567"/>
      <c r="CC59" s="567"/>
      <c r="CD59" s="567"/>
      <c r="CE59" s="567"/>
      <c r="CF59" s="567"/>
      <c r="CG59" s="567"/>
      <c r="CH59" s="567"/>
      <c r="CI59" s="567"/>
      <c r="CJ59" s="567"/>
      <c r="CK59" s="567"/>
      <c r="CL59" s="567"/>
      <c r="CM59" s="567"/>
      <c r="CN59" s="648"/>
      <c r="CO59" s="648"/>
    </row>
    <row r="60">
      <c r="A60" s="643" t="s">
        <v>721</v>
      </c>
      <c r="B60" s="547" t="s">
        <v>722</v>
      </c>
      <c r="C60" s="649"/>
      <c r="D60" s="800" t="s">
        <v>865</v>
      </c>
      <c r="E60" s="444">
        <v>12.0</v>
      </c>
      <c r="F60" s="444">
        <v>12.0</v>
      </c>
      <c r="G60" s="573">
        <f>IFERROR(__xludf.DUMMYFUNCTION("SUM(INDIRECT(CONCATENATE(""'"",INDEX(SPLIT($D60,""AA""),1),""AA"",INDEX(SPLIT($D60,""AA""),2)+$E60*(COLUMN()-COLUMN($G60))/2,"":"",""AA"",INDEX(SPLIT($D60,""AA""),2)+$E60*(COLUMN()-COLUMN($G60))/2+$F60-1)))"),16027.0)</f>
        <v>16027</v>
      </c>
      <c r="H60" s="650">
        <f t="shared" si="8"/>
        <v>0.0190328143</v>
      </c>
      <c r="I60" s="573">
        <f>IFERROR(__xludf.DUMMYFUNCTION("SUM(INDIRECT(CONCATENATE(""'"",INDEX(SPLIT($D60,""AA""),1),""AA"",INDEX(SPLIT($D60,""AA""),2)+$E60*(COLUMN()-COLUMN($G60))/2,"":"",""AA"",INDEX(SPLIT($D60,""AA""),2)+$E60*(COLUMN()-COLUMN($G60))/2+$F60-1)))"),35457.0)</f>
        <v>35457</v>
      </c>
      <c r="J60" s="650">
        <f t="shared" si="9"/>
        <v>0.03193829425</v>
      </c>
      <c r="K60" s="573">
        <f>IFERROR(__xludf.DUMMYFUNCTION("SUM(INDIRECT(CONCATENATE(""'"",INDEX(SPLIT($D60,""AA""),1),""AA"",INDEX(SPLIT($D60,""AA""),2)+$E60*(COLUMN()-COLUMN($G60))/2,"":"",""AA"",INDEX(SPLIT($D60,""AA""),2)+$E60*(COLUMN()-COLUMN($G60))/2+$F60-1)))"),64374.0)</f>
        <v>64374</v>
      </c>
      <c r="L60" s="650">
        <f t="shared" si="10"/>
        <v>0.03961725598</v>
      </c>
      <c r="M60" s="573">
        <f>IFERROR(__xludf.DUMMYFUNCTION("SUM(INDIRECT(CONCATENATE(""'"",INDEX(SPLIT($D60,""AA""),1),""AA"",INDEX(SPLIT($D60,""AA""),2)+$E60*(COLUMN()-COLUMN($G60))/2,"":"",""AA"",INDEX(SPLIT($D60,""AA""),2)+$E60*(COLUMN()-COLUMN($G60))/2+$F60-1)))"),93616.0)</f>
        <v>93616</v>
      </c>
      <c r="N60" s="801">
        <f t="shared" si="11"/>
        <v>0.04679777469</v>
      </c>
      <c r="O60" s="573">
        <f>IFERROR(__xludf.DUMMYFUNCTION("SUM(INDIRECT(CONCATENATE(""'"",INDEX(SPLIT($D60,""AA""),1),""AA"",INDEX(SPLIT($D60,""AA""),2)+$E60*(COLUMN()-COLUMN($G60))/2,"":"",""AA"",INDEX(SPLIT($D60,""AA""),2)+$E60*(COLUMN()-COLUMN($G60))/2+$F60-1)))"),81977.0)</f>
        <v>81977</v>
      </c>
      <c r="P60" s="801">
        <f t="shared" si="12"/>
        <v>0.03884771876</v>
      </c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  <c r="BS60" s="567"/>
      <c r="BT60" s="567"/>
      <c r="BU60" s="567"/>
      <c r="BV60" s="567"/>
      <c r="BW60" s="567"/>
      <c r="BX60" s="567"/>
      <c r="BY60" s="567"/>
      <c r="BZ60" s="567"/>
      <c r="CA60" s="567"/>
      <c r="CB60" s="567"/>
      <c r="CC60" s="567"/>
      <c r="CD60" s="567"/>
      <c r="CE60" s="567"/>
      <c r="CF60" s="567"/>
      <c r="CG60" s="567"/>
      <c r="CH60" s="567"/>
      <c r="CI60" s="567"/>
      <c r="CJ60" s="567"/>
      <c r="CK60" s="567"/>
      <c r="CL60" s="567"/>
      <c r="CM60" s="567"/>
      <c r="CN60" s="637"/>
      <c r="CO60" s="637"/>
    </row>
    <row r="61">
      <c r="A61" s="651"/>
      <c r="B61" s="652"/>
      <c r="C61" s="653"/>
      <c r="D61" s="540" t="s">
        <v>652</v>
      </c>
      <c r="E61" s="444" t="s">
        <v>652</v>
      </c>
      <c r="F61" s="444" t="s">
        <v>652</v>
      </c>
      <c r="G61" s="802" t="s">
        <v>653</v>
      </c>
      <c r="H61" s="655" t="s">
        <v>788</v>
      </c>
      <c r="I61" s="654" t="s">
        <v>653</v>
      </c>
      <c r="J61" s="655" t="s">
        <v>788</v>
      </c>
      <c r="K61" s="654" t="s">
        <v>653</v>
      </c>
      <c r="L61" s="655" t="s">
        <v>788</v>
      </c>
      <c r="M61" s="654" t="s">
        <v>653</v>
      </c>
      <c r="N61" s="803" t="s">
        <v>788</v>
      </c>
      <c r="O61" s="654" t="s">
        <v>653</v>
      </c>
      <c r="P61" s="803" t="s">
        <v>788</v>
      </c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  <c r="BS61" s="567"/>
      <c r="BT61" s="567"/>
      <c r="BU61" s="567"/>
      <c r="BV61" s="567"/>
      <c r="BW61" s="567"/>
      <c r="BX61" s="567"/>
      <c r="BY61" s="567"/>
      <c r="BZ61" s="567"/>
      <c r="CA61" s="567"/>
      <c r="CB61" s="567"/>
      <c r="CC61" s="567"/>
      <c r="CD61" s="567"/>
      <c r="CE61" s="567"/>
      <c r="CF61" s="567"/>
      <c r="CG61" s="567"/>
      <c r="CH61" s="567"/>
      <c r="CI61" s="567"/>
      <c r="CJ61" s="567"/>
      <c r="CK61" s="567"/>
      <c r="CL61" s="567"/>
      <c r="CM61" s="567"/>
      <c r="CN61" s="648"/>
      <c r="CO61" s="648"/>
    </row>
    <row r="62">
      <c r="A62" s="466" t="s">
        <v>866</v>
      </c>
      <c r="B62" s="462"/>
      <c r="C62" s="647"/>
      <c r="D62" s="540" t="s">
        <v>652</v>
      </c>
      <c r="E62" s="444" t="s">
        <v>652</v>
      </c>
      <c r="F62" s="444" t="s">
        <v>652</v>
      </c>
      <c r="G62" s="588">
        <f>G59-G60</f>
        <v>368308</v>
      </c>
      <c r="H62" s="660" t="s">
        <v>652</v>
      </c>
      <c r="I62" s="552">
        <f>I59-I60</f>
        <v>516504</v>
      </c>
      <c r="J62" s="804">
        <f>(I62-G62)/G62</f>
        <v>0.4023697557</v>
      </c>
      <c r="K62" s="552">
        <f>K59-K60</f>
        <v>793062</v>
      </c>
      <c r="L62" s="804">
        <f>(K62-I62)/I62</f>
        <v>0.5354421263</v>
      </c>
      <c r="M62" s="552">
        <f>M59-M60</f>
        <v>2254255.325</v>
      </c>
      <c r="N62" s="805">
        <f>(M62-K62)/K62</f>
        <v>1.842470481</v>
      </c>
      <c r="O62" s="552">
        <f>O59-O60</f>
        <v>911753.5583</v>
      </c>
      <c r="P62" s="805">
        <f>(O62-M62)/M62</f>
        <v>-0.5955411314</v>
      </c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  <c r="BS62" s="567"/>
      <c r="BT62" s="567"/>
      <c r="BU62" s="567"/>
      <c r="BV62" s="567"/>
      <c r="BW62" s="567"/>
      <c r="BX62" s="567"/>
      <c r="BY62" s="567"/>
      <c r="BZ62" s="567"/>
      <c r="CA62" s="567"/>
      <c r="CB62" s="567"/>
      <c r="CC62" s="567"/>
      <c r="CD62" s="567"/>
      <c r="CE62" s="567"/>
      <c r="CF62" s="567"/>
      <c r="CG62" s="567"/>
      <c r="CH62" s="567"/>
      <c r="CI62" s="567"/>
      <c r="CJ62" s="567"/>
      <c r="CK62" s="567"/>
      <c r="CL62" s="567"/>
      <c r="CM62" s="567"/>
      <c r="CN62" s="648"/>
      <c r="CO62" s="648"/>
    </row>
    <row r="63">
      <c r="A63" s="469" t="s">
        <v>725</v>
      </c>
      <c r="B63" s="559" t="s">
        <v>726</v>
      </c>
      <c r="C63" s="560"/>
      <c r="D63" s="540" t="s">
        <v>652</v>
      </c>
      <c r="E63" s="444" t="s">
        <v>652</v>
      </c>
      <c r="F63" s="444" t="s">
        <v>652</v>
      </c>
      <c r="G63" s="806">
        <v>0.0</v>
      </c>
      <c r="H63" s="660" t="s">
        <v>652</v>
      </c>
      <c r="I63" s="807">
        <f>I41-I62</f>
        <v>-201609</v>
      </c>
      <c r="J63" s="804">
        <f>I63/G40</f>
        <v>-0.07308547973</v>
      </c>
      <c r="K63" s="807">
        <f>K41-K62</f>
        <v>451069</v>
      </c>
      <c r="L63" s="804">
        <f>K63/I40</f>
        <v>0.1467639434</v>
      </c>
      <c r="M63" s="807">
        <f>M41-M62</f>
        <v>708447.8103</v>
      </c>
      <c r="N63" s="805">
        <f>M63/K40</f>
        <v>0.1640851124</v>
      </c>
      <c r="O63" s="807">
        <f>O41-O62</f>
        <v>273061.2059</v>
      </c>
      <c r="P63" s="805">
        <f>O63/M40</f>
        <v>0.03750703626</v>
      </c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  <c r="BS63" s="567"/>
      <c r="BT63" s="567"/>
      <c r="BU63" s="567"/>
      <c r="BV63" s="567"/>
      <c r="BW63" s="567"/>
      <c r="BX63" s="567"/>
      <c r="BY63" s="567"/>
      <c r="BZ63" s="567"/>
      <c r="CA63" s="567"/>
      <c r="CB63" s="567"/>
      <c r="CC63" s="567"/>
      <c r="CD63" s="567"/>
      <c r="CE63" s="567"/>
      <c r="CF63" s="567"/>
      <c r="CG63" s="567"/>
      <c r="CH63" s="567"/>
      <c r="CI63" s="567"/>
      <c r="CJ63" s="567"/>
      <c r="CK63" s="567"/>
      <c r="CL63" s="567"/>
      <c r="CM63" s="567"/>
      <c r="CN63" s="642"/>
      <c r="CO63" s="642"/>
    </row>
    <row r="64">
      <c r="A64" s="666" t="s">
        <v>790</v>
      </c>
      <c r="B64" s="667"/>
      <c r="C64" s="668"/>
      <c r="D64" s="540" t="s">
        <v>652</v>
      </c>
      <c r="E64" s="444" t="s">
        <v>652</v>
      </c>
      <c r="F64" s="444" t="s">
        <v>652</v>
      </c>
      <c r="G64" s="808">
        <f>G62+G63</f>
        <v>368308</v>
      </c>
      <c r="H64" s="809" t="s">
        <v>652</v>
      </c>
      <c r="I64" s="810">
        <f>I62+I63</f>
        <v>314895</v>
      </c>
      <c r="J64" s="811">
        <f>(I64-G64)/G64</f>
        <v>-0.1450226441</v>
      </c>
      <c r="K64" s="810">
        <f>K62+K63</f>
        <v>1244131</v>
      </c>
      <c r="L64" s="811">
        <f>(K64-I64)/I64</f>
        <v>2.950939202</v>
      </c>
      <c r="M64" s="810">
        <f>M62+M63</f>
        <v>2962703.135</v>
      </c>
      <c r="N64" s="812">
        <f>(M64-K64)/K64</f>
        <v>1.381343392</v>
      </c>
      <c r="O64" s="810">
        <f>O62+O63</f>
        <v>1184814.764</v>
      </c>
      <c r="P64" s="812">
        <f>(O64-M64)/M64</f>
        <v>-0.6000899482</v>
      </c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  <c r="BS64" s="567"/>
      <c r="BT64" s="567"/>
      <c r="BU64" s="567"/>
      <c r="BV64" s="567"/>
      <c r="BW64" s="567"/>
      <c r="BX64" s="567"/>
      <c r="BY64" s="567"/>
      <c r="BZ64" s="567"/>
      <c r="CA64" s="567"/>
      <c r="CB64" s="567"/>
      <c r="CC64" s="567"/>
      <c r="CD64" s="567"/>
      <c r="CE64" s="567"/>
      <c r="CF64" s="567"/>
      <c r="CG64" s="567"/>
      <c r="CH64" s="567"/>
      <c r="CI64" s="567"/>
      <c r="CJ64" s="567"/>
      <c r="CK64" s="567"/>
      <c r="CL64" s="567"/>
      <c r="CM64" s="567"/>
      <c r="CN64" s="648"/>
      <c r="CO64" s="648"/>
    </row>
    <row r="65">
      <c r="A65" s="669" t="s">
        <v>18</v>
      </c>
      <c r="B65" s="670"/>
      <c r="C65" s="671"/>
      <c r="D65" s="562"/>
      <c r="E65" s="563"/>
      <c r="F65" s="563"/>
      <c r="G65" s="813"/>
      <c r="H65" s="814"/>
      <c r="I65" s="815"/>
      <c r="J65" s="814"/>
      <c r="K65" s="815"/>
      <c r="L65" s="814"/>
      <c r="M65" s="815"/>
      <c r="N65" s="816"/>
      <c r="O65" s="815"/>
      <c r="P65" s="816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  <c r="BW65" s="567"/>
      <c r="BX65" s="567"/>
      <c r="BY65" s="567"/>
      <c r="BZ65" s="567"/>
      <c r="CA65" s="567"/>
      <c r="CB65" s="567"/>
      <c r="CC65" s="567"/>
      <c r="CD65" s="567"/>
      <c r="CE65" s="567"/>
      <c r="CF65" s="567"/>
      <c r="CG65" s="567"/>
      <c r="CH65" s="567"/>
      <c r="CI65" s="567"/>
      <c r="CJ65" s="567"/>
      <c r="CK65" s="567"/>
      <c r="CL65" s="567"/>
      <c r="CM65" s="567"/>
      <c r="CN65" s="283"/>
      <c r="CO65" s="283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  <c r="BW66" s="567"/>
      <c r="BX66" s="567"/>
      <c r="BY66" s="567"/>
      <c r="BZ66" s="567"/>
      <c r="CA66" s="567"/>
      <c r="CB66" s="567"/>
      <c r="CC66" s="567"/>
      <c r="CD66" s="567"/>
      <c r="CE66" s="567"/>
      <c r="CF66" s="567"/>
      <c r="CG66" s="567"/>
      <c r="CH66" s="567"/>
      <c r="CI66" s="567"/>
      <c r="CJ66" s="567"/>
      <c r="CK66" s="567"/>
      <c r="CL66" s="567"/>
      <c r="CM66" s="567"/>
      <c r="CN66" s="567"/>
      <c r="CO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  <c r="BW67" s="567"/>
      <c r="BX67" s="567"/>
      <c r="BY67" s="567"/>
      <c r="BZ67" s="567"/>
      <c r="CA67" s="567"/>
      <c r="CB67" s="567"/>
      <c r="CC67" s="567"/>
      <c r="CD67" s="567"/>
      <c r="CE67" s="567"/>
      <c r="CF67" s="567"/>
      <c r="CG67" s="567"/>
      <c r="CH67" s="567"/>
      <c r="CI67" s="567"/>
      <c r="CJ67" s="567"/>
      <c r="CK67" s="567"/>
      <c r="CL67" s="567"/>
      <c r="CM67" s="567"/>
      <c r="CN67" s="567"/>
      <c r="CO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  <c r="BW68" s="567"/>
      <c r="BX68" s="567"/>
      <c r="BY68" s="567"/>
      <c r="BZ68" s="567"/>
      <c r="CA68" s="567"/>
      <c r="CB68" s="567"/>
      <c r="CC68" s="567"/>
      <c r="CD68" s="567"/>
      <c r="CE68" s="567"/>
      <c r="CF68" s="567"/>
      <c r="CG68" s="567"/>
      <c r="CH68" s="567"/>
      <c r="CI68" s="567"/>
      <c r="CJ68" s="567"/>
      <c r="CK68" s="567"/>
      <c r="CL68" s="567"/>
      <c r="CM68" s="567"/>
      <c r="CN68" s="567"/>
      <c r="CO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  <c r="BS69" s="567"/>
      <c r="BT69" s="567"/>
      <c r="BU69" s="567"/>
      <c r="BV69" s="567"/>
      <c r="BW69" s="567"/>
      <c r="BX69" s="567"/>
      <c r="BY69" s="567"/>
      <c r="BZ69" s="567"/>
      <c r="CA69" s="567"/>
      <c r="CB69" s="567"/>
      <c r="CC69" s="567"/>
      <c r="CD69" s="567"/>
      <c r="CE69" s="567"/>
      <c r="CF69" s="567"/>
      <c r="CG69" s="567"/>
      <c r="CH69" s="567"/>
      <c r="CI69" s="567"/>
      <c r="CJ69" s="567"/>
      <c r="CK69" s="567"/>
      <c r="CL69" s="567"/>
      <c r="CM69" s="567"/>
      <c r="CN69" s="567"/>
      <c r="CO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  <c r="BS70" s="567"/>
      <c r="BT70" s="567"/>
      <c r="BU70" s="567"/>
      <c r="BV70" s="567"/>
      <c r="BW70" s="567"/>
      <c r="BX70" s="567"/>
      <c r="BY70" s="567"/>
      <c r="BZ70" s="567"/>
      <c r="CA70" s="567"/>
      <c r="CB70" s="567"/>
      <c r="CC70" s="567"/>
      <c r="CD70" s="567"/>
      <c r="CE70" s="567"/>
      <c r="CF70" s="567"/>
      <c r="CG70" s="567"/>
      <c r="CH70" s="567"/>
      <c r="CI70" s="567"/>
      <c r="CJ70" s="567"/>
      <c r="CK70" s="567"/>
      <c r="CL70" s="567"/>
      <c r="CM70" s="567"/>
      <c r="CN70" s="567"/>
      <c r="CO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  <c r="BS71" s="567"/>
      <c r="BT71" s="567"/>
      <c r="BU71" s="567"/>
      <c r="BV71" s="567"/>
      <c r="BW71" s="567"/>
      <c r="BX71" s="567"/>
      <c r="BY71" s="567"/>
      <c r="BZ71" s="567"/>
      <c r="CA71" s="567"/>
      <c r="CB71" s="567"/>
      <c r="CC71" s="567"/>
      <c r="CD71" s="567"/>
      <c r="CE71" s="567"/>
      <c r="CF71" s="567"/>
      <c r="CG71" s="567"/>
      <c r="CH71" s="567"/>
      <c r="CI71" s="567"/>
      <c r="CJ71" s="567"/>
      <c r="CK71" s="567"/>
      <c r="CL71" s="567"/>
      <c r="CM71" s="567"/>
      <c r="CN71" s="567"/>
      <c r="CO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  <c r="BS72" s="567"/>
      <c r="BT72" s="567"/>
      <c r="BU72" s="567"/>
      <c r="BV72" s="567"/>
      <c r="BW72" s="567"/>
      <c r="BX72" s="567"/>
      <c r="BY72" s="567"/>
      <c r="BZ72" s="567"/>
      <c r="CA72" s="567"/>
      <c r="CB72" s="567"/>
      <c r="CC72" s="567"/>
      <c r="CD72" s="567"/>
      <c r="CE72" s="567"/>
      <c r="CF72" s="567"/>
      <c r="CG72" s="567"/>
      <c r="CH72" s="567"/>
      <c r="CI72" s="567"/>
      <c r="CJ72" s="567"/>
      <c r="CK72" s="567"/>
      <c r="CL72" s="567"/>
      <c r="CM72" s="567"/>
      <c r="CN72" s="567"/>
      <c r="CO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  <c r="BS73" s="567"/>
      <c r="BT73" s="567"/>
      <c r="BU73" s="567"/>
      <c r="BV73" s="567"/>
      <c r="BW73" s="567"/>
      <c r="BX73" s="567"/>
      <c r="BY73" s="567"/>
      <c r="BZ73" s="567"/>
      <c r="CA73" s="567"/>
      <c r="CB73" s="567"/>
      <c r="CC73" s="567"/>
      <c r="CD73" s="567"/>
      <c r="CE73" s="567"/>
      <c r="CF73" s="567"/>
      <c r="CG73" s="567"/>
      <c r="CH73" s="567"/>
      <c r="CI73" s="567"/>
      <c r="CJ73" s="567"/>
      <c r="CK73" s="567"/>
      <c r="CL73" s="567"/>
      <c r="CM73" s="567"/>
      <c r="CN73" s="567"/>
      <c r="CO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  <c r="BS74" s="567"/>
      <c r="BT74" s="567"/>
      <c r="BU74" s="567"/>
      <c r="BV74" s="567"/>
      <c r="BW74" s="567"/>
      <c r="BX74" s="567"/>
      <c r="BY74" s="567"/>
      <c r="BZ74" s="567"/>
      <c r="CA74" s="567"/>
      <c r="CB74" s="567"/>
      <c r="CC74" s="567"/>
      <c r="CD74" s="567"/>
      <c r="CE74" s="567"/>
      <c r="CF74" s="567"/>
      <c r="CG74" s="567"/>
      <c r="CH74" s="567"/>
      <c r="CI74" s="567"/>
      <c r="CJ74" s="567"/>
      <c r="CK74" s="567"/>
      <c r="CL74" s="567"/>
      <c r="CM74" s="567"/>
      <c r="CN74" s="567"/>
      <c r="CO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  <c r="BS75" s="567"/>
      <c r="BT75" s="567"/>
      <c r="BU75" s="567"/>
      <c r="BV75" s="567"/>
      <c r="BW75" s="567"/>
      <c r="BX75" s="567"/>
      <c r="BY75" s="567"/>
      <c r="BZ75" s="567"/>
      <c r="CA75" s="567"/>
      <c r="CB75" s="567"/>
      <c r="CC75" s="567"/>
      <c r="CD75" s="567"/>
      <c r="CE75" s="567"/>
      <c r="CF75" s="567"/>
      <c r="CG75" s="567"/>
      <c r="CH75" s="567"/>
      <c r="CI75" s="567"/>
      <c r="CJ75" s="567"/>
      <c r="CK75" s="567"/>
      <c r="CL75" s="567"/>
      <c r="CM75" s="567"/>
      <c r="CN75" s="567"/>
      <c r="CO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  <c r="BS76" s="567"/>
      <c r="BT76" s="567"/>
      <c r="BU76" s="567"/>
      <c r="BV76" s="567"/>
      <c r="BW76" s="567"/>
      <c r="BX76" s="567"/>
      <c r="BY76" s="567"/>
      <c r="BZ76" s="567"/>
      <c r="CA76" s="567"/>
      <c r="CB76" s="567"/>
      <c r="CC76" s="567"/>
      <c r="CD76" s="567"/>
      <c r="CE76" s="567"/>
      <c r="CF76" s="567"/>
      <c r="CG76" s="567"/>
      <c r="CH76" s="567"/>
      <c r="CI76" s="567"/>
      <c r="CJ76" s="567"/>
      <c r="CK76" s="567"/>
      <c r="CL76" s="567"/>
      <c r="CM76" s="567"/>
      <c r="CN76" s="567"/>
      <c r="CO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  <c r="BS77" s="567"/>
      <c r="BT77" s="567"/>
      <c r="BU77" s="567"/>
      <c r="BV77" s="567"/>
      <c r="BW77" s="567"/>
      <c r="BX77" s="567"/>
      <c r="BY77" s="567"/>
      <c r="BZ77" s="567"/>
      <c r="CA77" s="567"/>
      <c r="CB77" s="567"/>
      <c r="CC77" s="567"/>
      <c r="CD77" s="567"/>
      <c r="CE77" s="567"/>
      <c r="CF77" s="567"/>
      <c r="CG77" s="567"/>
      <c r="CH77" s="567"/>
      <c r="CI77" s="567"/>
      <c r="CJ77" s="567"/>
      <c r="CK77" s="567"/>
      <c r="CL77" s="567"/>
      <c r="CM77" s="567"/>
      <c r="CN77" s="567"/>
      <c r="CO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  <c r="BS78" s="567"/>
      <c r="BT78" s="567"/>
      <c r="BU78" s="567"/>
      <c r="BV78" s="567"/>
      <c r="BW78" s="567"/>
      <c r="BX78" s="567"/>
      <c r="BY78" s="567"/>
      <c r="BZ78" s="567"/>
      <c r="CA78" s="567"/>
      <c r="CB78" s="567"/>
      <c r="CC78" s="567"/>
      <c r="CD78" s="567"/>
      <c r="CE78" s="567"/>
      <c r="CF78" s="567"/>
      <c r="CG78" s="567"/>
      <c r="CH78" s="567"/>
      <c r="CI78" s="567"/>
      <c r="CJ78" s="567"/>
      <c r="CK78" s="567"/>
      <c r="CL78" s="567"/>
      <c r="CM78" s="567"/>
      <c r="CN78" s="567"/>
      <c r="CO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  <c r="BS79" s="567"/>
      <c r="BT79" s="567"/>
      <c r="BU79" s="567"/>
      <c r="BV79" s="567"/>
      <c r="BW79" s="567"/>
      <c r="BX79" s="567"/>
      <c r="BY79" s="567"/>
      <c r="BZ79" s="567"/>
      <c r="CA79" s="567"/>
      <c r="CB79" s="567"/>
      <c r="CC79" s="567"/>
      <c r="CD79" s="567"/>
      <c r="CE79" s="567"/>
      <c r="CF79" s="567"/>
      <c r="CG79" s="567"/>
      <c r="CH79" s="567"/>
      <c r="CI79" s="567"/>
      <c r="CJ79" s="567"/>
      <c r="CK79" s="567"/>
      <c r="CL79" s="567"/>
      <c r="CM79" s="567"/>
      <c r="CN79" s="567"/>
      <c r="CO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BQ80" s="567"/>
      <c r="BR80" s="567"/>
      <c r="BS80" s="567"/>
      <c r="BT80" s="567"/>
      <c r="BU80" s="567"/>
      <c r="BV80" s="567"/>
      <c r="BW80" s="567"/>
      <c r="BX80" s="567"/>
      <c r="BY80" s="567"/>
      <c r="BZ80" s="567"/>
      <c r="CA80" s="567"/>
      <c r="CB80" s="567"/>
      <c r="CC80" s="567"/>
      <c r="CD80" s="567"/>
      <c r="CE80" s="567"/>
      <c r="CF80" s="567"/>
      <c r="CG80" s="567"/>
      <c r="CH80" s="567"/>
      <c r="CI80" s="567"/>
      <c r="CJ80" s="567"/>
      <c r="CK80" s="567"/>
      <c r="CL80" s="567"/>
      <c r="CM80" s="567"/>
      <c r="CN80" s="567"/>
      <c r="CO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  <c r="BS81" s="567"/>
      <c r="BT81" s="567"/>
      <c r="BU81" s="567"/>
      <c r="BV81" s="567"/>
      <c r="BW81" s="567"/>
      <c r="BX81" s="567"/>
      <c r="BY81" s="567"/>
      <c r="BZ81" s="567"/>
      <c r="CA81" s="567"/>
      <c r="CB81" s="567"/>
      <c r="CC81" s="567"/>
      <c r="CD81" s="567"/>
      <c r="CE81" s="567"/>
      <c r="CF81" s="567"/>
      <c r="CG81" s="567"/>
      <c r="CH81" s="567"/>
      <c r="CI81" s="567"/>
      <c r="CJ81" s="567"/>
      <c r="CK81" s="567"/>
      <c r="CL81" s="567"/>
      <c r="CM81" s="567"/>
      <c r="CN81" s="567"/>
      <c r="CO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CB82" s="567"/>
      <c r="CC82" s="567"/>
      <c r="CD82" s="567"/>
      <c r="CE82" s="567"/>
      <c r="CF82" s="567"/>
      <c r="CG82" s="567"/>
      <c r="CH82" s="567"/>
      <c r="CI82" s="567"/>
      <c r="CJ82" s="567"/>
      <c r="CK82" s="567"/>
      <c r="CL82" s="567"/>
      <c r="CM82" s="567"/>
      <c r="CN82" s="567"/>
      <c r="CO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  <c r="BW83" s="567"/>
      <c r="BX83" s="567"/>
      <c r="BY83" s="567"/>
      <c r="BZ83" s="567"/>
      <c r="CA83" s="567"/>
      <c r="CB83" s="567"/>
      <c r="CC83" s="567"/>
      <c r="CD83" s="567"/>
      <c r="CE83" s="567"/>
      <c r="CF83" s="567"/>
      <c r="CG83" s="567"/>
      <c r="CH83" s="567"/>
      <c r="CI83" s="567"/>
      <c r="CJ83" s="567"/>
      <c r="CK83" s="567"/>
      <c r="CL83" s="567"/>
      <c r="CM83" s="567"/>
      <c r="CN83" s="567"/>
      <c r="CO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  <c r="BS84" s="567"/>
      <c r="BT84" s="567"/>
      <c r="BU84" s="567"/>
      <c r="BV84" s="567"/>
      <c r="BW84" s="567"/>
      <c r="BX84" s="567"/>
      <c r="BY84" s="567"/>
      <c r="BZ84" s="567"/>
      <c r="CA84" s="567"/>
      <c r="CB84" s="567"/>
      <c r="CC84" s="567"/>
      <c r="CD84" s="567"/>
      <c r="CE84" s="567"/>
      <c r="CF84" s="567"/>
      <c r="CG84" s="567"/>
      <c r="CH84" s="567"/>
      <c r="CI84" s="567"/>
      <c r="CJ84" s="567"/>
      <c r="CK84" s="567"/>
      <c r="CL84" s="567"/>
      <c r="CM84" s="567"/>
      <c r="CN84" s="567"/>
      <c r="CO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  <c r="BS85" s="567"/>
      <c r="BT85" s="567"/>
      <c r="BU85" s="567"/>
      <c r="BV85" s="567"/>
      <c r="BW85" s="567"/>
      <c r="BX85" s="567"/>
      <c r="BY85" s="567"/>
      <c r="BZ85" s="567"/>
      <c r="CA85" s="567"/>
      <c r="CB85" s="567"/>
      <c r="CC85" s="567"/>
      <c r="CD85" s="567"/>
      <c r="CE85" s="567"/>
      <c r="CF85" s="567"/>
      <c r="CG85" s="567"/>
      <c r="CH85" s="567"/>
      <c r="CI85" s="567"/>
      <c r="CJ85" s="567"/>
      <c r="CK85" s="567"/>
      <c r="CL85" s="567"/>
      <c r="CM85" s="567"/>
      <c r="CN85" s="567"/>
      <c r="CO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  <c r="BS86" s="567"/>
      <c r="BT86" s="567"/>
      <c r="BU86" s="567"/>
      <c r="BV86" s="567"/>
      <c r="BW86" s="567"/>
      <c r="BX86" s="567"/>
      <c r="BY86" s="567"/>
      <c r="BZ86" s="567"/>
      <c r="CA86" s="567"/>
      <c r="CB86" s="567"/>
      <c r="CC86" s="567"/>
      <c r="CD86" s="567"/>
      <c r="CE86" s="567"/>
      <c r="CF86" s="567"/>
      <c r="CG86" s="567"/>
      <c r="CH86" s="567"/>
      <c r="CI86" s="567"/>
      <c r="CJ86" s="567"/>
      <c r="CK86" s="567"/>
      <c r="CL86" s="567"/>
      <c r="CM86" s="567"/>
      <c r="CN86" s="567"/>
      <c r="CO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  <c r="BS87" s="567"/>
      <c r="BT87" s="567"/>
      <c r="BU87" s="567"/>
      <c r="BV87" s="567"/>
      <c r="BW87" s="567"/>
      <c r="BX87" s="567"/>
      <c r="BY87" s="567"/>
      <c r="BZ87" s="567"/>
      <c r="CA87" s="567"/>
      <c r="CB87" s="567"/>
      <c r="CC87" s="567"/>
      <c r="CD87" s="567"/>
      <c r="CE87" s="567"/>
      <c r="CF87" s="567"/>
      <c r="CG87" s="567"/>
      <c r="CH87" s="567"/>
      <c r="CI87" s="567"/>
      <c r="CJ87" s="567"/>
      <c r="CK87" s="567"/>
      <c r="CL87" s="567"/>
      <c r="CM87" s="567"/>
      <c r="CN87" s="567"/>
      <c r="CO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  <c r="BS88" s="567"/>
      <c r="BT88" s="567"/>
      <c r="BU88" s="567"/>
      <c r="BV88" s="567"/>
      <c r="BW88" s="567"/>
      <c r="BX88" s="567"/>
      <c r="BY88" s="567"/>
      <c r="BZ88" s="567"/>
      <c r="CA88" s="567"/>
      <c r="CB88" s="567"/>
      <c r="CC88" s="567"/>
      <c r="CD88" s="567"/>
      <c r="CE88" s="567"/>
      <c r="CF88" s="567"/>
      <c r="CG88" s="567"/>
      <c r="CH88" s="567"/>
      <c r="CI88" s="567"/>
      <c r="CJ88" s="567"/>
      <c r="CK88" s="567"/>
      <c r="CL88" s="567"/>
      <c r="CM88" s="567"/>
      <c r="CN88" s="567"/>
      <c r="CO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  <c r="BS89" s="567"/>
      <c r="BT89" s="567"/>
      <c r="BU89" s="567"/>
      <c r="BV89" s="567"/>
      <c r="BW89" s="567"/>
      <c r="BX89" s="567"/>
      <c r="BY89" s="567"/>
      <c r="BZ89" s="567"/>
      <c r="CA89" s="567"/>
      <c r="CB89" s="567"/>
      <c r="CC89" s="567"/>
      <c r="CD89" s="567"/>
      <c r="CE89" s="567"/>
      <c r="CF89" s="567"/>
      <c r="CG89" s="567"/>
      <c r="CH89" s="567"/>
      <c r="CI89" s="567"/>
      <c r="CJ89" s="567"/>
      <c r="CK89" s="567"/>
      <c r="CL89" s="567"/>
      <c r="CM89" s="567"/>
      <c r="CN89" s="567"/>
      <c r="CO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  <c r="BS90" s="567"/>
      <c r="BT90" s="567"/>
      <c r="BU90" s="567"/>
      <c r="BV90" s="567"/>
      <c r="BW90" s="567"/>
      <c r="BX90" s="567"/>
      <c r="BY90" s="567"/>
      <c r="BZ90" s="567"/>
      <c r="CA90" s="567"/>
      <c r="CB90" s="567"/>
      <c r="CC90" s="567"/>
      <c r="CD90" s="567"/>
      <c r="CE90" s="567"/>
      <c r="CF90" s="567"/>
      <c r="CG90" s="567"/>
      <c r="CH90" s="567"/>
      <c r="CI90" s="567"/>
      <c r="CJ90" s="567"/>
      <c r="CK90" s="567"/>
      <c r="CL90" s="567"/>
      <c r="CM90" s="567"/>
      <c r="CN90" s="567"/>
      <c r="CO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  <c r="BW91" s="567"/>
      <c r="BX91" s="567"/>
      <c r="BY91" s="567"/>
      <c r="BZ91" s="567"/>
      <c r="CA91" s="567"/>
      <c r="CB91" s="567"/>
      <c r="CC91" s="567"/>
      <c r="CD91" s="567"/>
      <c r="CE91" s="567"/>
      <c r="CF91" s="567"/>
      <c r="CG91" s="567"/>
      <c r="CH91" s="567"/>
      <c r="CI91" s="567"/>
      <c r="CJ91" s="567"/>
      <c r="CK91" s="567"/>
      <c r="CL91" s="567"/>
      <c r="CM91" s="567"/>
      <c r="CN91" s="567"/>
      <c r="CO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567"/>
      <c r="CC92" s="567"/>
      <c r="CD92" s="567"/>
      <c r="CE92" s="567"/>
      <c r="CF92" s="567"/>
      <c r="CG92" s="567"/>
      <c r="CH92" s="567"/>
      <c r="CI92" s="567"/>
      <c r="CJ92" s="567"/>
      <c r="CK92" s="567"/>
      <c r="CL92" s="567"/>
      <c r="CM92" s="567"/>
      <c r="CN92" s="567"/>
      <c r="CO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67"/>
      <c r="CE93" s="567"/>
      <c r="CF93" s="567"/>
      <c r="CG93" s="567"/>
      <c r="CH93" s="567"/>
      <c r="CI93" s="567"/>
      <c r="CJ93" s="567"/>
      <c r="CK93" s="567"/>
      <c r="CL93" s="567"/>
      <c r="CM93" s="567"/>
      <c r="CN93" s="567"/>
      <c r="CO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  <c r="CL94" s="567"/>
      <c r="CM94" s="567"/>
      <c r="CN94" s="567"/>
      <c r="CO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  <c r="BW95" s="567"/>
      <c r="BX95" s="567"/>
      <c r="BY95" s="567"/>
      <c r="BZ95" s="567"/>
      <c r="CA95" s="567"/>
      <c r="CB95" s="567"/>
      <c r="CC95" s="567"/>
      <c r="CD95" s="567"/>
      <c r="CE95" s="567"/>
      <c r="CF95" s="567"/>
      <c r="CG95" s="567"/>
      <c r="CH95" s="567"/>
      <c r="CI95" s="567"/>
      <c r="CJ95" s="567"/>
      <c r="CK95" s="567"/>
      <c r="CL95" s="567"/>
      <c r="CM95" s="567"/>
      <c r="CN95" s="567"/>
      <c r="CO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  <c r="BW96" s="567"/>
      <c r="BX96" s="567"/>
      <c r="BY96" s="567"/>
      <c r="BZ96" s="567"/>
      <c r="CA96" s="567"/>
      <c r="CB96" s="567"/>
      <c r="CC96" s="567"/>
      <c r="CD96" s="567"/>
      <c r="CE96" s="567"/>
      <c r="CF96" s="567"/>
      <c r="CG96" s="567"/>
      <c r="CH96" s="567"/>
      <c r="CI96" s="567"/>
      <c r="CJ96" s="567"/>
      <c r="CK96" s="567"/>
      <c r="CL96" s="567"/>
      <c r="CM96" s="567"/>
      <c r="CN96" s="567"/>
      <c r="CO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  <c r="BW97" s="567"/>
      <c r="BX97" s="567"/>
      <c r="BY97" s="567"/>
      <c r="BZ97" s="567"/>
      <c r="CA97" s="567"/>
      <c r="CB97" s="567"/>
      <c r="CC97" s="567"/>
      <c r="CD97" s="567"/>
      <c r="CE97" s="567"/>
      <c r="CF97" s="567"/>
      <c r="CG97" s="567"/>
      <c r="CH97" s="567"/>
      <c r="CI97" s="567"/>
      <c r="CJ97" s="567"/>
      <c r="CK97" s="567"/>
      <c r="CL97" s="567"/>
      <c r="CM97" s="567"/>
      <c r="CN97" s="567"/>
      <c r="CO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  <c r="BW98" s="567"/>
      <c r="BX98" s="567"/>
      <c r="BY98" s="567"/>
      <c r="BZ98" s="567"/>
      <c r="CA98" s="567"/>
      <c r="CB98" s="567"/>
      <c r="CC98" s="567"/>
      <c r="CD98" s="567"/>
      <c r="CE98" s="567"/>
      <c r="CF98" s="567"/>
      <c r="CG98" s="567"/>
      <c r="CH98" s="567"/>
      <c r="CI98" s="567"/>
      <c r="CJ98" s="567"/>
      <c r="CK98" s="567"/>
      <c r="CL98" s="567"/>
      <c r="CM98" s="567"/>
      <c r="CN98" s="567"/>
      <c r="CO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  <c r="BW99" s="567"/>
      <c r="BX99" s="567"/>
      <c r="BY99" s="567"/>
      <c r="BZ99" s="567"/>
      <c r="CA99" s="567"/>
      <c r="CB99" s="567"/>
      <c r="CC99" s="567"/>
      <c r="CD99" s="567"/>
      <c r="CE99" s="567"/>
      <c r="CF99" s="567"/>
      <c r="CG99" s="567"/>
      <c r="CH99" s="567"/>
      <c r="CI99" s="567"/>
      <c r="CJ99" s="567"/>
      <c r="CK99" s="567"/>
      <c r="CL99" s="567"/>
      <c r="CM99" s="567"/>
      <c r="CN99" s="567"/>
      <c r="CO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  <c r="BW100" s="567"/>
      <c r="BX100" s="567"/>
      <c r="BY100" s="567"/>
      <c r="BZ100" s="567"/>
      <c r="CA100" s="567"/>
      <c r="CB100" s="567"/>
      <c r="CC100" s="567"/>
      <c r="CD100" s="567"/>
      <c r="CE100" s="567"/>
      <c r="CF100" s="567"/>
      <c r="CG100" s="567"/>
      <c r="CH100" s="567"/>
      <c r="CI100" s="567"/>
      <c r="CJ100" s="567"/>
      <c r="CK100" s="567"/>
      <c r="CL100" s="567"/>
      <c r="CM100" s="567"/>
      <c r="CN100" s="567"/>
      <c r="CO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  <c r="BW101" s="567"/>
      <c r="BX101" s="567"/>
      <c r="BY101" s="567"/>
      <c r="BZ101" s="567"/>
      <c r="CA101" s="567"/>
      <c r="CB101" s="567"/>
      <c r="CC101" s="567"/>
      <c r="CD101" s="567"/>
      <c r="CE101" s="567"/>
      <c r="CF101" s="567"/>
      <c r="CG101" s="567"/>
      <c r="CH101" s="567"/>
      <c r="CI101" s="567"/>
      <c r="CJ101" s="567"/>
      <c r="CK101" s="567"/>
      <c r="CL101" s="567"/>
      <c r="CM101" s="567"/>
      <c r="CN101" s="567"/>
      <c r="CO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  <c r="BW102" s="567"/>
      <c r="BX102" s="567"/>
      <c r="BY102" s="567"/>
      <c r="BZ102" s="567"/>
      <c r="CA102" s="567"/>
      <c r="CB102" s="567"/>
      <c r="CC102" s="567"/>
      <c r="CD102" s="567"/>
      <c r="CE102" s="567"/>
      <c r="CF102" s="567"/>
      <c r="CG102" s="567"/>
      <c r="CH102" s="567"/>
      <c r="CI102" s="567"/>
      <c r="CJ102" s="567"/>
      <c r="CK102" s="567"/>
      <c r="CL102" s="567"/>
      <c r="CM102" s="567"/>
      <c r="CN102" s="567"/>
      <c r="CO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  <c r="BW103" s="567"/>
      <c r="BX103" s="567"/>
      <c r="BY103" s="567"/>
      <c r="BZ103" s="567"/>
      <c r="CA103" s="567"/>
      <c r="CB103" s="567"/>
      <c r="CC103" s="567"/>
      <c r="CD103" s="567"/>
      <c r="CE103" s="567"/>
      <c r="CF103" s="567"/>
      <c r="CG103" s="567"/>
      <c r="CH103" s="567"/>
      <c r="CI103" s="567"/>
      <c r="CJ103" s="567"/>
      <c r="CK103" s="567"/>
      <c r="CL103" s="567"/>
      <c r="CM103" s="567"/>
      <c r="CN103" s="567"/>
      <c r="CO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  <c r="CL104" s="567"/>
      <c r="CM104" s="567"/>
      <c r="CN104" s="567"/>
      <c r="CO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  <c r="BW105" s="567"/>
      <c r="BX105" s="567"/>
      <c r="BY105" s="567"/>
      <c r="BZ105" s="567"/>
      <c r="CA105" s="567"/>
      <c r="CB105" s="567"/>
      <c r="CC105" s="567"/>
      <c r="CD105" s="567"/>
      <c r="CE105" s="567"/>
      <c r="CF105" s="567"/>
      <c r="CG105" s="567"/>
      <c r="CH105" s="567"/>
      <c r="CI105" s="567"/>
      <c r="CJ105" s="567"/>
      <c r="CK105" s="567"/>
      <c r="CL105" s="567"/>
      <c r="CM105" s="567"/>
      <c r="CN105" s="567"/>
      <c r="CO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  <c r="BW106" s="567"/>
      <c r="BX106" s="567"/>
      <c r="BY106" s="567"/>
      <c r="BZ106" s="567"/>
      <c r="CA106" s="567"/>
      <c r="CB106" s="567"/>
      <c r="CC106" s="567"/>
      <c r="CD106" s="567"/>
      <c r="CE106" s="567"/>
      <c r="CF106" s="567"/>
      <c r="CG106" s="567"/>
      <c r="CH106" s="567"/>
      <c r="CI106" s="567"/>
      <c r="CJ106" s="567"/>
      <c r="CK106" s="567"/>
      <c r="CL106" s="567"/>
      <c r="CM106" s="567"/>
      <c r="CN106" s="567"/>
      <c r="CO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  <c r="BW107" s="567"/>
      <c r="BX107" s="567"/>
      <c r="BY107" s="567"/>
      <c r="BZ107" s="567"/>
      <c r="CA107" s="567"/>
      <c r="CB107" s="567"/>
      <c r="CC107" s="567"/>
      <c r="CD107" s="567"/>
      <c r="CE107" s="567"/>
      <c r="CF107" s="567"/>
      <c r="CG107" s="567"/>
      <c r="CH107" s="567"/>
      <c r="CI107" s="567"/>
      <c r="CJ107" s="567"/>
      <c r="CK107" s="567"/>
      <c r="CL107" s="567"/>
      <c r="CM107" s="567"/>
      <c r="CN107" s="567"/>
      <c r="CO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  <c r="BW108" s="567"/>
      <c r="BX108" s="567"/>
      <c r="BY108" s="567"/>
      <c r="BZ108" s="567"/>
      <c r="CA108" s="567"/>
      <c r="CB108" s="567"/>
      <c r="CC108" s="567"/>
      <c r="CD108" s="567"/>
      <c r="CE108" s="567"/>
      <c r="CF108" s="567"/>
      <c r="CG108" s="567"/>
      <c r="CH108" s="567"/>
      <c r="CI108" s="567"/>
      <c r="CJ108" s="567"/>
      <c r="CK108" s="567"/>
      <c r="CL108" s="567"/>
      <c r="CM108" s="567"/>
      <c r="CN108" s="567"/>
      <c r="CO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  <c r="BW109" s="567"/>
      <c r="BX109" s="567"/>
      <c r="BY109" s="567"/>
      <c r="BZ109" s="567"/>
      <c r="CA109" s="567"/>
      <c r="CB109" s="567"/>
      <c r="CC109" s="567"/>
      <c r="CD109" s="567"/>
      <c r="CE109" s="567"/>
      <c r="CF109" s="567"/>
      <c r="CG109" s="567"/>
      <c r="CH109" s="567"/>
      <c r="CI109" s="567"/>
      <c r="CJ109" s="567"/>
      <c r="CK109" s="567"/>
      <c r="CL109" s="567"/>
      <c r="CM109" s="567"/>
      <c r="CN109" s="567"/>
      <c r="CO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  <c r="BW110" s="567"/>
      <c r="BX110" s="567"/>
      <c r="BY110" s="567"/>
      <c r="BZ110" s="567"/>
      <c r="CA110" s="567"/>
      <c r="CB110" s="567"/>
      <c r="CC110" s="567"/>
      <c r="CD110" s="567"/>
      <c r="CE110" s="567"/>
      <c r="CF110" s="567"/>
      <c r="CG110" s="567"/>
      <c r="CH110" s="567"/>
      <c r="CI110" s="567"/>
      <c r="CJ110" s="567"/>
      <c r="CK110" s="567"/>
      <c r="CL110" s="567"/>
      <c r="CM110" s="567"/>
      <c r="CN110" s="567"/>
      <c r="CO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  <c r="BW111" s="567"/>
      <c r="BX111" s="567"/>
      <c r="BY111" s="567"/>
      <c r="BZ111" s="567"/>
      <c r="CA111" s="567"/>
      <c r="CB111" s="567"/>
      <c r="CC111" s="567"/>
      <c r="CD111" s="567"/>
      <c r="CE111" s="567"/>
      <c r="CF111" s="567"/>
      <c r="CG111" s="567"/>
      <c r="CH111" s="567"/>
      <c r="CI111" s="567"/>
      <c r="CJ111" s="567"/>
      <c r="CK111" s="567"/>
      <c r="CL111" s="567"/>
      <c r="CM111" s="567"/>
      <c r="CN111" s="567"/>
      <c r="CO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  <c r="BW112" s="567"/>
      <c r="BX112" s="567"/>
      <c r="BY112" s="567"/>
      <c r="BZ112" s="567"/>
      <c r="CA112" s="567"/>
      <c r="CB112" s="567"/>
      <c r="CC112" s="567"/>
      <c r="CD112" s="567"/>
      <c r="CE112" s="567"/>
      <c r="CF112" s="567"/>
      <c r="CG112" s="567"/>
      <c r="CH112" s="567"/>
      <c r="CI112" s="567"/>
      <c r="CJ112" s="567"/>
      <c r="CK112" s="567"/>
      <c r="CL112" s="567"/>
      <c r="CM112" s="567"/>
      <c r="CN112" s="567"/>
      <c r="CO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  <c r="BW113" s="567"/>
      <c r="BX113" s="567"/>
      <c r="BY113" s="567"/>
      <c r="BZ113" s="567"/>
      <c r="CA113" s="567"/>
      <c r="CB113" s="567"/>
      <c r="CC113" s="567"/>
      <c r="CD113" s="567"/>
      <c r="CE113" s="567"/>
      <c r="CF113" s="567"/>
      <c r="CG113" s="567"/>
      <c r="CH113" s="567"/>
      <c r="CI113" s="567"/>
      <c r="CJ113" s="567"/>
      <c r="CK113" s="567"/>
      <c r="CL113" s="567"/>
      <c r="CM113" s="567"/>
      <c r="CN113" s="567"/>
      <c r="CO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  <c r="BW114" s="567"/>
      <c r="BX114" s="567"/>
      <c r="BY114" s="567"/>
      <c r="BZ114" s="567"/>
      <c r="CA114" s="567"/>
      <c r="CB114" s="567"/>
      <c r="CC114" s="567"/>
      <c r="CD114" s="567"/>
      <c r="CE114" s="567"/>
      <c r="CF114" s="567"/>
      <c r="CG114" s="567"/>
      <c r="CH114" s="567"/>
      <c r="CI114" s="567"/>
      <c r="CJ114" s="567"/>
      <c r="CK114" s="567"/>
      <c r="CL114" s="567"/>
      <c r="CM114" s="567"/>
      <c r="CN114" s="567"/>
      <c r="CO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  <c r="BW115" s="567"/>
      <c r="BX115" s="567"/>
      <c r="BY115" s="567"/>
      <c r="BZ115" s="567"/>
      <c r="CA115" s="567"/>
      <c r="CB115" s="567"/>
      <c r="CC115" s="567"/>
      <c r="CD115" s="567"/>
      <c r="CE115" s="567"/>
      <c r="CF115" s="567"/>
      <c r="CG115" s="567"/>
      <c r="CH115" s="567"/>
      <c r="CI115" s="567"/>
      <c r="CJ115" s="567"/>
      <c r="CK115" s="567"/>
      <c r="CL115" s="567"/>
      <c r="CM115" s="567"/>
      <c r="CN115" s="567"/>
      <c r="CO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  <c r="BW116" s="567"/>
      <c r="BX116" s="567"/>
      <c r="BY116" s="567"/>
      <c r="BZ116" s="567"/>
      <c r="CA116" s="567"/>
      <c r="CB116" s="567"/>
      <c r="CC116" s="567"/>
      <c r="CD116" s="567"/>
      <c r="CE116" s="567"/>
      <c r="CF116" s="567"/>
      <c r="CG116" s="567"/>
      <c r="CH116" s="567"/>
      <c r="CI116" s="567"/>
      <c r="CJ116" s="567"/>
      <c r="CK116" s="567"/>
      <c r="CL116" s="567"/>
      <c r="CM116" s="567"/>
      <c r="CN116" s="567"/>
      <c r="CO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  <c r="BW117" s="567"/>
      <c r="BX117" s="567"/>
      <c r="BY117" s="567"/>
      <c r="BZ117" s="567"/>
      <c r="CA117" s="567"/>
      <c r="CB117" s="567"/>
      <c r="CC117" s="567"/>
      <c r="CD117" s="567"/>
      <c r="CE117" s="567"/>
      <c r="CF117" s="567"/>
      <c r="CG117" s="567"/>
      <c r="CH117" s="567"/>
      <c r="CI117" s="567"/>
      <c r="CJ117" s="567"/>
      <c r="CK117" s="567"/>
      <c r="CL117" s="567"/>
      <c r="CM117" s="567"/>
      <c r="CN117" s="567"/>
      <c r="CO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  <c r="CL118" s="567"/>
      <c r="CM118" s="567"/>
      <c r="CN118" s="567"/>
      <c r="CO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  <c r="BW119" s="567"/>
      <c r="BX119" s="567"/>
      <c r="BY119" s="567"/>
      <c r="BZ119" s="567"/>
      <c r="CA119" s="567"/>
      <c r="CB119" s="567"/>
      <c r="CC119" s="567"/>
      <c r="CD119" s="567"/>
      <c r="CE119" s="567"/>
      <c r="CF119" s="567"/>
      <c r="CG119" s="567"/>
      <c r="CH119" s="567"/>
      <c r="CI119" s="567"/>
      <c r="CJ119" s="567"/>
      <c r="CK119" s="567"/>
      <c r="CL119" s="567"/>
      <c r="CM119" s="567"/>
      <c r="CN119" s="567"/>
      <c r="CO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  <c r="BW120" s="567"/>
      <c r="BX120" s="567"/>
      <c r="BY120" s="567"/>
      <c r="BZ120" s="567"/>
      <c r="CA120" s="567"/>
      <c r="CB120" s="567"/>
      <c r="CC120" s="567"/>
      <c r="CD120" s="567"/>
      <c r="CE120" s="567"/>
      <c r="CF120" s="567"/>
      <c r="CG120" s="567"/>
      <c r="CH120" s="567"/>
      <c r="CI120" s="567"/>
      <c r="CJ120" s="567"/>
      <c r="CK120" s="567"/>
      <c r="CL120" s="567"/>
      <c r="CM120" s="567"/>
      <c r="CN120" s="567"/>
      <c r="CO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  <c r="BW121" s="567"/>
      <c r="BX121" s="567"/>
      <c r="BY121" s="567"/>
      <c r="BZ121" s="567"/>
      <c r="CA121" s="567"/>
      <c r="CB121" s="567"/>
      <c r="CC121" s="567"/>
      <c r="CD121" s="567"/>
      <c r="CE121" s="567"/>
      <c r="CF121" s="567"/>
      <c r="CG121" s="567"/>
      <c r="CH121" s="567"/>
      <c r="CI121" s="567"/>
      <c r="CJ121" s="567"/>
      <c r="CK121" s="567"/>
      <c r="CL121" s="567"/>
      <c r="CM121" s="567"/>
      <c r="CN121" s="567"/>
      <c r="CO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  <c r="BW122" s="567"/>
      <c r="BX122" s="567"/>
      <c r="BY122" s="567"/>
      <c r="BZ122" s="567"/>
      <c r="CA122" s="567"/>
      <c r="CB122" s="567"/>
      <c r="CC122" s="567"/>
      <c r="CD122" s="567"/>
      <c r="CE122" s="567"/>
      <c r="CF122" s="567"/>
      <c r="CG122" s="567"/>
      <c r="CH122" s="567"/>
      <c r="CI122" s="567"/>
      <c r="CJ122" s="567"/>
      <c r="CK122" s="567"/>
      <c r="CL122" s="567"/>
      <c r="CM122" s="567"/>
      <c r="CN122" s="567"/>
      <c r="CO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  <c r="BW123" s="567"/>
      <c r="BX123" s="567"/>
      <c r="BY123" s="567"/>
      <c r="BZ123" s="567"/>
      <c r="CA123" s="567"/>
      <c r="CB123" s="567"/>
      <c r="CC123" s="567"/>
      <c r="CD123" s="567"/>
      <c r="CE123" s="567"/>
      <c r="CF123" s="567"/>
      <c r="CG123" s="567"/>
      <c r="CH123" s="567"/>
      <c r="CI123" s="567"/>
      <c r="CJ123" s="567"/>
      <c r="CK123" s="567"/>
      <c r="CL123" s="567"/>
      <c r="CM123" s="567"/>
      <c r="CN123" s="567"/>
      <c r="CO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  <c r="BW124" s="567"/>
      <c r="BX124" s="567"/>
      <c r="BY124" s="567"/>
      <c r="BZ124" s="567"/>
      <c r="CA124" s="567"/>
      <c r="CB124" s="567"/>
      <c r="CC124" s="567"/>
      <c r="CD124" s="567"/>
      <c r="CE124" s="567"/>
      <c r="CF124" s="567"/>
      <c r="CG124" s="567"/>
      <c r="CH124" s="567"/>
      <c r="CI124" s="567"/>
      <c r="CJ124" s="567"/>
      <c r="CK124" s="567"/>
      <c r="CL124" s="567"/>
      <c r="CM124" s="567"/>
      <c r="CN124" s="567"/>
      <c r="CO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  <c r="BW125" s="567"/>
      <c r="BX125" s="567"/>
      <c r="BY125" s="567"/>
      <c r="BZ125" s="567"/>
      <c r="CA125" s="567"/>
      <c r="CB125" s="567"/>
      <c r="CC125" s="567"/>
      <c r="CD125" s="567"/>
      <c r="CE125" s="567"/>
      <c r="CF125" s="567"/>
      <c r="CG125" s="567"/>
      <c r="CH125" s="567"/>
      <c r="CI125" s="567"/>
      <c r="CJ125" s="567"/>
      <c r="CK125" s="567"/>
      <c r="CL125" s="567"/>
      <c r="CM125" s="567"/>
      <c r="CN125" s="567"/>
      <c r="CO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  <c r="BW126" s="567"/>
      <c r="BX126" s="567"/>
      <c r="BY126" s="567"/>
      <c r="BZ126" s="567"/>
      <c r="CA126" s="567"/>
      <c r="CB126" s="567"/>
      <c r="CC126" s="567"/>
      <c r="CD126" s="567"/>
      <c r="CE126" s="567"/>
      <c r="CF126" s="567"/>
      <c r="CG126" s="567"/>
      <c r="CH126" s="567"/>
      <c r="CI126" s="567"/>
      <c r="CJ126" s="567"/>
      <c r="CK126" s="567"/>
      <c r="CL126" s="567"/>
      <c r="CM126" s="567"/>
      <c r="CN126" s="567"/>
      <c r="CO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  <c r="BW127" s="567"/>
      <c r="BX127" s="567"/>
      <c r="BY127" s="567"/>
      <c r="BZ127" s="567"/>
      <c r="CA127" s="567"/>
      <c r="CB127" s="567"/>
      <c r="CC127" s="567"/>
      <c r="CD127" s="567"/>
      <c r="CE127" s="567"/>
      <c r="CF127" s="567"/>
      <c r="CG127" s="567"/>
      <c r="CH127" s="567"/>
      <c r="CI127" s="567"/>
      <c r="CJ127" s="567"/>
      <c r="CK127" s="567"/>
      <c r="CL127" s="567"/>
      <c r="CM127" s="567"/>
      <c r="CN127" s="567"/>
      <c r="CO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567"/>
      <c r="CI128" s="567"/>
      <c r="CJ128" s="567"/>
      <c r="CK128" s="567"/>
      <c r="CL128" s="567"/>
      <c r="CM128" s="567"/>
      <c r="CN128" s="567"/>
      <c r="CO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  <c r="CL129" s="567"/>
      <c r="CM129" s="567"/>
      <c r="CN129" s="567"/>
      <c r="CO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  <c r="BW130" s="567"/>
      <c r="BX130" s="567"/>
      <c r="BY130" s="567"/>
      <c r="BZ130" s="567"/>
      <c r="CA130" s="567"/>
      <c r="CB130" s="567"/>
      <c r="CC130" s="567"/>
      <c r="CD130" s="567"/>
      <c r="CE130" s="567"/>
      <c r="CF130" s="567"/>
      <c r="CG130" s="567"/>
      <c r="CH130" s="567"/>
      <c r="CI130" s="567"/>
      <c r="CJ130" s="567"/>
      <c r="CK130" s="567"/>
      <c r="CL130" s="567"/>
      <c r="CM130" s="567"/>
      <c r="CN130" s="567"/>
      <c r="CO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  <c r="BW131" s="567"/>
      <c r="BX131" s="567"/>
      <c r="BY131" s="567"/>
      <c r="BZ131" s="567"/>
      <c r="CA131" s="567"/>
      <c r="CB131" s="567"/>
      <c r="CC131" s="567"/>
      <c r="CD131" s="567"/>
      <c r="CE131" s="567"/>
      <c r="CF131" s="567"/>
      <c r="CG131" s="567"/>
      <c r="CH131" s="567"/>
      <c r="CI131" s="567"/>
      <c r="CJ131" s="567"/>
      <c r="CK131" s="567"/>
      <c r="CL131" s="567"/>
      <c r="CM131" s="567"/>
      <c r="CN131" s="567"/>
      <c r="CO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  <c r="BW132" s="567"/>
      <c r="BX132" s="567"/>
      <c r="BY132" s="567"/>
      <c r="BZ132" s="567"/>
      <c r="CA132" s="567"/>
      <c r="CB132" s="567"/>
      <c r="CC132" s="567"/>
      <c r="CD132" s="567"/>
      <c r="CE132" s="567"/>
      <c r="CF132" s="567"/>
      <c r="CG132" s="567"/>
      <c r="CH132" s="567"/>
      <c r="CI132" s="567"/>
      <c r="CJ132" s="567"/>
      <c r="CK132" s="567"/>
      <c r="CL132" s="567"/>
      <c r="CM132" s="567"/>
      <c r="CN132" s="567"/>
      <c r="CO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  <c r="BW133" s="567"/>
      <c r="BX133" s="567"/>
      <c r="BY133" s="567"/>
      <c r="BZ133" s="567"/>
      <c r="CA133" s="567"/>
      <c r="CB133" s="567"/>
      <c r="CC133" s="567"/>
      <c r="CD133" s="567"/>
      <c r="CE133" s="567"/>
      <c r="CF133" s="567"/>
      <c r="CG133" s="567"/>
      <c r="CH133" s="567"/>
      <c r="CI133" s="567"/>
      <c r="CJ133" s="567"/>
      <c r="CK133" s="567"/>
      <c r="CL133" s="567"/>
      <c r="CM133" s="567"/>
      <c r="CN133" s="567"/>
      <c r="CO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  <c r="BW134" s="567"/>
      <c r="BX134" s="567"/>
      <c r="BY134" s="567"/>
      <c r="BZ134" s="567"/>
      <c r="CA134" s="567"/>
      <c r="CB134" s="567"/>
      <c r="CC134" s="567"/>
      <c r="CD134" s="567"/>
      <c r="CE134" s="567"/>
      <c r="CF134" s="567"/>
      <c r="CG134" s="567"/>
      <c r="CH134" s="567"/>
      <c r="CI134" s="567"/>
      <c r="CJ134" s="567"/>
      <c r="CK134" s="567"/>
      <c r="CL134" s="567"/>
      <c r="CM134" s="567"/>
      <c r="CN134" s="567"/>
      <c r="CO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  <c r="BW135" s="567"/>
      <c r="BX135" s="567"/>
      <c r="BY135" s="567"/>
      <c r="BZ135" s="567"/>
      <c r="CA135" s="567"/>
      <c r="CB135" s="567"/>
      <c r="CC135" s="567"/>
      <c r="CD135" s="567"/>
      <c r="CE135" s="567"/>
      <c r="CF135" s="567"/>
      <c r="CG135" s="567"/>
      <c r="CH135" s="567"/>
      <c r="CI135" s="567"/>
      <c r="CJ135" s="567"/>
      <c r="CK135" s="567"/>
      <c r="CL135" s="567"/>
      <c r="CM135" s="567"/>
      <c r="CN135" s="567"/>
      <c r="CO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  <c r="BW136" s="567"/>
      <c r="BX136" s="567"/>
      <c r="BY136" s="567"/>
      <c r="BZ136" s="567"/>
      <c r="CA136" s="567"/>
      <c r="CB136" s="567"/>
      <c r="CC136" s="567"/>
      <c r="CD136" s="567"/>
      <c r="CE136" s="567"/>
      <c r="CF136" s="567"/>
      <c r="CG136" s="567"/>
      <c r="CH136" s="567"/>
      <c r="CI136" s="567"/>
      <c r="CJ136" s="567"/>
      <c r="CK136" s="567"/>
      <c r="CL136" s="567"/>
      <c r="CM136" s="567"/>
      <c r="CN136" s="567"/>
      <c r="CO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  <c r="BW137" s="567"/>
      <c r="BX137" s="567"/>
      <c r="BY137" s="567"/>
      <c r="BZ137" s="567"/>
      <c r="CA137" s="567"/>
      <c r="CB137" s="567"/>
      <c r="CC137" s="567"/>
      <c r="CD137" s="567"/>
      <c r="CE137" s="567"/>
      <c r="CF137" s="567"/>
      <c r="CG137" s="567"/>
      <c r="CH137" s="567"/>
      <c r="CI137" s="567"/>
      <c r="CJ137" s="567"/>
      <c r="CK137" s="567"/>
      <c r="CL137" s="567"/>
      <c r="CM137" s="567"/>
      <c r="CN137" s="567"/>
      <c r="CO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  <c r="BW138" s="567"/>
      <c r="BX138" s="567"/>
      <c r="BY138" s="567"/>
      <c r="BZ138" s="567"/>
      <c r="CA138" s="567"/>
      <c r="CB138" s="567"/>
      <c r="CC138" s="567"/>
      <c r="CD138" s="567"/>
      <c r="CE138" s="567"/>
      <c r="CF138" s="567"/>
      <c r="CG138" s="567"/>
      <c r="CH138" s="567"/>
      <c r="CI138" s="567"/>
      <c r="CJ138" s="567"/>
      <c r="CK138" s="567"/>
      <c r="CL138" s="567"/>
      <c r="CM138" s="567"/>
      <c r="CN138" s="567"/>
      <c r="CO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  <c r="BW139" s="567"/>
      <c r="BX139" s="567"/>
      <c r="BY139" s="567"/>
      <c r="BZ139" s="567"/>
      <c r="CA139" s="567"/>
      <c r="CB139" s="567"/>
      <c r="CC139" s="567"/>
      <c r="CD139" s="567"/>
      <c r="CE139" s="567"/>
      <c r="CF139" s="567"/>
      <c r="CG139" s="567"/>
      <c r="CH139" s="567"/>
      <c r="CI139" s="567"/>
      <c r="CJ139" s="567"/>
      <c r="CK139" s="567"/>
      <c r="CL139" s="567"/>
      <c r="CM139" s="567"/>
      <c r="CN139" s="567"/>
      <c r="CO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  <c r="BW140" s="567"/>
      <c r="BX140" s="567"/>
      <c r="BY140" s="567"/>
      <c r="BZ140" s="567"/>
      <c r="CA140" s="567"/>
      <c r="CB140" s="567"/>
      <c r="CC140" s="567"/>
      <c r="CD140" s="567"/>
      <c r="CE140" s="567"/>
      <c r="CF140" s="567"/>
      <c r="CG140" s="567"/>
      <c r="CH140" s="567"/>
      <c r="CI140" s="567"/>
      <c r="CJ140" s="567"/>
      <c r="CK140" s="567"/>
      <c r="CL140" s="567"/>
      <c r="CM140" s="567"/>
      <c r="CN140" s="567"/>
      <c r="CO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  <c r="BW141" s="567"/>
      <c r="BX141" s="567"/>
      <c r="BY141" s="567"/>
      <c r="BZ141" s="567"/>
      <c r="CA141" s="567"/>
      <c r="CB141" s="567"/>
      <c r="CC141" s="567"/>
      <c r="CD141" s="567"/>
      <c r="CE141" s="567"/>
      <c r="CF141" s="567"/>
      <c r="CG141" s="567"/>
      <c r="CH141" s="567"/>
      <c r="CI141" s="567"/>
      <c r="CJ141" s="567"/>
      <c r="CK141" s="567"/>
      <c r="CL141" s="567"/>
      <c r="CM141" s="567"/>
      <c r="CN141" s="567"/>
      <c r="CO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  <c r="BW142" s="567"/>
      <c r="BX142" s="567"/>
      <c r="BY142" s="567"/>
      <c r="BZ142" s="567"/>
      <c r="CA142" s="567"/>
      <c r="CB142" s="567"/>
      <c r="CC142" s="567"/>
      <c r="CD142" s="567"/>
      <c r="CE142" s="567"/>
      <c r="CF142" s="567"/>
      <c r="CG142" s="567"/>
      <c r="CH142" s="567"/>
      <c r="CI142" s="567"/>
      <c r="CJ142" s="567"/>
      <c r="CK142" s="567"/>
      <c r="CL142" s="567"/>
      <c r="CM142" s="567"/>
      <c r="CN142" s="567"/>
      <c r="CO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  <c r="BW143" s="567"/>
      <c r="BX143" s="567"/>
      <c r="BY143" s="567"/>
      <c r="BZ143" s="567"/>
      <c r="CA143" s="567"/>
      <c r="CB143" s="567"/>
      <c r="CC143" s="567"/>
      <c r="CD143" s="567"/>
      <c r="CE143" s="567"/>
      <c r="CF143" s="567"/>
      <c r="CG143" s="567"/>
      <c r="CH143" s="567"/>
      <c r="CI143" s="567"/>
      <c r="CJ143" s="567"/>
      <c r="CK143" s="567"/>
      <c r="CL143" s="567"/>
      <c r="CM143" s="567"/>
      <c r="CN143" s="567"/>
      <c r="CO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  <c r="BW144" s="567"/>
      <c r="BX144" s="567"/>
      <c r="BY144" s="567"/>
      <c r="BZ144" s="567"/>
      <c r="CA144" s="567"/>
      <c r="CB144" s="567"/>
      <c r="CC144" s="567"/>
      <c r="CD144" s="567"/>
      <c r="CE144" s="567"/>
      <c r="CF144" s="567"/>
      <c r="CG144" s="567"/>
      <c r="CH144" s="567"/>
      <c r="CI144" s="567"/>
      <c r="CJ144" s="567"/>
      <c r="CK144" s="567"/>
      <c r="CL144" s="567"/>
      <c r="CM144" s="567"/>
      <c r="CN144" s="567"/>
      <c r="CO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  <c r="BW145" s="567"/>
      <c r="BX145" s="567"/>
      <c r="BY145" s="567"/>
      <c r="BZ145" s="567"/>
      <c r="CA145" s="567"/>
      <c r="CB145" s="567"/>
      <c r="CC145" s="567"/>
      <c r="CD145" s="567"/>
      <c r="CE145" s="567"/>
      <c r="CF145" s="567"/>
      <c r="CG145" s="567"/>
      <c r="CH145" s="567"/>
      <c r="CI145" s="567"/>
      <c r="CJ145" s="567"/>
      <c r="CK145" s="567"/>
      <c r="CL145" s="567"/>
      <c r="CM145" s="567"/>
      <c r="CN145" s="567"/>
      <c r="CO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  <c r="BW146" s="567"/>
      <c r="BX146" s="567"/>
      <c r="BY146" s="567"/>
      <c r="BZ146" s="567"/>
      <c r="CA146" s="567"/>
      <c r="CB146" s="567"/>
      <c r="CC146" s="567"/>
      <c r="CD146" s="567"/>
      <c r="CE146" s="567"/>
      <c r="CF146" s="567"/>
      <c r="CG146" s="567"/>
      <c r="CH146" s="567"/>
      <c r="CI146" s="567"/>
      <c r="CJ146" s="567"/>
      <c r="CK146" s="567"/>
      <c r="CL146" s="567"/>
      <c r="CM146" s="567"/>
      <c r="CN146" s="567"/>
      <c r="CO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  <c r="BW147" s="567"/>
      <c r="BX147" s="567"/>
      <c r="BY147" s="567"/>
      <c r="BZ147" s="567"/>
      <c r="CA147" s="567"/>
      <c r="CB147" s="567"/>
      <c r="CC147" s="567"/>
      <c r="CD147" s="567"/>
      <c r="CE147" s="567"/>
      <c r="CF147" s="567"/>
      <c r="CG147" s="567"/>
      <c r="CH147" s="567"/>
      <c r="CI147" s="567"/>
      <c r="CJ147" s="567"/>
      <c r="CK147" s="567"/>
      <c r="CL147" s="567"/>
      <c r="CM147" s="567"/>
      <c r="CN147" s="567"/>
      <c r="CO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  <c r="BW148" s="567"/>
      <c r="BX148" s="567"/>
      <c r="BY148" s="567"/>
      <c r="BZ148" s="567"/>
      <c r="CA148" s="567"/>
      <c r="CB148" s="567"/>
      <c r="CC148" s="567"/>
      <c r="CD148" s="567"/>
      <c r="CE148" s="567"/>
      <c r="CF148" s="567"/>
      <c r="CG148" s="567"/>
      <c r="CH148" s="567"/>
      <c r="CI148" s="567"/>
      <c r="CJ148" s="567"/>
      <c r="CK148" s="567"/>
      <c r="CL148" s="567"/>
      <c r="CM148" s="567"/>
      <c r="CN148" s="567"/>
      <c r="CO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  <c r="BW149" s="567"/>
      <c r="BX149" s="567"/>
      <c r="BY149" s="567"/>
      <c r="BZ149" s="567"/>
      <c r="CA149" s="567"/>
      <c r="CB149" s="567"/>
      <c r="CC149" s="567"/>
      <c r="CD149" s="567"/>
      <c r="CE149" s="567"/>
      <c r="CF149" s="567"/>
      <c r="CG149" s="567"/>
      <c r="CH149" s="567"/>
      <c r="CI149" s="567"/>
      <c r="CJ149" s="567"/>
      <c r="CK149" s="567"/>
      <c r="CL149" s="567"/>
      <c r="CM149" s="567"/>
      <c r="CN149" s="567"/>
      <c r="CO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  <c r="BW150" s="567"/>
      <c r="BX150" s="567"/>
      <c r="BY150" s="567"/>
      <c r="BZ150" s="567"/>
      <c r="CA150" s="567"/>
      <c r="CB150" s="567"/>
      <c r="CC150" s="567"/>
      <c r="CD150" s="567"/>
      <c r="CE150" s="567"/>
      <c r="CF150" s="567"/>
      <c r="CG150" s="567"/>
      <c r="CH150" s="567"/>
      <c r="CI150" s="567"/>
      <c r="CJ150" s="567"/>
      <c r="CK150" s="567"/>
      <c r="CL150" s="567"/>
      <c r="CM150" s="567"/>
      <c r="CN150" s="567"/>
      <c r="CO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  <c r="BW151" s="567"/>
      <c r="BX151" s="567"/>
      <c r="BY151" s="567"/>
      <c r="BZ151" s="567"/>
      <c r="CA151" s="567"/>
      <c r="CB151" s="567"/>
      <c r="CC151" s="567"/>
      <c r="CD151" s="567"/>
      <c r="CE151" s="567"/>
      <c r="CF151" s="567"/>
      <c r="CG151" s="567"/>
      <c r="CH151" s="567"/>
      <c r="CI151" s="567"/>
      <c r="CJ151" s="567"/>
      <c r="CK151" s="567"/>
      <c r="CL151" s="567"/>
      <c r="CM151" s="567"/>
      <c r="CN151" s="567"/>
      <c r="CO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  <c r="BW152" s="567"/>
      <c r="BX152" s="567"/>
      <c r="BY152" s="567"/>
      <c r="BZ152" s="567"/>
      <c r="CA152" s="567"/>
      <c r="CB152" s="567"/>
      <c r="CC152" s="567"/>
      <c r="CD152" s="567"/>
      <c r="CE152" s="567"/>
      <c r="CF152" s="567"/>
      <c r="CG152" s="567"/>
      <c r="CH152" s="567"/>
      <c r="CI152" s="567"/>
      <c r="CJ152" s="567"/>
      <c r="CK152" s="567"/>
      <c r="CL152" s="567"/>
      <c r="CM152" s="567"/>
      <c r="CN152" s="567"/>
      <c r="CO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  <c r="BW153" s="567"/>
      <c r="BX153" s="567"/>
      <c r="BY153" s="567"/>
      <c r="BZ153" s="567"/>
      <c r="CA153" s="567"/>
      <c r="CB153" s="567"/>
      <c r="CC153" s="567"/>
      <c r="CD153" s="567"/>
      <c r="CE153" s="567"/>
      <c r="CF153" s="567"/>
      <c r="CG153" s="567"/>
      <c r="CH153" s="567"/>
      <c r="CI153" s="567"/>
      <c r="CJ153" s="567"/>
      <c r="CK153" s="567"/>
      <c r="CL153" s="567"/>
      <c r="CM153" s="567"/>
      <c r="CN153" s="567"/>
      <c r="CO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  <c r="BW154" s="567"/>
      <c r="BX154" s="567"/>
      <c r="BY154" s="567"/>
      <c r="BZ154" s="567"/>
      <c r="CA154" s="567"/>
      <c r="CB154" s="567"/>
      <c r="CC154" s="567"/>
      <c r="CD154" s="567"/>
      <c r="CE154" s="567"/>
      <c r="CF154" s="567"/>
      <c r="CG154" s="567"/>
      <c r="CH154" s="567"/>
      <c r="CI154" s="567"/>
      <c r="CJ154" s="567"/>
      <c r="CK154" s="567"/>
      <c r="CL154" s="567"/>
      <c r="CM154" s="567"/>
      <c r="CN154" s="567"/>
      <c r="CO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  <c r="BW155" s="567"/>
      <c r="BX155" s="567"/>
      <c r="BY155" s="567"/>
      <c r="BZ155" s="567"/>
      <c r="CA155" s="567"/>
      <c r="CB155" s="567"/>
      <c r="CC155" s="567"/>
      <c r="CD155" s="567"/>
      <c r="CE155" s="567"/>
      <c r="CF155" s="567"/>
      <c r="CG155" s="567"/>
      <c r="CH155" s="567"/>
      <c r="CI155" s="567"/>
      <c r="CJ155" s="567"/>
      <c r="CK155" s="567"/>
      <c r="CL155" s="567"/>
      <c r="CM155" s="567"/>
      <c r="CN155" s="567"/>
      <c r="CO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  <c r="BW156" s="567"/>
      <c r="BX156" s="567"/>
      <c r="BY156" s="567"/>
      <c r="BZ156" s="567"/>
      <c r="CA156" s="567"/>
      <c r="CB156" s="567"/>
      <c r="CC156" s="567"/>
      <c r="CD156" s="567"/>
      <c r="CE156" s="567"/>
      <c r="CF156" s="567"/>
      <c r="CG156" s="567"/>
      <c r="CH156" s="567"/>
      <c r="CI156" s="567"/>
      <c r="CJ156" s="567"/>
      <c r="CK156" s="567"/>
      <c r="CL156" s="567"/>
      <c r="CM156" s="567"/>
      <c r="CN156" s="567"/>
      <c r="CO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  <c r="BW157" s="567"/>
      <c r="BX157" s="567"/>
      <c r="BY157" s="567"/>
      <c r="BZ157" s="567"/>
      <c r="CA157" s="567"/>
      <c r="CB157" s="567"/>
      <c r="CC157" s="567"/>
      <c r="CD157" s="567"/>
      <c r="CE157" s="567"/>
      <c r="CF157" s="567"/>
      <c r="CG157" s="567"/>
      <c r="CH157" s="567"/>
      <c r="CI157" s="567"/>
      <c r="CJ157" s="567"/>
      <c r="CK157" s="567"/>
      <c r="CL157" s="567"/>
      <c r="CM157" s="567"/>
      <c r="CN157" s="567"/>
      <c r="CO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  <c r="BW158" s="567"/>
      <c r="BX158" s="567"/>
      <c r="BY158" s="567"/>
      <c r="BZ158" s="567"/>
      <c r="CA158" s="567"/>
      <c r="CB158" s="567"/>
      <c r="CC158" s="567"/>
      <c r="CD158" s="567"/>
      <c r="CE158" s="567"/>
      <c r="CF158" s="567"/>
      <c r="CG158" s="567"/>
      <c r="CH158" s="567"/>
      <c r="CI158" s="567"/>
      <c r="CJ158" s="567"/>
      <c r="CK158" s="567"/>
      <c r="CL158" s="567"/>
      <c r="CM158" s="567"/>
      <c r="CN158" s="567"/>
      <c r="CO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  <c r="BW159" s="567"/>
      <c r="BX159" s="567"/>
      <c r="BY159" s="567"/>
      <c r="BZ159" s="567"/>
      <c r="CA159" s="567"/>
      <c r="CB159" s="567"/>
      <c r="CC159" s="567"/>
      <c r="CD159" s="567"/>
      <c r="CE159" s="567"/>
      <c r="CF159" s="567"/>
      <c r="CG159" s="567"/>
      <c r="CH159" s="567"/>
      <c r="CI159" s="567"/>
      <c r="CJ159" s="567"/>
      <c r="CK159" s="567"/>
      <c r="CL159" s="567"/>
      <c r="CM159" s="567"/>
      <c r="CN159" s="567"/>
      <c r="CO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  <c r="BW160" s="567"/>
      <c r="BX160" s="567"/>
      <c r="BY160" s="567"/>
      <c r="BZ160" s="567"/>
      <c r="CA160" s="567"/>
      <c r="CB160" s="567"/>
      <c r="CC160" s="567"/>
      <c r="CD160" s="567"/>
      <c r="CE160" s="567"/>
      <c r="CF160" s="567"/>
      <c r="CG160" s="567"/>
      <c r="CH160" s="567"/>
      <c r="CI160" s="567"/>
      <c r="CJ160" s="567"/>
      <c r="CK160" s="567"/>
      <c r="CL160" s="567"/>
      <c r="CM160" s="567"/>
      <c r="CN160" s="567"/>
      <c r="CO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  <c r="BW161" s="567"/>
      <c r="BX161" s="567"/>
      <c r="BY161" s="567"/>
      <c r="BZ161" s="567"/>
      <c r="CA161" s="567"/>
      <c r="CB161" s="567"/>
      <c r="CC161" s="567"/>
      <c r="CD161" s="567"/>
      <c r="CE161" s="567"/>
      <c r="CF161" s="567"/>
      <c r="CG161" s="567"/>
      <c r="CH161" s="567"/>
      <c r="CI161" s="567"/>
      <c r="CJ161" s="567"/>
      <c r="CK161" s="567"/>
      <c r="CL161" s="567"/>
      <c r="CM161" s="567"/>
      <c r="CN161" s="567"/>
      <c r="CO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567"/>
      <c r="BX162" s="567"/>
      <c r="BY162" s="567"/>
      <c r="BZ162" s="567"/>
      <c r="CA162" s="567"/>
      <c r="CB162" s="567"/>
      <c r="CC162" s="567"/>
      <c r="CD162" s="567"/>
      <c r="CE162" s="567"/>
      <c r="CF162" s="567"/>
      <c r="CG162" s="567"/>
      <c r="CH162" s="567"/>
      <c r="CI162" s="567"/>
      <c r="CJ162" s="567"/>
      <c r="CK162" s="567"/>
      <c r="CL162" s="567"/>
      <c r="CM162" s="567"/>
      <c r="CN162" s="567"/>
      <c r="CO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  <c r="BW163" s="567"/>
      <c r="BX163" s="567"/>
      <c r="BY163" s="567"/>
      <c r="BZ163" s="567"/>
      <c r="CA163" s="567"/>
      <c r="CB163" s="567"/>
      <c r="CC163" s="567"/>
      <c r="CD163" s="567"/>
      <c r="CE163" s="567"/>
      <c r="CF163" s="567"/>
      <c r="CG163" s="567"/>
      <c r="CH163" s="567"/>
      <c r="CI163" s="567"/>
      <c r="CJ163" s="567"/>
      <c r="CK163" s="567"/>
      <c r="CL163" s="567"/>
      <c r="CM163" s="567"/>
      <c r="CN163" s="567"/>
      <c r="CO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  <c r="BW164" s="567"/>
      <c r="BX164" s="567"/>
      <c r="BY164" s="567"/>
      <c r="BZ164" s="567"/>
      <c r="CA164" s="567"/>
      <c r="CB164" s="567"/>
      <c r="CC164" s="567"/>
      <c r="CD164" s="567"/>
      <c r="CE164" s="567"/>
      <c r="CF164" s="567"/>
      <c r="CG164" s="567"/>
      <c r="CH164" s="567"/>
      <c r="CI164" s="567"/>
      <c r="CJ164" s="567"/>
      <c r="CK164" s="567"/>
      <c r="CL164" s="567"/>
      <c r="CM164" s="567"/>
      <c r="CN164" s="567"/>
      <c r="CO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  <c r="BW165" s="567"/>
      <c r="BX165" s="567"/>
      <c r="BY165" s="567"/>
      <c r="BZ165" s="567"/>
      <c r="CA165" s="567"/>
      <c r="CB165" s="567"/>
      <c r="CC165" s="567"/>
      <c r="CD165" s="567"/>
      <c r="CE165" s="567"/>
      <c r="CF165" s="567"/>
      <c r="CG165" s="567"/>
      <c r="CH165" s="567"/>
      <c r="CI165" s="567"/>
      <c r="CJ165" s="567"/>
      <c r="CK165" s="567"/>
      <c r="CL165" s="567"/>
      <c r="CM165" s="567"/>
      <c r="CN165" s="567"/>
      <c r="CO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  <c r="BW166" s="567"/>
      <c r="BX166" s="567"/>
      <c r="BY166" s="567"/>
      <c r="BZ166" s="567"/>
      <c r="CA166" s="567"/>
      <c r="CB166" s="567"/>
      <c r="CC166" s="567"/>
      <c r="CD166" s="567"/>
      <c r="CE166" s="567"/>
      <c r="CF166" s="567"/>
      <c r="CG166" s="567"/>
      <c r="CH166" s="567"/>
      <c r="CI166" s="567"/>
      <c r="CJ166" s="567"/>
      <c r="CK166" s="567"/>
      <c r="CL166" s="567"/>
      <c r="CM166" s="567"/>
      <c r="CN166" s="567"/>
      <c r="CO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  <c r="BW167" s="567"/>
      <c r="BX167" s="567"/>
      <c r="BY167" s="567"/>
      <c r="BZ167" s="567"/>
      <c r="CA167" s="567"/>
      <c r="CB167" s="567"/>
      <c r="CC167" s="567"/>
      <c r="CD167" s="567"/>
      <c r="CE167" s="567"/>
      <c r="CF167" s="567"/>
      <c r="CG167" s="567"/>
      <c r="CH167" s="567"/>
      <c r="CI167" s="567"/>
      <c r="CJ167" s="567"/>
      <c r="CK167" s="567"/>
      <c r="CL167" s="567"/>
      <c r="CM167" s="567"/>
      <c r="CN167" s="567"/>
      <c r="CO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  <c r="BW168" s="567"/>
      <c r="BX168" s="567"/>
      <c r="BY168" s="567"/>
      <c r="BZ168" s="567"/>
      <c r="CA168" s="567"/>
      <c r="CB168" s="567"/>
      <c r="CC168" s="567"/>
      <c r="CD168" s="567"/>
      <c r="CE168" s="567"/>
      <c r="CF168" s="567"/>
      <c r="CG168" s="567"/>
      <c r="CH168" s="567"/>
      <c r="CI168" s="567"/>
      <c r="CJ168" s="567"/>
      <c r="CK168" s="567"/>
      <c r="CL168" s="567"/>
      <c r="CM168" s="567"/>
      <c r="CN168" s="567"/>
      <c r="CO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  <c r="BW169" s="567"/>
      <c r="BX169" s="567"/>
      <c r="BY169" s="567"/>
      <c r="BZ169" s="567"/>
      <c r="CA169" s="567"/>
      <c r="CB169" s="567"/>
      <c r="CC169" s="567"/>
      <c r="CD169" s="567"/>
      <c r="CE169" s="567"/>
      <c r="CF169" s="567"/>
      <c r="CG169" s="567"/>
      <c r="CH169" s="567"/>
      <c r="CI169" s="567"/>
      <c r="CJ169" s="567"/>
      <c r="CK169" s="567"/>
      <c r="CL169" s="567"/>
      <c r="CM169" s="567"/>
      <c r="CN169" s="567"/>
      <c r="CO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  <c r="BW170" s="567"/>
      <c r="BX170" s="567"/>
      <c r="BY170" s="567"/>
      <c r="BZ170" s="567"/>
      <c r="CA170" s="567"/>
      <c r="CB170" s="567"/>
      <c r="CC170" s="567"/>
      <c r="CD170" s="567"/>
      <c r="CE170" s="567"/>
      <c r="CF170" s="567"/>
      <c r="CG170" s="567"/>
      <c r="CH170" s="567"/>
      <c r="CI170" s="567"/>
      <c r="CJ170" s="567"/>
      <c r="CK170" s="567"/>
      <c r="CL170" s="567"/>
      <c r="CM170" s="567"/>
      <c r="CN170" s="567"/>
      <c r="CO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  <c r="BW171" s="567"/>
      <c r="BX171" s="567"/>
      <c r="BY171" s="567"/>
      <c r="BZ171" s="567"/>
      <c r="CA171" s="567"/>
      <c r="CB171" s="567"/>
      <c r="CC171" s="567"/>
      <c r="CD171" s="567"/>
      <c r="CE171" s="567"/>
      <c r="CF171" s="567"/>
      <c r="CG171" s="567"/>
      <c r="CH171" s="567"/>
      <c r="CI171" s="567"/>
      <c r="CJ171" s="567"/>
      <c r="CK171" s="567"/>
      <c r="CL171" s="567"/>
      <c r="CM171" s="567"/>
      <c r="CN171" s="567"/>
      <c r="CO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  <c r="BW172" s="567"/>
      <c r="BX172" s="567"/>
      <c r="BY172" s="567"/>
      <c r="BZ172" s="567"/>
      <c r="CA172" s="567"/>
      <c r="CB172" s="567"/>
      <c r="CC172" s="567"/>
      <c r="CD172" s="567"/>
      <c r="CE172" s="567"/>
      <c r="CF172" s="567"/>
      <c r="CG172" s="567"/>
      <c r="CH172" s="567"/>
      <c r="CI172" s="567"/>
      <c r="CJ172" s="567"/>
      <c r="CK172" s="567"/>
      <c r="CL172" s="567"/>
      <c r="CM172" s="567"/>
      <c r="CN172" s="567"/>
      <c r="CO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  <c r="BW173" s="567"/>
      <c r="BX173" s="567"/>
      <c r="BY173" s="567"/>
      <c r="BZ173" s="567"/>
      <c r="CA173" s="567"/>
      <c r="CB173" s="567"/>
      <c r="CC173" s="567"/>
      <c r="CD173" s="567"/>
      <c r="CE173" s="567"/>
      <c r="CF173" s="567"/>
      <c r="CG173" s="567"/>
      <c r="CH173" s="567"/>
      <c r="CI173" s="567"/>
      <c r="CJ173" s="567"/>
      <c r="CK173" s="567"/>
      <c r="CL173" s="567"/>
      <c r="CM173" s="567"/>
      <c r="CN173" s="567"/>
      <c r="CO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  <c r="BW174" s="567"/>
      <c r="BX174" s="567"/>
      <c r="BY174" s="567"/>
      <c r="BZ174" s="567"/>
      <c r="CA174" s="567"/>
      <c r="CB174" s="567"/>
      <c r="CC174" s="567"/>
      <c r="CD174" s="567"/>
      <c r="CE174" s="567"/>
      <c r="CF174" s="567"/>
      <c r="CG174" s="567"/>
      <c r="CH174" s="567"/>
      <c r="CI174" s="567"/>
      <c r="CJ174" s="567"/>
      <c r="CK174" s="567"/>
      <c r="CL174" s="567"/>
      <c r="CM174" s="567"/>
      <c r="CN174" s="567"/>
      <c r="CO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  <c r="BW175" s="567"/>
      <c r="BX175" s="567"/>
      <c r="BY175" s="567"/>
      <c r="BZ175" s="567"/>
      <c r="CA175" s="567"/>
      <c r="CB175" s="567"/>
      <c r="CC175" s="567"/>
      <c r="CD175" s="567"/>
      <c r="CE175" s="567"/>
      <c r="CF175" s="567"/>
      <c r="CG175" s="567"/>
      <c r="CH175" s="567"/>
      <c r="CI175" s="567"/>
      <c r="CJ175" s="567"/>
      <c r="CK175" s="567"/>
      <c r="CL175" s="567"/>
      <c r="CM175" s="567"/>
      <c r="CN175" s="567"/>
      <c r="CO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  <c r="BW176" s="567"/>
      <c r="BX176" s="567"/>
      <c r="BY176" s="567"/>
      <c r="BZ176" s="567"/>
      <c r="CA176" s="567"/>
      <c r="CB176" s="567"/>
      <c r="CC176" s="567"/>
      <c r="CD176" s="567"/>
      <c r="CE176" s="567"/>
      <c r="CF176" s="567"/>
      <c r="CG176" s="567"/>
      <c r="CH176" s="567"/>
      <c r="CI176" s="567"/>
      <c r="CJ176" s="567"/>
      <c r="CK176" s="567"/>
      <c r="CL176" s="567"/>
      <c r="CM176" s="567"/>
      <c r="CN176" s="567"/>
      <c r="CO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  <c r="BW177" s="567"/>
      <c r="BX177" s="567"/>
      <c r="BY177" s="567"/>
      <c r="BZ177" s="567"/>
      <c r="CA177" s="567"/>
      <c r="CB177" s="567"/>
      <c r="CC177" s="567"/>
      <c r="CD177" s="567"/>
      <c r="CE177" s="567"/>
      <c r="CF177" s="567"/>
      <c r="CG177" s="567"/>
      <c r="CH177" s="567"/>
      <c r="CI177" s="567"/>
      <c r="CJ177" s="567"/>
      <c r="CK177" s="567"/>
      <c r="CL177" s="567"/>
      <c r="CM177" s="567"/>
      <c r="CN177" s="567"/>
      <c r="CO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  <c r="BW178" s="567"/>
      <c r="BX178" s="567"/>
      <c r="BY178" s="567"/>
      <c r="BZ178" s="567"/>
      <c r="CA178" s="567"/>
      <c r="CB178" s="567"/>
      <c r="CC178" s="567"/>
      <c r="CD178" s="567"/>
      <c r="CE178" s="567"/>
      <c r="CF178" s="567"/>
      <c r="CG178" s="567"/>
      <c r="CH178" s="567"/>
      <c r="CI178" s="567"/>
      <c r="CJ178" s="567"/>
      <c r="CK178" s="567"/>
      <c r="CL178" s="567"/>
      <c r="CM178" s="567"/>
      <c r="CN178" s="567"/>
      <c r="CO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  <c r="BW179" s="567"/>
      <c r="BX179" s="567"/>
      <c r="BY179" s="567"/>
      <c r="BZ179" s="567"/>
      <c r="CA179" s="567"/>
      <c r="CB179" s="567"/>
      <c r="CC179" s="567"/>
      <c r="CD179" s="567"/>
      <c r="CE179" s="567"/>
      <c r="CF179" s="567"/>
      <c r="CG179" s="567"/>
      <c r="CH179" s="567"/>
      <c r="CI179" s="567"/>
      <c r="CJ179" s="567"/>
      <c r="CK179" s="567"/>
      <c r="CL179" s="567"/>
      <c r="CM179" s="567"/>
      <c r="CN179" s="567"/>
      <c r="CO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  <c r="BW180" s="567"/>
      <c r="BX180" s="567"/>
      <c r="BY180" s="567"/>
      <c r="BZ180" s="567"/>
      <c r="CA180" s="567"/>
      <c r="CB180" s="567"/>
      <c r="CC180" s="567"/>
      <c r="CD180" s="567"/>
      <c r="CE180" s="567"/>
      <c r="CF180" s="567"/>
      <c r="CG180" s="567"/>
      <c r="CH180" s="567"/>
      <c r="CI180" s="567"/>
      <c r="CJ180" s="567"/>
      <c r="CK180" s="567"/>
      <c r="CL180" s="567"/>
      <c r="CM180" s="567"/>
      <c r="CN180" s="567"/>
      <c r="CO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  <c r="BW181" s="567"/>
      <c r="BX181" s="567"/>
      <c r="BY181" s="567"/>
      <c r="BZ181" s="567"/>
      <c r="CA181" s="567"/>
      <c r="CB181" s="567"/>
      <c r="CC181" s="567"/>
      <c r="CD181" s="567"/>
      <c r="CE181" s="567"/>
      <c r="CF181" s="567"/>
      <c r="CG181" s="567"/>
      <c r="CH181" s="567"/>
      <c r="CI181" s="567"/>
      <c r="CJ181" s="567"/>
      <c r="CK181" s="567"/>
      <c r="CL181" s="567"/>
      <c r="CM181" s="567"/>
      <c r="CN181" s="567"/>
      <c r="CO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  <c r="BW182" s="567"/>
      <c r="BX182" s="567"/>
      <c r="BY182" s="567"/>
      <c r="BZ182" s="567"/>
      <c r="CA182" s="567"/>
      <c r="CB182" s="567"/>
      <c r="CC182" s="567"/>
      <c r="CD182" s="567"/>
      <c r="CE182" s="567"/>
      <c r="CF182" s="567"/>
      <c r="CG182" s="567"/>
      <c r="CH182" s="567"/>
      <c r="CI182" s="567"/>
      <c r="CJ182" s="567"/>
      <c r="CK182" s="567"/>
      <c r="CL182" s="567"/>
      <c r="CM182" s="567"/>
      <c r="CN182" s="567"/>
      <c r="CO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  <c r="BW183" s="567"/>
      <c r="BX183" s="567"/>
      <c r="BY183" s="567"/>
      <c r="BZ183" s="567"/>
      <c r="CA183" s="567"/>
      <c r="CB183" s="567"/>
      <c r="CC183" s="567"/>
      <c r="CD183" s="567"/>
      <c r="CE183" s="567"/>
      <c r="CF183" s="567"/>
      <c r="CG183" s="567"/>
      <c r="CH183" s="567"/>
      <c r="CI183" s="567"/>
      <c r="CJ183" s="567"/>
      <c r="CK183" s="567"/>
      <c r="CL183" s="567"/>
      <c r="CM183" s="567"/>
      <c r="CN183" s="567"/>
      <c r="CO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  <c r="BW184" s="567"/>
      <c r="BX184" s="567"/>
      <c r="BY184" s="567"/>
      <c r="BZ184" s="567"/>
      <c r="CA184" s="567"/>
      <c r="CB184" s="567"/>
      <c r="CC184" s="567"/>
      <c r="CD184" s="567"/>
      <c r="CE184" s="567"/>
      <c r="CF184" s="567"/>
      <c r="CG184" s="567"/>
      <c r="CH184" s="567"/>
      <c r="CI184" s="567"/>
      <c r="CJ184" s="567"/>
      <c r="CK184" s="567"/>
      <c r="CL184" s="567"/>
      <c r="CM184" s="567"/>
      <c r="CN184" s="567"/>
      <c r="CO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  <c r="BW185" s="567"/>
      <c r="BX185" s="567"/>
      <c r="BY185" s="567"/>
      <c r="BZ185" s="567"/>
      <c r="CA185" s="567"/>
      <c r="CB185" s="567"/>
      <c r="CC185" s="567"/>
      <c r="CD185" s="567"/>
      <c r="CE185" s="567"/>
      <c r="CF185" s="567"/>
      <c r="CG185" s="567"/>
      <c r="CH185" s="567"/>
      <c r="CI185" s="567"/>
      <c r="CJ185" s="567"/>
      <c r="CK185" s="567"/>
      <c r="CL185" s="567"/>
      <c r="CM185" s="567"/>
      <c r="CN185" s="567"/>
      <c r="CO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  <c r="BW186" s="567"/>
      <c r="BX186" s="567"/>
      <c r="BY186" s="567"/>
      <c r="BZ186" s="567"/>
      <c r="CA186" s="567"/>
      <c r="CB186" s="567"/>
      <c r="CC186" s="567"/>
      <c r="CD186" s="567"/>
      <c r="CE186" s="567"/>
      <c r="CF186" s="567"/>
      <c r="CG186" s="567"/>
      <c r="CH186" s="567"/>
      <c r="CI186" s="567"/>
      <c r="CJ186" s="567"/>
      <c r="CK186" s="567"/>
      <c r="CL186" s="567"/>
      <c r="CM186" s="567"/>
      <c r="CN186" s="567"/>
      <c r="CO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  <c r="BW187" s="567"/>
      <c r="BX187" s="567"/>
      <c r="BY187" s="567"/>
      <c r="BZ187" s="567"/>
      <c r="CA187" s="567"/>
      <c r="CB187" s="567"/>
      <c r="CC187" s="567"/>
      <c r="CD187" s="567"/>
      <c r="CE187" s="567"/>
      <c r="CF187" s="567"/>
      <c r="CG187" s="567"/>
      <c r="CH187" s="567"/>
      <c r="CI187" s="567"/>
      <c r="CJ187" s="567"/>
      <c r="CK187" s="567"/>
      <c r="CL187" s="567"/>
      <c r="CM187" s="567"/>
      <c r="CN187" s="567"/>
      <c r="CO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  <c r="BW188" s="567"/>
      <c r="BX188" s="567"/>
      <c r="BY188" s="567"/>
      <c r="BZ188" s="567"/>
      <c r="CA188" s="567"/>
      <c r="CB188" s="567"/>
      <c r="CC188" s="567"/>
      <c r="CD188" s="567"/>
      <c r="CE188" s="567"/>
      <c r="CF188" s="567"/>
      <c r="CG188" s="567"/>
      <c r="CH188" s="567"/>
      <c r="CI188" s="567"/>
      <c r="CJ188" s="567"/>
      <c r="CK188" s="567"/>
      <c r="CL188" s="567"/>
      <c r="CM188" s="567"/>
      <c r="CN188" s="567"/>
      <c r="CO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  <c r="BW189" s="567"/>
      <c r="BX189" s="567"/>
      <c r="BY189" s="567"/>
      <c r="BZ189" s="567"/>
      <c r="CA189" s="567"/>
      <c r="CB189" s="567"/>
      <c r="CC189" s="567"/>
      <c r="CD189" s="567"/>
      <c r="CE189" s="567"/>
      <c r="CF189" s="567"/>
      <c r="CG189" s="567"/>
      <c r="CH189" s="567"/>
      <c r="CI189" s="567"/>
      <c r="CJ189" s="567"/>
      <c r="CK189" s="567"/>
      <c r="CL189" s="567"/>
      <c r="CM189" s="567"/>
      <c r="CN189" s="567"/>
      <c r="CO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  <c r="BW190" s="567"/>
      <c r="BX190" s="567"/>
      <c r="BY190" s="567"/>
      <c r="BZ190" s="567"/>
      <c r="CA190" s="567"/>
      <c r="CB190" s="567"/>
      <c r="CC190" s="567"/>
      <c r="CD190" s="567"/>
      <c r="CE190" s="567"/>
      <c r="CF190" s="567"/>
      <c r="CG190" s="567"/>
      <c r="CH190" s="567"/>
      <c r="CI190" s="567"/>
      <c r="CJ190" s="567"/>
      <c r="CK190" s="567"/>
      <c r="CL190" s="567"/>
      <c r="CM190" s="567"/>
      <c r="CN190" s="567"/>
      <c r="CO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  <c r="BW191" s="567"/>
      <c r="BX191" s="567"/>
      <c r="BY191" s="567"/>
      <c r="BZ191" s="567"/>
      <c r="CA191" s="567"/>
      <c r="CB191" s="567"/>
      <c r="CC191" s="567"/>
      <c r="CD191" s="567"/>
      <c r="CE191" s="567"/>
      <c r="CF191" s="567"/>
      <c r="CG191" s="567"/>
      <c r="CH191" s="567"/>
      <c r="CI191" s="567"/>
      <c r="CJ191" s="567"/>
      <c r="CK191" s="567"/>
      <c r="CL191" s="567"/>
      <c r="CM191" s="567"/>
      <c r="CN191" s="567"/>
      <c r="CO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567"/>
      <c r="BZ192" s="567"/>
      <c r="CA192" s="567"/>
      <c r="CB192" s="567"/>
      <c r="CC192" s="567"/>
      <c r="CD192" s="567"/>
      <c r="CE192" s="567"/>
      <c r="CF192" s="567"/>
      <c r="CG192" s="567"/>
      <c r="CH192" s="567"/>
      <c r="CI192" s="567"/>
      <c r="CJ192" s="567"/>
      <c r="CK192" s="567"/>
      <c r="CL192" s="567"/>
      <c r="CM192" s="567"/>
      <c r="CN192" s="567"/>
      <c r="CO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  <c r="BW193" s="567"/>
      <c r="BX193" s="567"/>
      <c r="BY193" s="567"/>
      <c r="BZ193" s="567"/>
      <c r="CA193" s="567"/>
      <c r="CB193" s="567"/>
      <c r="CC193" s="567"/>
      <c r="CD193" s="567"/>
      <c r="CE193" s="567"/>
      <c r="CF193" s="567"/>
      <c r="CG193" s="567"/>
      <c r="CH193" s="567"/>
      <c r="CI193" s="567"/>
      <c r="CJ193" s="567"/>
      <c r="CK193" s="567"/>
      <c r="CL193" s="567"/>
      <c r="CM193" s="567"/>
      <c r="CN193" s="567"/>
      <c r="CO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  <c r="BW194" s="567"/>
      <c r="BX194" s="567"/>
      <c r="BY194" s="567"/>
      <c r="BZ194" s="567"/>
      <c r="CA194" s="567"/>
      <c r="CB194" s="567"/>
      <c r="CC194" s="567"/>
      <c r="CD194" s="567"/>
      <c r="CE194" s="567"/>
      <c r="CF194" s="567"/>
      <c r="CG194" s="567"/>
      <c r="CH194" s="567"/>
      <c r="CI194" s="567"/>
      <c r="CJ194" s="567"/>
      <c r="CK194" s="567"/>
      <c r="CL194" s="567"/>
      <c r="CM194" s="567"/>
      <c r="CN194" s="567"/>
      <c r="CO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  <c r="BW195" s="567"/>
      <c r="BX195" s="567"/>
      <c r="BY195" s="567"/>
      <c r="BZ195" s="567"/>
      <c r="CA195" s="567"/>
      <c r="CB195" s="567"/>
      <c r="CC195" s="567"/>
      <c r="CD195" s="567"/>
      <c r="CE195" s="567"/>
      <c r="CF195" s="567"/>
      <c r="CG195" s="567"/>
      <c r="CH195" s="567"/>
      <c r="CI195" s="567"/>
      <c r="CJ195" s="567"/>
      <c r="CK195" s="567"/>
      <c r="CL195" s="567"/>
      <c r="CM195" s="567"/>
      <c r="CN195" s="567"/>
      <c r="CO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  <c r="BW196" s="567"/>
      <c r="BX196" s="567"/>
      <c r="BY196" s="567"/>
      <c r="BZ196" s="567"/>
      <c r="CA196" s="567"/>
      <c r="CB196" s="567"/>
      <c r="CC196" s="567"/>
      <c r="CD196" s="567"/>
      <c r="CE196" s="567"/>
      <c r="CF196" s="567"/>
      <c r="CG196" s="567"/>
      <c r="CH196" s="567"/>
      <c r="CI196" s="567"/>
      <c r="CJ196" s="567"/>
      <c r="CK196" s="567"/>
      <c r="CL196" s="567"/>
      <c r="CM196" s="567"/>
      <c r="CN196" s="567"/>
      <c r="CO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  <c r="BW197" s="567"/>
      <c r="BX197" s="567"/>
      <c r="BY197" s="567"/>
      <c r="BZ197" s="567"/>
      <c r="CA197" s="567"/>
      <c r="CB197" s="567"/>
      <c r="CC197" s="567"/>
      <c r="CD197" s="567"/>
      <c r="CE197" s="567"/>
      <c r="CF197" s="567"/>
      <c r="CG197" s="567"/>
      <c r="CH197" s="567"/>
      <c r="CI197" s="567"/>
      <c r="CJ197" s="567"/>
      <c r="CK197" s="567"/>
      <c r="CL197" s="567"/>
      <c r="CM197" s="567"/>
      <c r="CN197" s="567"/>
      <c r="CO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  <c r="BW198" s="567"/>
      <c r="BX198" s="567"/>
      <c r="BY198" s="567"/>
      <c r="BZ198" s="567"/>
      <c r="CA198" s="567"/>
      <c r="CB198" s="567"/>
      <c r="CC198" s="567"/>
      <c r="CD198" s="567"/>
      <c r="CE198" s="567"/>
      <c r="CF198" s="567"/>
      <c r="CG198" s="567"/>
      <c r="CH198" s="567"/>
      <c r="CI198" s="567"/>
      <c r="CJ198" s="567"/>
      <c r="CK198" s="567"/>
      <c r="CL198" s="567"/>
      <c r="CM198" s="567"/>
      <c r="CN198" s="567"/>
      <c r="CO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  <c r="BW199" s="567"/>
      <c r="BX199" s="567"/>
      <c r="BY199" s="567"/>
      <c r="BZ199" s="567"/>
      <c r="CA199" s="567"/>
      <c r="CB199" s="567"/>
      <c r="CC199" s="567"/>
      <c r="CD199" s="567"/>
      <c r="CE199" s="567"/>
      <c r="CF199" s="567"/>
      <c r="CG199" s="567"/>
      <c r="CH199" s="567"/>
      <c r="CI199" s="567"/>
      <c r="CJ199" s="567"/>
      <c r="CK199" s="567"/>
      <c r="CL199" s="567"/>
      <c r="CM199" s="567"/>
      <c r="CN199" s="567"/>
      <c r="CO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  <c r="BW200" s="567"/>
      <c r="BX200" s="567"/>
      <c r="BY200" s="567"/>
      <c r="BZ200" s="567"/>
      <c r="CA200" s="567"/>
      <c r="CB200" s="567"/>
      <c r="CC200" s="567"/>
      <c r="CD200" s="567"/>
      <c r="CE200" s="567"/>
      <c r="CF200" s="567"/>
      <c r="CG200" s="567"/>
      <c r="CH200" s="567"/>
      <c r="CI200" s="567"/>
      <c r="CJ200" s="567"/>
      <c r="CK200" s="567"/>
      <c r="CL200" s="567"/>
      <c r="CM200" s="567"/>
      <c r="CN200" s="567"/>
      <c r="CO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  <c r="BW201" s="567"/>
      <c r="BX201" s="567"/>
      <c r="BY201" s="567"/>
      <c r="BZ201" s="567"/>
      <c r="CA201" s="567"/>
      <c r="CB201" s="567"/>
      <c r="CC201" s="567"/>
      <c r="CD201" s="567"/>
      <c r="CE201" s="567"/>
      <c r="CF201" s="567"/>
      <c r="CG201" s="567"/>
      <c r="CH201" s="567"/>
      <c r="CI201" s="567"/>
      <c r="CJ201" s="567"/>
      <c r="CK201" s="567"/>
      <c r="CL201" s="567"/>
      <c r="CM201" s="567"/>
      <c r="CN201" s="567"/>
      <c r="CO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  <c r="BW202" s="567"/>
      <c r="BX202" s="567"/>
      <c r="BY202" s="567"/>
      <c r="BZ202" s="567"/>
      <c r="CA202" s="567"/>
      <c r="CB202" s="567"/>
      <c r="CC202" s="567"/>
      <c r="CD202" s="567"/>
      <c r="CE202" s="567"/>
      <c r="CF202" s="567"/>
      <c r="CG202" s="567"/>
      <c r="CH202" s="567"/>
      <c r="CI202" s="567"/>
      <c r="CJ202" s="567"/>
      <c r="CK202" s="567"/>
      <c r="CL202" s="567"/>
      <c r="CM202" s="567"/>
      <c r="CN202" s="567"/>
      <c r="CO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  <c r="BW203" s="567"/>
      <c r="BX203" s="567"/>
      <c r="BY203" s="567"/>
      <c r="BZ203" s="567"/>
      <c r="CA203" s="567"/>
      <c r="CB203" s="567"/>
      <c r="CC203" s="567"/>
      <c r="CD203" s="567"/>
      <c r="CE203" s="567"/>
      <c r="CF203" s="567"/>
      <c r="CG203" s="567"/>
      <c r="CH203" s="567"/>
      <c r="CI203" s="567"/>
      <c r="CJ203" s="567"/>
      <c r="CK203" s="567"/>
      <c r="CL203" s="567"/>
      <c r="CM203" s="567"/>
      <c r="CN203" s="567"/>
      <c r="CO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  <c r="BW204" s="567"/>
      <c r="BX204" s="567"/>
      <c r="BY204" s="567"/>
      <c r="BZ204" s="567"/>
      <c r="CA204" s="567"/>
      <c r="CB204" s="567"/>
      <c r="CC204" s="567"/>
      <c r="CD204" s="567"/>
      <c r="CE204" s="567"/>
      <c r="CF204" s="567"/>
      <c r="CG204" s="567"/>
      <c r="CH204" s="567"/>
      <c r="CI204" s="567"/>
      <c r="CJ204" s="567"/>
      <c r="CK204" s="567"/>
      <c r="CL204" s="567"/>
      <c r="CM204" s="567"/>
      <c r="CN204" s="567"/>
      <c r="CO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  <c r="BW205" s="567"/>
      <c r="BX205" s="567"/>
      <c r="BY205" s="567"/>
      <c r="BZ205" s="567"/>
      <c r="CA205" s="567"/>
      <c r="CB205" s="567"/>
      <c r="CC205" s="567"/>
      <c r="CD205" s="567"/>
      <c r="CE205" s="567"/>
      <c r="CF205" s="567"/>
      <c r="CG205" s="567"/>
      <c r="CH205" s="567"/>
      <c r="CI205" s="567"/>
      <c r="CJ205" s="567"/>
      <c r="CK205" s="567"/>
      <c r="CL205" s="567"/>
      <c r="CM205" s="567"/>
      <c r="CN205" s="567"/>
      <c r="CO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  <c r="BW206" s="567"/>
      <c r="BX206" s="567"/>
      <c r="BY206" s="567"/>
      <c r="BZ206" s="567"/>
      <c r="CA206" s="567"/>
      <c r="CB206" s="567"/>
      <c r="CC206" s="567"/>
      <c r="CD206" s="567"/>
      <c r="CE206" s="567"/>
      <c r="CF206" s="567"/>
      <c r="CG206" s="567"/>
      <c r="CH206" s="567"/>
      <c r="CI206" s="567"/>
      <c r="CJ206" s="567"/>
      <c r="CK206" s="567"/>
      <c r="CL206" s="567"/>
      <c r="CM206" s="567"/>
      <c r="CN206" s="567"/>
      <c r="CO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  <c r="BW207" s="567"/>
      <c r="BX207" s="567"/>
      <c r="BY207" s="567"/>
      <c r="BZ207" s="567"/>
      <c r="CA207" s="567"/>
      <c r="CB207" s="567"/>
      <c r="CC207" s="567"/>
      <c r="CD207" s="567"/>
      <c r="CE207" s="567"/>
      <c r="CF207" s="567"/>
      <c r="CG207" s="567"/>
      <c r="CH207" s="567"/>
      <c r="CI207" s="567"/>
      <c r="CJ207" s="567"/>
      <c r="CK207" s="567"/>
      <c r="CL207" s="567"/>
      <c r="CM207" s="567"/>
      <c r="CN207" s="567"/>
      <c r="CO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  <c r="BW208" s="567"/>
      <c r="BX208" s="567"/>
      <c r="BY208" s="567"/>
      <c r="BZ208" s="567"/>
      <c r="CA208" s="567"/>
      <c r="CB208" s="567"/>
      <c r="CC208" s="567"/>
      <c r="CD208" s="567"/>
      <c r="CE208" s="567"/>
      <c r="CF208" s="567"/>
      <c r="CG208" s="567"/>
      <c r="CH208" s="567"/>
      <c r="CI208" s="567"/>
      <c r="CJ208" s="567"/>
      <c r="CK208" s="567"/>
      <c r="CL208" s="567"/>
      <c r="CM208" s="567"/>
      <c r="CN208" s="567"/>
      <c r="CO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  <c r="BW209" s="567"/>
      <c r="BX209" s="567"/>
      <c r="BY209" s="567"/>
      <c r="BZ209" s="567"/>
      <c r="CA209" s="567"/>
      <c r="CB209" s="567"/>
      <c r="CC209" s="567"/>
      <c r="CD209" s="567"/>
      <c r="CE209" s="567"/>
      <c r="CF209" s="567"/>
      <c r="CG209" s="567"/>
      <c r="CH209" s="567"/>
      <c r="CI209" s="567"/>
      <c r="CJ209" s="567"/>
      <c r="CK209" s="567"/>
      <c r="CL209" s="567"/>
      <c r="CM209" s="567"/>
      <c r="CN209" s="567"/>
      <c r="CO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  <c r="BW210" s="567"/>
      <c r="BX210" s="567"/>
      <c r="BY210" s="567"/>
      <c r="BZ210" s="567"/>
      <c r="CA210" s="567"/>
      <c r="CB210" s="567"/>
      <c r="CC210" s="567"/>
      <c r="CD210" s="567"/>
      <c r="CE210" s="567"/>
      <c r="CF210" s="567"/>
      <c r="CG210" s="567"/>
      <c r="CH210" s="567"/>
      <c r="CI210" s="567"/>
      <c r="CJ210" s="567"/>
      <c r="CK210" s="567"/>
      <c r="CL210" s="567"/>
      <c r="CM210" s="567"/>
      <c r="CN210" s="567"/>
      <c r="CO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  <c r="BW211" s="567"/>
      <c r="BX211" s="567"/>
      <c r="BY211" s="567"/>
      <c r="BZ211" s="567"/>
      <c r="CA211" s="567"/>
      <c r="CB211" s="567"/>
      <c r="CC211" s="567"/>
      <c r="CD211" s="567"/>
      <c r="CE211" s="567"/>
      <c r="CF211" s="567"/>
      <c r="CG211" s="567"/>
      <c r="CH211" s="567"/>
      <c r="CI211" s="567"/>
      <c r="CJ211" s="567"/>
      <c r="CK211" s="567"/>
      <c r="CL211" s="567"/>
      <c r="CM211" s="567"/>
      <c r="CN211" s="567"/>
      <c r="CO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  <c r="BW212" s="567"/>
      <c r="BX212" s="567"/>
      <c r="BY212" s="567"/>
      <c r="BZ212" s="567"/>
      <c r="CA212" s="567"/>
      <c r="CB212" s="567"/>
      <c r="CC212" s="567"/>
      <c r="CD212" s="567"/>
      <c r="CE212" s="567"/>
      <c r="CF212" s="567"/>
      <c r="CG212" s="567"/>
      <c r="CH212" s="567"/>
      <c r="CI212" s="567"/>
      <c r="CJ212" s="567"/>
      <c r="CK212" s="567"/>
      <c r="CL212" s="567"/>
      <c r="CM212" s="567"/>
      <c r="CN212" s="567"/>
      <c r="CO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  <c r="BW213" s="567"/>
      <c r="BX213" s="567"/>
      <c r="BY213" s="567"/>
      <c r="BZ213" s="567"/>
      <c r="CA213" s="567"/>
      <c r="CB213" s="567"/>
      <c r="CC213" s="567"/>
      <c r="CD213" s="567"/>
      <c r="CE213" s="567"/>
      <c r="CF213" s="567"/>
      <c r="CG213" s="567"/>
      <c r="CH213" s="567"/>
      <c r="CI213" s="567"/>
      <c r="CJ213" s="567"/>
      <c r="CK213" s="567"/>
      <c r="CL213" s="567"/>
      <c r="CM213" s="567"/>
      <c r="CN213" s="567"/>
      <c r="CO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  <c r="BW214" s="567"/>
      <c r="BX214" s="567"/>
      <c r="BY214" s="567"/>
      <c r="BZ214" s="567"/>
      <c r="CA214" s="567"/>
      <c r="CB214" s="567"/>
      <c r="CC214" s="567"/>
      <c r="CD214" s="567"/>
      <c r="CE214" s="567"/>
      <c r="CF214" s="567"/>
      <c r="CG214" s="567"/>
      <c r="CH214" s="567"/>
      <c r="CI214" s="567"/>
      <c r="CJ214" s="567"/>
      <c r="CK214" s="567"/>
      <c r="CL214" s="567"/>
      <c r="CM214" s="567"/>
      <c r="CN214" s="567"/>
      <c r="CO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  <c r="BW215" s="567"/>
      <c r="BX215" s="567"/>
      <c r="BY215" s="567"/>
      <c r="BZ215" s="567"/>
      <c r="CA215" s="567"/>
      <c r="CB215" s="567"/>
      <c r="CC215" s="567"/>
      <c r="CD215" s="567"/>
      <c r="CE215" s="567"/>
      <c r="CF215" s="567"/>
      <c r="CG215" s="567"/>
      <c r="CH215" s="567"/>
      <c r="CI215" s="567"/>
      <c r="CJ215" s="567"/>
      <c r="CK215" s="567"/>
      <c r="CL215" s="567"/>
      <c r="CM215" s="567"/>
      <c r="CN215" s="567"/>
      <c r="CO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  <c r="BW216" s="567"/>
      <c r="BX216" s="567"/>
      <c r="BY216" s="567"/>
      <c r="BZ216" s="567"/>
      <c r="CA216" s="567"/>
      <c r="CB216" s="567"/>
      <c r="CC216" s="567"/>
      <c r="CD216" s="567"/>
      <c r="CE216" s="567"/>
      <c r="CF216" s="567"/>
      <c r="CG216" s="567"/>
      <c r="CH216" s="567"/>
      <c r="CI216" s="567"/>
      <c r="CJ216" s="567"/>
      <c r="CK216" s="567"/>
      <c r="CL216" s="567"/>
      <c r="CM216" s="567"/>
      <c r="CN216" s="567"/>
      <c r="CO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  <c r="BW217" s="567"/>
      <c r="BX217" s="567"/>
      <c r="BY217" s="567"/>
      <c r="BZ217" s="567"/>
      <c r="CA217" s="567"/>
      <c r="CB217" s="567"/>
      <c r="CC217" s="567"/>
      <c r="CD217" s="567"/>
      <c r="CE217" s="567"/>
      <c r="CF217" s="567"/>
      <c r="CG217" s="567"/>
      <c r="CH217" s="567"/>
      <c r="CI217" s="567"/>
      <c r="CJ217" s="567"/>
      <c r="CK217" s="567"/>
      <c r="CL217" s="567"/>
      <c r="CM217" s="567"/>
      <c r="CN217" s="567"/>
      <c r="CO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  <c r="BW218" s="567"/>
      <c r="BX218" s="567"/>
      <c r="BY218" s="567"/>
      <c r="BZ218" s="567"/>
      <c r="CA218" s="567"/>
      <c r="CB218" s="567"/>
      <c r="CC218" s="567"/>
      <c r="CD218" s="567"/>
      <c r="CE218" s="567"/>
      <c r="CF218" s="567"/>
      <c r="CG218" s="567"/>
      <c r="CH218" s="567"/>
      <c r="CI218" s="567"/>
      <c r="CJ218" s="567"/>
      <c r="CK218" s="567"/>
      <c r="CL218" s="567"/>
      <c r="CM218" s="567"/>
      <c r="CN218" s="567"/>
      <c r="CO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  <c r="BW219" s="567"/>
      <c r="BX219" s="567"/>
      <c r="BY219" s="567"/>
      <c r="BZ219" s="567"/>
      <c r="CA219" s="567"/>
      <c r="CB219" s="567"/>
      <c r="CC219" s="567"/>
      <c r="CD219" s="567"/>
      <c r="CE219" s="567"/>
      <c r="CF219" s="567"/>
      <c r="CG219" s="567"/>
      <c r="CH219" s="567"/>
      <c r="CI219" s="567"/>
      <c r="CJ219" s="567"/>
      <c r="CK219" s="567"/>
      <c r="CL219" s="567"/>
      <c r="CM219" s="567"/>
      <c r="CN219" s="567"/>
      <c r="CO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  <c r="BW220" s="567"/>
      <c r="BX220" s="567"/>
      <c r="BY220" s="567"/>
      <c r="BZ220" s="567"/>
      <c r="CA220" s="567"/>
      <c r="CB220" s="567"/>
      <c r="CC220" s="567"/>
      <c r="CD220" s="567"/>
      <c r="CE220" s="567"/>
      <c r="CF220" s="567"/>
      <c r="CG220" s="567"/>
      <c r="CH220" s="567"/>
      <c r="CI220" s="567"/>
      <c r="CJ220" s="567"/>
      <c r="CK220" s="567"/>
      <c r="CL220" s="567"/>
      <c r="CM220" s="567"/>
      <c r="CN220" s="567"/>
      <c r="CO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  <c r="BW221" s="567"/>
      <c r="BX221" s="567"/>
      <c r="BY221" s="567"/>
      <c r="BZ221" s="567"/>
      <c r="CA221" s="567"/>
      <c r="CB221" s="567"/>
      <c r="CC221" s="567"/>
      <c r="CD221" s="567"/>
      <c r="CE221" s="567"/>
      <c r="CF221" s="567"/>
      <c r="CG221" s="567"/>
      <c r="CH221" s="567"/>
      <c r="CI221" s="567"/>
      <c r="CJ221" s="567"/>
      <c r="CK221" s="567"/>
      <c r="CL221" s="567"/>
      <c r="CM221" s="567"/>
      <c r="CN221" s="567"/>
      <c r="CO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  <c r="BW222" s="567"/>
      <c r="BX222" s="567"/>
      <c r="BY222" s="567"/>
      <c r="BZ222" s="567"/>
      <c r="CA222" s="567"/>
      <c r="CB222" s="567"/>
      <c r="CC222" s="567"/>
      <c r="CD222" s="567"/>
      <c r="CE222" s="567"/>
      <c r="CF222" s="567"/>
      <c r="CG222" s="567"/>
      <c r="CH222" s="567"/>
      <c r="CI222" s="567"/>
      <c r="CJ222" s="567"/>
      <c r="CK222" s="567"/>
      <c r="CL222" s="567"/>
      <c r="CM222" s="567"/>
      <c r="CN222" s="567"/>
      <c r="CO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  <c r="BW223" s="567"/>
      <c r="BX223" s="567"/>
      <c r="BY223" s="567"/>
      <c r="BZ223" s="567"/>
      <c r="CA223" s="567"/>
      <c r="CB223" s="567"/>
      <c r="CC223" s="567"/>
      <c r="CD223" s="567"/>
      <c r="CE223" s="567"/>
      <c r="CF223" s="567"/>
      <c r="CG223" s="567"/>
      <c r="CH223" s="567"/>
      <c r="CI223" s="567"/>
      <c r="CJ223" s="567"/>
      <c r="CK223" s="567"/>
      <c r="CL223" s="567"/>
      <c r="CM223" s="567"/>
      <c r="CN223" s="567"/>
      <c r="CO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  <c r="BW224" s="567"/>
      <c r="BX224" s="567"/>
      <c r="BY224" s="567"/>
      <c r="BZ224" s="567"/>
      <c r="CA224" s="567"/>
      <c r="CB224" s="567"/>
      <c r="CC224" s="567"/>
      <c r="CD224" s="567"/>
      <c r="CE224" s="567"/>
      <c r="CF224" s="567"/>
      <c r="CG224" s="567"/>
      <c r="CH224" s="567"/>
      <c r="CI224" s="567"/>
      <c r="CJ224" s="567"/>
      <c r="CK224" s="567"/>
      <c r="CL224" s="567"/>
      <c r="CM224" s="567"/>
      <c r="CN224" s="567"/>
      <c r="CO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  <c r="BW225" s="567"/>
      <c r="BX225" s="567"/>
      <c r="BY225" s="567"/>
      <c r="BZ225" s="567"/>
      <c r="CA225" s="567"/>
      <c r="CB225" s="567"/>
      <c r="CC225" s="567"/>
      <c r="CD225" s="567"/>
      <c r="CE225" s="567"/>
      <c r="CF225" s="567"/>
      <c r="CG225" s="567"/>
      <c r="CH225" s="567"/>
      <c r="CI225" s="567"/>
      <c r="CJ225" s="567"/>
      <c r="CK225" s="567"/>
      <c r="CL225" s="567"/>
      <c r="CM225" s="567"/>
      <c r="CN225" s="567"/>
      <c r="CO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  <c r="BW226" s="567"/>
      <c r="BX226" s="567"/>
      <c r="BY226" s="567"/>
      <c r="BZ226" s="567"/>
      <c r="CA226" s="567"/>
      <c r="CB226" s="567"/>
      <c r="CC226" s="567"/>
      <c r="CD226" s="567"/>
      <c r="CE226" s="567"/>
      <c r="CF226" s="567"/>
      <c r="CG226" s="567"/>
      <c r="CH226" s="567"/>
      <c r="CI226" s="567"/>
      <c r="CJ226" s="567"/>
      <c r="CK226" s="567"/>
      <c r="CL226" s="567"/>
      <c r="CM226" s="567"/>
      <c r="CN226" s="567"/>
      <c r="CO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  <c r="BW227" s="567"/>
      <c r="BX227" s="567"/>
      <c r="BY227" s="567"/>
      <c r="BZ227" s="567"/>
      <c r="CA227" s="567"/>
      <c r="CB227" s="567"/>
      <c r="CC227" s="567"/>
      <c r="CD227" s="567"/>
      <c r="CE227" s="567"/>
      <c r="CF227" s="567"/>
      <c r="CG227" s="567"/>
      <c r="CH227" s="567"/>
      <c r="CI227" s="567"/>
      <c r="CJ227" s="567"/>
      <c r="CK227" s="567"/>
      <c r="CL227" s="567"/>
      <c r="CM227" s="567"/>
      <c r="CN227" s="567"/>
      <c r="CO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  <c r="BW228" s="567"/>
      <c r="BX228" s="567"/>
      <c r="BY228" s="567"/>
      <c r="BZ228" s="567"/>
      <c r="CA228" s="567"/>
      <c r="CB228" s="567"/>
      <c r="CC228" s="567"/>
      <c r="CD228" s="567"/>
      <c r="CE228" s="567"/>
      <c r="CF228" s="567"/>
      <c r="CG228" s="567"/>
      <c r="CH228" s="567"/>
      <c r="CI228" s="567"/>
      <c r="CJ228" s="567"/>
      <c r="CK228" s="567"/>
      <c r="CL228" s="567"/>
      <c r="CM228" s="567"/>
      <c r="CN228" s="567"/>
      <c r="CO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  <c r="BW229" s="567"/>
      <c r="BX229" s="567"/>
      <c r="BY229" s="567"/>
      <c r="BZ229" s="567"/>
      <c r="CA229" s="567"/>
      <c r="CB229" s="567"/>
      <c r="CC229" s="567"/>
      <c r="CD229" s="567"/>
      <c r="CE229" s="567"/>
      <c r="CF229" s="567"/>
      <c r="CG229" s="567"/>
      <c r="CH229" s="567"/>
      <c r="CI229" s="567"/>
      <c r="CJ229" s="567"/>
      <c r="CK229" s="567"/>
      <c r="CL229" s="567"/>
      <c r="CM229" s="567"/>
      <c r="CN229" s="567"/>
      <c r="CO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  <c r="BW230" s="567"/>
      <c r="BX230" s="567"/>
      <c r="BY230" s="567"/>
      <c r="BZ230" s="567"/>
      <c r="CA230" s="567"/>
      <c r="CB230" s="567"/>
      <c r="CC230" s="567"/>
      <c r="CD230" s="567"/>
      <c r="CE230" s="567"/>
      <c r="CF230" s="567"/>
      <c r="CG230" s="567"/>
      <c r="CH230" s="567"/>
      <c r="CI230" s="567"/>
      <c r="CJ230" s="567"/>
      <c r="CK230" s="567"/>
      <c r="CL230" s="567"/>
      <c r="CM230" s="567"/>
      <c r="CN230" s="567"/>
      <c r="CO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  <c r="BW231" s="567"/>
      <c r="BX231" s="567"/>
      <c r="BY231" s="567"/>
      <c r="BZ231" s="567"/>
      <c r="CA231" s="567"/>
      <c r="CB231" s="567"/>
      <c r="CC231" s="567"/>
      <c r="CD231" s="567"/>
      <c r="CE231" s="567"/>
      <c r="CF231" s="567"/>
      <c r="CG231" s="567"/>
      <c r="CH231" s="567"/>
      <c r="CI231" s="567"/>
      <c r="CJ231" s="567"/>
      <c r="CK231" s="567"/>
      <c r="CL231" s="567"/>
      <c r="CM231" s="567"/>
      <c r="CN231" s="567"/>
      <c r="CO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  <c r="BW232" s="567"/>
      <c r="BX232" s="567"/>
      <c r="BY232" s="567"/>
      <c r="BZ232" s="567"/>
      <c r="CA232" s="567"/>
      <c r="CB232" s="567"/>
      <c r="CC232" s="567"/>
      <c r="CD232" s="567"/>
      <c r="CE232" s="567"/>
      <c r="CF232" s="567"/>
      <c r="CG232" s="567"/>
      <c r="CH232" s="567"/>
      <c r="CI232" s="567"/>
      <c r="CJ232" s="567"/>
      <c r="CK232" s="567"/>
      <c r="CL232" s="567"/>
      <c r="CM232" s="567"/>
      <c r="CN232" s="567"/>
      <c r="CO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  <c r="BW233" s="567"/>
      <c r="BX233" s="567"/>
      <c r="BY233" s="567"/>
      <c r="BZ233" s="567"/>
      <c r="CA233" s="567"/>
      <c r="CB233" s="567"/>
      <c r="CC233" s="567"/>
      <c r="CD233" s="567"/>
      <c r="CE233" s="567"/>
      <c r="CF233" s="567"/>
      <c r="CG233" s="567"/>
      <c r="CH233" s="567"/>
      <c r="CI233" s="567"/>
      <c r="CJ233" s="567"/>
      <c r="CK233" s="567"/>
      <c r="CL233" s="567"/>
      <c r="CM233" s="567"/>
      <c r="CN233" s="567"/>
      <c r="CO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  <c r="BW234" s="567"/>
      <c r="BX234" s="567"/>
      <c r="BY234" s="567"/>
      <c r="BZ234" s="567"/>
      <c r="CA234" s="567"/>
      <c r="CB234" s="567"/>
      <c r="CC234" s="567"/>
      <c r="CD234" s="567"/>
      <c r="CE234" s="567"/>
      <c r="CF234" s="567"/>
      <c r="CG234" s="567"/>
      <c r="CH234" s="567"/>
      <c r="CI234" s="567"/>
      <c r="CJ234" s="567"/>
      <c r="CK234" s="567"/>
      <c r="CL234" s="567"/>
      <c r="CM234" s="567"/>
      <c r="CN234" s="567"/>
      <c r="CO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  <c r="BW235" s="567"/>
      <c r="BX235" s="567"/>
      <c r="BY235" s="567"/>
      <c r="BZ235" s="567"/>
      <c r="CA235" s="567"/>
      <c r="CB235" s="567"/>
      <c r="CC235" s="567"/>
      <c r="CD235" s="567"/>
      <c r="CE235" s="567"/>
      <c r="CF235" s="567"/>
      <c r="CG235" s="567"/>
      <c r="CH235" s="567"/>
      <c r="CI235" s="567"/>
      <c r="CJ235" s="567"/>
      <c r="CK235" s="567"/>
      <c r="CL235" s="567"/>
      <c r="CM235" s="567"/>
      <c r="CN235" s="567"/>
      <c r="CO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  <c r="BW236" s="567"/>
      <c r="BX236" s="567"/>
      <c r="BY236" s="567"/>
      <c r="BZ236" s="567"/>
      <c r="CA236" s="567"/>
      <c r="CB236" s="567"/>
      <c r="CC236" s="567"/>
      <c r="CD236" s="567"/>
      <c r="CE236" s="567"/>
      <c r="CF236" s="567"/>
      <c r="CG236" s="567"/>
      <c r="CH236" s="567"/>
      <c r="CI236" s="567"/>
      <c r="CJ236" s="567"/>
      <c r="CK236" s="567"/>
      <c r="CL236" s="567"/>
      <c r="CM236" s="567"/>
      <c r="CN236" s="567"/>
      <c r="CO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  <c r="BW237" s="567"/>
      <c r="BX237" s="567"/>
      <c r="BY237" s="567"/>
      <c r="BZ237" s="567"/>
      <c r="CA237" s="567"/>
      <c r="CB237" s="567"/>
      <c r="CC237" s="567"/>
      <c r="CD237" s="567"/>
      <c r="CE237" s="567"/>
      <c r="CF237" s="567"/>
      <c r="CG237" s="567"/>
      <c r="CH237" s="567"/>
      <c r="CI237" s="567"/>
      <c r="CJ237" s="567"/>
      <c r="CK237" s="567"/>
      <c r="CL237" s="567"/>
      <c r="CM237" s="567"/>
      <c r="CN237" s="567"/>
      <c r="CO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  <c r="BW238" s="567"/>
      <c r="BX238" s="567"/>
      <c r="BY238" s="567"/>
      <c r="BZ238" s="567"/>
      <c r="CA238" s="567"/>
      <c r="CB238" s="567"/>
      <c r="CC238" s="567"/>
      <c r="CD238" s="567"/>
      <c r="CE238" s="567"/>
      <c r="CF238" s="567"/>
      <c r="CG238" s="567"/>
      <c r="CH238" s="567"/>
      <c r="CI238" s="567"/>
      <c r="CJ238" s="567"/>
      <c r="CK238" s="567"/>
      <c r="CL238" s="567"/>
      <c r="CM238" s="567"/>
      <c r="CN238" s="567"/>
      <c r="CO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  <c r="BW239" s="567"/>
      <c r="BX239" s="567"/>
      <c r="BY239" s="567"/>
      <c r="BZ239" s="567"/>
      <c r="CA239" s="567"/>
      <c r="CB239" s="567"/>
      <c r="CC239" s="567"/>
      <c r="CD239" s="567"/>
      <c r="CE239" s="567"/>
      <c r="CF239" s="567"/>
      <c r="CG239" s="567"/>
      <c r="CH239" s="567"/>
      <c r="CI239" s="567"/>
      <c r="CJ239" s="567"/>
      <c r="CK239" s="567"/>
      <c r="CL239" s="567"/>
      <c r="CM239" s="567"/>
      <c r="CN239" s="567"/>
      <c r="CO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  <c r="BW240" s="567"/>
      <c r="BX240" s="567"/>
      <c r="BY240" s="567"/>
      <c r="BZ240" s="567"/>
      <c r="CA240" s="567"/>
      <c r="CB240" s="567"/>
      <c r="CC240" s="567"/>
      <c r="CD240" s="567"/>
      <c r="CE240" s="567"/>
      <c r="CF240" s="567"/>
      <c r="CG240" s="567"/>
      <c r="CH240" s="567"/>
      <c r="CI240" s="567"/>
      <c r="CJ240" s="567"/>
      <c r="CK240" s="567"/>
      <c r="CL240" s="567"/>
      <c r="CM240" s="567"/>
      <c r="CN240" s="567"/>
      <c r="CO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  <c r="BW241" s="567"/>
      <c r="BX241" s="567"/>
      <c r="BY241" s="567"/>
      <c r="BZ241" s="567"/>
      <c r="CA241" s="567"/>
      <c r="CB241" s="567"/>
      <c r="CC241" s="567"/>
      <c r="CD241" s="567"/>
      <c r="CE241" s="567"/>
      <c r="CF241" s="567"/>
      <c r="CG241" s="567"/>
      <c r="CH241" s="567"/>
      <c r="CI241" s="567"/>
      <c r="CJ241" s="567"/>
      <c r="CK241" s="567"/>
      <c r="CL241" s="567"/>
      <c r="CM241" s="567"/>
      <c r="CN241" s="567"/>
      <c r="CO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  <c r="BW242" s="567"/>
      <c r="BX242" s="567"/>
      <c r="BY242" s="567"/>
      <c r="BZ242" s="567"/>
      <c r="CA242" s="567"/>
      <c r="CB242" s="567"/>
      <c r="CC242" s="567"/>
      <c r="CD242" s="567"/>
      <c r="CE242" s="567"/>
      <c r="CF242" s="567"/>
      <c r="CG242" s="567"/>
      <c r="CH242" s="567"/>
      <c r="CI242" s="567"/>
      <c r="CJ242" s="567"/>
      <c r="CK242" s="567"/>
      <c r="CL242" s="567"/>
      <c r="CM242" s="567"/>
      <c r="CN242" s="567"/>
      <c r="CO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  <c r="BW243" s="567"/>
      <c r="BX243" s="567"/>
      <c r="BY243" s="567"/>
      <c r="BZ243" s="567"/>
      <c r="CA243" s="567"/>
      <c r="CB243" s="567"/>
      <c r="CC243" s="567"/>
      <c r="CD243" s="567"/>
      <c r="CE243" s="567"/>
      <c r="CF243" s="567"/>
      <c r="CG243" s="567"/>
      <c r="CH243" s="567"/>
      <c r="CI243" s="567"/>
      <c r="CJ243" s="567"/>
      <c r="CK243" s="567"/>
      <c r="CL243" s="567"/>
      <c r="CM243" s="567"/>
      <c r="CN243" s="567"/>
      <c r="CO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  <c r="BW244" s="567"/>
      <c r="BX244" s="567"/>
      <c r="BY244" s="567"/>
      <c r="BZ244" s="567"/>
      <c r="CA244" s="567"/>
      <c r="CB244" s="567"/>
      <c r="CC244" s="567"/>
      <c r="CD244" s="567"/>
      <c r="CE244" s="567"/>
      <c r="CF244" s="567"/>
      <c r="CG244" s="567"/>
      <c r="CH244" s="567"/>
      <c r="CI244" s="567"/>
      <c r="CJ244" s="567"/>
      <c r="CK244" s="567"/>
      <c r="CL244" s="567"/>
      <c r="CM244" s="567"/>
      <c r="CN244" s="567"/>
      <c r="CO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  <c r="BW245" s="567"/>
      <c r="BX245" s="567"/>
      <c r="BY245" s="567"/>
      <c r="BZ245" s="567"/>
      <c r="CA245" s="567"/>
      <c r="CB245" s="567"/>
      <c r="CC245" s="567"/>
      <c r="CD245" s="567"/>
      <c r="CE245" s="567"/>
      <c r="CF245" s="567"/>
      <c r="CG245" s="567"/>
      <c r="CH245" s="567"/>
      <c r="CI245" s="567"/>
      <c r="CJ245" s="567"/>
      <c r="CK245" s="567"/>
      <c r="CL245" s="567"/>
      <c r="CM245" s="567"/>
      <c r="CN245" s="567"/>
      <c r="CO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  <c r="BW246" s="567"/>
      <c r="BX246" s="567"/>
      <c r="BY246" s="567"/>
      <c r="BZ246" s="567"/>
      <c r="CA246" s="567"/>
      <c r="CB246" s="567"/>
      <c r="CC246" s="567"/>
      <c r="CD246" s="567"/>
      <c r="CE246" s="567"/>
      <c r="CF246" s="567"/>
      <c r="CG246" s="567"/>
      <c r="CH246" s="567"/>
      <c r="CI246" s="567"/>
      <c r="CJ246" s="567"/>
      <c r="CK246" s="567"/>
      <c r="CL246" s="567"/>
      <c r="CM246" s="567"/>
      <c r="CN246" s="567"/>
      <c r="CO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  <c r="BW247" s="567"/>
      <c r="BX247" s="567"/>
      <c r="BY247" s="567"/>
      <c r="BZ247" s="567"/>
      <c r="CA247" s="567"/>
      <c r="CB247" s="567"/>
      <c r="CC247" s="567"/>
      <c r="CD247" s="567"/>
      <c r="CE247" s="567"/>
      <c r="CF247" s="567"/>
      <c r="CG247" s="567"/>
      <c r="CH247" s="567"/>
      <c r="CI247" s="567"/>
      <c r="CJ247" s="567"/>
      <c r="CK247" s="567"/>
      <c r="CL247" s="567"/>
      <c r="CM247" s="567"/>
      <c r="CN247" s="567"/>
      <c r="CO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  <c r="BW248" s="567"/>
      <c r="BX248" s="567"/>
      <c r="BY248" s="567"/>
      <c r="BZ248" s="567"/>
      <c r="CA248" s="567"/>
      <c r="CB248" s="567"/>
      <c r="CC248" s="567"/>
      <c r="CD248" s="567"/>
      <c r="CE248" s="567"/>
      <c r="CF248" s="567"/>
      <c r="CG248" s="567"/>
      <c r="CH248" s="567"/>
      <c r="CI248" s="567"/>
      <c r="CJ248" s="567"/>
      <c r="CK248" s="567"/>
      <c r="CL248" s="567"/>
      <c r="CM248" s="567"/>
      <c r="CN248" s="567"/>
      <c r="CO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  <c r="BW249" s="567"/>
      <c r="BX249" s="567"/>
      <c r="BY249" s="567"/>
      <c r="BZ249" s="567"/>
      <c r="CA249" s="567"/>
      <c r="CB249" s="567"/>
      <c r="CC249" s="567"/>
      <c r="CD249" s="567"/>
      <c r="CE249" s="567"/>
      <c r="CF249" s="567"/>
      <c r="CG249" s="567"/>
      <c r="CH249" s="567"/>
      <c r="CI249" s="567"/>
      <c r="CJ249" s="567"/>
      <c r="CK249" s="567"/>
      <c r="CL249" s="567"/>
      <c r="CM249" s="567"/>
      <c r="CN249" s="567"/>
      <c r="CO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  <c r="BW250" s="567"/>
      <c r="BX250" s="567"/>
      <c r="BY250" s="567"/>
      <c r="BZ250" s="567"/>
      <c r="CA250" s="567"/>
      <c r="CB250" s="567"/>
      <c r="CC250" s="567"/>
      <c r="CD250" s="567"/>
      <c r="CE250" s="567"/>
      <c r="CF250" s="567"/>
      <c r="CG250" s="567"/>
      <c r="CH250" s="567"/>
      <c r="CI250" s="567"/>
      <c r="CJ250" s="567"/>
      <c r="CK250" s="567"/>
      <c r="CL250" s="567"/>
      <c r="CM250" s="567"/>
      <c r="CN250" s="567"/>
      <c r="CO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  <c r="BW251" s="567"/>
      <c r="BX251" s="567"/>
      <c r="BY251" s="567"/>
      <c r="BZ251" s="567"/>
      <c r="CA251" s="567"/>
      <c r="CB251" s="567"/>
      <c r="CC251" s="567"/>
      <c r="CD251" s="567"/>
      <c r="CE251" s="567"/>
      <c r="CF251" s="567"/>
      <c r="CG251" s="567"/>
      <c r="CH251" s="567"/>
      <c r="CI251" s="567"/>
      <c r="CJ251" s="567"/>
      <c r="CK251" s="567"/>
      <c r="CL251" s="567"/>
      <c r="CM251" s="567"/>
      <c r="CN251" s="567"/>
      <c r="CO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  <c r="BW252" s="567"/>
      <c r="BX252" s="567"/>
      <c r="BY252" s="567"/>
      <c r="BZ252" s="567"/>
      <c r="CA252" s="567"/>
      <c r="CB252" s="567"/>
      <c r="CC252" s="567"/>
      <c r="CD252" s="567"/>
      <c r="CE252" s="567"/>
      <c r="CF252" s="567"/>
      <c r="CG252" s="567"/>
      <c r="CH252" s="567"/>
      <c r="CI252" s="567"/>
      <c r="CJ252" s="567"/>
      <c r="CK252" s="567"/>
      <c r="CL252" s="567"/>
      <c r="CM252" s="567"/>
      <c r="CN252" s="567"/>
      <c r="CO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  <c r="CL253" s="567"/>
      <c r="CM253" s="567"/>
      <c r="CN253" s="567"/>
      <c r="CO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  <c r="BW254" s="567"/>
      <c r="BX254" s="567"/>
      <c r="BY254" s="567"/>
      <c r="BZ254" s="567"/>
      <c r="CA254" s="567"/>
      <c r="CB254" s="567"/>
      <c r="CC254" s="567"/>
      <c r="CD254" s="567"/>
      <c r="CE254" s="567"/>
      <c r="CF254" s="567"/>
      <c r="CG254" s="567"/>
      <c r="CH254" s="567"/>
      <c r="CI254" s="567"/>
      <c r="CJ254" s="567"/>
      <c r="CK254" s="567"/>
      <c r="CL254" s="567"/>
      <c r="CM254" s="567"/>
      <c r="CN254" s="567"/>
      <c r="CO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  <c r="BW255" s="567"/>
      <c r="BX255" s="567"/>
      <c r="BY255" s="567"/>
      <c r="BZ255" s="567"/>
      <c r="CA255" s="567"/>
      <c r="CB255" s="567"/>
      <c r="CC255" s="567"/>
      <c r="CD255" s="567"/>
      <c r="CE255" s="567"/>
      <c r="CF255" s="567"/>
      <c r="CG255" s="567"/>
      <c r="CH255" s="567"/>
      <c r="CI255" s="567"/>
      <c r="CJ255" s="567"/>
      <c r="CK255" s="567"/>
      <c r="CL255" s="567"/>
      <c r="CM255" s="567"/>
      <c r="CN255" s="567"/>
      <c r="CO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  <c r="BW256" s="567"/>
      <c r="BX256" s="567"/>
      <c r="BY256" s="567"/>
      <c r="BZ256" s="567"/>
      <c r="CA256" s="567"/>
      <c r="CB256" s="567"/>
      <c r="CC256" s="567"/>
      <c r="CD256" s="567"/>
      <c r="CE256" s="567"/>
      <c r="CF256" s="567"/>
      <c r="CG256" s="567"/>
      <c r="CH256" s="567"/>
      <c r="CI256" s="567"/>
      <c r="CJ256" s="567"/>
      <c r="CK256" s="567"/>
      <c r="CL256" s="567"/>
      <c r="CM256" s="567"/>
      <c r="CN256" s="567"/>
      <c r="CO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  <c r="BW257" s="567"/>
      <c r="BX257" s="567"/>
      <c r="BY257" s="567"/>
      <c r="BZ257" s="567"/>
      <c r="CA257" s="567"/>
      <c r="CB257" s="567"/>
      <c r="CC257" s="567"/>
      <c r="CD257" s="567"/>
      <c r="CE257" s="567"/>
      <c r="CF257" s="567"/>
      <c r="CG257" s="567"/>
      <c r="CH257" s="567"/>
      <c r="CI257" s="567"/>
      <c r="CJ257" s="567"/>
      <c r="CK257" s="567"/>
      <c r="CL257" s="567"/>
      <c r="CM257" s="567"/>
      <c r="CN257" s="567"/>
      <c r="CO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  <c r="BW258" s="567"/>
      <c r="BX258" s="567"/>
      <c r="BY258" s="567"/>
      <c r="BZ258" s="567"/>
      <c r="CA258" s="567"/>
      <c r="CB258" s="567"/>
      <c r="CC258" s="567"/>
      <c r="CD258" s="567"/>
      <c r="CE258" s="567"/>
      <c r="CF258" s="567"/>
      <c r="CG258" s="567"/>
      <c r="CH258" s="567"/>
      <c r="CI258" s="567"/>
      <c r="CJ258" s="567"/>
      <c r="CK258" s="567"/>
      <c r="CL258" s="567"/>
      <c r="CM258" s="567"/>
      <c r="CN258" s="567"/>
      <c r="CO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  <c r="BW259" s="567"/>
      <c r="BX259" s="567"/>
      <c r="BY259" s="567"/>
      <c r="BZ259" s="567"/>
      <c r="CA259" s="567"/>
      <c r="CB259" s="567"/>
      <c r="CC259" s="567"/>
      <c r="CD259" s="567"/>
      <c r="CE259" s="567"/>
      <c r="CF259" s="567"/>
      <c r="CG259" s="567"/>
      <c r="CH259" s="567"/>
      <c r="CI259" s="567"/>
      <c r="CJ259" s="567"/>
      <c r="CK259" s="567"/>
      <c r="CL259" s="567"/>
      <c r="CM259" s="567"/>
      <c r="CN259" s="567"/>
      <c r="CO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  <c r="BW260" s="567"/>
      <c r="BX260" s="567"/>
      <c r="BY260" s="567"/>
      <c r="BZ260" s="567"/>
      <c r="CA260" s="567"/>
      <c r="CB260" s="567"/>
      <c r="CC260" s="567"/>
      <c r="CD260" s="567"/>
      <c r="CE260" s="567"/>
      <c r="CF260" s="567"/>
      <c r="CG260" s="567"/>
      <c r="CH260" s="567"/>
      <c r="CI260" s="567"/>
      <c r="CJ260" s="567"/>
      <c r="CK260" s="567"/>
      <c r="CL260" s="567"/>
      <c r="CM260" s="567"/>
      <c r="CN260" s="567"/>
      <c r="CO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  <c r="BW261" s="567"/>
      <c r="BX261" s="567"/>
      <c r="BY261" s="567"/>
      <c r="BZ261" s="567"/>
      <c r="CA261" s="567"/>
      <c r="CB261" s="567"/>
      <c r="CC261" s="567"/>
      <c r="CD261" s="567"/>
      <c r="CE261" s="567"/>
      <c r="CF261" s="567"/>
      <c r="CG261" s="567"/>
      <c r="CH261" s="567"/>
      <c r="CI261" s="567"/>
      <c r="CJ261" s="567"/>
      <c r="CK261" s="567"/>
      <c r="CL261" s="567"/>
      <c r="CM261" s="567"/>
      <c r="CN261" s="567"/>
      <c r="CO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  <c r="BW262" s="567"/>
      <c r="BX262" s="567"/>
      <c r="BY262" s="567"/>
      <c r="BZ262" s="567"/>
      <c r="CA262" s="567"/>
      <c r="CB262" s="567"/>
      <c r="CC262" s="567"/>
      <c r="CD262" s="567"/>
      <c r="CE262" s="567"/>
      <c r="CF262" s="567"/>
      <c r="CG262" s="567"/>
      <c r="CH262" s="567"/>
      <c r="CI262" s="567"/>
      <c r="CJ262" s="567"/>
      <c r="CK262" s="567"/>
      <c r="CL262" s="567"/>
      <c r="CM262" s="567"/>
      <c r="CN262" s="567"/>
      <c r="CO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  <c r="BW263" s="567"/>
      <c r="BX263" s="567"/>
      <c r="BY263" s="567"/>
      <c r="BZ263" s="567"/>
      <c r="CA263" s="567"/>
      <c r="CB263" s="567"/>
      <c r="CC263" s="567"/>
      <c r="CD263" s="567"/>
      <c r="CE263" s="567"/>
      <c r="CF263" s="567"/>
      <c r="CG263" s="567"/>
      <c r="CH263" s="567"/>
      <c r="CI263" s="567"/>
      <c r="CJ263" s="567"/>
      <c r="CK263" s="567"/>
      <c r="CL263" s="567"/>
      <c r="CM263" s="567"/>
      <c r="CN263" s="567"/>
      <c r="CO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  <c r="BW264" s="567"/>
      <c r="BX264" s="567"/>
      <c r="BY264" s="567"/>
      <c r="BZ264" s="567"/>
      <c r="CA264" s="567"/>
      <c r="CB264" s="567"/>
      <c r="CC264" s="567"/>
      <c r="CD264" s="567"/>
      <c r="CE264" s="567"/>
      <c r="CF264" s="567"/>
      <c r="CG264" s="567"/>
      <c r="CH264" s="567"/>
      <c r="CI264" s="567"/>
      <c r="CJ264" s="567"/>
      <c r="CK264" s="567"/>
      <c r="CL264" s="567"/>
      <c r="CM264" s="567"/>
      <c r="CN264" s="567"/>
      <c r="CO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  <c r="BW265" s="567"/>
      <c r="BX265" s="567"/>
      <c r="BY265" s="567"/>
      <c r="BZ265" s="567"/>
      <c r="CA265" s="567"/>
      <c r="CB265" s="567"/>
      <c r="CC265" s="567"/>
      <c r="CD265" s="567"/>
      <c r="CE265" s="567"/>
      <c r="CF265" s="567"/>
      <c r="CG265" s="567"/>
      <c r="CH265" s="567"/>
      <c r="CI265" s="567"/>
      <c r="CJ265" s="567"/>
      <c r="CK265" s="567"/>
      <c r="CL265" s="567"/>
      <c r="CM265" s="567"/>
      <c r="CN265" s="567"/>
      <c r="CO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  <c r="BW266" s="567"/>
      <c r="BX266" s="567"/>
      <c r="BY266" s="567"/>
      <c r="BZ266" s="567"/>
      <c r="CA266" s="567"/>
      <c r="CB266" s="567"/>
      <c r="CC266" s="567"/>
      <c r="CD266" s="567"/>
      <c r="CE266" s="567"/>
      <c r="CF266" s="567"/>
      <c r="CG266" s="567"/>
      <c r="CH266" s="567"/>
      <c r="CI266" s="567"/>
      <c r="CJ266" s="567"/>
      <c r="CK266" s="567"/>
      <c r="CL266" s="567"/>
      <c r="CM266" s="567"/>
      <c r="CN266" s="567"/>
      <c r="CO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  <c r="BW267" s="567"/>
      <c r="BX267" s="567"/>
      <c r="BY267" s="567"/>
      <c r="BZ267" s="567"/>
      <c r="CA267" s="567"/>
      <c r="CB267" s="567"/>
      <c r="CC267" s="567"/>
      <c r="CD267" s="567"/>
      <c r="CE267" s="567"/>
      <c r="CF267" s="567"/>
      <c r="CG267" s="567"/>
      <c r="CH267" s="567"/>
      <c r="CI267" s="567"/>
      <c r="CJ267" s="567"/>
      <c r="CK267" s="567"/>
      <c r="CL267" s="567"/>
      <c r="CM267" s="567"/>
      <c r="CN267" s="567"/>
      <c r="CO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  <c r="BW268" s="567"/>
      <c r="BX268" s="567"/>
      <c r="BY268" s="567"/>
      <c r="BZ268" s="567"/>
      <c r="CA268" s="567"/>
      <c r="CB268" s="567"/>
      <c r="CC268" s="567"/>
      <c r="CD268" s="567"/>
      <c r="CE268" s="567"/>
      <c r="CF268" s="567"/>
      <c r="CG268" s="567"/>
      <c r="CH268" s="567"/>
      <c r="CI268" s="567"/>
      <c r="CJ268" s="567"/>
      <c r="CK268" s="567"/>
      <c r="CL268" s="567"/>
      <c r="CM268" s="567"/>
      <c r="CN268" s="567"/>
      <c r="CO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  <c r="BW269" s="567"/>
      <c r="BX269" s="567"/>
      <c r="BY269" s="567"/>
      <c r="BZ269" s="567"/>
      <c r="CA269" s="567"/>
      <c r="CB269" s="567"/>
      <c r="CC269" s="567"/>
      <c r="CD269" s="567"/>
      <c r="CE269" s="567"/>
      <c r="CF269" s="567"/>
      <c r="CG269" s="567"/>
      <c r="CH269" s="567"/>
      <c r="CI269" s="567"/>
      <c r="CJ269" s="567"/>
      <c r="CK269" s="567"/>
      <c r="CL269" s="567"/>
      <c r="CM269" s="567"/>
      <c r="CN269" s="567"/>
      <c r="CO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  <c r="BW270" s="567"/>
      <c r="BX270" s="567"/>
      <c r="BY270" s="567"/>
      <c r="BZ270" s="567"/>
      <c r="CA270" s="567"/>
      <c r="CB270" s="567"/>
      <c r="CC270" s="567"/>
      <c r="CD270" s="567"/>
      <c r="CE270" s="567"/>
      <c r="CF270" s="567"/>
      <c r="CG270" s="567"/>
      <c r="CH270" s="567"/>
      <c r="CI270" s="567"/>
      <c r="CJ270" s="567"/>
      <c r="CK270" s="567"/>
      <c r="CL270" s="567"/>
      <c r="CM270" s="567"/>
      <c r="CN270" s="567"/>
      <c r="CO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  <c r="BW271" s="567"/>
      <c r="BX271" s="567"/>
      <c r="BY271" s="567"/>
      <c r="BZ271" s="567"/>
      <c r="CA271" s="567"/>
      <c r="CB271" s="567"/>
      <c r="CC271" s="567"/>
      <c r="CD271" s="567"/>
      <c r="CE271" s="567"/>
      <c r="CF271" s="567"/>
      <c r="CG271" s="567"/>
      <c r="CH271" s="567"/>
      <c r="CI271" s="567"/>
      <c r="CJ271" s="567"/>
      <c r="CK271" s="567"/>
      <c r="CL271" s="567"/>
      <c r="CM271" s="567"/>
      <c r="CN271" s="567"/>
      <c r="CO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  <c r="BW272" s="567"/>
      <c r="BX272" s="567"/>
      <c r="BY272" s="567"/>
      <c r="BZ272" s="567"/>
      <c r="CA272" s="567"/>
      <c r="CB272" s="567"/>
      <c r="CC272" s="567"/>
      <c r="CD272" s="567"/>
      <c r="CE272" s="567"/>
      <c r="CF272" s="567"/>
      <c r="CG272" s="567"/>
      <c r="CH272" s="567"/>
      <c r="CI272" s="567"/>
      <c r="CJ272" s="567"/>
      <c r="CK272" s="567"/>
      <c r="CL272" s="567"/>
      <c r="CM272" s="567"/>
      <c r="CN272" s="567"/>
      <c r="CO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  <c r="BW273" s="567"/>
      <c r="BX273" s="567"/>
      <c r="BY273" s="567"/>
      <c r="BZ273" s="567"/>
      <c r="CA273" s="567"/>
      <c r="CB273" s="567"/>
      <c r="CC273" s="567"/>
      <c r="CD273" s="567"/>
      <c r="CE273" s="567"/>
      <c r="CF273" s="567"/>
      <c r="CG273" s="567"/>
      <c r="CH273" s="567"/>
      <c r="CI273" s="567"/>
      <c r="CJ273" s="567"/>
      <c r="CK273" s="567"/>
      <c r="CL273" s="567"/>
      <c r="CM273" s="567"/>
      <c r="CN273" s="567"/>
      <c r="CO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  <c r="BW274" s="567"/>
      <c r="BX274" s="567"/>
      <c r="BY274" s="567"/>
      <c r="BZ274" s="567"/>
      <c r="CA274" s="567"/>
      <c r="CB274" s="567"/>
      <c r="CC274" s="567"/>
      <c r="CD274" s="567"/>
      <c r="CE274" s="567"/>
      <c r="CF274" s="567"/>
      <c r="CG274" s="567"/>
      <c r="CH274" s="567"/>
      <c r="CI274" s="567"/>
      <c r="CJ274" s="567"/>
      <c r="CK274" s="567"/>
      <c r="CL274" s="567"/>
      <c r="CM274" s="567"/>
      <c r="CN274" s="567"/>
      <c r="CO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  <c r="BW275" s="567"/>
      <c r="BX275" s="567"/>
      <c r="BY275" s="567"/>
      <c r="BZ275" s="567"/>
      <c r="CA275" s="567"/>
      <c r="CB275" s="567"/>
      <c r="CC275" s="567"/>
      <c r="CD275" s="567"/>
      <c r="CE275" s="567"/>
      <c r="CF275" s="567"/>
      <c r="CG275" s="567"/>
      <c r="CH275" s="567"/>
      <c r="CI275" s="567"/>
      <c r="CJ275" s="567"/>
      <c r="CK275" s="567"/>
      <c r="CL275" s="567"/>
      <c r="CM275" s="567"/>
      <c r="CN275" s="567"/>
      <c r="CO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  <c r="BW276" s="567"/>
      <c r="BX276" s="567"/>
      <c r="BY276" s="567"/>
      <c r="BZ276" s="567"/>
      <c r="CA276" s="567"/>
      <c r="CB276" s="567"/>
      <c r="CC276" s="567"/>
      <c r="CD276" s="567"/>
      <c r="CE276" s="567"/>
      <c r="CF276" s="567"/>
      <c r="CG276" s="567"/>
      <c r="CH276" s="567"/>
      <c r="CI276" s="567"/>
      <c r="CJ276" s="567"/>
      <c r="CK276" s="567"/>
      <c r="CL276" s="567"/>
      <c r="CM276" s="567"/>
      <c r="CN276" s="567"/>
      <c r="CO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  <c r="BW277" s="567"/>
      <c r="BX277" s="567"/>
      <c r="BY277" s="567"/>
      <c r="BZ277" s="567"/>
      <c r="CA277" s="567"/>
      <c r="CB277" s="567"/>
      <c r="CC277" s="567"/>
      <c r="CD277" s="567"/>
      <c r="CE277" s="567"/>
      <c r="CF277" s="567"/>
      <c r="CG277" s="567"/>
      <c r="CH277" s="567"/>
      <c r="CI277" s="567"/>
      <c r="CJ277" s="567"/>
      <c r="CK277" s="567"/>
      <c r="CL277" s="567"/>
      <c r="CM277" s="567"/>
      <c r="CN277" s="567"/>
      <c r="CO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  <c r="BW278" s="567"/>
      <c r="BX278" s="567"/>
      <c r="BY278" s="567"/>
      <c r="BZ278" s="567"/>
      <c r="CA278" s="567"/>
      <c r="CB278" s="567"/>
      <c r="CC278" s="567"/>
      <c r="CD278" s="567"/>
      <c r="CE278" s="567"/>
      <c r="CF278" s="567"/>
      <c r="CG278" s="567"/>
      <c r="CH278" s="567"/>
      <c r="CI278" s="567"/>
      <c r="CJ278" s="567"/>
      <c r="CK278" s="567"/>
      <c r="CL278" s="567"/>
      <c r="CM278" s="567"/>
      <c r="CN278" s="567"/>
      <c r="CO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  <c r="BW279" s="567"/>
      <c r="BX279" s="567"/>
      <c r="BY279" s="567"/>
      <c r="BZ279" s="567"/>
      <c r="CA279" s="567"/>
      <c r="CB279" s="567"/>
      <c r="CC279" s="567"/>
      <c r="CD279" s="567"/>
      <c r="CE279" s="567"/>
      <c r="CF279" s="567"/>
      <c r="CG279" s="567"/>
      <c r="CH279" s="567"/>
      <c r="CI279" s="567"/>
      <c r="CJ279" s="567"/>
      <c r="CK279" s="567"/>
      <c r="CL279" s="567"/>
      <c r="CM279" s="567"/>
      <c r="CN279" s="567"/>
      <c r="CO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  <c r="BW280" s="567"/>
      <c r="BX280" s="567"/>
      <c r="BY280" s="567"/>
      <c r="BZ280" s="567"/>
      <c r="CA280" s="567"/>
      <c r="CB280" s="567"/>
      <c r="CC280" s="567"/>
      <c r="CD280" s="567"/>
      <c r="CE280" s="567"/>
      <c r="CF280" s="567"/>
      <c r="CG280" s="567"/>
      <c r="CH280" s="567"/>
      <c r="CI280" s="567"/>
      <c r="CJ280" s="567"/>
      <c r="CK280" s="567"/>
      <c r="CL280" s="567"/>
      <c r="CM280" s="567"/>
      <c r="CN280" s="567"/>
      <c r="CO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  <c r="BW281" s="567"/>
      <c r="BX281" s="567"/>
      <c r="BY281" s="567"/>
      <c r="BZ281" s="567"/>
      <c r="CA281" s="567"/>
      <c r="CB281" s="567"/>
      <c r="CC281" s="567"/>
      <c r="CD281" s="567"/>
      <c r="CE281" s="567"/>
      <c r="CF281" s="567"/>
      <c r="CG281" s="567"/>
      <c r="CH281" s="567"/>
      <c r="CI281" s="567"/>
      <c r="CJ281" s="567"/>
      <c r="CK281" s="567"/>
      <c r="CL281" s="567"/>
      <c r="CM281" s="567"/>
      <c r="CN281" s="567"/>
      <c r="CO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  <c r="BW282" s="567"/>
      <c r="BX282" s="567"/>
      <c r="BY282" s="567"/>
      <c r="BZ282" s="567"/>
      <c r="CA282" s="567"/>
      <c r="CB282" s="567"/>
      <c r="CC282" s="567"/>
      <c r="CD282" s="567"/>
      <c r="CE282" s="567"/>
      <c r="CF282" s="567"/>
      <c r="CG282" s="567"/>
      <c r="CH282" s="567"/>
      <c r="CI282" s="567"/>
      <c r="CJ282" s="567"/>
      <c r="CK282" s="567"/>
      <c r="CL282" s="567"/>
      <c r="CM282" s="567"/>
      <c r="CN282" s="567"/>
      <c r="CO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  <c r="BW283" s="567"/>
      <c r="BX283" s="567"/>
      <c r="BY283" s="567"/>
      <c r="BZ283" s="567"/>
      <c r="CA283" s="567"/>
      <c r="CB283" s="567"/>
      <c r="CC283" s="567"/>
      <c r="CD283" s="567"/>
      <c r="CE283" s="567"/>
      <c r="CF283" s="567"/>
      <c r="CG283" s="567"/>
      <c r="CH283" s="567"/>
      <c r="CI283" s="567"/>
      <c r="CJ283" s="567"/>
      <c r="CK283" s="567"/>
      <c r="CL283" s="567"/>
      <c r="CM283" s="567"/>
      <c r="CN283" s="567"/>
      <c r="CO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  <c r="BW284" s="567"/>
      <c r="BX284" s="567"/>
      <c r="BY284" s="567"/>
      <c r="BZ284" s="567"/>
      <c r="CA284" s="567"/>
      <c r="CB284" s="567"/>
      <c r="CC284" s="567"/>
      <c r="CD284" s="567"/>
      <c r="CE284" s="567"/>
      <c r="CF284" s="567"/>
      <c r="CG284" s="567"/>
      <c r="CH284" s="567"/>
      <c r="CI284" s="567"/>
      <c r="CJ284" s="567"/>
      <c r="CK284" s="567"/>
      <c r="CL284" s="567"/>
      <c r="CM284" s="567"/>
      <c r="CN284" s="567"/>
      <c r="CO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  <c r="BW285" s="567"/>
      <c r="BX285" s="567"/>
      <c r="BY285" s="567"/>
      <c r="BZ285" s="567"/>
      <c r="CA285" s="567"/>
      <c r="CB285" s="567"/>
      <c r="CC285" s="567"/>
      <c r="CD285" s="567"/>
      <c r="CE285" s="567"/>
      <c r="CF285" s="567"/>
      <c r="CG285" s="567"/>
      <c r="CH285" s="567"/>
      <c r="CI285" s="567"/>
      <c r="CJ285" s="567"/>
      <c r="CK285" s="567"/>
      <c r="CL285" s="567"/>
      <c r="CM285" s="567"/>
      <c r="CN285" s="567"/>
      <c r="CO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  <c r="BW286" s="567"/>
      <c r="BX286" s="567"/>
      <c r="BY286" s="567"/>
      <c r="BZ286" s="567"/>
      <c r="CA286" s="567"/>
      <c r="CB286" s="567"/>
      <c r="CC286" s="567"/>
      <c r="CD286" s="567"/>
      <c r="CE286" s="567"/>
      <c r="CF286" s="567"/>
      <c r="CG286" s="567"/>
      <c r="CH286" s="567"/>
      <c r="CI286" s="567"/>
      <c r="CJ286" s="567"/>
      <c r="CK286" s="567"/>
      <c r="CL286" s="567"/>
      <c r="CM286" s="567"/>
      <c r="CN286" s="567"/>
      <c r="CO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  <c r="BW287" s="567"/>
      <c r="BX287" s="567"/>
      <c r="BY287" s="567"/>
      <c r="BZ287" s="567"/>
      <c r="CA287" s="567"/>
      <c r="CB287" s="567"/>
      <c r="CC287" s="567"/>
      <c r="CD287" s="567"/>
      <c r="CE287" s="567"/>
      <c r="CF287" s="567"/>
      <c r="CG287" s="567"/>
      <c r="CH287" s="567"/>
      <c r="CI287" s="567"/>
      <c r="CJ287" s="567"/>
      <c r="CK287" s="567"/>
      <c r="CL287" s="567"/>
      <c r="CM287" s="567"/>
      <c r="CN287" s="567"/>
      <c r="CO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  <c r="BW288" s="567"/>
      <c r="BX288" s="567"/>
      <c r="BY288" s="567"/>
      <c r="BZ288" s="567"/>
      <c r="CA288" s="567"/>
      <c r="CB288" s="567"/>
      <c r="CC288" s="567"/>
      <c r="CD288" s="567"/>
      <c r="CE288" s="567"/>
      <c r="CF288" s="567"/>
      <c r="CG288" s="567"/>
      <c r="CH288" s="567"/>
      <c r="CI288" s="567"/>
      <c r="CJ288" s="567"/>
      <c r="CK288" s="567"/>
      <c r="CL288" s="567"/>
      <c r="CM288" s="567"/>
      <c r="CN288" s="567"/>
      <c r="CO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  <c r="BW289" s="567"/>
      <c r="BX289" s="567"/>
      <c r="BY289" s="567"/>
      <c r="BZ289" s="567"/>
      <c r="CA289" s="567"/>
      <c r="CB289" s="567"/>
      <c r="CC289" s="567"/>
      <c r="CD289" s="567"/>
      <c r="CE289" s="567"/>
      <c r="CF289" s="567"/>
      <c r="CG289" s="567"/>
      <c r="CH289" s="567"/>
      <c r="CI289" s="567"/>
      <c r="CJ289" s="567"/>
      <c r="CK289" s="567"/>
      <c r="CL289" s="567"/>
      <c r="CM289" s="567"/>
      <c r="CN289" s="567"/>
      <c r="CO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  <c r="BW290" s="567"/>
      <c r="BX290" s="567"/>
      <c r="BY290" s="567"/>
      <c r="BZ290" s="567"/>
      <c r="CA290" s="567"/>
      <c r="CB290" s="567"/>
      <c r="CC290" s="567"/>
      <c r="CD290" s="567"/>
      <c r="CE290" s="567"/>
      <c r="CF290" s="567"/>
      <c r="CG290" s="567"/>
      <c r="CH290" s="567"/>
      <c r="CI290" s="567"/>
      <c r="CJ290" s="567"/>
      <c r="CK290" s="567"/>
      <c r="CL290" s="567"/>
      <c r="CM290" s="567"/>
      <c r="CN290" s="567"/>
      <c r="CO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  <c r="BW291" s="567"/>
      <c r="BX291" s="567"/>
      <c r="BY291" s="567"/>
      <c r="BZ291" s="567"/>
      <c r="CA291" s="567"/>
      <c r="CB291" s="567"/>
      <c r="CC291" s="567"/>
      <c r="CD291" s="567"/>
      <c r="CE291" s="567"/>
      <c r="CF291" s="567"/>
      <c r="CG291" s="567"/>
      <c r="CH291" s="567"/>
      <c r="CI291" s="567"/>
      <c r="CJ291" s="567"/>
      <c r="CK291" s="567"/>
      <c r="CL291" s="567"/>
      <c r="CM291" s="567"/>
      <c r="CN291" s="567"/>
      <c r="CO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  <c r="BW292" s="567"/>
      <c r="BX292" s="567"/>
      <c r="BY292" s="567"/>
      <c r="BZ292" s="567"/>
      <c r="CA292" s="567"/>
      <c r="CB292" s="567"/>
      <c r="CC292" s="567"/>
      <c r="CD292" s="567"/>
      <c r="CE292" s="567"/>
      <c r="CF292" s="567"/>
      <c r="CG292" s="567"/>
      <c r="CH292" s="567"/>
      <c r="CI292" s="567"/>
      <c r="CJ292" s="567"/>
      <c r="CK292" s="567"/>
      <c r="CL292" s="567"/>
      <c r="CM292" s="567"/>
      <c r="CN292" s="567"/>
      <c r="CO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  <c r="BW293" s="567"/>
      <c r="BX293" s="567"/>
      <c r="BY293" s="567"/>
      <c r="BZ293" s="567"/>
      <c r="CA293" s="567"/>
      <c r="CB293" s="567"/>
      <c r="CC293" s="567"/>
      <c r="CD293" s="567"/>
      <c r="CE293" s="567"/>
      <c r="CF293" s="567"/>
      <c r="CG293" s="567"/>
      <c r="CH293" s="567"/>
      <c r="CI293" s="567"/>
      <c r="CJ293" s="567"/>
      <c r="CK293" s="567"/>
      <c r="CL293" s="567"/>
      <c r="CM293" s="567"/>
      <c r="CN293" s="567"/>
      <c r="CO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  <c r="BW294" s="567"/>
      <c r="BX294" s="567"/>
      <c r="BY294" s="567"/>
      <c r="BZ294" s="567"/>
      <c r="CA294" s="567"/>
      <c r="CB294" s="567"/>
      <c r="CC294" s="567"/>
      <c r="CD294" s="567"/>
      <c r="CE294" s="567"/>
      <c r="CF294" s="567"/>
      <c r="CG294" s="567"/>
      <c r="CH294" s="567"/>
      <c r="CI294" s="567"/>
      <c r="CJ294" s="567"/>
      <c r="CK294" s="567"/>
      <c r="CL294" s="567"/>
      <c r="CM294" s="567"/>
      <c r="CN294" s="567"/>
      <c r="CO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  <c r="BW295" s="567"/>
      <c r="BX295" s="567"/>
      <c r="BY295" s="567"/>
      <c r="BZ295" s="567"/>
      <c r="CA295" s="567"/>
      <c r="CB295" s="567"/>
      <c r="CC295" s="567"/>
      <c r="CD295" s="567"/>
      <c r="CE295" s="567"/>
      <c r="CF295" s="567"/>
      <c r="CG295" s="567"/>
      <c r="CH295" s="567"/>
      <c r="CI295" s="567"/>
      <c r="CJ295" s="567"/>
      <c r="CK295" s="567"/>
      <c r="CL295" s="567"/>
      <c r="CM295" s="567"/>
      <c r="CN295" s="567"/>
      <c r="CO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  <c r="BW296" s="567"/>
      <c r="BX296" s="567"/>
      <c r="BY296" s="567"/>
      <c r="BZ296" s="567"/>
      <c r="CA296" s="567"/>
      <c r="CB296" s="567"/>
      <c r="CC296" s="567"/>
      <c r="CD296" s="567"/>
      <c r="CE296" s="567"/>
      <c r="CF296" s="567"/>
      <c r="CG296" s="567"/>
      <c r="CH296" s="567"/>
      <c r="CI296" s="567"/>
      <c r="CJ296" s="567"/>
      <c r="CK296" s="567"/>
      <c r="CL296" s="567"/>
      <c r="CM296" s="567"/>
      <c r="CN296" s="567"/>
      <c r="CO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  <c r="BW297" s="567"/>
      <c r="BX297" s="567"/>
      <c r="BY297" s="567"/>
      <c r="BZ297" s="567"/>
      <c r="CA297" s="567"/>
      <c r="CB297" s="567"/>
      <c r="CC297" s="567"/>
      <c r="CD297" s="567"/>
      <c r="CE297" s="567"/>
      <c r="CF297" s="567"/>
      <c r="CG297" s="567"/>
      <c r="CH297" s="567"/>
      <c r="CI297" s="567"/>
      <c r="CJ297" s="567"/>
      <c r="CK297" s="567"/>
      <c r="CL297" s="567"/>
      <c r="CM297" s="567"/>
      <c r="CN297" s="567"/>
      <c r="CO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  <c r="BW298" s="567"/>
      <c r="BX298" s="567"/>
      <c r="BY298" s="567"/>
      <c r="BZ298" s="567"/>
      <c r="CA298" s="567"/>
      <c r="CB298" s="567"/>
      <c r="CC298" s="567"/>
      <c r="CD298" s="567"/>
      <c r="CE298" s="567"/>
      <c r="CF298" s="567"/>
      <c r="CG298" s="567"/>
      <c r="CH298" s="567"/>
      <c r="CI298" s="567"/>
      <c r="CJ298" s="567"/>
      <c r="CK298" s="567"/>
      <c r="CL298" s="567"/>
      <c r="CM298" s="567"/>
      <c r="CN298" s="567"/>
      <c r="CO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  <c r="BW299" s="567"/>
      <c r="BX299" s="567"/>
      <c r="BY299" s="567"/>
      <c r="BZ299" s="567"/>
      <c r="CA299" s="567"/>
      <c r="CB299" s="567"/>
      <c r="CC299" s="567"/>
      <c r="CD299" s="567"/>
      <c r="CE299" s="567"/>
      <c r="CF299" s="567"/>
      <c r="CG299" s="567"/>
      <c r="CH299" s="567"/>
      <c r="CI299" s="567"/>
      <c r="CJ299" s="567"/>
      <c r="CK299" s="567"/>
      <c r="CL299" s="567"/>
      <c r="CM299" s="567"/>
      <c r="CN299" s="567"/>
      <c r="CO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  <c r="BW300" s="567"/>
      <c r="BX300" s="567"/>
      <c r="BY300" s="567"/>
      <c r="BZ300" s="567"/>
      <c r="CA300" s="567"/>
      <c r="CB300" s="567"/>
      <c r="CC300" s="567"/>
      <c r="CD300" s="567"/>
      <c r="CE300" s="567"/>
      <c r="CF300" s="567"/>
      <c r="CG300" s="567"/>
      <c r="CH300" s="567"/>
      <c r="CI300" s="567"/>
      <c r="CJ300" s="567"/>
      <c r="CK300" s="567"/>
      <c r="CL300" s="567"/>
      <c r="CM300" s="567"/>
      <c r="CN300" s="567"/>
      <c r="CO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  <c r="BW301" s="567"/>
      <c r="BX301" s="567"/>
      <c r="BY301" s="567"/>
      <c r="BZ301" s="567"/>
      <c r="CA301" s="567"/>
      <c r="CB301" s="567"/>
      <c r="CC301" s="567"/>
      <c r="CD301" s="567"/>
      <c r="CE301" s="567"/>
      <c r="CF301" s="567"/>
      <c r="CG301" s="567"/>
      <c r="CH301" s="567"/>
      <c r="CI301" s="567"/>
      <c r="CJ301" s="567"/>
      <c r="CK301" s="567"/>
      <c r="CL301" s="567"/>
      <c r="CM301" s="567"/>
      <c r="CN301" s="567"/>
      <c r="CO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  <c r="BW302" s="567"/>
      <c r="BX302" s="567"/>
      <c r="BY302" s="567"/>
      <c r="BZ302" s="567"/>
      <c r="CA302" s="567"/>
      <c r="CB302" s="567"/>
      <c r="CC302" s="567"/>
      <c r="CD302" s="567"/>
      <c r="CE302" s="567"/>
      <c r="CF302" s="567"/>
      <c r="CG302" s="567"/>
      <c r="CH302" s="567"/>
      <c r="CI302" s="567"/>
      <c r="CJ302" s="567"/>
      <c r="CK302" s="567"/>
      <c r="CL302" s="567"/>
      <c r="CM302" s="567"/>
      <c r="CN302" s="567"/>
      <c r="CO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  <c r="BW303" s="567"/>
      <c r="BX303" s="567"/>
      <c r="BY303" s="567"/>
      <c r="BZ303" s="567"/>
      <c r="CA303" s="567"/>
      <c r="CB303" s="567"/>
      <c r="CC303" s="567"/>
      <c r="CD303" s="567"/>
      <c r="CE303" s="567"/>
      <c r="CF303" s="567"/>
      <c r="CG303" s="567"/>
      <c r="CH303" s="567"/>
      <c r="CI303" s="567"/>
      <c r="CJ303" s="567"/>
      <c r="CK303" s="567"/>
      <c r="CL303" s="567"/>
      <c r="CM303" s="567"/>
      <c r="CN303" s="567"/>
      <c r="CO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  <c r="BW304" s="567"/>
      <c r="BX304" s="567"/>
      <c r="BY304" s="567"/>
      <c r="BZ304" s="567"/>
      <c r="CA304" s="567"/>
      <c r="CB304" s="567"/>
      <c r="CC304" s="567"/>
      <c r="CD304" s="567"/>
      <c r="CE304" s="567"/>
      <c r="CF304" s="567"/>
      <c r="CG304" s="567"/>
      <c r="CH304" s="567"/>
      <c r="CI304" s="567"/>
      <c r="CJ304" s="567"/>
      <c r="CK304" s="567"/>
      <c r="CL304" s="567"/>
      <c r="CM304" s="567"/>
      <c r="CN304" s="567"/>
      <c r="CO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  <c r="BW305" s="567"/>
      <c r="BX305" s="567"/>
      <c r="BY305" s="567"/>
      <c r="BZ305" s="567"/>
      <c r="CA305" s="567"/>
      <c r="CB305" s="567"/>
      <c r="CC305" s="567"/>
      <c r="CD305" s="567"/>
      <c r="CE305" s="567"/>
      <c r="CF305" s="567"/>
      <c r="CG305" s="567"/>
      <c r="CH305" s="567"/>
      <c r="CI305" s="567"/>
      <c r="CJ305" s="567"/>
      <c r="CK305" s="567"/>
      <c r="CL305" s="567"/>
      <c r="CM305" s="567"/>
      <c r="CN305" s="567"/>
      <c r="CO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  <c r="BW306" s="567"/>
      <c r="BX306" s="567"/>
      <c r="BY306" s="567"/>
      <c r="BZ306" s="567"/>
      <c r="CA306" s="567"/>
      <c r="CB306" s="567"/>
      <c r="CC306" s="567"/>
      <c r="CD306" s="567"/>
      <c r="CE306" s="567"/>
      <c r="CF306" s="567"/>
      <c r="CG306" s="567"/>
      <c r="CH306" s="567"/>
      <c r="CI306" s="567"/>
      <c r="CJ306" s="567"/>
      <c r="CK306" s="567"/>
      <c r="CL306" s="567"/>
      <c r="CM306" s="567"/>
      <c r="CN306" s="567"/>
      <c r="CO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  <c r="BW307" s="567"/>
      <c r="BX307" s="567"/>
      <c r="BY307" s="567"/>
      <c r="BZ307" s="567"/>
      <c r="CA307" s="567"/>
      <c r="CB307" s="567"/>
      <c r="CC307" s="567"/>
      <c r="CD307" s="567"/>
      <c r="CE307" s="567"/>
      <c r="CF307" s="567"/>
      <c r="CG307" s="567"/>
      <c r="CH307" s="567"/>
      <c r="CI307" s="567"/>
      <c r="CJ307" s="567"/>
      <c r="CK307" s="567"/>
      <c r="CL307" s="567"/>
      <c r="CM307" s="567"/>
      <c r="CN307" s="567"/>
      <c r="CO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  <c r="BW308" s="567"/>
      <c r="BX308" s="567"/>
      <c r="BY308" s="567"/>
      <c r="BZ308" s="567"/>
      <c r="CA308" s="567"/>
      <c r="CB308" s="567"/>
      <c r="CC308" s="567"/>
      <c r="CD308" s="567"/>
      <c r="CE308" s="567"/>
      <c r="CF308" s="567"/>
      <c r="CG308" s="567"/>
      <c r="CH308" s="567"/>
      <c r="CI308" s="567"/>
      <c r="CJ308" s="567"/>
      <c r="CK308" s="567"/>
      <c r="CL308" s="567"/>
      <c r="CM308" s="567"/>
      <c r="CN308" s="567"/>
      <c r="CO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  <c r="BW309" s="567"/>
      <c r="BX309" s="567"/>
      <c r="BY309" s="567"/>
      <c r="BZ309" s="567"/>
      <c r="CA309" s="567"/>
      <c r="CB309" s="567"/>
      <c r="CC309" s="567"/>
      <c r="CD309" s="567"/>
      <c r="CE309" s="567"/>
      <c r="CF309" s="567"/>
      <c r="CG309" s="567"/>
      <c r="CH309" s="567"/>
      <c r="CI309" s="567"/>
      <c r="CJ309" s="567"/>
      <c r="CK309" s="567"/>
      <c r="CL309" s="567"/>
      <c r="CM309" s="567"/>
      <c r="CN309" s="567"/>
      <c r="CO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  <c r="BW310" s="567"/>
      <c r="BX310" s="567"/>
      <c r="BY310" s="567"/>
      <c r="BZ310" s="567"/>
      <c r="CA310" s="567"/>
      <c r="CB310" s="567"/>
      <c r="CC310" s="567"/>
      <c r="CD310" s="567"/>
      <c r="CE310" s="567"/>
      <c r="CF310" s="567"/>
      <c r="CG310" s="567"/>
      <c r="CH310" s="567"/>
      <c r="CI310" s="567"/>
      <c r="CJ310" s="567"/>
      <c r="CK310" s="567"/>
      <c r="CL310" s="567"/>
      <c r="CM310" s="567"/>
      <c r="CN310" s="567"/>
      <c r="CO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  <c r="BW311" s="567"/>
      <c r="BX311" s="567"/>
      <c r="BY311" s="567"/>
      <c r="BZ311" s="567"/>
      <c r="CA311" s="567"/>
      <c r="CB311" s="567"/>
      <c r="CC311" s="567"/>
      <c r="CD311" s="567"/>
      <c r="CE311" s="567"/>
      <c r="CF311" s="567"/>
      <c r="CG311" s="567"/>
      <c r="CH311" s="567"/>
      <c r="CI311" s="567"/>
      <c r="CJ311" s="567"/>
      <c r="CK311" s="567"/>
      <c r="CL311" s="567"/>
      <c r="CM311" s="567"/>
      <c r="CN311" s="567"/>
      <c r="CO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  <c r="BW312" s="567"/>
      <c r="BX312" s="567"/>
      <c r="BY312" s="567"/>
      <c r="BZ312" s="567"/>
      <c r="CA312" s="567"/>
      <c r="CB312" s="567"/>
      <c r="CC312" s="567"/>
      <c r="CD312" s="567"/>
      <c r="CE312" s="567"/>
      <c r="CF312" s="567"/>
      <c r="CG312" s="567"/>
      <c r="CH312" s="567"/>
      <c r="CI312" s="567"/>
      <c r="CJ312" s="567"/>
      <c r="CK312" s="567"/>
      <c r="CL312" s="567"/>
      <c r="CM312" s="567"/>
      <c r="CN312" s="567"/>
      <c r="CO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  <c r="BW313" s="567"/>
      <c r="BX313" s="567"/>
      <c r="BY313" s="567"/>
      <c r="BZ313" s="567"/>
      <c r="CA313" s="567"/>
      <c r="CB313" s="567"/>
      <c r="CC313" s="567"/>
      <c r="CD313" s="567"/>
      <c r="CE313" s="567"/>
      <c r="CF313" s="567"/>
      <c r="CG313" s="567"/>
      <c r="CH313" s="567"/>
      <c r="CI313" s="567"/>
      <c r="CJ313" s="567"/>
      <c r="CK313" s="567"/>
      <c r="CL313" s="567"/>
      <c r="CM313" s="567"/>
      <c r="CN313" s="567"/>
      <c r="CO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  <c r="BW314" s="567"/>
      <c r="BX314" s="567"/>
      <c r="BY314" s="567"/>
      <c r="BZ314" s="567"/>
      <c r="CA314" s="567"/>
      <c r="CB314" s="567"/>
      <c r="CC314" s="567"/>
      <c r="CD314" s="567"/>
      <c r="CE314" s="567"/>
      <c r="CF314" s="567"/>
      <c r="CG314" s="567"/>
      <c r="CH314" s="567"/>
      <c r="CI314" s="567"/>
      <c r="CJ314" s="567"/>
      <c r="CK314" s="567"/>
      <c r="CL314" s="567"/>
      <c r="CM314" s="567"/>
      <c r="CN314" s="567"/>
      <c r="CO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  <c r="BW315" s="567"/>
      <c r="BX315" s="567"/>
      <c r="BY315" s="567"/>
      <c r="BZ315" s="567"/>
      <c r="CA315" s="567"/>
      <c r="CB315" s="567"/>
      <c r="CC315" s="567"/>
      <c r="CD315" s="567"/>
      <c r="CE315" s="567"/>
      <c r="CF315" s="567"/>
      <c r="CG315" s="567"/>
      <c r="CH315" s="567"/>
      <c r="CI315" s="567"/>
      <c r="CJ315" s="567"/>
      <c r="CK315" s="567"/>
      <c r="CL315" s="567"/>
      <c r="CM315" s="567"/>
      <c r="CN315" s="567"/>
      <c r="CO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  <c r="BW316" s="567"/>
      <c r="BX316" s="567"/>
      <c r="BY316" s="567"/>
      <c r="BZ316" s="567"/>
      <c r="CA316" s="567"/>
      <c r="CB316" s="567"/>
      <c r="CC316" s="567"/>
      <c r="CD316" s="567"/>
      <c r="CE316" s="567"/>
      <c r="CF316" s="567"/>
      <c r="CG316" s="567"/>
      <c r="CH316" s="567"/>
      <c r="CI316" s="567"/>
      <c r="CJ316" s="567"/>
      <c r="CK316" s="567"/>
      <c r="CL316" s="567"/>
      <c r="CM316" s="567"/>
      <c r="CN316" s="567"/>
      <c r="CO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  <c r="BW317" s="567"/>
      <c r="BX317" s="567"/>
      <c r="BY317" s="567"/>
      <c r="BZ317" s="567"/>
      <c r="CA317" s="567"/>
      <c r="CB317" s="567"/>
      <c r="CC317" s="567"/>
      <c r="CD317" s="567"/>
      <c r="CE317" s="567"/>
      <c r="CF317" s="567"/>
      <c r="CG317" s="567"/>
      <c r="CH317" s="567"/>
      <c r="CI317" s="567"/>
      <c r="CJ317" s="567"/>
      <c r="CK317" s="567"/>
      <c r="CL317" s="567"/>
      <c r="CM317" s="567"/>
      <c r="CN317" s="567"/>
      <c r="CO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  <c r="BW318" s="567"/>
      <c r="BX318" s="567"/>
      <c r="BY318" s="567"/>
      <c r="BZ318" s="567"/>
      <c r="CA318" s="567"/>
      <c r="CB318" s="567"/>
      <c r="CC318" s="567"/>
      <c r="CD318" s="567"/>
      <c r="CE318" s="567"/>
      <c r="CF318" s="567"/>
      <c r="CG318" s="567"/>
      <c r="CH318" s="567"/>
      <c r="CI318" s="567"/>
      <c r="CJ318" s="567"/>
      <c r="CK318" s="567"/>
      <c r="CL318" s="567"/>
      <c r="CM318" s="567"/>
      <c r="CN318" s="567"/>
      <c r="CO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  <c r="BW319" s="567"/>
      <c r="BX319" s="567"/>
      <c r="BY319" s="567"/>
      <c r="BZ319" s="567"/>
      <c r="CA319" s="567"/>
      <c r="CB319" s="567"/>
      <c r="CC319" s="567"/>
      <c r="CD319" s="567"/>
      <c r="CE319" s="567"/>
      <c r="CF319" s="567"/>
      <c r="CG319" s="567"/>
      <c r="CH319" s="567"/>
      <c r="CI319" s="567"/>
      <c r="CJ319" s="567"/>
      <c r="CK319" s="567"/>
      <c r="CL319" s="567"/>
      <c r="CM319" s="567"/>
      <c r="CN319" s="567"/>
      <c r="CO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  <c r="BW320" s="567"/>
      <c r="BX320" s="567"/>
      <c r="BY320" s="567"/>
      <c r="BZ320" s="567"/>
      <c r="CA320" s="567"/>
      <c r="CB320" s="567"/>
      <c r="CC320" s="567"/>
      <c r="CD320" s="567"/>
      <c r="CE320" s="567"/>
      <c r="CF320" s="567"/>
      <c r="CG320" s="567"/>
      <c r="CH320" s="567"/>
      <c r="CI320" s="567"/>
      <c r="CJ320" s="567"/>
      <c r="CK320" s="567"/>
      <c r="CL320" s="567"/>
      <c r="CM320" s="567"/>
      <c r="CN320" s="567"/>
      <c r="CO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  <c r="BW321" s="567"/>
      <c r="BX321" s="567"/>
      <c r="BY321" s="567"/>
      <c r="BZ321" s="567"/>
      <c r="CA321" s="567"/>
      <c r="CB321" s="567"/>
      <c r="CC321" s="567"/>
      <c r="CD321" s="567"/>
      <c r="CE321" s="567"/>
      <c r="CF321" s="567"/>
      <c r="CG321" s="567"/>
      <c r="CH321" s="567"/>
      <c r="CI321" s="567"/>
      <c r="CJ321" s="567"/>
      <c r="CK321" s="567"/>
      <c r="CL321" s="567"/>
      <c r="CM321" s="567"/>
      <c r="CN321" s="567"/>
      <c r="CO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  <c r="BW322" s="567"/>
      <c r="BX322" s="567"/>
      <c r="BY322" s="567"/>
      <c r="BZ322" s="567"/>
      <c r="CA322" s="567"/>
      <c r="CB322" s="567"/>
      <c r="CC322" s="567"/>
      <c r="CD322" s="567"/>
      <c r="CE322" s="567"/>
      <c r="CF322" s="567"/>
      <c r="CG322" s="567"/>
      <c r="CH322" s="567"/>
      <c r="CI322" s="567"/>
      <c r="CJ322" s="567"/>
      <c r="CK322" s="567"/>
      <c r="CL322" s="567"/>
      <c r="CM322" s="567"/>
      <c r="CN322" s="567"/>
      <c r="CO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  <c r="BW323" s="567"/>
      <c r="BX323" s="567"/>
      <c r="BY323" s="567"/>
      <c r="BZ323" s="567"/>
      <c r="CA323" s="567"/>
      <c r="CB323" s="567"/>
      <c r="CC323" s="567"/>
      <c r="CD323" s="567"/>
      <c r="CE323" s="567"/>
      <c r="CF323" s="567"/>
      <c r="CG323" s="567"/>
      <c r="CH323" s="567"/>
      <c r="CI323" s="567"/>
      <c r="CJ323" s="567"/>
      <c r="CK323" s="567"/>
      <c r="CL323" s="567"/>
      <c r="CM323" s="567"/>
      <c r="CN323" s="567"/>
      <c r="CO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  <c r="BW324" s="567"/>
      <c r="BX324" s="567"/>
      <c r="BY324" s="567"/>
      <c r="BZ324" s="567"/>
      <c r="CA324" s="567"/>
      <c r="CB324" s="567"/>
      <c r="CC324" s="567"/>
      <c r="CD324" s="567"/>
      <c r="CE324" s="567"/>
      <c r="CF324" s="567"/>
      <c r="CG324" s="567"/>
      <c r="CH324" s="567"/>
      <c r="CI324" s="567"/>
      <c r="CJ324" s="567"/>
      <c r="CK324" s="567"/>
      <c r="CL324" s="567"/>
      <c r="CM324" s="567"/>
      <c r="CN324" s="567"/>
      <c r="CO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  <c r="BW325" s="567"/>
      <c r="BX325" s="567"/>
      <c r="BY325" s="567"/>
      <c r="BZ325" s="567"/>
      <c r="CA325" s="567"/>
      <c r="CB325" s="567"/>
      <c r="CC325" s="567"/>
      <c r="CD325" s="567"/>
      <c r="CE325" s="567"/>
      <c r="CF325" s="567"/>
      <c r="CG325" s="567"/>
      <c r="CH325" s="567"/>
      <c r="CI325" s="567"/>
      <c r="CJ325" s="567"/>
      <c r="CK325" s="567"/>
      <c r="CL325" s="567"/>
      <c r="CM325" s="567"/>
      <c r="CN325" s="567"/>
      <c r="CO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  <c r="BW326" s="567"/>
      <c r="BX326" s="567"/>
      <c r="BY326" s="567"/>
      <c r="BZ326" s="567"/>
      <c r="CA326" s="567"/>
      <c r="CB326" s="567"/>
      <c r="CC326" s="567"/>
      <c r="CD326" s="567"/>
      <c r="CE326" s="567"/>
      <c r="CF326" s="567"/>
      <c r="CG326" s="567"/>
      <c r="CH326" s="567"/>
      <c r="CI326" s="567"/>
      <c r="CJ326" s="567"/>
      <c r="CK326" s="567"/>
      <c r="CL326" s="567"/>
      <c r="CM326" s="567"/>
      <c r="CN326" s="567"/>
      <c r="CO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  <c r="BW327" s="567"/>
      <c r="BX327" s="567"/>
      <c r="BY327" s="567"/>
      <c r="BZ327" s="567"/>
      <c r="CA327" s="567"/>
      <c r="CB327" s="567"/>
      <c r="CC327" s="567"/>
      <c r="CD327" s="567"/>
      <c r="CE327" s="567"/>
      <c r="CF327" s="567"/>
      <c r="CG327" s="567"/>
      <c r="CH327" s="567"/>
      <c r="CI327" s="567"/>
      <c r="CJ327" s="567"/>
      <c r="CK327" s="567"/>
      <c r="CL327" s="567"/>
      <c r="CM327" s="567"/>
      <c r="CN327" s="567"/>
      <c r="CO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  <c r="BW328" s="567"/>
      <c r="BX328" s="567"/>
      <c r="BY328" s="567"/>
      <c r="BZ328" s="567"/>
      <c r="CA328" s="567"/>
      <c r="CB328" s="567"/>
      <c r="CC328" s="567"/>
      <c r="CD328" s="567"/>
      <c r="CE328" s="567"/>
      <c r="CF328" s="567"/>
      <c r="CG328" s="567"/>
      <c r="CH328" s="567"/>
      <c r="CI328" s="567"/>
      <c r="CJ328" s="567"/>
      <c r="CK328" s="567"/>
      <c r="CL328" s="567"/>
      <c r="CM328" s="567"/>
      <c r="CN328" s="567"/>
      <c r="CO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  <c r="BW329" s="567"/>
      <c r="BX329" s="567"/>
      <c r="BY329" s="567"/>
      <c r="BZ329" s="567"/>
      <c r="CA329" s="567"/>
      <c r="CB329" s="567"/>
      <c r="CC329" s="567"/>
      <c r="CD329" s="567"/>
      <c r="CE329" s="567"/>
      <c r="CF329" s="567"/>
      <c r="CG329" s="567"/>
      <c r="CH329" s="567"/>
      <c r="CI329" s="567"/>
      <c r="CJ329" s="567"/>
      <c r="CK329" s="567"/>
      <c r="CL329" s="567"/>
      <c r="CM329" s="567"/>
      <c r="CN329" s="567"/>
      <c r="CO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  <c r="BW330" s="567"/>
      <c r="BX330" s="567"/>
      <c r="BY330" s="567"/>
      <c r="BZ330" s="567"/>
      <c r="CA330" s="567"/>
      <c r="CB330" s="567"/>
      <c r="CC330" s="567"/>
      <c r="CD330" s="567"/>
      <c r="CE330" s="567"/>
      <c r="CF330" s="567"/>
      <c r="CG330" s="567"/>
      <c r="CH330" s="567"/>
      <c r="CI330" s="567"/>
      <c r="CJ330" s="567"/>
      <c r="CK330" s="567"/>
      <c r="CL330" s="567"/>
      <c r="CM330" s="567"/>
      <c r="CN330" s="567"/>
      <c r="CO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  <c r="BW331" s="567"/>
      <c r="BX331" s="567"/>
      <c r="BY331" s="567"/>
      <c r="BZ331" s="567"/>
      <c r="CA331" s="567"/>
      <c r="CB331" s="567"/>
      <c r="CC331" s="567"/>
      <c r="CD331" s="567"/>
      <c r="CE331" s="567"/>
      <c r="CF331" s="567"/>
      <c r="CG331" s="567"/>
      <c r="CH331" s="567"/>
      <c r="CI331" s="567"/>
      <c r="CJ331" s="567"/>
      <c r="CK331" s="567"/>
      <c r="CL331" s="567"/>
      <c r="CM331" s="567"/>
      <c r="CN331" s="567"/>
      <c r="CO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  <c r="BW332" s="567"/>
      <c r="BX332" s="567"/>
      <c r="BY332" s="567"/>
      <c r="BZ332" s="567"/>
      <c r="CA332" s="567"/>
      <c r="CB332" s="567"/>
      <c r="CC332" s="567"/>
      <c r="CD332" s="567"/>
      <c r="CE332" s="567"/>
      <c r="CF332" s="567"/>
      <c r="CG332" s="567"/>
      <c r="CH332" s="567"/>
      <c r="CI332" s="567"/>
      <c r="CJ332" s="567"/>
      <c r="CK332" s="567"/>
      <c r="CL332" s="567"/>
      <c r="CM332" s="567"/>
      <c r="CN332" s="567"/>
      <c r="CO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  <c r="BW333" s="567"/>
      <c r="BX333" s="567"/>
      <c r="BY333" s="567"/>
      <c r="BZ333" s="567"/>
      <c r="CA333" s="567"/>
      <c r="CB333" s="567"/>
      <c r="CC333" s="567"/>
      <c r="CD333" s="567"/>
      <c r="CE333" s="567"/>
      <c r="CF333" s="567"/>
      <c r="CG333" s="567"/>
      <c r="CH333" s="567"/>
      <c r="CI333" s="567"/>
      <c r="CJ333" s="567"/>
      <c r="CK333" s="567"/>
      <c r="CL333" s="567"/>
      <c r="CM333" s="567"/>
      <c r="CN333" s="567"/>
      <c r="CO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  <c r="BW334" s="567"/>
      <c r="BX334" s="567"/>
      <c r="BY334" s="567"/>
      <c r="BZ334" s="567"/>
      <c r="CA334" s="567"/>
      <c r="CB334" s="567"/>
      <c r="CC334" s="567"/>
      <c r="CD334" s="567"/>
      <c r="CE334" s="567"/>
      <c r="CF334" s="567"/>
      <c r="CG334" s="567"/>
      <c r="CH334" s="567"/>
      <c r="CI334" s="567"/>
      <c r="CJ334" s="567"/>
      <c r="CK334" s="567"/>
      <c r="CL334" s="567"/>
      <c r="CM334" s="567"/>
      <c r="CN334" s="567"/>
      <c r="CO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  <c r="BW335" s="567"/>
      <c r="BX335" s="567"/>
      <c r="BY335" s="567"/>
      <c r="BZ335" s="567"/>
      <c r="CA335" s="567"/>
      <c r="CB335" s="567"/>
      <c r="CC335" s="567"/>
      <c r="CD335" s="567"/>
      <c r="CE335" s="567"/>
      <c r="CF335" s="567"/>
      <c r="CG335" s="567"/>
      <c r="CH335" s="567"/>
      <c r="CI335" s="567"/>
      <c r="CJ335" s="567"/>
      <c r="CK335" s="567"/>
      <c r="CL335" s="567"/>
      <c r="CM335" s="567"/>
      <c r="CN335" s="567"/>
      <c r="CO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  <c r="BW336" s="567"/>
      <c r="BX336" s="567"/>
      <c r="BY336" s="567"/>
      <c r="BZ336" s="567"/>
      <c r="CA336" s="567"/>
      <c r="CB336" s="567"/>
      <c r="CC336" s="567"/>
      <c r="CD336" s="567"/>
      <c r="CE336" s="567"/>
      <c r="CF336" s="567"/>
      <c r="CG336" s="567"/>
      <c r="CH336" s="567"/>
      <c r="CI336" s="567"/>
      <c r="CJ336" s="567"/>
      <c r="CK336" s="567"/>
      <c r="CL336" s="567"/>
      <c r="CM336" s="567"/>
      <c r="CN336" s="567"/>
      <c r="CO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  <c r="BW337" s="567"/>
      <c r="BX337" s="567"/>
      <c r="BY337" s="567"/>
      <c r="BZ337" s="567"/>
      <c r="CA337" s="567"/>
      <c r="CB337" s="567"/>
      <c r="CC337" s="567"/>
      <c r="CD337" s="567"/>
      <c r="CE337" s="567"/>
      <c r="CF337" s="567"/>
      <c r="CG337" s="567"/>
      <c r="CH337" s="567"/>
      <c r="CI337" s="567"/>
      <c r="CJ337" s="567"/>
      <c r="CK337" s="567"/>
      <c r="CL337" s="567"/>
      <c r="CM337" s="567"/>
      <c r="CN337" s="567"/>
      <c r="CO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  <c r="BW338" s="567"/>
      <c r="BX338" s="567"/>
      <c r="BY338" s="567"/>
      <c r="BZ338" s="567"/>
      <c r="CA338" s="567"/>
      <c r="CB338" s="567"/>
      <c r="CC338" s="567"/>
      <c r="CD338" s="567"/>
      <c r="CE338" s="567"/>
      <c r="CF338" s="567"/>
      <c r="CG338" s="567"/>
      <c r="CH338" s="567"/>
      <c r="CI338" s="567"/>
      <c r="CJ338" s="567"/>
      <c r="CK338" s="567"/>
      <c r="CL338" s="567"/>
      <c r="CM338" s="567"/>
      <c r="CN338" s="567"/>
      <c r="CO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  <c r="BW339" s="567"/>
      <c r="BX339" s="567"/>
      <c r="BY339" s="567"/>
      <c r="BZ339" s="567"/>
      <c r="CA339" s="567"/>
      <c r="CB339" s="567"/>
      <c r="CC339" s="567"/>
      <c r="CD339" s="567"/>
      <c r="CE339" s="567"/>
      <c r="CF339" s="567"/>
      <c r="CG339" s="567"/>
      <c r="CH339" s="567"/>
      <c r="CI339" s="567"/>
      <c r="CJ339" s="567"/>
      <c r="CK339" s="567"/>
      <c r="CL339" s="567"/>
      <c r="CM339" s="567"/>
      <c r="CN339" s="567"/>
      <c r="CO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  <c r="BW340" s="567"/>
      <c r="BX340" s="567"/>
      <c r="BY340" s="567"/>
      <c r="BZ340" s="567"/>
      <c r="CA340" s="567"/>
      <c r="CB340" s="567"/>
      <c r="CC340" s="567"/>
      <c r="CD340" s="567"/>
      <c r="CE340" s="567"/>
      <c r="CF340" s="567"/>
      <c r="CG340" s="567"/>
      <c r="CH340" s="567"/>
      <c r="CI340" s="567"/>
      <c r="CJ340" s="567"/>
      <c r="CK340" s="567"/>
      <c r="CL340" s="567"/>
      <c r="CM340" s="567"/>
      <c r="CN340" s="567"/>
      <c r="CO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  <c r="BW341" s="567"/>
      <c r="BX341" s="567"/>
      <c r="BY341" s="567"/>
      <c r="BZ341" s="567"/>
      <c r="CA341" s="567"/>
      <c r="CB341" s="567"/>
      <c r="CC341" s="567"/>
      <c r="CD341" s="567"/>
      <c r="CE341" s="567"/>
      <c r="CF341" s="567"/>
      <c r="CG341" s="567"/>
      <c r="CH341" s="567"/>
      <c r="CI341" s="567"/>
      <c r="CJ341" s="567"/>
      <c r="CK341" s="567"/>
      <c r="CL341" s="567"/>
      <c r="CM341" s="567"/>
      <c r="CN341" s="567"/>
      <c r="CO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  <c r="BW342" s="567"/>
      <c r="BX342" s="567"/>
      <c r="BY342" s="567"/>
      <c r="BZ342" s="567"/>
      <c r="CA342" s="567"/>
      <c r="CB342" s="567"/>
      <c r="CC342" s="567"/>
      <c r="CD342" s="567"/>
      <c r="CE342" s="567"/>
      <c r="CF342" s="567"/>
      <c r="CG342" s="567"/>
      <c r="CH342" s="567"/>
      <c r="CI342" s="567"/>
      <c r="CJ342" s="567"/>
      <c r="CK342" s="567"/>
      <c r="CL342" s="567"/>
      <c r="CM342" s="567"/>
      <c r="CN342" s="567"/>
      <c r="CO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  <c r="BW343" s="567"/>
      <c r="BX343" s="567"/>
      <c r="BY343" s="567"/>
      <c r="BZ343" s="567"/>
      <c r="CA343" s="567"/>
      <c r="CB343" s="567"/>
      <c r="CC343" s="567"/>
      <c r="CD343" s="567"/>
      <c r="CE343" s="567"/>
      <c r="CF343" s="567"/>
      <c r="CG343" s="567"/>
      <c r="CH343" s="567"/>
      <c r="CI343" s="567"/>
      <c r="CJ343" s="567"/>
      <c r="CK343" s="567"/>
      <c r="CL343" s="567"/>
      <c r="CM343" s="567"/>
      <c r="CN343" s="567"/>
      <c r="CO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  <c r="BW344" s="567"/>
      <c r="BX344" s="567"/>
      <c r="BY344" s="567"/>
      <c r="BZ344" s="567"/>
      <c r="CA344" s="567"/>
      <c r="CB344" s="567"/>
      <c r="CC344" s="567"/>
      <c r="CD344" s="567"/>
      <c r="CE344" s="567"/>
      <c r="CF344" s="567"/>
      <c r="CG344" s="567"/>
      <c r="CH344" s="567"/>
      <c r="CI344" s="567"/>
      <c r="CJ344" s="567"/>
      <c r="CK344" s="567"/>
      <c r="CL344" s="567"/>
      <c r="CM344" s="567"/>
      <c r="CN344" s="567"/>
      <c r="CO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  <c r="BW345" s="567"/>
      <c r="BX345" s="567"/>
      <c r="BY345" s="567"/>
      <c r="BZ345" s="567"/>
      <c r="CA345" s="567"/>
      <c r="CB345" s="567"/>
      <c r="CC345" s="567"/>
      <c r="CD345" s="567"/>
      <c r="CE345" s="567"/>
      <c r="CF345" s="567"/>
      <c r="CG345" s="567"/>
      <c r="CH345" s="567"/>
      <c r="CI345" s="567"/>
      <c r="CJ345" s="567"/>
      <c r="CK345" s="567"/>
      <c r="CL345" s="567"/>
      <c r="CM345" s="567"/>
      <c r="CN345" s="567"/>
      <c r="CO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  <c r="BW346" s="567"/>
      <c r="BX346" s="567"/>
      <c r="BY346" s="567"/>
      <c r="BZ346" s="567"/>
      <c r="CA346" s="567"/>
      <c r="CB346" s="567"/>
      <c r="CC346" s="567"/>
      <c r="CD346" s="567"/>
      <c r="CE346" s="567"/>
      <c r="CF346" s="567"/>
      <c r="CG346" s="567"/>
      <c r="CH346" s="567"/>
      <c r="CI346" s="567"/>
      <c r="CJ346" s="567"/>
      <c r="CK346" s="567"/>
      <c r="CL346" s="567"/>
      <c r="CM346" s="567"/>
      <c r="CN346" s="567"/>
      <c r="CO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  <c r="BW347" s="567"/>
      <c r="BX347" s="567"/>
      <c r="BY347" s="567"/>
      <c r="BZ347" s="567"/>
      <c r="CA347" s="567"/>
      <c r="CB347" s="567"/>
      <c r="CC347" s="567"/>
      <c r="CD347" s="567"/>
      <c r="CE347" s="567"/>
      <c r="CF347" s="567"/>
      <c r="CG347" s="567"/>
      <c r="CH347" s="567"/>
      <c r="CI347" s="567"/>
      <c r="CJ347" s="567"/>
      <c r="CK347" s="567"/>
      <c r="CL347" s="567"/>
      <c r="CM347" s="567"/>
      <c r="CN347" s="567"/>
      <c r="CO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  <c r="BW348" s="567"/>
      <c r="BX348" s="567"/>
      <c r="BY348" s="567"/>
      <c r="BZ348" s="567"/>
      <c r="CA348" s="567"/>
      <c r="CB348" s="567"/>
      <c r="CC348" s="567"/>
      <c r="CD348" s="567"/>
      <c r="CE348" s="567"/>
      <c r="CF348" s="567"/>
      <c r="CG348" s="567"/>
      <c r="CH348" s="567"/>
      <c r="CI348" s="567"/>
      <c r="CJ348" s="567"/>
      <c r="CK348" s="567"/>
      <c r="CL348" s="567"/>
      <c r="CM348" s="567"/>
      <c r="CN348" s="567"/>
      <c r="CO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  <c r="BW349" s="567"/>
      <c r="BX349" s="567"/>
      <c r="BY349" s="567"/>
      <c r="BZ349" s="567"/>
      <c r="CA349" s="567"/>
      <c r="CB349" s="567"/>
      <c r="CC349" s="567"/>
      <c r="CD349" s="567"/>
      <c r="CE349" s="567"/>
      <c r="CF349" s="567"/>
      <c r="CG349" s="567"/>
      <c r="CH349" s="567"/>
      <c r="CI349" s="567"/>
      <c r="CJ349" s="567"/>
      <c r="CK349" s="567"/>
      <c r="CL349" s="567"/>
      <c r="CM349" s="567"/>
      <c r="CN349" s="567"/>
      <c r="CO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  <c r="BW350" s="567"/>
      <c r="BX350" s="567"/>
      <c r="BY350" s="567"/>
      <c r="BZ350" s="567"/>
      <c r="CA350" s="567"/>
      <c r="CB350" s="567"/>
      <c r="CC350" s="567"/>
      <c r="CD350" s="567"/>
      <c r="CE350" s="567"/>
      <c r="CF350" s="567"/>
      <c r="CG350" s="567"/>
      <c r="CH350" s="567"/>
      <c r="CI350" s="567"/>
      <c r="CJ350" s="567"/>
      <c r="CK350" s="567"/>
      <c r="CL350" s="567"/>
      <c r="CM350" s="567"/>
      <c r="CN350" s="567"/>
      <c r="CO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  <c r="BW351" s="567"/>
      <c r="BX351" s="567"/>
      <c r="BY351" s="567"/>
      <c r="BZ351" s="567"/>
      <c r="CA351" s="567"/>
      <c r="CB351" s="567"/>
      <c r="CC351" s="567"/>
      <c r="CD351" s="567"/>
      <c r="CE351" s="567"/>
      <c r="CF351" s="567"/>
      <c r="CG351" s="567"/>
      <c r="CH351" s="567"/>
      <c r="CI351" s="567"/>
      <c r="CJ351" s="567"/>
      <c r="CK351" s="567"/>
      <c r="CL351" s="567"/>
      <c r="CM351" s="567"/>
      <c r="CN351" s="567"/>
      <c r="CO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  <c r="BW352" s="567"/>
      <c r="BX352" s="567"/>
      <c r="BY352" s="567"/>
      <c r="BZ352" s="567"/>
      <c r="CA352" s="567"/>
      <c r="CB352" s="567"/>
      <c r="CC352" s="567"/>
      <c r="CD352" s="567"/>
      <c r="CE352" s="567"/>
      <c r="CF352" s="567"/>
      <c r="CG352" s="567"/>
      <c r="CH352" s="567"/>
      <c r="CI352" s="567"/>
      <c r="CJ352" s="567"/>
      <c r="CK352" s="567"/>
      <c r="CL352" s="567"/>
      <c r="CM352" s="567"/>
      <c r="CN352" s="567"/>
      <c r="CO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  <c r="BW353" s="567"/>
      <c r="BX353" s="567"/>
      <c r="BY353" s="567"/>
      <c r="BZ353" s="567"/>
      <c r="CA353" s="567"/>
      <c r="CB353" s="567"/>
      <c r="CC353" s="567"/>
      <c r="CD353" s="567"/>
      <c r="CE353" s="567"/>
      <c r="CF353" s="567"/>
      <c r="CG353" s="567"/>
      <c r="CH353" s="567"/>
      <c r="CI353" s="567"/>
      <c r="CJ353" s="567"/>
      <c r="CK353" s="567"/>
      <c r="CL353" s="567"/>
      <c r="CM353" s="567"/>
      <c r="CN353" s="567"/>
      <c r="CO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  <c r="BW354" s="567"/>
      <c r="BX354" s="567"/>
      <c r="BY354" s="567"/>
      <c r="BZ354" s="567"/>
      <c r="CA354" s="567"/>
      <c r="CB354" s="567"/>
      <c r="CC354" s="567"/>
      <c r="CD354" s="567"/>
      <c r="CE354" s="567"/>
      <c r="CF354" s="567"/>
      <c r="CG354" s="567"/>
      <c r="CH354" s="567"/>
      <c r="CI354" s="567"/>
      <c r="CJ354" s="567"/>
      <c r="CK354" s="567"/>
      <c r="CL354" s="567"/>
      <c r="CM354" s="567"/>
      <c r="CN354" s="567"/>
      <c r="CO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  <c r="BW355" s="567"/>
      <c r="BX355" s="567"/>
      <c r="BY355" s="567"/>
      <c r="BZ355" s="567"/>
      <c r="CA355" s="567"/>
      <c r="CB355" s="567"/>
      <c r="CC355" s="567"/>
      <c r="CD355" s="567"/>
      <c r="CE355" s="567"/>
      <c r="CF355" s="567"/>
      <c r="CG355" s="567"/>
      <c r="CH355" s="567"/>
      <c r="CI355" s="567"/>
      <c r="CJ355" s="567"/>
      <c r="CK355" s="567"/>
      <c r="CL355" s="567"/>
      <c r="CM355" s="567"/>
      <c r="CN355" s="567"/>
      <c r="CO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  <c r="BW356" s="567"/>
      <c r="BX356" s="567"/>
      <c r="BY356" s="567"/>
      <c r="BZ356" s="567"/>
      <c r="CA356" s="567"/>
      <c r="CB356" s="567"/>
      <c r="CC356" s="567"/>
      <c r="CD356" s="567"/>
      <c r="CE356" s="567"/>
      <c r="CF356" s="567"/>
      <c r="CG356" s="567"/>
      <c r="CH356" s="567"/>
      <c r="CI356" s="567"/>
      <c r="CJ356" s="567"/>
      <c r="CK356" s="567"/>
      <c r="CL356" s="567"/>
      <c r="CM356" s="567"/>
      <c r="CN356" s="567"/>
      <c r="CO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  <c r="BW357" s="567"/>
      <c r="BX357" s="567"/>
      <c r="BY357" s="567"/>
      <c r="BZ357" s="567"/>
      <c r="CA357" s="567"/>
      <c r="CB357" s="567"/>
      <c r="CC357" s="567"/>
      <c r="CD357" s="567"/>
      <c r="CE357" s="567"/>
      <c r="CF357" s="567"/>
      <c r="CG357" s="567"/>
      <c r="CH357" s="567"/>
      <c r="CI357" s="567"/>
      <c r="CJ357" s="567"/>
      <c r="CK357" s="567"/>
      <c r="CL357" s="567"/>
      <c r="CM357" s="567"/>
      <c r="CN357" s="567"/>
      <c r="CO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  <c r="BW358" s="567"/>
      <c r="BX358" s="567"/>
      <c r="BY358" s="567"/>
      <c r="BZ358" s="567"/>
      <c r="CA358" s="567"/>
      <c r="CB358" s="567"/>
      <c r="CC358" s="567"/>
      <c r="CD358" s="567"/>
      <c r="CE358" s="567"/>
      <c r="CF358" s="567"/>
      <c r="CG358" s="567"/>
      <c r="CH358" s="567"/>
      <c r="CI358" s="567"/>
      <c r="CJ358" s="567"/>
      <c r="CK358" s="567"/>
      <c r="CL358" s="567"/>
      <c r="CM358" s="567"/>
      <c r="CN358" s="567"/>
      <c r="CO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  <c r="BW359" s="567"/>
      <c r="BX359" s="567"/>
      <c r="BY359" s="567"/>
      <c r="BZ359" s="567"/>
      <c r="CA359" s="567"/>
      <c r="CB359" s="567"/>
      <c r="CC359" s="567"/>
      <c r="CD359" s="567"/>
      <c r="CE359" s="567"/>
      <c r="CF359" s="567"/>
      <c r="CG359" s="567"/>
      <c r="CH359" s="567"/>
      <c r="CI359" s="567"/>
      <c r="CJ359" s="567"/>
      <c r="CK359" s="567"/>
      <c r="CL359" s="567"/>
      <c r="CM359" s="567"/>
      <c r="CN359" s="567"/>
      <c r="CO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  <c r="BW360" s="567"/>
      <c r="BX360" s="567"/>
      <c r="BY360" s="567"/>
      <c r="BZ360" s="567"/>
      <c r="CA360" s="567"/>
      <c r="CB360" s="567"/>
      <c r="CC360" s="567"/>
      <c r="CD360" s="567"/>
      <c r="CE360" s="567"/>
      <c r="CF360" s="567"/>
      <c r="CG360" s="567"/>
      <c r="CH360" s="567"/>
      <c r="CI360" s="567"/>
      <c r="CJ360" s="567"/>
      <c r="CK360" s="567"/>
      <c r="CL360" s="567"/>
      <c r="CM360" s="567"/>
      <c r="CN360" s="567"/>
      <c r="CO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  <c r="BW361" s="567"/>
      <c r="BX361" s="567"/>
      <c r="BY361" s="567"/>
      <c r="BZ361" s="567"/>
      <c r="CA361" s="567"/>
      <c r="CB361" s="567"/>
      <c r="CC361" s="567"/>
      <c r="CD361" s="567"/>
      <c r="CE361" s="567"/>
      <c r="CF361" s="567"/>
      <c r="CG361" s="567"/>
      <c r="CH361" s="567"/>
      <c r="CI361" s="567"/>
      <c r="CJ361" s="567"/>
      <c r="CK361" s="567"/>
      <c r="CL361" s="567"/>
      <c r="CM361" s="567"/>
      <c r="CN361" s="567"/>
      <c r="CO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  <c r="BW362" s="567"/>
      <c r="BX362" s="567"/>
      <c r="BY362" s="567"/>
      <c r="BZ362" s="567"/>
      <c r="CA362" s="567"/>
      <c r="CB362" s="567"/>
      <c r="CC362" s="567"/>
      <c r="CD362" s="567"/>
      <c r="CE362" s="567"/>
      <c r="CF362" s="567"/>
      <c r="CG362" s="567"/>
      <c r="CH362" s="567"/>
      <c r="CI362" s="567"/>
      <c r="CJ362" s="567"/>
      <c r="CK362" s="567"/>
      <c r="CL362" s="567"/>
      <c r="CM362" s="567"/>
      <c r="CN362" s="567"/>
      <c r="CO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  <c r="BW363" s="567"/>
      <c r="BX363" s="567"/>
      <c r="BY363" s="567"/>
      <c r="BZ363" s="567"/>
      <c r="CA363" s="567"/>
      <c r="CB363" s="567"/>
      <c r="CC363" s="567"/>
      <c r="CD363" s="567"/>
      <c r="CE363" s="567"/>
      <c r="CF363" s="567"/>
      <c r="CG363" s="567"/>
      <c r="CH363" s="567"/>
      <c r="CI363" s="567"/>
      <c r="CJ363" s="567"/>
      <c r="CK363" s="567"/>
      <c r="CL363" s="567"/>
      <c r="CM363" s="567"/>
      <c r="CN363" s="567"/>
      <c r="CO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  <c r="BW364" s="567"/>
      <c r="BX364" s="567"/>
      <c r="BY364" s="567"/>
      <c r="BZ364" s="567"/>
      <c r="CA364" s="567"/>
      <c r="CB364" s="567"/>
      <c r="CC364" s="567"/>
      <c r="CD364" s="567"/>
      <c r="CE364" s="567"/>
      <c r="CF364" s="567"/>
      <c r="CG364" s="567"/>
      <c r="CH364" s="567"/>
      <c r="CI364" s="567"/>
      <c r="CJ364" s="567"/>
      <c r="CK364" s="567"/>
      <c r="CL364" s="567"/>
      <c r="CM364" s="567"/>
      <c r="CN364" s="567"/>
      <c r="CO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  <c r="BW365" s="567"/>
      <c r="BX365" s="567"/>
      <c r="BY365" s="567"/>
      <c r="BZ365" s="567"/>
      <c r="CA365" s="567"/>
      <c r="CB365" s="567"/>
      <c r="CC365" s="567"/>
      <c r="CD365" s="567"/>
      <c r="CE365" s="567"/>
      <c r="CF365" s="567"/>
      <c r="CG365" s="567"/>
      <c r="CH365" s="567"/>
      <c r="CI365" s="567"/>
      <c r="CJ365" s="567"/>
      <c r="CK365" s="567"/>
      <c r="CL365" s="567"/>
      <c r="CM365" s="567"/>
      <c r="CN365" s="567"/>
      <c r="CO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  <c r="BW366" s="567"/>
      <c r="BX366" s="567"/>
      <c r="BY366" s="567"/>
      <c r="BZ366" s="567"/>
      <c r="CA366" s="567"/>
      <c r="CB366" s="567"/>
      <c r="CC366" s="567"/>
      <c r="CD366" s="567"/>
      <c r="CE366" s="567"/>
      <c r="CF366" s="567"/>
      <c r="CG366" s="567"/>
      <c r="CH366" s="567"/>
      <c r="CI366" s="567"/>
      <c r="CJ366" s="567"/>
      <c r="CK366" s="567"/>
      <c r="CL366" s="567"/>
      <c r="CM366" s="567"/>
      <c r="CN366" s="567"/>
      <c r="CO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  <c r="BW367" s="567"/>
      <c r="BX367" s="567"/>
      <c r="BY367" s="567"/>
      <c r="BZ367" s="567"/>
      <c r="CA367" s="567"/>
      <c r="CB367" s="567"/>
      <c r="CC367" s="567"/>
      <c r="CD367" s="567"/>
      <c r="CE367" s="567"/>
      <c r="CF367" s="567"/>
      <c r="CG367" s="567"/>
      <c r="CH367" s="567"/>
      <c r="CI367" s="567"/>
      <c r="CJ367" s="567"/>
      <c r="CK367" s="567"/>
      <c r="CL367" s="567"/>
      <c r="CM367" s="567"/>
      <c r="CN367" s="567"/>
      <c r="CO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  <c r="BW368" s="567"/>
      <c r="BX368" s="567"/>
      <c r="BY368" s="567"/>
      <c r="BZ368" s="567"/>
      <c r="CA368" s="567"/>
      <c r="CB368" s="567"/>
      <c r="CC368" s="567"/>
      <c r="CD368" s="567"/>
      <c r="CE368" s="567"/>
      <c r="CF368" s="567"/>
      <c r="CG368" s="567"/>
      <c r="CH368" s="567"/>
      <c r="CI368" s="567"/>
      <c r="CJ368" s="567"/>
      <c r="CK368" s="567"/>
      <c r="CL368" s="567"/>
      <c r="CM368" s="567"/>
      <c r="CN368" s="567"/>
      <c r="CO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  <c r="BW369" s="567"/>
      <c r="BX369" s="567"/>
      <c r="BY369" s="567"/>
      <c r="BZ369" s="567"/>
      <c r="CA369" s="567"/>
      <c r="CB369" s="567"/>
      <c r="CC369" s="567"/>
      <c r="CD369" s="567"/>
      <c r="CE369" s="567"/>
      <c r="CF369" s="567"/>
      <c r="CG369" s="567"/>
      <c r="CH369" s="567"/>
      <c r="CI369" s="567"/>
      <c r="CJ369" s="567"/>
      <c r="CK369" s="567"/>
      <c r="CL369" s="567"/>
      <c r="CM369" s="567"/>
      <c r="CN369" s="567"/>
      <c r="CO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  <c r="BW370" s="567"/>
      <c r="BX370" s="567"/>
      <c r="BY370" s="567"/>
      <c r="BZ370" s="567"/>
      <c r="CA370" s="567"/>
      <c r="CB370" s="567"/>
      <c r="CC370" s="567"/>
      <c r="CD370" s="567"/>
      <c r="CE370" s="567"/>
      <c r="CF370" s="567"/>
      <c r="CG370" s="567"/>
      <c r="CH370" s="567"/>
      <c r="CI370" s="567"/>
      <c r="CJ370" s="567"/>
      <c r="CK370" s="567"/>
      <c r="CL370" s="567"/>
      <c r="CM370" s="567"/>
      <c r="CN370" s="567"/>
      <c r="CO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  <c r="BW371" s="567"/>
      <c r="BX371" s="567"/>
      <c r="BY371" s="567"/>
      <c r="BZ371" s="567"/>
      <c r="CA371" s="567"/>
      <c r="CB371" s="567"/>
      <c r="CC371" s="567"/>
      <c r="CD371" s="567"/>
      <c r="CE371" s="567"/>
      <c r="CF371" s="567"/>
      <c r="CG371" s="567"/>
      <c r="CH371" s="567"/>
      <c r="CI371" s="567"/>
      <c r="CJ371" s="567"/>
      <c r="CK371" s="567"/>
      <c r="CL371" s="567"/>
      <c r="CM371" s="567"/>
      <c r="CN371" s="567"/>
      <c r="CO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  <c r="BW372" s="567"/>
      <c r="BX372" s="567"/>
      <c r="BY372" s="567"/>
      <c r="BZ372" s="567"/>
      <c r="CA372" s="567"/>
      <c r="CB372" s="567"/>
      <c r="CC372" s="567"/>
      <c r="CD372" s="567"/>
      <c r="CE372" s="567"/>
      <c r="CF372" s="567"/>
      <c r="CG372" s="567"/>
      <c r="CH372" s="567"/>
      <c r="CI372" s="567"/>
      <c r="CJ372" s="567"/>
      <c r="CK372" s="567"/>
      <c r="CL372" s="567"/>
      <c r="CM372" s="567"/>
      <c r="CN372" s="567"/>
      <c r="CO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  <c r="BW373" s="567"/>
      <c r="BX373" s="567"/>
      <c r="BY373" s="567"/>
      <c r="BZ373" s="567"/>
      <c r="CA373" s="567"/>
      <c r="CB373" s="567"/>
      <c r="CC373" s="567"/>
      <c r="CD373" s="567"/>
      <c r="CE373" s="567"/>
      <c r="CF373" s="567"/>
      <c r="CG373" s="567"/>
      <c r="CH373" s="567"/>
      <c r="CI373" s="567"/>
      <c r="CJ373" s="567"/>
      <c r="CK373" s="567"/>
      <c r="CL373" s="567"/>
      <c r="CM373" s="567"/>
      <c r="CN373" s="567"/>
      <c r="CO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  <c r="BW374" s="567"/>
      <c r="BX374" s="567"/>
      <c r="BY374" s="567"/>
      <c r="BZ374" s="567"/>
      <c r="CA374" s="567"/>
      <c r="CB374" s="567"/>
      <c r="CC374" s="567"/>
      <c r="CD374" s="567"/>
      <c r="CE374" s="567"/>
      <c r="CF374" s="567"/>
      <c r="CG374" s="567"/>
      <c r="CH374" s="567"/>
      <c r="CI374" s="567"/>
      <c r="CJ374" s="567"/>
      <c r="CK374" s="567"/>
      <c r="CL374" s="567"/>
      <c r="CM374" s="567"/>
      <c r="CN374" s="567"/>
      <c r="CO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  <c r="BW375" s="567"/>
      <c r="BX375" s="567"/>
      <c r="BY375" s="567"/>
      <c r="BZ375" s="567"/>
      <c r="CA375" s="567"/>
      <c r="CB375" s="567"/>
      <c r="CC375" s="567"/>
      <c r="CD375" s="567"/>
      <c r="CE375" s="567"/>
      <c r="CF375" s="567"/>
      <c r="CG375" s="567"/>
      <c r="CH375" s="567"/>
      <c r="CI375" s="567"/>
      <c r="CJ375" s="567"/>
      <c r="CK375" s="567"/>
      <c r="CL375" s="567"/>
      <c r="CM375" s="567"/>
      <c r="CN375" s="567"/>
      <c r="CO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  <c r="BW376" s="567"/>
      <c r="BX376" s="567"/>
      <c r="BY376" s="567"/>
      <c r="BZ376" s="567"/>
      <c r="CA376" s="567"/>
      <c r="CB376" s="567"/>
      <c r="CC376" s="567"/>
      <c r="CD376" s="567"/>
      <c r="CE376" s="567"/>
      <c r="CF376" s="567"/>
      <c r="CG376" s="567"/>
      <c r="CH376" s="567"/>
      <c r="CI376" s="567"/>
      <c r="CJ376" s="567"/>
      <c r="CK376" s="567"/>
      <c r="CL376" s="567"/>
      <c r="CM376" s="567"/>
      <c r="CN376" s="567"/>
      <c r="CO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  <c r="BW377" s="567"/>
      <c r="BX377" s="567"/>
      <c r="BY377" s="567"/>
      <c r="BZ377" s="567"/>
      <c r="CA377" s="567"/>
      <c r="CB377" s="567"/>
      <c r="CC377" s="567"/>
      <c r="CD377" s="567"/>
      <c r="CE377" s="567"/>
      <c r="CF377" s="567"/>
      <c r="CG377" s="567"/>
      <c r="CH377" s="567"/>
      <c r="CI377" s="567"/>
      <c r="CJ377" s="567"/>
      <c r="CK377" s="567"/>
      <c r="CL377" s="567"/>
      <c r="CM377" s="567"/>
      <c r="CN377" s="567"/>
      <c r="CO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  <c r="BW378" s="567"/>
      <c r="BX378" s="567"/>
      <c r="BY378" s="567"/>
      <c r="BZ378" s="567"/>
      <c r="CA378" s="567"/>
      <c r="CB378" s="567"/>
      <c r="CC378" s="567"/>
      <c r="CD378" s="567"/>
      <c r="CE378" s="567"/>
      <c r="CF378" s="567"/>
      <c r="CG378" s="567"/>
      <c r="CH378" s="567"/>
      <c r="CI378" s="567"/>
      <c r="CJ378" s="567"/>
      <c r="CK378" s="567"/>
      <c r="CL378" s="567"/>
      <c r="CM378" s="567"/>
      <c r="CN378" s="567"/>
      <c r="CO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  <c r="BW379" s="567"/>
      <c r="BX379" s="567"/>
      <c r="BY379" s="567"/>
      <c r="BZ379" s="567"/>
      <c r="CA379" s="567"/>
      <c r="CB379" s="567"/>
      <c r="CC379" s="567"/>
      <c r="CD379" s="567"/>
      <c r="CE379" s="567"/>
      <c r="CF379" s="567"/>
      <c r="CG379" s="567"/>
      <c r="CH379" s="567"/>
      <c r="CI379" s="567"/>
      <c r="CJ379" s="567"/>
      <c r="CK379" s="567"/>
      <c r="CL379" s="567"/>
      <c r="CM379" s="567"/>
      <c r="CN379" s="567"/>
      <c r="CO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  <c r="BW380" s="567"/>
      <c r="BX380" s="567"/>
      <c r="BY380" s="567"/>
      <c r="BZ380" s="567"/>
      <c r="CA380" s="567"/>
      <c r="CB380" s="567"/>
      <c r="CC380" s="567"/>
      <c r="CD380" s="567"/>
      <c r="CE380" s="567"/>
      <c r="CF380" s="567"/>
      <c r="CG380" s="567"/>
      <c r="CH380" s="567"/>
      <c r="CI380" s="567"/>
      <c r="CJ380" s="567"/>
      <c r="CK380" s="567"/>
      <c r="CL380" s="567"/>
      <c r="CM380" s="567"/>
      <c r="CN380" s="567"/>
      <c r="CO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  <c r="BW381" s="567"/>
      <c r="BX381" s="567"/>
      <c r="BY381" s="567"/>
      <c r="BZ381" s="567"/>
      <c r="CA381" s="567"/>
      <c r="CB381" s="567"/>
      <c r="CC381" s="567"/>
      <c r="CD381" s="567"/>
      <c r="CE381" s="567"/>
      <c r="CF381" s="567"/>
      <c r="CG381" s="567"/>
      <c r="CH381" s="567"/>
      <c r="CI381" s="567"/>
      <c r="CJ381" s="567"/>
      <c r="CK381" s="567"/>
      <c r="CL381" s="567"/>
      <c r="CM381" s="567"/>
      <c r="CN381" s="567"/>
      <c r="CO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  <c r="BW382" s="567"/>
      <c r="BX382" s="567"/>
      <c r="BY382" s="567"/>
      <c r="BZ382" s="567"/>
      <c r="CA382" s="567"/>
      <c r="CB382" s="567"/>
      <c r="CC382" s="567"/>
      <c r="CD382" s="567"/>
      <c r="CE382" s="567"/>
      <c r="CF382" s="567"/>
      <c r="CG382" s="567"/>
      <c r="CH382" s="567"/>
      <c r="CI382" s="567"/>
      <c r="CJ382" s="567"/>
      <c r="CK382" s="567"/>
      <c r="CL382" s="567"/>
      <c r="CM382" s="567"/>
      <c r="CN382" s="567"/>
      <c r="CO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  <c r="BW383" s="567"/>
      <c r="BX383" s="567"/>
      <c r="BY383" s="567"/>
      <c r="BZ383" s="567"/>
      <c r="CA383" s="567"/>
      <c r="CB383" s="567"/>
      <c r="CC383" s="567"/>
      <c r="CD383" s="567"/>
      <c r="CE383" s="567"/>
      <c r="CF383" s="567"/>
      <c r="CG383" s="567"/>
      <c r="CH383" s="567"/>
      <c r="CI383" s="567"/>
      <c r="CJ383" s="567"/>
      <c r="CK383" s="567"/>
      <c r="CL383" s="567"/>
      <c r="CM383" s="567"/>
      <c r="CN383" s="567"/>
      <c r="CO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  <c r="BW384" s="567"/>
      <c r="BX384" s="567"/>
      <c r="BY384" s="567"/>
      <c r="BZ384" s="567"/>
      <c r="CA384" s="567"/>
      <c r="CB384" s="567"/>
      <c r="CC384" s="567"/>
      <c r="CD384" s="567"/>
      <c r="CE384" s="567"/>
      <c r="CF384" s="567"/>
      <c r="CG384" s="567"/>
      <c r="CH384" s="567"/>
      <c r="CI384" s="567"/>
      <c r="CJ384" s="567"/>
      <c r="CK384" s="567"/>
      <c r="CL384" s="567"/>
      <c r="CM384" s="567"/>
      <c r="CN384" s="567"/>
      <c r="CO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  <c r="CL385" s="567"/>
      <c r="CM385" s="567"/>
      <c r="CN385" s="567"/>
      <c r="CO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  <c r="CL386" s="567"/>
      <c r="CM386" s="567"/>
      <c r="CN386" s="567"/>
      <c r="CO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  <c r="CL387" s="567"/>
      <c r="CM387" s="567"/>
      <c r="CN387" s="567"/>
      <c r="CO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  <c r="CL388" s="567"/>
      <c r="CM388" s="567"/>
      <c r="CN388" s="567"/>
      <c r="CO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  <c r="CL389" s="567"/>
      <c r="CM389" s="567"/>
      <c r="CN389" s="567"/>
      <c r="CO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  <c r="CL390" s="567"/>
      <c r="CM390" s="567"/>
      <c r="CN390" s="567"/>
      <c r="CO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  <c r="CL391" s="567"/>
      <c r="CM391" s="567"/>
      <c r="CN391" s="567"/>
      <c r="CO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  <c r="CL392" s="567"/>
      <c r="CM392" s="567"/>
      <c r="CN392" s="567"/>
      <c r="CO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  <c r="CL393" s="567"/>
      <c r="CM393" s="567"/>
      <c r="CN393" s="567"/>
      <c r="CO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  <c r="CL394" s="567"/>
      <c r="CM394" s="567"/>
      <c r="CN394" s="567"/>
      <c r="CO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  <c r="CL395" s="567"/>
      <c r="CM395" s="567"/>
      <c r="CN395" s="567"/>
      <c r="CO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  <c r="CL396" s="567"/>
      <c r="CM396" s="567"/>
      <c r="CN396" s="567"/>
      <c r="CO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  <c r="CL397" s="567"/>
      <c r="CM397" s="567"/>
      <c r="CN397" s="567"/>
      <c r="CO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  <c r="CL398" s="567"/>
      <c r="CM398" s="567"/>
      <c r="CN398" s="567"/>
      <c r="CO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  <c r="CL399" s="567"/>
      <c r="CM399" s="567"/>
      <c r="CN399" s="567"/>
      <c r="CO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  <c r="CL400" s="567"/>
      <c r="CM400" s="567"/>
      <c r="CN400" s="567"/>
      <c r="CO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  <c r="CL401" s="567"/>
      <c r="CM401" s="567"/>
      <c r="CN401" s="567"/>
      <c r="CO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  <c r="CL402" s="567"/>
      <c r="CM402" s="567"/>
      <c r="CN402" s="567"/>
      <c r="CO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  <c r="CL403" s="567"/>
      <c r="CM403" s="567"/>
      <c r="CN403" s="567"/>
      <c r="CO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  <c r="CL404" s="567"/>
      <c r="CM404" s="567"/>
      <c r="CN404" s="567"/>
      <c r="CO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  <c r="CL405" s="567"/>
      <c r="CM405" s="567"/>
      <c r="CN405" s="567"/>
      <c r="CO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  <c r="CL406" s="567"/>
      <c r="CM406" s="567"/>
      <c r="CN406" s="567"/>
      <c r="CO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  <c r="CL407" s="567"/>
      <c r="CM407" s="567"/>
      <c r="CN407" s="567"/>
      <c r="CO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  <c r="CL408" s="567"/>
      <c r="CM408" s="567"/>
      <c r="CN408" s="567"/>
      <c r="CO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  <c r="CL409" s="567"/>
      <c r="CM409" s="567"/>
      <c r="CN409" s="567"/>
      <c r="CO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  <c r="CL410" s="567"/>
      <c r="CM410" s="567"/>
      <c r="CN410" s="567"/>
      <c r="CO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  <c r="CL411" s="567"/>
      <c r="CM411" s="567"/>
      <c r="CN411" s="567"/>
      <c r="CO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  <c r="CL412" s="567"/>
      <c r="CM412" s="567"/>
      <c r="CN412" s="567"/>
      <c r="CO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  <c r="CL413" s="567"/>
      <c r="CM413" s="567"/>
      <c r="CN413" s="567"/>
      <c r="CO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  <c r="CL414" s="567"/>
      <c r="CM414" s="567"/>
      <c r="CN414" s="567"/>
      <c r="CO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  <c r="CL415" s="567"/>
      <c r="CM415" s="567"/>
      <c r="CN415" s="567"/>
      <c r="CO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  <c r="CL416" s="567"/>
      <c r="CM416" s="567"/>
      <c r="CN416" s="567"/>
      <c r="CO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  <c r="CL417" s="567"/>
      <c r="CM417" s="567"/>
      <c r="CN417" s="567"/>
      <c r="CO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  <c r="CL418" s="567"/>
      <c r="CM418" s="567"/>
      <c r="CN418" s="567"/>
      <c r="CO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  <c r="BW419" s="567"/>
      <c r="BX419" s="567"/>
      <c r="BY419" s="567"/>
      <c r="BZ419" s="567"/>
      <c r="CA419" s="567"/>
      <c r="CB419" s="567"/>
      <c r="CC419" s="567"/>
      <c r="CD419" s="567"/>
      <c r="CE419" s="567"/>
      <c r="CF419" s="567"/>
      <c r="CG419" s="567"/>
      <c r="CH419" s="567"/>
      <c r="CI419" s="567"/>
      <c r="CJ419" s="567"/>
      <c r="CK419" s="567"/>
      <c r="CL419" s="567"/>
      <c r="CM419" s="567"/>
      <c r="CN419" s="567"/>
      <c r="CO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  <c r="BW420" s="567"/>
      <c r="BX420" s="567"/>
      <c r="BY420" s="567"/>
      <c r="BZ420" s="567"/>
      <c r="CA420" s="567"/>
      <c r="CB420" s="567"/>
      <c r="CC420" s="567"/>
      <c r="CD420" s="567"/>
      <c r="CE420" s="567"/>
      <c r="CF420" s="567"/>
      <c r="CG420" s="567"/>
      <c r="CH420" s="567"/>
      <c r="CI420" s="567"/>
      <c r="CJ420" s="567"/>
      <c r="CK420" s="567"/>
      <c r="CL420" s="567"/>
      <c r="CM420" s="567"/>
      <c r="CN420" s="567"/>
      <c r="CO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  <c r="BW421" s="567"/>
      <c r="BX421" s="567"/>
      <c r="BY421" s="567"/>
      <c r="BZ421" s="567"/>
      <c r="CA421" s="567"/>
      <c r="CB421" s="567"/>
      <c r="CC421" s="567"/>
      <c r="CD421" s="567"/>
      <c r="CE421" s="567"/>
      <c r="CF421" s="567"/>
      <c r="CG421" s="567"/>
      <c r="CH421" s="567"/>
      <c r="CI421" s="567"/>
      <c r="CJ421" s="567"/>
      <c r="CK421" s="567"/>
      <c r="CL421" s="567"/>
      <c r="CM421" s="567"/>
      <c r="CN421" s="567"/>
      <c r="CO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  <c r="BW422" s="567"/>
      <c r="BX422" s="567"/>
      <c r="BY422" s="567"/>
      <c r="BZ422" s="567"/>
      <c r="CA422" s="567"/>
      <c r="CB422" s="567"/>
      <c r="CC422" s="567"/>
      <c r="CD422" s="567"/>
      <c r="CE422" s="567"/>
      <c r="CF422" s="567"/>
      <c r="CG422" s="567"/>
      <c r="CH422" s="567"/>
      <c r="CI422" s="567"/>
      <c r="CJ422" s="567"/>
      <c r="CK422" s="567"/>
      <c r="CL422" s="567"/>
      <c r="CM422" s="567"/>
      <c r="CN422" s="567"/>
      <c r="CO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  <c r="BW423" s="567"/>
      <c r="BX423" s="567"/>
      <c r="BY423" s="567"/>
      <c r="BZ423" s="567"/>
      <c r="CA423" s="567"/>
      <c r="CB423" s="567"/>
      <c r="CC423" s="567"/>
      <c r="CD423" s="567"/>
      <c r="CE423" s="567"/>
      <c r="CF423" s="567"/>
      <c r="CG423" s="567"/>
      <c r="CH423" s="567"/>
      <c r="CI423" s="567"/>
      <c r="CJ423" s="567"/>
      <c r="CK423" s="567"/>
      <c r="CL423" s="567"/>
      <c r="CM423" s="567"/>
      <c r="CN423" s="567"/>
      <c r="CO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  <c r="BW424" s="567"/>
      <c r="BX424" s="567"/>
      <c r="BY424" s="567"/>
      <c r="BZ424" s="567"/>
      <c r="CA424" s="567"/>
      <c r="CB424" s="567"/>
      <c r="CC424" s="567"/>
      <c r="CD424" s="567"/>
      <c r="CE424" s="567"/>
      <c r="CF424" s="567"/>
      <c r="CG424" s="567"/>
      <c r="CH424" s="567"/>
      <c r="CI424" s="567"/>
      <c r="CJ424" s="567"/>
      <c r="CK424" s="567"/>
      <c r="CL424" s="567"/>
      <c r="CM424" s="567"/>
      <c r="CN424" s="567"/>
      <c r="CO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  <c r="BW425" s="567"/>
      <c r="BX425" s="567"/>
      <c r="BY425" s="567"/>
      <c r="BZ425" s="567"/>
      <c r="CA425" s="567"/>
      <c r="CB425" s="567"/>
      <c r="CC425" s="567"/>
      <c r="CD425" s="567"/>
      <c r="CE425" s="567"/>
      <c r="CF425" s="567"/>
      <c r="CG425" s="567"/>
      <c r="CH425" s="567"/>
      <c r="CI425" s="567"/>
      <c r="CJ425" s="567"/>
      <c r="CK425" s="567"/>
      <c r="CL425" s="567"/>
      <c r="CM425" s="567"/>
      <c r="CN425" s="567"/>
      <c r="CO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  <c r="BW426" s="567"/>
      <c r="BX426" s="567"/>
      <c r="BY426" s="567"/>
      <c r="BZ426" s="567"/>
      <c r="CA426" s="567"/>
      <c r="CB426" s="567"/>
      <c r="CC426" s="567"/>
      <c r="CD426" s="567"/>
      <c r="CE426" s="567"/>
      <c r="CF426" s="567"/>
      <c r="CG426" s="567"/>
      <c r="CH426" s="567"/>
      <c r="CI426" s="567"/>
      <c r="CJ426" s="567"/>
      <c r="CK426" s="567"/>
      <c r="CL426" s="567"/>
      <c r="CM426" s="567"/>
      <c r="CN426" s="567"/>
      <c r="CO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  <c r="BW427" s="567"/>
      <c r="BX427" s="567"/>
      <c r="BY427" s="567"/>
      <c r="BZ427" s="567"/>
      <c r="CA427" s="567"/>
      <c r="CB427" s="567"/>
      <c r="CC427" s="567"/>
      <c r="CD427" s="567"/>
      <c r="CE427" s="567"/>
      <c r="CF427" s="567"/>
      <c r="CG427" s="567"/>
      <c r="CH427" s="567"/>
      <c r="CI427" s="567"/>
      <c r="CJ427" s="567"/>
      <c r="CK427" s="567"/>
      <c r="CL427" s="567"/>
      <c r="CM427" s="567"/>
      <c r="CN427" s="567"/>
      <c r="CO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  <c r="BW428" s="567"/>
      <c r="BX428" s="567"/>
      <c r="BY428" s="567"/>
      <c r="BZ428" s="567"/>
      <c r="CA428" s="567"/>
      <c r="CB428" s="567"/>
      <c r="CC428" s="567"/>
      <c r="CD428" s="567"/>
      <c r="CE428" s="567"/>
      <c r="CF428" s="567"/>
      <c r="CG428" s="567"/>
      <c r="CH428" s="567"/>
      <c r="CI428" s="567"/>
      <c r="CJ428" s="567"/>
      <c r="CK428" s="567"/>
      <c r="CL428" s="567"/>
      <c r="CM428" s="567"/>
      <c r="CN428" s="567"/>
      <c r="CO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  <c r="BW429" s="567"/>
      <c r="BX429" s="567"/>
      <c r="BY429" s="567"/>
      <c r="BZ429" s="567"/>
      <c r="CA429" s="567"/>
      <c r="CB429" s="567"/>
      <c r="CC429" s="567"/>
      <c r="CD429" s="567"/>
      <c r="CE429" s="567"/>
      <c r="CF429" s="567"/>
      <c r="CG429" s="567"/>
      <c r="CH429" s="567"/>
      <c r="CI429" s="567"/>
      <c r="CJ429" s="567"/>
      <c r="CK429" s="567"/>
      <c r="CL429" s="567"/>
      <c r="CM429" s="567"/>
      <c r="CN429" s="567"/>
      <c r="CO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  <c r="BW430" s="567"/>
      <c r="BX430" s="567"/>
      <c r="BY430" s="567"/>
      <c r="BZ430" s="567"/>
      <c r="CA430" s="567"/>
      <c r="CB430" s="567"/>
      <c r="CC430" s="567"/>
      <c r="CD430" s="567"/>
      <c r="CE430" s="567"/>
      <c r="CF430" s="567"/>
      <c r="CG430" s="567"/>
      <c r="CH430" s="567"/>
      <c r="CI430" s="567"/>
      <c r="CJ430" s="567"/>
      <c r="CK430" s="567"/>
      <c r="CL430" s="567"/>
      <c r="CM430" s="567"/>
      <c r="CN430" s="567"/>
      <c r="CO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  <c r="BW431" s="567"/>
      <c r="BX431" s="567"/>
      <c r="BY431" s="567"/>
      <c r="BZ431" s="567"/>
      <c r="CA431" s="567"/>
      <c r="CB431" s="567"/>
      <c r="CC431" s="567"/>
      <c r="CD431" s="567"/>
      <c r="CE431" s="567"/>
      <c r="CF431" s="567"/>
      <c r="CG431" s="567"/>
      <c r="CH431" s="567"/>
      <c r="CI431" s="567"/>
      <c r="CJ431" s="567"/>
      <c r="CK431" s="567"/>
      <c r="CL431" s="567"/>
      <c r="CM431" s="567"/>
      <c r="CN431" s="567"/>
      <c r="CO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  <c r="BW432" s="567"/>
      <c r="BX432" s="567"/>
      <c r="BY432" s="567"/>
      <c r="BZ432" s="567"/>
      <c r="CA432" s="567"/>
      <c r="CB432" s="567"/>
      <c r="CC432" s="567"/>
      <c r="CD432" s="567"/>
      <c r="CE432" s="567"/>
      <c r="CF432" s="567"/>
      <c r="CG432" s="567"/>
      <c r="CH432" s="567"/>
      <c r="CI432" s="567"/>
      <c r="CJ432" s="567"/>
      <c r="CK432" s="567"/>
      <c r="CL432" s="567"/>
      <c r="CM432" s="567"/>
      <c r="CN432" s="567"/>
      <c r="CO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  <c r="BW433" s="567"/>
      <c r="BX433" s="567"/>
      <c r="BY433" s="567"/>
      <c r="BZ433" s="567"/>
      <c r="CA433" s="567"/>
      <c r="CB433" s="567"/>
      <c r="CC433" s="567"/>
      <c r="CD433" s="567"/>
      <c r="CE433" s="567"/>
      <c r="CF433" s="567"/>
      <c r="CG433" s="567"/>
      <c r="CH433" s="567"/>
      <c r="CI433" s="567"/>
      <c r="CJ433" s="567"/>
      <c r="CK433" s="567"/>
      <c r="CL433" s="567"/>
      <c r="CM433" s="567"/>
      <c r="CN433" s="567"/>
      <c r="CO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  <c r="BW434" s="567"/>
      <c r="BX434" s="567"/>
      <c r="BY434" s="567"/>
      <c r="BZ434" s="567"/>
      <c r="CA434" s="567"/>
      <c r="CB434" s="567"/>
      <c r="CC434" s="567"/>
      <c r="CD434" s="567"/>
      <c r="CE434" s="567"/>
      <c r="CF434" s="567"/>
      <c r="CG434" s="567"/>
      <c r="CH434" s="567"/>
      <c r="CI434" s="567"/>
      <c r="CJ434" s="567"/>
      <c r="CK434" s="567"/>
      <c r="CL434" s="567"/>
      <c r="CM434" s="567"/>
      <c r="CN434" s="567"/>
      <c r="CO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  <c r="BW435" s="567"/>
      <c r="BX435" s="567"/>
      <c r="BY435" s="567"/>
      <c r="BZ435" s="567"/>
      <c r="CA435" s="567"/>
      <c r="CB435" s="567"/>
      <c r="CC435" s="567"/>
      <c r="CD435" s="567"/>
      <c r="CE435" s="567"/>
      <c r="CF435" s="567"/>
      <c r="CG435" s="567"/>
      <c r="CH435" s="567"/>
      <c r="CI435" s="567"/>
      <c r="CJ435" s="567"/>
      <c r="CK435" s="567"/>
      <c r="CL435" s="567"/>
      <c r="CM435" s="567"/>
      <c r="CN435" s="567"/>
      <c r="CO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  <c r="BW436" s="567"/>
      <c r="BX436" s="567"/>
      <c r="BY436" s="567"/>
      <c r="BZ436" s="567"/>
      <c r="CA436" s="567"/>
      <c r="CB436" s="567"/>
      <c r="CC436" s="567"/>
      <c r="CD436" s="567"/>
      <c r="CE436" s="567"/>
      <c r="CF436" s="567"/>
      <c r="CG436" s="567"/>
      <c r="CH436" s="567"/>
      <c r="CI436" s="567"/>
      <c r="CJ436" s="567"/>
      <c r="CK436" s="567"/>
      <c r="CL436" s="567"/>
      <c r="CM436" s="567"/>
      <c r="CN436" s="567"/>
      <c r="CO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  <c r="BW437" s="567"/>
      <c r="BX437" s="567"/>
      <c r="BY437" s="567"/>
      <c r="BZ437" s="567"/>
      <c r="CA437" s="567"/>
      <c r="CB437" s="567"/>
      <c r="CC437" s="567"/>
      <c r="CD437" s="567"/>
      <c r="CE437" s="567"/>
      <c r="CF437" s="567"/>
      <c r="CG437" s="567"/>
      <c r="CH437" s="567"/>
      <c r="CI437" s="567"/>
      <c r="CJ437" s="567"/>
      <c r="CK437" s="567"/>
      <c r="CL437" s="567"/>
      <c r="CM437" s="567"/>
      <c r="CN437" s="567"/>
      <c r="CO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  <c r="BW438" s="567"/>
      <c r="BX438" s="567"/>
      <c r="BY438" s="567"/>
      <c r="BZ438" s="567"/>
      <c r="CA438" s="567"/>
      <c r="CB438" s="567"/>
      <c r="CC438" s="567"/>
      <c r="CD438" s="567"/>
      <c r="CE438" s="567"/>
      <c r="CF438" s="567"/>
      <c r="CG438" s="567"/>
      <c r="CH438" s="567"/>
      <c r="CI438" s="567"/>
      <c r="CJ438" s="567"/>
      <c r="CK438" s="567"/>
      <c r="CL438" s="567"/>
      <c r="CM438" s="567"/>
      <c r="CN438" s="567"/>
      <c r="CO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  <c r="BW439" s="567"/>
      <c r="BX439" s="567"/>
      <c r="BY439" s="567"/>
      <c r="BZ439" s="567"/>
      <c r="CA439" s="567"/>
      <c r="CB439" s="567"/>
      <c r="CC439" s="567"/>
      <c r="CD439" s="567"/>
      <c r="CE439" s="567"/>
      <c r="CF439" s="567"/>
      <c r="CG439" s="567"/>
      <c r="CH439" s="567"/>
      <c r="CI439" s="567"/>
      <c r="CJ439" s="567"/>
      <c r="CK439" s="567"/>
      <c r="CL439" s="567"/>
      <c r="CM439" s="567"/>
      <c r="CN439" s="567"/>
      <c r="CO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  <c r="BW440" s="567"/>
      <c r="BX440" s="567"/>
      <c r="BY440" s="567"/>
      <c r="BZ440" s="567"/>
      <c r="CA440" s="567"/>
      <c r="CB440" s="567"/>
      <c r="CC440" s="567"/>
      <c r="CD440" s="567"/>
      <c r="CE440" s="567"/>
      <c r="CF440" s="567"/>
      <c r="CG440" s="567"/>
      <c r="CH440" s="567"/>
      <c r="CI440" s="567"/>
      <c r="CJ440" s="567"/>
      <c r="CK440" s="567"/>
      <c r="CL440" s="567"/>
      <c r="CM440" s="567"/>
      <c r="CN440" s="567"/>
      <c r="CO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  <c r="BW441" s="567"/>
      <c r="BX441" s="567"/>
      <c r="BY441" s="567"/>
      <c r="BZ441" s="567"/>
      <c r="CA441" s="567"/>
      <c r="CB441" s="567"/>
      <c r="CC441" s="567"/>
      <c r="CD441" s="567"/>
      <c r="CE441" s="567"/>
      <c r="CF441" s="567"/>
      <c r="CG441" s="567"/>
      <c r="CH441" s="567"/>
      <c r="CI441" s="567"/>
      <c r="CJ441" s="567"/>
      <c r="CK441" s="567"/>
      <c r="CL441" s="567"/>
      <c r="CM441" s="567"/>
      <c r="CN441" s="567"/>
      <c r="CO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  <c r="BW442" s="567"/>
      <c r="BX442" s="567"/>
      <c r="BY442" s="567"/>
      <c r="BZ442" s="567"/>
      <c r="CA442" s="567"/>
      <c r="CB442" s="567"/>
      <c r="CC442" s="567"/>
      <c r="CD442" s="567"/>
      <c r="CE442" s="567"/>
      <c r="CF442" s="567"/>
      <c r="CG442" s="567"/>
      <c r="CH442" s="567"/>
      <c r="CI442" s="567"/>
      <c r="CJ442" s="567"/>
      <c r="CK442" s="567"/>
      <c r="CL442" s="567"/>
      <c r="CM442" s="567"/>
      <c r="CN442" s="567"/>
      <c r="CO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  <c r="BW443" s="567"/>
      <c r="BX443" s="567"/>
      <c r="BY443" s="567"/>
      <c r="BZ443" s="567"/>
      <c r="CA443" s="567"/>
      <c r="CB443" s="567"/>
      <c r="CC443" s="567"/>
      <c r="CD443" s="567"/>
      <c r="CE443" s="567"/>
      <c r="CF443" s="567"/>
      <c r="CG443" s="567"/>
      <c r="CH443" s="567"/>
      <c r="CI443" s="567"/>
      <c r="CJ443" s="567"/>
      <c r="CK443" s="567"/>
      <c r="CL443" s="567"/>
      <c r="CM443" s="567"/>
      <c r="CN443" s="567"/>
      <c r="CO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  <c r="BW444" s="567"/>
      <c r="BX444" s="567"/>
      <c r="BY444" s="567"/>
      <c r="BZ444" s="567"/>
      <c r="CA444" s="567"/>
      <c r="CB444" s="567"/>
      <c r="CC444" s="567"/>
      <c r="CD444" s="567"/>
      <c r="CE444" s="567"/>
      <c r="CF444" s="567"/>
      <c r="CG444" s="567"/>
      <c r="CH444" s="567"/>
      <c r="CI444" s="567"/>
      <c r="CJ444" s="567"/>
      <c r="CK444" s="567"/>
      <c r="CL444" s="567"/>
      <c r="CM444" s="567"/>
      <c r="CN444" s="567"/>
      <c r="CO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  <c r="BW445" s="567"/>
      <c r="BX445" s="567"/>
      <c r="BY445" s="567"/>
      <c r="BZ445" s="567"/>
      <c r="CA445" s="567"/>
      <c r="CB445" s="567"/>
      <c r="CC445" s="567"/>
      <c r="CD445" s="567"/>
      <c r="CE445" s="567"/>
      <c r="CF445" s="567"/>
      <c r="CG445" s="567"/>
      <c r="CH445" s="567"/>
      <c r="CI445" s="567"/>
      <c r="CJ445" s="567"/>
      <c r="CK445" s="567"/>
      <c r="CL445" s="567"/>
      <c r="CM445" s="567"/>
      <c r="CN445" s="567"/>
      <c r="CO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  <c r="BW446" s="567"/>
      <c r="BX446" s="567"/>
      <c r="BY446" s="567"/>
      <c r="BZ446" s="567"/>
      <c r="CA446" s="567"/>
      <c r="CB446" s="567"/>
      <c r="CC446" s="567"/>
      <c r="CD446" s="567"/>
      <c r="CE446" s="567"/>
      <c r="CF446" s="567"/>
      <c r="CG446" s="567"/>
      <c r="CH446" s="567"/>
      <c r="CI446" s="567"/>
      <c r="CJ446" s="567"/>
      <c r="CK446" s="567"/>
      <c r="CL446" s="567"/>
      <c r="CM446" s="567"/>
      <c r="CN446" s="567"/>
      <c r="CO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  <c r="BW447" s="567"/>
      <c r="BX447" s="567"/>
      <c r="BY447" s="567"/>
      <c r="BZ447" s="567"/>
      <c r="CA447" s="567"/>
      <c r="CB447" s="567"/>
      <c r="CC447" s="567"/>
      <c r="CD447" s="567"/>
      <c r="CE447" s="567"/>
      <c r="CF447" s="567"/>
      <c r="CG447" s="567"/>
      <c r="CH447" s="567"/>
      <c r="CI447" s="567"/>
      <c r="CJ447" s="567"/>
      <c r="CK447" s="567"/>
      <c r="CL447" s="567"/>
      <c r="CM447" s="567"/>
      <c r="CN447" s="567"/>
      <c r="CO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  <c r="BW448" s="567"/>
      <c r="BX448" s="567"/>
      <c r="BY448" s="567"/>
      <c r="BZ448" s="567"/>
      <c r="CA448" s="567"/>
      <c r="CB448" s="567"/>
      <c r="CC448" s="567"/>
      <c r="CD448" s="567"/>
      <c r="CE448" s="567"/>
      <c r="CF448" s="567"/>
      <c r="CG448" s="567"/>
      <c r="CH448" s="567"/>
      <c r="CI448" s="567"/>
      <c r="CJ448" s="567"/>
      <c r="CK448" s="567"/>
      <c r="CL448" s="567"/>
      <c r="CM448" s="567"/>
      <c r="CN448" s="567"/>
      <c r="CO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  <c r="BW449" s="567"/>
      <c r="BX449" s="567"/>
      <c r="BY449" s="567"/>
      <c r="BZ449" s="567"/>
      <c r="CA449" s="567"/>
      <c r="CB449" s="567"/>
      <c r="CC449" s="567"/>
      <c r="CD449" s="567"/>
      <c r="CE449" s="567"/>
      <c r="CF449" s="567"/>
      <c r="CG449" s="567"/>
      <c r="CH449" s="567"/>
      <c r="CI449" s="567"/>
      <c r="CJ449" s="567"/>
      <c r="CK449" s="567"/>
      <c r="CL449" s="567"/>
      <c r="CM449" s="567"/>
      <c r="CN449" s="567"/>
      <c r="CO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  <c r="BW450" s="567"/>
      <c r="BX450" s="567"/>
      <c r="BY450" s="567"/>
      <c r="BZ450" s="567"/>
      <c r="CA450" s="567"/>
      <c r="CB450" s="567"/>
      <c r="CC450" s="567"/>
      <c r="CD450" s="567"/>
      <c r="CE450" s="567"/>
      <c r="CF450" s="567"/>
      <c r="CG450" s="567"/>
      <c r="CH450" s="567"/>
      <c r="CI450" s="567"/>
      <c r="CJ450" s="567"/>
      <c r="CK450" s="567"/>
      <c r="CL450" s="567"/>
      <c r="CM450" s="567"/>
      <c r="CN450" s="567"/>
      <c r="CO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  <c r="BW451" s="567"/>
      <c r="BX451" s="567"/>
      <c r="BY451" s="567"/>
      <c r="BZ451" s="567"/>
      <c r="CA451" s="567"/>
      <c r="CB451" s="567"/>
      <c r="CC451" s="567"/>
      <c r="CD451" s="567"/>
      <c r="CE451" s="567"/>
      <c r="CF451" s="567"/>
      <c r="CG451" s="567"/>
      <c r="CH451" s="567"/>
      <c r="CI451" s="567"/>
      <c r="CJ451" s="567"/>
      <c r="CK451" s="567"/>
      <c r="CL451" s="567"/>
      <c r="CM451" s="567"/>
      <c r="CN451" s="567"/>
      <c r="CO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  <c r="BW452" s="567"/>
      <c r="BX452" s="567"/>
      <c r="BY452" s="567"/>
      <c r="BZ452" s="567"/>
      <c r="CA452" s="567"/>
      <c r="CB452" s="567"/>
      <c r="CC452" s="567"/>
      <c r="CD452" s="567"/>
      <c r="CE452" s="567"/>
      <c r="CF452" s="567"/>
      <c r="CG452" s="567"/>
      <c r="CH452" s="567"/>
      <c r="CI452" s="567"/>
      <c r="CJ452" s="567"/>
      <c r="CK452" s="567"/>
      <c r="CL452" s="567"/>
      <c r="CM452" s="567"/>
      <c r="CN452" s="567"/>
      <c r="CO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  <c r="BW453" s="567"/>
      <c r="BX453" s="567"/>
      <c r="BY453" s="567"/>
      <c r="BZ453" s="567"/>
      <c r="CA453" s="567"/>
      <c r="CB453" s="567"/>
      <c r="CC453" s="567"/>
      <c r="CD453" s="567"/>
      <c r="CE453" s="567"/>
      <c r="CF453" s="567"/>
      <c r="CG453" s="567"/>
      <c r="CH453" s="567"/>
      <c r="CI453" s="567"/>
      <c r="CJ453" s="567"/>
      <c r="CK453" s="567"/>
      <c r="CL453" s="567"/>
      <c r="CM453" s="567"/>
      <c r="CN453" s="567"/>
      <c r="CO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  <c r="BW454" s="567"/>
      <c r="BX454" s="567"/>
      <c r="BY454" s="567"/>
      <c r="BZ454" s="567"/>
      <c r="CA454" s="567"/>
      <c r="CB454" s="567"/>
      <c r="CC454" s="567"/>
      <c r="CD454" s="567"/>
      <c r="CE454" s="567"/>
      <c r="CF454" s="567"/>
      <c r="CG454" s="567"/>
      <c r="CH454" s="567"/>
      <c r="CI454" s="567"/>
      <c r="CJ454" s="567"/>
      <c r="CK454" s="567"/>
      <c r="CL454" s="567"/>
      <c r="CM454" s="567"/>
      <c r="CN454" s="567"/>
      <c r="CO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  <c r="BW455" s="567"/>
      <c r="BX455" s="567"/>
      <c r="BY455" s="567"/>
      <c r="BZ455" s="567"/>
      <c r="CA455" s="567"/>
      <c r="CB455" s="567"/>
      <c r="CC455" s="567"/>
      <c r="CD455" s="567"/>
      <c r="CE455" s="567"/>
      <c r="CF455" s="567"/>
      <c r="CG455" s="567"/>
      <c r="CH455" s="567"/>
      <c r="CI455" s="567"/>
      <c r="CJ455" s="567"/>
      <c r="CK455" s="567"/>
      <c r="CL455" s="567"/>
      <c r="CM455" s="567"/>
      <c r="CN455" s="567"/>
      <c r="CO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  <c r="BW456" s="567"/>
      <c r="BX456" s="567"/>
      <c r="BY456" s="567"/>
      <c r="BZ456" s="567"/>
      <c r="CA456" s="567"/>
      <c r="CB456" s="567"/>
      <c r="CC456" s="567"/>
      <c r="CD456" s="567"/>
      <c r="CE456" s="567"/>
      <c r="CF456" s="567"/>
      <c r="CG456" s="567"/>
      <c r="CH456" s="567"/>
      <c r="CI456" s="567"/>
      <c r="CJ456" s="567"/>
      <c r="CK456" s="567"/>
      <c r="CL456" s="567"/>
      <c r="CM456" s="567"/>
      <c r="CN456" s="567"/>
      <c r="CO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  <c r="BW457" s="567"/>
      <c r="BX457" s="567"/>
      <c r="BY457" s="567"/>
      <c r="BZ457" s="567"/>
      <c r="CA457" s="567"/>
      <c r="CB457" s="567"/>
      <c r="CC457" s="567"/>
      <c r="CD457" s="567"/>
      <c r="CE457" s="567"/>
      <c r="CF457" s="567"/>
      <c r="CG457" s="567"/>
      <c r="CH457" s="567"/>
      <c r="CI457" s="567"/>
      <c r="CJ457" s="567"/>
      <c r="CK457" s="567"/>
      <c r="CL457" s="567"/>
      <c r="CM457" s="567"/>
      <c r="CN457" s="567"/>
      <c r="CO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  <c r="BW458" s="567"/>
      <c r="BX458" s="567"/>
      <c r="BY458" s="567"/>
      <c r="BZ458" s="567"/>
      <c r="CA458" s="567"/>
      <c r="CB458" s="567"/>
      <c r="CC458" s="567"/>
      <c r="CD458" s="567"/>
      <c r="CE458" s="567"/>
      <c r="CF458" s="567"/>
      <c r="CG458" s="567"/>
      <c r="CH458" s="567"/>
      <c r="CI458" s="567"/>
      <c r="CJ458" s="567"/>
      <c r="CK458" s="567"/>
      <c r="CL458" s="567"/>
      <c r="CM458" s="567"/>
      <c r="CN458" s="567"/>
      <c r="CO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  <c r="BW459" s="567"/>
      <c r="BX459" s="567"/>
      <c r="BY459" s="567"/>
      <c r="BZ459" s="567"/>
      <c r="CA459" s="567"/>
      <c r="CB459" s="567"/>
      <c r="CC459" s="567"/>
      <c r="CD459" s="567"/>
      <c r="CE459" s="567"/>
      <c r="CF459" s="567"/>
      <c r="CG459" s="567"/>
      <c r="CH459" s="567"/>
      <c r="CI459" s="567"/>
      <c r="CJ459" s="567"/>
      <c r="CK459" s="567"/>
      <c r="CL459" s="567"/>
      <c r="CM459" s="567"/>
      <c r="CN459" s="567"/>
      <c r="CO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  <c r="BW460" s="567"/>
      <c r="BX460" s="567"/>
      <c r="BY460" s="567"/>
      <c r="BZ460" s="567"/>
      <c r="CA460" s="567"/>
      <c r="CB460" s="567"/>
      <c r="CC460" s="567"/>
      <c r="CD460" s="567"/>
      <c r="CE460" s="567"/>
      <c r="CF460" s="567"/>
      <c r="CG460" s="567"/>
      <c r="CH460" s="567"/>
      <c r="CI460" s="567"/>
      <c r="CJ460" s="567"/>
      <c r="CK460" s="567"/>
      <c r="CL460" s="567"/>
      <c r="CM460" s="567"/>
      <c r="CN460" s="567"/>
      <c r="CO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  <c r="BW461" s="567"/>
      <c r="BX461" s="567"/>
      <c r="BY461" s="567"/>
      <c r="BZ461" s="567"/>
      <c r="CA461" s="567"/>
      <c r="CB461" s="567"/>
      <c r="CC461" s="567"/>
      <c r="CD461" s="567"/>
      <c r="CE461" s="567"/>
      <c r="CF461" s="567"/>
      <c r="CG461" s="567"/>
      <c r="CH461" s="567"/>
      <c r="CI461" s="567"/>
      <c r="CJ461" s="567"/>
      <c r="CK461" s="567"/>
      <c r="CL461" s="567"/>
      <c r="CM461" s="567"/>
      <c r="CN461" s="567"/>
      <c r="CO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  <c r="BW462" s="567"/>
      <c r="BX462" s="567"/>
      <c r="BY462" s="567"/>
      <c r="BZ462" s="567"/>
      <c r="CA462" s="567"/>
      <c r="CB462" s="567"/>
      <c r="CC462" s="567"/>
      <c r="CD462" s="567"/>
      <c r="CE462" s="567"/>
      <c r="CF462" s="567"/>
      <c r="CG462" s="567"/>
      <c r="CH462" s="567"/>
      <c r="CI462" s="567"/>
      <c r="CJ462" s="567"/>
      <c r="CK462" s="567"/>
      <c r="CL462" s="567"/>
      <c r="CM462" s="567"/>
      <c r="CN462" s="567"/>
      <c r="CO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  <c r="BW463" s="567"/>
      <c r="BX463" s="567"/>
      <c r="BY463" s="567"/>
      <c r="BZ463" s="567"/>
      <c r="CA463" s="567"/>
      <c r="CB463" s="567"/>
      <c r="CC463" s="567"/>
      <c r="CD463" s="567"/>
      <c r="CE463" s="567"/>
      <c r="CF463" s="567"/>
      <c r="CG463" s="567"/>
      <c r="CH463" s="567"/>
      <c r="CI463" s="567"/>
      <c r="CJ463" s="567"/>
      <c r="CK463" s="567"/>
      <c r="CL463" s="567"/>
      <c r="CM463" s="567"/>
      <c r="CN463" s="567"/>
      <c r="CO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  <c r="BW464" s="567"/>
      <c r="BX464" s="567"/>
      <c r="BY464" s="567"/>
      <c r="BZ464" s="567"/>
      <c r="CA464" s="567"/>
      <c r="CB464" s="567"/>
      <c r="CC464" s="567"/>
      <c r="CD464" s="567"/>
      <c r="CE464" s="567"/>
      <c r="CF464" s="567"/>
      <c r="CG464" s="567"/>
      <c r="CH464" s="567"/>
      <c r="CI464" s="567"/>
      <c r="CJ464" s="567"/>
      <c r="CK464" s="567"/>
      <c r="CL464" s="567"/>
      <c r="CM464" s="567"/>
      <c r="CN464" s="567"/>
      <c r="CO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  <c r="BW465" s="567"/>
      <c r="BX465" s="567"/>
      <c r="BY465" s="567"/>
      <c r="BZ465" s="567"/>
      <c r="CA465" s="567"/>
      <c r="CB465" s="567"/>
      <c r="CC465" s="567"/>
      <c r="CD465" s="567"/>
      <c r="CE465" s="567"/>
      <c r="CF465" s="567"/>
      <c r="CG465" s="567"/>
      <c r="CH465" s="567"/>
      <c r="CI465" s="567"/>
      <c r="CJ465" s="567"/>
      <c r="CK465" s="567"/>
      <c r="CL465" s="567"/>
      <c r="CM465" s="567"/>
      <c r="CN465" s="567"/>
      <c r="CO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  <c r="BW466" s="567"/>
      <c r="BX466" s="567"/>
      <c r="BY466" s="567"/>
      <c r="BZ466" s="567"/>
      <c r="CA466" s="567"/>
      <c r="CB466" s="567"/>
      <c r="CC466" s="567"/>
      <c r="CD466" s="567"/>
      <c r="CE466" s="567"/>
      <c r="CF466" s="567"/>
      <c r="CG466" s="567"/>
      <c r="CH466" s="567"/>
      <c r="CI466" s="567"/>
      <c r="CJ466" s="567"/>
      <c r="CK466" s="567"/>
      <c r="CL466" s="567"/>
      <c r="CM466" s="567"/>
      <c r="CN466" s="567"/>
      <c r="CO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  <c r="BW467" s="567"/>
      <c r="BX467" s="567"/>
      <c r="BY467" s="567"/>
      <c r="BZ467" s="567"/>
      <c r="CA467" s="567"/>
      <c r="CB467" s="567"/>
      <c r="CC467" s="567"/>
      <c r="CD467" s="567"/>
      <c r="CE467" s="567"/>
      <c r="CF467" s="567"/>
      <c r="CG467" s="567"/>
      <c r="CH467" s="567"/>
      <c r="CI467" s="567"/>
      <c r="CJ467" s="567"/>
      <c r="CK467" s="567"/>
      <c r="CL467" s="567"/>
      <c r="CM467" s="567"/>
      <c r="CN467" s="567"/>
      <c r="CO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  <c r="BW468" s="567"/>
      <c r="BX468" s="567"/>
      <c r="BY468" s="567"/>
      <c r="BZ468" s="567"/>
      <c r="CA468" s="567"/>
      <c r="CB468" s="567"/>
      <c r="CC468" s="567"/>
      <c r="CD468" s="567"/>
      <c r="CE468" s="567"/>
      <c r="CF468" s="567"/>
      <c r="CG468" s="567"/>
      <c r="CH468" s="567"/>
      <c r="CI468" s="567"/>
      <c r="CJ468" s="567"/>
      <c r="CK468" s="567"/>
      <c r="CL468" s="567"/>
      <c r="CM468" s="567"/>
      <c r="CN468" s="567"/>
      <c r="CO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  <c r="BW469" s="567"/>
      <c r="BX469" s="567"/>
      <c r="BY469" s="567"/>
      <c r="BZ469" s="567"/>
      <c r="CA469" s="567"/>
      <c r="CB469" s="567"/>
      <c r="CC469" s="567"/>
      <c r="CD469" s="567"/>
      <c r="CE469" s="567"/>
      <c r="CF469" s="567"/>
      <c r="CG469" s="567"/>
      <c r="CH469" s="567"/>
      <c r="CI469" s="567"/>
      <c r="CJ469" s="567"/>
      <c r="CK469" s="567"/>
      <c r="CL469" s="567"/>
      <c r="CM469" s="567"/>
      <c r="CN469" s="567"/>
      <c r="CO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  <c r="BW470" s="567"/>
      <c r="BX470" s="567"/>
      <c r="BY470" s="567"/>
      <c r="BZ470" s="567"/>
      <c r="CA470" s="567"/>
      <c r="CB470" s="567"/>
      <c r="CC470" s="567"/>
      <c r="CD470" s="567"/>
      <c r="CE470" s="567"/>
      <c r="CF470" s="567"/>
      <c r="CG470" s="567"/>
      <c r="CH470" s="567"/>
      <c r="CI470" s="567"/>
      <c r="CJ470" s="567"/>
      <c r="CK470" s="567"/>
      <c r="CL470" s="567"/>
      <c r="CM470" s="567"/>
      <c r="CN470" s="567"/>
      <c r="CO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  <c r="BW471" s="567"/>
      <c r="BX471" s="567"/>
      <c r="BY471" s="567"/>
      <c r="BZ471" s="567"/>
      <c r="CA471" s="567"/>
      <c r="CB471" s="567"/>
      <c r="CC471" s="567"/>
      <c r="CD471" s="567"/>
      <c r="CE471" s="567"/>
      <c r="CF471" s="567"/>
      <c r="CG471" s="567"/>
      <c r="CH471" s="567"/>
      <c r="CI471" s="567"/>
      <c r="CJ471" s="567"/>
      <c r="CK471" s="567"/>
      <c r="CL471" s="567"/>
      <c r="CM471" s="567"/>
      <c r="CN471" s="567"/>
      <c r="CO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  <c r="BW472" s="567"/>
      <c r="BX472" s="567"/>
      <c r="BY472" s="567"/>
      <c r="BZ472" s="567"/>
      <c r="CA472" s="567"/>
      <c r="CB472" s="567"/>
      <c r="CC472" s="567"/>
      <c r="CD472" s="567"/>
      <c r="CE472" s="567"/>
      <c r="CF472" s="567"/>
      <c r="CG472" s="567"/>
      <c r="CH472" s="567"/>
      <c r="CI472" s="567"/>
      <c r="CJ472" s="567"/>
      <c r="CK472" s="567"/>
      <c r="CL472" s="567"/>
      <c r="CM472" s="567"/>
      <c r="CN472" s="567"/>
      <c r="CO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  <c r="BW473" s="567"/>
      <c r="BX473" s="567"/>
      <c r="BY473" s="567"/>
      <c r="BZ473" s="567"/>
      <c r="CA473" s="567"/>
      <c r="CB473" s="567"/>
      <c r="CC473" s="567"/>
      <c r="CD473" s="567"/>
      <c r="CE473" s="567"/>
      <c r="CF473" s="567"/>
      <c r="CG473" s="567"/>
      <c r="CH473" s="567"/>
      <c r="CI473" s="567"/>
      <c r="CJ473" s="567"/>
      <c r="CK473" s="567"/>
      <c r="CL473" s="567"/>
      <c r="CM473" s="567"/>
      <c r="CN473" s="567"/>
      <c r="CO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  <c r="BW474" s="567"/>
      <c r="BX474" s="567"/>
      <c r="BY474" s="567"/>
      <c r="BZ474" s="567"/>
      <c r="CA474" s="567"/>
      <c r="CB474" s="567"/>
      <c r="CC474" s="567"/>
      <c r="CD474" s="567"/>
      <c r="CE474" s="567"/>
      <c r="CF474" s="567"/>
      <c r="CG474" s="567"/>
      <c r="CH474" s="567"/>
      <c r="CI474" s="567"/>
      <c r="CJ474" s="567"/>
      <c r="CK474" s="567"/>
      <c r="CL474" s="567"/>
      <c r="CM474" s="567"/>
      <c r="CN474" s="567"/>
      <c r="CO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  <c r="BW475" s="567"/>
      <c r="BX475" s="567"/>
      <c r="BY475" s="567"/>
      <c r="BZ475" s="567"/>
      <c r="CA475" s="567"/>
      <c r="CB475" s="567"/>
      <c r="CC475" s="567"/>
      <c r="CD475" s="567"/>
      <c r="CE475" s="567"/>
      <c r="CF475" s="567"/>
      <c r="CG475" s="567"/>
      <c r="CH475" s="567"/>
      <c r="CI475" s="567"/>
      <c r="CJ475" s="567"/>
      <c r="CK475" s="567"/>
      <c r="CL475" s="567"/>
      <c r="CM475" s="567"/>
      <c r="CN475" s="567"/>
      <c r="CO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  <c r="BW476" s="567"/>
      <c r="BX476" s="567"/>
      <c r="BY476" s="567"/>
      <c r="BZ476" s="567"/>
      <c r="CA476" s="567"/>
      <c r="CB476" s="567"/>
      <c r="CC476" s="567"/>
      <c r="CD476" s="567"/>
      <c r="CE476" s="567"/>
      <c r="CF476" s="567"/>
      <c r="CG476" s="567"/>
      <c r="CH476" s="567"/>
      <c r="CI476" s="567"/>
      <c r="CJ476" s="567"/>
      <c r="CK476" s="567"/>
      <c r="CL476" s="567"/>
      <c r="CM476" s="567"/>
      <c r="CN476" s="567"/>
      <c r="CO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  <c r="BW477" s="567"/>
      <c r="BX477" s="567"/>
      <c r="BY477" s="567"/>
      <c r="BZ477" s="567"/>
      <c r="CA477" s="567"/>
      <c r="CB477" s="567"/>
      <c r="CC477" s="567"/>
      <c r="CD477" s="567"/>
      <c r="CE477" s="567"/>
      <c r="CF477" s="567"/>
      <c r="CG477" s="567"/>
      <c r="CH477" s="567"/>
      <c r="CI477" s="567"/>
      <c r="CJ477" s="567"/>
      <c r="CK477" s="567"/>
      <c r="CL477" s="567"/>
      <c r="CM477" s="567"/>
      <c r="CN477" s="567"/>
      <c r="CO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  <c r="BW478" s="567"/>
      <c r="BX478" s="567"/>
      <c r="BY478" s="567"/>
      <c r="BZ478" s="567"/>
      <c r="CA478" s="567"/>
      <c r="CB478" s="567"/>
      <c r="CC478" s="567"/>
      <c r="CD478" s="567"/>
      <c r="CE478" s="567"/>
      <c r="CF478" s="567"/>
      <c r="CG478" s="567"/>
      <c r="CH478" s="567"/>
      <c r="CI478" s="567"/>
      <c r="CJ478" s="567"/>
      <c r="CK478" s="567"/>
      <c r="CL478" s="567"/>
      <c r="CM478" s="567"/>
      <c r="CN478" s="567"/>
      <c r="CO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  <c r="BW479" s="567"/>
      <c r="BX479" s="567"/>
      <c r="BY479" s="567"/>
      <c r="BZ479" s="567"/>
      <c r="CA479" s="567"/>
      <c r="CB479" s="567"/>
      <c r="CC479" s="567"/>
      <c r="CD479" s="567"/>
      <c r="CE479" s="567"/>
      <c r="CF479" s="567"/>
      <c r="CG479" s="567"/>
      <c r="CH479" s="567"/>
      <c r="CI479" s="567"/>
      <c r="CJ479" s="567"/>
      <c r="CK479" s="567"/>
      <c r="CL479" s="567"/>
      <c r="CM479" s="567"/>
      <c r="CN479" s="567"/>
      <c r="CO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  <c r="BW480" s="567"/>
      <c r="BX480" s="567"/>
      <c r="BY480" s="567"/>
      <c r="BZ480" s="567"/>
      <c r="CA480" s="567"/>
      <c r="CB480" s="567"/>
      <c r="CC480" s="567"/>
      <c r="CD480" s="567"/>
      <c r="CE480" s="567"/>
      <c r="CF480" s="567"/>
      <c r="CG480" s="567"/>
      <c r="CH480" s="567"/>
      <c r="CI480" s="567"/>
      <c r="CJ480" s="567"/>
      <c r="CK480" s="567"/>
      <c r="CL480" s="567"/>
      <c r="CM480" s="567"/>
      <c r="CN480" s="567"/>
      <c r="CO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  <c r="BW481" s="567"/>
      <c r="BX481" s="567"/>
      <c r="BY481" s="567"/>
      <c r="BZ481" s="567"/>
      <c r="CA481" s="567"/>
      <c r="CB481" s="567"/>
      <c r="CC481" s="567"/>
      <c r="CD481" s="567"/>
      <c r="CE481" s="567"/>
      <c r="CF481" s="567"/>
      <c r="CG481" s="567"/>
      <c r="CH481" s="567"/>
      <c r="CI481" s="567"/>
      <c r="CJ481" s="567"/>
      <c r="CK481" s="567"/>
      <c r="CL481" s="567"/>
      <c r="CM481" s="567"/>
      <c r="CN481" s="567"/>
      <c r="CO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  <c r="BW482" s="567"/>
      <c r="BX482" s="567"/>
      <c r="BY482" s="567"/>
      <c r="BZ482" s="567"/>
      <c r="CA482" s="567"/>
      <c r="CB482" s="567"/>
      <c r="CC482" s="567"/>
      <c r="CD482" s="567"/>
      <c r="CE482" s="567"/>
      <c r="CF482" s="567"/>
      <c r="CG482" s="567"/>
      <c r="CH482" s="567"/>
      <c r="CI482" s="567"/>
      <c r="CJ482" s="567"/>
      <c r="CK482" s="567"/>
      <c r="CL482" s="567"/>
      <c r="CM482" s="567"/>
      <c r="CN482" s="567"/>
      <c r="CO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  <c r="BW483" s="567"/>
      <c r="BX483" s="567"/>
      <c r="BY483" s="567"/>
      <c r="BZ483" s="567"/>
      <c r="CA483" s="567"/>
      <c r="CB483" s="567"/>
      <c r="CC483" s="567"/>
      <c r="CD483" s="567"/>
      <c r="CE483" s="567"/>
      <c r="CF483" s="567"/>
      <c r="CG483" s="567"/>
      <c r="CH483" s="567"/>
      <c r="CI483" s="567"/>
      <c r="CJ483" s="567"/>
      <c r="CK483" s="567"/>
      <c r="CL483" s="567"/>
      <c r="CM483" s="567"/>
      <c r="CN483" s="567"/>
      <c r="CO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  <c r="BW484" s="567"/>
      <c r="BX484" s="567"/>
      <c r="BY484" s="567"/>
      <c r="BZ484" s="567"/>
      <c r="CA484" s="567"/>
      <c r="CB484" s="567"/>
      <c r="CC484" s="567"/>
      <c r="CD484" s="567"/>
      <c r="CE484" s="567"/>
      <c r="CF484" s="567"/>
      <c r="CG484" s="567"/>
      <c r="CH484" s="567"/>
      <c r="CI484" s="567"/>
      <c r="CJ484" s="567"/>
      <c r="CK484" s="567"/>
      <c r="CL484" s="567"/>
      <c r="CM484" s="567"/>
      <c r="CN484" s="567"/>
      <c r="CO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  <c r="BW485" s="567"/>
      <c r="BX485" s="567"/>
      <c r="BY485" s="567"/>
      <c r="BZ485" s="567"/>
      <c r="CA485" s="567"/>
      <c r="CB485" s="567"/>
      <c r="CC485" s="567"/>
      <c r="CD485" s="567"/>
      <c r="CE485" s="567"/>
      <c r="CF485" s="567"/>
      <c r="CG485" s="567"/>
      <c r="CH485" s="567"/>
      <c r="CI485" s="567"/>
      <c r="CJ485" s="567"/>
      <c r="CK485" s="567"/>
      <c r="CL485" s="567"/>
      <c r="CM485" s="567"/>
      <c r="CN485" s="567"/>
      <c r="CO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  <c r="BW486" s="567"/>
      <c r="BX486" s="567"/>
      <c r="BY486" s="567"/>
      <c r="BZ486" s="567"/>
      <c r="CA486" s="567"/>
      <c r="CB486" s="567"/>
      <c r="CC486" s="567"/>
      <c r="CD486" s="567"/>
      <c r="CE486" s="567"/>
      <c r="CF486" s="567"/>
      <c r="CG486" s="567"/>
      <c r="CH486" s="567"/>
      <c r="CI486" s="567"/>
      <c r="CJ486" s="567"/>
      <c r="CK486" s="567"/>
      <c r="CL486" s="567"/>
      <c r="CM486" s="567"/>
      <c r="CN486" s="567"/>
      <c r="CO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  <c r="BW487" s="567"/>
      <c r="BX487" s="567"/>
      <c r="BY487" s="567"/>
      <c r="BZ487" s="567"/>
      <c r="CA487" s="567"/>
      <c r="CB487" s="567"/>
      <c r="CC487" s="567"/>
      <c r="CD487" s="567"/>
      <c r="CE487" s="567"/>
      <c r="CF487" s="567"/>
      <c r="CG487" s="567"/>
      <c r="CH487" s="567"/>
      <c r="CI487" s="567"/>
      <c r="CJ487" s="567"/>
      <c r="CK487" s="567"/>
      <c r="CL487" s="567"/>
      <c r="CM487" s="567"/>
      <c r="CN487" s="567"/>
      <c r="CO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  <c r="BW488" s="567"/>
      <c r="BX488" s="567"/>
      <c r="BY488" s="567"/>
      <c r="BZ488" s="567"/>
      <c r="CA488" s="567"/>
      <c r="CB488" s="567"/>
      <c r="CC488" s="567"/>
      <c r="CD488" s="567"/>
      <c r="CE488" s="567"/>
      <c r="CF488" s="567"/>
      <c r="CG488" s="567"/>
      <c r="CH488" s="567"/>
      <c r="CI488" s="567"/>
      <c r="CJ488" s="567"/>
      <c r="CK488" s="567"/>
      <c r="CL488" s="567"/>
      <c r="CM488" s="567"/>
      <c r="CN488" s="567"/>
      <c r="CO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  <c r="BW489" s="567"/>
      <c r="BX489" s="567"/>
      <c r="BY489" s="567"/>
      <c r="BZ489" s="567"/>
      <c r="CA489" s="567"/>
      <c r="CB489" s="567"/>
      <c r="CC489" s="567"/>
      <c r="CD489" s="567"/>
      <c r="CE489" s="567"/>
      <c r="CF489" s="567"/>
      <c r="CG489" s="567"/>
      <c r="CH489" s="567"/>
      <c r="CI489" s="567"/>
      <c r="CJ489" s="567"/>
      <c r="CK489" s="567"/>
      <c r="CL489" s="567"/>
      <c r="CM489" s="567"/>
      <c r="CN489" s="567"/>
      <c r="CO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  <c r="BW490" s="567"/>
      <c r="BX490" s="567"/>
      <c r="BY490" s="567"/>
      <c r="BZ490" s="567"/>
      <c r="CA490" s="567"/>
      <c r="CB490" s="567"/>
      <c r="CC490" s="567"/>
      <c r="CD490" s="567"/>
      <c r="CE490" s="567"/>
      <c r="CF490" s="567"/>
      <c r="CG490" s="567"/>
      <c r="CH490" s="567"/>
      <c r="CI490" s="567"/>
      <c r="CJ490" s="567"/>
      <c r="CK490" s="567"/>
      <c r="CL490" s="567"/>
      <c r="CM490" s="567"/>
      <c r="CN490" s="567"/>
      <c r="CO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  <c r="BW491" s="567"/>
      <c r="BX491" s="567"/>
      <c r="BY491" s="567"/>
      <c r="BZ491" s="567"/>
      <c r="CA491" s="567"/>
      <c r="CB491" s="567"/>
      <c r="CC491" s="567"/>
      <c r="CD491" s="567"/>
      <c r="CE491" s="567"/>
      <c r="CF491" s="567"/>
      <c r="CG491" s="567"/>
      <c r="CH491" s="567"/>
      <c r="CI491" s="567"/>
      <c r="CJ491" s="567"/>
      <c r="CK491" s="567"/>
      <c r="CL491" s="567"/>
      <c r="CM491" s="567"/>
      <c r="CN491" s="567"/>
      <c r="CO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  <c r="BW492" s="567"/>
      <c r="BX492" s="567"/>
      <c r="BY492" s="567"/>
      <c r="BZ492" s="567"/>
      <c r="CA492" s="567"/>
      <c r="CB492" s="567"/>
      <c r="CC492" s="567"/>
      <c r="CD492" s="567"/>
      <c r="CE492" s="567"/>
      <c r="CF492" s="567"/>
      <c r="CG492" s="567"/>
      <c r="CH492" s="567"/>
      <c r="CI492" s="567"/>
      <c r="CJ492" s="567"/>
      <c r="CK492" s="567"/>
      <c r="CL492" s="567"/>
      <c r="CM492" s="567"/>
      <c r="CN492" s="567"/>
      <c r="CO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  <c r="BW493" s="567"/>
      <c r="BX493" s="567"/>
      <c r="BY493" s="567"/>
      <c r="BZ493" s="567"/>
      <c r="CA493" s="567"/>
      <c r="CB493" s="567"/>
      <c r="CC493" s="567"/>
      <c r="CD493" s="567"/>
      <c r="CE493" s="567"/>
      <c r="CF493" s="567"/>
      <c r="CG493" s="567"/>
      <c r="CH493" s="567"/>
      <c r="CI493" s="567"/>
      <c r="CJ493" s="567"/>
      <c r="CK493" s="567"/>
      <c r="CL493" s="567"/>
      <c r="CM493" s="567"/>
      <c r="CN493" s="567"/>
      <c r="CO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  <c r="BW494" s="567"/>
      <c r="BX494" s="567"/>
      <c r="BY494" s="567"/>
      <c r="BZ494" s="567"/>
      <c r="CA494" s="567"/>
      <c r="CB494" s="567"/>
      <c r="CC494" s="567"/>
      <c r="CD494" s="567"/>
      <c r="CE494" s="567"/>
      <c r="CF494" s="567"/>
      <c r="CG494" s="567"/>
      <c r="CH494" s="567"/>
      <c r="CI494" s="567"/>
      <c r="CJ494" s="567"/>
      <c r="CK494" s="567"/>
      <c r="CL494" s="567"/>
      <c r="CM494" s="567"/>
      <c r="CN494" s="567"/>
      <c r="CO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  <c r="BW495" s="567"/>
      <c r="BX495" s="567"/>
      <c r="BY495" s="567"/>
      <c r="BZ495" s="567"/>
      <c r="CA495" s="567"/>
      <c r="CB495" s="567"/>
      <c r="CC495" s="567"/>
      <c r="CD495" s="567"/>
      <c r="CE495" s="567"/>
      <c r="CF495" s="567"/>
      <c r="CG495" s="567"/>
      <c r="CH495" s="567"/>
      <c r="CI495" s="567"/>
      <c r="CJ495" s="567"/>
      <c r="CK495" s="567"/>
      <c r="CL495" s="567"/>
      <c r="CM495" s="567"/>
      <c r="CN495" s="567"/>
      <c r="CO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  <c r="BW496" s="567"/>
      <c r="BX496" s="567"/>
      <c r="BY496" s="567"/>
      <c r="BZ496" s="567"/>
      <c r="CA496" s="567"/>
      <c r="CB496" s="567"/>
      <c r="CC496" s="567"/>
      <c r="CD496" s="567"/>
      <c r="CE496" s="567"/>
      <c r="CF496" s="567"/>
      <c r="CG496" s="567"/>
      <c r="CH496" s="567"/>
      <c r="CI496" s="567"/>
      <c r="CJ496" s="567"/>
      <c r="CK496" s="567"/>
      <c r="CL496" s="567"/>
      <c r="CM496" s="567"/>
      <c r="CN496" s="567"/>
      <c r="CO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  <c r="BW497" s="567"/>
      <c r="BX497" s="567"/>
      <c r="BY497" s="567"/>
      <c r="BZ497" s="567"/>
      <c r="CA497" s="567"/>
      <c r="CB497" s="567"/>
      <c r="CC497" s="567"/>
      <c r="CD497" s="567"/>
      <c r="CE497" s="567"/>
      <c r="CF497" s="567"/>
      <c r="CG497" s="567"/>
      <c r="CH497" s="567"/>
      <c r="CI497" s="567"/>
      <c r="CJ497" s="567"/>
      <c r="CK497" s="567"/>
      <c r="CL497" s="567"/>
      <c r="CM497" s="567"/>
      <c r="CN497" s="567"/>
      <c r="CO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  <c r="BW498" s="567"/>
      <c r="BX498" s="567"/>
      <c r="BY498" s="567"/>
      <c r="BZ498" s="567"/>
      <c r="CA498" s="567"/>
      <c r="CB498" s="567"/>
      <c r="CC498" s="567"/>
      <c r="CD498" s="567"/>
      <c r="CE498" s="567"/>
      <c r="CF498" s="567"/>
      <c r="CG498" s="567"/>
      <c r="CH498" s="567"/>
      <c r="CI498" s="567"/>
      <c r="CJ498" s="567"/>
      <c r="CK498" s="567"/>
      <c r="CL498" s="567"/>
      <c r="CM498" s="567"/>
      <c r="CN498" s="567"/>
      <c r="CO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  <c r="BW499" s="567"/>
      <c r="BX499" s="567"/>
      <c r="BY499" s="567"/>
      <c r="BZ499" s="567"/>
      <c r="CA499" s="567"/>
      <c r="CB499" s="567"/>
      <c r="CC499" s="567"/>
      <c r="CD499" s="567"/>
      <c r="CE499" s="567"/>
      <c r="CF499" s="567"/>
      <c r="CG499" s="567"/>
      <c r="CH499" s="567"/>
      <c r="CI499" s="567"/>
      <c r="CJ499" s="567"/>
      <c r="CK499" s="567"/>
      <c r="CL499" s="567"/>
      <c r="CM499" s="567"/>
      <c r="CN499" s="567"/>
      <c r="CO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  <c r="BW500" s="567"/>
      <c r="BX500" s="567"/>
      <c r="BY500" s="567"/>
      <c r="BZ500" s="567"/>
      <c r="CA500" s="567"/>
      <c r="CB500" s="567"/>
      <c r="CC500" s="567"/>
      <c r="CD500" s="567"/>
      <c r="CE500" s="567"/>
      <c r="CF500" s="567"/>
      <c r="CG500" s="567"/>
      <c r="CH500" s="567"/>
      <c r="CI500" s="567"/>
      <c r="CJ500" s="567"/>
      <c r="CK500" s="567"/>
      <c r="CL500" s="567"/>
      <c r="CM500" s="567"/>
      <c r="CN500" s="567"/>
      <c r="CO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  <c r="BW501" s="567"/>
      <c r="BX501" s="567"/>
      <c r="BY501" s="567"/>
      <c r="BZ501" s="567"/>
      <c r="CA501" s="567"/>
      <c r="CB501" s="567"/>
      <c r="CC501" s="567"/>
      <c r="CD501" s="567"/>
      <c r="CE501" s="567"/>
      <c r="CF501" s="567"/>
      <c r="CG501" s="567"/>
      <c r="CH501" s="567"/>
      <c r="CI501" s="567"/>
      <c r="CJ501" s="567"/>
      <c r="CK501" s="567"/>
      <c r="CL501" s="567"/>
      <c r="CM501" s="567"/>
      <c r="CN501" s="567"/>
      <c r="CO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  <c r="BW502" s="567"/>
      <c r="BX502" s="567"/>
      <c r="BY502" s="567"/>
      <c r="BZ502" s="567"/>
      <c r="CA502" s="567"/>
      <c r="CB502" s="567"/>
      <c r="CC502" s="567"/>
      <c r="CD502" s="567"/>
      <c r="CE502" s="567"/>
      <c r="CF502" s="567"/>
      <c r="CG502" s="567"/>
      <c r="CH502" s="567"/>
      <c r="CI502" s="567"/>
      <c r="CJ502" s="567"/>
      <c r="CK502" s="567"/>
      <c r="CL502" s="567"/>
      <c r="CM502" s="567"/>
      <c r="CN502" s="567"/>
      <c r="CO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  <c r="BW503" s="567"/>
      <c r="BX503" s="567"/>
      <c r="BY503" s="567"/>
      <c r="BZ503" s="567"/>
      <c r="CA503" s="567"/>
      <c r="CB503" s="567"/>
      <c r="CC503" s="567"/>
      <c r="CD503" s="567"/>
      <c r="CE503" s="567"/>
      <c r="CF503" s="567"/>
      <c r="CG503" s="567"/>
      <c r="CH503" s="567"/>
      <c r="CI503" s="567"/>
      <c r="CJ503" s="567"/>
      <c r="CK503" s="567"/>
      <c r="CL503" s="567"/>
      <c r="CM503" s="567"/>
      <c r="CN503" s="567"/>
      <c r="CO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  <c r="BW504" s="567"/>
      <c r="BX504" s="567"/>
      <c r="BY504" s="567"/>
      <c r="BZ504" s="567"/>
      <c r="CA504" s="567"/>
      <c r="CB504" s="567"/>
      <c r="CC504" s="567"/>
      <c r="CD504" s="567"/>
      <c r="CE504" s="567"/>
      <c r="CF504" s="567"/>
      <c r="CG504" s="567"/>
      <c r="CH504" s="567"/>
      <c r="CI504" s="567"/>
      <c r="CJ504" s="567"/>
      <c r="CK504" s="567"/>
      <c r="CL504" s="567"/>
      <c r="CM504" s="567"/>
      <c r="CN504" s="567"/>
      <c r="CO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  <c r="BW505" s="567"/>
      <c r="BX505" s="567"/>
      <c r="BY505" s="567"/>
      <c r="BZ505" s="567"/>
      <c r="CA505" s="567"/>
      <c r="CB505" s="567"/>
      <c r="CC505" s="567"/>
      <c r="CD505" s="567"/>
      <c r="CE505" s="567"/>
      <c r="CF505" s="567"/>
      <c r="CG505" s="567"/>
      <c r="CH505" s="567"/>
      <c r="CI505" s="567"/>
      <c r="CJ505" s="567"/>
      <c r="CK505" s="567"/>
      <c r="CL505" s="567"/>
      <c r="CM505" s="567"/>
      <c r="CN505" s="567"/>
      <c r="CO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  <c r="BW506" s="567"/>
      <c r="BX506" s="567"/>
      <c r="BY506" s="567"/>
      <c r="BZ506" s="567"/>
      <c r="CA506" s="567"/>
      <c r="CB506" s="567"/>
      <c r="CC506" s="567"/>
      <c r="CD506" s="567"/>
      <c r="CE506" s="567"/>
      <c r="CF506" s="567"/>
      <c r="CG506" s="567"/>
      <c r="CH506" s="567"/>
      <c r="CI506" s="567"/>
      <c r="CJ506" s="567"/>
      <c r="CK506" s="567"/>
      <c r="CL506" s="567"/>
      <c r="CM506" s="567"/>
      <c r="CN506" s="567"/>
      <c r="CO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  <c r="BW507" s="567"/>
      <c r="BX507" s="567"/>
      <c r="BY507" s="567"/>
      <c r="BZ507" s="567"/>
      <c r="CA507" s="567"/>
      <c r="CB507" s="567"/>
      <c r="CC507" s="567"/>
      <c r="CD507" s="567"/>
      <c r="CE507" s="567"/>
      <c r="CF507" s="567"/>
      <c r="CG507" s="567"/>
      <c r="CH507" s="567"/>
      <c r="CI507" s="567"/>
      <c r="CJ507" s="567"/>
      <c r="CK507" s="567"/>
      <c r="CL507" s="567"/>
      <c r="CM507" s="567"/>
      <c r="CN507" s="567"/>
      <c r="CO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  <c r="BW508" s="567"/>
      <c r="BX508" s="567"/>
      <c r="BY508" s="567"/>
      <c r="BZ508" s="567"/>
      <c r="CA508" s="567"/>
      <c r="CB508" s="567"/>
      <c r="CC508" s="567"/>
      <c r="CD508" s="567"/>
      <c r="CE508" s="567"/>
      <c r="CF508" s="567"/>
      <c r="CG508" s="567"/>
      <c r="CH508" s="567"/>
      <c r="CI508" s="567"/>
      <c r="CJ508" s="567"/>
      <c r="CK508" s="567"/>
      <c r="CL508" s="567"/>
      <c r="CM508" s="567"/>
      <c r="CN508" s="567"/>
      <c r="CO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  <c r="BW509" s="567"/>
      <c r="BX509" s="567"/>
      <c r="BY509" s="567"/>
      <c r="BZ509" s="567"/>
      <c r="CA509" s="567"/>
      <c r="CB509" s="567"/>
      <c r="CC509" s="567"/>
      <c r="CD509" s="567"/>
      <c r="CE509" s="567"/>
      <c r="CF509" s="567"/>
      <c r="CG509" s="567"/>
      <c r="CH509" s="567"/>
      <c r="CI509" s="567"/>
      <c r="CJ509" s="567"/>
      <c r="CK509" s="567"/>
      <c r="CL509" s="567"/>
      <c r="CM509" s="567"/>
      <c r="CN509" s="567"/>
      <c r="CO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  <c r="BW510" s="567"/>
      <c r="BX510" s="567"/>
      <c r="BY510" s="567"/>
      <c r="BZ510" s="567"/>
      <c r="CA510" s="567"/>
      <c r="CB510" s="567"/>
      <c r="CC510" s="567"/>
      <c r="CD510" s="567"/>
      <c r="CE510" s="567"/>
      <c r="CF510" s="567"/>
      <c r="CG510" s="567"/>
      <c r="CH510" s="567"/>
      <c r="CI510" s="567"/>
      <c r="CJ510" s="567"/>
      <c r="CK510" s="567"/>
      <c r="CL510" s="567"/>
      <c r="CM510" s="567"/>
      <c r="CN510" s="567"/>
      <c r="CO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  <c r="BW511" s="567"/>
      <c r="BX511" s="567"/>
      <c r="BY511" s="567"/>
      <c r="BZ511" s="567"/>
      <c r="CA511" s="567"/>
      <c r="CB511" s="567"/>
      <c r="CC511" s="567"/>
      <c r="CD511" s="567"/>
      <c r="CE511" s="567"/>
      <c r="CF511" s="567"/>
      <c r="CG511" s="567"/>
      <c r="CH511" s="567"/>
      <c r="CI511" s="567"/>
      <c r="CJ511" s="567"/>
      <c r="CK511" s="567"/>
      <c r="CL511" s="567"/>
      <c r="CM511" s="567"/>
      <c r="CN511" s="567"/>
      <c r="CO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  <c r="BW512" s="567"/>
      <c r="BX512" s="567"/>
      <c r="BY512" s="567"/>
      <c r="BZ512" s="567"/>
      <c r="CA512" s="567"/>
      <c r="CB512" s="567"/>
      <c r="CC512" s="567"/>
      <c r="CD512" s="567"/>
      <c r="CE512" s="567"/>
      <c r="CF512" s="567"/>
      <c r="CG512" s="567"/>
      <c r="CH512" s="567"/>
      <c r="CI512" s="567"/>
      <c r="CJ512" s="567"/>
      <c r="CK512" s="567"/>
      <c r="CL512" s="567"/>
      <c r="CM512" s="567"/>
      <c r="CN512" s="567"/>
      <c r="CO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  <c r="BW513" s="567"/>
      <c r="BX513" s="567"/>
      <c r="BY513" s="567"/>
      <c r="BZ513" s="567"/>
      <c r="CA513" s="567"/>
      <c r="CB513" s="567"/>
      <c r="CC513" s="567"/>
      <c r="CD513" s="567"/>
      <c r="CE513" s="567"/>
      <c r="CF513" s="567"/>
      <c r="CG513" s="567"/>
      <c r="CH513" s="567"/>
      <c r="CI513" s="567"/>
      <c r="CJ513" s="567"/>
      <c r="CK513" s="567"/>
      <c r="CL513" s="567"/>
      <c r="CM513" s="567"/>
      <c r="CN513" s="567"/>
      <c r="CO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  <c r="BW514" s="567"/>
      <c r="BX514" s="567"/>
      <c r="BY514" s="567"/>
      <c r="BZ514" s="567"/>
      <c r="CA514" s="567"/>
      <c r="CB514" s="567"/>
      <c r="CC514" s="567"/>
      <c r="CD514" s="567"/>
      <c r="CE514" s="567"/>
      <c r="CF514" s="567"/>
      <c r="CG514" s="567"/>
      <c r="CH514" s="567"/>
      <c r="CI514" s="567"/>
      <c r="CJ514" s="567"/>
      <c r="CK514" s="567"/>
      <c r="CL514" s="567"/>
      <c r="CM514" s="567"/>
      <c r="CN514" s="567"/>
      <c r="CO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  <c r="BW515" s="567"/>
      <c r="BX515" s="567"/>
      <c r="BY515" s="567"/>
      <c r="BZ515" s="567"/>
      <c r="CA515" s="567"/>
      <c r="CB515" s="567"/>
      <c r="CC515" s="567"/>
      <c r="CD515" s="567"/>
      <c r="CE515" s="567"/>
      <c r="CF515" s="567"/>
      <c r="CG515" s="567"/>
      <c r="CH515" s="567"/>
      <c r="CI515" s="567"/>
      <c r="CJ515" s="567"/>
      <c r="CK515" s="567"/>
      <c r="CL515" s="567"/>
      <c r="CM515" s="567"/>
      <c r="CN515" s="567"/>
      <c r="CO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  <c r="BW516" s="567"/>
      <c r="BX516" s="567"/>
      <c r="BY516" s="567"/>
      <c r="BZ516" s="567"/>
      <c r="CA516" s="567"/>
      <c r="CB516" s="567"/>
      <c r="CC516" s="567"/>
      <c r="CD516" s="567"/>
      <c r="CE516" s="567"/>
      <c r="CF516" s="567"/>
      <c r="CG516" s="567"/>
      <c r="CH516" s="567"/>
      <c r="CI516" s="567"/>
      <c r="CJ516" s="567"/>
      <c r="CK516" s="567"/>
      <c r="CL516" s="567"/>
      <c r="CM516" s="567"/>
      <c r="CN516" s="567"/>
      <c r="CO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  <c r="BW517" s="567"/>
      <c r="BX517" s="567"/>
      <c r="BY517" s="567"/>
      <c r="BZ517" s="567"/>
      <c r="CA517" s="567"/>
      <c r="CB517" s="567"/>
      <c r="CC517" s="567"/>
      <c r="CD517" s="567"/>
      <c r="CE517" s="567"/>
      <c r="CF517" s="567"/>
      <c r="CG517" s="567"/>
      <c r="CH517" s="567"/>
      <c r="CI517" s="567"/>
      <c r="CJ517" s="567"/>
      <c r="CK517" s="567"/>
      <c r="CL517" s="567"/>
      <c r="CM517" s="567"/>
      <c r="CN517" s="567"/>
      <c r="CO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  <c r="BW518" s="567"/>
      <c r="BX518" s="567"/>
      <c r="BY518" s="567"/>
      <c r="BZ518" s="567"/>
      <c r="CA518" s="567"/>
      <c r="CB518" s="567"/>
      <c r="CC518" s="567"/>
      <c r="CD518" s="567"/>
      <c r="CE518" s="567"/>
      <c r="CF518" s="567"/>
      <c r="CG518" s="567"/>
      <c r="CH518" s="567"/>
      <c r="CI518" s="567"/>
      <c r="CJ518" s="567"/>
      <c r="CK518" s="567"/>
      <c r="CL518" s="567"/>
      <c r="CM518" s="567"/>
      <c r="CN518" s="567"/>
      <c r="CO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  <c r="BW519" s="567"/>
      <c r="BX519" s="567"/>
      <c r="BY519" s="567"/>
      <c r="BZ519" s="567"/>
      <c r="CA519" s="567"/>
      <c r="CB519" s="567"/>
      <c r="CC519" s="567"/>
      <c r="CD519" s="567"/>
      <c r="CE519" s="567"/>
      <c r="CF519" s="567"/>
      <c r="CG519" s="567"/>
      <c r="CH519" s="567"/>
      <c r="CI519" s="567"/>
      <c r="CJ519" s="567"/>
      <c r="CK519" s="567"/>
      <c r="CL519" s="567"/>
      <c r="CM519" s="567"/>
      <c r="CN519" s="567"/>
      <c r="CO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  <c r="BW520" s="567"/>
      <c r="BX520" s="567"/>
      <c r="BY520" s="567"/>
      <c r="BZ520" s="567"/>
      <c r="CA520" s="567"/>
      <c r="CB520" s="567"/>
      <c r="CC520" s="567"/>
      <c r="CD520" s="567"/>
      <c r="CE520" s="567"/>
      <c r="CF520" s="567"/>
      <c r="CG520" s="567"/>
      <c r="CH520" s="567"/>
      <c r="CI520" s="567"/>
      <c r="CJ520" s="567"/>
      <c r="CK520" s="567"/>
      <c r="CL520" s="567"/>
      <c r="CM520" s="567"/>
      <c r="CN520" s="567"/>
      <c r="CO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  <c r="BW521" s="567"/>
      <c r="BX521" s="567"/>
      <c r="BY521" s="567"/>
      <c r="BZ521" s="567"/>
      <c r="CA521" s="567"/>
      <c r="CB521" s="567"/>
      <c r="CC521" s="567"/>
      <c r="CD521" s="567"/>
      <c r="CE521" s="567"/>
      <c r="CF521" s="567"/>
      <c r="CG521" s="567"/>
      <c r="CH521" s="567"/>
      <c r="CI521" s="567"/>
      <c r="CJ521" s="567"/>
      <c r="CK521" s="567"/>
      <c r="CL521" s="567"/>
      <c r="CM521" s="567"/>
      <c r="CN521" s="567"/>
      <c r="CO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  <c r="BW522" s="567"/>
      <c r="BX522" s="567"/>
      <c r="BY522" s="567"/>
      <c r="BZ522" s="567"/>
      <c r="CA522" s="567"/>
      <c r="CB522" s="567"/>
      <c r="CC522" s="567"/>
      <c r="CD522" s="567"/>
      <c r="CE522" s="567"/>
      <c r="CF522" s="567"/>
      <c r="CG522" s="567"/>
      <c r="CH522" s="567"/>
      <c r="CI522" s="567"/>
      <c r="CJ522" s="567"/>
      <c r="CK522" s="567"/>
      <c r="CL522" s="567"/>
      <c r="CM522" s="567"/>
      <c r="CN522" s="567"/>
      <c r="CO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  <c r="BW523" s="567"/>
      <c r="BX523" s="567"/>
      <c r="BY523" s="567"/>
      <c r="BZ523" s="567"/>
      <c r="CA523" s="567"/>
      <c r="CB523" s="567"/>
      <c r="CC523" s="567"/>
      <c r="CD523" s="567"/>
      <c r="CE523" s="567"/>
      <c r="CF523" s="567"/>
      <c r="CG523" s="567"/>
      <c r="CH523" s="567"/>
      <c r="CI523" s="567"/>
      <c r="CJ523" s="567"/>
      <c r="CK523" s="567"/>
      <c r="CL523" s="567"/>
      <c r="CM523" s="567"/>
      <c r="CN523" s="567"/>
      <c r="CO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  <c r="BW524" s="567"/>
      <c r="BX524" s="567"/>
      <c r="BY524" s="567"/>
      <c r="BZ524" s="567"/>
      <c r="CA524" s="567"/>
      <c r="CB524" s="567"/>
      <c r="CC524" s="567"/>
      <c r="CD524" s="567"/>
      <c r="CE524" s="567"/>
      <c r="CF524" s="567"/>
      <c r="CG524" s="567"/>
      <c r="CH524" s="567"/>
      <c r="CI524" s="567"/>
      <c r="CJ524" s="567"/>
      <c r="CK524" s="567"/>
      <c r="CL524" s="567"/>
      <c r="CM524" s="567"/>
      <c r="CN524" s="567"/>
      <c r="CO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  <c r="BW525" s="567"/>
      <c r="BX525" s="567"/>
      <c r="BY525" s="567"/>
      <c r="BZ525" s="567"/>
      <c r="CA525" s="567"/>
      <c r="CB525" s="567"/>
      <c r="CC525" s="567"/>
      <c r="CD525" s="567"/>
      <c r="CE525" s="567"/>
      <c r="CF525" s="567"/>
      <c r="CG525" s="567"/>
      <c r="CH525" s="567"/>
      <c r="CI525" s="567"/>
      <c r="CJ525" s="567"/>
      <c r="CK525" s="567"/>
      <c r="CL525" s="567"/>
      <c r="CM525" s="567"/>
      <c r="CN525" s="567"/>
      <c r="CO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  <c r="BW526" s="567"/>
      <c r="BX526" s="567"/>
      <c r="BY526" s="567"/>
      <c r="BZ526" s="567"/>
      <c r="CA526" s="567"/>
      <c r="CB526" s="567"/>
      <c r="CC526" s="567"/>
      <c r="CD526" s="567"/>
      <c r="CE526" s="567"/>
      <c r="CF526" s="567"/>
      <c r="CG526" s="567"/>
      <c r="CH526" s="567"/>
      <c r="CI526" s="567"/>
      <c r="CJ526" s="567"/>
      <c r="CK526" s="567"/>
      <c r="CL526" s="567"/>
      <c r="CM526" s="567"/>
      <c r="CN526" s="567"/>
      <c r="CO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  <c r="BW527" s="567"/>
      <c r="BX527" s="567"/>
      <c r="BY527" s="567"/>
      <c r="BZ527" s="567"/>
      <c r="CA527" s="567"/>
      <c r="CB527" s="567"/>
      <c r="CC527" s="567"/>
      <c r="CD527" s="567"/>
      <c r="CE527" s="567"/>
      <c r="CF527" s="567"/>
      <c r="CG527" s="567"/>
      <c r="CH527" s="567"/>
      <c r="CI527" s="567"/>
      <c r="CJ527" s="567"/>
      <c r="CK527" s="567"/>
      <c r="CL527" s="567"/>
      <c r="CM527" s="567"/>
      <c r="CN527" s="567"/>
      <c r="CO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  <c r="BW528" s="567"/>
      <c r="BX528" s="567"/>
      <c r="BY528" s="567"/>
      <c r="BZ528" s="567"/>
      <c r="CA528" s="567"/>
      <c r="CB528" s="567"/>
      <c r="CC528" s="567"/>
      <c r="CD528" s="567"/>
      <c r="CE528" s="567"/>
      <c r="CF528" s="567"/>
      <c r="CG528" s="567"/>
      <c r="CH528" s="567"/>
      <c r="CI528" s="567"/>
      <c r="CJ528" s="567"/>
      <c r="CK528" s="567"/>
      <c r="CL528" s="567"/>
      <c r="CM528" s="567"/>
      <c r="CN528" s="567"/>
      <c r="CO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  <c r="BW529" s="567"/>
      <c r="BX529" s="567"/>
      <c r="BY529" s="567"/>
      <c r="BZ529" s="567"/>
      <c r="CA529" s="567"/>
      <c r="CB529" s="567"/>
      <c r="CC529" s="567"/>
      <c r="CD529" s="567"/>
      <c r="CE529" s="567"/>
      <c r="CF529" s="567"/>
      <c r="CG529" s="567"/>
      <c r="CH529" s="567"/>
      <c r="CI529" s="567"/>
      <c r="CJ529" s="567"/>
      <c r="CK529" s="567"/>
      <c r="CL529" s="567"/>
      <c r="CM529" s="567"/>
      <c r="CN529" s="567"/>
      <c r="CO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  <c r="BW530" s="567"/>
      <c r="BX530" s="567"/>
      <c r="BY530" s="567"/>
      <c r="BZ530" s="567"/>
      <c r="CA530" s="567"/>
      <c r="CB530" s="567"/>
      <c r="CC530" s="567"/>
      <c r="CD530" s="567"/>
      <c r="CE530" s="567"/>
      <c r="CF530" s="567"/>
      <c r="CG530" s="567"/>
      <c r="CH530" s="567"/>
      <c r="CI530" s="567"/>
      <c r="CJ530" s="567"/>
      <c r="CK530" s="567"/>
      <c r="CL530" s="567"/>
      <c r="CM530" s="567"/>
      <c r="CN530" s="567"/>
      <c r="CO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  <c r="BW531" s="567"/>
      <c r="BX531" s="567"/>
      <c r="BY531" s="567"/>
      <c r="BZ531" s="567"/>
      <c r="CA531" s="567"/>
      <c r="CB531" s="567"/>
      <c r="CC531" s="567"/>
      <c r="CD531" s="567"/>
      <c r="CE531" s="567"/>
      <c r="CF531" s="567"/>
      <c r="CG531" s="567"/>
      <c r="CH531" s="567"/>
      <c r="CI531" s="567"/>
      <c r="CJ531" s="567"/>
      <c r="CK531" s="567"/>
      <c r="CL531" s="567"/>
      <c r="CM531" s="567"/>
      <c r="CN531" s="567"/>
      <c r="CO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  <c r="BW532" s="567"/>
      <c r="BX532" s="567"/>
      <c r="BY532" s="567"/>
      <c r="BZ532" s="567"/>
      <c r="CA532" s="567"/>
      <c r="CB532" s="567"/>
      <c r="CC532" s="567"/>
      <c r="CD532" s="567"/>
      <c r="CE532" s="567"/>
      <c r="CF532" s="567"/>
      <c r="CG532" s="567"/>
      <c r="CH532" s="567"/>
      <c r="CI532" s="567"/>
      <c r="CJ532" s="567"/>
      <c r="CK532" s="567"/>
      <c r="CL532" s="567"/>
      <c r="CM532" s="567"/>
      <c r="CN532" s="567"/>
      <c r="CO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  <c r="BW533" s="567"/>
      <c r="BX533" s="567"/>
      <c r="BY533" s="567"/>
      <c r="BZ533" s="567"/>
      <c r="CA533" s="567"/>
      <c r="CB533" s="567"/>
      <c r="CC533" s="567"/>
      <c r="CD533" s="567"/>
      <c r="CE533" s="567"/>
      <c r="CF533" s="567"/>
      <c r="CG533" s="567"/>
      <c r="CH533" s="567"/>
      <c r="CI533" s="567"/>
      <c r="CJ533" s="567"/>
      <c r="CK533" s="567"/>
      <c r="CL533" s="567"/>
      <c r="CM533" s="567"/>
      <c r="CN533" s="567"/>
      <c r="CO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  <c r="BW534" s="567"/>
      <c r="BX534" s="567"/>
      <c r="BY534" s="567"/>
      <c r="BZ534" s="567"/>
      <c r="CA534" s="567"/>
      <c r="CB534" s="567"/>
      <c r="CC534" s="567"/>
      <c r="CD534" s="567"/>
      <c r="CE534" s="567"/>
      <c r="CF534" s="567"/>
      <c r="CG534" s="567"/>
      <c r="CH534" s="567"/>
      <c r="CI534" s="567"/>
      <c r="CJ534" s="567"/>
      <c r="CK534" s="567"/>
      <c r="CL534" s="567"/>
      <c r="CM534" s="567"/>
      <c r="CN534" s="567"/>
      <c r="CO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  <c r="BW535" s="567"/>
      <c r="BX535" s="567"/>
      <c r="BY535" s="567"/>
      <c r="BZ535" s="567"/>
      <c r="CA535" s="567"/>
      <c r="CB535" s="567"/>
      <c r="CC535" s="567"/>
      <c r="CD535" s="567"/>
      <c r="CE535" s="567"/>
      <c r="CF535" s="567"/>
      <c r="CG535" s="567"/>
      <c r="CH535" s="567"/>
      <c r="CI535" s="567"/>
      <c r="CJ535" s="567"/>
      <c r="CK535" s="567"/>
      <c r="CL535" s="567"/>
      <c r="CM535" s="567"/>
      <c r="CN535" s="567"/>
      <c r="CO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  <c r="BW536" s="567"/>
      <c r="BX536" s="567"/>
      <c r="BY536" s="567"/>
      <c r="BZ536" s="567"/>
      <c r="CA536" s="567"/>
      <c r="CB536" s="567"/>
      <c r="CC536" s="567"/>
      <c r="CD536" s="567"/>
      <c r="CE536" s="567"/>
      <c r="CF536" s="567"/>
      <c r="CG536" s="567"/>
      <c r="CH536" s="567"/>
      <c r="CI536" s="567"/>
      <c r="CJ536" s="567"/>
      <c r="CK536" s="567"/>
      <c r="CL536" s="567"/>
      <c r="CM536" s="567"/>
      <c r="CN536" s="567"/>
      <c r="CO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  <c r="BW537" s="567"/>
      <c r="BX537" s="567"/>
      <c r="BY537" s="567"/>
      <c r="BZ537" s="567"/>
      <c r="CA537" s="567"/>
      <c r="CB537" s="567"/>
      <c r="CC537" s="567"/>
      <c r="CD537" s="567"/>
      <c r="CE537" s="567"/>
      <c r="CF537" s="567"/>
      <c r="CG537" s="567"/>
      <c r="CH537" s="567"/>
      <c r="CI537" s="567"/>
      <c r="CJ537" s="567"/>
      <c r="CK537" s="567"/>
      <c r="CL537" s="567"/>
      <c r="CM537" s="567"/>
      <c r="CN537" s="567"/>
      <c r="CO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  <c r="BW538" s="567"/>
      <c r="BX538" s="567"/>
      <c r="BY538" s="567"/>
      <c r="BZ538" s="567"/>
      <c r="CA538" s="567"/>
      <c r="CB538" s="567"/>
      <c r="CC538" s="567"/>
      <c r="CD538" s="567"/>
      <c r="CE538" s="567"/>
      <c r="CF538" s="567"/>
      <c r="CG538" s="567"/>
      <c r="CH538" s="567"/>
      <c r="CI538" s="567"/>
      <c r="CJ538" s="567"/>
      <c r="CK538" s="567"/>
      <c r="CL538" s="567"/>
      <c r="CM538" s="567"/>
      <c r="CN538" s="567"/>
      <c r="CO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  <c r="BW539" s="567"/>
      <c r="BX539" s="567"/>
      <c r="BY539" s="567"/>
      <c r="BZ539" s="567"/>
      <c r="CA539" s="567"/>
      <c r="CB539" s="567"/>
      <c r="CC539" s="567"/>
      <c r="CD539" s="567"/>
      <c r="CE539" s="567"/>
      <c r="CF539" s="567"/>
      <c r="CG539" s="567"/>
      <c r="CH539" s="567"/>
      <c r="CI539" s="567"/>
      <c r="CJ539" s="567"/>
      <c r="CK539" s="567"/>
      <c r="CL539" s="567"/>
      <c r="CM539" s="567"/>
      <c r="CN539" s="567"/>
      <c r="CO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  <c r="BW540" s="567"/>
      <c r="BX540" s="567"/>
      <c r="BY540" s="567"/>
      <c r="BZ540" s="567"/>
      <c r="CA540" s="567"/>
      <c r="CB540" s="567"/>
      <c r="CC540" s="567"/>
      <c r="CD540" s="567"/>
      <c r="CE540" s="567"/>
      <c r="CF540" s="567"/>
      <c r="CG540" s="567"/>
      <c r="CH540" s="567"/>
      <c r="CI540" s="567"/>
      <c r="CJ540" s="567"/>
      <c r="CK540" s="567"/>
      <c r="CL540" s="567"/>
      <c r="CM540" s="567"/>
      <c r="CN540" s="567"/>
      <c r="CO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  <c r="BW541" s="567"/>
      <c r="BX541" s="567"/>
      <c r="BY541" s="567"/>
      <c r="BZ541" s="567"/>
      <c r="CA541" s="567"/>
      <c r="CB541" s="567"/>
      <c r="CC541" s="567"/>
      <c r="CD541" s="567"/>
      <c r="CE541" s="567"/>
      <c r="CF541" s="567"/>
      <c r="CG541" s="567"/>
      <c r="CH541" s="567"/>
      <c r="CI541" s="567"/>
      <c r="CJ541" s="567"/>
      <c r="CK541" s="567"/>
      <c r="CL541" s="567"/>
      <c r="CM541" s="567"/>
      <c r="CN541" s="567"/>
      <c r="CO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  <c r="BW542" s="567"/>
      <c r="BX542" s="567"/>
      <c r="BY542" s="567"/>
      <c r="BZ542" s="567"/>
      <c r="CA542" s="567"/>
      <c r="CB542" s="567"/>
      <c r="CC542" s="567"/>
      <c r="CD542" s="567"/>
      <c r="CE542" s="567"/>
      <c r="CF542" s="567"/>
      <c r="CG542" s="567"/>
      <c r="CH542" s="567"/>
      <c r="CI542" s="567"/>
      <c r="CJ542" s="567"/>
      <c r="CK542" s="567"/>
      <c r="CL542" s="567"/>
      <c r="CM542" s="567"/>
      <c r="CN542" s="567"/>
      <c r="CO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  <c r="BW543" s="567"/>
      <c r="BX543" s="567"/>
      <c r="BY543" s="567"/>
      <c r="BZ543" s="567"/>
      <c r="CA543" s="567"/>
      <c r="CB543" s="567"/>
      <c r="CC543" s="567"/>
      <c r="CD543" s="567"/>
      <c r="CE543" s="567"/>
      <c r="CF543" s="567"/>
      <c r="CG543" s="567"/>
      <c r="CH543" s="567"/>
      <c r="CI543" s="567"/>
      <c r="CJ543" s="567"/>
      <c r="CK543" s="567"/>
      <c r="CL543" s="567"/>
      <c r="CM543" s="567"/>
      <c r="CN543" s="567"/>
      <c r="CO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  <c r="BW544" s="567"/>
      <c r="BX544" s="567"/>
      <c r="BY544" s="567"/>
      <c r="BZ544" s="567"/>
      <c r="CA544" s="567"/>
      <c r="CB544" s="567"/>
      <c r="CC544" s="567"/>
      <c r="CD544" s="567"/>
      <c r="CE544" s="567"/>
      <c r="CF544" s="567"/>
      <c r="CG544" s="567"/>
      <c r="CH544" s="567"/>
      <c r="CI544" s="567"/>
      <c r="CJ544" s="567"/>
      <c r="CK544" s="567"/>
      <c r="CL544" s="567"/>
      <c r="CM544" s="567"/>
      <c r="CN544" s="567"/>
      <c r="CO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  <c r="BW545" s="567"/>
      <c r="BX545" s="567"/>
      <c r="BY545" s="567"/>
      <c r="BZ545" s="567"/>
      <c r="CA545" s="567"/>
      <c r="CB545" s="567"/>
      <c r="CC545" s="567"/>
      <c r="CD545" s="567"/>
      <c r="CE545" s="567"/>
      <c r="CF545" s="567"/>
      <c r="CG545" s="567"/>
      <c r="CH545" s="567"/>
      <c r="CI545" s="567"/>
      <c r="CJ545" s="567"/>
      <c r="CK545" s="567"/>
      <c r="CL545" s="567"/>
      <c r="CM545" s="567"/>
      <c r="CN545" s="567"/>
      <c r="CO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  <c r="BW546" s="567"/>
      <c r="BX546" s="567"/>
      <c r="BY546" s="567"/>
      <c r="BZ546" s="567"/>
      <c r="CA546" s="567"/>
      <c r="CB546" s="567"/>
      <c r="CC546" s="567"/>
      <c r="CD546" s="567"/>
      <c r="CE546" s="567"/>
      <c r="CF546" s="567"/>
      <c r="CG546" s="567"/>
      <c r="CH546" s="567"/>
      <c r="CI546" s="567"/>
      <c r="CJ546" s="567"/>
      <c r="CK546" s="567"/>
      <c r="CL546" s="567"/>
      <c r="CM546" s="567"/>
      <c r="CN546" s="567"/>
      <c r="CO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  <c r="BW547" s="567"/>
      <c r="BX547" s="567"/>
      <c r="BY547" s="567"/>
      <c r="BZ547" s="567"/>
      <c r="CA547" s="567"/>
      <c r="CB547" s="567"/>
      <c r="CC547" s="567"/>
      <c r="CD547" s="567"/>
      <c r="CE547" s="567"/>
      <c r="CF547" s="567"/>
      <c r="CG547" s="567"/>
      <c r="CH547" s="567"/>
      <c r="CI547" s="567"/>
      <c r="CJ547" s="567"/>
      <c r="CK547" s="567"/>
      <c r="CL547" s="567"/>
      <c r="CM547" s="567"/>
      <c r="CN547" s="567"/>
      <c r="CO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  <c r="BW548" s="567"/>
      <c r="BX548" s="567"/>
      <c r="BY548" s="567"/>
      <c r="BZ548" s="567"/>
      <c r="CA548" s="567"/>
      <c r="CB548" s="567"/>
      <c r="CC548" s="567"/>
      <c r="CD548" s="567"/>
      <c r="CE548" s="567"/>
      <c r="CF548" s="567"/>
      <c r="CG548" s="567"/>
      <c r="CH548" s="567"/>
      <c r="CI548" s="567"/>
      <c r="CJ548" s="567"/>
      <c r="CK548" s="567"/>
      <c r="CL548" s="567"/>
      <c r="CM548" s="567"/>
      <c r="CN548" s="567"/>
      <c r="CO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  <c r="BW549" s="567"/>
      <c r="BX549" s="567"/>
      <c r="BY549" s="567"/>
      <c r="BZ549" s="567"/>
      <c r="CA549" s="567"/>
      <c r="CB549" s="567"/>
      <c r="CC549" s="567"/>
      <c r="CD549" s="567"/>
      <c r="CE549" s="567"/>
      <c r="CF549" s="567"/>
      <c r="CG549" s="567"/>
      <c r="CH549" s="567"/>
      <c r="CI549" s="567"/>
      <c r="CJ549" s="567"/>
      <c r="CK549" s="567"/>
      <c r="CL549" s="567"/>
      <c r="CM549" s="567"/>
      <c r="CN549" s="567"/>
      <c r="CO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  <c r="BW550" s="567"/>
      <c r="BX550" s="567"/>
      <c r="BY550" s="567"/>
      <c r="BZ550" s="567"/>
      <c r="CA550" s="567"/>
      <c r="CB550" s="567"/>
      <c r="CC550" s="567"/>
      <c r="CD550" s="567"/>
      <c r="CE550" s="567"/>
      <c r="CF550" s="567"/>
      <c r="CG550" s="567"/>
      <c r="CH550" s="567"/>
      <c r="CI550" s="567"/>
      <c r="CJ550" s="567"/>
      <c r="CK550" s="567"/>
      <c r="CL550" s="567"/>
      <c r="CM550" s="567"/>
      <c r="CN550" s="567"/>
      <c r="CO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  <c r="BW551" s="567"/>
      <c r="BX551" s="567"/>
      <c r="BY551" s="567"/>
      <c r="BZ551" s="567"/>
      <c r="CA551" s="567"/>
      <c r="CB551" s="567"/>
      <c r="CC551" s="567"/>
      <c r="CD551" s="567"/>
      <c r="CE551" s="567"/>
      <c r="CF551" s="567"/>
      <c r="CG551" s="567"/>
      <c r="CH551" s="567"/>
      <c r="CI551" s="567"/>
      <c r="CJ551" s="567"/>
      <c r="CK551" s="567"/>
      <c r="CL551" s="567"/>
      <c r="CM551" s="567"/>
      <c r="CN551" s="567"/>
      <c r="CO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  <c r="BW552" s="567"/>
      <c r="BX552" s="567"/>
      <c r="BY552" s="567"/>
      <c r="BZ552" s="567"/>
      <c r="CA552" s="567"/>
      <c r="CB552" s="567"/>
      <c r="CC552" s="567"/>
      <c r="CD552" s="567"/>
      <c r="CE552" s="567"/>
      <c r="CF552" s="567"/>
      <c r="CG552" s="567"/>
      <c r="CH552" s="567"/>
      <c r="CI552" s="567"/>
      <c r="CJ552" s="567"/>
      <c r="CK552" s="567"/>
      <c r="CL552" s="567"/>
      <c r="CM552" s="567"/>
      <c r="CN552" s="567"/>
      <c r="CO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  <c r="BW553" s="567"/>
      <c r="BX553" s="567"/>
      <c r="BY553" s="567"/>
      <c r="BZ553" s="567"/>
      <c r="CA553" s="567"/>
      <c r="CB553" s="567"/>
      <c r="CC553" s="567"/>
      <c r="CD553" s="567"/>
      <c r="CE553" s="567"/>
      <c r="CF553" s="567"/>
      <c r="CG553" s="567"/>
      <c r="CH553" s="567"/>
      <c r="CI553" s="567"/>
      <c r="CJ553" s="567"/>
      <c r="CK553" s="567"/>
      <c r="CL553" s="567"/>
      <c r="CM553" s="567"/>
      <c r="CN553" s="567"/>
      <c r="CO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  <c r="BW554" s="567"/>
      <c r="BX554" s="567"/>
      <c r="BY554" s="567"/>
      <c r="BZ554" s="567"/>
      <c r="CA554" s="567"/>
      <c r="CB554" s="567"/>
      <c r="CC554" s="567"/>
      <c r="CD554" s="567"/>
      <c r="CE554" s="567"/>
      <c r="CF554" s="567"/>
      <c r="CG554" s="567"/>
      <c r="CH554" s="567"/>
      <c r="CI554" s="567"/>
      <c r="CJ554" s="567"/>
      <c r="CK554" s="567"/>
      <c r="CL554" s="567"/>
      <c r="CM554" s="567"/>
      <c r="CN554" s="567"/>
      <c r="CO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  <c r="BW555" s="567"/>
      <c r="BX555" s="567"/>
      <c r="BY555" s="567"/>
      <c r="BZ555" s="567"/>
      <c r="CA555" s="567"/>
      <c r="CB555" s="567"/>
      <c r="CC555" s="567"/>
      <c r="CD555" s="567"/>
      <c r="CE555" s="567"/>
      <c r="CF555" s="567"/>
      <c r="CG555" s="567"/>
      <c r="CH555" s="567"/>
      <c r="CI555" s="567"/>
      <c r="CJ555" s="567"/>
      <c r="CK555" s="567"/>
      <c r="CL555" s="567"/>
      <c r="CM555" s="567"/>
      <c r="CN555" s="567"/>
      <c r="CO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  <c r="BW556" s="567"/>
      <c r="BX556" s="567"/>
      <c r="BY556" s="567"/>
      <c r="BZ556" s="567"/>
      <c r="CA556" s="567"/>
      <c r="CB556" s="567"/>
      <c r="CC556" s="567"/>
      <c r="CD556" s="567"/>
      <c r="CE556" s="567"/>
      <c r="CF556" s="567"/>
      <c r="CG556" s="567"/>
      <c r="CH556" s="567"/>
      <c r="CI556" s="567"/>
      <c r="CJ556" s="567"/>
      <c r="CK556" s="567"/>
      <c r="CL556" s="567"/>
      <c r="CM556" s="567"/>
      <c r="CN556" s="567"/>
      <c r="CO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  <c r="BW557" s="567"/>
      <c r="BX557" s="567"/>
      <c r="BY557" s="567"/>
      <c r="BZ557" s="567"/>
      <c r="CA557" s="567"/>
      <c r="CB557" s="567"/>
      <c r="CC557" s="567"/>
      <c r="CD557" s="567"/>
      <c r="CE557" s="567"/>
      <c r="CF557" s="567"/>
      <c r="CG557" s="567"/>
      <c r="CH557" s="567"/>
      <c r="CI557" s="567"/>
      <c r="CJ557" s="567"/>
      <c r="CK557" s="567"/>
      <c r="CL557" s="567"/>
      <c r="CM557" s="567"/>
      <c r="CN557" s="567"/>
      <c r="CO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  <c r="BW558" s="567"/>
      <c r="BX558" s="567"/>
      <c r="BY558" s="567"/>
      <c r="BZ558" s="567"/>
      <c r="CA558" s="567"/>
      <c r="CB558" s="567"/>
      <c r="CC558" s="567"/>
      <c r="CD558" s="567"/>
      <c r="CE558" s="567"/>
      <c r="CF558" s="567"/>
      <c r="CG558" s="567"/>
      <c r="CH558" s="567"/>
      <c r="CI558" s="567"/>
      <c r="CJ558" s="567"/>
      <c r="CK558" s="567"/>
      <c r="CL558" s="567"/>
      <c r="CM558" s="567"/>
      <c r="CN558" s="567"/>
      <c r="CO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  <c r="BW559" s="567"/>
      <c r="BX559" s="567"/>
      <c r="BY559" s="567"/>
      <c r="BZ559" s="567"/>
      <c r="CA559" s="567"/>
      <c r="CB559" s="567"/>
      <c r="CC559" s="567"/>
      <c r="CD559" s="567"/>
      <c r="CE559" s="567"/>
      <c r="CF559" s="567"/>
      <c r="CG559" s="567"/>
      <c r="CH559" s="567"/>
      <c r="CI559" s="567"/>
      <c r="CJ559" s="567"/>
      <c r="CK559" s="567"/>
      <c r="CL559" s="567"/>
      <c r="CM559" s="567"/>
      <c r="CN559" s="567"/>
      <c r="CO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  <c r="BW560" s="567"/>
      <c r="BX560" s="567"/>
      <c r="BY560" s="567"/>
      <c r="BZ560" s="567"/>
      <c r="CA560" s="567"/>
      <c r="CB560" s="567"/>
      <c r="CC560" s="567"/>
      <c r="CD560" s="567"/>
      <c r="CE560" s="567"/>
      <c r="CF560" s="567"/>
      <c r="CG560" s="567"/>
      <c r="CH560" s="567"/>
      <c r="CI560" s="567"/>
      <c r="CJ560" s="567"/>
      <c r="CK560" s="567"/>
      <c r="CL560" s="567"/>
      <c r="CM560" s="567"/>
      <c r="CN560" s="567"/>
      <c r="CO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  <c r="BW561" s="567"/>
      <c r="BX561" s="567"/>
      <c r="BY561" s="567"/>
      <c r="BZ561" s="567"/>
      <c r="CA561" s="567"/>
      <c r="CB561" s="567"/>
      <c r="CC561" s="567"/>
      <c r="CD561" s="567"/>
      <c r="CE561" s="567"/>
      <c r="CF561" s="567"/>
      <c r="CG561" s="567"/>
      <c r="CH561" s="567"/>
      <c r="CI561" s="567"/>
      <c r="CJ561" s="567"/>
      <c r="CK561" s="567"/>
      <c r="CL561" s="567"/>
      <c r="CM561" s="567"/>
      <c r="CN561" s="567"/>
      <c r="CO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  <c r="BW562" s="567"/>
      <c r="BX562" s="567"/>
      <c r="BY562" s="567"/>
      <c r="BZ562" s="567"/>
      <c r="CA562" s="567"/>
      <c r="CB562" s="567"/>
      <c r="CC562" s="567"/>
      <c r="CD562" s="567"/>
      <c r="CE562" s="567"/>
      <c r="CF562" s="567"/>
      <c r="CG562" s="567"/>
      <c r="CH562" s="567"/>
      <c r="CI562" s="567"/>
      <c r="CJ562" s="567"/>
      <c r="CK562" s="567"/>
      <c r="CL562" s="567"/>
      <c r="CM562" s="567"/>
      <c r="CN562" s="567"/>
      <c r="CO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  <c r="BW563" s="567"/>
      <c r="BX563" s="567"/>
      <c r="BY563" s="567"/>
      <c r="BZ563" s="567"/>
      <c r="CA563" s="567"/>
      <c r="CB563" s="567"/>
      <c r="CC563" s="567"/>
      <c r="CD563" s="567"/>
      <c r="CE563" s="567"/>
      <c r="CF563" s="567"/>
      <c r="CG563" s="567"/>
      <c r="CH563" s="567"/>
      <c r="CI563" s="567"/>
      <c r="CJ563" s="567"/>
      <c r="CK563" s="567"/>
      <c r="CL563" s="567"/>
      <c r="CM563" s="567"/>
      <c r="CN563" s="567"/>
      <c r="CO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  <c r="BW564" s="567"/>
      <c r="BX564" s="567"/>
      <c r="BY564" s="567"/>
      <c r="BZ564" s="567"/>
      <c r="CA564" s="567"/>
      <c r="CB564" s="567"/>
      <c r="CC564" s="567"/>
      <c r="CD564" s="567"/>
      <c r="CE564" s="567"/>
      <c r="CF564" s="567"/>
      <c r="CG564" s="567"/>
      <c r="CH564" s="567"/>
      <c r="CI564" s="567"/>
      <c r="CJ564" s="567"/>
      <c r="CK564" s="567"/>
      <c r="CL564" s="567"/>
      <c r="CM564" s="567"/>
      <c r="CN564" s="567"/>
      <c r="CO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  <c r="BW565" s="567"/>
      <c r="BX565" s="567"/>
      <c r="BY565" s="567"/>
      <c r="BZ565" s="567"/>
      <c r="CA565" s="567"/>
      <c r="CB565" s="567"/>
      <c r="CC565" s="567"/>
      <c r="CD565" s="567"/>
      <c r="CE565" s="567"/>
      <c r="CF565" s="567"/>
      <c r="CG565" s="567"/>
      <c r="CH565" s="567"/>
      <c r="CI565" s="567"/>
      <c r="CJ565" s="567"/>
      <c r="CK565" s="567"/>
      <c r="CL565" s="567"/>
      <c r="CM565" s="567"/>
      <c r="CN565" s="567"/>
      <c r="CO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  <c r="BW566" s="567"/>
      <c r="BX566" s="567"/>
      <c r="BY566" s="567"/>
      <c r="BZ566" s="567"/>
      <c r="CA566" s="567"/>
      <c r="CB566" s="567"/>
      <c r="CC566" s="567"/>
      <c r="CD566" s="567"/>
      <c r="CE566" s="567"/>
      <c r="CF566" s="567"/>
      <c r="CG566" s="567"/>
      <c r="CH566" s="567"/>
      <c r="CI566" s="567"/>
      <c r="CJ566" s="567"/>
      <c r="CK566" s="567"/>
      <c r="CL566" s="567"/>
      <c r="CM566" s="567"/>
      <c r="CN566" s="567"/>
      <c r="CO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  <c r="BW567" s="567"/>
      <c r="BX567" s="567"/>
      <c r="BY567" s="567"/>
      <c r="BZ567" s="567"/>
      <c r="CA567" s="567"/>
      <c r="CB567" s="567"/>
      <c r="CC567" s="567"/>
      <c r="CD567" s="567"/>
      <c r="CE567" s="567"/>
      <c r="CF567" s="567"/>
      <c r="CG567" s="567"/>
      <c r="CH567" s="567"/>
      <c r="CI567" s="567"/>
      <c r="CJ567" s="567"/>
      <c r="CK567" s="567"/>
      <c r="CL567" s="567"/>
      <c r="CM567" s="567"/>
      <c r="CN567" s="567"/>
      <c r="CO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  <c r="BW568" s="567"/>
      <c r="BX568" s="567"/>
      <c r="BY568" s="567"/>
      <c r="BZ568" s="567"/>
      <c r="CA568" s="567"/>
      <c r="CB568" s="567"/>
      <c r="CC568" s="567"/>
      <c r="CD568" s="567"/>
      <c r="CE568" s="567"/>
      <c r="CF568" s="567"/>
      <c r="CG568" s="567"/>
      <c r="CH568" s="567"/>
      <c r="CI568" s="567"/>
      <c r="CJ568" s="567"/>
      <c r="CK568" s="567"/>
      <c r="CL568" s="567"/>
      <c r="CM568" s="567"/>
      <c r="CN568" s="567"/>
      <c r="CO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  <c r="BW569" s="567"/>
      <c r="BX569" s="567"/>
      <c r="BY569" s="567"/>
      <c r="BZ569" s="567"/>
      <c r="CA569" s="567"/>
      <c r="CB569" s="567"/>
      <c r="CC569" s="567"/>
      <c r="CD569" s="567"/>
      <c r="CE569" s="567"/>
      <c r="CF569" s="567"/>
      <c r="CG569" s="567"/>
      <c r="CH569" s="567"/>
      <c r="CI569" s="567"/>
      <c r="CJ569" s="567"/>
      <c r="CK569" s="567"/>
      <c r="CL569" s="567"/>
      <c r="CM569" s="567"/>
      <c r="CN569" s="567"/>
      <c r="CO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  <c r="BW570" s="567"/>
      <c r="BX570" s="567"/>
      <c r="BY570" s="567"/>
      <c r="BZ570" s="567"/>
      <c r="CA570" s="567"/>
      <c r="CB570" s="567"/>
      <c r="CC570" s="567"/>
      <c r="CD570" s="567"/>
      <c r="CE570" s="567"/>
      <c r="CF570" s="567"/>
      <c r="CG570" s="567"/>
      <c r="CH570" s="567"/>
      <c r="CI570" s="567"/>
      <c r="CJ570" s="567"/>
      <c r="CK570" s="567"/>
      <c r="CL570" s="567"/>
      <c r="CM570" s="567"/>
      <c r="CN570" s="567"/>
      <c r="CO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  <c r="BW571" s="567"/>
      <c r="BX571" s="567"/>
      <c r="BY571" s="567"/>
      <c r="BZ571" s="567"/>
      <c r="CA571" s="567"/>
      <c r="CB571" s="567"/>
      <c r="CC571" s="567"/>
      <c r="CD571" s="567"/>
      <c r="CE571" s="567"/>
      <c r="CF571" s="567"/>
      <c r="CG571" s="567"/>
      <c r="CH571" s="567"/>
      <c r="CI571" s="567"/>
      <c r="CJ571" s="567"/>
      <c r="CK571" s="567"/>
      <c r="CL571" s="567"/>
      <c r="CM571" s="567"/>
      <c r="CN571" s="567"/>
      <c r="CO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  <c r="BW572" s="567"/>
      <c r="BX572" s="567"/>
      <c r="BY572" s="567"/>
      <c r="BZ572" s="567"/>
      <c r="CA572" s="567"/>
      <c r="CB572" s="567"/>
      <c r="CC572" s="567"/>
      <c r="CD572" s="567"/>
      <c r="CE572" s="567"/>
      <c r="CF572" s="567"/>
      <c r="CG572" s="567"/>
      <c r="CH572" s="567"/>
      <c r="CI572" s="567"/>
      <c r="CJ572" s="567"/>
      <c r="CK572" s="567"/>
      <c r="CL572" s="567"/>
      <c r="CM572" s="567"/>
      <c r="CN572" s="567"/>
      <c r="CO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  <c r="BW573" s="567"/>
      <c r="BX573" s="567"/>
      <c r="BY573" s="567"/>
      <c r="BZ573" s="567"/>
      <c r="CA573" s="567"/>
      <c r="CB573" s="567"/>
      <c r="CC573" s="567"/>
      <c r="CD573" s="567"/>
      <c r="CE573" s="567"/>
      <c r="CF573" s="567"/>
      <c r="CG573" s="567"/>
      <c r="CH573" s="567"/>
      <c r="CI573" s="567"/>
      <c r="CJ573" s="567"/>
      <c r="CK573" s="567"/>
      <c r="CL573" s="567"/>
      <c r="CM573" s="567"/>
      <c r="CN573" s="567"/>
      <c r="CO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  <c r="BW574" s="567"/>
      <c r="BX574" s="567"/>
      <c r="BY574" s="567"/>
      <c r="BZ574" s="567"/>
      <c r="CA574" s="567"/>
      <c r="CB574" s="567"/>
      <c r="CC574" s="567"/>
      <c r="CD574" s="567"/>
      <c r="CE574" s="567"/>
      <c r="CF574" s="567"/>
      <c r="CG574" s="567"/>
      <c r="CH574" s="567"/>
      <c r="CI574" s="567"/>
      <c r="CJ574" s="567"/>
      <c r="CK574" s="567"/>
      <c r="CL574" s="567"/>
      <c r="CM574" s="567"/>
      <c r="CN574" s="567"/>
      <c r="CO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  <c r="BW575" s="567"/>
      <c r="BX575" s="567"/>
      <c r="BY575" s="567"/>
      <c r="BZ575" s="567"/>
      <c r="CA575" s="567"/>
      <c r="CB575" s="567"/>
      <c r="CC575" s="567"/>
      <c r="CD575" s="567"/>
      <c r="CE575" s="567"/>
      <c r="CF575" s="567"/>
      <c r="CG575" s="567"/>
      <c r="CH575" s="567"/>
      <c r="CI575" s="567"/>
      <c r="CJ575" s="567"/>
      <c r="CK575" s="567"/>
      <c r="CL575" s="567"/>
      <c r="CM575" s="567"/>
      <c r="CN575" s="567"/>
      <c r="CO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  <c r="BW576" s="567"/>
      <c r="BX576" s="567"/>
      <c r="BY576" s="567"/>
      <c r="BZ576" s="567"/>
      <c r="CA576" s="567"/>
      <c r="CB576" s="567"/>
      <c r="CC576" s="567"/>
      <c r="CD576" s="567"/>
      <c r="CE576" s="567"/>
      <c r="CF576" s="567"/>
      <c r="CG576" s="567"/>
      <c r="CH576" s="567"/>
      <c r="CI576" s="567"/>
      <c r="CJ576" s="567"/>
      <c r="CK576" s="567"/>
      <c r="CL576" s="567"/>
      <c r="CM576" s="567"/>
      <c r="CN576" s="567"/>
      <c r="CO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  <c r="BW577" s="567"/>
      <c r="BX577" s="567"/>
      <c r="BY577" s="567"/>
      <c r="BZ577" s="567"/>
      <c r="CA577" s="567"/>
      <c r="CB577" s="567"/>
      <c r="CC577" s="567"/>
      <c r="CD577" s="567"/>
      <c r="CE577" s="567"/>
      <c r="CF577" s="567"/>
      <c r="CG577" s="567"/>
      <c r="CH577" s="567"/>
      <c r="CI577" s="567"/>
      <c r="CJ577" s="567"/>
      <c r="CK577" s="567"/>
      <c r="CL577" s="567"/>
      <c r="CM577" s="567"/>
      <c r="CN577" s="567"/>
      <c r="CO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  <c r="BW578" s="567"/>
      <c r="BX578" s="567"/>
      <c r="BY578" s="567"/>
      <c r="BZ578" s="567"/>
      <c r="CA578" s="567"/>
      <c r="CB578" s="567"/>
      <c r="CC578" s="567"/>
      <c r="CD578" s="567"/>
      <c r="CE578" s="567"/>
      <c r="CF578" s="567"/>
      <c r="CG578" s="567"/>
      <c r="CH578" s="567"/>
      <c r="CI578" s="567"/>
      <c r="CJ578" s="567"/>
      <c r="CK578" s="567"/>
      <c r="CL578" s="567"/>
      <c r="CM578" s="567"/>
      <c r="CN578" s="567"/>
      <c r="CO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  <c r="BW579" s="567"/>
      <c r="BX579" s="567"/>
      <c r="BY579" s="567"/>
      <c r="BZ579" s="567"/>
      <c r="CA579" s="567"/>
      <c r="CB579" s="567"/>
      <c r="CC579" s="567"/>
      <c r="CD579" s="567"/>
      <c r="CE579" s="567"/>
      <c r="CF579" s="567"/>
      <c r="CG579" s="567"/>
      <c r="CH579" s="567"/>
      <c r="CI579" s="567"/>
      <c r="CJ579" s="567"/>
      <c r="CK579" s="567"/>
      <c r="CL579" s="567"/>
      <c r="CM579" s="567"/>
      <c r="CN579" s="567"/>
      <c r="CO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  <c r="BW580" s="567"/>
      <c r="BX580" s="567"/>
      <c r="BY580" s="567"/>
      <c r="BZ580" s="567"/>
      <c r="CA580" s="567"/>
      <c r="CB580" s="567"/>
      <c r="CC580" s="567"/>
      <c r="CD580" s="567"/>
      <c r="CE580" s="567"/>
      <c r="CF580" s="567"/>
      <c r="CG580" s="567"/>
      <c r="CH580" s="567"/>
      <c r="CI580" s="567"/>
      <c r="CJ580" s="567"/>
      <c r="CK580" s="567"/>
      <c r="CL580" s="567"/>
      <c r="CM580" s="567"/>
      <c r="CN580" s="567"/>
      <c r="CO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  <c r="BW581" s="567"/>
      <c r="BX581" s="567"/>
      <c r="BY581" s="567"/>
      <c r="BZ581" s="567"/>
      <c r="CA581" s="567"/>
      <c r="CB581" s="567"/>
      <c r="CC581" s="567"/>
      <c r="CD581" s="567"/>
      <c r="CE581" s="567"/>
      <c r="CF581" s="567"/>
      <c r="CG581" s="567"/>
      <c r="CH581" s="567"/>
      <c r="CI581" s="567"/>
      <c r="CJ581" s="567"/>
      <c r="CK581" s="567"/>
      <c r="CL581" s="567"/>
      <c r="CM581" s="567"/>
      <c r="CN581" s="567"/>
      <c r="CO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  <c r="BW582" s="567"/>
      <c r="BX582" s="567"/>
      <c r="BY582" s="567"/>
      <c r="BZ582" s="567"/>
      <c r="CA582" s="567"/>
      <c r="CB582" s="567"/>
      <c r="CC582" s="567"/>
      <c r="CD582" s="567"/>
      <c r="CE582" s="567"/>
      <c r="CF582" s="567"/>
      <c r="CG582" s="567"/>
      <c r="CH582" s="567"/>
      <c r="CI582" s="567"/>
      <c r="CJ582" s="567"/>
      <c r="CK582" s="567"/>
      <c r="CL582" s="567"/>
      <c r="CM582" s="567"/>
      <c r="CN582" s="567"/>
      <c r="CO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  <c r="BW583" s="567"/>
      <c r="BX583" s="567"/>
      <c r="BY583" s="567"/>
      <c r="BZ583" s="567"/>
      <c r="CA583" s="567"/>
      <c r="CB583" s="567"/>
      <c r="CC583" s="567"/>
      <c r="CD583" s="567"/>
      <c r="CE583" s="567"/>
      <c r="CF583" s="567"/>
      <c r="CG583" s="567"/>
      <c r="CH583" s="567"/>
      <c r="CI583" s="567"/>
      <c r="CJ583" s="567"/>
      <c r="CK583" s="567"/>
      <c r="CL583" s="567"/>
      <c r="CM583" s="567"/>
      <c r="CN583" s="567"/>
      <c r="CO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  <c r="BW584" s="567"/>
      <c r="BX584" s="567"/>
      <c r="BY584" s="567"/>
      <c r="BZ584" s="567"/>
      <c r="CA584" s="567"/>
      <c r="CB584" s="567"/>
      <c r="CC584" s="567"/>
      <c r="CD584" s="567"/>
      <c r="CE584" s="567"/>
      <c r="CF584" s="567"/>
      <c r="CG584" s="567"/>
      <c r="CH584" s="567"/>
      <c r="CI584" s="567"/>
      <c r="CJ584" s="567"/>
      <c r="CK584" s="567"/>
      <c r="CL584" s="567"/>
      <c r="CM584" s="567"/>
      <c r="CN584" s="567"/>
      <c r="CO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  <c r="BW585" s="567"/>
      <c r="BX585" s="567"/>
      <c r="BY585" s="567"/>
      <c r="BZ585" s="567"/>
      <c r="CA585" s="567"/>
      <c r="CB585" s="567"/>
      <c r="CC585" s="567"/>
      <c r="CD585" s="567"/>
      <c r="CE585" s="567"/>
      <c r="CF585" s="567"/>
      <c r="CG585" s="567"/>
      <c r="CH585" s="567"/>
      <c r="CI585" s="567"/>
      <c r="CJ585" s="567"/>
      <c r="CK585" s="567"/>
      <c r="CL585" s="567"/>
      <c r="CM585" s="567"/>
      <c r="CN585" s="567"/>
      <c r="CO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  <c r="BW586" s="567"/>
      <c r="BX586" s="567"/>
      <c r="BY586" s="567"/>
      <c r="BZ586" s="567"/>
      <c r="CA586" s="567"/>
      <c r="CB586" s="567"/>
      <c r="CC586" s="567"/>
      <c r="CD586" s="567"/>
      <c r="CE586" s="567"/>
      <c r="CF586" s="567"/>
      <c r="CG586" s="567"/>
      <c r="CH586" s="567"/>
      <c r="CI586" s="567"/>
      <c r="CJ586" s="567"/>
      <c r="CK586" s="567"/>
      <c r="CL586" s="567"/>
      <c r="CM586" s="567"/>
      <c r="CN586" s="567"/>
      <c r="CO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  <c r="BW587" s="567"/>
      <c r="BX587" s="567"/>
      <c r="BY587" s="567"/>
      <c r="BZ587" s="567"/>
      <c r="CA587" s="567"/>
      <c r="CB587" s="567"/>
      <c r="CC587" s="567"/>
      <c r="CD587" s="567"/>
      <c r="CE587" s="567"/>
      <c r="CF587" s="567"/>
      <c r="CG587" s="567"/>
      <c r="CH587" s="567"/>
      <c r="CI587" s="567"/>
      <c r="CJ587" s="567"/>
      <c r="CK587" s="567"/>
      <c r="CL587" s="567"/>
      <c r="CM587" s="567"/>
      <c r="CN587" s="567"/>
      <c r="CO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  <c r="BW588" s="567"/>
      <c r="BX588" s="567"/>
      <c r="BY588" s="567"/>
      <c r="BZ588" s="567"/>
      <c r="CA588" s="567"/>
      <c r="CB588" s="567"/>
      <c r="CC588" s="567"/>
      <c r="CD588" s="567"/>
      <c r="CE588" s="567"/>
      <c r="CF588" s="567"/>
      <c r="CG588" s="567"/>
      <c r="CH588" s="567"/>
      <c r="CI588" s="567"/>
      <c r="CJ588" s="567"/>
      <c r="CK588" s="567"/>
      <c r="CL588" s="567"/>
      <c r="CM588" s="567"/>
      <c r="CN588" s="567"/>
      <c r="CO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  <c r="BW589" s="567"/>
      <c r="BX589" s="567"/>
      <c r="BY589" s="567"/>
      <c r="BZ589" s="567"/>
      <c r="CA589" s="567"/>
      <c r="CB589" s="567"/>
      <c r="CC589" s="567"/>
      <c r="CD589" s="567"/>
      <c r="CE589" s="567"/>
      <c r="CF589" s="567"/>
      <c r="CG589" s="567"/>
      <c r="CH589" s="567"/>
      <c r="CI589" s="567"/>
      <c r="CJ589" s="567"/>
      <c r="CK589" s="567"/>
      <c r="CL589" s="567"/>
      <c r="CM589" s="567"/>
      <c r="CN589" s="567"/>
      <c r="CO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  <c r="BW590" s="567"/>
      <c r="BX590" s="567"/>
      <c r="BY590" s="567"/>
      <c r="BZ590" s="567"/>
      <c r="CA590" s="567"/>
      <c r="CB590" s="567"/>
      <c r="CC590" s="567"/>
      <c r="CD590" s="567"/>
      <c r="CE590" s="567"/>
      <c r="CF590" s="567"/>
      <c r="CG590" s="567"/>
      <c r="CH590" s="567"/>
      <c r="CI590" s="567"/>
      <c r="CJ590" s="567"/>
      <c r="CK590" s="567"/>
      <c r="CL590" s="567"/>
      <c r="CM590" s="567"/>
      <c r="CN590" s="567"/>
      <c r="CO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  <c r="BW591" s="567"/>
      <c r="BX591" s="567"/>
      <c r="BY591" s="567"/>
      <c r="BZ591" s="567"/>
      <c r="CA591" s="567"/>
      <c r="CB591" s="567"/>
      <c r="CC591" s="567"/>
      <c r="CD591" s="567"/>
      <c r="CE591" s="567"/>
      <c r="CF591" s="567"/>
      <c r="CG591" s="567"/>
      <c r="CH591" s="567"/>
      <c r="CI591" s="567"/>
      <c r="CJ591" s="567"/>
      <c r="CK591" s="567"/>
      <c r="CL591" s="567"/>
      <c r="CM591" s="567"/>
      <c r="CN591" s="567"/>
      <c r="CO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  <c r="BW592" s="567"/>
      <c r="BX592" s="567"/>
      <c r="BY592" s="567"/>
      <c r="BZ592" s="567"/>
      <c r="CA592" s="567"/>
      <c r="CB592" s="567"/>
      <c r="CC592" s="567"/>
      <c r="CD592" s="567"/>
      <c r="CE592" s="567"/>
      <c r="CF592" s="567"/>
      <c r="CG592" s="567"/>
      <c r="CH592" s="567"/>
      <c r="CI592" s="567"/>
      <c r="CJ592" s="567"/>
      <c r="CK592" s="567"/>
      <c r="CL592" s="567"/>
      <c r="CM592" s="567"/>
      <c r="CN592" s="567"/>
      <c r="CO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  <c r="BW593" s="567"/>
      <c r="BX593" s="567"/>
      <c r="BY593" s="567"/>
      <c r="BZ593" s="567"/>
      <c r="CA593" s="567"/>
      <c r="CB593" s="567"/>
      <c r="CC593" s="567"/>
      <c r="CD593" s="567"/>
      <c r="CE593" s="567"/>
      <c r="CF593" s="567"/>
      <c r="CG593" s="567"/>
      <c r="CH593" s="567"/>
      <c r="CI593" s="567"/>
      <c r="CJ593" s="567"/>
      <c r="CK593" s="567"/>
      <c r="CL593" s="567"/>
      <c r="CM593" s="567"/>
      <c r="CN593" s="567"/>
      <c r="CO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  <c r="BW594" s="567"/>
      <c r="BX594" s="567"/>
      <c r="BY594" s="567"/>
      <c r="BZ594" s="567"/>
      <c r="CA594" s="567"/>
      <c r="CB594" s="567"/>
      <c r="CC594" s="567"/>
      <c r="CD594" s="567"/>
      <c r="CE594" s="567"/>
      <c r="CF594" s="567"/>
      <c r="CG594" s="567"/>
      <c r="CH594" s="567"/>
      <c r="CI594" s="567"/>
      <c r="CJ594" s="567"/>
      <c r="CK594" s="567"/>
      <c r="CL594" s="567"/>
      <c r="CM594" s="567"/>
      <c r="CN594" s="567"/>
      <c r="CO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  <c r="BW595" s="567"/>
      <c r="BX595" s="567"/>
      <c r="BY595" s="567"/>
      <c r="BZ595" s="567"/>
      <c r="CA595" s="567"/>
      <c r="CB595" s="567"/>
      <c r="CC595" s="567"/>
      <c r="CD595" s="567"/>
      <c r="CE595" s="567"/>
      <c r="CF595" s="567"/>
      <c r="CG595" s="567"/>
      <c r="CH595" s="567"/>
      <c r="CI595" s="567"/>
      <c r="CJ595" s="567"/>
      <c r="CK595" s="567"/>
      <c r="CL595" s="567"/>
      <c r="CM595" s="567"/>
      <c r="CN595" s="567"/>
      <c r="CO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  <c r="BW596" s="567"/>
      <c r="BX596" s="567"/>
      <c r="BY596" s="567"/>
      <c r="BZ596" s="567"/>
      <c r="CA596" s="567"/>
      <c r="CB596" s="567"/>
      <c r="CC596" s="567"/>
      <c r="CD596" s="567"/>
      <c r="CE596" s="567"/>
      <c r="CF596" s="567"/>
      <c r="CG596" s="567"/>
      <c r="CH596" s="567"/>
      <c r="CI596" s="567"/>
      <c r="CJ596" s="567"/>
      <c r="CK596" s="567"/>
      <c r="CL596" s="567"/>
      <c r="CM596" s="567"/>
      <c r="CN596" s="567"/>
      <c r="CO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  <c r="BW597" s="567"/>
      <c r="BX597" s="567"/>
      <c r="BY597" s="567"/>
      <c r="BZ597" s="567"/>
      <c r="CA597" s="567"/>
      <c r="CB597" s="567"/>
      <c r="CC597" s="567"/>
      <c r="CD597" s="567"/>
      <c r="CE597" s="567"/>
      <c r="CF597" s="567"/>
      <c r="CG597" s="567"/>
      <c r="CH597" s="567"/>
      <c r="CI597" s="567"/>
      <c r="CJ597" s="567"/>
      <c r="CK597" s="567"/>
      <c r="CL597" s="567"/>
      <c r="CM597" s="567"/>
      <c r="CN597" s="567"/>
      <c r="CO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  <c r="BW598" s="567"/>
      <c r="BX598" s="567"/>
      <c r="BY598" s="567"/>
      <c r="BZ598" s="567"/>
      <c r="CA598" s="567"/>
      <c r="CB598" s="567"/>
      <c r="CC598" s="567"/>
      <c r="CD598" s="567"/>
      <c r="CE598" s="567"/>
      <c r="CF598" s="567"/>
      <c r="CG598" s="567"/>
      <c r="CH598" s="567"/>
      <c r="CI598" s="567"/>
      <c r="CJ598" s="567"/>
      <c r="CK598" s="567"/>
      <c r="CL598" s="567"/>
      <c r="CM598" s="567"/>
      <c r="CN598" s="567"/>
      <c r="CO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  <c r="BW599" s="567"/>
      <c r="BX599" s="567"/>
      <c r="BY599" s="567"/>
      <c r="BZ599" s="567"/>
      <c r="CA599" s="567"/>
      <c r="CB599" s="567"/>
      <c r="CC599" s="567"/>
      <c r="CD599" s="567"/>
      <c r="CE599" s="567"/>
      <c r="CF599" s="567"/>
      <c r="CG599" s="567"/>
      <c r="CH599" s="567"/>
      <c r="CI599" s="567"/>
      <c r="CJ599" s="567"/>
      <c r="CK599" s="567"/>
      <c r="CL599" s="567"/>
      <c r="CM599" s="567"/>
      <c r="CN599" s="567"/>
      <c r="CO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  <c r="BW600" s="567"/>
      <c r="BX600" s="567"/>
      <c r="BY600" s="567"/>
      <c r="BZ600" s="567"/>
      <c r="CA600" s="567"/>
      <c r="CB600" s="567"/>
      <c r="CC600" s="567"/>
      <c r="CD600" s="567"/>
      <c r="CE600" s="567"/>
      <c r="CF600" s="567"/>
      <c r="CG600" s="567"/>
      <c r="CH600" s="567"/>
      <c r="CI600" s="567"/>
      <c r="CJ600" s="567"/>
      <c r="CK600" s="567"/>
      <c r="CL600" s="567"/>
      <c r="CM600" s="567"/>
      <c r="CN600" s="567"/>
      <c r="CO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  <c r="BW601" s="567"/>
      <c r="BX601" s="567"/>
      <c r="BY601" s="567"/>
      <c r="BZ601" s="567"/>
      <c r="CA601" s="567"/>
      <c r="CB601" s="567"/>
      <c r="CC601" s="567"/>
      <c r="CD601" s="567"/>
      <c r="CE601" s="567"/>
      <c r="CF601" s="567"/>
      <c r="CG601" s="567"/>
      <c r="CH601" s="567"/>
      <c r="CI601" s="567"/>
      <c r="CJ601" s="567"/>
      <c r="CK601" s="567"/>
      <c r="CL601" s="567"/>
      <c r="CM601" s="567"/>
      <c r="CN601" s="567"/>
      <c r="CO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  <c r="BW602" s="567"/>
      <c r="BX602" s="567"/>
      <c r="BY602" s="567"/>
      <c r="BZ602" s="567"/>
      <c r="CA602" s="567"/>
      <c r="CB602" s="567"/>
      <c r="CC602" s="567"/>
      <c r="CD602" s="567"/>
      <c r="CE602" s="567"/>
      <c r="CF602" s="567"/>
      <c r="CG602" s="567"/>
      <c r="CH602" s="567"/>
      <c r="CI602" s="567"/>
      <c r="CJ602" s="567"/>
      <c r="CK602" s="567"/>
      <c r="CL602" s="567"/>
      <c r="CM602" s="567"/>
      <c r="CN602" s="567"/>
      <c r="CO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  <c r="BW603" s="567"/>
      <c r="BX603" s="567"/>
      <c r="BY603" s="567"/>
      <c r="BZ603" s="567"/>
      <c r="CA603" s="567"/>
      <c r="CB603" s="567"/>
      <c r="CC603" s="567"/>
      <c r="CD603" s="567"/>
      <c r="CE603" s="567"/>
      <c r="CF603" s="567"/>
      <c r="CG603" s="567"/>
      <c r="CH603" s="567"/>
      <c r="CI603" s="567"/>
      <c r="CJ603" s="567"/>
      <c r="CK603" s="567"/>
      <c r="CL603" s="567"/>
      <c r="CM603" s="567"/>
      <c r="CN603" s="567"/>
      <c r="CO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  <c r="BW604" s="567"/>
      <c r="BX604" s="567"/>
      <c r="BY604" s="567"/>
      <c r="BZ604" s="567"/>
      <c r="CA604" s="567"/>
      <c r="CB604" s="567"/>
      <c r="CC604" s="567"/>
      <c r="CD604" s="567"/>
      <c r="CE604" s="567"/>
      <c r="CF604" s="567"/>
      <c r="CG604" s="567"/>
      <c r="CH604" s="567"/>
      <c r="CI604" s="567"/>
      <c r="CJ604" s="567"/>
      <c r="CK604" s="567"/>
      <c r="CL604" s="567"/>
      <c r="CM604" s="567"/>
      <c r="CN604" s="567"/>
      <c r="CO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  <c r="BW605" s="567"/>
      <c r="BX605" s="567"/>
      <c r="BY605" s="567"/>
      <c r="BZ605" s="567"/>
      <c r="CA605" s="567"/>
      <c r="CB605" s="567"/>
      <c r="CC605" s="567"/>
      <c r="CD605" s="567"/>
      <c r="CE605" s="567"/>
      <c r="CF605" s="567"/>
      <c r="CG605" s="567"/>
      <c r="CH605" s="567"/>
      <c r="CI605" s="567"/>
      <c r="CJ605" s="567"/>
      <c r="CK605" s="567"/>
      <c r="CL605" s="567"/>
      <c r="CM605" s="567"/>
      <c r="CN605" s="567"/>
      <c r="CO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  <c r="BW606" s="567"/>
      <c r="BX606" s="567"/>
      <c r="BY606" s="567"/>
      <c r="BZ606" s="567"/>
      <c r="CA606" s="567"/>
      <c r="CB606" s="567"/>
      <c r="CC606" s="567"/>
      <c r="CD606" s="567"/>
      <c r="CE606" s="567"/>
      <c r="CF606" s="567"/>
      <c r="CG606" s="567"/>
      <c r="CH606" s="567"/>
      <c r="CI606" s="567"/>
      <c r="CJ606" s="567"/>
      <c r="CK606" s="567"/>
      <c r="CL606" s="567"/>
      <c r="CM606" s="567"/>
      <c r="CN606" s="567"/>
      <c r="CO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  <c r="BW607" s="567"/>
      <c r="BX607" s="567"/>
      <c r="BY607" s="567"/>
      <c r="BZ607" s="567"/>
      <c r="CA607" s="567"/>
      <c r="CB607" s="567"/>
      <c r="CC607" s="567"/>
      <c r="CD607" s="567"/>
      <c r="CE607" s="567"/>
      <c r="CF607" s="567"/>
      <c r="CG607" s="567"/>
      <c r="CH607" s="567"/>
      <c r="CI607" s="567"/>
      <c r="CJ607" s="567"/>
      <c r="CK607" s="567"/>
      <c r="CL607" s="567"/>
      <c r="CM607" s="567"/>
      <c r="CN607" s="567"/>
      <c r="CO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  <c r="BW608" s="567"/>
      <c r="BX608" s="567"/>
      <c r="BY608" s="567"/>
      <c r="BZ608" s="567"/>
      <c r="CA608" s="567"/>
      <c r="CB608" s="567"/>
      <c r="CC608" s="567"/>
      <c r="CD608" s="567"/>
      <c r="CE608" s="567"/>
      <c r="CF608" s="567"/>
      <c r="CG608" s="567"/>
      <c r="CH608" s="567"/>
      <c r="CI608" s="567"/>
      <c r="CJ608" s="567"/>
      <c r="CK608" s="567"/>
      <c r="CL608" s="567"/>
      <c r="CM608" s="567"/>
      <c r="CN608" s="567"/>
      <c r="CO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  <c r="BW609" s="567"/>
      <c r="BX609" s="567"/>
      <c r="BY609" s="567"/>
      <c r="BZ609" s="567"/>
      <c r="CA609" s="567"/>
      <c r="CB609" s="567"/>
      <c r="CC609" s="567"/>
      <c r="CD609" s="567"/>
      <c r="CE609" s="567"/>
      <c r="CF609" s="567"/>
      <c r="CG609" s="567"/>
      <c r="CH609" s="567"/>
      <c r="CI609" s="567"/>
      <c r="CJ609" s="567"/>
      <c r="CK609" s="567"/>
      <c r="CL609" s="567"/>
      <c r="CM609" s="567"/>
      <c r="CN609" s="567"/>
      <c r="CO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  <c r="BW610" s="567"/>
      <c r="BX610" s="567"/>
      <c r="BY610" s="567"/>
      <c r="BZ610" s="567"/>
      <c r="CA610" s="567"/>
      <c r="CB610" s="567"/>
      <c r="CC610" s="567"/>
      <c r="CD610" s="567"/>
      <c r="CE610" s="567"/>
      <c r="CF610" s="567"/>
      <c r="CG610" s="567"/>
      <c r="CH610" s="567"/>
      <c r="CI610" s="567"/>
      <c r="CJ610" s="567"/>
      <c r="CK610" s="567"/>
      <c r="CL610" s="567"/>
      <c r="CM610" s="567"/>
      <c r="CN610" s="567"/>
      <c r="CO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  <c r="BW611" s="567"/>
      <c r="BX611" s="567"/>
      <c r="BY611" s="567"/>
      <c r="BZ611" s="567"/>
      <c r="CA611" s="567"/>
      <c r="CB611" s="567"/>
      <c r="CC611" s="567"/>
      <c r="CD611" s="567"/>
      <c r="CE611" s="567"/>
      <c r="CF611" s="567"/>
      <c r="CG611" s="567"/>
      <c r="CH611" s="567"/>
      <c r="CI611" s="567"/>
      <c r="CJ611" s="567"/>
      <c r="CK611" s="567"/>
      <c r="CL611" s="567"/>
      <c r="CM611" s="567"/>
      <c r="CN611" s="567"/>
      <c r="CO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  <c r="BW612" s="567"/>
      <c r="BX612" s="567"/>
      <c r="BY612" s="567"/>
      <c r="BZ612" s="567"/>
      <c r="CA612" s="567"/>
      <c r="CB612" s="567"/>
      <c r="CC612" s="567"/>
      <c r="CD612" s="567"/>
      <c r="CE612" s="567"/>
      <c r="CF612" s="567"/>
      <c r="CG612" s="567"/>
      <c r="CH612" s="567"/>
      <c r="CI612" s="567"/>
      <c r="CJ612" s="567"/>
      <c r="CK612" s="567"/>
      <c r="CL612" s="567"/>
      <c r="CM612" s="567"/>
      <c r="CN612" s="567"/>
      <c r="CO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  <c r="BW613" s="567"/>
      <c r="BX613" s="567"/>
      <c r="BY613" s="567"/>
      <c r="BZ613" s="567"/>
      <c r="CA613" s="567"/>
      <c r="CB613" s="567"/>
      <c r="CC613" s="567"/>
      <c r="CD613" s="567"/>
      <c r="CE613" s="567"/>
      <c r="CF613" s="567"/>
      <c r="CG613" s="567"/>
      <c r="CH613" s="567"/>
      <c r="CI613" s="567"/>
      <c r="CJ613" s="567"/>
      <c r="CK613" s="567"/>
      <c r="CL613" s="567"/>
      <c r="CM613" s="567"/>
      <c r="CN613" s="567"/>
      <c r="CO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  <c r="BW614" s="567"/>
      <c r="BX614" s="567"/>
      <c r="BY614" s="567"/>
      <c r="BZ614" s="567"/>
      <c r="CA614" s="567"/>
      <c r="CB614" s="567"/>
      <c r="CC614" s="567"/>
      <c r="CD614" s="567"/>
      <c r="CE614" s="567"/>
      <c r="CF614" s="567"/>
      <c r="CG614" s="567"/>
      <c r="CH614" s="567"/>
      <c r="CI614" s="567"/>
      <c r="CJ614" s="567"/>
      <c r="CK614" s="567"/>
      <c r="CL614" s="567"/>
      <c r="CM614" s="567"/>
      <c r="CN614" s="567"/>
      <c r="CO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  <c r="BW615" s="567"/>
      <c r="BX615" s="567"/>
      <c r="BY615" s="567"/>
      <c r="BZ615" s="567"/>
      <c r="CA615" s="567"/>
      <c r="CB615" s="567"/>
      <c r="CC615" s="567"/>
      <c r="CD615" s="567"/>
      <c r="CE615" s="567"/>
      <c r="CF615" s="567"/>
      <c r="CG615" s="567"/>
      <c r="CH615" s="567"/>
      <c r="CI615" s="567"/>
      <c r="CJ615" s="567"/>
      <c r="CK615" s="567"/>
      <c r="CL615" s="567"/>
      <c r="CM615" s="567"/>
      <c r="CN615" s="567"/>
      <c r="CO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  <c r="BW616" s="567"/>
      <c r="BX616" s="567"/>
      <c r="BY616" s="567"/>
      <c r="BZ616" s="567"/>
      <c r="CA616" s="567"/>
      <c r="CB616" s="567"/>
      <c r="CC616" s="567"/>
      <c r="CD616" s="567"/>
      <c r="CE616" s="567"/>
      <c r="CF616" s="567"/>
      <c r="CG616" s="567"/>
      <c r="CH616" s="567"/>
      <c r="CI616" s="567"/>
      <c r="CJ616" s="567"/>
      <c r="CK616" s="567"/>
      <c r="CL616" s="567"/>
      <c r="CM616" s="567"/>
      <c r="CN616" s="567"/>
      <c r="CO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  <c r="BW617" s="567"/>
      <c r="BX617" s="567"/>
      <c r="BY617" s="567"/>
      <c r="BZ617" s="567"/>
      <c r="CA617" s="567"/>
      <c r="CB617" s="567"/>
      <c r="CC617" s="567"/>
      <c r="CD617" s="567"/>
      <c r="CE617" s="567"/>
      <c r="CF617" s="567"/>
      <c r="CG617" s="567"/>
      <c r="CH617" s="567"/>
      <c r="CI617" s="567"/>
      <c r="CJ617" s="567"/>
      <c r="CK617" s="567"/>
      <c r="CL617" s="567"/>
      <c r="CM617" s="567"/>
      <c r="CN617" s="567"/>
      <c r="CO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  <c r="BW618" s="567"/>
      <c r="BX618" s="567"/>
      <c r="BY618" s="567"/>
      <c r="BZ618" s="567"/>
      <c r="CA618" s="567"/>
      <c r="CB618" s="567"/>
      <c r="CC618" s="567"/>
      <c r="CD618" s="567"/>
      <c r="CE618" s="567"/>
      <c r="CF618" s="567"/>
      <c r="CG618" s="567"/>
      <c r="CH618" s="567"/>
      <c r="CI618" s="567"/>
      <c r="CJ618" s="567"/>
      <c r="CK618" s="567"/>
      <c r="CL618" s="567"/>
      <c r="CM618" s="567"/>
      <c r="CN618" s="567"/>
      <c r="CO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  <c r="BW619" s="567"/>
      <c r="BX619" s="567"/>
      <c r="BY619" s="567"/>
      <c r="BZ619" s="567"/>
      <c r="CA619" s="567"/>
      <c r="CB619" s="567"/>
      <c r="CC619" s="567"/>
      <c r="CD619" s="567"/>
      <c r="CE619" s="567"/>
      <c r="CF619" s="567"/>
      <c r="CG619" s="567"/>
      <c r="CH619" s="567"/>
      <c r="CI619" s="567"/>
      <c r="CJ619" s="567"/>
      <c r="CK619" s="567"/>
      <c r="CL619" s="567"/>
      <c r="CM619" s="567"/>
      <c r="CN619" s="567"/>
      <c r="CO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  <c r="BW620" s="567"/>
      <c r="BX620" s="567"/>
      <c r="BY620" s="567"/>
      <c r="BZ620" s="567"/>
      <c r="CA620" s="567"/>
      <c r="CB620" s="567"/>
      <c r="CC620" s="567"/>
      <c r="CD620" s="567"/>
      <c r="CE620" s="567"/>
      <c r="CF620" s="567"/>
      <c r="CG620" s="567"/>
      <c r="CH620" s="567"/>
      <c r="CI620" s="567"/>
      <c r="CJ620" s="567"/>
      <c r="CK620" s="567"/>
      <c r="CL620" s="567"/>
      <c r="CM620" s="567"/>
      <c r="CN620" s="567"/>
      <c r="CO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  <c r="BW621" s="567"/>
      <c r="BX621" s="567"/>
      <c r="BY621" s="567"/>
      <c r="BZ621" s="567"/>
      <c r="CA621" s="567"/>
      <c r="CB621" s="567"/>
      <c r="CC621" s="567"/>
      <c r="CD621" s="567"/>
      <c r="CE621" s="567"/>
      <c r="CF621" s="567"/>
      <c r="CG621" s="567"/>
      <c r="CH621" s="567"/>
      <c r="CI621" s="567"/>
      <c r="CJ621" s="567"/>
      <c r="CK621" s="567"/>
      <c r="CL621" s="567"/>
      <c r="CM621" s="567"/>
      <c r="CN621" s="567"/>
      <c r="CO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  <c r="BW622" s="567"/>
      <c r="BX622" s="567"/>
      <c r="BY622" s="567"/>
      <c r="BZ622" s="567"/>
      <c r="CA622" s="567"/>
      <c r="CB622" s="567"/>
      <c r="CC622" s="567"/>
      <c r="CD622" s="567"/>
      <c r="CE622" s="567"/>
      <c r="CF622" s="567"/>
      <c r="CG622" s="567"/>
      <c r="CH622" s="567"/>
      <c r="CI622" s="567"/>
      <c r="CJ622" s="567"/>
      <c r="CK622" s="567"/>
      <c r="CL622" s="567"/>
      <c r="CM622" s="567"/>
      <c r="CN622" s="567"/>
      <c r="CO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  <c r="BW623" s="567"/>
      <c r="BX623" s="567"/>
      <c r="BY623" s="567"/>
      <c r="BZ623" s="567"/>
      <c r="CA623" s="567"/>
      <c r="CB623" s="567"/>
      <c r="CC623" s="567"/>
      <c r="CD623" s="567"/>
      <c r="CE623" s="567"/>
      <c r="CF623" s="567"/>
      <c r="CG623" s="567"/>
      <c r="CH623" s="567"/>
      <c r="CI623" s="567"/>
      <c r="CJ623" s="567"/>
      <c r="CK623" s="567"/>
      <c r="CL623" s="567"/>
      <c r="CM623" s="567"/>
      <c r="CN623" s="567"/>
      <c r="CO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  <c r="BW624" s="567"/>
      <c r="BX624" s="567"/>
      <c r="BY624" s="567"/>
      <c r="BZ624" s="567"/>
      <c r="CA624" s="567"/>
      <c r="CB624" s="567"/>
      <c r="CC624" s="567"/>
      <c r="CD624" s="567"/>
      <c r="CE624" s="567"/>
      <c r="CF624" s="567"/>
      <c r="CG624" s="567"/>
      <c r="CH624" s="567"/>
      <c r="CI624" s="567"/>
      <c r="CJ624" s="567"/>
      <c r="CK624" s="567"/>
      <c r="CL624" s="567"/>
      <c r="CM624" s="567"/>
      <c r="CN624" s="567"/>
      <c r="CO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  <c r="BW625" s="567"/>
      <c r="BX625" s="567"/>
      <c r="BY625" s="567"/>
      <c r="BZ625" s="567"/>
      <c r="CA625" s="567"/>
      <c r="CB625" s="567"/>
      <c r="CC625" s="567"/>
      <c r="CD625" s="567"/>
      <c r="CE625" s="567"/>
      <c r="CF625" s="567"/>
      <c r="CG625" s="567"/>
      <c r="CH625" s="567"/>
      <c r="CI625" s="567"/>
      <c r="CJ625" s="567"/>
      <c r="CK625" s="567"/>
      <c r="CL625" s="567"/>
      <c r="CM625" s="567"/>
      <c r="CN625" s="567"/>
      <c r="CO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  <c r="BW626" s="567"/>
      <c r="BX626" s="567"/>
      <c r="BY626" s="567"/>
      <c r="BZ626" s="567"/>
      <c r="CA626" s="567"/>
      <c r="CB626" s="567"/>
      <c r="CC626" s="567"/>
      <c r="CD626" s="567"/>
      <c r="CE626" s="567"/>
      <c r="CF626" s="567"/>
      <c r="CG626" s="567"/>
      <c r="CH626" s="567"/>
      <c r="CI626" s="567"/>
      <c r="CJ626" s="567"/>
      <c r="CK626" s="567"/>
      <c r="CL626" s="567"/>
      <c r="CM626" s="567"/>
      <c r="CN626" s="567"/>
      <c r="CO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  <c r="BW627" s="567"/>
      <c r="BX627" s="567"/>
      <c r="BY627" s="567"/>
      <c r="BZ627" s="567"/>
      <c r="CA627" s="567"/>
      <c r="CB627" s="567"/>
      <c r="CC627" s="567"/>
      <c r="CD627" s="567"/>
      <c r="CE627" s="567"/>
      <c r="CF627" s="567"/>
      <c r="CG627" s="567"/>
      <c r="CH627" s="567"/>
      <c r="CI627" s="567"/>
      <c r="CJ627" s="567"/>
      <c r="CK627" s="567"/>
      <c r="CL627" s="567"/>
      <c r="CM627" s="567"/>
      <c r="CN627" s="567"/>
      <c r="CO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  <c r="BW628" s="567"/>
      <c r="BX628" s="567"/>
      <c r="BY628" s="567"/>
      <c r="BZ628" s="567"/>
      <c r="CA628" s="567"/>
      <c r="CB628" s="567"/>
      <c r="CC628" s="567"/>
      <c r="CD628" s="567"/>
      <c r="CE628" s="567"/>
      <c r="CF628" s="567"/>
      <c r="CG628" s="567"/>
      <c r="CH628" s="567"/>
      <c r="CI628" s="567"/>
      <c r="CJ628" s="567"/>
      <c r="CK628" s="567"/>
      <c r="CL628" s="567"/>
      <c r="CM628" s="567"/>
      <c r="CN628" s="567"/>
      <c r="CO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  <c r="BW629" s="567"/>
      <c r="BX629" s="567"/>
      <c r="BY629" s="567"/>
      <c r="BZ629" s="567"/>
      <c r="CA629" s="567"/>
      <c r="CB629" s="567"/>
      <c r="CC629" s="567"/>
      <c r="CD629" s="567"/>
      <c r="CE629" s="567"/>
      <c r="CF629" s="567"/>
      <c r="CG629" s="567"/>
      <c r="CH629" s="567"/>
      <c r="CI629" s="567"/>
      <c r="CJ629" s="567"/>
      <c r="CK629" s="567"/>
      <c r="CL629" s="567"/>
      <c r="CM629" s="567"/>
      <c r="CN629" s="567"/>
      <c r="CO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  <c r="BW630" s="567"/>
      <c r="BX630" s="567"/>
      <c r="BY630" s="567"/>
      <c r="BZ630" s="567"/>
      <c r="CA630" s="567"/>
      <c r="CB630" s="567"/>
      <c r="CC630" s="567"/>
      <c r="CD630" s="567"/>
      <c r="CE630" s="567"/>
      <c r="CF630" s="567"/>
      <c r="CG630" s="567"/>
      <c r="CH630" s="567"/>
      <c r="CI630" s="567"/>
      <c r="CJ630" s="567"/>
      <c r="CK630" s="567"/>
      <c r="CL630" s="567"/>
      <c r="CM630" s="567"/>
      <c r="CN630" s="567"/>
      <c r="CO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  <c r="BW631" s="567"/>
      <c r="BX631" s="567"/>
      <c r="BY631" s="567"/>
      <c r="BZ631" s="567"/>
      <c r="CA631" s="567"/>
      <c r="CB631" s="567"/>
      <c r="CC631" s="567"/>
      <c r="CD631" s="567"/>
      <c r="CE631" s="567"/>
      <c r="CF631" s="567"/>
      <c r="CG631" s="567"/>
      <c r="CH631" s="567"/>
      <c r="CI631" s="567"/>
      <c r="CJ631" s="567"/>
      <c r="CK631" s="567"/>
      <c r="CL631" s="567"/>
      <c r="CM631" s="567"/>
      <c r="CN631" s="567"/>
      <c r="CO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  <c r="BW632" s="567"/>
      <c r="BX632" s="567"/>
      <c r="BY632" s="567"/>
      <c r="BZ632" s="567"/>
      <c r="CA632" s="567"/>
      <c r="CB632" s="567"/>
      <c r="CC632" s="567"/>
      <c r="CD632" s="567"/>
      <c r="CE632" s="567"/>
      <c r="CF632" s="567"/>
      <c r="CG632" s="567"/>
      <c r="CH632" s="567"/>
      <c r="CI632" s="567"/>
      <c r="CJ632" s="567"/>
      <c r="CK632" s="567"/>
      <c r="CL632" s="567"/>
      <c r="CM632" s="567"/>
      <c r="CN632" s="567"/>
      <c r="CO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  <c r="BW633" s="567"/>
      <c r="BX633" s="567"/>
      <c r="BY633" s="567"/>
      <c r="BZ633" s="567"/>
      <c r="CA633" s="567"/>
      <c r="CB633" s="567"/>
      <c r="CC633" s="567"/>
      <c r="CD633" s="567"/>
      <c r="CE633" s="567"/>
      <c r="CF633" s="567"/>
      <c r="CG633" s="567"/>
      <c r="CH633" s="567"/>
      <c r="CI633" s="567"/>
      <c r="CJ633" s="567"/>
      <c r="CK633" s="567"/>
      <c r="CL633" s="567"/>
      <c r="CM633" s="567"/>
      <c r="CN633" s="567"/>
      <c r="CO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  <c r="BW634" s="567"/>
      <c r="BX634" s="567"/>
      <c r="BY634" s="567"/>
      <c r="BZ634" s="567"/>
      <c r="CA634" s="567"/>
      <c r="CB634" s="567"/>
      <c r="CC634" s="567"/>
      <c r="CD634" s="567"/>
      <c r="CE634" s="567"/>
      <c r="CF634" s="567"/>
      <c r="CG634" s="567"/>
      <c r="CH634" s="567"/>
      <c r="CI634" s="567"/>
      <c r="CJ634" s="567"/>
      <c r="CK634" s="567"/>
      <c r="CL634" s="567"/>
      <c r="CM634" s="567"/>
      <c r="CN634" s="567"/>
      <c r="CO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  <c r="BW635" s="567"/>
      <c r="BX635" s="567"/>
      <c r="BY635" s="567"/>
      <c r="BZ635" s="567"/>
      <c r="CA635" s="567"/>
      <c r="CB635" s="567"/>
      <c r="CC635" s="567"/>
      <c r="CD635" s="567"/>
      <c r="CE635" s="567"/>
      <c r="CF635" s="567"/>
      <c r="CG635" s="567"/>
      <c r="CH635" s="567"/>
      <c r="CI635" s="567"/>
      <c r="CJ635" s="567"/>
      <c r="CK635" s="567"/>
      <c r="CL635" s="567"/>
      <c r="CM635" s="567"/>
      <c r="CN635" s="567"/>
      <c r="CO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  <c r="BW636" s="567"/>
      <c r="BX636" s="567"/>
      <c r="BY636" s="567"/>
      <c r="BZ636" s="567"/>
      <c r="CA636" s="567"/>
      <c r="CB636" s="567"/>
      <c r="CC636" s="567"/>
      <c r="CD636" s="567"/>
      <c r="CE636" s="567"/>
      <c r="CF636" s="567"/>
      <c r="CG636" s="567"/>
      <c r="CH636" s="567"/>
      <c r="CI636" s="567"/>
      <c r="CJ636" s="567"/>
      <c r="CK636" s="567"/>
      <c r="CL636" s="567"/>
      <c r="CM636" s="567"/>
      <c r="CN636" s="567"/>
      <c r="CO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  <c r="BW637" s="567"/>
      <c r="BX637" s="567"/>
      <c r="BY637" s="567"/>
      <c r="BZ637" s="567"/>
      <c r="CA637" s="567"/>
      <c r="CB637" s="567"/>
      <c r="CC637" s="567"/>
      <c r="CD637" s="567"/>
      <c r="CE637" s="567"/>
      <c r="CF637" s="567"/>
      <c r="CG637" s="567"/>
      <c r="CH637" s="567"/>
      <c r="CI637" s="567"/>
      <c r="CJ637" s="567"/>
      <c r="CK637" s="567"/>
      <c r="CL637" s="567"/>
      <c r="CM637" s="567"/>
      <c r="CN637" s="567"/>
      <c r="CO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  <c r="BW638" s="567"/>
      <c r="BX638" s="567"/>
      <c r="BY638" s="567"/>
      <c r="BZ638" s="567"/>
      <c r="CA638" s="567"/>
      <c r="CB638" s="567"/>
      <c r="CC638" s="567"/>
      <c r="CD638" s="567"/>
      <c r="CE638" s="567"/>
      <c r="CF638" s="567"/>
      <c r="CG638" s="567"/>
      <c r="CH638" s="567"/>
      <c r="CI638" s="567"/>
      <c r="CJ638" s="567"/>
      <c r="CK638" s="567"/>
      <c r="CL638" s="567"/>
      <c r="CM638" s="567"/>
      <c r="CN638" s="567"/>
      <c r="CO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  <c r="BW639" s="567"/>
      <c r="BX639" s="567"/>
      <c r="BY639" s="567"/>
      <c r="BZ639" s="567"/>
      <c r="CA639" s="567"/>
      <c r="CB639" s="567"/>
      <c r="CC639" s="567"/>
      <c r="CD639" s="567"/>
      <c r="CE639" s="567"/>
      <c r="CF639" s="567"/>
      <c r="CG639" s="567"/>
      <c r="CH639" s="567"/>
      <c r="CI639" s="567"/>
      <c r="CJ639" s="567"/>
      <c r="CK639" s="567"/>
      <c r="CL639" s="567"/>
      <c r="CM639" s="567"/>
      <c r="CN639" s="567"/>
      <c r="CO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  <c r="BW640" s="567"/>
      <c r="BX640" s="567"/>
      <c r="BY640" s="567"/>
      <c r="BZ640" s="567"/>
      <c r="CA640" s="567"/>
      <c r="CB640" s="567"/>
      <c r="CC640" s="567"/>
      <c r="CD640" s="567"/>
      <c r="CE640" s="567"/>
      <c r="CF640" s="567"/>
      <c r="CG640" s="567"/>
      <c r="CH640" s="567"/>
      <c r="CI640" s="567"/>
      <c r="CJ640" s="567"/>
      <c r="CK640" s="567"/>
      <c r="CL640" s="567"/>
      <c r="CM640" s="567"/>
      <c r="CN640" s="567"/>
      <c r="CO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  <c r="BW641" s="567"/>
      <c r="BX641" s="567"/>
      <c r="BY641" s="567"/>
      <c r="BZ641" s="567"/>
      <c r="CA641" s="567"/>
      <c r="CB641" s="567"/>
      <c r="CC641" s="567"/>
      <c r="CD641" s="567"/>
      <c r="CE641" s="567"/>
      <c r="CF641" s="567"/>
      <c r="CG641" s="567"/>
      <c r="CH641" s="567"/>
      <c r="CI641" s="567"/>
      <c r="CJ641" s="567"/>
      <c r="CK641" s="567"/>
      <c r="CL641" s="567"/>
      <c r="CM641" s="567"/>
      <c r="CN641" s="567"/>
      <c r="CO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  <c r="BW642" s="567"/>
      <c r="BX642" s="567"/>
      <c r="BY642" s="567"/>
      <c r="BZ642" s="567"/>
      <c r="CA642" s="567"/>
      <c r="CB642" s="567"/>
      <c r="CC642" s="567"/>
      <c r="CD642" s="567"/>
      <c r="CE642" s="567"/>
      <c r="CF642" s="567"/>
      <c r="CG642" s="567"/>
      <c r="CH642" s="567"/>
      <c r="CI642" s="567"/>
      <c r="CJ642" s="567"/>
      <c r="CK642" s="567"/>
      <c r="CL642" s="567"/>
      <c r="CM642" s="567"/>
      <c r="CN642" s="567"/>
      <c r="CO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  <c r="BW643" s="567"/>
      <c r="BX643" s="567"/>
      <c r="BY643" s="567"/>
      <c r="BZ643" s="567"/>
      <c r="CA643" s="567"/>
      <c r="CB643" s="567"/>
      <c r="CC643" s="567"/>
      <c r="CD643" s="567"/>
      <c r="CE643" s="567"/>
      <c r="CF643" s="567"/>
      <c r="CG643" s="567"/>
      <c r="CH643" s="567"/>
      <c r="CI643" s="567"/>
      <c r="CJ643" s="567"/>
      <c r="CK643" s="567"/>
      <c r="CL643" s="567"/>
      <c r="CM643" s="567"/>
      <c r="CN643" s="567"/>
      <c r="CO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  <c r="BW644" s="567"/>
      <c r="BX644" s="567"/>
      <c r="BY644" s="567"/>
      <c r="BZ644" s="567"/>
      <c r="CA644" s="567"/>
      <c r="CB644" s="567"/>
      <c r="CC644" s="567"/>
      <c r="CD644" s="567"/>
      <c r="CE644" s="567"/>
      <c r="CF644" s="567"/>
      <c r="CG644" s="567"/>
      <c r="CH644" s="567"/>
      <c r="CI644" s="567"/>
      <c r="CJ644" s="567"/>
      <c r="CK644" s="567"/>
      <c r="CL644" s="567"/>
      <c r="CM644" s="567"/>
      <c r="CN644" s="567"/>
      <c r="CO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  <c r="BW645" s="567"/>
      <c r="BX645" s="567"/>
      <c r="BY645" s="567"/>
      <c r="BZ645" s="567"/>
      <c r="CA645" s="567"/>
      <c r="CB645" s="567"/>
      <c r="CC645" s="567"/>
      <c r="CD645" s="567"/>
      <c r="CE645" s="567"/>
      <c r="CF645" s="567"/>
      <c r="CG645" s="567"/>
      <c r="CH645" s="567"/>
      <c r="CI645" s="567"/>
      <c r="CJ645" s="567"/>
      <c r="CK645" s="567"/>
      <c r="CL645" s="567"/>
      <c r="CM645" s="567"/>
      <c r="CN645" s="567"/>
      <c r="CO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  <c r="BW646" s="567"/>
      <c r="BX646" s="567"/>
      <c r="BY646" s="567"/>
      <c r="BZ646" s="567"/>
      <c r="CA646" s="567"/>
      <c r="CB646" s="567"/>
      <c r="CC646" s="567"/>
      <c r="CD646" s="567"/>
      <c r="CE646" s="567"/>
      <c r="CF646" s="567"/>
      <c r="CG646" s="567"/>
      <c r="CH646" s="567"/>
      <c r="CI646" s="567"/>
      <c r="CJ646" s="567"/>
      <c r="CK646" s="567"/>
      <c r="CL646" s="567"/>
      <c r="CM646" s="567"/>
      <c r="CN646" s="567"/>
      <c r="CO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  <c r="BW647" s="567"/>
      <c r="BX647" s="567"/>
      <c r="BY647" s="567"/>
      <c r="BZ647" s="567"/>
      <c r="CA647" s="567"/>
      <c r="CB647" s="567"/>
      <c r="CC647" s="567"/>
      <c r="CD647" s="567"/>
      <c r="CE647" s="567"/>
      <c r="CF647" s="567"/>
      <c r="CG647" s="567"/>
      <c r="CH647" s="567"/>
      <c r="CI647" s="567"/>
      <c r="CJ647" s="567"/>
      <c r="CK647" s="567"/>
      <c r="CL647" s="567"/>
      <c r="CM647" s="567"/>
      <c r="CN647" s="567"/>
      <c r="CO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  <c r="BW648" s="567"/>
      <c r="BX648" s="567"/>
      <c r="BY648" s="567"/>
      <c r="BZ648" s="567"/>
      <c r="CA648" s="567"/>
      <c r="CB648" s="567"/>
      <c r="CC648" s="567"/>
      <c r="CD648" s="567"/>
      <c r="CE648" s="567"/>
      <c r="CF648" s="567"/>
      <c r="CG648" s="567"/>
      <c r="CH648" s="567"/>
      <c r="CI648" s="567"/>
      <c r="CJ648" s="567"/>
      <c r="CK648" s="567"/>
      <c r="CL648" s="567"/>
      <c r="CM648" s="567"/>
      <c r="CN648" s="567"/>
      <c r="CO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  <c r="BW649" s="567"/>
      <c r="BX649" s="567"/>
      <c r="BY649" s="567"/>
      <c r="BZ649" s="567"/>
      <c r="CA649" s="567"/>
      <c r="CB649" s="567"/>
      <c r="CC649" s="567"/>
      <c r="CD649" s="567"/>
      <c r="CE649" s="567"/>
      <c r="CF649" s="567"/>
      <c r="CG649" s="567"/>
      <c r="CH649" s="567"/>
      <c r="CI649" s="567"/>
      <c r="CJ649" s="567"/>
      <c r="CK649" s="567"/>
      <c r="CL649" s="567"/>
      <c r="CM649" s="567"/>
      <c r="CN649" s="567"/>
      <c r="CO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  <c r="BW650" s="567"/>
      <c r="BX650" s="567"/>
      <c r="BY650" s="567"/>
      <c r="BZ650" s="567"/>
      <c r="CA650" s="567"/>
      <c r="CB650" s="567"/>
      <c r="CC650" s="567"/>
      <c r="CD650" s="567"/>
      <c r="CE650" s="567"/>
      <c r="CF650" s="567"/>
      <c r="CG650" s="567"/>
      <c r="CH650" s="567"/>
      <c r="CI650" s="567"/>
      <c r="CJ650" s="567"/>
      <c r="CK650" s="567"/>
      <c r="CL650" s="567"/>
      <c r="CM650" s="567"/>
      <c r="CN650" s="567"/>
      <c r="CO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  <c r="BW651" s="567"/>
      <c r="BX651" s="567"/>
      <c r="BY651" s="567"/>
      <c r="BZ651" s="567"/>
      <c r="CA651" s="567"/>
      <c r="CB651" s="567"/>
      <c r="CC651" s="567"/>
      <c r="CD651" s="567"/>
      <c r="CE651" s="567"/>
      <c r="CF651" s="567"/>
      <c r="CG651" s="567"/>
      <c r="CH651" s="567"/>
      <c r="CI651" s="567"/>
      <c r="CJ651" s="567"/>
      <c r="CK651" s="567"/>
      <c r="CL651" s="567"/>
      <c r="CM651" s="567"/>
      <c r="CN651" s="567"/>
      <c r="CO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  <c r="BW652" s="567"/>
      <c r="BX652" s="567"/>
      <c r="BY652" s="567"/>
      <c r="BZ652" s="567"/>
      <c r="CA652" s="567"/>
      <c r="CB652" s="567"/>
      <c r="CC652" s="567"/>
      <c r="CD652" s="567"/>
      <c r="CE652" s="567"/>
      <c r="CF652" s="567"/>
      <c r="CG652" s="567"/>
      <c r="CH652" s="567"/>
      <c r="CI652" s="567"/>
      <c r="CJ652" s="567"/>
      <c r="CK652" s="567"/>
      <c r="CL652" s="567"/>
      <c r="CM652" s="567"/>
      <c r="CN652" s="567"/>
      <c r="CO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  <c r="BW653" s="567"/>
      <c r="BX653" s="567"/>
      <c r="BY653" s="567"/>
      <c r="BZ653" s="567"/>
      <c r="CA653" s="567"/>
      <c r="CB653" s="567"/>
      <c r="CC653" s="567"/>
      <c r="CD653" s="567"/>
      <c r="CE653" s="567"/>
      <c r="CF653" s="567"/>
      <c r="CG653" s="567"/>
      <c r="CH653" s="567"/>
      <c r="CI653" s="567"/>
      <c r="CJ653" s="567"/>
      <c r="CK653" s="567"/>
      <c r="CL653" s="567"/>
      <c r="CM653" s="567"/>
      <c r="CN653" s="567"/>
      <c r="CO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  <c r="BW654" s="567"/>
      <c r="BX654" s="567"/>
      <c r="BY654" s="567"/>
      <c r="BZ654" s="567"/>
      <c r="CA654" s="567"/>
      <c r="CB654" s="567"/>
      <c r="CC654" s="567"/>
      <c r="CD654" s="567"/>
      <c r="CE654" s="567"/>
      <c r="CF654" s="567"/>
      <c r="CG654" s="567"/>
      <c r="CH654" s="567"/>
      <c r="CI654" s="567"/>
      <c r="CJ654" s="567"/>
      <c r="CK654" s="567"/>
      <c r="CL654" s="567"/>
      <c r="CM654" s="567"/>
      <c r="CN654" s="567"/>
      <c r="CO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  <c r="BW655" s="567"/>
      <c r="BX655" s="567"/>
      <c r="BY655" s="567"/>
      <c r="BZ655" s="567"/>
      <c r="CA655" s="567"/>
      <c r="CB655" s="567"/>
      <c r="CC655" s="567"/>
      <c r="CD655" s="567"/>
      <c r="CE655" s="567"/>
      <c r="CF655" s="567"/>
      <c r="CG655" s="567"/>
      <c r="CH655" s="567"/>
      <c r="CI655" s="567"/>
      <c r="CJ655" s="567"/>
      <c r="CK655" s="567"/>
      <c r="CL655" s="567"/>
      <c r="CM655" s="567"/>
      <c r="CN655" s="567"/>
      <c r="CO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  <c r="BW656" s="567"/>
      <c r="BX656" s="567"/>
      <c r="BY656" s="567"/>
      <c r="BZ656" s="567"/>
      <c r="CA656" s="567"/>
      <c r="CB656" s="567"/>
      <c r="CC656" s="567"/>
      <c r="CD656" s="567"/>
      <c r="CE656" s="567"/>
      <c r="CF656" s="567"/>
      <c r="CG656" s="567"/>
      <c r="CH656" s="567"/>
      <c r="CI656" s="567"/>
      <c r="CJ656" s="567"/>
      <c r="CK656" s="567"/>
      <c r="CL656" s="567"/>
      <c r="CM656" s="567"/>
      <c r="CN656" s="567"/>
      <c r="CO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  <c r="BW657" s="567"/>
      <c r="BX657" s="567"/>
      <c r="BY657" s="567"/>
      <c r="BZ657" s="567"/>
      <c r="CA657" s="567"/>
      <c r="CB657" s="567"/>
      <c r="CC657" s="567"/>
      <c r="CD657" s="567"/>
      <c r="CE657" s="567"/>
      <c r="CF657" s="567"/>
      <c r="CG657" s="567"/>
      <c r="CH657" s="567"/>
      <c r="CI657" s="567"/>
      <c r="CJ657" s="567"/>
      <c r="CK657" s="567"/>
      <c r="CL657" s="567"/>
      <c r="CM657" s="567"/>
      <c r="CN657" s="567"/>
      <c r="CO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  <c r="BW658" s="567"/>
      <c r="BX658" s="567"/>
      <c r="BY658" s="567"/>
      <c r="BZ658" s="567"/>
      <c r="CA658" s="567"/>
      <c r="CB658" s="567"/>
      <c r="CC658" s="567"/>
      <c r="CD658" s="567"/>
      <c r="CE658" s="567"/>
      <c r="CF658" s="567"/>
      <c r="CG658" s="567"/>
      <c r="CH658" s="567"/>
      <c r="CI658" s="567"/>
      <c r="CJ658" s="567"/>
      <c r="CK658" s="567"/>
      <c r="CL658" s="567"/>
      <c r="CM658" s="567"/>
      <c r="CN658" s="567"/>
      <c r="CO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  <c r="BW659" s="567"/>
      <c r="BX659" s="567"/>
      <c r="BY659" s="567"/>
      <c r="BZ659" s="567"/>
      <c r="CA659" s="567"/>
      <c r="CB659" s="567"/>
      <c r="CC659" s="567"/>
      <c r="CD659" s="567"/>
      <c r="CE659" s="567"/>
      <c r="CF659" s="567"/>
      <c r="CG659" s="567"/>
      <c r="CH659" s="567"/>
      <c r="CI659" s="567"/>
      <c r="CJ659" s="567"/>
      <c r="CK659" s="567"/>
      <c r="CL659" s="567"/>
      <c r="CM659" s="567"/>
      <c r="CN659" s="567"/>
      <c r="CO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  <c r="BW660" s="567"/>
      <c r="BX660" s="567"/>
      <c r="BY660" s="567"/>
      <c r="BZ660" s="567"/>
      <c r="CA660" s="567"/>
      <c r="CB660" s="567"/>
      <c r="CC660" s="567"/>
      <c r="CD660" s="567"/>
      <c r="CE660" s="567"/>
      <c r="CF660" s="567"/>
      <c r="CG660" s="567"/>
      <c r="CH660" s="567"/>
      <c r="CI660" s="567"/>
      <c r="CJ660" s="567"/>
      <c r="CK660" s="567"/>
      <c r="CL660" s="567"/>
      <c r="CM660" s="567"/>
      <c r="CN660" s="567"/>
      <c r="CO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  <c r="BW661" s="567"/>
      <c r="BX661" s="567"/>
      <c r="BY661" s="567"/>
      <c r="BZ661" s="567"/>
      <c r="CA661" s="567"/>
      <c r="CB661" s="567"/>
      <c r="CC661" s="567"/>
      <c r="CD661" s="567"/>
      <c r="CE661" s="567"/>
      <c r="CF661" s="567"/>
      <c r="CG661" s="567"/>
      <c r="CH661" s="567"/>
      <c r="CI661" s="567"/>
      <c r="CJ661" s="567"/>
      <c r="CK661" s="567"/>
      <c r="CL661" s="567"/>
      <c r="CM661" s="567"/>
      <c r="CN661" s="567"/>
      <c r="CO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  <c r="BW662" s="567"/>
      <c r="BX662" s="567"/>
      <c r="BY662" s="567"/>
      <c r="BZ662" s="567"/>
      <c r="CA662" s="567"/>
      <c r="CB662" s="567"/>
      <c r="CC662" s="567"/>
      <c r="CD662" s="567"/>
      <c r="CE662" s="567"/>
      <c r="CF662" s="567"/>
      <c r="CG662" s="567"/>
      <c r="CH662" s="567"/>
      <c r="CI662" s="567"/>
      <c r="CJ662" s="567"/>
      <c r="CK662" s="567"/>
      <c r="CL662" s="567"/>
      <c r="CM662" s="567"/>
      <c r="CN662" s="567"/>
      <c r="CO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  <c r="BW663" s="567"/>
      <c r="BX663" s="567"/>
      <c r="BY663" s="567"/>
      <c r="BZ663" s="567"/>
      <c r="CA663" s="567"/>
      <c r="CB663" s="567"/>
      <c r="CC663" s="567"/>
      <c r="CD663" s="567"/>
      <c r="CE663" s="567"/>
      <c r="CF663" s="567"/>
      <c r="CG663" s="567"/>
      <c r="CH663" s="567"/>
      <c r="CI663" s="567"/>
      <c r="CJ663" s="567"/>
      <c r="CK663" s="567"/>
      <c r="CL663" s="567"/>
      <c r="CM663" s="567"/>
      <c r="CN663" s="567"/>
      <c r="CO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  <c r="BW664" s="567"/>
      <c r="BX664" s="567"/>
      <c r="BY664" s="567"/>
      <c r="BZ664" s="567"/>
      <c r="CA664" s="567"/>
      <c r="CB664" s="567"/>
      <c r="CC664" s="567"/>
      <c r="CD664" s="567"/>
      <c r="CE664" s="567"/>
      <c r="CF664" s="567"/>
      <c r="CG664" s="567"/>
      <c r="CH664" s="567"/>
      <c r="CI664" s="567"/>
      <c r="CJ664" s="567"/>
      <c r="CK664" s="567"/>
      <c r="CL664" s="567"/>
      <c r="CM664" s="567"/>
      <c r="CN664" s="567"/>
      <c r="CO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  <c r="BW665" s="567"/>
      <c r="BX665" s="567"/>
      <c r="BY665" s="567"/>
      <c r="BZ665" s="567"/>
      <c r="CA665" s="567"/>
      <c r="CB665" s="567"/>
      <c r="CC665" s="567"/>
      <c r="CD665" s="567"/>
      <c r="CE665" s="567"/>
      <c r="CF665" s="567"/>
      <c r="CG665" s="567"/>
      <c r="CH665" s="567"/>
      <c r="CI665" s="567"/>
      <c r="CJ665" s="567"/>
      <c r="CK665" s="567"/>
      <c r="CL665" s="567"/>
      <c r="CM665" s="567"/>
      <c r="CN665" s="567"/>
      <c r="CO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  <c r="BW666" s="567"/>
      <c r="BX666" s="567"/>
      <c r="BY666" s="567"/>
      <c r="BZ666" s="567"/>
      <c r="CA666" s="567"/>
      <c r="CB666" s="567"/>
      <c r="CC666" s="567"/>
      <c r="CD666" s="567"/>
      <c r="CE666" s="567"/>
      <c r="CF666" s="567"/>
      <c r="CG666" s="567"/>
      <c r="CH666" s="567"/>
      <c r="CI666" s="567"/>
      <c r="CJ666" s="567"/>
      <c r="CK666" s="567"/>
      <c r="CL666" s="567"/>
      <c r="CM666" s="567"/>
      <c r="CN666" s="567"/>
      <c r="CO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  <c r="BW667" s="567"/>
      <c r="BX667" s="567"/>
      <c r="BY667" s="567"/>
      <c r="BZ667" s="567"/>
      <c r="CA667" s="567"/>
      <c r="CB667" s="567"/>
      <c r="CC667" s="567"/>
      <c r="CD667" s="567"/>
      <c r="CE667" s="567"/>
      <c r="CF667" s="567"/>
      <c r="CG667" s="567"/>
      <c r="CH667" s="567"/>
      <c r="CI667" s="567"/>
      <c r="CJ667" s="567"/>
      <c r="CK667" s="567"/>
      <c r="CL667" s="567"/>
      <c r="CM667" s="567"/>
      <c r="CN667" s="567"/>
      <c r="CO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  <c r="BW668" s="567"/>
      <c r="BX668" s="567"/>
      <c r="BY668" s="567"/>
      <c r="BZ668" s="567"/>
      <c r="CA668" s="567"/>
      <c r="CB668" s="567"/>
      <c r="CC668" s="567"/>
      <c r="CD668" s="567"/>
      <c r="CE668" s="567"/>
      <c r="CF668" s="567"/>
      <c r="CG668" s="567"/>
      <c r="CH668" s="567"/>
      <c r="CI668" s="567"/>
      <c r="CJ668" s="567"/>
      <c r="CK668" s="567"/>
      <c r="CL668" s="567"/>
      <c r="CM668" s="567"/>
      <c r="CN668" s="567"/>
      <c r="CO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  <c r="BW669" s="567"/>
      <c r="BX669" s="567"/>
      <c r="BY669" s="567"/>
      <c r="BZ669" s="567"/>
      <c r="CA669" s="567"/>
      <c r="CB669" s="567"/>
      <c r="CC669" s="567"/>
      <c r="CD669" s="567"/>
      <c r="CE669" s="567"/>
      <c r="CF669" s="567"/>
      <c r="CG669" s="567"/>
      <c r="CH669" s="567"/>
      <c r="CI669" s="567"/>
      <c r="CJ669" s="567"/>
      <c r="CK669" s="567"/>
      <c r="CL669" s="567"/>
      <c r="CM669" s="567"/>
      <c r="CN669" s="567"/>
      <c r="CO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  <c r="BW670" s="567"/>
      <c r="BX670" s="567"/>
      <c r="BY670" s="567"/>
      <c r="BZ670" s="567"/>
      <c r="CA670" s="567"/>
      <c r="CB670" s="567"/>
      <c r="CC670" s="567"/>
      <c r="CD670" s="567"/>
      <c r="CE670" s="567"/>
      <c r="CF670" s="567"/>
      <c r="CG670" s="567"/>
      <c r="CH670" s="567"/>
      <c r="CI670" s="567"/>
      <c r="CJ670" s="567"/>
      <c r="CK670" s="567"/>
      <c r="CL670" s="567"/>
      <c r="CM670" s="567"/>
      <c r="CN670" s="567"/>
      <c r="CO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  <c r="BW671" s="567"/>
      <c r="BX671" s="567"/>
      <c r="BY671" s="567"/>
      <c r="BZ671" s="567"/>
      <c r="CA671" s="567"/>
      <c r="CB671" s="567"/>
      <c r="CC671" s="567"/>
      <c r="CD671" s="567"/>
      <c r="CE671" s="567"/>
      <c r="CF671" s="567"/>
      <c r="CG671" s="567"/>
      <c r="CH671" s="567"/>
      <c r="CI671" s="567"/>
      <c r="CJ671" s="567"/>
      <c r="CK671" s="567"/>
      <c r="CL671" s="567"/>
      <c r="CM671" s="567"/>
      <c r="CN671" s="567"/>
      <c r="CO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  <c r="BW672" s="567"/>
      <c r="BX672" s="567"/>
      <c r="BY672" s="567"/>
      <c r="BZ672" s="567"/>
      <c r="CA672" s="567"/>
      <c r="CB672" s="567"/>
      <c r="CC672" s="567"/>
      <c r="CD672" s="567"/>
      <c r="CE672" s="567"/>
      <c r="CF672" s="567"/>
      <c r="CG672" s="567"/>
      <c r="CH672" s="567"/>
      <c r="CI672" s="567"/>
      <c r="CJ672" s="567"/>
      <c r="CK672" s="567"/>
      <c r="CL672" s="567"/>
      <c r="CM672" s="567"/>
      <c r="CN672" s="567"/>
      <c r="CO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  <c r="BW673" s="567"/>
      <c r="BX673" s="567"/>
      <c r="BY673" s="567"/>
      <c r="BZ673" s="567"/>
      <c r="CA673" s="567"/>
      <c r="CB673" s="567"/>
      <c r="CC673" s="567"/>
      <c r="CD673" s="567"/>
      <c r="CE673" s="567"/>
      <c r="CF673" s="567"/>
      <c r="CG673" s="567"/>
      <c r="CH673" s="567"/>
      <c r="CI673" s="567"/>
      <c r="CJ673" s="567"/>
      <c r="CK673" s="567"/>
      <c r="CL673" s="567"/>
      <c r="CM673" s="567"/>
      <c r="CN673" s="567"/>
      <c r="CO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  <c r="BW674" s="567"/>
      <c r="BX674" s="567"/>
      <c r="BY674" s="567"/>
      <c r="BZ674" s="567"/>
      <c r="CA674" s="567"/>
      <c r="CB674" s="567"/>
      <c r="CC674" s="567"/>
      <c r="CD674" s="567"/>
      <c r="CE674" s="567"/>
      <c r="CF674" s="567"/>
      <c r="CG674" s="567"/>
      <c r="CH674" s="567"/>
      <c r="CI674" s="567"/>
      <c r="CJ674" s="567"/>
      <c r="CK674" s="567"/>
      <c r="CL674" s="567"/>
      <c r="CM674" s="567"/>
      <c r="CN674" s="567"/>
      <c r="CO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  <c r="BW675" s="567"/>
      <c r="BX675" s="567"/>
      <c r="BY675" s="567"/>
      <c r="BZ675" s="567"/>
      <c r="CA675" s="567"/>
      <c r="CB675" s="567"/>
      <c r="CC675" s="567"/>
      <c r="CD675" s="567"/>
      <c r="CE675" s="567"/>
      <c r="CF675" s="567"/>
      <c r="CG675" s="567"/>
      <c r="CH675" s="567"/>
      <c r="CI675" s="567"/>
      <c r="CJ675" s="567"/>
      <c r="CK675" s="567"/>
      <c r="CL675" s="567"/>
      <c r="CM675" s="567"/>
      <c r="CN675" s="567"/>
      <c r="CO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  <c r="BW676" s="567"/>
      <c r="BX676" s="567"/>
      <c r="BY676" s="567"/>
      <c r="BZ676" s="567"/>
      <c r="CA676" s="567"/>
      <c r="CB676" s="567"/>
      <c r="CC676" s="567"/>
      <c r="CD676" s="567"/>
      <c r="CE676" s="567"/>
      <c r="CF676" s="567"/>
      <c r="CG676" s="567"/>
      <c r="CH676" s="567"/>
      <c r="CI676" s="567"/>
      <c r="CJ676" s="567"/>
      <c r="CK676" s="567"/>
      <c r="CL676" s="567"/>
      <c r="CM676" s="567"/>
      <c r="CN676" s="567"/>
      <c r="CO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  <c r="BW677" s="567"/>
      <c r="BX677" s="567"/>
      <c r="BY677" s="567"/>
      <c r="BZ677" s="567"/>
      <c r="CA677" s="567"/>
      <c r="CB677" s="567"/>
      <c r="CC677" s="567"/>
      <c r="CD677" s="567"/>
      <c r="CE677" s="567"/>
      <c r="CF677" s="567"/>
      <c r="CG677" s="567"/>
      <c r="CH677" s="567"/>
      <c r="CI677" s="567"/>
      <c r="CJ677" s="567"/>
      <c r="CK677" s="567"/>
      <c r="CL677" s="567"/>
      <c r="CM677" s="567"/>
      <c r="CN677" s="567"/>
      <c r="CO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  <c r="BW678" s="567"/>
      <c r="BX678" s="567"/>
      <c r="BY678" s="567"/>
      <c r="BZ678" s="567"/>
      <c r="CA678" s="567"/>
      <c r="CB678" s="567"/>
      <c r="CC678" s="567"/>
      <c r="CD678" s="567"/>
      <c r="CE678" s="567"/>
      <c r="CF678" s="567"/>
      <c r="CG678" s="567"/>
      <c r="CH678" s="567"/>
      <c r="CI678" s="567"/>
      <c r="CJ678" s="567"/>
      <c r="CK678" s="567"/>
      <c r="CL678" s="567"/>
      <c r="CM678" s="567"/>
      <c r="CN678" s="567"/>
      <c r="CO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  <c r="BW679" s="567"/>
      <c r="BX679" s="567"/>
      <c r="BY679" s="567"/>
      <c r="BZ679" s="567"/>
      <c r="CA679" s="567"/>
      <c r="CB679" s="567"/>
      <c r="CC679" s="567"/>
      <c r="CD679" s="567"/>
      <c r="CE679" s="567"/>
      <c r="CF679" s="567"/>
      <c r="CG679" s="567"/>
      <c r="CH679" s="567"/>
      <c r="CI679" s="567"/>
      <c r="CJ679" s="567"/>
      <c r="CK679" s="567"/>
      <c r="CL679" s="567"/>
      <c r="CM679" s="567"/>
      <c r="CN679" s="567"/>
      <c r="CO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  <c r="BW680" s="567"/>
      <c r="BX680" s="567"/>
      <c r="BY680" s="567"/>
      <c r="BZ680" s="567"/>
      <c r="CA680" s="567"/>
      <c r="CB680" s="567"/>
      <c r="CC680" s="567"/>
      <c r="CD680" s="567"/>
      <c r="CE680" s="567"/>
      <c r="CF680" s="567"/>
      <c r="CG680" s="567"/>
      <c r="CH680" s="567"/>
      <c r="CI680" s="567"/>
      <c r="CJ680" s="567"/>
      <c r="CK680" s="567"/>
      <c r="CL680" s="567"/>
      <c r="CM680" s="567"/>
      <c r="CN680" s="567"/>
      <c r="CO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  <c r="BW681" s="567"/>
      <c r="BX681" s="567"/>
      <c r="BY681" s="567"/>
      <c r="BZ681" s="567"/>
      <c r="CA681" s="567"/>
      <c r="CB681" s="567"/>
      <c r="CC681" s="567"/>
      <c r="CD681" s="567"/>
      <c r="CE681" s="567"/>
      <c r="CF681" s="567"/>
      <c r="CG681" s="567"/>
      <c r="CH681" s="567"/>
      <c r="CI681" s="567"/>
      <c r="CJ681" s="567"/>
      <c r="CK681" s="567"/>
      <c r="CL681" s="567"/>
      <c r="CM681" s="567"/>
      <c r="CN681" s="567"/>
      <c r="CO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  <c r="BW682" s="567"/>
      <c r="BX682" s="567"/>
      <c r="BY682" s="567"/>
      <c r="BZ682" s="567"/>
      <c r="CA682" s="567"/>
      <c r="CB682" s="567"/>
      <c r="CC682" s="567"/>
      <c r="CD682" s="567"/>
      <c r="CE682" s="567"/>
      <c r="CF682" s="567"/>
      <c r="CG682" s="567"/>
      <c r="CH682" s="567"/>
      <c r="CI682" s="567"/>
      <c r="CJ682" s="567"/>
      <c r="CK682" s="567"/>
      <c r="CL682" s="567"/>
      <c r="CM682" s="567"/>
      <c r="CN682" s="567"/>
      <c r="CO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  <c r="BW683" s="567"/>
      <c r="BX683" s="567"/>
      <c r="BY683" s="567"/>
      <c r="BZ683" s="567"/>
      <c r="CA683" s="567"/>
      <c r="CB683" s="567"/>
      <c r="CC683" s="567"/>
      <c r="CD683" s="567"/>
      <c r="CE683" s="567"/>
      <c r="CF683" s="567"/>
      <c r="CG683" s="567"/>
      <c r="CH683" s="567"/>
      <c r="CI683" s="567"/>
      <c r="CJ683" s="567"/>
      <c r="CK683" s="567"/>
      <c r="CL683" s="567"/>
      <c r="CM683" s="567"/>
      <c r="CN683" s="567"/>
      <c r="CO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  <c r="BW684" s="567"/>
      <c r="BX684" s="567"/>
      <c r="BY684" s="567"/>
      <c r="BZ684" s="567"/>
      <c r="CA684" s="567"/>
      <c r="CB684" s="567"/>
      <c r="CC684" s="567"/>
      <c r="CD684" s="567"/>
      <c r="CE684" s="567"/>
      <c r="CF684" s="567"/>
      <c r="CG684" s="567"/>
      <c r="CH684" s="567"/>
      <c r="CI684" s="567"/>
      <c r="CJ684" s="567"/>
      <c r="CK684" s="567"/>
      <c r="CL684" s="567"/>
      <c r="CM684" s="567"/>
      <c r="CN684" s="567"/>
      <c r="CO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  <c r="BW685" s="567"/>
      <c r="BX685" s="567"/>
      <c r="BY685" s="567"/>
      <c r="BZ685" s="567"/>
      <c r="CA685" s="567"/>
      <c r="CB685" s="567"/>
      <c r="CC685" s="567"/>
      <c r="CD685" s="567"/>
      <c r="CE685" s="567"/>
      <c r="CF685" s="567"/>
      <c r="CG685" s="567"/>
      <c r="CH685" s="567"/>
      <c r="CI685" s="567"/>
      <c r="CJ685" s="567"/>
      <c r="CK685" s="567"/>
      <c r="CL685" s="567"/>
      <c r="CM685" s="567"/>
      <c r="CN685" s="567"/>
      <c r="CO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  <c r="BW686" s="567"/>
      <c r="BX686" s="567"/>
      <c r="BY686" s="567"/>
      <c r="BZ686" s="567"/>
      <c r="CA686" s="567"/>
      <c r="CB686" s="567"/>
      <c r="CC686" s="567"/>
      <c r="CD686" s="567"/>
      <c r="CE686" s="567"/>
      <c r="CF686" s="567"/>
      <c r="CG686" s="567"/>
      <c r="CH686" s="567"/>
      <c r="CI686" s="567"/>
      <c r="CJ686" s="567"/>
      <c r="CK686" s="567"/>
      <c r="CL686" s="567"/>
      <c r="CM686" s="567"/>
      <c r="CN686" s="567"/>
      <c r="CO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  <c r="BW687" s="567"/>
      <c r="BX687" s="567"/>
      <c r="BY687" s="567"/>
      <c r="BZ687" s="567"/>
      <c r="CA687" s="567"/>
      <c r="CB687" s="567"/>
      <c r="CC687" s="567"/>
      <c r="CD687" s="567"/>
      <c r="CE687" s="567"/>
      <c r="CF687" s="567"/>
      <c r="CG687" s="567"/>
      <c r="CH687" s="567"/>
      <c r="CI687" s="567"/>
      <c r="CJ687" s="567"/>
      <c r="CK687" s="567"/>
      <c r="CL687" s="567"/>
      <c r="CM687" s="567"/>
      <c r="CN687" s="567"/>
      <c r="CO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  <c r="BW688" s="567"/>
      <c r="BX688" s="567"/>
      <c r="BY688" s="567"/>
      <c r="BZ688" s="567"/>
      <c r="CA688" s="567"/>
      <c r="CB688" s="567"/>
      <c r="CC688" s="567"/>
      <c r="CD688" s="567"/>
      <c r="CE688" s="567"/>
      <c r="CF688" s="567"/>
      <c r="CG688" s="567"/>
      <c r="CH688" s="567"/>
      <c r="CI688" s="567"/>
      <c r="CJ688" s="567"/>
      <c r="CK688" s="567"/>
      <c r="CL688" s="567"/>
      <c r="CM688" s="567"/>
      <c r="CN688" s="567"/>
      <c r="CO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  <c r="BW689" s="567"/>
      <c r="BX689" s="567"/>
      <c r="BY689" s="567"/>
      <c r="BZ689" s="567"/>
      <c r="CA689" s="567"/>
      <c r="CB689" s="567"/>
      <c r="CC689" s="567"/>
      <c r="CD689" s="567"/>
      <c r="CE689" s="567"/>
      <c r="CF689" s="567"/>
      <c r="CG689" s="567"/>
      <c r="CH689" s="567"/>
      <c r="CI689" s="567"/>
      <c r="CJ689" s="567"/>
      <c r="CK689" s="567"/>
      <c r="CL689" s="567"/>
      <c r="CM689" s="567"/>
      <c r="CN689" s="567"/>
      <c r="CO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  <c r="BW690" s="567"/>
      <c r="BX690" s="567"/>
      <c r="BY690" s="567"/>
      <c r="BZ690" s="567"/>
      <c r="CA690" s="567"/>
      <c r="CB690" s="567"/>
      <c r="CC690" s="567"/>
      <c r="CD690" s="567"/>
      <c r="CE690" s="567"/>
      <c r="CF690" s="567"/>
      <c r="CG690" s="567"/>
      <c r="CH690" s="567"/>
      <c r="CI690" s="567"/>
      <c r="CJ690" s="567"/>
      <c r="CK690" s="567"/>
      <c r="CL690" s="567"/>
      <c r="CM690" s="567"/>
      <c r="CN690" s="567"/>
      <c r="CO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  <c r="BW691" s="567"/>
      <c r="BX691" s="567"/>
      <c r="BY691" s="567"/>
      <c r="BZ691" s="567"/>
      <c r="CA691" s="567"/>
      <c r="CB691" s="567"/>
      <c r="CC691" s="567"/>
      <c r="CD691" s="567"/>
      <c r="CE691" s="567"/>
      <c r="CF691" s="567"/>
      <c r="CG691" s="567"/>
      <c r="CH691" s="567"/>
      <c r="CI691" s="567"/>
      <c r="CJ691" s="567"/>
      <c r="CK691" s="567"/>
      <c r="CL691" s="567"/>
      <c r="CM691" s="567"/>
      <c r="CN691" s="567"/>
      <c r="CO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  <c r="BW692" s="567"/>
      <c r="BX692" s="567"/>
      <c r="BY692" s="567"/>
      <c r="BZ692" s="567"/>
      <c r="CA692" s="567"/>
      <c r="CB692" s="567"/>
      <c r="CC692" s="567"/>
      <c r="CD692" s="567"/>
      <c r="CE692" s="567"/>
      <c r="CF692" s="567"/>
      <c r="CG692" s="567"/>
      <c r="CH692" s="567"/>
      <c r="CI692" s="567"/>
      <c r="CJ692" s="567"/>
      <c r="CK692" s="567"/>
      <c r="CL692" s="567"/>
      <c r="CM692" s="567"/>
      <c r="CN692" s="567"/>
      <c r="CO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  <c r="BW693" s="567"/>
      <c r="BX693" s="567"/>
      <c r="BY693" s="567"/>
      <c r="BZ693" s="567"/>
      <c r="CA693" s="567"/>
      <c r="CB693" s="567"/>
      <c r="CC693" s="567"/>
      <c r="CD693" s="567"/>
      <c r="CE693" s="567"/>
      <c r="CF693" s="567"/>
      <c r="CG693" s="567"/>
      <c r="CH693" s="567"/>
      <c r="CI693" s="567"/>
      <c r="CJ693" s="567"/>
      <c r="CK693" s="567"/>
      <c r="CL693" s="567"/>
      <c r="CM693" s="567"/>
      <c r="CN693" s="567"/>
      <c r="CO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  <c r="BW694" s="567"/>
      <c r="BX694" s="567"/>
      <c r="BY694" s="567"/>
      <c r="BZ694" s="567"/>
      <c r="CA694" s="567"/>
      <c r="CB694" s="567"/>
      <c r="CC694" s="567"/>
      <c r="CD694" s="567"/>
      <c r="CE694" s="567"/>
      <c r="CF694" s="567"/>
      <c r="CG694" s="567"/>
      <c r="CH694" s="567"/>
      <c r="CI694" s="567"/>
      <c r="CJ694" s="567"/>
      <c r="CK694" s="567"/>
      <c r="CL694" s="567"/>
      <c r="CM694" s="567"/>
      <c r="CN694" s="567"/>
      <c r="CO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  <c r="BW695" s="567"/>
      <c r="BX695" s="567"/>
      <c r="BY695" s="567"/>
      <c r="BZ695" s="567"/>
      <c r="CA695" s="567"/>
      <c r="CB695" s="567"/>
      <c r="CC695" s="567"/>
      <c r="CD695" s="567"/>
      <c r="CE695" s="567"/>
      <c r="CF695" s="567"/>
      <c r="CG695" s="567"/>
      <c r="CH695" s="567"/>
      <c r="CI695" s="567"/>
      <c r="CJ695" s="567"/>
      <c r="CK695" s="567"/>
      <c r="CL695" s="567"/>
      <c r="CM695" s="567"/>
      <c r="CN695" s="567"/>
      <c r="CO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  <c r="BW696" s="567"/>
      <c r="BX696" s="567"/>
      <c r="BY696" s="567"/>
      <c r="BZ696" s="567"/>
      <c r="CA696" s="567"/>
      <c r="CB696" s="567"/>
      <c r="CC696" s="567"/>
      <c r="CD696" s="567"/>
      <c r="CE696" s="567"/>
      <c r="CF696" s="567"/>
      <c r="CG696" s="567"/>
      <c r="CH696" s="567"/>
      <c r="CI696" s="567"/>
      <c r="CJ696" s="567"/>
      <c r="CK696" s="567"/>
      <c r="CL696" s="567"/>
      <c r="CM696" s="567"/>
      <c r="CN696" s="567"/>
      <c r="CO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  <c r="BW697" s="567"/>
      <c r="BX697" s="567"/>
      <c r="BY697" s="567"/>
      <c r="BZ697" s="567"/>
      <c r="CA697" s="567"/>
      <c r="CB697" s="567"/>
      <c r="CC697" s="567"/>
      <c r="CD697" s="567"/>
      <c r="CE697" s="567"/>
      <c r="CF697" s="567"/>
      <c r="CG697" s="567"/>
      <c r="CH697" s="567"/>
      <c r="CI697" s="567"/>
      <c r="CJ697" s="567"/>
      <c r="CK697" s="567"/>
      <c r="CL697" s="567"/>
      <c r="CM697" s="567"/>
      <c r="CN697" s="567"/>
      <c r="CO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  <c r="BW698" s="567"/>
      <c r="BX698" s="567"/>
      <c r="BY698" s="567"/>
      <c r="BZ698" s="567"/>
      <c r="CA698" s="567"/>
      <c r="CB698" s="567"/>
      <c r="CC698" s="567"/>
      <c r="CD698" s="567"/>
      <c r="CE698" s="567"/>
      <c r="CF698" s="567"/>
      <c r="CG698" s="567"/>
      <c r="CH698" s="567"/>
      <c r="CI698" s="567"/>
      <c r="CJ698" s="567"/>
      <c r="CK698" s="567"/>
      <c r="CL698" s="567"/>
      <c r="CM698" s="567"/>
      <c r="CN698" s="567"/>
      <c r="CO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  <c r="BW699" s="567"/>
      <c r="BX699" s="567"/>
      <c r="BY699" s="567"/>
      <c r="BZ699" s="567"/>
      <c r="CA699" s="567"/>
      <c r="CB699" s="567"/>
      <c r="CC699" s="567"/>
      <c r="CD699" s="567"/>
      <c r="CE699" s="567"/>
      <c r="CF699" s="567"/>
      <c r="CG699" s="567"/>
      <c r="CH699" s="567"/>
      <c r="CI699" s="567"/>
      <c r="CJ699" s="567"/>
      <c r="CK699" s="567"/>
      <c r="CL699" s="567"/>
      <c r="CM699" s="567"/>
      <c r="CN699" s="567"/>
      <c r="CO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  <c r="BW700" s="567"/>
      <c r="BX700" s="567"/>
      <c r="BY700" s="567"/>
      <c r="BZ700" s="567"/>
      <c r="CA700" s="567"/>
      <c r="CB700" s="567"/>
      <c r="CC700" s="567"/>
      <c r="CD700" s="567"/>
      <c r="CE700" s="567"/>
      <c r="CF700" s="567"/>
      <c r="CG700" s="567"/>
      <c r="CH700" s="567"/>
      <c r="CI700" s="567"/>
      <c r="CJ700" s="567"/>
      <c r="CK700" s="567"/>
      <c r="CL700" s="567"/>
      <c r="CM700" s="567"/>
      <c r="CN700" s="567"/>
      <c r="CO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  <c r="BW701" s="567"/>
      <c r="BX701" s="567"/>
      <c r="BY701" s="567"/>
      <c r="BZ701" s="567"/>
      <c r="CA701" s="567"/>
      <c r="CB701" s="567"/>
      <c r="CC701" s="567"/>
      <c r="CD701" s="567"/>
      <c r="CE701" s="567"/>
      <c r="CF701" s="567"/>
      <c r="CG701" s="567"/>
      <c r="CH701" s="567"/>
      <c r="CI701" s="567"/>
      <c r="CJ701" s="567"/>
      <c r="CK701" s="567"/>
      <c r="CL701" s="567"/>
      <c r="CM701" s="567"/>
      <c r="CN701" s="567"/>
      <c r="CO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  <c r="BW702" s="567"/>
      <c r="BX702" s="567"/>
      <c r="BY702" s="567"/>
      <c r="BZ702" s="567"/>
      <c r="CA702" s="567"/>
      <c r="CB702" s="567"/>
      <c r="CC702" s="567"/>
      <c r="CD702" s="567"/>
      <c r="CE702" s="567"/>
      <c r="CF702" s="567"/>
      <c r="CG702" s="567"/>
      <c r="CH702" s="567"/>
      <c r="CI702" s="567"/>
      <c r="CJ702" s="567"/>
      <c r="CK702" s="567"/>
      <c r="CL702" s="567"/>
      <c r="CM702" s="567"/>
      <c r="CN702" s="567"/>
      <c r="CO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  <c r="BW703" s="567"/>
      <c r="BX703" s="567"/>
      <c r="BY703" s="567"/>
      <c r="BZ703" s="567"/>
      <c r="CA703" s="567"/>
      <c r="CB703" s="567"/>
      <c r="CC703" s="567"/>
      <c r="CD703" s="567"/>
      <c r="CE703" s="567"/>
      <c r="CF703" s="567"/>
      <c r="CG703" s="567"/>
      <c r="CH703" s="567"/>
      <c r="CI703" s="567"/>
      <c r="CJ703" s="567"/>
      <c r="CK703" s="567"/>
      <c r="CL703" s="567"/>
      <c r="CM703" s="567"/>
      <c r="CN703" s="567"/>
      <c r="CO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  <c r="BW704" s="567"/>
      <c r="BX704" s="567"/>
      <c r="BY704" s="567"/>
      <c r="BZ704" s="567"/>
      <c r="CA704" s="567"/>
      <c r="CB704" s="567"/>
      <c r="CC704" s="567"/>
      <c r="CD704" s="567"/>
      <c r="CE704" s="567"/>
      <c r="CF704" s="567"/>
      <c r="CG704" s="567"/>
      <c r="CH704" s="567"/>
      <c r="CI704" s="567"/>
      <c r="CJ704" s="567"/>
      <c r="CK704" s="567"/>
      <c r="CL704" s="567"/>
      <c r="CM704" s="567"/>
      <c r="CN704" s="567"/>
      <c r="CO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  <c r="BW705" s="567"/>
      <c r="BX705" s="567"/>
      <c r="BY705" s="567"/>
      <c r="BZ705" s="567"/>
      <c r="CA705" s="567"/>
      <c r="CB705" s="567"/>
      <c r="CC705" s="567"/>
      <c r="CD705" s="567"/>
      <c r="CE705" s="567"/>
      <c r="CF705" s="567"/>
      <c r="CG705" s="567"/>
      <c r="CH705" s="567"/>
      <c r="CI705" s="567"/>
      <c r="CJ705" s="567"/>
      <c r="CK705" s="567"/>
      <c r="CL705" s="567"/>
      <c r="CM705" s="567"/>
      <c r="CN705" s="567"/>
      <c r="CO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  <c r="BW706" s="567"/>
      <c r="BX706" s="567"/>
      <c r="BY706" s="567"/>
      <c r="BZ706" s="567"/>
      <c r="CA706" s="567"/>
      <c r="CB706" s="567"/>
      <c r="CC706" s="567"/>
      <c r="CD706" s="567"/>
      <c r="CE706" s="567"/>
      <c r="CF706" s="567"/>
      <c r="CG706" s="567"/>
      <c r="CH706" s="567"/>
      <c r="CI706" s="567"/>
      <c r="CJ706" s="567"/>
      <c r="CK706" s="567"/>
      <c r="CL706" s="567"/>
      <c r="CM706" s="567"/>
      <c r="CN706" s="567"/>
      <c r="CO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  <c r="BW707" s="567"/>
      <c r="BX707" s="567"/>
      <c r="BY707" s="567"/>
      <c r="BZ707" s="567"/>
      <c r="CA707" s="567"/>
      <c r="CB707" s="567"/>
      <c r="CC707" s="567"/>
      <c r="CD707" s="567"/>
      <c r="CE707" s="567"/>
      <c r="CF707" s="567"/>
      <c r="CG707" s="567"/>
      <c r="CH707" s="567"/>
      <c r="CI707" s="567"/>
      <c r="CJ707" s="567"/>
      <c r="CK707" s="567"/>
      <c r="CL707" s="567"/>
      <c r="CM707" s="567"/>
      <c r="CN707" s="567"/>
      <c r="CO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  <c r="BW708" s="567"/>
      <c r="BX708" s="567"/>
      <c r="BY708" s="567"/>
      <c r="BZ708" s="567"/>
      <c r="CA708" s="567"/>
      <c r="CB708" s="567"/>
      <c r="CC708" s="567"/>
      <c r="CD708" s="567"/>
      <c r="CE708" s="567"/>
      <c r="CF708" s="567"/>
      <c r="CG708" s="567"/>
      <c r="CH708" s="567"/>
      <c r="CI708" s="567"/>
      <c r="CJ708" s="567"/>
      <c r="CK708" s="567"/>
      <c r="CL708" s="567"/>
      <c r="CM708" s="567"/>
      <c r="CN708" s="567"/>
      <c r="CO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  <c r="BW709" s="567"/>
      <c r="BX709" s="567"/>
      <c r="BY709" s="567"/>
      <c r="BZ709" s="567"/>
      <c r="CA709" s="567"/>
      <c r="CB709" s="567"/>
      <c r="CC709" s="567"/>
      <c r="CD709" s="567"/>
      <c r="CE709" s="567"/>
      <c r="CF709" s="567"/>
      <c r="CG709" s="567"/>
      <c r="CH709" s="567"/>
      <c r="CI709" s="567"/>
      <c r="CJ709" s="567"/>
      <c r="CK709" s="567"/>
      <c r="CL709" s="567"/>
      <c r="CM709" s="567"/>
      <c r="CN709" s="567"/>
      <c r="CO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  <c r="BW710" s="567"/>
      <c r="BX710" s="567"/>
      <c r="BY710" s="567"/>
      <c r="BZ710" s="567"/>
      <c r="CA710" s="567"/>
      <c r="CB710" s="567"/>
      <c r="CC710" s="567"/>
      <c r="CD710" s="567"/>
      <c r="CE710" s="567"/>
      <c r="CF710" s="567"/>
      <c r="CG710" s="567"/>
      <c r="CH710" s="567"/>
      <c r="CI710" s="567"/>
      <c r="CJ710" s="567"/>
      <c r="CK710" s="567"/>
      <c r="CL710" s="567"/>
      <c r="CM710" s="567"/>
      <c r="CN710" s="567"/>
      <c r="CO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  <c r="BW711" s="567"/>
      <c r="BX711" s="567"/>
      <c r="BY711" s="567"/>
      <c r="BZ711" s="567"/>
      <c r="CA711" s="567"/>
      <c r="CB711" s="567"/>
      <c r="CC711" s="567"/>
      <c r="CD711" s="567"/>
      <c r="CE711" s="567"/>
      <c r="CF711" s="567"/>
      <c r="CG711" s="567"/>
      <c r="CH711" s="567"/>
      <c r="CI711" s="567"/>
      <c r="CJ711" s="567"/>
      <c r="CK711" s="567"/>
      <c r="CL711" s="567"/>
      <c r="CM711" s="567"/>
      <c r="CN711" s="567"/>
      <c r="CO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  <c r="BW712" s="567"/>
      <c r="BX712" s="567"/>
      <c r="BY712" s="567"/>
      <c r="BZ712" s="567"/>
      <c r="CA712" s="567"/>
      <c r="CB712" s="567"/>
      <c r="CC712" s="567"/>
      <c r="CD712" s="567"/>
      <c r="CE712" s="567"/>
      <c r="CF712" s="567"/>
      <c r="CG712" s="567"/>
      <c r="CH712" s="567"/>
      <c r="CI712" s="567"/>
      <c r="CJ712" s="567"/>
      <c r="CK712" s="567"/>
      <c r="CL712" s="567"/>
      <c r="CM712" s="567"/>
      <c r="CN712" s="567"/>
      <c r="CO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  <c r="BW713" s="567"/>
      <c r="BX713" s="567"/>
      <c r="BY713" s="567"/>
      <c r="BZ713" s="567"/>
      <c r="CA713" s="567"/>
      <c r="CB713" s="567"/>
      <c r="CC713" s="567"/>
      <c r="CD713" s="567"/>
      <c r="CE713" s="567"/>
      <c r="CF713" s="567"/>
      <c r="CG713" s="567"/>
      <c r="CH713" s="567"/>
      <c r="CI713" s="567"/>
      <c r="CJ713" s="567"/>
      <c r="CK713" s="567"/>
      <c r="CL713" s="567"/>
      <c r="CM713" s="567"/>
      <c r="CN713" s="567"/>
      <c r="CO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  <c r="BW714" s="567"/>
      <c r="BX714" s="567"/>
      <c r="BY714" s="567"/>
      <c r="BZ714" s="567"/>
      <c r="CA714" s="567"/>
      <c r="CB714" s="567"/>
      <c r="CC714" s="567"/>
      <c r="CD714" s="567"/>
      <c r="CE714" s="567"/>
      <c r="CF714" s="567"/>
      <c r="CG714" s="567"/>
      <c r="CH714" s="567"/>
      <c r="CI714" s="567"/>
      <c r="CJ714" s="567"/>
      <c r="CK714" s="567"/>
      <c r="CL714" s="567"/>
      <c r="CM714" s="567"/>
      <c r="CN714" s="567"/>
      <c r="CO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  <c r="BW715" s="567"/>
      <c r="BX715" s="567"/>
      <c r="BY715" s="567"/>
      <c r="BZ715" s="567"/>
      <c r="CA715" s="567"/>
      <c r="CB715" s="567"/>
      <c r="CC715" s="567"/>
      <c r="CD715" s="567"/>
      <c r="CE715" s="567"/>
      <c r="CF715" s="567"/>
      <c r="CG715" s="567"/>
      <c r="CH715" s="567"/>
      <c r="CI715" s="567"/>
      <c r="CJ715" s="567"/>
      <c r="CK715" s="567"/>
      <c r="CL715" s="567"/>
      <c r="CM715" s="567"/>
      <c r="CN715" s="567"/>
      <c r="CO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  <c r="BW716" s="567"/>
      <c r="BX716" s="567"/>
      <c r="BY716" s="567"/>
      <c r="BZ716" s="567"/>
      <c r="CA716" s="567"/>
      <c r="CB716" s="567"/>
      <c r="CC716" s="567"/>
      <c r="CD716" s="567"/>
      <c r="CE716" s="567"/>
      <c r="CF716" s="567"/>
      <c r="CG716" s="567"/>
      <c r="CH716" s="567"/>
      <c r="CI716" s="567"/>
      <c r="CJ716" s="567"/>
      <c r="CK716" s="567"/>
      <c r="CL716" s="567"/>
      <c r="CM716" s="567"/>
      <c r="CN716" s="567"/>
      <c r="CO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  <c r="BW717" s="567"/>
      <c r="BX717" s="567"/>
      <c r="BY717" s="567"/>
      <c r="BZ717" s="567"/>
      <c r="CA717" s="567"/>
      <c r="CB717" s="567"/>
      <c r="CC717" s="567"/>
      <c r="CD717" s="567"/>
      <c r="CE717" s="567"/>
      <c r="CF717" s="567"/>
      <c r="CG717" s="567"/>
      <c r="CH717" s="567"/>
      <c r="CI717" s="567"/>
      <c r="CJ717" s="567"/>
      <c r="CK717" s="567"/>
      <c r="CL717" s="567"/>
      <c r="CM717" s="567"/>
      <c r="CN717" s="567"/>
      <c r="CO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  <c r="BW718" s="567"/>
      <c r="BX718" s="567"/>
      <c r="BY718" s="567"/>
      <c r="BZ718" s="567"/>
      <c r="CA718" s="567"/>
      <c r="CB718" s="567"/>
      <c r="CC718" s="567"/>
      <c r="CD718" s="567"/>
      <c r="CE718" s="567"/>
      <c r="CF718" s="567"/>
      <c r="CG718" s="567"/>
      <c r="CH718" s="567"/>
      <c r="CI718" s="567"/>
      <c r="CJ718" s="567"/>
      <c r="CK718" s="567"/>
      <c r="CL718" s="567"/>
      <c r="CM718" s="567"/>
      <c r="CN718" s="567"/>
      <c r="CO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  <c r="BW719" s="567"/>
      <c r="BX719" s="567"/>
      <c r="BY719" s="567"/>
      <c r="BZ719" s="567"/>
      <c r="CA719" s="567"/>
      <c r="CB719" s="567"/>
      <c r="CC719" s="567"/>
      <c r="CD719" s="567"/>
      <c r="CE719" s="567"/>
      <c r="CF719" s="567"/>
      <c r="CG719" s="567"/>
      <c r="CH719" s="567"/>
      <c r="CI719" s="567"/>
      <c r="CJ719" s="567"/>
      <c r="CK719" s="567"/>
      <c r="CL719" s="567"/>
      <c r="CM719" s="567"/>
      <c r="CN719" s="567"/>
      <c r="CO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  <c r="BW720" s="567"/>
      <c r="BX720" s="567"/>
      <c r="BY720" s="567"/>
      <c r="BZ720" s="567"/>
      <c r="CA720" s="567"/>
      <c r="CB720" s="567"/>
      <c r="CC720" s="567"/>
      <c r="CD720" s="567"/>
      <c r="CE720" s="567"/>
      <c r="CF720" s="567"/>
      <c r="CG720" s="567"/>
      <c r="CH720" s="567"/>
      <c r="CI720" s="567"/>
      <c r="CJ720" s="567"/>
      <c r="CK720" s="567"/>
      <c r="CL720" s="567"/>
      <c r="CM720" s="567"/>
      <c r="CN720" s="567"/>
      <c r="CO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  <c r="BW721" s="567"/>
      <c r="BX721" s="567"/>
      <c r="BY721" s="567"/>
      <c r="BZ721" s="567"/>
      <c r="CA721" s="567"/>
      <c r="CB721" s="567"/>
      <c r="CC721" s="567"/>
      <c r="CD721" s="567"/>
      <c r="CE721" s="567"/>
      <c r="CF721" s="567"/>
      <c r="CG721" s="567"/>
      <c r="CH721" s="567"/>
      <c r="CI721" s="567"/>
      <c r="CJ721" s="567"/>
      <c r="CK721" s="567"/>
      <c r="CL721" s="567"/>
      <c r="CM721" s="567"/>
      <c r="CN721" s="567"/>
      <c r="CO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  <c r="BW722" s="567"/>
      <c r="BX722" s="567"/>
      <c r="BY722" s="567"/>
      <c r="BZ722" s="567"/>
      <c r="CA722" s="567"/>
      <c r="CB722" s="567"/>
      <c r="CC722" s="567"/>
      <c r="CD722" s="567"/>
      <c r="CE722" s="567"/>
      <c r="CF722" s="567"/>
      <c r="CG722" s="567"/>
      <c r="CH722" s="567"/>
      <c r="CI722" s="567"/>
      <c r="CJ722" s="567"/>
      <c r="CK722" s="567"/>
      <c r="CL722" s="567"/>
      <c r="CM722" s="567"/>
      <c r="CN722" s="567"/>
      <c r="CO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  <c r="BW723" s="567"/>
      <c r="BX723" s="567"/>
      <c r="BY723" s="567"/>
      <c r="BZ723" s="567"/>
      <c r="CA723" s="567"/>
      <c r="CB723" s="567"/>
      <c r="CC723" s="567"/>
      <c r="CD723" s="567"/>
      <c r="CE723" s="567"/>
      <c r="CF723" s="567"/>
      <c r="CG723" s="567"/>
      <c r="CH723" s="567"/>
      <c r="CI723" s="567"/>
      <c r="CJ723" s="567"/>
      <c r="CK723" s="567"/>
      <c r="CL723" s="567"/>
      <c r="CM723" s="567"/>
      <c r="CN723" s="567"/>
      <c r="CO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  <c r="BW724" s="567"/>
      <c r="BX724" s="567"/>
      <c r="BY724" s="567"/>
      <c r="BZ724" s="567"/>
      <c r="CA724" s="567"/>
      <c r="CB724" s="567"/>
      <c r="CC724" s="567"/>
      <c r="CD724" s="567"/>
      <c r="CE724" s="567"/>
      <c r="CF724" s="567"/>
      <c r="CG724" s="567"/>
      <c r="CH724" s="567"/>
      <c r="CI724" s="567"/>
      <c r="CJ724" s="567"/>
      <c r="CK724" s="567"/>
      <c r="CL724" s="567"/>
      <c r="CM724" s="567"/>
      <c r="CN724" s="567"/>
      <c r="CO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  <c r="BW725" s="567"/>
      <c r="BX725" s="567"/>
      <c r="BY725" s="567"/>
      <c r="BZ725" s="567"/>
      <c r="CA725" s="567"/>
      <c r="CB725" s="567"/>
      <c r="CC725" s="567"/>
      <c r="CD725" s="567"/>
      <c r="CE725" s="567"/>
      <c r="CF725" s="567"/>
      <c r="CG725" s="567"/>
      <c r="CH725" s="567"/>
      <c r="CI725" s="567"/>
      <c r="CJ725" s="567"/>
      <c r="CK725" s="567"/>
      <c r="CL725" s="567"/>
      <c r="CM725" s="567"/>
      <c r="CN725" s="567"/>
      <c r="CO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  <c r="BW726" s="567"/>
      <c r="BX726" s="567"/>
      <c r="BY726" s="567"/>
      <c r="BZ726" s="567"/>
      <c r="CA726" s="567"/>
      <c r="CB726" s="567"/>
      <c r="CC726" s="567"/>
      <c r="CD726" s="567"/>
      <c r="CE726" s="567"/>
      <c r="CF726" s="567"/>
      <c r="CG726" s="567"/>
      <c r="CH726" s="567"/>
      <c r="CI726" s="567"/>
      <c r="CJ726" s="567"/>
      <c r="CK726" s="567"/>
      <c r="CL726" s="567"/>
      <c r="CM726" s="567"/>
      <c r="CN726" s="567"/>
      <c r="CO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  <c r="BW727" s="567"/>
      <c r="BX727" s="567"/>
      <c r="BY727" s="567"/>
      <c r="BZ727" s="567"/>
      <c r="CA727" s="567"/>
      <c r="CB727" s="567"/>
      <c r="CC727" s="567"/>
      <c r="CD727" s="567"/>
      <c r="CE727" s="567"/>
      <c r="CF727" s="567"/>
      <c r="CG727" s="567"/>
      <c r="CH727" s="567"/>
      <c r="CI727" s="567"/>
      <c r="CJ727" s="567"/>
      <c r="CK727" s="567"/>
      <c r="CL727" s="567"/>
      <c r="CM727" s="567"/>
      <c r="CN727" s="567"/>
      <c r="CO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  <c r="BW728" s="567"/>
      <c r="BX728" s="567"/>
      <c r="BY728" s="567"/>
      <c r="BZ728" s="567"/>
      <c r="CA728" s="567"/>
      <c r="CB728" s="567"/>
      <c r="CC728" s="567"/>
      <c r="CD728" s="567"/>
      <c r="CE728" s="567"/>
      <c r="CF728" s="567"/>
      <c r="CG728" s="567"/>
      <c r="CH728" s="567"/>
      <c r="CI728" s="567"/>
      <c r="CJ728" s="567"/>
      <c r="CK728" s="567"/>
      <c r="CL728" s="567"/>
      <c r="CM728" s="567"/>
      <c r="CN728" s="567"/>
      <c r="CO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  <c r="BW729" s="567"/>
      <c r="BX729" s="567"/>
      <c r="BY729" s="567"/>
      <c r="BZ729" s="567"/>
      <c r="CA729" s="567"/>
      <c r="CB729" s="567"/>
      <c r="CC729" s="567"/>
      <c r="CD729" s="567"/>
      <c r="CE729" s="567"/>
      <c r="CF729" s="567"/>
      <c r="CG729" s="567"/>
      <c r="CH729" s="567"/>
      <c r="CI729" s="567"/>
      <c r="CJ729" s="567"/>
      <c r="CK729" s="567"/>
      <c r="CL729" s="567"/>
      <c r="CM729" s="567"/>
      <c r="CN729" s="567"/>
      <c r="CO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  <c r="BW730" s="567"/>
      <c r="BX730" s="567"/>
      <c r="BY730" s="567"/>
      <c r="BZ730" s="567"/>
      <c r="CA730" s="567"/>
      <c r="CB730" s="567"/>
      <c r="CC730" s="567"/>
      <c r="CD730" s="567"/>
      <c r="CE730" s="567"/>
      <c r="CF730" s="567"/>
      <c r="CG730" s="567"/>
      <c r="CH730" s="567"/>
      <c r="CI730" s="567"/>
      <c r="CJ730" s="567"/>
      <c r="CK730" s="567"/>
      <c r="CL730" s="567"/>
      <c r="CM730" s="567"/>
      <c r="CN730" s="567"/>
      <c r="CO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  <c r="BW731" s="567"/>
      <c r="BX731" s="567"/>
      <c r="BY731" s="567"/>
      <c r="BZ731" s="567"/>
      <c r="CA731" s="567"/>
      <c r="CB731" s="567"/>
      <c r="CC731" s="567"/>
      <c r="CD731" s="567"/>
      <c r="CE731" s="567"/>
      <c r="CF731" s="567"/>
      <c r="CG731" s="567"/>
      <c r="CH731" s="567"/>
      <c r="CI731" s="567"/>
      <c r="CJ731" s="567"/>
      <c r="CK731" s="567"/>
      <c r="CL731" s="567"/>
      <c r="CM731" s="567"/>
      <c r="CN731" s="567"/>
      <c r="CO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  <c r="BW732" s="567"/>
      <c r="BX732" s="567"/>
      <c r="BY732" s="567"/>
      <c r="BZ732" s="567"/>
      <c r="CA732" s="567"/>
      <c r="CB732" s="567"/>
      <c r="CC732" s="567"/>
      <c r="CD732" s="567"/>
      <c r="CE732" s="567"/>
      <c r="CF732" s="567"/>
      <c r="CG732" s="567"/>
      <c r="CH732" s="567"/>
      <c r="CI732" s="567"/>
      <c r="CJ732" s="567"/>
      <c r="CK732" s="567"/>
      <c r="CL732" s="567"/>
      <c r="CM732" s="567"/>
      <c r="CN732" s="567"/>
      <c r="CO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  <c r="BW733" s="567"/>
      <c r="BX733" s="567"/>
      <c r="BY733" s="567"/>
      <c r="BZ733" s="567"/>
      <c r="CA733" s="567"/>
      <c r="CB733" s="567"/>
      <c r="CC733" s="567"/>
      <c r="CD733" s="567"/>
      <c r="CE733" s="567"/>
      <c r="CF733" s="567"/>
      <c r="CG733" s="567"/>
      <c r="CH733" s="567"/>
      <c r="CI733" s="567"/>
      <c r="CJ733" s="567"/>
      <c r="CK733" s="567"/>
      <c r="CL733" s="567"/>
      <c r="CM733" s="567"/>
      <c r="CN733" s="567"/>
      <c r="CO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  <c r="BW734" s="567"/>
      <c r="BX734" s="567"/>
      <c r="BY734" s="567"/>
      <c r="BZ734" s="567"/>
      <c r="CA734" s="567"/>
      <c r="CB734" s="567"/>
      <c r="CC734" s="567"/>
      <c r="CD734" s="567"/>
      <c r="CE734" s="567"/>
      <c r="CF734" s="567"/>
      <c r="CG734" s="567"/>
      <c r="CH734" s="567"/>
      <c r="CI734" s="567"/>
      <c r="CJ734" s="567"/>
      <c r="CK734" s="567"/>
      <c r="CL734" s="567"/>
      <c r="CM734" s="567"/>
      <c r="CN734" s="567"/>
      <c r="CO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  <c r="BW735" s="567"/>
      <c r="BX735" s="567"/>
      <c r="BY735" s="567"/>
      <c r="BZ735" s="567"/>
      <c r="CA735" s="567"/>
      <c r="CB735" s="567"/>
      <c r="CC735" s="567"/>
      <c r="CD735" s="567"/>
      <c r="CE735" s="567"/>
      <c r="CF735" s="567"/>
      <c r="CG735" s="567"/>
      <c r="CH735" s="567"/>
      <c r="CI735" s="567"/>
      <c r="CJ735" s="567"/>
      <c r="CK735" s="567"/>
      <c r="CL735" s="567"/>
      <c r="CM735" s="567"/>
      <c r="CN735" s="567"/>
      <c r="CO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  <c r="BW736" s="567"/>
      <c r="BX736" s="567"/>
      <c r="BY736" s="567"/>
      <c r="BZ736" s="567"/>
      <c r="CA736" s="567"/>
      <c r="CB736" s="567"/>
      <c r="CC736" s="567"/>
      <c r="CD736" s="567"/>
      <c r="CE736" s="567"/>
      <c r="CF736" s="567"/>
      <c r="CG736" s="567"/>
      <c r="CH736" s="567"/>
      <c r="CI736" s="567"/>
      <c r="CJ736" s="567"/>
      <c r="CK736" s="567"/>
      <c r="CL736" s="567"/>
      <c r="CM736" s="567"/>
      <c r="CN736" s="567"/>
      <c r="CO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  <c r="BW737" s="567"/>
      <c r="BX737" s="567"/>
      <c r="BY737" s="567"/>
      <c r="BZ737" s="567"/>
      <c r="CA737" s="567"/>
      <c r="CB737" s="567"/>
      <c r="CC737" s="567"/>
      <c r="CD737" s="567"/>
      <c r="CE737" s="567"/>
      <c r="CF737" s="567"/>
      <c r="CG737" s="567"/>
      <c r="CH737" s="567"/>
      <c r="CI737" s="567"/>
      <c r="CJ737" s="567"/>
      <c r="CK737" s="567"/>
      <c r="CL737" s="567"/>
      <c r="CM737" s="567"/>
      <c r="CN737" s="567"/>
      <c r="CO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  <c r="BW738" s="567"/>
      <c r="BX738" s="567"/>
      <c r="BY738" s="567"/>
      <c r="BZ738" s="567"/>
      <c r="CA738" s="567"/>
      <c r="CB738" s="567"/>
      <c r="CC738" s="567"/>
      <c r="CD738" s="567"/>
      <c r="CE738" s="567"/>
      <c r="CF738" s="567"/>
      <c r="CG738" s="567"/>
      <c r="CH738" s="567"/>
      <c r="CI738" s="567"/>
      <c r="CJ738" s="567"/>
      <c r="CK738" s="567"/>
      <c r="CL738" s="567"/>
      <c r="CM738" s="567"/>
      <c r="CN738" s="567"/>
      <c r="CO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  <c r="BW739" s="567"/>
      <c r="BX739" s="567"/>
      <c r="BY739" s="567"/>
      <c r="BZ739" s="567"/>
      <c r="CA739" s="567"/>
      <c r="CB739" s="567"/>
      <c r="CC739" s="567"/>
      <c r="CD739" s="567"/>
      <c r="CE739" s="567"/>
      <c r="CF739" s="567"/>
      <c r="CG739" s="567"/>
      <c r="CH739" s="567"/>
      <c r="CI739" s="567"/>
      <c r="CJ739" s="567"/>
      <c r="CK739" s="567"/>
      <c r="CL739" s="567"/>
      <c r="CM739" s="567"/>
      <c r="CN739" s="567"/>
      <c r="CO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  <c r="BW740" s="567"/>
      <c r="BX740" s="567"/>
      <c r="BY740" s="567"/>
      <c r="BZ740" s="567"/>
      <c r="CA740" s="567"/>
      <c r="CB740" s="567"/>
      <c r="CC740" s="567"/>
      <c r="CD740" s="567"/>
      <c r="CE740" s="567"/>
      <c r="CF740" s="567"/>
      <c r="CG740" s="567"/>
      <c r="CH740" s="567"/>
      <c r="CI740" s="567"/>
      <c r="CJ740" s="567"/>
      <c r="CK740" s="567"/>
      <c r="CL740" s="567"/>
      <c r="CM740" s="567"/>
      <c r="CN740" s="567"/>
      <c r="CO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  <c r="BW741" s="567"/>
      <c r="BX741" s="567"/>
      <c r="BY741" s="567"/>
      <c r="BZ741" s="567"/>
      <c r="CA741" s="567"/>
      <c r="CB741" s="567"/>
      <c r="CC741" s="567"/>
      <c r="CD741" s="567"/>
      <c r="CE741" s="567"/>
      <c r="CF741" s="567"/>
      <c r="CG741" s="567"/>
      <c r="CH741" s="567"/>
      <c r="CI741" s="567"/>
      <c r="CJ741" s="567"/>
      <c r="CK741" s="567"/>
      <c r="CL741" s="567"/>
      <c r="CM741" s="567"/>
      <c r="CN741" s="567"/>
      <c r="CO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  <c r="BW742" s="567"/>
      <c r="BX742" s="567"/>
      <c r="BY742" s="567"/>
      <c r="BZ742" s="567"/>
      <c r="CA742" s="567"/>
      <c r="CB742" s="567"/>
      <c r="CC742" s="567"/>
      <c r="CD742" s="567"/>
      <c r="CE742" s="567"/>
      <c r="CF742" s="567"/>
      <c r="CG742" s="567"/>
      <c r="CH742" s="567"/>
      <c r="CI742" s="567"/>
      <c r="CJ742" s="567"/>
      <c r="CK742" s="567"/>
      <c r="CL742" s="567"/>
      <c r="CM742" s="567"/>
      <c r="CN742" s="567"/>
      <c r="CO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  <c r="BW743" s="567"/>
      <c r="BX743" s="567"/>
      <c r="BY743" s="567"/>
      <c r="BZ743" s="567"/>
      <c r="CA743" s="567"/>
      <c r="CB743" s="567"/>
      <c r="CC743" s="567"/>
      <c r="CD743" s="567"/>
      <c r="CE743" s="567"/>
      <c r="CF743" s="567"/>
      <c r="CG743" s="567"/>
      <c r="CH743" s="567"/>
      <c r="CI743" s="567"/>
      <c r="CJ743" s="567"/>
      <c r="CK743" s="567"/>
      <c r="CL743" s="567"/>
      <c r="CM743" s="567"/>
      <c r="CN743" s="567"/>
      <c r="CO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  <c r="BW744" s="567"/>
      <c r="BX744" s="567"/>
      <c r="BY744" s="567"/>
      <c r="BZ744" s="567"/>
      <c r="CA744" s="567"/>
      <c r="CB744" s="567"/>
      <c r="CC744" s="567"/>
      <c r="CD744" s="567"/>
      <c r="CE744" s="567"/>
      <c r="CF744" s="567"/>
      <c r="CG744" s="567"/>
      <c r="CH744" s="567"/>
      <c r="CI744" s="567"/>
      <c r="CJ744" s="567"/>
      <c r="CK744" s="567"/>
      <c r="CL744" s="567"/>
      <c r="CM744" s="567"/>
      <c r="CN744" s="567"/>
      <c r="CO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  <c r="BW745" s="567"/>
      <c r="BX745" s="567"/>
      <c r="BY745" s="567"/>
      <c r="BZ745" s="567"/>
      <c r="CA745" s="567"/>
      <c r="CB745" s="567"/>
      <c r="CC745" s="567"/>
      <c r="CD745" s="567"/>
      <c r="CE745" s="567"/>
      <c r="CF745" s="567"/>
      <c r="CG745" s="567"/>
      <c r="CH745" s="567"/>
      <c r="CI745" s="567"/>
      <c r="CJ745" s="567"/>
      <c r="CK745" s="567"/>
      <c r="CL745" s="567"/>
      <c r="CM745" s="567"/>
      <c r="CN745" s="567"/>
      <c r="CO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  <c r="BW746" s="567"/>
      <c r="BX746" s="567"/>
      <c r="BY746" s="567"/>
      <c r="BZ746" s="567"/>
      <c r="CA746" s="567"/>
      <c r="CB746" s="567"/>
      <c r="CC746" s="567"/>
      <c r="CD746" s="567"/>
      <c r="CE746" s="567"/>
      <c r="CF746" s="567"/>
      <c r="CG746" s="567"/>
      <c r="CH746" s="567"/>
      <c r="CI746" s="567"/>
      <c r="CJ746" s="567"/>
      <c r="CK746" s="567"/>
      <c r="CL746" s="567"/>
      <c r="CM746" s="567"/>
      <c r="CN746" s="567"/>
      <c r="CO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  <c r="BW747" s="567"/>
      <c r="BX747" s="567"/>
      <c r="BY747" s="567"/>
      <c r="BZ747" s="567"/>
      <c r="CA747" s="567"/>
      <c r="CB747" s="567"/>
      <c r="CC747" s="567"/>
      <c r="CD747" s="567"/>
      <c r="CE747" s="567"/>
      <c r="CF747" s="567"/>
      <c r="CG747" s="567"/>
      <c r="CH747" s="567"/>
      <c r="CI747" s="567"/>
      <c r="CJ747" s="567"/>
      <c r="CK747" s="567"/>
      <c r="CL747" s="567"/>
      <c r="CM747" s="567"/>
      <c r="CN747" s="567"/>
      <c r="CO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  <c r="BW748" s="567"/>
      <c r="BX748" s="567"/>
      <c r="BY748" s="567"/>
      <c r="BZ748" s="567"/>
      <c r="CA748" s="567"/>
      <c r="CB748" s="567"/>
      <c r="CC748" s="567"/>
      <c r="CD748" s="567"/>
      <c r="CE748" s="567"/>
      <c r="CF748" s="567"/>
      <c r="CG748" s="567"/>
      <c r="CH748" s="567"/>
      <c r="CI748" s="567"/>
      <c r="CJ748" s="567"/>
      <c r="CK748" s="567"/>
      <c r="CL748" s="567"/>
      <c r="CM748" s="567"/>
      <c r="CN748" s="567"/>
      <c r="CO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  <c r="BW749" s="567"/>
      <c r="BX749" s="567"/>
      <c r="BY749" s="567"/>
      <c r="BZ749" s="567"/>
      <c r="CA749" s="567"/>
      <c r="CB749" s="567"/>
      <c r="CC749" s="567"/>
      <c r="CD749" s="567"/>
      <c r="CE749" s="567"/>
      <c r="CF749" s="567"/>
      <c r="CG749" s="567"/>
      <c r="CH749" s="567"/>
      <c r="CI749" s="567"/>
      <c r="CJ749" s="567"/>
      <c r="CK749" s="567"/>
      <c r="CL749" s="567"/>
      <c r="CM749" s="567"/>
      <c r="CN749" s="567"/>
      <c r="CO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  <c r="BW750" s="567"/>
      <c r="BX750" s="567"/>
      <c r="BY750" s="567"/>
      <c r="BZ750" s="567"/>
      <c r="CA750" s="567"/>
      <c r="CB750" s="567"/>
      <c r="CC750" s="567"/>
      <c r="CD750" s="567"/>
      <c r="CE750" s="567"/>
      <c r="CF750" s="567"/>
      <c r="CG750" s="567"/>
      <c r="CH750" s="567"/>
      <c r="CI750" s="567"/>
      <c r="CJ750" s="567"/>
      <c r="CK750" s="567"/>
      <c r="CL750" s="567"/>
      <c r="CM750" s="567"/>
      <c r="CN750" s="567"/>
      <c r="CO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  <c r="BW751" s="567"/>
      <c r="BX751" s="567"/>
      <c r="BY751" s="567"/>
      <c r="BZ751" s="567"/>
      <c r="CA751" s="567"/>
      <c r="CB751" s="567"/>
      <c r="CC751" s="567"/>
      <c r="CD751" s="567"/>
      <c r="CE751" s="567"/>
      <c r="CF751" s="567"/>
      <c r="CG751" s="567"/>
      <c r="CH751" s="567"/>
      <c r="CI751" s="567"/>
      <c r="CJ751" s="567"/>
      <c r="CK751" s="567"/>
      <c r="CL751" s="567"/>
      <c r="CM751" s="567"/>
      <c r="CN751" s="567"/>
      <c r="CO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  <c r="BW752" s="567"/>
      <c r="BX752" s="567"/>
      <c r="BY752" s="567"/>
      <c r="BZ752" s="567"/>
      <c r="CA752" s="567"/>
      <c r="CB752" s="567"/>
      <c r="CC752" s="567"/>
      <c r="CD752" s="567"/>
      <c r="CE752" s="567"/>
      <c r="CF752" s="567"/>
      <c r="CG752" s="567"/>
      <c r="CH752" s="567"/>
      <c r="CI752" s="567"/>
      <c r="CJ752" s="567"/>
      <c r="CK752" s="567"/>
      <c r="CL752" s="567"/>
      <c r="CM752" s="567"/>
      <c r="CN752" s="567"/>
      <c r="CO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  <c r="BW753" s="567"/>
      <c r="BX753" s="567"/>
      <c r="BY753" s="567"/>
      <c r="BZ753" s="567"/>
      <c r="CA753" s="567"/>
      <c r="CB753" s="567"/>
      <c r="CC753" s="567"/>
      <c r="CD753" s="567"/>
      <c r="CE753" s="567"/>
      <c r="CF753" s="567"/>
      <c r="CG753" s="567"/>
      <c r="CH753" s="567"/>
      <c r="CI753" s="567"/>
      <c r="CJ753" s="567"/>
      <c r="CK753" s="567"/>
      <c r="CL753" s="567"/>
      <c r="CM753" s="567"/>
      <c r="CN753" s="567"/>
      <c r="CO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  <c r="BW754" s="567"/>
      <c r="BX754" s="567"/>
      <c r="BY754" s="567"/>
      <c r="BZ754" s="567"/>
      <c r="CA754" s="567"/>
      <c r="CB754" s="567"/>
      <c r="CC754" s="567"/>
      <c r="CD754" s="567"/>
      <c r="CE754" s="567"/>
      <c r="CF754" s="567"/>
      <c r="CG754" s="567"/>
      <c r="CH754" s="567"/>
      <c r="CI754" s="567"/>
      <c r="CJ754" s="567"/>
      <c r="CK754" s="567"/>
      <c r="CL754" s="567"/>
      <c r="CM754" s="567"/>
      <c r="CN754" s="567"/>
      <c r="CO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  <c r="BW755" s="567"/>
      <c r="BX755" s="567"/>
      <c r="BY755" s="567"/>
      <c r="BZ755" s="567"/>
      <c r="CA755" s="567"/>
      <c r="CB755" s="567"/>
      <c r="CC755" s="567"/>
      <c r="CD755" s="567"/>
      <c r="CE755" s="567"/>
      <c r="CF755" s="567"/>
      <c r="CG755" s="567"/>
      <c r="CH755" s="567"/>
      <c r="CI755" s="567"/>
      <c r="CJ755" s="567"/>
      <c r="CK755" s="567"/>
      <c r="CL755" s="567"/>
      <c r="CM755" s="567"/>
      <c r="CN755" s="567"/>
      <c r="CO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  <c r="BW756" s="567"/>
      <c r="BX756" s="567"/>
      <c r="BY756" s="567"/>
      <c r="BZ756" s="567"/>
      <c r="CA756" s="567"/>
      <c r="CB756" s="567"/>
      <c r="CC756" s="567"/>
      <c r="CD756" s="567"/>
      <c r="CE756" s="567"/>
      <c r="CF756" s="567"/>
      <c r="CG756" s="567"/>
      <c r="CH756" s="567"/>
      <c r="CI756" s="567"/>
      <c r="CJ756" s="567"/>
      <c r="CK756" s="567"/>
      <c r="CL756" s="567"/>
      <c r="CM756" s="567"/>
      <c r="CN756" s="567"/>
      <c r="CO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  <c r="BW757" s="567"/>
      <c r="BX757" s="567"/>
      <c r="BY757" s="567"/>
      <c r="BZ757" s="567"/>
      <c r="CA757" s="567"/>
      <c r="CB757" s="567"/>
      <c r="CC757" s="567"/>
      <c r="CD757" s="567"/>
      <c r="CE757" s="567"/>
      <c r="CF757" s="567"/>
      <c r="CG757" s="567"/>
      <c r="CH757" s="567"/>
      <c r="CI757" s="567"/>
      <c r="CJ757" s="567"/>
      <c r="CK757" s="567"/>
      <c r="CL757" s="567"/>
      <c r="CM757" s="567"/>
      <c r="CN757" s="567"/>
      <c r="CO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  <c r="BW758" s="567"/>
      <c r="BX758" s="567"/>
      <c r="BY758" s="567"/>
      <c r="BZ758" s="567"/>
      <c r="CA758" s="567"/>
      <c r="CB758" s="567"/>
      <c r="CC758" s="567"/>
      <c r="CD758" s="567"/>
      <c r="CE758" s="567"/>
      <c r="CF758" s="567"/>
      <c r="CG758" s="567"/>
      <c r="CH758" s="567"/>
      <c r="CI758" s="567"/>
      <c r="CJ758" s="567"/>
      <c r="CK758" s="567"/>
      <c r="CL758" s="567"/>
      <c r="CM758" s="567"/>
      <c r="CN758" s="567"/>
      <c r="CO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  <c r="BW759" s="567"/>
      <c r="BX759" s="567"/>
      <c r="BY759" s="567"/>
      <c r="BZ759" s="567"/>
      <c r="CA759" s="567"/>
      <c r="CB759" s="567"/>
      <c r="CC759" s="567"/>
      <c r="CD759" s="567"/>
      <c r="CE759" s="567"/>
      <c r="CF759" s="567"/>
      <c r="CG759" s="567"/>
      <c r="CH759" s="567"/>
      <c r="CI759" s="567"/>
      <c r="CJ759" s="567"/>
      <c r="CK759" s="567"/>
      <c r="CL759" s="567"/>
      <c r="CM759" s="567"/>
      <c r="CN759" s="567"/>
      <c r="CO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  <c r="BW760" s="567"/>
      <c r="BX760" s="567"/>
      <c r="BY760" s="567"/>
      <c r="BZ760" s="567"/>
      <c r="CA760" s="567"/>
      <c r="CB760" s="567"/>
      <c r="CC760" s="567"/>
      <c r="CD760" s="567"/>
      <c r="CE760" s="567"/>
      <c r="CF760" s="567"/>
      <c r="CG760" s="567"/>
      <c r="CH760" s="567"/>
      <c r="CI760" s="567"/>
      <c r="CJ760" s="567"/>
      <c r="CK760" s="567"/>
      <c r="CL760" s="567"/>
      <c r="CM760" s="567"/>
      <c r="CN760" s="567"/>
      <c r="CO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  <c r="BW761" s="567"/>
      <c r="BX761" s="567"/>
      <c r="BY761" s="567"/>
      <c r="BZ761" s="567"/>
      <c r="CA761" s="567"/>
      <c r="CB761" s="567"/>
      <c r="CC761" s="567"/>
      <c r="CD761" s="567"/>
      <c r="CE761" s="567"/>
      <c r="CF761" s="567"/>
      <c r="CG761" s="567"/>
      <c r="CH761" s="567"/>
      <c r="CI761" s="567"/>
      <c r="CJ761" s="567"/>
      <c r="CK761" s="567"/>
      <c r="CL761" s="567"/>
      <c r="CM761" s="567"/>
      <c r="CN761" s="567"/>
      <c r="CO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  <c r="BW762" s="567"/>
      <c r="BX762" s="567"/>
      <c r="BY762" s="567"/>
      <c r="BZ762" s="567"/>
      <c r="CA762" s="567"/>
      <c r="CB762" s="567"/>
      <c r="CC762" s="567"/>
      <c r="CD762" s="567"/>
      <c r="CE762" s="567"/>
      <c r="CF762" s="567"/>
      <c r="CG762" s="567"/>
      <c r="CH762" s="567"/>
      <c r="CI762" s="567"/>
      <c r="CJ762" s="567"/>
      <c r="CK762" s="567"/>
      <c r="CL762" s="567"/>
      <c r="CM762" s="567"/>
      <c r="CN762" s="567"/>
      <c r="CO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  <c r="BW763" s="567"/>
      <c r="BX763" s="567"/>
      <c r="BY763" s="567"/>
      <c r="BZ763" s="567"/>
      <c r="CA763" s="567"/>
      <c r="CB763" s="567"/>
      <c r="CC763" s="567"/>
      <c r="CD763" s="567"/>
      <c r="CE763" s="567"/>
      <c r="CF763" s="567"/>
      <c r="CG763" s="567"/>
      <c r="CH763" s="567"/>
      <c r="CI763" s="567"/>
      <c r="CJ763" s="567"/>
      <c r="CK763" s="567"/>
      <c r="CL763" s="567"/>
      <c r="CM763" s="567"/>
      <c r="CN763" s="567"/>
      <c r="CO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  <c r="BW764" s="567"/>
      <c r="BX764" s="567"/>
      <c r="BY764" s="567"/>
      <c r="BZ764" s="567"/>
      <c r="CA764" s="567"/>
      <c r="CB764" s="567"/>
      <c r="CC764" s="567"/>
      <c r="CD764" s="567"/>
      <c r="CE764" s="567"/>
      <c r="CF764" s="567"/>
      <c r="CG764" s="567"/>
      <c r="CH764" s="567"/>
      <c r="CI764" s="567"/>
      <c r="CJ764" s="567"/>
      <c r="CK764" s="567"/>
      <c r="CL764" s="567"/>
      <c r="CM764" s="567"/>
      <c r="CN764" s="567"/>
      <c r="CO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  <c r="BW765" s="567"/>
      <c r="BX765" s="567"/>
      <c r="BY765" s="567"/>
      <c r="BZ765" s="567"/>
      <c r="CA765" s="567"/>
      <c r="CB765" s="567"/>
      <c r="CC765" s="567"/>
      <c r="CD765" s="567"/>
      <c r="CE765" s="567"/>
      <c r="CF765" s="567"/>
      <c r="CG765" s="567"/>
      <c r="CH765" s="567"/>
      <c r="CI765" s="567"/>
      <c r="CJ765" s="567"/>
      <c r="CK765" s="567"/>
      <c r="CL765" s="567"/>
      <c r="CM765" s="567"/>
      <c r="CN765" s="567"/>
      <c r="CO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  <c r="BW766" s="567"/>
      <c r="BX766" s="567"/>
      <c r="BY766" s="567"/>
      <c r="BZ766" s="567"/>
      <c r="CA766" s="567"/>
      <c r="CB766" s="567"/>
      <c r="CC766" s="567"/>
      <c r="CD766" s="567"/>
      <c r="CE766" s="567"/>
      <c r="CF766" s="567"/>
      <c r="CG766" s="567"/>
      <c r="CH766" s="567"/>
      <c r="CI766" s="567"/>
      <c r="CJ766" s="567"/>
      <c r="CK766" s="567"/>
      <c r="CL766" s="567"/>
      <c r="CM766" s="567"/>
      <c r="CN766" s="567"/>
      <c r="CO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  <c r="BW767" s="567"/>
      <c r="BX767" s="567"/>
      <c r="BY767" s="567"/>
      <c r="BZ767" s="567"/>
      <c r="CA767" s="567"/>
      <c r="CB767" s="567"/>
      <c r="CC767" s="567"/>
      <c r="CD767" s="567"/>
      <c r="CE767" s="567"/>
      <c r="CF767" s="567"/>
      <c r="CG767" s="567"/>
      <c r="CH767" s="567"/>
      <c r="CI767" s="567"/>
      <c r="CJ767" s="567"/>
      <c r="CK767" s="567"/>
      <c r="CL767" s="567"/>
      <c r="CM767" s="567"/>
      <c r="CN767" s="567"/>
      <c r="CO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  <c r="BW768" s="567"/>
      <c r="BX768" s="567"/>
      <c r="BY768" s="567"/>
      <c r="BZ768" s="567"/>
      <c r="CA768" s="567"/>
      <c r="CB768" s="567"/>
      <c r="CC768" s="567"/>
      <c r="CD768" s="567"/>
      <c r="CE768" s="567"/>
      <c r="CF768" s="567"/>
      <c r="CG768" s="567"/>
      <c r="CH768" s="567"/>
      <c r="CI768" s="567"/>
      <c r="CJ768" s="567"/>
      <c r="CK768" s="567"/>
      <c r="CL768" s="567"/>
      <c r="CM768" s="567"/>
      <c r="CN768" s="567"/>
      <c r="CO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  <c r="BW769" s="567"/>
      <c r="BX769" s="567"/>
      <c r="BY769" s="567"/>
      <c r="BZ769" s="567"/>
      <c r="CA769" s="567"/>
      <c r="CB769" s="567"/>
      <c r="CC769" s="567"/>
      <c r="CD769" s="567"/>
      <c r="CE769" s="567"/>
      <c r="CF769" s="567"/>
      <c r="CG769" s="567"/>
      <c r="CH769" s="567"/>
      <c r="CI769" s="567"/>
      <c r="CJ769" s="567"/>
      <c r="CK769" s="567"/>
      <c r="CL769" s="567"/>
      <c r="CM769" s="567"/>
      <c r="CN769" s="567"/>
      <c r="CO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  <c r="BW770" s="567"/>
      <c r="BX770" s="567"/>
      <c r="BY770" s="567"/>
      <c r="BZ770" s="567"/>
      <c r="CA770" s="567"/>
      <c r="CB770" s="567"/>
      <c r="CC770" s="567"/>
      <c r="CD770" s="567"/>
      <c r="CE770" s="567"/>
      <c r="CF770" s="567"/>
      <c r="CG770" s="567"/>
      <c r="CH770" s="567"/>
      <c r="CI770" s="567"/>
      <c r="CJ770" s="567"/>
      <c r="CK770" s="567"/>
      <c r="CL770" s="567"/>
      <c r="CM770" s="567"/>
      <c r="CN770" s="567"/>
      <c r="CO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  <c r="BW771" s="567"/>
      <c r="BX771" s="567"/>
      <c r="BY771" s="567"/>
      <c r="BZ771" s="567"/>
      <c r="CA771" s="567"/>
      <c r="CB771" s="567"/>
      <c r="CC771" s="567"/>
      <c r="CD771" s="567"/>
      <c r="CE771" s="567"/>
      <c r="CF771" s="567"/>
      <c r="CG771" s="567"/>
      <c r="CH771" s="567"/>
      <c r="CI771" s="567"/>
      <c r="CJ771" s="567"/>
      <c r="CK771" s="567"/>
      <c r="CL771" s="567"/>
      <c r="CM771" s="567"/>
      <c r="CN771" s="567"/>
      <c r="CO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  <c r="BW772" s="567"/>
      <c r="BX772" s="567"/>
      <c r="BY772" s="567"/>
      <c r="BZ772" s="567"/>
      <c r="CA772" s="567"/>
      <c r="CB772" s="567"/>
      <c r="CC772" s="567"/>
      <c r="CD772" s="567"/>
      <c r="CE772" s="567"/>
      <c r="CF772" s="567"/>
      <c r="CG772" s="567"/>
      <c r="CH772" s="567"/>
      <c r="CI772" s="567"/>
      <c r="CJ772" s="567"/>
      <c r="CK772" s="567"/>
      <c r="CL772" s="567"/>
      <c r="CM772" s="567"/>
      <c r="CN772" s="567"/>
      <c r="CO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  <c r="BW773" s="567"/>
      <c r="BX773" s="567"/>
      <c r="BY773" s="567"/>
      <c r="BZ773" s="567"/>
      <c r="CA773" s="567"/>
      <c r="CB773" s="567"/>
      <c r="CC773" s="567"/>
      <c r="CD773" s="567"/>
      <c r="CE773" s="567"/>
      <c r="CF773" s="567"/>
      <c r="CG773" s="567"/>
      <c r="CH773" s="567"/>
      <c r="CI773" s="567"/>
      <c r="CJ773" s="567"/>
      <c r="CK773" s="567"/>
      <c r="CL773" s="567"/>
      <c r="CM773" s="567"/>
      <c r="CN773" s="567"/>
      <c r="CO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  <c r="BW774" s="567"/>
      <c r="BX774" s="567"/>
      <c r="BY774" s="567"/>
      <c r="BZ774" s="567"/>
      <c r="CA774" s="567"/>
      <c r="CB774" s="567"/>
      <c r="CC774" s="567"/>
      <c r="CD774" s="567"/>
      <c r="CE774" s="567"/>
      <c r="CF774" s="567"/>
      <c r="CG774" s="567"/>
      <c r="CH774" s="567"/>
      <c r="CI774" s="567"/>
      <c r="CJ774" s="567"/>
      <c r="CK774" s="567"/>
      <c r="CL774" s="567"/>
      <c r="CM774" s="567"/>
      <c r="CN774" s="567"/>
      <c r="CO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  <c r="BW775" s="567"/>
      <c r="BX775" s="567"/>
      <c r="BY775" s="567"/>
      <c r="BZ775" s="567"/>
      <c r="CA775" s="567"/>
      <c r="CB775" s="567"/>
      <c r="CC775" s="567"/>
      <c r="CD775" s="567"/>
      <c r="CE775" s="567"/>
      <c r="CF775" s="567"/>
      <c r="CG775" s="567"/>
      <c r="CH775" s="567"/>
      <c r="CI775" s="567"/>
      <c r="CJ775" s="567"/>
      <c r="CK775" s="567"/>
      <c r="CL775" s="567"/>
      <c r="CM775" s="567"/>
      <c r="CN775" s="567"/>
      <c r="CO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  <c r="BW776" s="567"/>
      <c r="BX776" s="567"/>
      <c r="BY776" s="567"/>
      <c r="BZ776" s="567"/>
      <c r="CA776" s="567"/>
      <c r="CB776" s="567"/>
      <c r="CC776" s="567"/>
      <c r="CD776" s="567"/>
      <c r="CE776" s="567"/>
      <c r="CF776" s="567"/>
      <c r="CG776" s="567"/>
      <c r="CH776" s="567"/>
      <c r="CI776" s="567"/>
      <c r="CJ776" s="567"/>
      <c r="CK776" s="567"/>
      <c r="CL776" s="567"/>
      <c r="CM776" s="567"/>
      <c r="CN776" s="567"/>
      <c r="CO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  <c r="BW777" s="567"/>
      <c r="BX777" s="567"/>
      <c r="BY777" s="567"/>
      <c r="BZ777" s="567"/>
      <c r="CA777" s="567"/>
      <c r="CB777" s="567"/>
      <c r="CC777" s="567"/>
      <c r="CD777" s="567"/>
      <c r="CE777" s="567"/>
      <c r="CF777" s="567"/>
      <c r="CG777" s="567"/>
      <c r="CH777" s="567"/>
      <c r="CI777" s="567"/>
      <c r="CJ777" s="567"/>
      <c r="CK777" s="567"/>
      <c r="CL777" s="567"/>
      <c r="CM777" s="567"/>
      <c r="CN777" s="567"/>
      <c r="CO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  <c r="BW778" s="567"/>
      <c r="BX778" s="567"/>
      <c r="BY778" s="567"/>
      <c r="BZ778" s="567"/>
      <c r="CA778" s="567"/>
      <c r="CB778" s="567"/>
      <c r="CC778" s="567"/>
      <c r="CD778" s="567"/>
      <c r="CE778" s="567"/>
      <c r="CF778" s="567"/>
      <c r="CG778" s="567"/>
      <c r="CH778" s="567"/>
      <c r="CI778" s="567"/>
      <c r="CJ778" s="567"/>
      <c r="CK778" s="567"/>
      <c r="CL778" s="567"/>
      <c r="CM778" s="567"/>
      <c r="CN778" s="567"/>
      <c r="CO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  <c r="BW779" s="567"/>
      <c r="BX779" s="567"/>
      <c r="BY779" s="567"/>
      <c r="BZ779" s="567"/>
      <c r="CA779" s="567"/>
      <c r="CB779" s="567"/>
      <c r="CC779" s="567"/>
      <c r="CD779" s="567"/>
      <c r="CE779" s="567"/>
      <c r="CF779" s="567"/>
      <c r="CG779" s="567"/>
      <c r="CH779" s="567"/>
      <c r="CI779" s="567"/>
      <c r="CJ779" s="567"/>
      <c r="CK779" s="567"/>
      <c r="CL779" s="567"/>
      <c r="CM779" s="567"/>
      <c r="CN779" s="567"/>
      <c r="CO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  <c r="BW780" s="567"/>
      <c r="BX780" s="567"/>
      <c r="BY780" s="567"/>
      <c r="BZ780" s="567"/>
      <c r="CA780" s="567"/>
      <c r="CB780" s="567"/>
      <c r="CC780" s="567"/>
      <c r="CD780" s="567"/>
      <c r="CE780" s="567"/>
      <c r="CF780" s="567"/>
      <c r="CG780" s="567"/>
      <c r="CH780" s="567"/>
      <c r="CI780" s="567"/>
      <c r="CJ780" s="567"/>
      <c r="CK780" s="567"/>
      <c r="CL780" s="567"/>
      <c r="CM780" s="567"/>
      <c r="CN780" s="567"/>
      <c r="CO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  <c r="BW781" s="567"/>
      <c r="BX781" s="567"/>
      <c r="BY781" s="567"/>
      <c r="BZ781" s="567"/>
      <c r="CA781" s="567"/>
      <c r="CB781" s="567"/>
      <c r="CC781" s="567"/>
      <c r="CD781" s="567"/>
      <c r="CE781" s="567"/>
      <c r="CF781" s="567"/>
      <c r="CG781" s="567"/>
      <c r="CH781" s="567"/>
      <c r="CI781" s="567"/>
      <c r="CJ781" s="567"/>
      <c r="CK781" s="567"/>
      <c r="CL781" s="567"/>
      <c r="CM781" s="567"/>
      <c r="CN781" s="567"/>
      <c r="CO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  <c r="BW782" s="567"/>
      <c r="BX782" s="567"/>
      <c r="BY782" s="567"/>
      <c r="BZ782" s="567"/>
      <c r="CA782" s="567"/>
      <c r="CB782" s="567"/>
      <c r="CC782" s="567"/>
      <c r="CD782" s="567"/>
      <c r="CE782" s="567"/>
      <c r="CF782" s="567"/>
      <c r="CG782" s="567"/>
      <c r="CH782" s="567"/>
      <c r="CI782" s="567"/>
      <c r="CJ782" s="567"/>
      <c r="CK782" s="567"/>
      <c r="CL782" s="567"/>
      <c r="CM782" s="567"/>
      <c r="CN782" s="567"/>
      <c r="CO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  <c r="BW783" s="567"/>
      <c r="BX783" s="567"/>
      <c r="BY783" s="567"/>
      <c r="BZ783" s="567"/>
      <c r="CA783" s="567"/>
      <c r="CB783" s="567"/>
      <c r="CC783" s="567"/>
      <c r="CD783" s="567"/>
      <c r="CE783" s="567"/>
      <c r="CF783" s="567"/>
      <c r="CG783" s="567"/>
      <c r="CH783" s="567"/>
      <c r="CI783" s="567"/>
      <c r="CJ783" s="567"/>
      <c r="CK783" s="567"/>
      <c r="CL783" s="567"/>
      <c r="CM783" s="567"/>
      <c r="CN783" s="567"/>
      <c r="CO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  <c r="BW784" s="567"/>
      <c r="BX784" s="567"/>
      <c r="BY784" s="567"/>
      <c r="BZ784" s="567"/>
      <c r="CA784" s="567"/>
      <c r="CB784" s="567"/>
      <c r="CC784" s="567"/>
      <c r="CD784" s="567"/>
      <c r="CE784" s="567"/>
      <c r="CF784" s="567"/>
      <c r="CG784" s="567"/>
      <c r="CH784" s="567"/>
      <c r="CI784" s="567"/>
      <c r="CJ784" s="567"/>
      <c r="CK784" s="567"/>
      <c r="CL784" s="567"/>
      <c r="CM784" s="567"/>
      <c r="CN784" s="567"/>
      <c r="CO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  <c r="BW785" s="567"/>
      <c r="BX785" s="567"/>
      <c r="BY785" s="567"/>
      <c r="BZ785" s="567"/>
      <c r="CA785" s="567"/>
      <c r="CB785" s="567"/>
      <c r="CC785" s="567"/>
      <c r="CD785" s="567"/>
      <c r="CE785" s="567"/>
      <c r="CF785" s="567"/>
      <c r="CG785" s="567"/>
      <c r="CH785" s="567"/>
      <c r="CI785" s="567"/>
      <c r="CJ785" s="567"/>
      <c r="CK785" s="567"/>
      <c r="CL785" s="567"/>
      <c r="CM785" s="567"/>
      <c r="CN785" s="567"/>
      <c r="CO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  <c r="BW786" s="567"/>
      <c r="BX786" s="567"/>
      <c r="BY786" s="567"/>
      <c r="BZ786" s="567"/>
      <c r="CA786" s="567"/>
      <c r="CB786" s="567"/>
      <c r="CC786" s="567"/>
      <c r="CD786" s="567"/>
      <c r="CE786" s="567"/>
      <c r="CF786" s="567"/>
      <c r="CG786" s="567"/>
      <c r="CH786" s="567"/>
      <c r="CI786" s="567"/>
      <c r="CJ786" s="567"/>
      <c r="CK786" s="567"/>
      <c r="CL786" s="567"/>
      <c r="CM786" s="567"/>
      <c r="CN786" s="567"/>
      <c r="CO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  <c r="BW787" s="567"/>
      <c r="BX787" s="567"/>
      <c r="BY787" s="567"/>
      <c r="BZ787" s="567"/>
      <c r="CA787" s="567"/>
      <c r="CB787" s="567"/>
      <c r="CC787" s="567"/>
      <c r="CD787" s="567"/>
      <c r="CE787" s="567"/>
      <c r="CF787" s="567"/>
      <c r="CG787" s="567"/>
      <c r="CH787" s="567"/>
      <c r="CI787" s="567"/>
      <c r="CJ787" s="567"/>
      <c r="CK787" s="567"/>
      <c r="CL787" s="567"/>
      <c r="CM787" s="567"/>
      <c r="CN787" s="567"/>
      <c r="CO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  <c r="BW788" s="567"/>
      <c r="BX788" s="567"/>
      <c r="BY788" s="567"/>
      <c r="BZ788" s="567"/>
      <c r="CA788" s="567"/>
      <c r="CB788" s="567"/>
      <c r="CC788" s="567"/>
      <c r="CD788" s="567"/>
      <c r="CE788" s="567"/>
      <c r="CF788" s="567"/>
      <c r="CG788" s="567"/>
      <c r="CH788" s="567"/>
      <c r="CI788" s="567"/>
      <c r="CJ788" s="567"/>
      <c r="CK788" s="567"/>
      <c r="CL788" s="567"/>
      <c r="CM788" s="567"/>
      <c r="CN788" s="567"/>
      <c r="CO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  <c r="BW789" s="567"/>
      <c r="BX789" s="567"/>
      <c r="BY789" s="567"/>
      <c r="BZ789" s="567"/>
      <c r="CA789" s="567"/>
      <c r="CB789" s="567"/>
      <c r="CC789" s="567"/>
      <c r="CD789" s="567"/>
      <c r="CE789" s="567"/>
      <c r="CF789" s="567"/>
      <c r="CG789" s="567"/>
      <c r="CH789" s="567"/>
      <c r="CI789" s="567"/>
      <c r="CJ789" s="567"/>
      <c r="CK789" s="567"/>
      <c r="CL789" s="567"/>
      <c r="CM789" s="567"/>
      <c r="CN789" s="567"/>
      <c r="CO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  <c r="BW790" s="567"/>
      <c r="BX790" s="567"/>
      <c r="BY790" s="567"/>
      <c r="BZ790" s="567"/>
      <c r="CA790" s="567"/>
      <c r="CB790" s="567"/>
      <c r="CC790" s="567"/>
      <c r="CD790" s="567"/>
      <c r="CE790" s="567"/>
      <c r="CF790" s="567"/>
      <c r="CG790" s="567"/>
      <c r="CH790" s="567"/>
      <c r="CI790" s="567"/>
      <c r="CJ790" s="567"/>
      <c r="CK790" s="567"/>
      <c r="CL790" s="567"/>
      <c r="CM790" s="567"/>
      <c r="CN790" s="567"/>
      <c r="CO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  <c r="BW791" s="567"/>
      <c r="BX791" s="567"/>
      <c r="BY791" s="567"/>
      <c r="BZ791" s="567"/>
      <c r="CA791" s="567"/>
      <c r="CB791" s="567"/>
      <c r="CC791" s="567"/>
      <c r="CD791" s="567"/>
      <c r="CE791" s="567"/>
      <c r="CF791" s="567"/>
      <c r="CG791" s="567"/>
      <c r="CH791" s="567"/>
      <c r="CI791" s="567"/>
      <c r="CJ791" s="567"/>
      <c r="CK791" s="567"/>
      <c r="CL791" s="567"/>
      <c r="CM791" s="567"/>
      <c r="CN791" s="567"/>
      <c r="CO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  <c r="BW792" s="567"/>
      <c r="BX792" s="567"/>
      <c r="BY792" s="567"/>
      <c r="BZ792" s="567"/>
      <c r="CA792" s="567"/>
      <c r="CB792" s="567"/>
      <c r="CC792" s="567"/>
      <c r="CD792" s="567"/>
      <c r="CE792" s="567"/>
      <c r="CF792" s="567"/>
      <c r="CG792" s="567"/>
      <c r="CH792" s="567"/>
      <c r="CI792" s="567"/>
      <c r="CJ792" s="567"/>
      <c r="CK792" s="567"/>
      <c r="CL792" s="567"/>
      <c r="CM792" s="567"/>
      <c r="CN792" s="567"/>
      <c r="CO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  <c r="BW793" s="567"/>
      <c r="BX793" s="567"/>
      <c r="BY793" s="567"/>
      <c r="BZ793" s="567"/>
      <c r="CA793" s="567"/>
      <c r="CB793" s="567"/>
      <c r="CC793" s="567"/>
      <c r="CD793" s="567"/>
      <c r="CE793" s="567"/>
      <c r="CF793" s="567"/>
      <c r="CG793" s="567"/>
      <c r="CH793" s="567"/>
      <c r="CI793" s="567"/>
      <c r="CJ793" s="567"/>
      <c r="CK793" s="567"/>
      <c r="CL793" s="567"/>
      <c r="CM793" s="567"/>
      <c r="CN793" s="567"/>
      <c r="CO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  <c r="BW794" s="567"/>
      <c r="BX794" s="567"/>
      <c r="BY794" s="567"/>
      <c r="BZ794" s="567"/>
      <c r="CA794" s="567"/>
      <c r="CB794" s="567"/>
      <c r="CC794" s="567"/>
      <c r="CD794" s="567"/>
      <c r="CE794" s="567"/>
      <c r="CF794" s="567"/>
      <c r="CG794" s="567"/>
      <c r="CH794" s="567"/>
      <c r="CI794" s="567"/>
      <c r="CJ794" s="567"/>
      <c r="CK794" s="567"/>
      <c r="CL794" s="567"/>
      <c r="CM794" s="567"/>
      <c r="CN794" s="567"/>
      <c r="CO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  <c r="BW795" s="567"/>
      <c r="BX795" s="567"/>
      <c r="BY795" s="567"/>
      <c r="BZ795" s="567"/>
      <c r="CA795" s="567"/>
      <c r="CB795" s="567"/>
      <c r="CC795" s="567"/>
      <c r="CD795" s="567"/>
      <c r="CE795" s="567"/>
      <c r="CF795" s="567"/>
      <c r="CG795" s="567"/>
      <c r="CH795" s="567"/>
      <c r="CI795" s="567"/>
      <c r="CJ795" s="567"/>
      <c r="CK795" s="567"/>
      <c r="CL795" s="567"/>
      <c r="CM795" s="567"/>
      <c r="CN795" s="567"/>
      <c r="CO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  <c r="BW796" s="567"/>
      <c r="BX796" s="567"/>
      <c r="BY796" s="567"/>
      <c r="BZ796" s="567"/>
      <c r="CA796" s="567"/>
      <c r="CB796" s="567"/>
      <c r="CC796" s="567"/>
      <c r="CD796" s="567"/>
      <c r="CE796" s="567"/>
      <c r="CF796" s="567"/>
      <c r="CG796" s="567"/>
      <c r="CH796" s="567"/>
      <c r="CI796" s="567"/>
      <c r="CJ796" s="567"/>
      <c r="CK796" s="567"/>
      <c r="CL796" s="567"/>
      <c r="CM796" s="567"/>
      <c r="CN796" s="567"/>
      <c r="CO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  <c r="BW797" s="567"/>
      <c r="BX797" s="567"/>
      <c r="BY797" s="567"/>
      <c r="BZ797" s="567"/>
      <c r="CA797" s="567"/>
      <c r="CB797" s="567"/>
      <c r="CC797" s="567"/>
      <c r="CD797" s="567"/>
      <c r="CE797" s="567"/>
      <c r="CF797" s="567"/>
      <c r="CG797" s="567"/>
      <c r="CH797" s="567"/>
      <c r="CI797" s="567"/>
      <c r="CJ797" s="567"/>
      <c r="CK797" s="567"/>
      <c r="CL797" s="567"/>
      <c r="CM797" s="567"/>
      <c r="CN797" s="567"/>
      <c r="CO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  <c r="BW798" s="567"/>
      <c r="BX798" s="567"/>
      <c r="BY798" s="567"/>
      <c r="BZ798" s="567"/>
      <c r="CA798" s="567"/>
      <c r="CB798" s="567"/>
      <c r="CC798" s="567"/>
      <c r="CD798" s="567"/>
      <c r="CE798" s="567"/>
      <c r="CF798" s="567"/>
      <c r="CG798" s="567"/>
      <c r="CH798" s="567"/>
      <c r="CI798" s="567"/>
      <c r="CJ798" s="567"/>
      <c r="CK798" s="567"/>
      <c r="CL798" s="567"/>
      <c r="CM798" s="567"/>
      <c r="CN798" s="567"/>
      <c r="CO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  <c r="BW799" s="567"/>
      <c r="BX799" s="567"/>
      <c r="BY799" s="567"/>
      <c r="BZ799" s="567"/>
      <c r="CA799" s="567"/>
      <c r="CB799" s="567"/>
      <c r="CC799" s="567"/>
      <c r="CD799" s="567"/>
      <c r="CE799" s="567"/>
      <c r="CF799" s="567"/>
      <c r="CG799" s="567"/>
      <c r="CH799" s="567"/>
      <c r="CI799" s="567"/>
      <c r="CJ799" s="567"/>
      <c r="CK799" s="567"/>
      <c r="CL799" s="567"/>
      <c r="CM799" s="567"/>
      <c r="CN799" s="567"/>
      <c r="CO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  <c r="BW800" s="567"/>
      <c r="BX800" s="567"/>
      <c r="BY800" s="567"/>
      <c r="BZ800" s="567"/>
      <c r="CA800" s="567"/>
      <c r="CB800" s="567"/>
      <c r="CC800" s="567"/>
      <c r="CD800" s="567"/>
      <c r="CE800" s="567"/>
      <c r="CF800" s="567"/>
      <c r="CG800" s="567"/>
      <c r="CH800" s="567"/>
      <c r="CI800" s="567"/>
      <c r="CJ800" s="567"/>
      <c r="CK800" s="567"/>
      <c r="CL800" s="567"/>
      <c r="CM800" s="567"/>
      <c r="CN800" s="567"/>
      <c r="CO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  <c r="BW801" s="567"/>
      <c r="BX801" s="567"/>
      <c r="BY801" s="567"/>
      <c r="BZ801" s="567"/>
      <c r="CA801" s="567"/>
      <c r="CB801" s="567"/>
      <c r="CC801" s="567"/>
      <c r="CD801" s="567"/>
      <c r="CE801" s="567"/>
      <c r="CF801" s="567"/>
      <c r="CG801" s="567"/>
      <c r="CH801" s="567"/>
      <c r="CI801" s="567"/>
      <c r="CJ801" s="567"/>
      <c r="CK801" s="567"/>
      <c r="CL801" s="567"/>
      <c r="CM801" s="567"/>
      <c r="CN801" s="567"/>
      <c r="CO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  <c r="BW802" s="567"/>
      <c r="BX802" s="567"/>
      <c r="BY802" s="567"/>
      <c r="BZ802" s="567"/>
      <c r="CA802" s="567"/>
      <c r="CB802" s="567"/>
      <c r="CC802" s="567"/>
      <c r="CD802" s="567"/>
      <c r="CE802" s="567"/>
      <c r="CF802" s="567"/>
      <c r="CG802" s="567"/>
      <c r="CH802" s="567"/>
      <c r="CI802" s="567"/>
      <c r="CJ802" s="567"/>
      <c r="CK802" s="567"/>
      <c r="CL802" s="567"/>
      <c r="CM802" s="567"/>
      <c r="CN802" s="567"/>
      <c r="CO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  <c r="BW803" s="567"/>
      <c r="BX803" s="567"/>
      <c r="BY803" s="567"/>
      <c r="BZ803" s="567"/>
      <c r="CA803" s="567"/>
      <c r="CB803" s="567"/>
      <c r="CC803" s="567"/>
      <c r="CD803" s="567"/>
      <c r="CE803" s="567"/>
      <c r="CF803" s="567"/>
      <c r="CG803" s="567"/>
      <c r="CH803" s="567"/>
      <c r="CI803" s="567"/>
      <c r="CJ803" s="567"/>
      <c r="CK803" s="567"/>
      <c r="CL803" s="567"/>
      <c r="CM803" s="567"/>
      <c r="CN803" s="567"/>
      <c r="CO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  <c r="BW804" s="567"/>
      <c r="BX804" s="567"/>
      <c r="BY804" s="567"/>
      <c r="BZ804" s="567"/>
      <c r="CA804" s="567"/>
      <c r="CB804" s="567"/>
      <c r="CC804" s="567"/>
      <c r="CD804" s="567"/>
      <c r="CE804" s="567"/>
      <c r="CF804" s="567"/>
      <c r="CG804" s="567"/>
      <c r="CH804" s="567"/>
      <c r="CI804" s="567"/>
      <c r="CJ804" s="567"/>
      <c r="CK804" s="567"/>
      <c r="CL804" s="567"/>
      <c r="CM804" s="567"/>
      <c r="CN804" s="567"/>
      <c r="CO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  <c r="BW805" s="567"/>
      <c r="BX805" s="567"/>
      <c r="BY805" s="567"/>
      <c r="BZ805" s="567"/>
      <c r="CA805" s="567"/>
      <c r="CB805" s="567"/>
      <c r="CC805" s="567"/>
      <c r="CD805" s="567"/>
      <c r="CE805" s="567"/>
      <c r="CF805" s="567"/>
      <c r="CG805" s="567"/>
      <c r="CH805" s="567"/>
      <c r="CI805" s="567"/>
      <c r="CJ805" s="567"/>
      <c r="CK805" s="567"/>
      <c r="CL805" s="567"/>
      <c r="CM805" s="567"/>
      <c r="CN805" s="567"/>
      <c r="CO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  <c r="BW806" s="567"/>
      <c r="BX806" s="567"/>
      <c r="BY806" s="567"/>
      <c r="BZ806" s="567"/>
      <c r="CA806" s="567"/>
      <c r="CB806" s="567"/>
      <c r="CC806" s="567"/>
      <c r="CD806" s="567"/>
      <c r="CE806" s="567"/>
      <c r="CF806" s="567"/>
      <c r="CG806" s="567"/>
      <c r="CH806" s="567"/>
      <c r="CI806" s="567"/>
      <c r="CJ806" s="567"/>
      <c r="CK806" s="567"/>
      <c r="CL806" s="567"/>
      <c r="CM806" s="567"/>
      <c r="CN806" s="567"/>
      <c r="CO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  <c r="BW807" s="567"/>
      <c r="BX807" s="567"/>
      <c r="BY807" s="567"/>
      <c r="BZ807" s="567"/>
      <c r="CA807" s="567"/>
      <c r="CB807" s="567"/>
      <c r="CC807" s="567"/>
      <c r="CD807" s="567"/>
      <c r="CE807" s="567"/>
      <c r="CF807" s="567"/>
      <c r="CG807" s="567"/>
      <c r="CH807" s="567"/>
      <c r="CI807" s="567"/>
      <c r="CJ807" s="567"/>
      <c r="CK807" s="567"/>
      <c r="CL807" s="567"/>
      <c r="CM807" s="567"/>
      <c r="CN807" s="567"/>
      <c r="CO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  <c r="BW808" s="567"/>
      <c r="BX808" s="567"/>
      <c r="BY808" s="567"/>
      <c r="BZ808" s="567"/>
      <c r="CA808" s="567"/>
      <c r="CB808" s="567"/>
      <c r="CC808" s="567"/>
      <c r="CD808" s="567"/>
      <c r="CE808" s="567"/>
      <c r="CF808" s="567"/>
      <c r="CG808" s="567"/>
      <c r="CH808" s="567"/>
      <c r="CI808" s="567"/>
      <c r="CJ808" s="567"/>
      <c r="CK808" s="567"/>
      <c r="CL808" s="567"/>
      <c r="CM808" s="567"/>
      <c r="CN808" s="567"/>
      <c r="CO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  <c r="BW809" s="567"/>
      <c r="BX809" s="567"/>
      <c r="BY809" s="567"/>
      <c r="BZ809" s="567"/>
      <c r="CA809" s="567"/>
      <c r="CB809" s="567"/>
      <c r="CC809" s="567"/>
      <c r="CD809" s="567"/>
      <c r="CE809" s="567"/>
      <c r="CF809" s="567"/>
      <c r="CG809" s="567"/>
      <c r="CH809" s="567"/>
      <c r="CI809" s="567"/>
      <c r="CJ809" s="567"/>
      <c r="CK809" s="567"/>
      <c r="CL809" s="567"/>
      <c r="CM809" s="567"/>
      <c r="CN809" s="567"/>
      <c r="CO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  <c r="BW810" s="567"/>
      <c r="BX810" s="567"/>
      <c r="BY810" s="567"/>
      <c r="BZ810" s="567"/>
      <c r="CA810" s="567"/>
      <c r="CB810" s="567"/>
      <c r="CC810" s="567"/>
      <c r="CD810" s="567"/>
      <c r="CE810" s="567"/>
      <c r="CF810" s="567"/>
      <c r="CG810" s="567"/>
      <c r="CH810" s="567"/>
      <c r="CI810" s="567"/>
      <c r="CJ810" s="567"/>
      <c r="CK810" s="567"/>
      <c r="CL810" s="567"/>
      <c r="CM810" s="567"/>
      <c r="CN810" s="567"/>
      <c r="CO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  <c r="BW811" s="567"/>
      <c r="BX811" s="567"/>
      <c r="BY811" s="567"/>
      <c r="BZ811" s="567"/>
      <c r="CA811" s="567"/>
      <c r="CB811" s="567"/>
      <c r="CC811" s="567"/>
      <c r="CD811" s="567"/>
      <c r="CE811" s="567"/>
      <c r="CF811" s="567"/>
      <c r="CG811" s="567"/>
      <c r="CH811" s="567"/>
      <c r="CI811" s="567"/>
      <c r="CJ811" s="567"/>
      <c r="CK811" s="567"/>
      <c r="CL811" s="567"/>
      <c r="CM811" s="567"/>
      <c r="CN811" s="567"/>
      <c r="CO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  <c r="BW812" s="567"/>
      <c r="BX812" s="567"/>
      <c r="BY812" s="567"/>
      <c r="BZ812" s="567"/>
      <c r="CA812" s="567"/>
      <c r="CB812" s="567"/>
      <c r="CC812" s="567"/>
      <c r="CD812" s="567"/>
      <c r="CE812" s="567"/>
      <c r="CF812" s="567"/>
      <c r="CG812" s="567"/>
      <c r="CH812" s="567"/>
      <c r="CI812" s="567"/>
      <c r="CJ812" s="567"/>
      <c r="CK812" s="567"/>
      <c r="CL812" s="567"/>
      <c r="CM812" s="567"/>
      <c r="CN812" s="567"/>
      <c r="CO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  <c r="BW813" s="567"/>
      <c r="BX813" s="567"/>
      <c r="BY813" s="567"/>
      <c r="BZ813" s="567"/>
      <c r="CA813" s="567"/>
      <c r="CB813" s="567"/>
      <c r="CC813" s="567"/>
      <c r="CD813" s="567"/>
      <c r="CE813" s="567"/>
      <c r="CF813" s="567"/>
      <c r="CG813" s="567"/>
      <c r="CH813" s="567"/>
      <c r="CI813" s="567"/>
      <c r="CJ813" s="567"/>
      <c r="CK813" s="567"/>
      <c r="CL813" s="567"/>
      <c r="CM813" s="567"/>
      <c r="CN813" s="567"/>
      <c r="CO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  <c r="BW814" s="567"/>
      <c r="BX814" s="567"/>
      <c r="BY814" s="567"/>
      <c r="BZ814" s="567"/>
      <c r="CA814" s="567"/>
      <c r="CB814" s="567"/>
      <c r="CC814" s="567"/>
      <c r="CD814" s="567"/>
      <c r="CE814" s="567"/>
      <c r="CF814" s="567"/>
      <c r="CG814" s="567"/>
      <c r="CH814" s="567"/>
      <c r="CI814" s="567"/>
      <c r="CJ814" s="567"/>
      <c r="CK814" s="567"/>
      <c r="CL814" s="567"/>
      <c r="CM814" s="567"/>
      <c r="CN814" s="567"/>
      <c r="CO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  <c r="BW815" s="567"/>
      <c r="BX815" s="567"/>
      <c r="BY815" s="567"/>
      <c r="BZ815" s="567"/>
      <c r="CA815" s="567"/>
      <c r="CB815" s="567"/>
      <c r="CC815" s="567"/>
      <c r="CD815" s="567"/>
      <c r="CE815" s="567"/>
      <c r="CF815" s="567"/>
      <c r="CG815" s="567"/>
      <c r="CH815" s="567"/>
      <c r="CI815" s="567"/>
      <c r="CJ815" s="567"/>
      <c r="CK815" s="567"/>
      <c r="CL815" s="567"/>
      <c r="CM815" s="567"/>
      <c r="CN815" s="567"/>
      <c r="CO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  <c r="BW816" s="567"/>
      <c r="BX816" s="567"/>
      <c r="BY816" s="567"/>
      <c r="BZ816" s="567"/>
      <c r="CA816" s="567"/>
      <c r="CB816" s="567"/>
      <c r="CC816" s="567"/>
      <c r="CD816" s="567"/>
      <c r="CE816" s="567"/>
      <c r="CF816" s="567"/>
      <c r="CG816" s="567"/>
      <c r="CH816" s="567"/>
      <c r="CI816" s="567"/>
      <c r="CJ816" s="567"/>
      <c r="CK816" s="567"/>
      <c r="CL816" s="567"/>
      <c r="CM816" s="567"/>
      <c r="CN816" s="567"/>
      <c r="CO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  <c r="BW817" s="567"/>
      <c r="BX817" s="567"/>
      <c r="BY817" s="567"/>
      <c r="BZ817" s="567"/>
      <c r="CA817" s="567"/>
      <c r="CB817" s="567"/>
      <c r="CC817" s="567"/>
      <c r="CD817" s="567"/>
      <c r="CE817" s="567"/>
      <c r="CF817" s="567"/>
      <c r="CG817" s="567"/>
      <c r="CH817" s="567"/>
      <c r="CI817" s="567"/>
      <c r="CJ817" s="567"/>
      <c r="CK817" s="567"/>
      <c r="CL817" s="567"/>
      <c r="CM817" s="567"/>
      <c r="CN817" s="567"/>
      <c r="CO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  <c r="BW818" s="567"/>
      <c r="BX818" s="567"/>
      <c r="BY818" s="567"/>
      <c r="BZ818" s="567"/>
      <c r="CA818" s="567"/>
      <c r="CB818" s="567"/>
      <c r="CC818" s="567"/>
      <c r="CD818" s="567"/>
      <c r="CE818" s="567"/>
      <c r="CF818" s="567"/>
      <c r="CG818" s="567"/>
      <c r="CH818" s="567"/>
      <c r="CI818" s="567"/>
      <c r="CJ818" s="567"/>
      <c r="CK818" s="567"/>
      <c r="CL818" s="567"/>
      <c r="CM818" s="567"/>
      <c r="CN818" s="567"/>
      <c r="CO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  <c r="BW819" s="567"/>
      <c r="BX819" s="567"/>
      <c r="BY819" s="567"/>
      <c r="BZ819" s="567"/>
      <c r="CA819" s="567"/>
      <c r="CB819" s="567"/>
      <c r="CC819" s="567"/>
      <c r="CD819" s="567"/>
      <c r="CE819" s="567"/>
      <c r="CF819" s="567"/>
      <c r="CG819" s="567"/>
      <c r="CH819" s="567"/>
      <c r="CI819" s="567"/>
      <c r="CJ819" s="567"/>
      <c r="CK819" s="567"/>
      <c r="CL819" s="567"/>
      <c r="CM819" s="567"/>
      <c r="CN819" s="567"/>
      <c r="CO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  <c r="BW820" s="567"/>
      <c r="BX820" s="567"/>
      <c r="BY820" s="567"/>
      <c r="BZ820" s="567"/>
      <c r="CA820" s="567"/>
      <c r="CB820" s="567"/>
      <c r="CC820" s="567"/>
      <c r="CD820" s="567"/>
      <c r="CE820" s="567"/>
      <c r="CF820" s="567"/>
      <c r="CG820" s="567"/>
      <c r="CH820" s="567"/>
      <c r="CI820" s="567"/>
      <c r="CJ820" s="567"/>
      <c r="CK820" s="567"/>
      <c r="CL820" s="567"/>
      <c r="CM820" s="567"/>
      <c r="CN820" s="567"/>
      <c r="CO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  <c r="BW821" s="567"/>
      <c r="BX821" s="567"/>
      <c r="BY821" s="567"/>
      <c r="BZ821" s="567"/>
      <c r="CA821" s="567"/>
      <c r="CB821" s="567"/>
      <c r="CC821" s="567"/>
      <c r="CD821" s="567"/>
      <c r="CE821" s="567"/>
      <c r="CF821" s="567"/>
      <c r="CG821" s="567"/>
      <c r="CH821" s="567"/>
      <c r="CI821" s="567"/>
      <c r="CJ821" s="567"/>
      <c r="CK821" s="567"/>
      <c r="CL821" s="567"/>
      <c r="CM821" s="567"/>
      <c r="CN821" s="567"/>
      <c r="CO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  <c r="BW822" s="567"/>
      <c r="BX822" s="567"/>
      <c r="BY822" s="567"/>
      <c r="BZ822" s="567"/>
      <c r="CA822" s="567"/>
      <c r="CB822" s="567"/>
      <c r="CC822" s="567"/>
      <c r="CD822" s="567"/>
      <c r="CE822" s="567"/>
      <c r="CF822" s="567"/>
      <c r="CG822" s="567"/>
      <c r="CH822" s="567"/>
      <c r="CI822" s="567"/>
      <c r="CJ822" s="567"/>
      <c r="CK822" s="567"/>
      <c r="CL822" s="567"/>
      <c r="CM822" s="567"/>
      <c r="CN822" s="567"/>
      <c r="CO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  <c r="BW823" s="567"/>
      <c r="BX823" s="567"/>
      <c r="BY823" s="567"/>
      <c r="BZ823" s="567"/>
      <c r="CA823" s="567"/>
      <c r="CB823" s="567"/>
      <c r="CC823" s="567"/>
      <c r="CD823" s="567"/>
      <c r="CE823" s="567"/>
      <c r="CF823" s="567"/>
      <c r="CG823" s="567"/>
      <c r="CH823" s="567"/>
      <c r="CI823" s="567"/>
      <c r="CJ823" s="567"/>
      <c r="CK823" s="567"/>
      <c r="CL823" s="567"/>
      <c r="CM823" s="567"/>
      <c r="CN823" s="567"/>
      <c r="CO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  <c r="BW824" s="567"/>
      <c r="BX824" s="567"/>
      <c r="BY824" s="567"/>
      <c r="BZ824" s="567"/>
      <c r="CA824" s="567"/>
      <c r="CB824" s="567"/>
      <c r="CC824" s="567"/>
      <c r="CD824" s="567"/>
      <c r="CE824" s="567"/>
      <c r="CF824" s="567"/>
      <c r="CG824" s="567"/>
      <c r="CH824" s="567"/>
      <c r="CI824" s="567"/>
      <c r="CJ824" s="567"/>
      <c r="CK824" s="567"/>
      <c r="CL824" s="567"/>
      <c r="CM824" s="567"/>
      <c r="CN824" s="567"/>
      <c r="CO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  <c r="BW825" s="567"/>
      <c r="BX825" s="567"/>
      <c r="BY825" s="567"/>
      <c r="BZ825" s="567"/>
      <c r="CA825" s="567"/>
      <c r="CB825" s="567"/>
      <c r="CC825" s="567"/>
      <c r="CD825" s="567"/>
      <c r="CE825" s="567"/>
      <c r="CF825" s="567"/>
      <c r="CG825" s="567"/>
      <c r="CH825" s="567"/>
      <c r="CI825" s="567"/>
      <c r="CJ825" s="567"/>
      <c r="CK825" s="567"/>
      <c r="CL825" s="567"/>
      <c r="CM825" s="567"/>
      <c r="CN825" s="567"/>
      <c r="CO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  <c r="BW826" s="567"/>
      <c r="BX826" s="567"/>
      <c r="BY826" s="567"/>
      <c r="BZ826" s="567"/>
      <c r="CA826" s="567"/>
      <c r="CB826" s="567"/>
      <c r="CC826" s="567"/>
      <c r="CD826" s="567"/>
      <c r="CE826" s="567"/>
      <c r="CF826" s="567"/>
      <c r="CG826" s="567"/>
      <c r="CH826" s="567"/>
      <c r="CI826" s="567"/>
      <c r="CJ826" s="567"/>
      <c r="CK826" s="567"/>
      <c r="CL826" s="567"/>
      <c r="CM826" s="567"/>
      <c r="CN826" s="567"/>
      <c r="CO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  <c r="BW827" s="567"/>
      <c r="BX827" s="567"/>
      <c r="BY827" s="567"/>
      <c r="BZ827" s="567"/>
      <c r="CA827" s="567"/>
      <c r="CB827" s="567"/>
      <c r="CC827" s="567"/>
      <c r="CD827" s="567"/>
      <c r="CE827" s="567"/>
      <c r="CF827" s="567"/>
      <c r="CG827" s="567"/>
      <c r="CH827" s="567"/>
      <c r="CI827" s="567"/>
      <c r="CJ827" s="567"/>
      <c r="CK827" s="567"/>
      <c r="CL827" s="567"/>
      <c r="CM827" s="567"/>
      <c r="CN827" s="567"/>
      <c r="CO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  <c r="BW828" s="567"/>
      <c r="BX828" s="567"/>
      <c r="BY828" s="567"/>
      <c r="BZ828" s="567"/>
      <c r="CA828" s="567"/>
      <c r="CB828" s="567"/>
      <c r="CC828" s="567"/>
      <c r="CD828" s="567"/>
      <c r="CE828" s="567"/>
      <c r="CF828" s="567"/>
      <c r="CG828" s="567"/>
      <c r="CH828" s="567"/>
      <c r="CI828" s="567"/>
      <c r="CJ828" s="567"/>
      <c r="CK828" s="567"/>
      <c r="CL828" s="567"/>
      <c r="CM828" s="567"/>
      <c r="CN828" s="567"/>
      <c r="CO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  <c r="BW829" s="567"/>
      <c r="BX829" s="567"/>
      <c r="BY829" s="567"/>
      <c r="BZ829" s="567"/>
      <c r="CA829" s="567"/>
      <c r="CB829" s="567"/>
      <c r="CC829" s="567"/>
      <c r="CD829" s="567"/>
      <c r="CE829" s="567"/>
      <c r="CF829" s="567"/>
      <c r="CG829" s="567"/>
      <c r="CH829" s="567"/>
      <c r="CI829" s="567"/>
      <c r="CJ829" s="567"/>
      <c r="CK829" s="567"/>
      <c r="CL829" s="567"/>
      <c r="CM829" s="567"/>
      <c r="CN829" s="567"/>
      <c r="CO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  <c r="BW830" s="567"/>
      <c r="BX830" s="567"/>
      <c r="BY830" s="567"/>
      <c r="BZ830" s="567"/>
      <c r="CA830" s="567"/>
      <c r="CB830" s="567"/>
      <c r="CC830" s="567"/>
      <c r="CD830" s="567"/>
      <c r="CE830" s="567"/>
      <c r="CF830" s="567"/>
      <c r="CG830" s="567"/>
      <c r="CH830" s="567"/>
      <c r="CI830" s="567"/>
      <c r="CJ830" s="567"/>
      <c r="CK830" s="567"/>
      <c r="CL830" s="567"/>
      <c r="CM830" s="567"/>
      <c r="CN830" s="567"/>
      <c r="CO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  <c r="BW831" s="567"/>
      <c r="BX831" s="567"/>
      <c r="BY831" s="567"/>
      <c r="BZ831" s="567"/>
      <c r="CA831" s="567"/>
      <c r="CB831" s="567"/>
      <c r="CC831" s="567"/>
      <c r="CD831" s="567"/>
      <c r="CE831" s="567"/>
      <c r="CF831" s="567"/>
      <c r="CG831" s="567"/>
      <c r="CH831" s="567"/>
      <c r="CI831" s="567"/>
      <c r="CJ831" s="567"/>
      <c r="CK831" s="567"/>
      <c r="CL831" s="567"/>
      <c r="CM831" s="567"/>
      <c r="CN831" s="567"/>
      <c r="CO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  <c r="BW832" s="567"/>
      <c r="BX832" s="567"/>
      <c r="BY832" s="567"/>
      <c r="BZ832" s="567"/>
      <c r="CA832" s="567"/>
      <c r="CB832" s="567"/>
      <c r="CC832" s="567"/>
      <c r="CD832" s="567"/>
      <c r="CE832" s="567"/>
      <c r="CF832" s="567"/>
      <c r="CG832" s="567"/>
      <c r="CH832" s="567"/>
      <c r="CI832" s="567"/>
      <c r="CJ832" s="567"/>
      <c r="CK832" s="567"/>
      <c r="CL832" s="567"/>
      <c r="CM832" s="567"/>
      <c r="CN832" s="567"/>
      <c r="CO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  <c r="BW833" s="567"/>
      <c r="BX833" s="567"/>
      <c r="BY833" s="567"/>
      <c r="BZ833" s="567"/>
      <c r="CA833" s="567"/>
      <c r="CB833" s="567"/>
      <c r="CC833" s="567"/>
      <c r="CD833" s="567"/>
      <c r="CE833" s="567"/>
      <c r="CF833" s="567"/>
      <c r="CG833" s="567"/>
      <c r="CH833" s="567"/>
      <c r="CI833" s="567"/>
      <c r="CJ833" s="567"/>
      <c r="CK833" s="567"/>
      <c r="CL833" s="567"/>
      <c r="CM833" s="567"/>
      <c r="CN833" s="567"/>
      <c r="CO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  <c r="BW834" s="567"/>
      <c r="BX834" s="567"/>
      <c r="BY834" s="567"/>
      <c r="BZ834" s="567"/>
      <c r="CA834" s="567"/>
      <c r="CB834" s="567"/>
      <c r="CC834" s="567"/>
      <c r="CD834" s="567"/>
      <c r="CE834" s="567"/>
      <c r="CF834" s="567"/>
      <c r="CG834" s="567"/>
      <c r="CH834" s="567"/>
      <c r="CI834" s="567"/>
      <c r="CJ834" s="567"/>
      <c r="CK834" s="567"/>
      <c r="CL834" s="567"/>
      <c r="CM834" s="567"/>
      <c r="CN834" s="567"/>
      <c r="CO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  <c r="BW835" s="567"/>
      <c r="BX835" s="567"/>
      <c r="BY835" s="567"/>
      <c r="BZ835" s="567"/>
      <c r="CA835" s="567"/>
      <c r="CB835" s="567"/>
      <c r="CC835" s="567"/>
      <c r="CD835" s="567"/>
      <c r="CE835" s="567"/>
      <c r="CF835" s="567"/>
      <c r="CG835" s="567"/>
      <c r="CH835" s="567"/>
      <c r="CI835" s="567"/>
      <c r="CJ835" s="567"/>
      <c r="CK835" s="567"/>
      <c r="CL835" s="567"/>
      <c r="CM835" s="567"/>
      <c r="CN835" s="567"/>
      <c r="CO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  <c r="BW836" s="567"/>
      <c r="BX836" s="567"/>
      <c r="BY836" s="567"/>
      <c r="BZ836" s="567"/>
      <c r="CA836" s="567"/>
      <c r="CB836" s="567"/>
      <c r="CC836" s="567"/>
      <c r="CD836" s="567"/>
      <c r="CE836" s="567"/>
      <c r="CF836" s="567"/>
      <c r="CG836" s="567"/>
      <c r="CH836" s="567"/>
      <c r="CI836" s="567"/>
      <c r="CJ836" s="567"/>
      <c r="CK836" s="567"/>
      <c r="CL836" s="567"/>
      <c r="CM836" s="567"/>
      <c r="CN836" s="567"/>
      <c r="CO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  <c r="BW837" s="567"/>
      <c r="BX837" s="567"/>
      <c r="BY837" s="567"/>
      <c r="BZ837" s="567"/>
      <c r="CA837" s="567"/>
      <c r="CB837" s="567"/>
      <c r="CC837" s="567"/>
      <c r="CD837" s="567"/>
      <c r="CE837" s="567"/>
      <c r="CF837" s="567"/>
      <c r="CG837" s="567"/>
      <c r="CH837" s="567"/>
      <c r="CI837" s="567"/>
      <c r="CJ837" s="567"/>
      <c r="CK837" s="567"/>
      <c r="CL837" s="567"/>
      <c r="CM837" s="567"/>
      <c r="CN837" s="567"/>
      <c r="CO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  <c r="BW838" s="567"/>
      <c r="BX838" s="567"/>
      <c r="BY838" s="567"/>
      <c r="BZ838" s="567"/>
      <c r="CA838" s="567"/>
      <c r="CB838" s="567"/>
      <c r="CC838" s="567"/>
      <c r="CD838" s="567"/>
      <c r="CE838" s="567"/>
      <c r="CF838" s="567"/>
      <c r="CG838" s="567"/>
      <c r="CH838" s="567"/>
      <c r="CI838" s="567"/>
      <c r="CJ838" s="567"/>
      <c r="CK838" s="567"/>
      <c r="CL838" s="567"/>
      <c r="CM838" s="567"/>
      <c r="CN838" s="567"/>
      <c r="CO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  <c r="BW839" s="567"/>
      <c r="BX839" s="567"/>
      <c r="BY839" s="567"/>
      <c r="BZ839" s="567"/>
      <c r="CA839" s="567"/>
      <c r="CB839" s="567"/>
      <c r="CC839" s="567"/>
      <c r="CD839" s="567"/>
      <c r="CE839" s="567"/>
      <c r="CF839" s="567"/>
      <c r="CG839" s="567"/>
      <c r="CH839" s="567"/>
      <c r="CI839" s="567"/>
      <c r="CJ839" s="567"/>
      <c r="CK839" s="567"/>
      <c r="CL839" s="567"/>
      <c r="CM839" s="567"/>
      <c r="CN839" s="567"/>
      <c r="CO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  <c r="BW840" s="567"/>
      <c r="BX840" s="567"/>
      <c r="BY840" s="567"/>
      <c r="BZ840" s="567"/>
      <c r="CA840" s="567"/>
      <c r="CB840" s="567"/>
      <c r="CC840" s="567"/>
      <c r="CD840" s="567"/>
      <c r="CE840" s="567"/>
      <c r="CF840" s="567"/>
      <c r="CG840" s="567"/>
      <c r="CH840" s="567"/>
      <c r="CI840" s="567"/>
      <c r="CJ840" s="567"/>
      <c r="CK840" s="567"/>
      <c r="CL840" s="567"/>
      <c r="CM840" s="567"/>
      <c r="CN840" s="567"/>
      <c r="CO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  <c r="BW841" s="567"/>
      <c r="BX841" s="567"/>
      <c r="BY841" s="567"/>
      <c r="BZ841" s="567"/>
      <c r="CA841" s="567"/>
      <c r="CB841" s="567"/>
      <c r="CC841" s="567"/>
      <c r="CD841" s="567"/>
      <c r="CE841" s="567"/>
      <c r="CF841" s="567"/>
      <c r="CG841" s="567"/>
      <c r="CH841" s="567"/>
      <c r="CI841" s="567"/>
      <c r="CJ841" s="567"/>
      <c r="CK841" s="567"/>
      <c r="CL841" s="567"/>
      <c r="CM841" s="567"/>
      <c r="CN841" s="567"/>
      <c r="CO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  <c r="BW842" s="567"/>
      <c r="BX842" s="567"/>
      <c r="BY842" s="567"/>
      <c r="BZ842" s="567"/>
      <c r="CA842" s="567"/>
      <c r="CB842" s="567"/>
      <c r="CC842" s="567"/>
      <c r="CD842" s="567"/>
      <c r="CE842" s="567"/>
      <c r="CF842" s="567"/>
      <c r="CG842" s="567"/>
      <c r="CH842" s="567"/>
      <c r="CI842" s="567"/>
      <c r="CJ842" s="567"/>
      <c r="CK842" s="567"/>
      <c r="CL842" s="567"/>
      <c r="CM842" s="567"/>
      <c r="CN842" s="567"/>
      <c r="CO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  <c r="BW843" s="567"/>
      <c r="BX843" s="567"/>
      <c r="BY843" s="567"/>
      <c r="BZ843" s="567"/>
      <c r="CA843" s="567"/>
      <c r="CB843" s="567"/>
      <c r="CC843" s="567"/>
      <c r="CD843" s="567"/>
      <c r="CE843" s="567"/>
      <c r="CF843" s="567"/>
      <c r="CG843" s="567"/>
      <c r="CH843" s="567"/>
      <c r="CI843" s="567"/>
      <c r="CJ843" s="567"/>
      <c r="CK843" s="567"/>
      <c r="CL843" s="567"/>
      <c r="CM843" s="567"/>
      <c r="CN843" s="567"/>
      <c r="CO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  <c r="BW844" s="567"/>
      <c r="BX844" s="567"/>
      <c r="BY844" s="567"/>
      <c r="BZ844" s="567"/>
      <c r="CA844" s="567"/>
      <c r="CB844" s="567"/>
      <c r="CC844" s="567"/>
      <c r="CD844" s="567"/>
      <c r="CE844" s="567"/>
      <c r="CF844" s="567"/>
      <c r="CG844" s="567"/>
      <c r="CH844" s="567"/>
      <c r="CI844" s="567"/>
      <c r="CJ844" s="567"/>
      <c r="CK844" s="567"/>
      <c r="CL844" s="567"/>
      <c r="CM844" s="567"/>
      <c r="CN844" s="567"/>
      <c r="CO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  <c r="BW845" s="567"/>
      <c r="BX845" s="567"/>
      <c r="BY845" s="567"/>
      <c r="BZ845" s="567"/>
      <c r="CA845" s="567"/>
      <c r="CB845" s="567"/>
      <c r="CC845" s="567"/>
      <c r="CD845" s="567"/>
      <c r="CE845" s="567"/>
      <c r="CF845" s="567"/>
      <c r="CG845" s="567"/>
      <c r="CH845" s="567"/>
      <c r="CI845" s="567"/>
      <c r="CJ845" s="567"/>
      <c r="CK845" s="567"/>
      <c r="CL845" s="567"/>
      <c r="CM845" s="567"/>
      <c r="CN845" s="567"/>
      <c r="CO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  <c r="BW846" s="567"/>
      <c r="BX846" s="567"/>
      <c r="BY846" s="567"/>
      <c r="BZ846" s="567"/>
      <c r="CA846" s="567"/>
      <c r="CB846" s="567"/>
      <c r="CC846" s="567"/>
      <c r="CD846" s="567"/>
      <c r="CE846" s="567"/>
      <c r="CF846" s="567"/>
      <c r="CG846" s="567"/>
      <c r="CH846" s="567"/>
      <c r="CI846" s="567"/>
      <c r="CJ846" s="567"/>
      <c r="CK846" s="567"/>
      <c r="CL846" s="567"/>
      <c r="CM846" s="567"/>
      <c r="CN846" s="567"/>
      <c r="CO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  <c r="BW847" s="567"/>
      <c r="BX847" s="567"/>
      <c r="BY847" s="567"/>
      <c r="BZ847" s="567"/>
      <c r="CA847" s="567"/>
      <c r="CB847" s="567"/>
      <c r="CC847" s="567"/>
      <c r="CD847" s="567"/>
      <c r="CE847" s="567"/>
      <c r="CF847" s="567"/>
      <c r="CG847" s="567"/>
      <c r="CH847" s="567"/>
      <c r="CI847" s="567"/>
      <c r="CJ847" s="567"/>
      <c r="CK847" s="567"/>
      <c r="CL847" s="567"/>
      <c r="CM847" s="567"/>
      <c r="CN847" s="567"/>
      <c r="CO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  <c r="BW848" s="567"/>
      <c r="BX848" s="567"/>
      <c r="BY848" s="567"/>
      <c r="BZ848" s="567"/>
      <c r="CA848" s="567"/>
      <c r="CB848" s="567"/>
      <c r="CC848" s="567"/>
      <c r="CD848" s="567"/>
      <c r="CE848" s="567"/>
      <c r="CF848" s="567"/>
      <c r="CG848" s="567"/>
      <c r="CH848" s="567"/>
      <c r="CI848" s="567"/>
      <c r="CJ848" s="567"/>
      <c r="CK848" s="567"/>
      <c r="CL848" s="567"/>
      <c r="CM848" s="567"/>
      <c r="CN848" s="567"/>
      <c r="CO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  <c r="BW849" s="567"/>
      <c r="BX849" s="567"/>
      <c r="BY849" s="567"/>
      <c r="BZ849" s="567"/>
      <c r="CA849" s="567"/>
      <c r="CB849" s="567"/>
      <c r="CC849" s="567"/>
      <c r="CD849" s="567"/>
      <c r="CE849" s="567"/>
      <c r="CF849" s="567"/>
      <c r="CG849" s="567"/>
      <c r="CH849" s="567"/>
      <c r="CI849" s="567"/>
      <c r="CJ849" s="567"/>
      <c r="CK849" s="567"/>
      <c r="CL849" s="567"/>
      <c r="CM849" s="567"/>
      <c r="CN849" s="567"/>
      <c r="CO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  <c r="BW850" s="567"/>
      <c r="BX850" s="567"/>
      <c r="BY850" s="567"/>
      <c r="BZ850" s="567"/>
      <c r="CA850" s="567"/>
      <c r="CB850" s="567"/>
      <c r="CC850" s="567"/>
      <c r="CD850" s="567"/>
      <c r="CE850" s="567"/>
      <c r="CF850" s="567"/>
      <c r="CG850" s="567"/>
      <c r="CH850" s="567"/>
      <c r="CI850" s="567"/>
      <c r="CJ850" s="567"/>
      <c r="CK850" s="567"/>
      <c r="CL850" s="567"/>
      <c r="CM850" s="567"/>
      <c r="CN850" s="567"/>
      <c r="CO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  <c r="BW851" s="567"/>
      <c r="BX851" s="567"/>
      <c r="BY851" s="567"/>
      <c r="BZ851" s="567"/>
      <c r="CA851" s="567"/>
      <c r="CB851" s="567"/>
      <c r="CC851" s="567"/>
      <c r="CD851" s="567"/>
      <c r="CE851" s="567"/>
      <c r="CF851" s="567"/>
      <c r="CG851" s="567"/>
      <c r="CH851" s="567"/>
      <c r="CI851" s="567"/>
      <c r="CJ851" s="567"/>
      <c r="CK851" s="567"/>
      <c r="CL851" s="567"/>
      <c r="CM851" s="567"/>
      <c r="CN851" s="567"/>
      <c r="CO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  <c r="BW852" s="567"/>
      <c r="BX852" s="567"/>
      <c r="BY852" s="567"/>
      <c r="BZ852" s="567"/>
      <c r="CA852" s="567"/>
      <c r="CB852" s="567"/>
      <c r="CC852" s="567"/>
      <c r="CD852" s="567"/>
      <c r="CE852" s="567"/>
      <c r="CF852" s="567"/>
      <c r="CG852" s="567"/>
      <c r="CH852" s="567"/>
      <c r="CI852" s="567"/>
      <c r="CJ852" s="567"/>
      <c r="CK852" s="567"/>
      <c r="CL852" s="567"/>
      <c r="CM852" s="567"/>
      <c r="CN852" s="567"/>
      <c r="CO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  <c r="BW853" s="567"/>
      <c r="BX853" s="567"/>
      <c r="BY853" s="567"/>
      <c r="BZ853" s="567"/>
      <c r="CA853" s="567"/>
      <c r="CB853" s="567"/>
      <c r="CC853" s="567"/>
      <c r="CD853" s="567"/>
      <c r="CE853" s="567"/>
      <c r="CF853" s="567"/>
      <c r="CG853" s="567"/>
      <c r="CH853" s="567"/>
      <c r="CI853" s="567"/>
      <c r="CJ853" s="567"/>
      <c r="CK853" s="567"/>
      <c r="CL853" s="567"/>
      <c r="CM853" s="567"/>
      <c r="CN853" s="567"/>
      <c r="CO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  <c r="BW854" s="567"/>
      <c r="BX854" s="567"/>
      <c r="BY854" s="567"/>
      <c r="BZ854" s="567"/>
      <c r="CA854" s="567"/>
      <c r="CB854" s="567"/>
      <c r="CC854" s="567"/>
      <c r="CD854" s="567"/>
      <c r="CE854" s="567"/>
      <c r="CF854" s="567"/>
      <c r="CG854" s="567"/>
      <c r="CH854" s="567"/>
      <c r="CI854" s="567"/>
      <c r="CJ854" s="567"/>
      <c r="CK854" s="567"/>
      <c r="CL854" s="567"/>
      <c r="CM854" s="567"/>
      <c r="CN854" s="567"/>
      <c r="CO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  <c r="BW855" s="567"/>
      <c r="BX855" s="567"/>
      <c r="BY855" s="567"/>
      <c r="BZ855" s="567"/>
      <c r="CA855" s="567"/>
      <c r="CB855" s="567"/>
      <c r="CC855" s="567"/>
      <c r="CD855" s="567"/>
      <c r="CE855" s="567"/>
      <c r="CF855" s="567"/>
      <c r="CG855" s="567"/>
      <c r="CH855" s="567"/>
      <c r="CI855" s="567"/>
      <c r="CJ855" s="567"/>
      <c r="CK855" s="567"/>
      <c r="CL855" s="567"/>
      <c r="CM855" s="567"/>
      <c r="CN855" s="567"/>
      <c r="CO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  <c r="BW856" s="567"/>
      <c r="BX856" s="567"/>
      <c r="BY856" s="567"/>
      <c r="BZ856" s="567"/>
      <c r="CA856" s="567"/>
      <c r="CB856" s="567"/>
      <c r="CC856" s="567"/>
      <c r="CD856" s="567"/>
      <c r="CE856" s="567"/>
      <c r="CF856" s="567"/>
      <c r="CG856" s="567"/>
      <c r="CH856" s="567"/>
      <c r="CI856" s="567"/>
      <c r="CJ856" s="567"/>
      <c r="CK856" s="567"/>
      <c r="CL856" s="567"/>
      <c r="CM856" s="567"/>
      <c r="CN856" s="567"/>
      <c r="CO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  <c r="BW857" s="567"/>
      <c r="BX857" s="567"/>
      <c r="BY857" s="567"/>
      <c r="BZ857" s="567"/>
      <c r="CA857" s="567"/>
      <c r="CB857" s="567"/>
      <c r="CC857" s="567"/>
      <c r="CD857" s="567"/>
      <c r="CE857" s="567"/>
      <c r="CF857" s="567"/>
      <c r="CG857" s="567"/>
      <c r="CH857" s="567"/>
      <c r="CI857" s="567"/>
      <c r="CJ857" s="567"/>
      <c r="CK857" s="567"/>
      <c r="CL857" s="567"/>
      <c r="CM857" s="567"/>
      <c r="CN857" s="567"/>
      <c r="CO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  <c r="BW858" s="567"/>
      <c r="BX858" s="567"/>
      <c r="BY858" s="567"/>
      <c r="BZ858" s="567"/>
      <c r="CA858" s="567"/>
      <c r="CB858" s="567"/>
      <c r="CC858" s="567"/>
      <c r="CD858" s="567"/>
      <c r="CE858" s="567"/>
      <c r="CF858" s="567"/>
      <c r="CG858" s="567"/>
      <c r="CH858" s="567"/>
      <c r="CI858" s="567"/>
      <c r="CJ858" s="567"/>
      <c r="CK858" s="567"/>
      <c r="CL858" s="567"/>
      <c r="CM858" s="567"/>
      <c r="CN858" s="567"/>
      <c r="CO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  <c r="BW859" s="567"/>
      <c r="BX859" s="567"/>
      <c r="BY859" s="567"/>
      <c r="BZ859" s="567"/>
      <c r="CA859" s="567"/>
      <c r="CB859" s="567"/>
      <c r="CC859" s="567"/>
      <c r="CD859" s="567"/>
      <c r="CE859" s="567"/>
      <c r="CF859" s="567"/>
      <c r="CG859" s="567"/>
      <c r="CH859" s="567"/>
      <c r="CI859" s="567"/>
      <c r="CJ859" s="567"/>
      <c r="CK859" s="567"/>
      <c r="CL859" s="567"/>
      <c r="CM859" s="567"/>
      <c r="CN859" s="567"/>
      <c r="CO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  <c r="BW860" s="567"/>
      <c r="BX860" s="567"/>
      <c r="BY860" s="567"/>
      <c r="BZ860" s="567"/>
      <c r="CA860" s="567"/>
      <c r="CB860" s="567"/>
      <c r="CC860" s="567"/>
      <c r="CD860" s="567"/>
      <c r="CE860" s="567"/>
      <c r="CF860" s="567"/>
      <c r="CG860" s="567"/>
      <c r="CH860" s="567"/>
      <c r="CI860" s="567"/>
      <c r="CJ860" s="567"/>
      <c r="CK860" s="567"/>
      <c r="CL860" s="567"/>
      <c r="CM860" s="567"/>
      <c r="CN860" s="567"/>
      <c r="CO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  <c r="BW861" s="567"/>
      <c r="BX861" s="567"/>
      <c r="BY861" s="567"/>
      <c r="BZ861" s="567"/>
      <c r="CA861" s="567"/>
      <c r="CB861" s="567"/>
      <c r="CC861" s="567"/>
      <c r="CD861" s="567"/>
      <c r="CE861" s="567"/>
      <c r="CF861" s="567"/>
      <c r="CG861" s="567"/>
      <c r="CH861" s="567"/>
      <c r="CI861" s="567"/>
      <c r="CJ861" s="567"/>
      <c r="CK861" s="567"/>
      <c r="CL861" s="567"/>
      <c r="CM861" s="567"/>
      <c r="CN861" s="567"/>
      <c r="CO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  <c r="BW862" s="567"/>
      <c r="BX862" s="567"/>
      <c r="BY862" s="567"/>
      <c r="BZ862" s="567"/>
      <c r="CA862" s="567"/>
      <c r="CB862" s="567"/>
      <c r="CC862" s="567"/>
      <c r="CD862" s="567"/>
      <c r="CE862" s="567"/>
      <c r="CF862" s="567"/>
      <c r="CG862" s="567"/>
      <c r="CH862" s="567"/>
      <c r="CI862" s="567"/>
      <c r="CJ862" s="567"/>
      <c r="CK862" s="567"/>
      <c r="CL862" s="567"/>
      <c r="CM862" s="567"/>
      <c r="CN862" s="567"/>
      <c r="CO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  <c r="BW863" s="567"/>
      <c r="BX863" s="567"/>
      <c r="BY863" s="567"/>
      <c r="BZ863" s="567"/>
      <c r="CA863" s="567"/>
      <c r="CB863" s="567"/>
      <c r="CC863" s="567"/>
      <c r="CD863" s="567"/>
      <c r="CE863" s="567"/>
      <c r="CF863" s="567"/>
      <c r="CG863" s="567"/>
      <c r="CH863" s="567"/>
      <c r="CI863" s="567"/>
      <c r="CJ863" s="567"/>
      <c r="CK863" s="567"/>
      <c r="CL863" s="567"/>
      <c r="CM863" s="567"/>
      <c r="CN863" s="567"/>
      <c r="CO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  <c r="BW864" s="567"/>
      <c r="BX864" s="567"/>
      <c r="BY864" s="567"/>
      <c r="BZ864" s="567"/>
      <c r="CA864" s="567"/>
      <c r="CB864" s="567"/>
      <c r="CC864" s="567"/>
      <c r="CD864" s="567"/>
      <c r="CE864" s="567"/>
      <c r="CF864" s="567"/>
      <c r="CG864" s="567"/>
      <c r="CH864" s="567"/>
      <c r="CI864" s="567"/>
      <c r="CJ864" s="567"/>
      <c r="CK864" s="567"/>
      <c r="CL864" s="567"/>
      <c r="CM864" s="567"/>
      <c r="CN864" s="567"/>
      <c r="CO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  <c r="BW865" s="567"/>
      <c r="BX865" s="567"/>
      <c r="BY865" s="567"/>
      <c r="BZ865" s="567"/>
      <c r="CA865" s="567"/>
      <c r="CB865" s="567"/>
      <c r="CC865" s="567"/>
      <c r="CD865" s="567"/>
      <c r="CE865" s="567"/>
      <c r="CF865" s="567"/>
      <c r="CG865" s="567"/>
      <c r="CH865" s="567"/>
      <c r="CI865" s="567"/>
      <c r="CJ865" s="567"/>
      <c r="CK865" s="567"/>
      <c r="CL865" s="567"/>
      <c r="CM865" s="567"/>
      <c r="CN865" s="567"/>
      <c r="CO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  <c r="BW866" s="567"/>
      <c r="BX866" s="567"/>
      <c r="BY866" s="567"/>
      <c r="BZ866" s="567"/>
      <c r="CA866" s="567"/>
      <c r="CB866" s="567"/>
      <c r="CC866" s="567"/>
      <c r="CD866" s="567"/>
      <c r="CE866" s="567"/>
      <c r="CF866" s="567"/>
      <c r="CG866" s="567"/>
      <c r="CH866" s="567"/>
      <c r="CI866" s="567"/>
      <c r="CJ866" s="567"/>
      <c r="CK866" s="567"/>
      <c r="CL866" s="567"/>
      <c r="CM866" s="567"/>
      <c r="CN866" s="567"/>
      <c r="CO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  <c r="BW867" s="567"/>
      <c r="BX867" s="567"/>
      <c r="BY867" s="567"/>
      <c r="BZ867" s="567"/>
      <c r="CA867" s="567"/>
      <c r="CB867" s="567"/>
      <c r="CC867" s="567"/>
      <c r="CD867" s="567"/>
      <c r="CE867" s="567"/>
      <c r="CF867" s="567"/>
      <c r="CG867" s="567"/>
      <c r="CH867" s="567"/>
      <c r="CI867" s="567"/>
      <c r="CJ867" s="567"/>
      <c r="CK867" s="567"/>
      <c r="CL867" s="567"/>
      <c r="CM867" s="567"/>
      <c r="CN867" s="567"/>
      <c r="CO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  <c r="BW868" s="567"/>
      <c r="BX868" s="567"/>
      <c r="BY868" s="567"/>
      <c r="BZ868" s="567"/>
      <c r="CA868" s="567"/>
      <c r="CB868" s="567"/>
      <c r="CC868" s="567"/>
      <c r="CD868" s="567"/>
      <c r="CE868" s="567"/>
      <c r="CF868" s="567"/>
      <c r="CG868" s="567"/>
      <c r="CH868" s="567"/>
      <c r="CI868" s="567"/>
      <c r="CJ868" s="567"/>
      <c r="CK868" s="567"/>
      <c r="CL868" s="567"/>
      <c r="CM868" s="567"/>
      <c r="CN868" s="567"/>
      <c r="CO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  <c r="BW869" s="567"/>
      <c r="BX869" s="567"/>
      <c r="BY869" s="567"/>
      <c r="BZ869" s="567"/>
      <c r="CA869" s="567"/>
      <c r="CB869" s="567"/>
      <c r="CC869" s="567"/>
      <c r="CD869" s="567"/>
      <c r="CE869" s="567"/>
      <c r="CF869" s="567"/>
      <c r="CG869" s="567"/>
      <c r="CH869" s="567"/>
      <c r="CI869" s="567"/>
      <c r="CJ869" s="567"/>
      <c r="CK869" s="567"/>
      <c r="CL869" s="567"/>
      <c r="CM869" s="567"/>
      <c r="CN869" s="567"/>
      <c r="CO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  <c r="BW870" s="567"/>
      <c r="BX870" s="567"/>
      <c r="BY870" s="567"/>
      <c r="BZ870" s="567"/>
      <c r="CA870" s="567"/>
      <c r="CB870" s="567"/>
      <c r="CC870" s="567"/>
      <c r="CD870" s="567"/>
      <c r="CE870" s="567"/>
      <c r="CF870" s="567"/>
      <c r="CG870" s="567"/>
      <c r="CH870" s="567"/>
      <c r="CI870" s="567"/>
      <c r="CJ870" s="567"/>
      <c r="CK870" s="567"/>
      <c r="CL870" s="567"/>
      <c r="CM870" s="567"/>
      <c r="CN870" s="567"/>
      <c r="CO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  <c r="BW871" s="567"/>
      <c r="BX871" s="567"/>
      <c r="BY871" s="567"/>
      <c r="BZ871" s="567"/>
      <c r="CA871" s="567"/>
      <c r="CB871" s="567"/>
      <c r="CC871" s="567"/>
      <c r="CD871" s="567"/>
      <c r="CE871" s="567"/>
      <c r="CF871" s="567"/>
      <c r="CG871" s="567"/>
      <c r="CH871" s="567"/>
      <c r="CI871" s="567"/>
      <c r="CJ871" s="567"/>
      <c r="CK871" s="567"/>
      <c r="CL871" s="567"/>
      <c r="CM871" s="567"/>
      <c r="CN871" s="567"/>
      <c r="CO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  <c r="BW872" s="567"/>
      <c r="BX872" s="567"/>
      <c r="BY872" s="567"/>
      <c r="BZ872" s="567"/>
      <c r="CA872" s="567"/>
      <c r="CB872" s="567"/>
      <c r="CC872" s="567"/>
      <c r="CD872" s="567"/>
      <c r="CE872" s="567"/>
      <c r="CF872" s="567"/>
      <c r="CG872" s="567"/>
      <c r="CH872" s="567"/>
      <c r="CI872" s="567"/>
      <c r="CJ872" s="567"/>
      <c r="CK872" s="567"/>
      <c r="CL872" s="567"/>
      <c r="CM872" s="567"/>
      <c r="CN872" s="567"/>
      <c r="CO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  <c r="BW873" s="567"/>
      <c r="BX873" s="567"/>
      <c r="BY873" s="567"/>
      <c r="BZ873" s="567"/>
      <c r="CA873" s="567"/>
      <c r="CB873" s="567"/>
      <c r="CC873" s="567"/>
      <c r="CD873" s="567"/>
      <c r="CE873" s="567"/>
      <c r="CF873" s="567"/>
      <c r="CG873" s="567"/>
      <c r="CH873" s="567"/>
      <c r="CI873" s="567"/>
      <c r="CJ873" s="567"/>
      <c r="CK873" s="567"/>
      <c r="CL873" s="567"/>
      <c r="CM873" s="567"/>
      <c r="CN873" s="567"/>
      <c r="CO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  <c r="BW874" s="567"/>
      <c r="BX874" s="567"/>
      <c r="BY874" s="567"/>
      <c r="BZ874" s="567"/>
      <c r="CA874" s="567"/>
      <c r="CB874" s="567"/>
      <c r="CC874" s="567"/>
      <c r="CD874" s="567"/>
      <c r="CE874" s="567"/>
      <c r="CF874" s="567"/>
      <c r="CG874" s="567"/>
      <c r="CH874" s="567"/>
      <c r="CI874" s="567"/>
      <c r="CJ874" s="567"/>
      <c r="CK874" s="567"/>
      <c r="CL874" s="567"/>
      <c r="CM874" s="567"/>
      <c r="CN874" s="567"/>
      <c r="CO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  <c r="BW875" s="567"/>
      <c r="BX875" s="567"/>
      <c r="BY875" s="567"/>
      <c r="BZ875" s="567"/>
      <c r="CA875" s="567"/>
      <c r="CB875" s="567"/>
      <c r="CC875" s="567"/>
      <c r="CD875" s="567"/>
      <c r="CE875" s="567"/>
      <c r="CF875" s="567"/>
      <c r="CG875" s="567"/>
      <c r="CH875" s="567"/>
      <c r="CI875" s="567"/>
      <c r="CJ875" s="567"/>
      <c r="CK875" s="567"/>
      <c r="CL875" s="567"/>
      <c r="CM875" s="567"/>
      <c r="CN875" s="567"/>
      <c r="CO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  <c r="BW876" s="567"/>
      <c r="BX876" s="567"/>
      <c r="BY876" s="567"/>
      <c r="BZ876" s="567"/>
      <c r="CA876" s="567"/>
      <c r="CB876" s="567"/>
      <c r="CC876" s="567"/>
      <c r="CD876" s="567"/>
      <c r="CE876" s="567"/>
      <c r="CF876" s="567"/>
      <c r="CG876" s="567"/>
      <c r="CH876" s="567"/>
      <c r="CI876" s="567"/>
      <c r="CJ876" s="567"/>
      <c r="CK876" s="567"/>
      <c r="CL876" s="567"/>
      <c r="CM876" s="567"/>
      <c r="CN876" s="567"/>
      <c r="CO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  <c r="BW877" s="567"/>
      <c r="BX877" s="567"/>
      <c r="BY877" s="567"/>
      <c r="BZ877" s="567"/>
      <c r="CA877" s="567"/>
      <c r="CB877" s="567"/>
      <c r="CC877" s="567"/>
      <c r="CD877" s="567"/>
      <c r="CE877" s="567"/>
      <c r="CF877" s="567"/>
      <c r="CG877" s="567"/>
      <c r="CH877" s="567"/>
      <c r="CI877" s="567"/>
      <c r="CJ877" s="567"/>
      <c r="CK877" s="567"/>
      <c r="CL877" s="567"/>
      <c r="CM877" s="567"/>
      <c r="CN877" s="567"/>
      <c r="CO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  <c r="BW878" s="567"/>
      <c r="BX878" s="567"/>
      <c r="BY878" s="567"/>
      <c r="BZ878" s="567"/>
      <c r="CA878" s="567"/>
      <c r="CB878" s="567"/>
      <c r="CC878" s="567"/>
      <c r="CD878" s="567"/>
      <c r="CE878" s="567"/>
      <c r="CF878" s="567"/>
      <c r="CG878" s="567"/>
      <c r="CH878" s="567"/>
      <c r="CI878" s="567"/>
      <c r="CJ878" s="567"/>
      <c r="CK878" s="567"/>
      <c r="CL878" s="567"/>
      <c r="CM878" s="567"/>
      <c r="CN878" s="567"/>
      <c r="CO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  <c r="BW879" s="567"/>
      <c r="BX879" s="567"/>
      <c r="BY879" s="567"/>
      <c r="BZ879" s="567"/>
      <c r="CA879" s="567"/>
      <c r="CB879" s="567"/>
      <c r="CC879" s="567"/>
      <c r="CD879" s="567"/>
      <c r="CE879" s="567"/>
      <c r="CF879" s="567"/>
      <c r="CG879" s="567"/>
      <c r="CH879" s="567"/>
      <c r="CI879" s="567"/>
      <c r="CJ879" s="567"/>
      <c r="CK879" s="567"/>
      <c r="CL879" s="567"/>
      <c r="CM879" s="567"/>
      <c r="CN879" s="567"/>
      <c r="CO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  <c r="BW880" s="567"/>
      <c r="BX880" s="567"/>
      <c r="BY880" s="567"/>
      <c r="BZ880" s="567"/>
      <c r="CA880" s="567"/>
      <c r="CB880" s="567"/>
      <c r="CC880" s="567"/>
      <c r="CD880" s="567"/>
      <c r="CE880" s="567"/>
      <c r="CF880" s="567"/>
      <c r="CG880" s="567"/>
      <c r="CH880" s="567"/>
      <c r="CI880" s="567"/>
      <c r="CJ880" s="567"/>
      <c r="CK880" s="567"/>
      <c r="CL880" s="567"/>
      <c r="CM880" s="567"/>
      <c r="CN880" s="567"/>
      <c r="CO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  <c r="BW881" s="567"/>
      <c r="BX881" s="567"/>
      <c r="BY881" s="567"/>
      <c r="BZ881" s="567"/>
      <c r="CA881" s="567"/>
      <c r="CB881" s="567"/>
      <c r="CC881" s="567"/>
      <c r="CD881" s="567"/>
      <c r="CE881" s="567"/>
      <c r="CF881" s="567"/>
      <c r="CG881" s="567"/>
      <c r="CH881" s="567"/>
      <c r="CI881" s="567"/>
      <c r="CJ881" s="567"/>
      <c r="CK881" s="567"/>
      <c r="CL881" s="567"/>
      <c r="CM881" s="567"/>
      <c r="CN881" s="567"/>
      <c r="CO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  <c r="BW882" s="567"/>
      <c r="BX882" s="567"/>
      <c r="BY882" s="567"/>
      <c r="BZ882" s="567"/>
      <c r="CA882" s="567"/>
      <c r="CB882" s="567"/>
      <c r="CC882" s="567"/>
      <c r="CD882" s="567"/>
      <c r="CE882" s="567"/>
      <c r="CF882" s="567"/>
      <c r="CG882" s="567"/>
      <c r="CH882" s="567"/>
      <c r="CI882" s="567"/>
      <c r="CJ882" s="567"/>
      <c r="CK882" s="567"/>
      <c r="CL882" s="567"/>
      <c r="CM882" s="567"/>
      <c r="CN882" s="567"/>
      <c r="CO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  <c r="BW883" s="567"/>
      <c r="BX883" s="567"/>
      <c r="BY883" s="567"/>
      <c r="BZ883" s="567"/>
      <c r="CA883" s="567"/>
      <c r="CB883" s="567"/>
      <c r="CC883" s="567"/>
      <c r="CD883" s="567"/>
      <c r="CE883" s="567"/>
      <c r="CF883" s="567"/>
      <c r="CG883" s="567"/>
      <c r="CH883" s="567"/>
      <c r="CI883" s="567"/>
      <c r="CJ883" s="567"/>
      <c r="CK883" s="567"/>
      <c r="CL883" s="567"/>
      <c r="CM883" s="567"/>
      <c r="CN883" s="567"/>
      <c r="CO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  <c r="BW884" s="567"/>
      <c r="BX884" s="567"/>
      <c r="BY884" s="567"/>
      <c r="BZ884" s="567"/>
      <c r="CA884" s="567"/>
      <c r="CB884" s="567"/>
      <c r="CC884" s="567"/>
      <c r="CD884" s="567"/>
      <c r="CE884" s="567"/>
      <c r="CF884" s="567"/>
      <c r="CG884" s="567"/>
      <c r="CH884" s="567"/>
      <c r="CI884" s="567"/>
      <c r="CJ884" s="567"/>
      <c r="CK884" s="567"/>
      <c r="CL884" s="567"/>
      <c r="CM884" s="567"/>
      <c r="CN884" s="567"/>
      <c r="CO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  <c r="BW885" s="567"/>
      <c r="BX885" s="567"/>
      <c r="BY885" s="567"/>
      <c r="BZ885" s="567"/>
      <c r="CA885" s="567"/>
      <c r="CB885" s="567"/>
      <c r="CC885" s="567"/>
      <c r="CD885" s="567"/>
      <c r="CE885" s="567"/>
      <c r="CF885" s="567"/>
      <c r="CG885" s="567"/>
      <c r="CH885" s="567"/>
      <c r="CI885" s="567"/>
      <c r="CJ885" s="567"/>
      <c r="CK885" s="567"/>
      <c r="CL885" s="567"/>
      <c r="CM885" s="567"/>
      <c r="CN885" s="567"/>
      <c r="CO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  <c r="BW886" s="567"/>
      <c r="BX886" s="567"/>
      <c r="BY886" s="567"/>
      <c r="BZ886" s="567"/>
      <c r="CA886" s="567"/>
      <c r="CB886" s="567"/>
      <c r="CC886" s="567"/>
      <c r="CD886" s="567"/>
      <c r="CE886" s="567"/>
      <c r="CF886" s="567"/>
      <c r="CG886" s="567"/>
      <c r="CH886" s="567"/>
      <c r="CI886" s="567"/>
      <c r="CJ886" s="567"/>
      <c r="CK886" s="567"/>
      <c r="CL886" s="567"/>
      <c r="CM886" s="567"/>
      <c r="CN886" s="567"/>
      <c r="CO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  <c r="BW887" s="567"/>
      <c r="BX887" s="567"/>
      <c r="BY887" s="567"/>
      <c r="BZ887" s="567"/>
      <c r="CA887" s="567"/>
      <c r="CB887" s="567"/>
      <c r="CC887" s="567"/>
      <c r="CD887" s="567"/>
      <c r="CE887" s="567"/>
      <c r="CF887" s="567"/>
      <c r="CG887" s="567"/>
      <c r="CH887" s="567"/>
      <c r="CI887" s="567"/>
      <c r="CJ887" s="567"/>
      <c r="CK887" s="567"/>
      <c r="CL887" s="567"/>
      <c r="CM887" s="567"/>
      <c r="CN887" s="567"/>
      <c r="CO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  <c r="BW888" s="567"/>
      <c r="BX888" s="567"/>
      <c r="BY888" s="567"/>
      <c r="BZ888" s="567"/>
      <c r="CA888" s="567"/>
      <c r="CB888" s="567"/>
      <c r="CC888" s="567"/>
      <c r="CD888" s="567"/>
      <c r="CE888" s="567"/>
      <c r="CF888" s="567"/>
      <c r="CG888" s="567"/>
      <c r="CH888" s="567"/>
      <c r="CI888" s="567"/>
      <c r="CJ888" s="567"/>
      <c r="CK888" s="567"/>
      <c r="CL888" s="567"/>
      <c r="CM888" s="567"/>
      <c r="CN888" s="567"/>
      <c r="CO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  <c r="BW889" s="567"/>
      <c r="BX889" s="567"/>
      <c r="BY889" s="567"/>
      <c r="BZ889" s="567"/>
      <c r="CA889" s="567"/>
      <c r="CB889" s="567"/>
      <c r="CC889" s="567"/>
      <c r="CD889" s="567"/>
      <c r="CE889" s="567"/>
      <c r="CF889" s="567"/>
      <c r="CG889" s="567"/>
      <c r="CH889" s="567"/>
      <c r="CI889" s="567"/>
      <c r="CJ889" s="567"/>
      <c r="CK889" s="567"/>
      <c r="CL889" s="567"/>
      <c r="CM889" s="567"/>
      <c r="CN889" s="567"/>
      <c r="CO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  <c r="BW890" s="567"/>
      <c r="BX890" s="567"/>
      <c r="BY890" s="567"/>
      <c r="BZ890" s="567"/>
      <c r="CA890" s="567"/>
      <c r="CB890" s="567"/>
      <c r="CC890" s="567"/>
      <c r="CD890" s="567"/>
      <c r="CE890" s="567"/>
      <c r="CF890" s="567"/>
      <c r="CG890" s="567"/>
      <c r="CH890" s="567"/>
      <c r="CI890" s="567"/>
      <c r="CJ890" s="567"/>
      <c r="CK890" s="567"/>
      <c r="CL890" s="567"/>
      <c r="CM890" s="567"/>
      <c r="CN890" s="567"/>
      <c r="CO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  <c r="BW891" s="567"/>
      <c r="BX891" s="567"/>
      <c r="BY891" s="567"/>
      <c r="BZ891" s="567"/>
      <c r="CA891" s="567"/>
      <c r="CB891" s="567"/>
      <c r="CC891" s="567"/>
      <c r="CD891" s="567"/>
      <c r="CE891" s="567"/>
      <c r="CF891" s="567"/>
      <c r="CG891" s="567"/>
      <c r="CH891" s="567"/>
      <c r="CI891" s="567"/>
      <c r="CJ891" s="567"/>
      <c r="CK891" s="567"/>
      <c r="CL891" s="567"/>
      <c r="CM891" s="567"/>
      <c r="CN891" s="567"/>
      <c r="CO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  <c r="BW892" s="567"/>
      <c r="BX892" s="567"/>
      <c r="BY892" s="567"/>
      <c r="BZ892" s="567"/>
      <c r="CA892" s="567"/>
      <c r="CB892" s="567"/>
      <c r="CC892" s="567"/>
      <c r="CD892" s="567"/>
      <c r="CE892" s="567"/>
      <c r="CF892" s="567"/>
      <c r="CG892" s="567"/>
      <c r="CH892" s="567"/>
      <c r="CI892" s="567"/>
      <c r="CJ892" s="567"/>
      <c r="CK892" s="567"/>
      <c r="CL892" s="567"/>
      <c r="CM892" s="567"/>
      <c r="CN892" s="567"/>
      <c r="CO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  <c r="BW893" s="567"/>
      <c r="BX893" s="567"/>
      <c r="BY893" s="567"/>
      <c r="BZ893" s="567"/>
      <c r="CA893" s="567"/>
      <c r="CB893" s="567"/>
      <c r="CC893" s="567"/>
      <c r="CD893" s="567"/>
      <c r="CE893" s="567"/>
      <c r="CF893" s="567"/>
      <c r="CG893" s="567"/>
      <c r="CH893" s="567"/>
      <c r="CI893" s="567"/>
      <c r="CJ893" s="567"/>
      <c r="CK893" s="567"/>
      <c r="CL893" s="567"/>
      <c r="CM893" s="567"/>
      <c r="CN893" s="567"/>
      <c r="CO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  <c r="BW894" s="567"/>
      <c r="BX894" s="567"/>
      <c r="BY894" s="567"/>
      <c r="BZ894" s="567"/>
      <c r="CA894" s="567"/>
      <c r="CB894" s="567"/>
      <c r="CC894" s="567"/>
      <c r="CD894" s="567"/>
      <c r="CE894" s="567"/>
      <c r="CF894" s="567"/>
      <c r="CG894" s="567"/>
      <c r="CH894" s="567"/>
      <c r="CI894" s="567"/>
      <c r="CJ894" s="567"/>
      <c r="CK894" s="567"/>
      <c r="CL894" s="567"/>
      <c r="CM894" s="567"/>
      <c r="CN894" s="567"/>
      <c r="CO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  <c r="BW895" s="567"/>
      <c r="BX895" s="567"/>
      <c r="BY895" s="567"/>
      <c r="BZ895" s="567"/>
      <c r="CA895" s="567"/>
      <c r="CB895" s="567"/>
      <c r="CC895" s="567"/>
      <c r="CD895" s="567"/>
      <c r="CE895" s="567"/>
      <c r="CF895" s="567"/>
      <c r="CG895" s="567"/>
      <c r="CH895" s="567"/>
      <c r="CI895" s="567"/>
      <c r="CJ895" s="567"/>
      <c r="CK895" s="567"/>
      <c r="CL895" s="567"/>
      <c r="CM895" s="567"/>
      <c r="CN895" s="567"/>
      <c r="CO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  <c r="BW896" s="567"/>
      <c r="BX896" s="567"/>
      <c r="BY896" s="567"/>
      <c r="BZ896" s="567"/>
      <c r="CA896" s="567"/>
      <c r="CB896" s="567"/>
      <c r="CC896" s="567"/>
      <c r="CD896" s="567"/>
      <c r="CE896" s="567"/>
      <c r="CF896" s="567"/>
      <c r="CG896" s="567"/>
      <c r="CH896" s="567"/>
      <c r="CI896" s="567"/>
      <c r="CJ896" s="567"/>
      <c r="CK896" s="567"/>
      <c r="CL896" s="567"/>
      <c r="CM896" s="567"/>
      <c r="CN896" s="567"/>
      <c r="CO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  <c r="BW897" s="567"/>
      <c r="BX897" s="567"/>
      <c r="BY897" s="567"/>
      <c r="BZ897" s="567"/>
      <c r="CA897" s="567"/>
      <c r="CB897" s="567"/>
      <c r="CC897" s="567"/>
      <c r="CD897" s="567"/>
      <c r="CE897" s="567"/>
      <c r="CF897" s="567"/>
      <c r="CG897" s="567"/>
      <c r="CH897" s="567"/>
      <c r="CI897" s="567"/>
      <c r="CJ897" s="567"/>
      <c r="CK897" s="567"/>
      <c r="CL897" s="567"/>
      <c r="CM897" s="567"/>
      <c r="CN897" s="567"/>
      <c r="CO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  <c r="BW898" s="567"/>
      <c r="BX898" s="567"/>
      <c r="BY898" s="567"/>
      <c r="BZ898" s="567"/>
      <c r="CA898" s="567"/>
      <c r="CB898" s="567"/>
      <c r="CC898" s="567"/>
      <c r="CD898" s="567"/>
      <c r="CE898" s="567"/>
      <c r="CF898" s="567"/>
      <c r="CG898" s="567"/>
      <c r="CH898" s="567"/>
      <c r="CI898" s="567"/>
      <c r="CJ898" s="567"/>
      <c r="CK898" s="567"/>
      <c r="CL898" s="567"/>
      <c r="CM898" s="567"/>
      <c r="CN898" s="567"/>
      <c r="CO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  <c r="BW899" s="567"/>
      <c r="BX899" s="567"/>
      <c r="BY899" s="567"/>
      <c r="BZ899" s="567"/>
      <c r="CA899" s="567"/>
      <c r="CB899" s="567"/>
      <c r="CC899" s="567"/>
      <c r="CD899" s="567"/>
      <c r="CE899" s="567"/>
      <c r="CF899" s="567"/>
      <c r="CG899" s="567"/>
      <c r="CH899" s="567"/>
      <c r="CI899" s="567"/>
      <c r="CJ899" s="567"/>
      <c r="CK899" s="567"/>
      <c r="CL899" s="567"/>
      <c r="CM899" s="567"/>
      <c r="CN899" s="567"/>
      <c r="CO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  <c r="BW900" s="567"/>
      <c r="BX900" s="567"/>
      <c r="BY900" s="567"/>
      <c r="BZ900" s="567"/>
      <c r="CA900" s="567"/>
      <c r="CB900" s="567"/>
      <c r="CC900" s="567"/>
      <c r="CD900" s="567"/>
      <c r="CE900" s="567"/>
      <c r="CF900" s="567"/>
      <c r="CG900" s="567"/>
      <c r="CH900" s="567"/>
      <c r="CI900" s="567"/>
      <c r="CJ900" s="567"/>
      <c r="CK900" s="567"/>
      <c r="CL900" s="567"/>
      <c r="CM900" s="567"/>
      <c r="CN900" s="567"/>
      <c r="CO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  <c r="BW901" s="567"/>
      <c r="BX901" s="567"/>
      <c r="BY901" s="567"/>
      <c r="BZ901" s="567"/>
      <c r="CA901" s="567"/>
      <c r="CB901" s="567"/>
      <c r="CC901" s="567"/>
      <c r="CD901" s="567"/>
      <c r="CE901" s="567"/>
      <c r="CF901" s="567"/>
      <c r="CG901" s="567"/>
      <c r="CH901" s="567"/>
      <c r="CI901" s="567"/>
      <c r="CJ901" s="567"/>
      <c r="CK901" s="567"/>
      <c r="CL901" s="567"/>
      <c r="CM901" s="567"/>
      <c r="CN901" s="567"/>
      <c r="CO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  <c r="BW902" s="567"/>
      <c r="BX902" s="567"/>
      <c r="BY902" s="567"/>
      <c r="BZ902" s="567"/>
      <c r="CA902" s="567"/>
      <c r="CB902" s="567"/>
      <c r="CC902" s="567"/>
      <c r="CD902" s="567"/>
      <c r="CE902" s="567"/>
      <c r="CF902" s="567"/>
      <c r="CG902" s="567"/>
      <c r="CH902" s="567"/>
      <c r="CI902" s="567"/>
      <c r="CJ902" s="567"/>
      <c r="CK902" s="567"/>
      <c r="CL902" s="567"/>
      <c r="CM902" s="567"/>
      <c r="CN902" s="567"/>
      <c r="CO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  <c r="BW903" s="567"/>
      <c r="BX903" s="567"/>
      <c r="BY903" s="567"/>
      <c r="BZ903" s="567"/>
      <c r="CA903" s="567"/>
      <c r="CB903" s="567"/>
      <c r="CC903" s="567"/>
      <c r="CD903" s="567"/>
      <c r="CE903" s="567"/>
      <c r="CF903" s="567"/>
      <c r="CG903" s="567"/>
      <c r="CH903" s="567"/>
      <c r="CI903" s="567"/>
      <c r="CJ903" s="567"/>
      <c r="CK903" s="567"/>
      <c r="CL903" s="567"/>
      <c r="CM903" s="567"/>
      <c r="CN903" s="567"/>
      <c r="CO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  <c r="BW904" s="567"/>
      <c r="BX904" s="567"/>
      <c r="BY904" s="567"/>
      <c r="BZ904" s="567"/>
      <c r="CA904" s="567"/>
      <c r="CB904" s="567"/>
      <c r="CC904" s="567"/>
      <c r="CD904" s="567"/>
      <c r="CE904" s="567"/>
      <c r="CF904" s="567"/>
      <c r="CG904" s="567"/>
      <c r="CH904" s="567"/>
      <c r="CI904" s="567"/>
      <c r="CJ904" s="567"/>
      <c r="CK904" s="567"/>
      <c r="CL904" s="567"/>
      <c r="CM904" s="567"/>
      <c r="CN904" s="567"/>
      <c r="CO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  <c r="BW905" s="567"/>
      <c r="BX905" s="567"/>
      <c r="BY905" s="567"/>
      <c r="BZ905" s="567"/>
      <c r="CA905" s="567"/>
      <c r="CB905" s="567"/>
      <c r="CC905" s="567"/>
      <c r="CD905" s="567"/>
      <c r="CE905" s="567"/>
      <c r="CF905" s="567"/>
      <c r="CG905" s="567"/>
      <c r="CH905" s="567"/>
      <c r="CI905" s="567"/>
      <c r="CJ905" s="567"/>
      <c r="CK905" s="567"/>
      <c r="CL905" s="567"/>
      <c r="CM905" s="567"/>
      <c r="CN905" s="567"/>
      <c r="CO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  <c r="BW906" s="567"/>
      <c r="BX906" s="567"/>
      <c r="BY906" s="567"/>
      <c r="BZ906" s="567"/>
      <c r="CA906" s="567"/>
      <c r="CB906" s="567"/>
      <c r="CC906" s="567"/>
      <c r="CD906" s="567"/>
      <c r="CE906" s="567"/>
      <c r="CF906" s="567"/>
      <c r="CG906" s="567"/>
      <c r="CH906" s="567"/>
      <c r="CI906" s="567"/>
      <c r="CJ906" s="567"/>
      <c r="CK906" s="567"/>
      <c r="CL906" s="567"/>
      <c r="CM906" s="567"/>
      <c r="CN906" s="567"/>
      <c r="CO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  <c r="BW907" s="567"/>
      <c r="BX907" s="567"/>
      <c r="BY907" s="567"/>
      <c r="BZ907" s="567"/>
      <c r="CA907" s="567"/>
      <c r="CB907" s="567"/>
      <c r="CC907" s="567"/>
      <c r="CD907" s="567"/>
      <c r="CE907" s="567"/>
      <c r="CF907" s="567"/>
      <c r="CG907" s="567"/>
      <c r="CH907" s="567"/>
      <c r="CI907" s="567"/>
      <c r="CJ907" s="567"/>
      <c r="CK907" s="567"/>
      <c r="CL907" s="567"/>
      <c r="CM907" s="567"/>
      <c r="CN907" s="567"/>
      <c r="CO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  <c r="BW908" s="567"/>
      <c r="BX908" s="567"/>
      <c r="BY908" s="567"/>
      <c r="BZ908" s="567"/>
      <c r="CA908" s="567"/>
      <c r="CB908" s="567"/>
      <c r="CC908" s="567"/>
      <c r="CD908" s="567"/>
      <c r="CE908" s="567"/>
      <c r="CF908" s="567"/>
      <c r="CG908" s="567"/>
      <c r="CH908" s="567"/>
      <c r="CI908" s="567"/>
      <c r="CJ908" s="567"/>
      <c r="CK908" s="567"/>
      <c r="CL908" s="567"/>
      <c r="CM908" s="567"/>
      <c r="CN908" s="567"/>
      <c r="CO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  <c r="BW909" s="567"/>
      <c r="BX909" s="567"/>
      <c r="BY909" s="567"/>
      <c r="BZ909" s="567"/>
      <c r="CA909" s="567"/>
      <c r="CB909" s="567"/>
      <c r="CC909" s="567"/>
      <c r="CD909" s="567"/>
      <c r="CE909" s="567"/>
      <c r="CF909" s="567"/>
      <c r="CG909" s="567"/>
      <c r="CH909" s="567"/>
      <c r="CI909" s="567"/>
      <c r="CJ909" s="567"/>
      <c r="CK909" s="567"/>
      <c r="CL909" s="567"/>
      <c r="CM909" s="567"/>
      <c r="CN909" s="567"/>
      <c r="CO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  <c r="BW910" s="567"/>
      <c r="BX910" s="567"/>
      <c r="BY910" s="567"/>
      <c r="BZ910" s="567"/>
      <c r="CA910" s="567"/>
      <c r="CB910" s="567"/>
      <c r="CC910" s="567"/>
      <c r="CD910" s="567"/>
      <c r="CE910" s="567"/>
      <c r="CF910" s="567"/>
      <c r="CG910" s="567"/>
      <c r="CH910" s="567"/>
      <c r="CI910" s="567"/>
      <c r="CJ910" s="567"/>
      <c r="CK910" s="567"/>
      <c r="CL910" s="567"/>
      <c r="CM910" s="567"/>
      <c r="CN910" s="567"/>
      <c r="CO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  <c r="BW911" s="567"/>
      <c r="BX911" s="567"/>
      <c r="BY911" s="567"/>
      <c r="BZ911" s="567"/>
      <c r="CA911" s="567"/>
      <c r="CB911" s="567"/>
      <c r="CC911" s="567"/>
      <c r="CD911" s="567"/>
      <c r="CE911" s="567"/>
      <c r="CF911" s="567"/>
      <c r="CG911" s="567"/>
      <c r="CH911" s="567"/>
      <c r="CI911" s="567"/>
      <c r="CJ911" s="567"/>
      <c r="CK911" s="567"/>
      <c r="CL911" s="567"/>
      <c r="CM911" s="567"/>
      <c r="CN911" s="567"/>
      <c r="CO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  <c r="BW912" s="567"/>
      <c r="BX912" s="567"/>
      <c r="BY912" s="567"/>
      <c r="BZ912" s="567"/>
      <c r="CA912" s="567"/>
      <c r="CB912" s="567"/>
      <c r="CC912" s="567"/>
      <c r="CD912" s="567"/>
      <c r="CE912" s="567"/>
      <c r="CF912" s="567"/>
      <c r="CG912" s="567"/>
      <c r="CH912" s="567"/>
      <c r="CI912" s="567"/>
      <c r="CJ912" s="567"/>
      <c r="CK912" s="567"/>
      <c r="CL912" s="567"/>
      <c r="CM912" s="567"/>
      <c r="CN912" s="567"/>
      <c r="CO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  <c r="BW913" s="567"/>
      <c r="BX913" s="567"/>
      <c r="BY913" s="567"/>
      <c r="BZ913" s="567"/>
      <c r="CA913" s="567"/>
      <c r="CB913" s="567"/>
      <c r="CC913" s="567"/>
      <c r="CD913" s="567"/>
      <c r="CE913" s="567"/>
      <c r="CF913" s="567"/>
      <c r="CG913" s="567"/>
      <c r="CH913" s="567"/>
      <c r="CI913" s="567"/>
      <c r="CJ913" s="567"/>
      <c r="CK913" s="567"/>
      <c r="CL913" s="567"/>
      <c r="CM913" s="567"/>
      <c r="CN913" s="567"/>
      <c r="CO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  <c r="BW914" s="567"/>
      <c r="BX914" s="567"/>
      <c r="BY914" s="567"/>
      <c r="BZ914" s="567"/>
      <c r="CA914" s="567"/>
      <c r="CB914" s="567"/>
      <c r="CC914" s="567"/>
      <c r="CD914" s="567"/>
      <c r="CE914" s="567"/>
      <c r="CF914" s="567"/>
      <c r="CG914" s="567"/>
      <c r="CH914" s="567"/>
      <c r="CI914" s="567"/>
      <c r="CJ914" s="567"/>
      <c r="CK914" s="567"/>
      <c r="CL914" s="567"/>
      <c r="CM914" s="567"/>
      <c r="CN914" s="567"/>
      <c r="CO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  <c r="BW915" s="567"/>
      <c r="BX915" s="567"/>
      <c r="BY915" s="567"/>
      <c r="BZ915" s="567"/>
      <c r="CA915" s="567"/>
      <c r="CB915" s="567"/>
      <c r="CC915" s="567"/>
      <c r="CD915" s="567"/>
      <c r="CE915" s="567"/>
      <c r="CF915" s="567"/>
      <c r="CG915" s="567"/>
      <c r="CH915" s="567"/>
      <c r="CI915" s="567"/>
      <c r="CJ915" s="567"/>
      <c r="CK915" s="567"/>
      <c r="CL915" s="567"/>
      <c r="CM915" s="567"/>
      <c r="CN915" s="567"/>
      <c r="CO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  <c r="BW916" s="567"/>
      <c r="BX916" s="567"/>
      <c r="BY916" s="567"/>
      <c r="BZ916" s="567"/>
      <c r="CA916" s="567"/>
      <c r="CB916" s="567"/>
      <c r="CC916" s="567"/>
      <c r="CD916" s="567"/>
      <c r="CE916" s="567"/>
      <c r="CF916" s="567"/>
      <c r="CG916" s="567"/>
      <c r="CH916" s="567"/>
      <c r="CI916" s="567"/>
      <c r="CJ916" s="567"/>
      <c r="CK916" s="567"/>
      <c r="CL916" s="567"/>
      <c r="CM916" s="567"/>
      <c r="CN916" s="567"/>
      <c r="CO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  <c r="BW917" s="567"/>
      <c r="BX917" s="567"/>
      <c r="BY917" s="567"/>
      <c r="BZ917" s="567"/>
      <c r="CA917" s="567"/>
      <c r="CB917" s="567"/>
      <c r="CC917" s="567"/>
      <c r="CD917" s="567"/>
      <c r="CE917" s="567"/>
      <c r="CF917" s="567"/>
      <c r="CG917" s="567"/>
      <c r="CH917" s="567"/>
      <c r="CI917" s="567"/>
      <c r="CJ917" s="567"/>
      <c r="CK917" s="567"/>
      <c r="CL917" s="567"/>
      <c r="CM917" s="567"/>
      <c r="CN917" s="567"/>
      <c r="CO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  <c r="BW918" s="567"/>
      <c r="BX918" s="567"/>
      <c r="BY918" s="567"/>
      <c r="BZ918" s="567"/>
      <c r="CA918" s="567"/>
      <c r="CB918" s="567"/>
      <c r="CC918" s="567"/>
      <c r="CD918" s="567"/>
      <c r="CE918" s="567"/>
      <c r="CF918" s="567"/>
      <c r="CG918" s="567"/>
      <c r="CH918" s="567"/>
      <c r="CI918" s="567"/>
      <c r="CJ918" s="567"/>
      <c r="CK918" s="567"/>
      <c r="CL918" s="567"/>
      <c r="CM918" s="567"/>
      <c r="CN918" s="567"/>
      <c r="CO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  <c r="BW919" s="567"/>
      <c r="BX919" s="567"/>
      <c r="BY919" s="567"/>
      <c r="BZ919" s="567"/>
      <c r="CA919" s="567"/>
      <c r="CB919" s="567"/>
      <c r="CC919" s="567"/>
      <c r="CD919" s="567"/>
      <c r="CE919" s="567"/>
      <c r="CF919" s="567"/>
      <c r="CG919" s="567"/>
      <c r="CH919" s="567"/>
      <c r="CI919" s="567"/>
      <c r="CJ919" s="567"/>
      <c r="CK919" s="567"/>
      <c r="CL919" s="567"/>
      <c r="CM919" s="567"/>
      <c r="CN919" s="567"/>
      <c r="CO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  <c r="BW920" s="567"/>
      <c r="BX920" s="567"/>
      <c r="BY920" s="567"/>
      <c r="BZ920" s="567"/>
      <c r="CA920" s="567"/>
      <c r="CB920" s="567"/>
      <c r="CC920" s="567"/>
      <c r="CD920" s="567"/>
      <c r="CE920" s="567"/>
      <c r="CF920" s="567"/>
      <c r="CG920" s="567"/>
      <c r="CH920" s="567"/>
      <c r="CI920" s="567"/>
      <c r="CJ920" s="567"/>
      <c r="CK920" s="567"/>
      <c r="CL920" s="567"/>
      <c r="CM920" s="567"/>
      <c r="CN920" s="567"/>
      <c r="CO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  <c r="BW921" s="567"/>
      <c r="BX921" s="567"/>
      <c r="BY921" s="567"/>
      <c r="BZ921" s="567"/>
      <c r="CA921" s="567"/>
      <c r="CB921" s="567"/>
      <c r="CC921" s="567"/>
      <c r="CD921" s="567"/>
      <c r="CE921" s="567"/>
      <c r="CF921" s="567"/>
      <c r="CG921" s="567"/>
      <c r="CH921" s="567"/>
      <c r="CI921" s="567"/>
      <c r="CJ921" s="567"/>
      <c r="CK921" s="567"/>
      <c r="CL921" s="567"/>
      <c r="CM921" s="567"/>
      <c r="CN921" s="567"/>
      <c r="CO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  <c r="BW922" s="567"/>
      <c r="BX922" s="567"/>
      <c r="BY922" s="567"/>
      <c r="BZ922" s="567"/>
      <c r="CA922" s="567"/>
      <c r="CB922" s="567"/>
      <c r="CC922" s="567"/>
      <c r="CD922" s="567"/>
      <c r="CE922" s="567"/>
      <c r="CF922" s="567"/>
      <c r="CG922" s="567"/>
      <c r="CH922" s="567"/>
      <c r="CI922" s="567"/>
      <c r="CJ922" s="567"/>
      <c r="CK922" s="567"/>
      <c r="CL922" s="567"/>
      <c r="CM922" s="567"/>
      <c r="CN922" s="567"/>
      <c r="CO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  <c r="BW923" s="567"/>
      <c r="BX923" s="567"/>
      <c r="BY923" s="567"/>
      <c r="BZ923" s="567"/>
      <c r="CA923" s="567"/>
      <c r="CB923" s="567"/>
      <c r="CC923" s="567"/>
      <c r="CD923" s="567"/>
      <c r="CE923" s="567"/>
      <c r="CF923" s="567"/>
      <c r="CG923" s="567"/>
      <c r="CH923" s="567"/>
      <c r="CI923" s="567"/>
      <c r="CJ923" s="567"/>
      <c r="CK923" s="567"/>
      <c r="CL923" s="567"/>
      <c r="CM923" s="567"/>
      <c r="CN923" s="567"/>
      <c r="CO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  <c r="BW924" s="567"/>
      <c r="BX924" s="567"/>
      <c r="BY924" s="567"/>
      <c r="BZ924" s="567"/>
      <c r="CA924" s="567"/>
      <c r="CB924" s="567"/>
      <c r="CC924" s="567"/>
      <c r="CD924" s="567"/>
      <c r="CE924" s="567"/>
      <c r="CF924" s="567"/>
      <c r="CG924" s="567"/>
      <c r="CH924" s="567"/>
      <c r="CI924" s="567"/>
      <c r="CJ924" s="567"/>
      <c r="CK924" s="567"/>
      <c r="CL924" s="567"/>
      <c r="CM924" s="567"/>
      <c r="CN924" s="567"/>
      <c r="CO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  <c r="BW925" s="567"/>
      <c r="BX925" s="567"/>
      <c r="BY925" s="567"/>
      <c r="BZ925" s="567"/>
      <c r="CA925" s="567"/>
      <c r="CB925" s="567"/>
      <c r="CC925" s="567"/>
      <c r="CD925" s="567"/>
      <c r="CE925" s="567"/>
      <c r="CF925" s="567"/>
      <c r="CG925" s="567"/>
      <c r="CH925" s="567"/>
      <c r="CI925" s="567"/>
      <c r="CJ925" s="567"/>
      <c r="CK925" s="567"/>
      <c r="CL925" s="567"/>
      <c r="CM925" s="567"/>
      <c r="CN925" s="567"/>
      <c r="CO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  <c r="BW926" s="567"/>
      <c r="BX926" s="567"/>
      <c r="BY926" s="567"/>
      <c r="BZ926" s="567"/>
      <c r="CA926" s="567"/>
      <c r="CB926" s="567"/>
      <c r="CC926" s="567"/>
      <c r="CD926" s="567"/>
      <c r="CE926" s="567"/>
      <c r="CF926" s="567"/>
      <c r="CG926" s="567"/>
      <c r="CH926" s="567"/>
      <c r="CI926" s="567"/>
      <c r="CJ926" s="567"/>
      <c r="CK926" s="567"/>
      <c r="CL926" s="567"/>
      <c r="CM926" s="567"/>
      <c r="CN926" s="567"/>
      <c r="CO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  <c r="BW927" s="567"/>
      <c r="BX927" s="567"/>
      <c r="BY927" s="567"/>
      <c r="BZ927" s="567"/>
      <c r="CA927" s="567"/>
      <c r="CB927" s="567"/>
      <c r="CC927" s="567"/>
      <c r="CD927" s="567"/>
      <c r="CE927" s="567"/>
      <c r="CF927" s="567"/>
      <c r="CG927" s="567"/>
      <c r="CH927" s="567"/>
      <c r="CI927" s="567"/>
      <c r="CJ927" s="567"/>
      <c r="CK927" s="567"/>
      <c r="CL927" s="567"/>
      <c r="CM927" s="567"/>
      <c r="CN927" s="567"/>
      <c r="CO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  <c r="BW928" s="567"/>
      <c r="BX928" s="567"/>
      <c r="BY928" s="567"/>
      <c r="BZ928" s="567"/>
      <c r="CA928" s="567"/>
      <c r="CB928" s="567"/>
      <c r="CC928" s="567"/>
      <c r="CD928" s="567"/>
      <c r="CE928" s="567"/>
      <c r="CF928" s="567"/>
      <c r="CG928" s="567"/>
      <c r="CH928" s="567"/>
      <c r="CI928" s="567"/>
      <c r="CJ928" s="567"/>
      <c r="CK928" s="567"/>
      <c r="CL928" s="567"/>
      <c r="CM928" s="567"/>
      <c r="CN928" s="567"/>
      <c r="CO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  <c r="BW929" s="567"/>
      <c r="BX929" s="567"/>
      <c r="BY929" s="567"/>
      <c r="BZ929" s="567"/>
      <c r="CA929" s="567"/>
      <c r="CB929" s="567"/>
      <c r="CC929" s="567"/>
      <c r="CD929" s="567"/>
      <c r="CE929" s="567"/>
      <c r="CF929" s="567"/>
      <c r="CG929" s="567"/>
      <c r="CH929" s="567"/>
      <c r="CI929" s="567"/>
      <c r="CJ929" s="567"/>
      <c r="CK929" s="567"/>
      <c r="CL929" s="567"/>
      <c r="CM929" s="567"/>
      <c r="CN929" s="567"/>
      <c r="CO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  <c r="BW930" s="567"/>
      <c r="BX930" s="567"/>
      <c r="BY930" s="567"/>
      <c r="BZ930" s="567"/>
      <c r="CA930" s="567"/>
      <c r="CB930" s="567"/>
      <c r="CC930" s="567"/>
      <c r="CD930" s="567"/>
      <c r="CE930" s="567"/>
      <c r="CF930" s="567"/>
      <c r="CG930" s="567"/>
      <c r="CH930" s="567"/>
      <c r="CI930" s="567"/>
      <c r="CJ930" s="567"/>
      <c r="CK930" s="567"/>
      <c r="CL930" s="567"/>
      <c r="CM930" s="567"/>
      <c r="CN930" s="567"/>
      <c r="CO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  <c r="BW931" s="567"/>
      <c r="BX931" s="567"/>
      <c r="BY931" s="567"/>
      <c r="BZ931" s="567"/>
      <c r="CA931" s="567"/>
      <c r="CB931" s="567"/>
      <c r="CC931" s="567"/>
      <c r="CD931" s="567"/>
      <c r="CE931" s="567"/>
      <c r="CF931" s="567"/>
      <c r="CG931" s="567"/>
      <c r="CH931" s="567"/>
      <c r="CI931" s="567"/>
      <c r="CJ931" s="567"/>
      <c r="CK931" s="567"/>
      <c r="CL931" s="567"/>
      <c r="CM931" s="567"/>
      <c r="CN931" s="567"/>
      <c r="CO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  <c r="BW932" s="567"/>
      <c r="BX932" s="567"/>
      <c r="BY932" s="567"/>
      <c r="BZ932" s="567"/>
      <c r="CA932" s="567"/>
      <c r="CB932" s="567"/>
      <c r="CC932" s="567"/>
      <c r="CD932" s="567"/>
      <c r="CE932" s="567"/>
      <c r="CF932" s="567"/>
      <c r="CG932" s="567"/>
      <c r="CH932" s="567"/>
      <c r="CI932" s="567"/>
      <c r="CJ932" s="567"/>
      <c r="CK932" s="567"/>
      <c r="CL932" s="567"/>
      <c r="CM932" s="567"/>
      <c r="CN932" s="567"/>
      <c r="CO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  <c r="BW933" s="567"/>
      <c r="BX933" s="567"/>
      <c r="BY933" s="567"/>
      <c r="BZ933" s="567"/>
      <c r="CA933" s="567"/>
      <c r="CB933" s="567"/>
      <c r="CC933" s="567"/>
      <c r="CD933" s="567"/>
      <c r="CE933" s="567"/>
      <c r="CF933" s="567"/>
      <c r="CG933" s="567"/>
      <c r="CH933" s="567"/>
      <c r="CI933" s="567"/>
      <c r="CJ933" s="567"/>
      <c r="CK933" s="567"/>
      <c r="CL933" s="567"/>
      <c r="CM933" s="567"/>
      <c r="CN933" s="567"/>
      <c r="CO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  <c r="BW934" s="567"/>
      <c r="BX934" s="567"/>
      <c r="BY934" s="567"/>
      <c r="BZ934" s="567"/>
      <c r="CA934" s="567"/>
      <c r="CB934" s="567"/>
      <c r="CC934" s="567"/>
      <c r="CD934" s="567"/>
      <c r="CE934" s="567"/>
      <c r="CF934" s="567"/>
      <c r="CG934" s="567"/>
      <c r="CH934" s="567"/>
      <c r="CI934" s="567"/>
      <c r="CJ934" s="567"/>
      <c r="CK934" s="567"/>
      <c r="CL934" s="567"/>
      <c r="CM934" s="567"/>
      <c r="CN934" s="567"/>
      <c r="CO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  <c r="BW935" s="567"/>
      <c r="BX935" s="567"/>
      <c r="BY935" s="567"/>
      <c r="BZ935" s="567"/>
      <c r="CA935" s="567"/>
      <c r="CB935" s="567"/>
      <c r="CC935" s="567"/>
      <c r="CD935" s="567"/>
      <c r="CE935" s="567"/>
      <c r="CF935" s="567"/>
      <c r="CG935" s="567"/>
      <c r="CH935" s="567"/>
      <c r="CI935" s="567"/>
      <c r="CJ935" s="567"/>
      <c r="CK935" s="567"/>
      <c r="CL935" s="567"/>
      <c r="CM935" s="567"/>
      <c r="CN935" s="567"/>
      <c r="CO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  <c r="BW936" s="567"/>
      <c r="BX936" s="567"/>
      <c r="BY936" s="567"/>
      <c r="BZ936" s="567"/>
      <c r="CA936" s="567"/>
      <c r="CB936" s="567"/>
      <c r="CC936" s="567"/>
      <c r="CD936" s="567"/>
      <c r="CE936" s="567"/>
      <c r="CF936" s="567"/>
      <c r="CG936" s="567"/>
      <c r="CH936" s="567"/>
      <c r="CI936" s="567"/>
      <c r="CJ936" s="567"/>
      <c r="CK936" s="567"/>
      <c r="CL936" s="567"/>
      <c r="CM936" s="567"/>
      <c r="CN936" s="567"/>
      <c r="CO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  <c r="BW937" s="567"/>
      <c r="BX937" s="567"/>
      <c r="BY937" s="567"/>
      <c r="BZ937" s="567"/>
      <c r="CA937" s="567"/>
      <c r="CB937" s="567"/>
      <c r="CC937" s="567"/>
      <c r="CD937" s="567"/>
      <c r="CE937" s="567"/>
      <c r="CF937" s="567"/>
      <c r="CG937" s="567"/>
      <c r="CH937" s="567"/>
      <c r="CI937" s="567"/>
      <c r="CJ937" s="567"/>
      <c r="CK937" s="567"/>
      <c r="CL937" s="567"/>
      <c r="CM937" s="567"/>
      <c r="CN937" s="567"/>
      <c r="CO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  <c r="BW938" s="567"/>
      <c r="BX938" s="567"/>
      <c r="BY938" s="567"/>
      <c r="BZ938" s="567"/>
      <c r="CA938" s="567"/>
      <c r="CB938" s="567"/>
      <c r="CC938" s="567"/>
      <c r="CD938" s="567"/>
      <c r="CE938" s="567"/>
      <c r="CF938" s="567"/>
      <c r="CG938" s="567"/>
      <c r="CH938" s="567"/>
      <c r="CI938" s="567"/>
      <c r="CJ938" s="567"/>
      <c r="CK938" s="567"/>
      <c r="CL938" s="567"/>
      <c r="CM938" s="567"/>
      <c r="CN938" s="567"/>
      <c r="CO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  <c r="BW939" s="567"/>
      <c r="BX939" s="567"/>
      <c r="BY939" s="567"/>
      <c r="BZ939" s="567"/>
      <c r="CA939" s="567"/>
      <c r="CB939" s="567"/>
      <c r="CC939" s="567"/>
      <c r="CD939" s="567"/>
      <c r="CE939" s="567"/>
      <c r="CF939" s="567"/>
      <c r="CG939" s="567"/>
      <c r="CH939" s="567"/>
      <c r="CI939" s="567"/>
      <c r="CJ939" s="567"/>
      <c r="CK939" s="567"/>
      <c r="CL939" s="567"/>
      <c r="CM939" s="567"/>
      <c r="CN939" s="567"/>
      <c r="CO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  <c r="BW940" s="567"/>
      <c r="BX940" s="567"/>
      <c r="BY940" s="567"/>
      <c r="BZ940" s="567"/>
      <c r="CA940" s="567"/>
      <c r="CB940" s="567"/>
      <c r="CC940" s="567"/>
      <c r="CD940" s="567"/>
      <c r="CE940" s="567"/>
      <c r="CF940" s="567"/>
      <c r="CG940" s="567"/>
      <c r="CH940" s="567"/>
      <c r="CI940" s="567"/>
      <c r="CJ940" s="567"/>
      <c r="CK940" s="567"/>
      <c r="CL940" s="567"/>
      <c r="CM940" s="567"/>
      <c r="CN940" s="567"/>
      <c r="CO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  <c r="BW941" s="567"/>
      <c r="BX941" s="567"/>
      <c r="BY941" s="567"/>
      <c r="BZ941" s="567"/>
      <c r="CA941" s="567"/>
      <c r="CB941" s="567"/>
      <c r="CC941" s="567"/>
      <c r="CD941" s="567"/>
      <c r="CE941" s="567"/>
      <c r="CF941" s="567"/>
      <c r="CG941" s="567"/>
      <c r="CH941" s="567"/>
      <c r="CI941" s="567"/>
      <c r="CJ941" s="567"/>
      <c r="CK941" s="567"/>
      <c r="CL941" s="567"/>
      <c r="CM941" s="567"/>
      <c r="CN941" s="567"/>
      <c r="CO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  <c r="BW942" s="567"/>
      <c r="BX942" s="567"/>
      <c r="BY942" s="567"/>
      <c r="BZ942" s="567"/>
      <c r="CA942" s="567"/>
      <c r="CB942" s="567"/>
      <c r="CC942" s="567"/>
      <c r="CD942" s="567"/>
      <c r="CE942" s="567"/>
      <c r="CF942" s="567"/>
      <c r="CG942" s="567"/>
      <c r="CH942" s="567"/>
      <c r="CI942" s="567"/>
      <c r="CJ942" s="567"/>
      <c r="CK942" s="567"/>
      <c r="CL942" s="567"/>
      <c r="CM942" s="567"/>
      <c r="CN942" s="567"/>
      <c r="CO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  <c r="BW943" s="567"/>
      <c r="BX943" s="567"/>
      <c r="BY943" s="567"/>
      <c r="BZ943" s="567"/>
      <c r="CA943" s="567"/>
      <c r="CB943" s="567"/>
      <c r="CC943" s="567"/>
      <c r="CD943" s="567"/>
      <c r="CE943" s="567"/>
      <c r="CF943" s="567"/>
      <c r="CG943" s="567"/>
      <c r="CH943" s="567"/>
      <c r="CI943" s="567"/>
      <c r="CJ943" s="567"/>
      <c r="CK943" s="567"/>
      <c r="CL943" s="567"/>
      <c r="CM943" s="567"/>
      <c r="CN943" s="567"/>
      <c r="CO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  <c r="BW944" s="567"/>
      <c r="BX944" s="567"/>
      <c r="BY944" s="567"/>
      <c r="BZ944" s="567"/>
      <c r="CA944" s="567"/>
      <c r="CB944" s="567"/>
      <c r="CC944" s="567"/>
      <c r="CD944" s="567"/>
      <c r="CE944" s="567"/>
      <c r="CF944" s="567"/>
      <c r="CG944" s="567"/>
      <c r="CH944" s="567"/>
      <c r="CI944" s="567"/>
      <c r="CJ944" s="567"/>
      <c r="CK944" s="567"/>
      <c r="CL944" s="567"/>
      <c r="CM944" s="567"/>
      <c r="CN944" s="567"/>
      <c r="CO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  <c r="BW945" s="567"/>
      <c r="BX945" s="567"/>
      <c r="BY945" s="567"/>
      <c r="BZ945" s="567"/>
      <c r="CA945" s="567"/>
      <c r="CB945" s="567"/>
      <c r="CC945" s="567"/>
      <c r="CD945" s="567"/>
      <c r="CE945" s="567"/>
      <c r="CF945" s="567"/>
      <c r="CG945" s="567"/>
      <c r="CH945" s="567"/>
      <c r="CI945" s="567"/>
      <c r="CJ945" s="567"/>
      <c r="CK945" s="567"/>
      <c r="CL945" s="567"/>
      <c r="CM945" s="567"/>
      <c r="CN945" s="567"/>
      <c r="CO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  <c r="BW946" s="567"/>
      <c r="BX946" s="567"/>
      <c r="BY946" s="567"/>
      <c r="BZ946" s="567"/>
      <c r="CA946" s="567"/>
      <c r="CB946" s="567"/>
      <c r="CC946" s="567"/>
      <c r="CD946" s="567"/>
      <c r="CE946" s="567"/>
      <c r="CF946" s="567"/>
      <c r="CG946" s="567"/>
      <c r="CH946" s="567"/>
      <c r="CI946" s="567"/>
      <c r="CJ946" s="567"/>
      <c r="CK946" s="567"/>
      <c r="CL946" s="567"/>
      <c r="CM946" s="567"/>
      <c r="CN946" s="567"/>
      <c r="CO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  <c r="BW947" s="567"/>
      <c r="BX947" s="567"/>
      <c r="BY947" s="567"/>
      <c r="BZ947" s="567"/>
      <c r="CA947" s="567"/>
      <c r="CB947" s="567"/>
      <c r="CC947" s="567"/>
      <c r="CD947" s="567"/>
      <c r="CE947" s="567"/>
      <c r="CF947" s="567"/>
      <c r="CG947" s="567"/>
      <c r="CH947" s="567"/>
      <c r="CI947" s="567"/>
      <c r="CJ947" s="567"/>
      <c r="CK947" s="567"/>
      <c r="CL947" s="567"/>
      <c r="CM947" s="567"/>
      <c r="CN947" s="567"/>
      <c r="CO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  <c r="BW948" s="567"/>
      <c r="BX948" s="567"/>
      <c r="BY948" s="567"/>
      <c r="BZ948" s="567"/>
      <c r="CA948" s="567"/>
      <c r="CB948" s="567"/>
      <c r="CC948" s="567"/>
      <c r="CD948" s="567"/>
      <c r="CE948" s="567"/>
      <c r="CF948" s="567"/>
      <c r="CG948" s="567"/>
      <c r="CH948" s="567"/>
      <c r="CI948" s="567"/>
      <c r="CJ948" s="567"/>
      <c r="CK948" s="567"/>
      <c r="CL948" s="567"/>
      <c r="CM948" s="567"/>
      <c r="CN948" s="567"/>
      <c r="CO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  <c r="BW949" s="567"/>
      <c r="BX949" s="567"/>
      <c r="BY949" s="567"/>
      <c r="BZ949" s="567"/>
      <c r="CA949" s="567"/>
      <c r="CB949" s="567"/>
      <c r="CC949" s="567"/>
      <c r="CD949" s="567"/>
      <c r="CE949" s="567"/>
      <c r="CF949" s="567"/>
      <c r="CG949" s="567"/>
      <c r="CH949" s="567"/>
      <c r="CI949" s="567"/>
      <c r="CJ949" s="567"/>
      <c r="CK949" s="567"/>
      <c r="CL949" s="567"/>
      <c r="CM949" s="567"/>
      <c r="CN949" s="567"/>
      <c r="CO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  <c r="BW950" s="567"/>
      <c r="BX950" s="567"/>
      <c r="BY950" s="567"/>
      <c r="BZ950" s="567"/>
      <c r="CA950" s="567"/>
      <c r="CB950" s="567"/>
      <c r="CC950" s="567"/>
      <c r="CD950" s="567"/>
      <c r="CE950" s="567"/>
      <c r="CF950" s="567"/>
      <c r="CG950" s="567"/>
      <c r="CH950" s="567"/>
      <c r="CI950" s="567"/>
      <c r="CJ950" s="567"/>
      <c r="CK950" s="567"/>
      <c r="CL950" s="567"/>
      <c r="CM950" s="567"/>
      <c r="CN950" s="567"/>
      <c r="CO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  <c r="BW951" s="567"/>
      <c r="BX951" s="567"/>
      <c r="BY951" s="567"/>
      <c r="BZ951" s="567"/>
      <c r="CA951" s="567"/>
      <c r="CB951" s="567"/>
      <c r="CC951" s="567"/>
      <c r="CD951" s="567"/>
      <c r="CE951" s="567"/>
      <c r="CF951" s="567"/>
      <c r="CG951" s="567"/>
      <c r="CH951" s="567"/>
      <c r="CI951" s="567"/>
      <c r="CJ951" s="567"/>
      <c r="CK951" s="567"/>
      <c r="CL951" s="567"/>
      <c r="CM951" s="567"/>
      <c r="CN951" s="567"/>
      <c r="CO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  <c r="BW952" s="567"/>
      <c r="BX952" s="567"/>
      <c r="BY952" s="567"/>
      <c r="BZ952" s="567"/>
      <c r="CA952" s="567"/>
      <c r="CB952" s="567"/>
      <c r="CC952" s="567"/>
      <c r="CD952" s="567"/>
      <c r="CE952" s="567"/>
      <c r="CF952" s="567"/>
      <c r="CG952" s="567"/>
      <c r="CH952" s="567"/>
      <c r="CI952" s="567"/>
      <c r="CJ952" s="567"/>
      <c r="CK952" s="567"/>
      <c r="CL952" s="567"/>
      <c r="CM952" s="567"/>
      <c r="CN952" s="567"/>
      <c r="CO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  <c r="BW953" s="567"/>
      <c r="BX953" s="567"/>
      <c r="BY953" s="567"/>
      <c r="BZ953" s="567"/>
      <c r="CA953" s="567"/>
      <c r="CB953" s="567"/>
      <c r="CC953" s="567"/>
      <c r="CD953" s="567"/>
      <c r="CE953" s="567"/>
      <c r="CF953" s="567"/>
      <c r="CG953" s="567"/>
      <c r="CH953" s="567"/>
      <c r="CI953" s="567"/>
      <c r="CJ953" s="567"/>
      <c r="CK953" s="567"/>
      <c r="CL953" s="567"/>
      <c r="CM953" s="567"/>
      <c r="CN953" s="567"/>
      <c r="CO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  <c r="BW954" s="567"/>
      <c r="BX954" s="567"/>
      <c r="BY954" s="567"/>
      <c r="BZ954" s="567"/>
      <c r="CA954" s="567"/>
      <c r="CB954" s="567"/>
      <c r="CC954" s="567"/>
      <c r="CD954" s="567"/>
      <c r="CE954" s="567"/>
      <c r="CF954" s="567"/>
      <c r="CG954" s="567"/>
      <c r="CH954" s="567"/>
      <c r="CI954" s="567"/>
      <c r="CJ954" s="567"/>
      <c r="CK954" s="567"/>
      <c r="CL954" s="567"/>
      <c r="CM954" s="567"/>
      <c r="CN954" s="567"/>
      <c r="CO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  <c r="BW955" s="567"/>
      <c r="BX955" s="567"/>
      <c r="BY955" s="567"/>
      <c r="BZ955" s="567"/>
      <c r="CA955" s="567"/>
      <c r="CB955" s="567"/>
      <c r="CC955" s="567"/>
      <c r="CD955" s="567"/>
      <c r="CE955" s="567"/>
      <c r="CF955" s="567"/>
      <c r="CG955" s="567"/>
      <c r="CH955" s="567"/>
      <c r="CI955" s="567"/>
      <c r="CJ955" s="567"/>
      <c r="CK955" s="567"/>
      <c r="CL955" s="567"/>
      <c r="CM955" s="567"/>
      <c r="CN955" s="567"/>
      <c r="CO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  <c r="BW956" s="567"/>
      <c r="BX956" s="567"/>
      <c r="BY956" s="567"/>
      <c r="BZ956" s="567"/>
      <c r="CA956" s="567"/>
      <c r="CB956" s="567"/>
      <c r="CC956" s="567"/>
      <c r="CD956" s="567"/>
      <c r="CE956" s="567"/>
      <c r="CF956" s="567"/>
      <c r="CG956" s="567"/>
      <c r="CH956" s="567"/>
      <c r="CI956" s="567"/>
      <c r="CJ956" s="567"/>
      <c r="CK956" s="567"/>
      <c r="CL956" s="567"/>
      <c r="CM956" s="567"/>
      <c r="CN956" s="567"/>
      <c r="CO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  <c r="BW957" s="567"/>
      <c r="BX957" s="567"/>
      <c r="BY957" s="567"/>
      <c r="BZ957" s="567"/>
      <c r="CA957" s="567"/>
      <c r="CB957" s="567"/>
      <c r="CC957" s="567"/>
      <c r="CD957" s="567"/>
      <c r="CE957" s="567"/>
      <c r="CF957" s="567"/>
      <c r="CG957" s="567"/>
      <c r="CH957" s="567"/>
      <c r="CI957" s="567"/>
      <c r="CJ957" s="567"/>
      <c r="CK957" s="567"/>
      <c r="CL957" s="567"/>
      <c r="CM957" s="567"/>
      <c r="CN957" s="567"/>
      <c r="CO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  <c r="BW958" s="567"/>
      <c r="BX958" s="567"/>
      <c r="BY958" s="567"/>
      <c r="BZ958" s="567"/>
      <c r="CA958" s="567"/>
      <c r="CB958" s="567"/>
      <c r="CC958" s="567"/>
      <c r="CD958" s="567"/>
      <c r="CE958" s="567"/>
      <c r="CF958" s="567"/>
      <c r="CG958" s="567"/>
      <c r="CH958" s="567"/>
      <c r="CI958" s="567"/>
      <c r="CJ958" s="567"/>
      <c r="CK958" s="567"/>
      <c r="CL958" s="567"/>
      <c r="CM958" s="567"/>
      <c r="CN958" s="567"/>
      <c r="CO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  <c r="BW959" s="567"/>
      <c r="BX959" s="567"/>
      <c r="BY959" s="567"/>
      <c r="BZ959" s="567"/>
      <c r="CA959" s="567"/>
      <c r="CB959" s="567"/>
      <c r="CC959" s="567"/>
      <c r="CD959" s="567"/>
      <c r="CE959" s="567"/>
      <c r="CF959" s="567"/>
      <c r="CG959" s="567"/>
      <c r="CH959" s="567"/>
      <c r="CI959" s="567"/>
      <c r="CJ959" s="567"/>
      <c r="CK959" s="567"/>
      <c r="CL959" s="567"/>
      <c r="CM959" s="567"/>
      <c r="CN959" s="567"/>
      <c r="CO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  <c r="BW960" s="567"/>
      <c r="BX960" s="567"/>
      <c r="BY960" s="567"/>
      <c r="BZ960" s="567"/>
      <c r="CA960" s="567"/>
      <c r="CB960" s="567"/>
      <c r="CC960" s="567"/>
      <c r="CD960" s="567"/>
      <c r="CE960" s="567"/>
      <c r="CF960" s="567"/>
      <c r="CG960" s="567"/>
      <c r="CH960" s="567"/>
      <c r="CI960" s="567"/>
      <c r="CJ960" s="567"/>
      <c r="CK960" s="567"/>
      <c r="CL960" s="567"/>
      <c r="CM960" s="567"/>
      <c r="CN960" s="567"/>
      <c r="CO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  <c r="BW961" s="567"/>
      <c r="BX961" s="567"/>
      <c r="BY961" s="567"/>
      <c r="BZ961" s="567"/>
      <c r="CA961" s="567"/>
      <c r="CB961" s="567"/>
      <c r="CC961" s="567"/>
      <c r="CD961" s="567"/>
      <c r="CE961" s="567"/>
      <c r="CF961" s="567"/>
      <c r="CG961" s="567"/>
      <c r="CH961" s="567"/>
      <c r="CI961" s="567"/>
      <c r="CJ961" s="567"/>
      <c r="CK961" s="567"/>
      <c r="CL961" s="567"/>
      <c r="CM961" s="567"/>
      <c r="CN961" s="567"/>
      <c r="CO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  <c r="BW962" s="567"/>
      <c r="BX962" s="567"/>
      <c r="BY962" s="567"/>
      <c r="BZ962" s="567"/>
      <c r="CA962" s="567"/>
      <c r="CB962" s="567"/>
      <c r="CC962" s="567"/>
      <c r="CD962" s="567"/>
      <c r="CE962" s="567"/>
      <c r="CF962" s="567"/>
      <c r="CG962" s="567"/>
      <c r="CH962" s="567"/>
      <c r="CI962" s="567"/>
      <c r="CJ962" s="567"/>
      <c r="CK962" s="567"/>
      <c r="CL962" s="567"/>
      <c r="CM962" s="567"/>
      <c r="CN962" s="567"/>
      <c r="CO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  <c r="BW963" s="567"/>
      <c r="BX963" s="567"/>
      <c r="BY963" s="567"/>
      <c r="BZ963" s="567"/>
      <c r="CA963" s="567"/>
      <c r="CB963" s="567"/>
      <c r="CC963" s="567"/>
      <c r="CD963" s="567"/>
      <c r="CE963" s="567"/>
      <c r="CF963" s="567"/>
      <c r="CG963" s="567"/>
      <c r="CH963" s="567"/>
      <c r="CI963" s="567"/>
      <c r="CJ963" s="567"/>
      <c r="CK963" s="567"/>
      <c r="CL963" s="567"/>
      <c r="CM963" s="567"/>
      <c r="CN963" s="567"/>
      <c r="CO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  <c r="BW964" s="567"/>
      <c r="BX964" s="567"/>
      <c r="BY964" s="567"/>
      <c r="BZ964" s="567"/>
      <c r="CA964" s="567"/>
      <c r="CB964" s="567"/>
      <c r="CC964" s="567"/>
      <c r="CD964" s="567"/>
      <c r="CE964" s="567"/>
      <c r="CF964" s="567"/>
      <c r="CG964" s="567"/>
      <c r="CH964" s="567"/>
      <c r="CI964" s="567"/>
      <c r="CJ964" s="567"/>
      <c r="CK964" s="567"/>
      <c r="CL964" s="567"/>
      <c r="CM964" s="567"/>
      <c r="CN964" s="567"/>
      <c r="CO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  <c r="BW965" s="567"/>
      <c r="BX965" s="567"/>
      <c r="BY965" s="567"/>
      <c r="BZ965" s="567"/>
      <c r="CA965" s="567"/>
      <c r="CB965" s="567"/>
      <c r="CC965" s="567"/>
      <c r="CD965" s="567"/>
      <c r="CE965" s="567"/>
      <c r="CF965" s="567"/>
      <c r="CG965" s="567"/>
      <c r="CH965" s="567"/>
      <c r="CI965" s="567"/>
      <c r="CJ965" s="567"/>
      <c r="CK965" s="567"/>
      <c r="CL965" s="567"/>
      <c r="CM965" s="567"/>
      <c r="CN965" s="567"/>
      <c r="CO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  <c r="BW966" s="567"/>
      <c r="BX966" s="567"/>
      <c r="BY966" s="567"/>
      <c r="BZ966" s="567"/>
      <c r="CA966" s="567"/>
      <c r="CB966" s="567"/>
      <c r="CC966" s="567"/>
      <c r="CD966" s="567"/>
      <c r="CE966" s="567"/>
      <c r="CF966" s="567"/>
      <c r="CG966" s="567"/>
      <c r="CH966" s="567"/>
      <c r="CI966" s="567"/>
      <c r="CJ966" s="567"/>
      <c r="CK966" s="567"/>
      <c r="CL966" s="567"/>
      <c r="CM966" s="567"/>
      <c r="CN966" s="567"/>
      <c r="CO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  <c r="BW967" s="567"/>
      <c r="BX967" s="567"/>
      <c r="BY967" s="567"/>
      <c r="BZ967" s="567"/>
      <c r="CA967" s="567"/>
      <c r="CB967" s="567"/>
      <c r="CC967" s="567"/>
      <c r="CD967" s="567"/>
      <c r="CE967" s="567"/>
      <c r="CF967" s="567"/>
      <c r="CG967" s="567"/>
      <c r="CH967" s="567"/>
      <c r="CI967" s="567"/>
      <c r="CJ967" s="567"/>
      <c r="CK967" s="567"/>
      <c r="CL967" s="567"/>
      <c r="CM967" s="567"/>
      <c r="CN967" s="567"/>
      <c r="CO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  <c r="BW968" s="567"/>
      <c r="BX968" s="567"/>
      <c r="BY968" s="567"/>
      <c r="BZ968" s="567"/>
      <c r="CA968" s="567"/>
      <c r="CB968" s="567"/>
      <c r="CC968" s="567"/>
      <c r="CD968" s="567"/>
      <c r="CE968" s="567"/>
      <c r="CF968" s="567"/>
      <c r="CG968" s="567"/>
      <c r="CH968" s="567"/>
      <c r="CI968" s="567"/>
      <c r="CJ968" s="567"/>
      <c r="CK968" s="567"/>
      <c r="CL968" s="567"/>
      <c r="CM968" s="567"/>
      <c r="CN968" s="567"/>
      <c r="CO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  <c r="BW969" s="567"/>
      <c r="BX969" s="567"/>
      <c r="BY969" s="567"/>
      <c r="BZ969" s="567"/>
      <c r="CA969" s="567"/>
      <c r="CB969" s="567"/>
      <c r="CC969" s="567"/>
      <c r="CD969" s="567"/>
      <c r="CE969" s="567"/>
      <c r="CF969" s="567"/>
      <c r="CG969" s="567"/>
      <c r="CH969" s="567"/>
      <c r="CI969" s="567"/>
      <c r="CJ969" s="567"/>
      <c r="CK969" s="567"/>
      <c r="CL969" s="567"/>
      <c r="CM969" s="567"/>
      <c r="CN969" s="567"/>
      <c r="CO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  <c r="BW970" s="567"/>
      <c r="BX970" s="567"/>
      <c r="BY970" s="567"/>
      <c r="BZ970" s="567"/>
      <c r="CA970" s="567"/>
      <c r="CB970" s="567"/>
      <c r="CC970" s="567"/>
      <c r="CD970" s="567"/>
      <c r="CE970" s="567"/>
      <c r="CF970" s="567"/>
      <c r="CG970" s="567"/>
      <c r="CH970" s="567"/>
      <c r="CI970" s="567"/>
      <c r="CJ970" s="567"/>
      <c r="CK970" s="567"/>
      <c r="CL970" s="567"/>
      <c r="CM970" s="567"/>
      <c r="CN970" s="567"/>
      <c r="CO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  <c r="BW971" s="567"/>
      <c r="BX971" s="567"/>
      <c r="BY971" s="567"/>
      <c r="BZ971" s="567"/>
      <c r="CA971" s="567"/>
      <c r="CB971" s="567"/>
      <c r="CC971" s="567"/>
      <c r="CD971" s="567"/>
      <c r="CE971" s="567"/>
      <c r="CF971" s="567"/>
      <c r="CG971" s="567"/>
      <c r="CH971" s="567"/>
      <c r="CI971" s="567"/>
      <c r="CJ971" s="567"/>
      <c r="CK971" s="567"/>
      <c r="CL971" s="567"/>
      <c r="CM971" s="567"/>
      <c r="CN971" s="567"/>
      <c r="CO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  <c r="BW972" s="567"/>
      <c r="BX972" s="567"/>
      <c r="BY972" s="567"/>
      <c r="BZ972" s="567"/>
      <c r="CA972" s="567"/>
      <c r="CB972" s="567"/>
      <c r="CC972" s="567"/>
      <c r="CD972" s="567"/>
      <c r="CE972" s="567"/>
      <c r="CF972" s="567"/>
      <c r="CG972" s="567"/>
      <c r="CH972" s="567"/>
      <c r="CI972" s="567"/>
      <c r="CJ972" s="567"/>
      <c r="CK972" s="567"/>
      <c r="CL972" s="567"/>
      <c r="CM972" s="567"/>
      <c r="CN972" s="567"/>
      <c r="CO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  <c r="BW973" s="567"/>
      <c r="BX973" s="567"/>
      <c r="BY973" s="567"/>
      <c r="BZ973" s="567"/>
      <c r="CA973" s="567"/>
      <c r="CB973" s="567"/>
      <c r="CC973" s="567"/>
      <c r="CD973" s="567"/>
      <c r="CE973" s="567"/>
      <c r="CF973" s="567"/>
      <c r="CG973" s="567"/>
      <c r="CH973" s="567"/>
      <c r="CI973" s="567"/>
      <c r="CJ973" s="567"/>
      <c r="CK973" s="567"/>
      <c r="CL973" s="567"/>
      <c r="CM973" s="567"/>
      <c r="CN973" s="567"/>
      <c r="CO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  <c r="BW974" s="567"/>
      <c r="BX974" s="567"/>
      <c r="BY974" s="567"/>
      <c r="BZ974" s="567"/>
      <c r="CA974" s="567"/>
      <c r="CB974" s="567"/>
      <c r="CC974" s="567"/>
      <c r="CD974" s="567"/>
      <c r="CE974" s="567"/>
      <c r="CF974" s="567"/>
      <c r="CG974" s="567"/>
      <c r="CH974" s="567"/>
      <c r="CI974" s="567"/>
      <c r="CJ974" s="567"/>
      <c r="CK974" s="567"/>
      <c r="CL974" s="567"/>
      <c r="CM974" s="567"/>
      <c r="CN974" s="567"/>
      <c r="CO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  <c r="BW975" s="567"/>
      <c r="BX975" s="567"/>
      <c r="BY975" s="567"/>
      <c r="BZ975" s="567"/>
      <c r="CA975" s="567"/>
      <c r="CB975" s="567"/>
      <c r="CC975" s="567"/>
      <c r="CD975" s="567"/>
      <c r="CE975" s="567"/>
      <c r="CF975" s="567"/>
      <c r="CG975" s="567"/>
      <c r="CH975" s="567"/>
      <c r="CI975" s="567"/>
      <c r="CJ975" s="567"/>
      <c r="CK975" s="567"/>
      <c r="CL975" s="567"/>
      <c r="CM975" s="567"/>
      <c r="CN975" s="567"/>
      <c r="CO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  <c r="BW976" s="567"/>
      <c r="BX976" s="567"/>
      <c r="BY976" s="567"/>
      <c r="BZ976" s="567"/>
      <c r="CA976" s="567"/>
      <c r="CB976" s="567"/>
      <c r="CC976" s="567"/>
      <c r="CD976" s="567"/>
      <c r="CE976" s="567"/>
      <c r="CF976" s="567"/>
      <c r="CG976" s="567"/>
      <c r="CH976" s="567"/>
      <c r="CI976" s="567"/>
      <c r="CJ976" s="567"/>
      <c r="CK976" s="567"/>
      <c r="CL976" s="567"/>
      <c r="CM976" s="567"/>
      <c r="CN976" s="567"/>
      <c r="CO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  <c r="BW977" s="567"/>
      <c r="BX977" s="567"/>
      <c r="BY977" s="567"/>
      <c r="BZ977" s="567"/>
      <c r="CA977" s="567"/>
      <c r="CB977" s="567"/>
      <c r="CC977" s="567"/>
      <c r="CD977" s="567"/>
      <c r="CE977" s="567"/>
      <c r="CF977" s="567"/>
      <c r="CG977" s="567"/>
      <c r="CH977" s="567"/>
      <c r="CI977" s="567"/>
      <c r="CJ977" s="567"/>
      <c r="CK977" s="567"/>
      <c r="CL977" s="567"/>
      <c r="CM977" s="567"/>
      <c r="CN977" s="567"/>
      <c r="CO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  <c r="BW978" s="567"/>
      <c r="BX978" s="567"/>
      <c r="BY978" s="567"/>
      <c r="BZ978" s="567"/>
      <c r="CA978" s="567"/>
      <c r="CB978" s="567"/>
      <c r="CC978" s="567"/>
      <c r="CD978" s="567"/>
      <c r="CE978" s="567"/>
      <c r="CF978" s="567"/>
      <c r="CG978" s="567"/>
      <c r="CH978" s="567"/>
      <c r="CI978" s="567"/>
      <c r="CJ978" s="567"/>
      <c r="CK978" s="567"/>
      <c r="CL978" s="567"/>
      <c r="CM978" s="567"/>
      <c r="CN978" s="567"/>
      <c r="CO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  <c r="BW979" s="567"/>
      <c r="BX979" s="567"/>
      <c r="BY979" s="567"/>
      <c r="BZ979" s="567"/>
      <c r="CA979" s="567"/>
      <c r="CB979" s="567"/>
      <c r="CC979" s="567"/>
      <c r="CD979" s="567"/>
      <c r="CE979" s="567"/>
      <c r="CF979" s="567"/>
      <c r="CG979" s="567"/>
      <c r="CH979" s="567"/>
      <c r="CI979" s="567"/>
      <c r="CJ979" s="567"/>
      <c r="CK979" s="567"/>
      <c r="CL979" s="567"/>
      <c r="CM979" s="567"/>
      <c r="CN979" s="567"/>
      <c r="CO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  <c r="BW980" s="567"/>
      <c r="BX980" s="567"/>
      <c r="BY980" s="567"/>
      <c r="BZ980" s="567"/>
      <c r="CA980" s="567"/>
      <c r="CB980" s="567"/>
      <c r="CC980" s="567"/>
      <c r="CD980" s="567"/>
      <c r="CE980" s="567"/>
      <c r="CF980" s="567"/>
      <c r="CG980" s="567"/>
      <c r="CH980" s="567"/>
      <c r="CI980" s="567"/>
      <c r="CJ980" s="567"/>
      <c r="CK980" s="567"/>
      <c r="CL980" s="567"/>
      <c r="CM980" s="567"/>
      <c r="CN980" s="567"/>
      <c r="CO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  <c r="BW981" s="567"/>
      <c r="BX981" s="567"/>
      <c r="BY981" s="567"/>
      <c r="BZ981" s="567"/>
      <c r="CA981" s="567"/>
      <c r="CB981" s="567"/>
      <c r="CC981" s="567"/>
      <c r="CD981" s="567"/>
      <c r="CE981" s="567"/>
      <c r="CF981" s="567"/>
      <c r="CG981" s="567"/>
      <c r="CH981" s="567"/>
      <c r="CI981" s="567"/>
      <c r="CJ981" s="567"/>
      <c r="CK981" s="567"/>
      <c r="CL981" s="567"/>
      <c r="CM981" s="567"/>
      <c r="CN981" s="567"/>
      <c r="CO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  <c r="BW982" s="567"/>
      <c r="BX982" s="567"/>
      <c r="BY982" s="567"/>
      <c r="BZ982" s="567"/>
      <c r="CA982" s="567"/>
      <c r="CB982" s="567"/>
      <c r="CC982" s="567"/>
      <c r="CD982" s="567"/>
      <c r="CE982" s="567"/>
      <c r="CF982" s="567"/>
      <c r="CG982" s="567"/>
      <c r="CH982" s="567"/>
      <c r="CI982" s="567"/>
      <c r="CJ982" s="567"/>
      <c r="CK982" s="567"/>
      <c r="CL982" s="567"/>
      <c r="CM982" s="567"/>
      <c r="CN982" s="567"/>
      <c r="CO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  <c r="BW983" s="567"/>
      <c r="BX983" s="567"/>
      <c r="BY983" s="567"/>
      <c r="BZ983" s="567"/>
      <c r="CA983" s="567"/>
      <c r="CB983" s="567"/>
      <c r="CC983" s="567"/>
      <c r="CD983" s="567"/>
      <c r="CE983" s="567"/>
      <c r="CF983" s="567"/>
      <c r="CG983" s="567"/>
      <c r="CH983" s="567"/>
      <c r="CI983" s="567"/>
      <c r="CJ983" s="567"/>
      <c r="CK983" s="567"/>
      <c r="CL983" s="567"/>
      <c r="CM983" s="567"/>
      <c r="CN983" s="567"/>
      <c r="CO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  <c r="BW984" s="567"/>
      <c r="BX984" s="567"/>
      <c r="BY984" s="567"/>
      <c r="BZ984" s="567"/>
      <c r="CA984" s="567"/>
      <c r="CB984" s="567"/>
      <c r="CC984" s="567"/>
      <c r="CD984" s="567"/>
      <c r="CE984" s="567"/>
      <c r="CF984" s="567"/>
      <c r="CG984" s="567"/>
      <c r="CH984" s="567"/>
      <c r="CI984" s="567"/>
      <c r="CJ984" s="567"/>
      <c r="CK984" s="567"/>
      <c r="CL984" s="567"/>
      <c r="CM984" s="567"/>
      <c r="CN984" s="567"/>
      <c r="CO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  <c r="BW985" s="567"/>
      <c r="BX985" s="567"/>
      <c r="BY985" s="567"/>
      <c r="BZ985" s="567"/>
      <c r="CA985" s="567"/>
      <c r="CB985" s="567"/>
      <c r="CC985" s="567"/>
      <c r="CD985" s="567"/>
      <c r="CE985" s="567"/>
      <c r="CF985" s="567"/>
      <c r="CG985" s="567"/>
      <c r="CH985" s="567"/>
      <c r="CI985" s="567"/>
      <c r="CJ985" s="567"/>
      <c r="CK985" s="567"/>
      <c r="CL985" s="567"/>
      <c r="CM985" s="567"/>
      <c r="CN985" s="567"/>
      <c r="CO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  <c r="BW986" s="567"/>
      <c r="BX986" s="567"/>
      <c r="BY986" s="567"/>
      <c r="BZ986" s="567"/>
      <c r="CA986" s="567"/>
      <c r="CB986" s="567"/>
      <c r="CC986" s="567"/>
      <c r="CD986" s="567"/>
      <c r="CE986" s="567"/>
      <c r="CF986" s="567"/>
      <c r="CG986" s="567"/>
      <c r="CH986" s="567"/>
      <c r="CI986" s="567"/>
      <c r="CJ986" s="567"/>
      <c r="CK986" s="567"/>
      <c r="CL986" s="567"/>
      <c r="CM986" s="567"/>
      <c r="CN986" s="567"/>
      <c r="CO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  <c r="BW987" s="567"/>
      <c r="BX987" s="567"/>
      <c r="BY987" s="567"/>
      <c r="BZ987" s="567"/>
      <c r="CA987" s="567"/>
      <c r="CB987" s="567"/>
      <c r="CC987" s="567"/>
      <c r="CD987" s="567"/>
      <c r="CE987" s="567"/>
      <c r="CF987" s="567"/>
      <c r="CG987" s="567"/>
      <c r="CH987" s="567"/>
      <c r="CI987" s="567"/>
      <c r="CJ987" s="567"/>
      <c r="CK987" s="567"/>
      <c r="CL987" s="567"/>
      <c r="CM987" s="567"/>
      <c r="CN987" s="567"/>
      <c r="CO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  <c r="BW988" s="567"/>
      <c r="BX988" s="567"/>
      <c r="BY988" s="567"/>
      <c r="BZ988" s="567"/>
      <c r="CA988" s="567"/>
      <c r="CB988" s="567"/>
      <c r="CC988" s="567"/>
      <c r="CD988" s="567"/>
      <c r="CE988" s="567"/>
      <c r="CF988" s="567"/>
      <c r="CG988" s="567"/>
      <c r="CH988" s="567"/>
      <c r="CI988" s="567"/>
      <c r="CJ988" s="567"/>
      <c r="CK988" s="567"/>
      <c r="CL988" s="567"/>
      <c r="CM988" s="567"/>
      <c r="CN988" s="567"/>
      <c r="CO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  <c r="BW989" s="567"/>
      <c r="BX989" s="567"/>
      <c r="BY989" s="567"/>
      <c r="BZ989" s="567"/>
      <c r="CA989" s="567"/>
      <c r="CB989" s="567"/>
      <c r="CC989" s="567"/>
      <c r="CD989" s="567"/>
      <c r="CE989" s="567"/>
      <c r="CF989" s="567"/>
      <c r="CG989" s="567"/>
      <c r="CH989" s="567"/>
      <c r="CI989" s="567"/>
      <c r="CJ989" s="567"/>
      <c r="CK989" s="567"/>
      <c r="CL989" s="567"/>
      <c r="CM989" s="567"/>
      <c r="CN989" s="567"/>
      <c r="CO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  <c r="BW990" s="567"/>
      <c r="BX990" s="567"/>
      <c r="BY990" s="567"/>
      <c r="BZ990" s="567"/>
      <c r="CA990" s="567"/>
      <c r="CB990" s="567"/>
      <c r="CC990" s="567"/>
      <c r="CD990" s="567"/>
      <c r="CE990" s="567"/>
      <c r="CF990" s="567"/>
      <c r="CG990" s="567"/>
      <c r="CH990" s="567"/>
      <c r="CI990" s="567"/>
      <c r="CJ990" s="567"/>
      <c r="CK990" s="567"/>
      <c r="CL990" s="567"/>
      <c r="CM990" s="567"/>
      <c r="CN990" s="567"/>
      <c r="CO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  <c r="BW991" s="567"/>
      <c r="BX991" s="567"/>
      <c r="BY991" s="567"/>
      <c r="BZ991" s="567"/>
      <c r="CA991" s="567"/>
      <c r="CB991" s="567"/>
      <c r="CC991" s="567"/>
      <c r="CD991" s="567"/>
      <c r="CE991" s="567"/>
      <c r="CF991" s="567"/>
      <c r="CG991" s="567"/>
      <c r="CH991" s="567"/>
      <c r="CI991" s="567"/>
      <c r="CJ991" s="567"/>
      <c r="CK991" s="567"/>
      <c r="CL991" s="567"/>
      <c r="CM991" s="567"/>
      <c r="CN991" s="567"/>
      <c r="CO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  <c r="BW992" s="567"/>
      <c r="BX992" s="567"/>
      <c r="BY992" s="567"/>
      <c r="BZ992" s="567"/>
      <c r="CA992" s="567"/>
      <c r="CB992" s="567"/>
      <c r="CC992" s="567"/>
      <c r="CD992" s="567"/>
      <c r="CE992" s="567"/>
      <c r="CF992" s="567"/>
      <c r="CG992" s="567"/>
      <c r="CH992" s="567"/>
      <c r="CI992" s="567"/>
      <c r="CJ992" s="567"/>
      <c r="CK992" s="567"/>
      <c r="CL992" s="567"/>
      <c r="CM992" s="567"/>
      <c r="CN992" s="567"/>
      <c r="CO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  <c r="BW993" s="567"/>
      <c r="BX993" s="567"/>
      <c r="BY993" s="567"/>
      <c r="BZ993" s="567"/>
      <c r="CA993" s="567"/>
      <c r="CB993" s="567"/>
      <c r="CC993" s="567"/>
      <c r="CD993" s="567"/>
      <c r="CE993" s="567"/>
      <c r="CF993" s="567"/>
      <c r="CG993" s="567"/>
      <c r="CH993" s="567"/>
      <c r="CI993" s="567"/>
      <c r="CJ993" s="567"/>
      <c r="CK993" s="567"/>
      <c r="CL993" s="567"/>
      <c r="CM993" s="567"/>
      <c r="CN993" s="567"/>
      <c r="CO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  <c r="BW994" s="567"/>
      <c r="BX994" s="567"/>
      <c r="BY994" s="567"/>
      <c r="BZ994" s="567"/>
      <c r="CA994" s="567"/>
      <c r="CB994" s="567"/>
      <c r="CC994" s="567"/>
      <c r="CD994" s="567"/>
      <c r="CE994" s="567"/>
      <c r="CF994" s="567"/>
      <c r="CG994" s="567"/>
      <c r="CH994" s="567"/>
      <c r="CI994" s="567"/>
      <c r="CJ994" s="567"/>
      <c r="CK994" s="567"/>
      <c r="CL994" s="567"/>
      <c r="CM994" s="567"/>
      <c r="CN994" s="567"/>
      <c r="CO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  <c r="BW995" s="567"/>
      <c r="BX995" s="567"/>
      <c r="BY995" s="567"/>
      <c r="BZ995" s="567"/>
      <c r="CA995" s="567"/>
      <c r="CB995" s="567"/>
      <c r="CC995" s="567"/>
      <c r="CD995" s="567"/>
      <c r="CE995" s="567"/>
      <c r="CF995" s="567"/>
      <c r="CG995" s="567"/>
      <c r="CH995" s="567"/>
      <c r="CI995" s="567"/>
      <c r="CJ995" s="567"/>
      <c r="CK995" s="567"/>
      <c r="CL995" s="567"/>
      <c r="CM995" s="567"/>
      <c r="CN995" s="567"/>
      <c r="CO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  <c r="BW996" s="567"/>
      <c r="BX996" s="567"/>
      <c r="BY996" s="567"/>
      <c r="BZ996" s="567"/>
      <c r="CA996" s="567"/>
      <c r="CB996" s="567"/>
      <c r="CC996" s="567"/>
      <c r="CD996" s="567"/>
      <c r="CE996" s="567"/>
      <c r="CF996" s="567"/>
      <c r="CG996" s="567"/>
      <c r="CH996" s="567"/>
      <c r="CI996" s="567"/>
      <c r="CJ996" s="567"/>
      <c r="CK996" s="567"/>
      <c r="CL996" s="567"/>
      <c r="CM996" s="567"/>
      <c r="CN996" s="567"/>
      <c r="CO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  <c r="BW997" s="567"/>
      <c r="BX997" s="567"/>
      <c r="BY997" s="567"/>
      <c r="BZ997" s="567"/>
      <c r="CA997" s="567"/>
      <c r="CB997" s="567"/>
      <c r="CC997" s="567"/>
      <c r="CD997" s="567"/>
      <c r="CE997" s="567"/>
      <c r="CF997" s="567"/>
      <c r="CG997" s="567"/>
      <c r="CH997" s="567"/>
      <c r="CI997" s="567"/>
      <c r="CJ997" s="567"/>
      <c r="CK997" s="567"/>
      <c r="CL997" s="567"/>
      <c r="CM997" s="567"/>
      <c r="CN997" s="567"/>
      <c r="CO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  <c r="BW998" s="567"/>
      <c r="BX998" s="567"/>
      <c r="BY998" s="567"/>
      <c r="BZ998" s="567"/>
      <c r="CA998" s="567"/>
      <c r="CB998" s="567"/>
      <c r="CC998" s="567"/>
      <c r="CD998" s="567"/>
      <c r="CE998" s="567"/>
      <c r="CF998" s="567"/>
      <c r="CG998" s="567"/>
      <c r="CH998" s="567"/>
      <c r="CI998" s="567"/>
      <c r="CJ998" s="567"/>
      <c r="CK998" s="567"/>
      <c r="CL998" s="567"/>
      <c r="CM998" s="567"/>
      <c r="CN998" s="567"/>
      <c r="CO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  <c r="BW999" s="567"/>
      <c r="BX999" s="567"/>
      <c r="BY999" s="567"/>
      <c r="BZ999" s="567"/>
      <c r="CA999" s="567"/>
      <c r="CB999" s="567"/>
      <c r="CC999" s="567"/>
      <c r="CD999" s="567"/>
      <c r="CE999" s="567"/>
      <c r="CF999" s="567"/>
      <c r="CG999" s="567"/>
      <c r="CH999" s="567"/>
      <c r="CI999" s="567"/>
      <c r="CJ999" s="567"/>
      <c r="CK999" s="567"/>
      <c r="CL999" s="567"/>
      <c r="CM999" s="567"/>
      <c r="CN999" s="567"/>
      <c r="CO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  <c r="BW1000" s="567"/>
      <c r="BX1000" s="567"/>
      <c r="BY1000" s="567"/>
      <c r="BZ1000" s="567"/>
      <c r="CA1000" s="567"/>
      <c r="CB1000" s="567"/>
      <c r="CC1000" s="567"/>
      <c r="CD1000" s="567"/>
      <c r="CE1000" s="567"/>
      <c r="CF1000" s="567"/>
      <c r="CG1000" s="567"/>
      <c r="CH1000" s="567"/>
      <c r="CI1000" s="567"/>
      <c r="CJ1000" s="567"/>
      <c r="CK1000" s="567"/>
      <c r="CL1000" s="567"/>
      <c r="CM1000" s="567"/>
      <c r="CN1000" s="567"/>
      <c r="CO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  <c r="BW1001" s="567"/>
      <c r="BX1001" s="567"/>
      <c r="BY1001" s="567"/>
      <c r="BZ1001" s="567"/>
      <c r="CA1001" s="567"/>
      <c r="CB1001" s="567"/>
      <c r="CC1001" s="567"/>
      <c r="CD1001" s="567"/>
      <c r="CE1001" s="567"/>
      <c r="CF1001" s="567"/>
      <c r="CG1001" s="567"/>
      <c r="CH1001" s="567"/>
      <c r="CI1001" s="567"/>
      <c r="CJ1001" s="567"/>
      <c r="CK1001" s="567"/>
      <c r="CL1001" s="567"/>
      <c r="CM1001" s="567"/>
      <c r="CN1001" s="567"/>
      <c r="CO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  <c r="BW1002" s="567"/>
      <c r="BX1002" s="567"/>
      <c r="BY1002" s="567"/>
      <c r="BZ1002" s="567"/>
      <c r="CA1002" s="567"/>
      <c r="CB1002" s="567"/>
      <c r="CC1002" s="567"/>
      <c r="CD1002" s="567"/>
      <c r="CE1002" s="567"/>
      <c r="CF1002" s="567"/>
      <c r="CG1002" s="567"/>
      <c r="CH1002" s="567"/>
      <c r="CI1002" s="567"/>
      <c r="CJ1002" s="567"/>
      <c r="CK1002" s="567"/>
      <c r="CL1002" s="567"/>
      <c r="CM1002" s="567"/>
      <c r="CN1002" s="567"/>
      <c r="CO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  <c r="BW1003" s="567"/>
      <c r="BX1003" s="567"/>
      <c r="BY1003" s="567"/>
      <c r="BZ1003" s="567"/>
      <c r="CA1003" s="567"/>
      <c r="CB1003" s="567"/>
      <c r="CC1003" s="567"/>
      <c r="CD1003" s="567"/>
      <c r="CE1003" s="567"/>
      <c r="CF1003" s="567"/>
      <c r="CG1003" s="567"/>
      <c r="CH1003" s="567"/>
      <c r="CI1003" s="567"/>
      <c r="CJ1003" s="567"/>
      <c r="CK1003" s="567"/>
      <c r="CL1003" s="567"/>
      <c r="CM1003" s="567"/>
      <c r="CN1003" s="567"/>
      <c r="CO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  <c r="BW1004" s="567"/>
      <c r="BX1004" s="567"/>
      <c r="BY1004" s="567"/>
      <c r="BZ1004" s="567"/>
      <c r="CA1004" s="567"/>
      <c r="CB1004" s="567"/>
      <c r="CC1004" s="567"/>
      <c r="CD1004" s="567"/>
      <c r="CE1004" s="567"/>
      <c r="CF1004" s="567"/>
      <c r="CG1004" s="567"/>
      <c r="CH1004" s="567"/>
      <c r="CI1004" s="567"/>
      <c r="CJ1004" s="567"/>
      <c r="CK1004" s="567"/>
      <c r="CL1004" s="567"/>
      <c r="CM1004" s="567"/>
      <c r="CN1004" s="567"/>
      <c r="CO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  <c r="BW1005" s="567"/>
      <c r="BX1005" s="567"/>
      <c r="BY1005" s="567"/>
      <c r="BZ1005" s="567"/>
      <c r="CA1005" s="567"/>
      <c r="CB1005" s="567"/>
      <c r="CC1005" s="567"/>
      <c r="CD1005" s="567"/>
      <c r="CE1005" s="567"/>
      <c r="CF1005" s="567"/>
      <c r="CG1005" s="567"/>
      <c r="CH1005" s="567"/>
      <c r="CI1005" s="567"/>
      <c r="CJ1005" s="567"/>
      <c r="CK1005" s="567"/>
      <c r="CL1005" s="567"/>
      <c r="CM1005" s="567"/>
      <c r="CN1005" s="567"/>
      <c r="CO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  <c r="BW1006" s="567"/>
      <c r="BX1006" s="567"/>
      <c r="BY1006" s="567"/>
      <c r="BZ1006" s="567"/>
      <c r="CA1006" s="567"/>
      <c r="CB1006" s="567"/>
      <c r="CC1006" s="567"/>
      <c r="CD1006" s="567"/>
      <c r="CE1006" s="567"/>
      <c r="CF1006" s="567"/>
      <c r="CG1006" s="567"/>
      <c r="CH1006" s="567"/>
      <c r="CI1006" s="567"/>
      <c r="CJ1006" s="567"/>
      <c r="CK1006" s="567"/>
      <c r="CL1006" s="567"/>
      <c r="CM1006" s="567"/>
      <c r="CN1006" s="567"/>
      <c r="CO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  <c r="BW1007" s="567"/>
      <c r="BX1007" s="567"/>
      <c r="BY1007" s="567"/>
      <c r="BZ1007" s="567"/>
      <c r="CA1007" s="567"/>
      <c r="CB1007" s="567"/>
      <c r="CC1007" s="567"/>
      <c r="CD1007" s="567"/>
      <c r="CE1007" s="567"/>
      <c r="CF1007" s="567"/>
      <c r="CG1007" s="567"/>
      <c r="CH1007" s="567"/>
      <c r="CI1007" s="567"/>
      <c r="CJ1007" s="567"/>
      <c r="CK1007" s="567"/>
      <c r="CL1007" s="567"/>
      <c r="CM1007" s="567"/>
      <c r="CN1007" s="567"/>
      <c r="CO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  <c r="BW1008" s="567"/>
      <c r="BX1008" s="567"/>
      <c r="BY1008" s="567"/>
      <c r="BZ1008" s="567"/>
      <c r="CA1008" s="567"/>
      <c r="CB1008" s="567"/>
      <c r="CC1008" s="567"/>
      <c r="CD1008" s="567"/>
      <c r="CE1008" s="567"/>
      <c r="CF1008" s="567"/>
      <c r="CG1008" s="567"/>
      <c r="CH1008" s="567"/>
      <c r="CI1008" s="567"/>
      <c r="CJ1008" s="567"/>
      <c r="CK1008" s="567"/>
      <c r="CL1008" s="567"/>
      <c r="CM1008" s="567"/>
      <c r="CN1008" s="567"/>
      <c r="CO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  <c r="BW1009" s="567"/>
      <c r="BX1009" s="567"/>
      <c r="BY1009" s="567"/>
      <c r="BZ1009" s="567"/>
      <c r="CA1009" s="567"/>
      <c r="CB1009" s="567"/>
      <c r="CC1009" s="567"/>
      <c r="CD1009" s="567"/>
      <c r="CE1009" s="567"/>
      <c r="CF1009" s="567"/>
      <c r="CG1009" s="567"/>
      <c r="CH1009" s="567"/>
      <c r="CI1009" s="567"/>
      <c r="CJ1009" s="567"/>
      <c r="CK1009" s="567"/>
      <c r="CL1009" s="567"/>
      <c r="CM1009" s="567"/>
      <c r="CN1009" s="567"/>
      <c r="CO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  <c r="BW1010" s="567"/>
      <c r="BX1010" s="567"/>
      <c r="BY1010" s="567"/>
      <c r="BZ1010" s="567"/>
      <c r="CA1010" s="567"/>
      <c r="CB1010" s="567"/>
      <c r="CC1010" s="567"/>
      <c r="CD1010" s="567"/>
      <c r="CE1010" s="567"/>
      <c r="CF1010" s="567"/>
      <c r="CG1010" s="567"/>
      <c r="CH1010" s="567"/>
      <c r="CI1010" s="567"/>
      <c r="CJ1010" s="567"/>
      <c r="CK1010" s="567"/>
      <c r="CL1010" s="567"/>
      <c r="CM1010" s="567"/>
      <c r="CN1010" s="567"/>
      <c r="CO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  <c r="BW1011" s="567"/>
      <c r="BX1011" s="567"/>
      <c r="BY1011" s="567"/>
      <c r="BZ1011" s="567"/>
      <c r="CA1011" s="567"/>
      <c r="CB1011" s="567"/>
      <c r="CC1011" s="567"/>
      <c r="CD1011" s="567"/>
      <c r="CE1011" s="567"/>
      <c r="CF1011" s="567"/>
      <c r="CG1011" s="567"/>
      <c r="CH1011" s="567"/>
      <c r="CI1011" s="567"/>
      <c r="CJ1011" s="567"/>
      <c r="CK1011" s="567"/>
      <c r="CL1011" s="567"/>
      <c r="CM1011" s="567"/>
      <c r="CN1011" s="567"/>
      <c r="CO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  <c r="BW1012" s="567"/>
      <c r="BX1012" s="567"/>
      <c r="BY1012" s="567"/>
      <c r="BZ1012" s="567"/>
      <c r="CA1012" s="567"/>
      <c r="CB1012" s="567"/>
      <c r="CC1012" s="567"/>
      <c r="CD1012" s="567"/>
      <c r="CE1012" s="567"/>
      <c r="CF1012" s="567"/>
      <c r="CG1012" s="567"/>
      <c r="CH1012" s="567"/>
      <c r="CI1012" s="567"/>
      <c r="CJ1012" s="567"/>
      <c r="CK1012" s="567"/>
      <c r="CL1012" s="567"/>
      <c r="CM1012" s="567"/>
      <c r="CN1012" s="567"/>
      <c r="CO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  <c r="BW1013" s="567"/>
      <c r="BX1013" s="567"/>
      <c r="BY1013" s="567"/>
      <c r="BZ1013" s="567"/>
      <c r="CA1013" s="567"/>
      <c r="CB1013" s="567"/>
      <c r="CC1013" s="567"/>
      <c r="CD1013" s="567"/>
      <c r="CE1013" s="567"/>
      <c r="CF1013" s="567"/>
      <c r="CG1013" s="567"/>
      <c r="CH1013" s="567"/>
      <c r="CI1013" s="567"/>
      <c r="CJ1013" s="567"/>
      <c r="CK1013" s="567"/>
      <c r="CL1013" s="567"/>
      <c r="CM1013" s="567"/>
      <c r="CN1013" s="567"/>
      <c r="CO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  <c r="BW1014" s="567"/>
      <c r="BX1014" s="567"/>
      <c r="BY1014" s="567"/>
      <c r="BZ1014" s="567"/>
      <c r="CA1014" s="567"/>
      <c r="CB1014" s="567"/>
      <c r="CC1014" s="567"/>
      <c r="CD1014" s="567"/>
      <c r="CE1014" s="567"/>
      <c r="CF1014" s="567"/>
      <c r="CG1014" s="567"/>
      <c r="CH1014" s="567"/>
      <c r="CI1014" s="567"/>
      <c r="CJ1014" s="567"/>
      <c r="CK1014" s="567"/>
      <c r="CL1014" s="567"/>
      <c r="CM1014" s="567"/>
      <c r="CN1014" s="567"/>
      <c r="CO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  <c r="BW1015" s="567"/>
      <c r="BX1015" s="567"/>
      <c r="BY1015" s="567"/>
      <c r="BZ1015" s="567"/>
      <c r="CA1015" s="567"/>
      <c r="CB1015" s="567"/>
      <c r="CC1015" s="567"/>
      <c r="CD1015" s="567"/>
      <c r="CE1015" s="567"/>
      <c r="CF1015" s="567"/>
      <c r="CG1015" s="567"/>
      <c r="CH1015" s="567"/>
      <c r="CI1015" s="567"/>
      <c r="CJ1015" s="567"/>
      <c r="CK1015" s="567"/>
      <c r="CL1015" s="567"/>
      <c r="CM1015" s="567"/>
      <c r="CN1015" s="567"/>
      <c r="CO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  <c r="BW1016" s="567"/>
      <c r="BX1016" s="567"/>
      <c r="BY1016" s="567"/>
      <c r="BZ1016" s="567"/>
      <c r="CA1016" s="567"/>
      <c r="CB1016" s="567"/>
      <c r="CC1016" s="567"/>
      <c r="CD1016" s="567"/>
      <c r="CE1016" s="567"/>
      <c r="CF1016" s="567"/>
      <c r="CG1016" s="567"/>
      <c r="CH1016" s="567"/>
      <c r="CI1016" s="567"/>
      <c r="CJ1016" s="567"/>
      <c r="CK1016" s="567"/>
      <c r="CL1016" s="567"/>
      <c r="CM1016" s="567"/>
      <c r="CN1016" s="567"/>
      <c r="CO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  <c r="BW1017" s="567"/>
      <c r="BX1017" s="567"/>
      <c r="BY1017" s="567"/>
      <c r="BZ1017" s="567"/>
      <c r="CA1017" s="567"/>
      <c r="CB1017" s="567"/>
      <c r="CC1017" s="567"/>
      <c r="CD1017" s="567"/>
      <c r="CE1017" s="567"/>
      <c r="CF1017" s="567"/>
      <c r="CG1017" s="567"/>
      <c r="CH1017" s="567"/>
      <c r="CI1017" s="567"/>
      <c r="CJ1017" s="567"/>
      <c r="CK1017" s="567"/>
      <c r="CL1017" s="567"/>
      <c r="CM1017" s="567"/>
      <c r="CN1017" s="567"/>
      <c r="CO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  <c r="BW1018" s="567"/>
      <c r="BX1018" s="567"/>
      <c r="BY1018" s="567"/>
      <c r="BZ1018" s="567"/>
      <c r="CA1018" s="567"/>
      <c r="CB1018" s="567"/>
      <c r="CC1018" s="567"/>
      <c r="CD1018" s="567"/>
      <c r="CE1018" s="567"/>
      <c r="CF1018" s="567"/>
      <c r="CG1018" s="567"/>
      <c r="CH1018" s="567"/>
      <c r="CI1018" s="567"/>
      <c r="CJ1018" s="567"/>
      <c r="CK1018" s="567"/>
      <c r="CL1018" s="567"/>
      <c r="CM1018" s="567"/>
      <c r="CN1018" s="567"/>
      <c r="CO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  <c r="BW1019" s="567"/>
      <c r="BX1019" s="567"/>
      <c r="BY1019" s="567"/>
      <c r="BZ1019" s="567"/>
      <c r="CA1019" s="567"/>
      <c r="CB1019" s="567"/>
      <c r="CC1019" s="567"/>
      <c r="CD1019" s="567"/>
      <c r="CE1019" s="567"/>
      <c r="CF1019" s="567"/>
      <c r="CG1019" s="567"/>
      <c r="CH1019" s="567"/>
      <c r="CI1019" s="567"/>
      <c r="CJ1019" s="567"/>
      <c r="CK1019" s="567"/>
      <c r="CL1019" s="567"/>
      <c r="CM1019" s="567"/>
      <c r="CN1019" s="567"/>
      <c r="CO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  <c r="BW1020" s="567"/>
      <c r="BX1020" s="567"/>
      <c r="BY1020" s="567"/>
      <c r="BZ1020" s="567"/>
      <c r="CA1020" s="567"/>
      <c r="CB1020" s="567"/>
      <c r="CC1020" s="567"/>
      <c r="CD1020" s="567"/>
      <c r="CE1020" s="567"/>
      <c r="CF1020" s="567"/>
      <c r="CG1020" s="567"/>
      <c r="CH1020" s="567"/>
      <c r="CI1020" s="567"/>
      <c r="CJ1020" s="567"/>
      <c r="CK1020" s="567"/>
      <c r="CL1020" s="567"/>
      <c r="CM1020" s="567"/>
      <c r="CN1020" s="567"/>
      <c r="CO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  <c r="BW1021" s="567"/>
      <c r="BX1021" s="567"/>
      <c r="BY1021" s="567"/>
      <c r="BZ1021" s="567"/>
      <c r="CA1021" s="567"/>
      <c r="CB1021" s="567"/>
      <c r="CC1021" s="567"/>
      <c r="CD1021" s="567"/>
      <c r="CE1021" s="567"/>
      <c r="CF1021" s="567"/>
      <c r="CG1021" s="567"/>
      <c r="CH1021" s="567"/>
      <c r="CI1021" s="567"/>
      <c r="CJ1021" s="567"/>
      <c r="CK1021" s="567"/>
      <c r="CL1021" s="567"/>
      <c r="CM1021" s="567"/>
      <c r="CN1021" s="567"/>
      <c r="CO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  <c r="BW1022" s="567"/>
      <c r="BX1022" s="567"/>
      <c r="BY1022" s="567"/>
      <c r="BZ1022" s="567"/>
      <c r="CA1022" s="567"/>
      <c r="CB1022" s="567"/>
      <c r="CC1022" s="567"/>
      <c r="CD1022" s="567"/>
      <c r="CE1022" s="567"/>
      <c r="CF1022" s="567"/>
      <c r="CG1022" s="567"/>
      <c r="CH1022" s="567"/>
      <c r="CI1022" s="567"/>
      <c r="CJ1022" s="567"/>
      <c r="CK1022" s="567"/>
      <c r="CL1022" s="567"/>
      <c r="CM1022" s="567"/>
      <c r="CN1022" s="567"/>
      <c r="CO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  <c r="BW1023" s="567"/>
      <c r="BX1023" s="567"/>
      <c r="BY1023" s="567"/>
      <c r="BZ1023" s="567"/>
      <c r="CA1023" s="567"/>
      <c r="CB1023" s="567"/>
      <c r="CC1023" s="567"/>
      <c r="CD1023" s="567"/>
      <c r="CE1023" s="567"/>
      <c r="CF1023" s="567"/>
      <c r="CG1023" s="567"/>
      <c r="CH1023" s="567"/>
      <c r="CI1023" s="567"/>
      <c r="CJ1023" s="567"/>
      <c r="CK1023" s="567"/>
      <c r="CL1023" s="567"/>
      <c r="CM1023" s="567"/>
      <c r="CN1023" s="567"/>
      <c r="CO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  <c r="BW1024" s="567"/>
      <c r="BX1024" s="567"/>
      <c r="BY1024" s="567"/>
      <c r="BZ1024" s="567"/>
      <c r="CA1024" s="567"/>
      <c r="CB1024" s="567"/>
      <c r="CC1024" s="567"/>
      <c r="CD1024" s="567"/>
      <c r="CE1024" s="567"/>
      <c r="CF1024" s="567"/>
      <c r="CG1024" s="567"/>
      <c r="CH1024" s="567"/>
      <c r="CI1024" s="567"/>
      <c r="CJ1024" s="567"/>
      <c r="CK1024" s="567"/>
      <c r="CL1024" s="567"/>
      <c r="CM1024" s="567"/>
      <c r="CN1024" s="567"/>
      <c r="CO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  <c r="BW1025" s="567"/>
      <c r="BX1025" s="567"/>
      <c r="BY1025" s="567"/>
      <c r="BZ1025" s="567"/>
      <c r="CA1025" s="567"/>
      <c r="CB1025" s="567"/>
      <c r="CC1025" s="567"/>
      <c r="CD1025" s="567"/>
      <c r="CE1025" s="567"/>
      <c r="CF1025" s="567"/>
      <c r="CG1025" s="567"/>
      <c r="CH1025" s="567"/>
      <c r="CI1025" s="567"/>
      <c r="CJ1025" s="567"/>
      <c r="CK1025" s="567"/>
      <c r="CL1025" s="567"/>
      <c r="CM1025" s="567"/>
      <c r="CN1025" s="567"/>
      <c r="CO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  <c r="BW1026" s="567"/>
      <c r="BX1026" s="567"/>
      <c r="BY1026" s="567"/>
      <c r="BZ1026" s="567"/>
      <c r="CA1026" s="567"/>
      <c r="CB1026" s="567"/>
      <c r="CC1026" s="567"/>
      <c r="CD1026" s="567"/>
      <c r="CE1026" s="567"/>
      <c r="CF1026" s="567"/>
      <c r="CG1026" s="567"/>
      <c r="CH1026" s="567"/>
      <c r="CI1026" s="567"/>
      <c r="CJ1026" s="567"/>
      <c r="CK1026" s="567"/>
      <c r="CL1026" s="567"/>
      <c r="CM1026" s="567"/>
      <c r="CN1026" s="567"/>
      <c r="CO1026" s="567"/>
    </row>
    <row r="1027">
      <c r="A1027" s="567"/>
      <c r="B1027" s="567"/>
      <c r="C1027" s="567"/>
      <c r="D1027" s="567"/>
      <c r="E1027" s="567"/>
      <c r="F1027" s="567"/>
      <c r="G1027" s="567"/>
      <c r="H1027" s="567"/>
      <c r="I1027" s="567"/>
      <c r="J1027" s="567"/>
      <c r="K1027" s="567"/>
      <c r="L1027" s="567"/>
      <c r="M1027" s="567"/>
      <c r="N1027" s="567"/>
      <c r="O1027" s="567"/>
      <c r="P1027" s="567"/>
      <c r="Q1027" s="567"/>
      <c r="R1027" s="567"/>
      <c r="S1027" s="567"/>
      <c r="T1027" s="567"/>
      <c r="U1027" s="567"/>
      <c r="V1027" s="567"/>
      <c r="W1027" s="567"/>
      <c r="X1027" s="567"/>
      <c r="Y1027" s="567"/>
      <c r="Z1027" s="567"/>
      <c r="AA1027" s="567"/>
      <c r="AB1027" s="567"/>
      <c r="AC1027" s="567"/>
      <c r="AD1027" s="567"/>
      <c r="AE1027" s="567"/>
      <c r="AF1027" s="567"/>
      <c r="AG1027" s="567"/>
      <c r="AH1027" s="567"/>
      <c r="AI1027" s="567"/>
      <c r="AJ1027" s="567"/>
      <c r="AK1027" s="567"/>
      <c r="AL1027" s="567"/>
      <c r="AM1027" s="567"/>
      <c r="AN1027" s="567"/>
      <c r="AO1027" s="567"/>
      <c r="AP1027" s="567"/>
      <c r="AQ1027" s="567"/>
      <c r="AR1027" s="567"/>
      <c r="AS1027" s="567"/>
      <c r="AT1027" s="567"/>
      <c r="AU1027" s="567"/>
      <c r="AV1027" s="567"/>
      <c r="AW1027" s="567"/>
      <c r="AX1027" s="567"/>
      <c r="AY1027" s="567"/>
      <c r="AZ1027" s="567"/>
      <c r="BA1027" s="567"/>
      <c r="BB1027" s="567"/>
      <c r="BC1027" s="567"/>
      <c r="BD1027" s="567"/>
      <c r="BE1027" s="567"/>
      <c r="BF1027" s="567"/>
      <c r="BG1027" s="567"/>
      <c r="BH1027" s="567"/>
      <c r="BI1027" s="567"/>
      <c r="BJ1027" s="567"/>
      <c r="BK1027" s="567"/>
      <c r="BL1027" s="567"/>
      <c r="BM1027" s="567"/>
      <c r="BN1027" s="567"/>
      <c r="BO1027" s="567"/>
      <c r="BP1027" s="567"/>
      <c r="BQ1027" s="567"/>
      <c r="BR1027" s="567"/>
      <c r="BS1027" s="567"/>
      <c r="BT1027" s="567"/>
      <c r="BU1027" s="567"/>
      <c r="BV1027" s="567"/>
      <c r="BW1027" s="567"/>
      <c r="BX1027" s="567"/>
      <c r="BY1027" s="567"/>
      <c r="BZ1027" s="567"/>
      <c r="CA1027" s="567"/>
      <c r="CB1027" s="567"/>
      <c r="CC1027" s="567"/>
      <c r="CD1027" s="567"/>
      <c r="CE1027" s="567"/>
      <c r="CF1027" s="567"/>
      <c r="CG1027" s="567"/>
      <c r="CH1027" s="567"/>
      <c r="CI1027" s="567"/>
      <c r="CJ1027" s="567"/>
      <c r="CK1027" s="567"/>
      <c r="CL1027" s="567"/>
      <c r="CM1027" s="567"/>
      <c r="CN1027" s="567"/>
      <c r="CO1027" s="567"/>
    </row>
    <row r="1028">
      <c r="A1028" s="567"/>
      <c r="B1028" s="567"/>
      <c r="C1028" s="567"/>
      <c r="D1028" s="567"/>
      <c r="E1028" s="567"/>
      <c r="F1028" s="567"/>
      <c r="G1028" s="567"/>
      <c r="H1028" s="567"/>
      <c r="I1028" s="567"/>
      <c r="J1028" s="567"/>
      <c r="K1028" s="567"/>
      <c r="L1028" s="567"/>
      <c r="M1028" s="567"/>
      <c r="N1028" s="567"/>
      <c r="O1028" s="567"/>
      <c r="P1028" s="567"/>
      <c r="Q1028" s="567"/>
      <c r="R1028" s="567"/>
      <c r="S1028" s="567"/>
      <c r="T1028" s="567"/>
      <c r="U1028" s="567"/>
      <c r="V1028" s="567"/>
      <c r="W1028" s="567"/>
      <c r="X1028" s="567"/>
      <c r="Y1028" s="567"/>
      <c r="Z1028" s="567"/>
      <c r="AA1028" s="567"/>
      <c r="AB1028" s="567"/>
      <c r="AC1028" s="567"/>
      <c r="AD1028" s="567"/>
      <c r="AE1028" s="567"/>
      <c r="AF1028" s="567"/>
      <c r="AG1028" s="567"/>
      <c r="AH1028" s="567"/>
      <c r="AI1028" s="567"/>
      <c r="AJ1028" s="567"/>
      <c r="AK1028" s="567"/>
      <c r="AL1028" s="567"/>
      <c r="AM1028" s="567"/>
      <c r="AN1028" s="567"/>
      <c r="AO1028" s="567"/>
      <c r="AP1028" s="567"/>
      <c r="AQ1028" s="567"/>
      <c r="AR1028" s="567"/>
      <c r="AS1028" s="567"/>
      <c r="AT1028" s="567"/>
      <c r="AU1028" s="567"/>
      <c r="AV1028" s="567"/>
      <c r="AW1028" s="567"/>
      <c r="AX1028" s="567"/>
      <c r="AY1028" s="567"/>
      <c r="AZ1028" s="567"/>
      <c r="BA1028" s="567"/>
      <c r="BB1028" s="567"/>
      <c r="BC1028" s="567"/>
      <c r="BD1028" s="567"/>
      <c r="BE1028" s="567"/>
      <c r="BF1028" s="567"/>
      <c r="BG1028" s="567"/>
      <c r="BH1028" s="567"/>
      <c r="BI1028" s="567"/>
      <c r="BJ1028" s="567"/>
      <c r="BK1028" s="567"/>
      <c r="BL1028" s="567"/>
      <c r="BM1028" s="567"/>
      <c r="BN1028" s="567"/>
      <c r="BO1028" s="567"/>
      <c r="BP1028" s="567"/>
      <c r="BQ1028" s="567"/>
      <c r="BR1028" s="567"/>
      <c r="BS1028" s="567"/>
      <c r="BT1028" s="567"/>
      <c r="BU1028" s="567"/>
      <c r="BV1028" s="567"/>
      <c r="BW1028" s="567"/>
      <c r="BX1028" s="567"/>
      <c r="BY1028" s="567"/>
      <c r="BZ1028" s="567"/>
      <c r="CA1028" s="567"/>
      <c r="CB1028" s="567"/>
      <c r="CC1028" s="567"/>
      <c r="CD1028" s="567"/>
      <c r="CE1028" s="567"/>
      <c r="CF1028" s="567"/>
      <c r="CG1028" s="567"/>
      <c r="CH1028" s="567"/>
      <c r="CI1028" s="567"/>
      <c r="CJ1028" s="567"/>
      <c r="CK1028" s="567"/>
      <c r="CL1028" s="567"/>
      <c r="CM1028" s="567"/>
      <c r="CN1028" s="567"/>
      <c r="CO1028" s="567"/>
    </row>
    <row r="1029">
      <c r="A1029" s="567"/>
      <c r="B1029" s="567"/>
      <c r="C1029" s="567"/>
      <c r="D1029" s="567"/>
      <c r="E1029" s="567"/>
      <c r="F1029" s="567"/>
      <c r="G1029" s="567"/>
      <c r="H1029" s="567"/>
      <c r="I1029" s="567"/>
      <c r="J1029" s="567"/>
      <c r="K1029" s="567"/>
      <c r="L1029" s="567"/>
      <c r="M1029" s="567"/>
      <c r="N1029" s="567"/>
      <c r="O1029" s="567"/>
      <c r="P1029" s="567"/>
      <c r="Q1029" s="567"/>
      <c r="R1029" s="567"/>
      <c r="S1029" s="567"/>
      <c r="T1029" s="567"/>
      <c r="U1029" s="567"/>
      <c r="V1029" s="567"/>
      <c r="W1029" s="567"/>
      <c r="X1029" s="567"/>
      <c r="Y1029" s="567"/>
      <c r="Z1029" s="567"/>
      <c r="AA1029" s="567"/>
      <c r="AB1029" s="567"/>
      <c r="AC1029" s="567"/>
      <c r="AD1029" s="567"/>
      <c r="AE1029" s="567"/>
      <c r="AF1029" s="567"/>
      <c r="AG1029" s="567"/>
      <c r="AH1029" s="567"/>
      <c r="AI1029" s="567"/>
      <c r="AJ1029" s="567"/>
      <c r="AK1029" s="567"/>
      <c r="AL1029" s="567"/>
      <c r="AM1029" s="567"/>
      <c r="AN1029" s="567"/>
      <c r="AO1029" s="567"/>
      <c r="AP1029" s="567"/>
      <c r="AQ1029" s="567"/>
      <c r="AR1029" s="567"/>
      <c r="AS1029" s="567"/>
      <c r="AT1029" s="567"/>
      <c r="AU1029" s="567"/>
      <c r="AV1029" s="567"/>
      <c r="AW1029" s="567"/>
      <c r="AX1029" s="567"/>
      <c r="AY1029" s="567"/>
      <c r="AZ1029" s="567"/>
      <c r="BA1029" s="567"/>
      <c r="BB1029" s="567"/>
      <c r="BC1029" s="567"/>
      <c r="BD1029" s="567"/>
      <c r="BE1029" s="567"/>
      <c r="BF1029" s="567"/>
      <c r="BG1029" s="567"/>
      <c r="BH1029" s="567"/>
      <c r="BI1029" s="567"/>
      <c r="BJ1029" s="567"/>
      <c r="BK1029" s="567"/>
      <c r="BL1029" s="567"/>
      <c r="BM1029" s="567"/>
      <c r="BN1029" s="567"/>
      <c r="BO1029" s="567"/>
      <c r="BP1029" s="567"/>
      <c r="BQ1029" s="567"/>
      <c r="BR1029" s="567"/>
      <c r="BS1029" s="567"/>
      <c r="BT1029" s="567"/>
      <c r="BU1029" s="567"/>
      <c r="BV1029" s="567"/>
      <c r="BW1029" s="567"/>
      <c r="BX1029" s="567"/>
      <c r="BY1029" s="567"/>
      <c r="BZ1029" s="567"/>
      <c r="CA1029" s="567"/>
      <c r="CB1029" s="567"/>
      <c r="CC1029" s="567"/>
      <c r="CD1029" s="567"/>
      <c r="CE1029" s="567"/>
      <c r="CF1029" s="567"/>
      <c r="CG1029" s="567"/>
      <c r="CH1029" s="567"/>
      <c r="CI1029" s="567"/>
      <c r="CJ1029" s="567"/>
      <c r="CK1029" s="567"/>
      <c r="CL1029" s="567"/>
      <c r="CM1029" s="567"/>
      <c r="CN1029" s="567"/>
      <c r="CO1029" s="567"/>
    </row>
    <row r="1030">
      <c r="A1030" s="567"/>
      <c r="B1030" s="567"/>
      <c r="C1030" s="567"/>
      <c r="D1030" s="567"/>
      <c r="E1030" s="567"/>
      <c r="F1030" s="567"/>
      <c r="G1030" s="567"/>
      <c r="H1030" s="567"/>
      <c r="I1030" s="567"/>
      <c r="J1030" s="567"/>
      <c r="K1030" s="567"/>
      <c r="L1030" s="567"/>
      <c r="M1030" s="567"/>
      <c r="N1030" s="567"/>
      <c r="O1030" s="567"/>
      <c r="P1030" s="567"/>
      <c r="Q1030" s="567"/>
      <c r="R1030" s="567"/>
      <c r="S1030" s="567"/>
      <c r="T1030" s="567"/>
      <c r="U1030" s="567"/>
      <c r="V1030" s="567"/>
      <c r="W1030" s="567"/>
      <c r="X1030" s="567"/>
      <c r="Y1030" s="567"/>
      <c r="Z1030" s="567"/>
      <c r="AA1030" s="567"/>
      <c r="AB1030" s="567"/>
      <c r="AC1030" s="567"/>
      <c r="AD1030" s="567"/>
      <c r="AE1030" s="567"/>
      <c r="AF1030" s="567"/>
      <c r="AG1030" s="567"/>
      <c r="AH1030" s="567"/>
      <c r="AI1030" s="567"/>
      <c r="AJ1030" s="567"/>
      <c r="AK1030" s="567"/>
      <c r="AL1030" s="567"/>
      <c r="AM1030" s="567"/>
      <c r="AN1030" s="567"/>
      <c r="AO1030" s="567"/>
      <c r="AP1030" s="567"/>
      <c r="AQ1030" s="567"/>
      <c r="AR1030" s="567"/>
      <c r="AS1030" s="567"/>
      <c r="AT1030" s="567"/>
      <c r="AU1030" s="567"/>
      <c r="AV1030" s="567"/>
      <c r="AW1030" s="567"/>
      <c r="AX1030" s="567"/>
      <c r="AY1030" s="567"/>
      <c r="AZ1030" s="567"/>
      <c r="BA1030" s="567"/>
      <c r="BB1030" s="567"/>
      <c r="BC1030" s="567"/>
      <c r="BD1030" s="567"/>
      <c r="BE1030" s="567"/>
      <c r="BF1030" s="567"/>
      <c r="BG1030" s="567"/>
      <c r="BH1030" s="567"/>
      <c r="BI1030" s="567"/>
      <c r="BJ1030" s="567"/>
      <c r="BK1030" s="567"/>
      <c r="BL1030" s="567"/>
      <c r="BM1030" s="567"/>
      <c r="BN1030" s="567"/>
      <c r="BO1030" s="567"/>
      <c r="BP1030" s="567"/>
      <c r="BQ1030" s="567"/>
      <c r="BR1030" s="567"/>
      <c r="BS1030" s="567"/>
      <c r="BT1030" s="567"/>
      <c r="BU1030" s="567"/>
      <c r="BV1030" s="567"/>
      <c r="BW1030" s="567"/>
      <c r="BX1030" s="567"/>
      <c r="BY1030" s="567"/>
      <c r="BZ1030" s="567"/>
      <c r="CA1030" s="567"/>
      <c r="CB1030" s="567"/>
      <c r="CC1030" s="567"/>
      <c r="CD1030" s="567"/>
      <c r="CE1030" s="567"/>
      <c r="CF1030" s="567"/>
      <c r="CG1030" s="567"/>
      <c r="CH1030" s="567"/>
      <c r="CI1030" s="567"/>
      <c r="CJ1030" s="567"/>
      <c r="CK1030" s="567"/>
      <c r="CL1030" s="567"/>
      <c r="CM1030" s="567"/>
      <c r="CN1030" s="567"/>
      <c r="CO1030" s="567"/>
    </row>
    <row r="1031">
      <c r="A1031" s="567"/>
      <c r="B1031" s="567"/>
      <c r="C1031" s="567"/>
      <c r="D1031" s="567"/>
      <c r="E1031" s="567"/>
      <c r="F1031" s="567"/>
      <c r="G1031" s="567"/>
      <c r="H1031" s="567"/>
      <c r="I1031" s="567"/>
      <c r="J1031" s="567"/>
      <c r="K1031" s="567"/>
      <c r="L1031" s="567"/>
      <c r="M1031" s="567"/>
      <c r="N1031" s="567"/>
      <c r="O1031" s="567"/>
      <c r="P1031" s="567"/>
      <c r="Q1031" s="567"/>
      <c r="R1031" s="567"/>
      <c r="S1031" s="567"/>
      <c r="T1031" s="567"/>
      <c r="U1031" s="567"/>
      <c r="V1031" s="567"/>
      <c r="W1031" s="567"/>
      <c r="X1031" s="567"/>
      <c r="Y1031" s="567"/>
      <c r="Z1031" s="567"/>
      <c r="AA1031" s="567"/>
      <c r="AB1031" s="567"/>
      <c r="AC1031" s="567"/>
      <c r="AD1031" s="567"/>
      <c r="AE1031" s="567"/>
      <c r="AF1031" s="567"/>
      <c r="AG1031" s="567"/>
      <c r="AH1031" s="567"/>
      <c r="AI1031" s="567"/>
      <c r="AJ1031" s="567"/>
      <c r="AK1031" s="567"/>
      <c r="AL1031" s="567"/>
      <c r="AM1031" s="567"/>
      <c r="AN1031" s="567"/>
      <c r="AO1031" s="567"/>
      <c r="AP1031" s="567"/>
      <c r="AQ1031" s="567"/>
      <c r="AR1031" s="567"/>
      <c r="AS1031" s="567"/>
      <c r="AT1031" s="567"/>
      <c r="AU1031" s="567"/>
      <c r="AV1031" s="567"/>
      <c r="AW1031" s="567"/>
      <c r="AX1031" s="567"/>
      <c r="AY1031" s="567"/>
      <c r="AZ1031" s="567"/>
      <c r="BA1031" s="567"/>
      <c r="BB1031" s="567"/>
      <c r="BC1031" s="567"/>
      <c r="BD1031" s="567"/>
      <c r="BE1031" s="567"/>
      <c r="BF1031" s="567"/>
      <c r="BG1031" s="567"/>
      <c r="BH1031" s="567"/>
      <c r="BI1031" s="567"/>
      <c r="BJ1031" s="567"/>
      <c r="BK1031" s="567"/>
      <c r="BL1031" s="567"/>
      <c r="BM1031" s="567"/>
      <c r="BN1031" s="567"/>
      <c r="BO1031" s="567"/>
      <c r="BP1031" s="567"/>
      <c r="BQ1031" s="567"/>
      <c r="BR1031" s="567"/>
      <c r="BS1031" s="567"/>
      <c r="BT1031" s="567"/>
      <c r="BU1031" s="567"/>
      <c r="BV1031" s="567"/>
      <c r="BW1031" s="567"/>
      <c r="BX1031" s="567"/>
      <c r="BY1031" s="567"/>
      <c r="BZ1031" s="567"/>
      <c r="CA1031" s="567"/>
      <c r="CB1031" s="567"/>
      <c r="CC1031" s="567"/>
      <c r="CD1031" s="567"/>
      <c r="CE1031" s="567"/>
      <c r="CF1031" s="567"/>
      <c r="CG1031" s="567"/>
      <c r="CH1031" s="567"/>
      <c r="CI1031" s="567"/>
      <c r="CJ1031" s="567"/>
      <c r="CK1031" s="567"/>
      <c r="CL1031" s="567"/>
      <c r="CM1031" s="567"/>
      <c r="CN1031" s="567"/>
      <c r="CO1031" s="567"/>
    </row>
    <row r="1032">
      <c r="A1032" s="567"/>
      <c r="B1032" s="567"/>
      <c r="C1032" s="567"/>
      <c r="D1032" s="567"/>
      <c r="E1032" s="567"/>
      <c r="F1032" s="567"/>
      <c r="G1032" s="567"/>
      <c r="H1032" s="567"/>
      <c r="I1032" s="567"/>
      <c r="J1032" s="567"/>
      <c r="K1032" s="567"/>
      <c r="L1032" s="567"/>
      <c r="M1032" s="567"/>
      <c r="N1032" s="567"/>
      <c r="O1032" s="567"/>
      <c r="P1032" s="567"/>
      <c r="Q1032" s="567"/>
      <c r="R1032" s="567"/>
      <c r="S1032" s="567"/>
      <c r="T1032" s="567"/>
      <c r="U1032" s="567"/>
      <c r="V1032" s="567"/>
      <c r="W1032" s="567"/>
      <c r="X1032" s="567"/>
      <c r="Y1032" s="567"/>
      <c r="Z1032" s="567"/>
      <c r="AA1032" s="567"/>
      <c r="AB1032" s="567"/>
      <c r="AC1032" s="567"/>
      <c r="AD1032" s="567"/>
      <c r="AE1032" s="567"/>
      <c r="AF1032" s="567"/>
      <c r="AG1032" s="567"/>
      <c r="AH1032" s="567"/>
      <c r="AI1032" s="567"/>
      <c r="AJ1032" s="567"/>
      <c r="AK1032" s="567"/>
      <c r="AL1032" s="567"/>
      <c r="AM1032" s="567"/>
      <c r="AN1032" s="567"/>
      <c r="AO1032" s="567"/>
      <c r="AP1032" s="567"/>
      <c r="AQ1032" s="567"/>
      <c r="AR1032" s="567"/>
      <c r="AS1032" s="567"/>
      <c r="AT1032" s="567"/>
      <c r="AU1032" s="567"/>
      <c r="AV1032" s="567"/>
      <c r="AW1032" s="567"/>
      <c r="AX1032" s="567"/>
      <c r="AY1032" s="567"/>
      <c r="AZ1032" s="567"/>
      <c r="BA1032" s="567"/>
      <c r="BB1032" s="567"/>
      <c r="BC1032" s="567"/>
      <c r="BD1032" s="567"/>
      <c r="BE1032" s="567"/>
      <c r="BF1032" s="567"/>
      <c r="BG1032" s="567"/>
      <c r="BH1032" s="567"/>
      <c r="BI1032" s="567"/>
      <c r="BJ1032" s="567"/>
      <c r="BK1032" s="567"/>
      <c r="BL1032" s="567"/>
      <c r="BM1032" s="567"/>
      <c r="BN1032" s="567"/>
      <c r="BO1032" s="567"/>
      <c r="BP1032" s="567"/>
      <c r="BQ1032" s="567"/>
      <c r="BR1032" s="567"/>
      <c r="BS1032" s="567"/>
      <c r="BT1032" s="567"/>
      <c r="BU1032" s="567"/>
      <c r="BV1032" s="567"/>
      <c r="BW1032" s="567"/>
      <c r="BX1032" s="567"/>
      <c r="BY1032" s="567"/>
      <c r="BZ1032" s="567"/>
      <c r="CA1032" s="567"/>
      <c r="CB1032" s="567"/>
      <c r="CC1032" s="567"/>
      <c r="CD1032" s="567"/>
      <c r="CE1032" s="567"/>
      <c r="CF1032" s="567"/>
      <c r="CG1032" s="567"/>
      <c r="CH1032" s="567"/>
      <c r="CI1032" s="567"/>
      <c r="CJ1032" s="567"/>
      <c r="CK1032" s="567"/>
      <c r="CL1032" s="567"/>
      <c r="CM1032" s="567"/>
      <c r="CN1032" s="567"/>
      <c r="CO1032" s="567"/>
    </row>
    <row r="1033">
      <c r="A1033" s="567"/>
      <c r="B1033" s="567"/>
      <c r="C1033" s="567"/>
      <c r="D1033" s="567"/>
      <c r="E1033" s="567"/>
      <c r="F1033" s="567"/>
      <c r="G1033" s="567"/>
      <c r="H1033" s="567"/>
      <c r="I1033" s="567"/>
      <c r="J1033" s="567"/>
      <c r="K1033" s="567"/>
      <c r="L1033" s="567"/>
      <c r="M1033" s="567"/>
      <c r="N1033" s="567"/>
      <c r="O1033" s="567"/>
      <c r="P1033" s="567"/>
      <c r="Q1033" s="567"/>
      <c r="R1033" s="567"/>
      <c r="S1033" s="567"/>
      <c r="T1033" s="567"/>
      <c r="U1033" s="567"/>
      <c r="V1033" s="567"/>
      <c r="W1033" s="567"/>
      <c r="X1033" s="567"/>
      <c r="Y1033" s="567"/>
      <c r="Z1033" s="567"/>
      <c r="AA1033" s="567"/>
      <c r="AB1033" s="567"/>
      <c r="AC1033" s="567"/>
      <c r="AD1033" s="567"/>
      <c r="AE1033" s="567"/>
      <c r="AF1033" s="567"/>
      <c r="AG1033" s="567"/>
      <c r="AH1033" s="567"/>
      <c r="AI1033" s="567"/>
      <c r="AJ1033" s="567"/>
      <c r="AK1033" s="567"/>
      <c r="AL1033" s="567"/>
      <c r="AM1033" s="567"/>
      <c r="AN1033" s="567"/>
      <c r="AO1033" s="567"/>
      <c r="AP1033" s="567"/>
      <c r="AQ1033" s="567"/>
      <c r="AR1033" s="567"/>
      <c r="AS1033" s="567"/>
      <c r="AT1033" s="567"/>
      <c r="AU1033" s="567"/>
      <c r="AV1033" s="567"/>
      <c r="AW1033" s="567"/>
      <c r="AX1033" s="567"/>
      <c r="AY1033" s="567"/>
      <c r="AZ1033" s="567"/>
      <c r="BA1033" s="567"/>
      <c r="BB1033" s="567"/>
      <c r="BC1033" s="567"/>
      <c r="BD1033" s="567"/>
      <c r="BE1033" s="567"/>
      <c r="BF1033" s="567"/>
      <c r="BG1033" s="567"/>
      <c r="BH1033" s="567"/>
      <c r="BI1033" s="567"/>
      <c r="BJ1033" s="567"/>
      <c r="BK1033" s="567"/>
      <c r="BL1033" s="567"/>
      <c r="BM1033" s="567"/>
      <c r="BN1033" s="567"/>
      <c r="BO1033" s="567"/>
      <c r="BP1033" s="567"/>
      <c r="BQ1033" s="567"/>
      <c r="BR1033" s="567"/>
      <c r="BS1033" s="567"/>
      <c r="BT1033" s="567"/>
      <c r="BU1033" s="567"/>
      <c r="BV1033" s="567"/>
      <c r="BW1033" s="567"/>
      <c r="BX1033" s="567"/>
      <c r="BY1033" s="567"/>
      <c r="BZ1033" s="567"/>
      <c r="CA1033" s="567"/>
      <c r="CB1033" s="567"/>
      <c r="CC1033" s="567"/>
      <c r="CD1033" s="567"/>
      <c r="CE1033" s="567"/>
      <c r="CF1033" s="567"/>
      <c r="CG1033" s="567"/>
      <c r="CH1033" s="567"/>
      <c r="CI1033" s="567"/>
      <c r="CJ1033" s="567"/>
      <c r="CK1033" s="567"/>
      <c r="CL1033" s="567"/>
      <c r="CM1033" s="567"/>
      <c r="CN1033" s="567"/>
      <c r="CO1033" s="567"/>
    </row>
    <row r="1034">
      <c r="A1034" s="567"/>
      <c r="B1034" s="567"/>
      <c r="C1034" s="567"/>
      <c r="D1034" s="567"/>
      <c r="E1034" s="567"/>
      <c r="F1034" s="567"/>
      <c r="G1034" s="567"/>
      <c r="H1034" s="567"/>
      <c r="I1034" s="567"/>
      <c r="J1034" s="567"/>
      <c r="K1034" s="567"/>
      <c r="L1034" s="567"/>
      <c r="M1034" s="567"/>
      <c r="N1034" s="567"/>
      <c r="O1034" s="567"/>
      <c r="P1034" s="567"/>
      <c r="Q1034" s="567"/>
      <c r="R1034" s="567"/>
      <c r="S1034" s="567"/>
      <c r="T1034" s="567"/>
      <c r="U1034" s="567"/>
      <c r="V1034" s="567"/>
      <c r="W1034" s="567"/>
      <c r="X1034" s="567"/>
      <c r="Y1034" s="567"/>
      <c r="Z1034" s="567"/>
      <c r="AA1034" s="567"/>
      <c r="AB1034" s="567"/>
      <c r="AC1034" s="567"/>
      <c r="AD1034" s="567"/>
      <c r="AE1034" s="567"/>
      <c r="AF1034" s="567"/>
      <c r="AG1034" s="567"/>
      <c r="AH1034" s="567"/>
      <c r="AI1034" s="567"/>
      <c r="AJ1034" s="567"/>
      <c r="AK1034" s="567"/>
      <c r="AL1034" s="567"/>
      <c r="AM1034" s="567"/>
      <c r="AN1034" s="567"/>
      <c r="AO1034" s="567"/>
      <c r="AP1034" s="567"/>
      <c r="AQ1034" s="567"/>
      <c r="AR1034" s="567"/>
      <c r="AS1034" s="567"/>
      <c r="AT1034" s="567"/>
      <c r="AU1034" s="567"/>
      <c r="AV1034" s="567"/>
      <c r="AW1034" s="567"/>
      <c r="AX1034" s="567"/>
      <c r="AY1034" s="567"/>
      <c r="AZ1034" s="567"/>
      <c r="BA1034" s="567"/>
      <c r="BB1034" s="567"/>
      <c r="BC1034" s="567"/>
      <c r="BD1034" s="567"/>
      <c r="BE1034" s="567"/>
      <c r="BF1034" s="567"/>
      <c r="BG1034" s="567"/>
      <c r="BH1034" s="567"/>
      <c r="BI1034" s="567"/>
      <c r="BJ1034" s="567"/>
      <c r="BK1034" s="567"/>
      <c r="BL1034" s="567"/>
      <c r="BM1034" s="567"/>
      <c r="BN1034" s="567"/>
      <c r="BO1034" s="567"/>
      <c r="BP1034" s="567"/>
      <c r="BQ1034" s="567"/>
      <c r="BR1034" s="567"/>
      <c r="BS1034" s="567"/>
      <c r="BT1034" s="567"/>
      <c r="BU1034" s="567"/>
      <c r="BV1034" s="567"/>
      <c r="BW1034" s="567"/>
      <c r="BX1034" s="567"/>
      <c r="BY1034" s="567"/>
      <c r="BZ1034" s="567"/>
      <c r="CA1034" s="567"/>
      <c r="CB1034" s="567"/>
      <c r="CC1034" s="567"/>
      <c r="CD1034" s="567"/>
      <c r="CE1034" s="567"/>
      <c r="CF1034" s="567"/>
      <c r="CG1034" s="567"/>
      <c r="CH1034" s="567"/>
      <c r="CI1034" s="567"/>
      <c r="CJ1034" s="567"/>
      <c r="CK1034" s="567"/>
      <c r="CL1034" s="567"/>
      <c r="CM1034" s="567"/>
      <c r="CN1034" s="567"/>
      <c r="CO1034" s="567"/>
    </row>
    <row r="1035">
      <c r="A1035" s="567"/>
      <c r="B1035" s="567"/>
      <c r="C1035" s="567"/>
      <c r="D1035" s="567"/>
      <c r="E1035" s="567"/>
      <c r="F1035" s="567"/>
      <c r="G1035" s="567"/>
      <c r="H1035" s="567"/>
      <c r="I1035" s="567"/>
      <c r="J1035" s="567"/>
      <c r="K1035" s="567"/>
      <c r="L1035" s="567"/>
      <c r="M1035" s="567"/>
      <c r="N1035" s="567"/>
      <c r="O1035" s="567"/>
      <c r="P1035" s="567"/>
      <c r="Q1035" s="567"/>
      <c r="R1035" s="567"/>
      <c r="S1035" s="567"/>
      <c r="T1035" s="567"/>
      <c r="U1035" s="567"/>
      <c r="V1035" s="567"/>
      <c r="W1035" s="567"/>
      <c r="X1035" s="567"/>
      <c r="Y1035" s="567"/>
      <c r="Z1035" s="567"/>
      <c r="AA1035" s="567"/>
      <c r="AB1035" s="567"/>
      <c r="AC1035" s="567"/>
      <c r="AD1035" s="567"/>
      <c r="AE1035" s="567"/>
      <c r="AF1035" s="567"/>
      <c r="AG1035" s="567"/>
      <c r="AH1035" s="567"/>
      <c r="AI1035" s="567"/>
      <c r="AJ1035" s="567"/>
      <c r="AK1035" s="567"/>
      <c r="AL1035" s="567"/>
      <c r="AM1035" s="567"/>
      <c r="AN1035" s="567"/>
      <c r="AO1035" s="567"/>
      <c r="AP1035" s="567"/>
      <c r="AQ1035" s="567"/>
      <c r="AR1035" s="567"/>
      <c r="AS1035" s="567"/>
      <c r="AT1035" s="567"/>
      <c r="AU1035" s="567"/>
      <c r="AV1035" s="567"/>
      <c r="AW1035" s="567"/>
      <c r="AX1035" s="567"/>
      <c r="AY1035" s="567"/>
      <c r="AZ1035" s="567"/>
      <c r="BA1035" s="567"/>
      <c r="BB1035" s="567"/>
      <c r="BC1035" s="567"/>
      <c r="BD1035" s="567"/>
      <c r="BE1035" s="567"/>
      <c r="BF1035" s="567"/>
      <c r="BG1035" s="567"/>
      <c r="BH1035" s="567"/>
      <c r="BI1035" s="567"/>
      <c r="BJ1035" s="567"/>
      <c r="BK1035" s="567"/>
      <c r="BL1035" s="567"/>
      <c r="BM1035" s="567"/>
      <c r="BN1035" s="567"/>
      <c r="BO1035" s="567"/>
      <c r="BP1035" s="567"/>
      <c r="BQ1035" s="567"/>
      <c r="BR1035" s="567"/>
      <c r="BS1035" s="567"/>
      <c r="BT1035" s="567"/>
      <c r="BU1035" s="567"/>
      <c r="BV1035" s="567"/>
      <c r="BW1035" s="567"/>
      <c r="BX1035" s="567"/>
      <c r="BY1035" s="567"/>
      <c r="BZ1035" s="567"/>
      <c r="CA1035" s="567"/>
      <c r="CB1035" s="567"/>
      <c r="CC1035" s="567"/>
      <c r="CD1035" s="567"/>
      <c r="CE1035" s="567"/>
      <c r="CF1035" s="567"/>
      <c r="CG1035" s="567"/>
      <c r="CH1035" s="567"/>
      <c r="CI1035" s="567"/>
      <c r="CJ1035" s="567"/>
      <c r="CK1035" s="567"/>
      <c r="CL1035" s="567"/>
      <c r="CM1035" s="567"/>
      <c r="CN1035" s="567"/>
      <c r="CO1035" s="567"/>
    </row>
    <row r="1036">
      <c r="A1036" s="567"/>
      <c r="B1036" s="567"/>
      <c r="C1036" s="567"/>
      <c r="D1036" s="567"/>
      <c r="E1036" s="567"/>
      <c r="F1036" s="567"/>
      <c r="G1036" s="567"/>
      <c r="H1036" s="567"/>
      <c r="I1036" s="567"/>
      <c r="J1036" s="567"/>
      <c r="K1036" s="567"/>
      <c r="L1036" s="567"/>
      <c r="M1036" s="567"/>
      <c r="N1036" s="567"/>
      <c r="O1036" s="567"/>
      <c r="P1036" s="567"/>
      <c r="Q1036" s="567"/>
      <c r="R1036" s="567"/>
      <c r="S1036" s="567"/>
      <c r="T1036" s="567"/>
      <c r="U1036" s="567"/>
      <c r="V1036" s="567"/>
      <c r="W1036" s="567"/>
      <c r="X1036" s="567"/>
      <c r="Y1036" s="567"/>
      <c r="Z1036" s="567"/>
      <c r="AA1036" s="567"/>
      <c r="AB1036" s="567"/>
      <c r="AC1036" s="567"/>
      <c r="AD1036" s="567"/>
      <c r="AE1036" s="567"/>
      <c r="AF1036" s="567"/>
      <c r="AG1036" s="567"/>
      <c r="AH1036" s="567"/>
      <c r="AI1036" s="567"/>
      <c r="AJ1036" s="567"/>
      <c r="AK1036" s="567"/>
      <c r="AL1036" s="567"/>
      <c r="AM1036" s="567"/>
      <c r="AN1036" s="567"/>
      <c r="AO1036" s="567"/>
      <c r="AP1036" s="567"/>
      <c r="AQ1036" s="567"/>
      <c r="AR1036" s="567"/>
      <c r="AS1036" s="567"/>
      <c r="AT1036" s="567"/>
      <c r="AU1036" s="567"/>
      <c r="AV1036" s="567"/>
      <c r="AW1036" s="567"/>
      <c r="AX1036" s="567"/>
      <c r="AY1036" s="567"/>
      <c r="AZ1036" s="567"/>
      <c r="BA1036" s="567"/>
      <c r="BB1036" s="567"/>
      <c r="BC1036" s="567"/>
      <c r="BD1036" s="567"/>
      <c r="BE1036" s="567"/>
      <c r="BF1036" s="567"/>
      <c r="BG1036" s="567"/>
      <c r="BH1036" s="567"/>
      <c r="BI1036" s="567"/>
      <c r="BJ1036" s="567"/>
      <c r="BK1036" s="567"/>
      <c r="BL1036" s="567"/>
      <c r="BM1036" s="567"/>
      <c r="BN1036" s="567"/>
      <c r="BO1036" s="567"/>
      <c r="BP1036" s="567"/>
      <c r="BQ1036" s="567"/>
      <c r="BR1036" s="567"/>
      <c r="BS1036" s="567"/>
      <c r="BT1036" s="567"/>
      <c r="BU1036" s="567"/>
      <c r="BV1036" s="567"/>
      <c r="BW1036" s="567"/>
      <c r="BX1036" s="567"/>
      <c r="BY1036" s="567"/>
      <c r="BZ1036" s="567"/>
      <c r="CA1036" s="567"/>
      <c r="CB1036" s="567"/>
      <c r="CC1036" s="567"/>
      <c r="CD1036" s="567"/>
      <c r="CE1036" s="567"/>
      <c r="CF1036" s="567"/>
      <c r="CG1036" s="567"/>
      <c r="CH1036" s="567"/>
      <c r="CI1036" s="567"/>
      <c r="CJ1036" s="567"/>
      <c r="CK1036" s="567"/>
      <c r="CL1036" s="567"/>
      <c r="CM1036" s="567"/>
      <c r="CN1036" s="567"/>
      <c r="CO1036" s="567"/>
    </row>
    <row r="1037">
      <c r="A1037" s="567"/>
      <c r="B1037" s="567"/>
      <c r="C1037" s="567"/>
      <c r="D1037" s="567"/>
      <c r="E1037" s="567"/>
      <c r="F1037" s="567"/>
      <c r="G1037" s="567"/>
      <c r="H1037" s="567"/>
      <c r="I1037" s="567"/>
      <c r="J1037" s="567"/>
      <c r="K1037" s="567"/>
      <c r="L1037" s="567"/>
      <c r="M1037" s="567"/>
      <c r="N1037" s="567"/>
      <c r="O1037" s="567"/>
      <c r="P1037" s="567"/>
      <c r="Q1037" s="567"/>
      <c r="R1037" s="567"/>
      <c r="S1037" s="567"/>
      <c r="T1037" s="567"/>
      <c r="U1037" s="567"/>
      <c r="V1037" s="567"/>
      <c r="W1037" s="567"/>
      <c r="X1037" s="567"/>
      <c r="Y1037" s="567"/>
      <c r="Z1037" s="567"/>
      <c r="AA1037" s="567"/>
      <c r="AB1037" s="567"/>
      <c r="AC1037" s="567"/>
      <c r="AD1037" s="567"/>
      <c r="AE1037" s="567"/>
      <c r="AF1037" s="567"/>
      <c r="AG1037" s="567"/>
      <c r="AH1037" s="567"/>
      <c r="AI1037" s="567"/>
      <c r="AJ1037" s="567"/>
      <c r="AK1037" s="567"/>
      <c r="AL1037" s="567"/>
      <c r="AM1037" s="567"/>
      <c r="AN1037" s="567"/>
      <c r="AO1037" s="567"/>
      <c r="AP1037" s="567"/>
      <c r="AQ1037" s="567"/>
      <c r="AR1037" s="567"/>
      <c r="AS1037" s="567"/>
      <c r="AT1037" s="567"/>
      <c r="AU1037" s="567"/>
      <c r="AV1037" s="567"/>
      <c r="AW1037" s="567"/>
      <c r="AX1037" s="567"/>
      <c r="AY1037" s="567"/>
      <c r="AZ1037" s="567"/>
      <c r="BA1037" s="567"/>
      <c r="BB1037" s="567"/>
      <c r="BC1037" s="567"/>
      <c r="BD1037" s="567"/>
      <c r="BE1037" s="567"/>
      <c r="BF1037" s="567"/>
      <c r="BG1037" s="567"/>
      <c r="BH1037" s="567"/>
      <c r="BI1037" s="567"/>
      <c r="BJ1037" s="567"/>
      <c r="BK1037" s="567"/>
      <c r="BL1037" s="567"/>
      <c r="BM1037" s="567"/>
      <c r="BN1037" s="567"/>
      <c r="BO1037" s="567"/>
      <c r="BP1037" s="567"/>
      <c r="BQ1037" s="567"/>
      <c r="BR1037" s="567"/>
      <c r="BS1037" s="567"/>
      <c r="BT1037" s="567"/>
      <c r="BU1037" s="567"/>
      <c r="BV1037" s="567"/>
      <c r="BW1037" s="567"/>
      <c r="BX1037" s="567"/>
      <c r="BY1037" s="567"/>
      <c r="BZ1037" s="567"/>
      <c r="CA1037" s="567"/>
      <c r="CB1037" s="567"/>
      <c r="CC1037" s="567"/>
      <c r="CD1037" s="567"/>
      <c r="CE1037" s="567"/>
      <c r="CF1037" s="567"/>
      <c r="CG1037" s="567"/>
      <c r="CH1037" s="567"/>
      <c r="CI1037" s="567"/>
      <c r="CJ1037" s="567"/>
      <c r="CK1037" s="567"/>
      <c r="CL1037" s="567"/>
      <c r="CM1037" s="567"/>
      <c r="CN1037" s="567"/>
      <c r="CO1037" s="567"/>
    </row>
    <row r="1038">
      <c r="A1038" s="567"/>
      <c r="B1038" s="567"/>
      <c r="C1038" s="567"/>
      <c r="D1038" s="567"/>
      <c r="E1038" s="567"/>
      <c r="F1038" s="567"/>
      <c r="G1038" s="567"/>
      <c r="H1038" s="567"/>
      <c r="I1038" s="567"/>
      <c r="J1038" s="567"/>
      <c r="K1038" s="567"/>
      <c r="L1038" s="567"/>
      <c r="M1038" s="567"/>
      <c r="N1038" s="567"/>
      <c r="O1038" s="567"/>
      <c r="P1038" s="567"/>
      <c r="Q1038" s="567"/>
      <c r="R1038" s="567"/>
      <c r="S1038" s="567"/>
      <c r="T1038" s="567"/>
      <c r="U1038" s="567"/>
      <c r="V1038" s="567"/>
      <c r="W1038" s="567"/>
      <c r="X1038" s="567"/>
      <c r="Y1038" s="567"/>
      <c r="Z1038" s="567"/>
      <c r="AA1038" s="567"/>
      <c r="AB1038" s="567"/>
      <c r="AC1038" s="567"/>
      <c r="AD1038" s="567"/>
      <c r="AE1038" s="567"/>
      <c r="AF1038" s="567"/>
      <c r="AG1038" s="567"/>
      <c r="AH1038" s="567"/>
      <c r="AI1038" s="567"/>
      <c r="AJ1038" s="567"/>
      <c r="AK1038" s="567"/>
      <c r="AL1038" s="567"/>
      <c r="AM1038" s="567"/>
      <c r="AN1038" s="567"/>
      <c r="AO1038" s="567"/>
      <c r="AP1038" s="567"/>
      <c r="AQ1038" s="567"/>
      <c r="AR1038" s="567"/>
      <c r="AS1038" s="567"/>
      <c r="AT1038" s="567"/>
      <c r="AU1038" s="567"/>
      <c r="AV1038" s="567"/>
      <c r="AW1038" s="567"/>
      <c r="AX1038" s="567"/>
      <c r="AY1038" s="567"/>
      <c r="AZ1038" s="567"/>
      <c r="BA1038" s="567"/>
      <c r="BB1038" s="567"/>
      <c r="BC1038" s="567"/>
      <c r="BD1038" s="567"/>
      <c r="BE1038" s="567"/>
      <c r="BF1038" s="567"/>
      <c r="BG1038" s="567"/>
      <c r="BH1038" s="567"/>
      <c r="BI1038" s="567"/>
      <c r="BJ1038" s="567"/>
      <c r="BK1038" s="567"/>
      <c r="BL1038" s="567"/>
      <c r="BM1038" s="567"/>
      <c r="BN1038" s="567"/>
      <c r="BO1038" s="567"/>
      <c r="BP1038" s="567"/>
      <c r="BQ1038" s="567"/>
      <c r="BR1038" s="567"/>
      <c r="BS1038" s="567"/>
      <c r="BT1038" s="567"/>
      <c r="BU1038" s="567"/>
      <c r="BV1038" s="567"/>
      <c r="BW1038" s="567"/>
      <c r="BX1038" s="567"/>
      <c r="BY1038" s="567"/>
      <c r="BZ1038" s="567"/>
      <c r="CA1038" s="567"/>
      <c r="CB1038" s="567"/>
      <c r="CC1038" s="567"/>
      <c r="CD1038" s="567"/>
      <c r="CE1038" s="567"/>
      <c r="CF1038" s="567"/>
      <c r="CG1038" s="567"/>
      <c r="CH1038" s="567"/>
      <c r="CI1038" s="567"/>
      <c r="CJ1038" s="567"/>
      <c r="CK1038" s="567"/>
      <c r="CL1038" s="567"/>
      <c r="CM1038" s="567"/>
      <c r="CN1038" s="567"/>
      <c r="CO1038" s="567"/>
    </row>
    <row r="1039">
      <c r="A1039" s="567"/>
      <c r="B1039" s="567"/>
      <c r="C1039" s="567"/>
      <c r="D1039" s="567"/>
      <c r="E1039" s="567"/>
      <c r="F1039" s="567"/>
      <c r="G1039" s="567"/>
      <c r="H1039" s="567"/>
      <c r="I1039" s="567"/>
      <c r="J1039" s="567"/>
      <c r="K1039" s="567"/>
      <c r="L1039" s="567"/>
      <c r="M1039" s="567"/>
      <c r="N1039" s="567"/>
      <c r="O1039" s="567"/>
      <c r="P1039" s="567"/>
      <c r="Q1039" s="567"/>
      <c r="R1039" s="567"/>
      <c r="S1039" s="567"/>
      <c r="T1039" s="567"/>
      <c r="U1039" s="567"/>
      <c r="V1039" s="567"/>
      <c r="W1039" s="567"/>
      <c r="X1039" s="567"/>
      <c r="Y1039" s="567"/>
      <c r="Z1039" s="567"/>
      <c r="AA1039" s="567"/>
      <c r="AB1039" s="567"/>
      <c r="AC1039" s="567"/>
      <c r="AD1039" s="567"/>
      <c r="AE1039" s="567"/>
      <c r="AF1039" s="567"/>
      <c r="AG1039" s="567"/>
      <c r="AH1039" s="567"/>
      <c r="AI1039" s="567"/>
      <c r="AJ1039" s="567"/>
      <c r="AK1039" s="567"/>
      <c r="AL1039" s="567"/>
      <c r="AM1039" s="567"/>
      <c r="AN1039" s="567"/>
      <c r="AO1039" s="567"/>
      <c r="AP1039" s="567"/>
      <c r="AQ1039" s="567"/>
      <c r="AR1039" s="567"/>
      <c r="AS1039" s="567"/>
      <c r="AT1039" s="567"/>
      <c r="AU1039" s="567"/>
      <c r="AV1039" s="567"/>
      <c r="AW1039" s="567"/>
      <c r="AX1039" s="567"/>
      <c r="AY1039" s="567"/>
      <c r="AZ1039" s="567"/>
      <c r="BA1039" s="567"/>
      <c r="BB1039" s="567"/>
      <c r="BC1039" s="567"/>
      <c r="BD1039" s="567"/>
      <c r="BE1039" s="567"/>
      <c r="BF1039" s="567"/>
      <c r="BG1039" s="567"/>
      <c r="BH1039" s="567"/>
      <c r="BI1039" s="567"/>
      <c r="BJ1039" s="567"/>
      <c r="BK1039" s="567"/>
      <c r="BL1039" s="567"/>
      <c r="BM1039" s="567"/>
      <c r="BN1039" s="567"/>
      <c r="BO1039" s="567"/>
      <c r="BP1039" s="567"/>
      <c r="BQ1039" s="567"/>
      <c r="BR1039" s="567"/>
      <c r="BS1039" s="567"/>
      <c r="BT1039" s="567"/>
      <c r="BU1039" s="567"/>
      <c r="BV1039" s="567"/>
      <c r="BW1039" s="567"/>
      <c r="BX1039" s="567"/>
      <c r="BY1039" s="567"/>
      <c r="BZ1039" s="567"/>
      <c r="CA1039" s="567"/>
      <c r="CB1039" s="567"/>
      <c r="CC1039" s="567"/>
      <c r="CD1039" s="567"/>
      <c r="CE1039" s="567"/>
      <c r="CF1039" s="567"/>
      <c r="CG1039" s="567"/>
      <c r="CH1039" s="567"/>
      <c r="CI1039" s="567"/>
      <c r="CJ1039" s="567"/>
      <c r="CK1039" s="567"/>
      <c r="CL1039" s="567"/>
      <c r="CM1039" s="567"/>
      <c r="CN1039" s="567"/>
      <c r="CO1039" s="567"/>
    </row>
    <row r="1040">
      <c r="A1040" s="567"/>
      <c r="B1040" s="567"/>
      <c r="C1040" s="567"/>
      <c r="D1040" s="567"/>
      <c r="E1040" s="567"/>
      <c r="F1040" s="567"/>
      <c r="G1040" s="567"/>
      <c r="H1040" s="567"/>
      <c r="I1040" s="567"/>
      <c r="J1040" s="567"/>
      <c r="K1040" s="567"/>
      <c r="L1040" s="567"/>
      <c r="M1040" s="567"/>
      <c r="N1040" s="567"/>
      <c r="O1040" s="567"/>
      <c r="P1040" s="567"/>
      <c r="Q1040" s="567"/>
      <c r="R1040" s="567"/>
      <c r="S1040" s="567"/>
      <c r="T1040" s="567"/>
      <c r="U1040" s="567"/>
      <c r="V1040" s="567"/>
      <c r="W1040" s="567"/>
      <c r="X1040" s="567"/>
      <c r="Y1040" s="567"/>
      <c r="Z1040" s="567"/>
      <c r="AA1040" s="567"/>
      <c r="AB1040" s="567"/>
      <c r="AC1040" s="567"/>
      <c r="AD1040" s="567"/>
      <c r="AE1040" s="567"/>
      <c r="AF1040" s="567"/>
      <c r="AG1040" s="567"/>
      <c r="AH1040" s="567"/>
      <c r="AI1040" s="567"/>
      <c r="AJ1040" s="567"/>
      <c r="AK1040" s="567"/>
      <c r="AL1040" s="567"/>
      <c r="AM1040" s="567"/>
      <c r="AN1040" s="567"/>
      <c r="AO1040" s="567"/>
      <c r="AP1040" s="567"/>
      <c r="AQ1040" s="567"/>
      <c r="AR1040" s="567"/>
      <c r="AS1040" s="567"/>
      <c r="AT1040" s="567"/>
      <c r="AU1040" s="567"/>
      <c r="AV1040" s="567"/>
      <c r="AW1040" s="567"/>
      <c r="AX1040" s="567"/>
      <c r="AY1040" s="567"/>
      <c r="AZ1040" s="567"/>
      <c r="BA1040" s="567"/>
      <c r="BB1040" s="567"/>
      <c r="BC1040" s="567"/>
      <c r="BD1040" s="567"/>
      <c r="BE1040" s="567"/>
      <c r="BF1040" s="567"/>
      <c r="BG1040" s="567"/>
      <c r="BH1040" s="567"/>
      <c r="BI1040" s="567"/>
      <c r="BJ1040" s="567"/>
      <c r="BK1040" s="567"/>
      <c r="BL1040" s="567"/>
      <c r="BM1040" s="567"/>
      <c r="BN1040" s="567"/>
      <c r="BO1040" s="567"/>
      <c r="BP1040" s="567"/>
      <c r="BQ1040" s="567"/>
      <c r="BR1040" s="567"/>
      <c r="BS1040" s="567"/>
      <c r="BT1040" s="567"/>
      <c r="BU1040" s="567"/>
      <c r="BV1040" s="567"/>
      <c r="BW1040" s="567"/>
      <c r="BX1040" s="567"/>
      <c r="BY1040" s="567"/>
      <c r="BZ1040" s="567"/>
      <c r="CA1040" s="567"/>
      <c r="CB1040" s="567"/>
      <c r="CC1040" s="567"/>
      <c r="CD1040" s="567"/>
      <c r="CE1040" s="567"/>
      <c r="CF1040" s="567"/>
      <c r="CG1040" s="567"/>
      <c r="CH1040" s="567"/>
      <c r="CI1040" s="567"/>
      <c r="CJ1040" s="567"/>
      <c r="CK1040" s="567"/>
      <c r="CL1040" s="567"/>
      <c r="CM1040" s="567"/>
      <c r="CN1040" s="567"/>
      <c r="CO1040" s="567"/>
    </row>
    <row r="1041">
      <c r="A1041" s="567"/>
      <c r="B1041" s="567"/>
      <c r="C1041" s="567"/>
      <c r="D1041" s="567"/>
      <c r="E1041" s="567"/>
      <c r="F1041" s="567"/>
      <c r="G1041" s="567"/>
      <c r="H1041" s="567"/>
      <c r="I1041" s="567"/>
      <c r="J1041" s="567"/>
      <c r="K1041" s="567"/>
      <c r="L1041" s="567"/>
      <c r="M1041" s="567"/>
      <c r="N1041" s="567"/>
      <c r="O1041" s="567"/>
      <c r="P1041" s="567"/>
      <c r="Q1041" s="567"/>
      <c r="R1041" s="567"/>
      <c r="S1041" s="567"/>
      <c r="T1041" s="567"/>
      <c r="U1041" s="567"/>
      <c r="V1041" s="567"/>
      <c r="W1041" s="567"/>
      <c r="X1041" s="567"/>
      <c r="Y1041" s="567"/>
      <c r="Z1041" s="567"/>
      <c r="AA1041" s="567"/>
      <c r="AB1041" s="567"/>
      <c r="AC1041" s="567"/>
      <c r="AD1041" s="567"/>
      <c r="AE1041" s="567"/>
      <c r="AF1041" s="567"/>
      <c r="AG1041" s="567"/>
      <c r="AH1041" s="567"/>
      <c r="AI1041" s="567"/>
      <c r="AJ1041" s="567"/>
      <c r="AK1041" s="567"/>
      <c r="AL1041" s="567"/>
      <c r="AM1041" s="567"/>
      <c r="AN1041" s="567"/>
      <c r="AO1041" s="567"/>
      <c r="AP1041" s="567"/>
      <c r="AQ1041" s="567"/>
      <c r="AR1041" s="567"/>
      <c r="AS1041" s="567"/>
      <c r="AT1041" s="567"/>
      <c r="AU1041" s="567"/>
      <c r="AV1041" s="567"/>
      <c r="AW1041" s="567"/>
      <c r="AX1041" s="567"/>
      <c r="AY1041" s="567"/>
      <c r="AZ1041" s="567"/>
      <c r="BA1041" s="567"/>
      <c r="BB1041" s="567"/>
      <c r="BC1041" s="567"/>
      <c r="BD1041" s="567"/>
      <c r="BE1041" s="567"/>
      <c r="BF1041" s="567"/>
      <c r="BG1041" s="567"/>
      <c r="BH1041" s="567"/>
      <c r="BI1041" s="567"/>
      <c r="BJ1041" s="567"/>
      <c r="BK1041" s="567"/>
      <c r="BL1041" s="567"/>
      <c r="BM1041" s="567"/>
      <c r="BN1041" s="567"/>
      <c r="BO1041" s="567"/>
      <c r="BP1041" s="567"/>
      <c r="BQ1041" s="567"/>
      <c r="BR1041" s="567"/>
      <c r="BS1041" s="567"/>
      <c r="BT1041" s="567"/>
      <c r="BU1041" s="567"/>
      <c r="BV1041" s="567"/>
      <c r="BW1041" s="567"/>
      <c r="BX1041" s="567"/>
      <c r="BY1041" s="567"/>
      <c r="BZ1041" s="567"/>
      <c r="CA1041" s="567"/>
      <c r="CB1041" s="567"/>
      <c r="CC1041" s="567"/>
      <c r="CD1041" s="567"/>
      <c r="CE1041" s="567"/>
      <c r="CF1041" s="567"/>
      <c r="CG1041" s="567"/>
      <c r="CH1041" s="567"/>
      <c r="CI1041" s="567"/>
      <c r="CJ1041" s="567"/>
      <c r="CK1041" s="567"/>
      <c r="CL1041" s="567"/>
      <c r="CM1041" s="567"/>
      <c r="CN1041" s="567"/>
      <c r="CO1041" s="567"/>
    </row>
    <row r="1042">
      <c r="A1042" s="567"/>
      <c r="B1042" s="567"/>
      <c r="C1042" s="567"/>
      <c r="D1042" s="567"/>
      <c r="E1042" s="567"/>
      <c r="F1042" s="567"/>
      <c r="G1042" s="567"/>
      <c r="H1042" s="567"/>
      <c r="I1042" s="567"/>
      <c r="J1042" s="567"/>
      <c r="K1042" s="567"/>
      <c r="L1042" s="567"/>
      <c r="M1042" s="567"/>
      <c r="N1042" s="567"/>
      <c r="O1042" s="567"/>
      <c r="P1042" s="567"/>
      <c r="Q1042" s="567"/>
      <c r="R1042" s="567"/>
      <c r="S1042" s="567"/>
      <c r="T1042" s="567"/>
      <c r="U1042" s="567"/>
      <c r="V1042" s="567"/>
      <c r="W1042" s="567"/>
      <c r="X1042" s="567"/>
      <c r="Y1042" s="567"/>
      <c r="Z1042" s="567"/>
      <c r="AA1042" s="567"/>
      <c r="AB1042" s="567"/>
      <c r="AC1042" s="567"/>
      <c r="AD1042" s="567"/>
      <c r="AE1042" s="567"/>
      <c r="AF1042" s="567"/>
      <c r="AG1042" s="567"/>
      <c r="AH1042" s="567"/>
      <c r="AI1042" s="567"/>
      <c r="AJ1042" s="567"/>
      <c r="AK1042" s="567"/>
      <c r="AL1042" s="567"/>
      <c r="AM1042" s="567"/>
      <c r="AN1042" s="567"/>
      <c r="AO1042" s="567"/>
      <c r="AP1042" s="567"/>
      <c r="AQ1042" s="567"/>
      <c r="AR1042" s="567"/>
      <c r="AS1042" s="567"/>
      <c r="AT1042" s="567"/>
      <c r="AU1042" s="567"/>
      <c r="AV1042" s="567"/>
      <c r="AW1042" s="567"/>
      <c r="AX1042" s="567"/>
      <c r="AY1042" s="567"/>
      <c r="AZ1042" s="567"/>
      <c r="BA1042" s="567"/>
      <c r="BB1042" s="567"/>
      <c r="BC1042" s="567"/>
      <c r="BD1042" s="567"/>
      <c r="BE1042" s="567"/>
      <c r="BF1042" s="567"/>
      <c r="BG1042" s="567"/>
      <c r="BH1042" s="567"/>
      <c r="BI1042" s="567"/>
      <c r="BJ1042" s="567"/>
      <c r="BK1042" s="567"/>
      <c r="BL1042" s="567"/>
      <c r="BM1042" s="567"/>
      <c r="BN1042" s="567"/>
      <c r="BO1042" s="567"/>
      <c r="BP1042" s="567"/>
      <c r="BQ1042" s="567"/>
      <c r="BR1042" s="567"/>
      <c r="BS1042" s="567"/>
      <c r="BT1042" s="567"/>
      <c r="BU1042" s="567"/>
      <c r="BV1042" s="567"/>
      <c r="BW1042" s="567"/>
      <c r="BX1042" s="567"/>
      <c r="BY1042" s="567"/>
      <c r="BZ1042" s="567"/>
      <c r="CA1042" s="567"/>
      <c r="CB1042" s="567"/>
      <c r="CC1042" s="567"/>
      <c r="CD1042" s="567"/>
      <c r="CE1042" s="567"/>
      <c r="CF1042" s="567"/>
      <c r="CG1042" s="567"/>
      <c r="CH1042" s="567"/>
      <c r="CI1042" s="567"/>
      <c r="CJ1042" s="567"/>
      <c r="CK1042" s="567"/>
      <c r="CL1042" s="567"/>
      <c r="CM1042" s="567"/>
      <c r="CN1042" s="567"/>
      <c r="CO1042" s="567"/>
    </row>
  </sheetData>
  <mergeCells count="59">
    <mergeCell ref="A6:A18"/>
    <mergeCell ref="A19:A26"/>
    <mergeCell ref="B19:B23"/>
    <mergeCell ref="B25:B26"/>
    <mergeCell ref="A27:C27"/>
    <mergeCell ref="A28:C28"/>
    <mergeCell ref="A32:C32"/>
    <mergeCell ref="A62:B62"/>
    <mergeCell ref="A64:B64"/>
    <mergeCell ref="A65:B65"/>
    <mergeCell ref="A45:C46"/>
    <mergeCell ref="A50:B50"/>
    <mergeCell ref="A51:A53"/>
    <mergeCell ref="A55:B55"/>
    <mergeCell ref="A58:B58"/>
    <mergeCell ref="A59:B59"/>
    <mergeCell ref="A61:B61"/>
    <mergeCell ref="B1:C1"/>
    <mergeCell ref="G1:H1"/>
    <mergeCell ref="I1:J1"/>
    <mergeCell ref="K1:L1"/>
    <mergeCell ref="M1:N1"/>
    <mergeCell ref="O1:P1"/>
    <mergeCell ref="A2:C3"/>
    <mergeCell ref="L6:L14"/>
    <mergeCell ref="N6:N14"/>
    <mergeCell ref="P6:P14"/>
    <mergeCell ref="H6:H14"/>
    <mergeCell ref="H16:H18"/>
    <mergeCell ref="H19:H22"/>
    <mergeCell ref="H25:H26"/>
    <mergeCell ref="A4:C4"/>
    <mergeCell ref="A5:C5"/>
    <mergeCell ref="G5:N5"/>
    <mergeCell ref="B6:B15"/>
    <mergeCell ref="J6:J14"/>
    <mergeCell ref="B16:B18"/>
    <mergeCell ref="N16:N18"/>
    <mergeCell ref="J25:J26"/>
    <mergeCell ref="L25:L26"/>
    <mergeCell ref="N25:N26"/>
    <mergeCell ref="P25:P26"/>
    <mergeCell ref="G28:N28"/>
    <mergeCell ref="J16:J18"/>
    <mergeCell ref="L16:L18"/>
    <mergeCell ref="P16:P18"/>
    <mergeCell ref="J19:J22"/>
    <mergeCell ref="L19:L22"/>
    <mergeCell ref="N19:N22"/>
    <mergeCell ref="P19:P22"/>
    <mergeCell ref="G39:N39"/>
    <mergeCell ref="BP82:CA82"/>
    <mergeCell ref="A33:C33"/>
    <mergeCell ref="A34:C34"/>
    <mergeCell ref="A35:C35"/>
    <mergeCell ref="A38:C38"/>
    <mergeCell ref="A39:C39"/>
    <mergeCell ref="A40:C40"/>
    <mergeCell ref="A41:C4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88"/>
    <col customWidth="1" min="2" max="2" width="20.75"/>
    <col customWidth="1" min="3" max="3" width="14.38"/>
    <col customWidth="1" min="4" max="4" width="9.63"/>
    <col customWidth="1" min="5" max="5" width="9.38"/>
    <col customWidth="1" min="6" max="6" width="5.5"/>
    <col customWidth="1" min="7" max="7" width="13.0"/>
    <col customWidth="1" min="8" max="10" width="15.75"/>
    <col customWidth="1" min="11" max="11" width="12.38"/>
    <col customWidth="1" min="12" max="74" width="8.88"/>
  </cols>
  <sheetData>
    <row r="1">
      <c r="A1" s="568" t="s">
        <v>867</v>
      </c>
      <c r="B1" s="28"/>
      <c r="C1" s="29"/>
      <c r="D1" s="417" t="s">
        <v>647</v>
      </c>
      <c r="E1" s="15"/>
      <c r="F1" s="16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1"/>
      <c r="AU1" s="421"/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  <c r="BM1" s="421"/>
      <c r="BN1" s="421"/>
      <c r="BO1" s="421"/>
      <c r="BP1" s="421"/>
      <c r="BQ1" s="421"/>
      <c r="BR1" s="421"/>
      <c r="BS1" s="421"/>
      <c r="BT1" s="421"/>
      <c r="BU1" s="421"/>
      <c r="BV1" s="421"/>
    </row>
    <row r="2">
      <c r="A2" s="287"/>
      <c r="B2" s="114"/>
      <c r="C2" s="65"/>
      <c r="D2" s="422" t="s">
        <v>648</v>
      </c>
      <c r="E2" s="422" t="s">
        <v>649</v>
      </c>
      <c r="F2" s="423" t="s">
        <v>650</v>
      </c>
      <c r="G2" s="817" t="s">
        <v>848</v>
      </c>
      <c r="H2" s="818" t="s">
        <v>849</v>
      </c>
      <c r="I2" s="818" t="s">
        <v>850</v>
      </c>
      <c r="J2" s="674" t="s">
        <v>851</v>
      </c>
      <c r="K2" s="675" t="s">
        <v>852</v>
      </c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0"/>
      <c r="AT2" s="530"/>
      <c r="AU2" s="530"/>
      <c r="AV2" s="530"/>
      <c r="AW2" s="530"/>
      <c r="AX2" s="530"/>
      <c r="AY2" s="530"/>
      <c r="AZ2" s="530"/>
      <c r="BA2" s="530"/>
      <c r="BB2" s="530"/>
      <c r="BC2" s="530"/>
      <c r="BD2" s="530"/>
      <c r="BE2" s="530"/>
      <c r="BF2" s="530"/>
      <c r="BG2" s="530"/>
      <c r="BH2" s="530"/>
      <c r="BI2" s="530"/>
      <c r="BJ2" s="530"/>
      <c r="BK2" s="530"/>
      <c r="BL2" s="530"/>
      <c r="BM2" s="530"/>
      <c r="BN2" s="530"/>
      <c r="BO2" s="530"/>
      <c r="BP2" s="530"/>
      <c r="BQ2" s="530"/>
      <c r="BR2" s="530"/>
      <c r="BS2" s="530"/>
      <c r="BT2" s="530"/>
      <c r="BU2" s="530"/>
      <c r="BV2" s="530"/>
    </row>
    <row r="3">
      <c r="A3" s="677" t="s">
        <v>729</v>
      </c>
      <c r="B3" s="678" t="s">
        <v>720</v>
      </c>
      <c r="C3" s="679"/>
      <c r="D3" s="680" t="s">
        <v>868</v>
      </c>
      <c r="E3" s="436">
        <v>2.0</v>
      </c>
      <c r="F3" s="436">
        <v>1.0</v>
      </c>
      <c r="G3" s="683">
        <f>IFERROR(__xludf.DUMMYFUNCTION("INDIRECT(CONCATENATE(""'"",INDEX(SPLIT($D3,""G""),1),CHAR(CODE(""G"")+$E3*(COLUMN()-COLUMN($G3))),INDEX(SPLIT($D3,""G""),2)))"),336915.0)</f>
        <v>336915</v>
      </c>
      <c r="H3" s="683">
        <f>IFERROR(__xludf.DUMMYFUNCTION("INDIRECT(CONCATENATE(""'"",INDEX(SPLIT($D3,""G""),1),CHAR(CODE(""G"")+$E3*(COLUMN()-COLUMN($G3))),INDEX(SPLIT($D3,""G""),2)))"),492611.0)</f>
        <v>492611</v>
      </c>
      <c r="I3" s="683">
        <f>IFERROR(__xludf.DUMMYFUNCTION("INDIRECT(CONCATENATE(""'"",INDEX(SPLIT($D3,""G""),1),CHAR(CODE(""G"")+$E3*(COLUMN()-COLUMN($G3))),INDEX(SPLIT($D3,""G""),2)))"),835425.0)</f>
        <v>835425</v>
      </c>
      <c r="J3" s="683">
        <f>IFERROR(__xludf.DUMMYFUNCTION("INDIRECT(CONCATENATE(""'"",INDEX(SPLIT($D3,""G""),1),CHAR(CODE(""G"")+$E3*(COLUMN()-COLUMN($G3))),INDEX(SPLIT($D3,""G""),2)))"),932437.0)</f>
        <v>932437</v>
      </c>
      <c r="K3" s="819">
        <f>IFERROR(__xludf.DUMMYFUNCTION("INDIRECT(CONCATENATE(""'"",INDEX(SPLIT($D3,""G""),1),CHAR(CODE(""G"")+$E3*(COLUMN()-COLUMN($G3))),INDEX(SPLIT($D3,""G""),2)))"),794497.0)</f>
        <v>794497</v>
      </c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</row>
    <row r="4">
      <c r="A4" s="457"/>
      <c r="B4" s="580" t="s">
        <v>730</v>
      </c>
      <c r="C4" s="580" t="s">
        <v>731</v>
      </c>
      <c r="D4" s="581" t="s">
        <v>869</v>
      </c>
      <c r="E4" s="444">
        <v>2.0</v>
      </c>
      <c r="F4" s="444">
        <v>1.0</v>
      </c>
      <c r="G4" s="537">
        <f>IFERROR(__xludf.DUMMYFUNCTION("INDIRECT(CONCATENATE(""'"",INDEX(SPLIT($D4,""G""),1),CHAR(CODE(""G"")+$E4*(COLUMN()-COLUMN($G4))),INDEX(SPLIT($D4,""G""),2)))"),842072.0)</f>
        <v>842072</v>
      </c>
      <c r="H4" s="537">
        <f>IFERROR(__xludf.DUMMYFUNCTION("INDIRECT(CONCATENATE(""'"",INDEX(SPLIT($D4,""G""),1),CHAR(CODE(""G"")+$E4*(COLUMN()-COLUMN($G4))),INDEX(SPLIT($D4,""G""),2)))"),1110172.0)</f>
        <v>1110172</v>
      </c>
      <c r="I4" s="537">
        <f>IFERROR(__xludf.DUMMYFUNCTION("INDIRECT(CONCATENATE(""'"",INDEX(SPLIT($D4,""G""),1),CHAR(CODE(""G"")+$E4*(COLUMN()-COLUMN($G4))),INDEX(SPLIT($D4,""G""),2)))"),1624898.0)</f>
        <v>1624898</v>
      </c>
      <c r="J4" s="537">
        <f>IFERROR(__xludf.DUMMYFUNCTION("INDIRECT(CONCATENATE(""'"",INDEX(SPLIT($D4,""G""),1),CHAR(CODE(""G"")+$E4*(COLUMN()-COLUMN($G4))),INDEX(SPLIT($D4,""G""),2)))"),2000437.0)</f>
        <v>2000437</v>
      </c>
      <c r="K4" s="538">
        <f>IFERROR(__xludf.DUMMYFUNCTION("INDIRECT(CONCATENATE(""'"",INDEX(SPLIT($D4,""G""),1),CHAR(CODE(""G"")+$E4*(COLUMN()-COLUMN($G4))),INDEX(SPLIT($D4,""G""),2)))"),2110214.0)</f>
        <v>2110214</v>
      </c>
      <c r="L4" s="567"/>
      <c r="M4" s="567"/>
      <c r="N4" s="567"/>
      <c r="O4" s="567"/>
      <c r="P4" s="567"/>
      <c r="Q4" s="567"/>
      <c r="R4" s="567"/>
      <c r="S4" s="567"/>
      <c r="T4" s="567"/>
      <c r="U4" s="567"/>
      <c r="V4" s="567"/>
      <c r="W4" s="567"/>
      <c r="X4" s="567"/>
      <c r="Y4" s="567"/>
      <c r="Z4" s="567"/>
      <c r="AA4" s="567"/>
      <c r="AB4" s="567"/>
      <c r="AC4" s="567"/>
      <c r="AD4" s="567"/>
      <c r="AE4" s="567"/>
      <c r="AF4" s="567"/>
      <c r="AG4" s="567"/>
      <c r="AH4" s="567"/>
      <c r="AI4" s="567"/>
      <c r="AJ4" s="567"/>
      <c r="AK4" s="567"/>
      <c r="AL4" s="567"/>
      <c r="AM4" s="567"/>
      <c r="AN4" s="567"/>
      <c r="AO4" s="567"/>
      <c r="AP4" s="567"/>
      <c r="AQ4" s="567"/>
      <c r="AR4" s="567"/>
      <c r="AS4" s="567"/>
      <c r="AT4" s="567"/>
      <c r="AU4" s="567"/>
      <c r="AV4" s="567"/>
      <c r="AW4" s="567"/>
      <c r="AX4" s="567"/>
      <c r="AY4" s="567"/>
      <c r="AZ4" s="567"/>
      <c r="BA4" s="567"/>
      <c r="BB4" s="567"/>
      <c r="BC4" s="567"/>
      <c r="BD4" s="567"/>
      <c r="BE4" s="567"/>
      <c r="BF4" s="567"/>
      <c r="BG4" s="567"/>
      <c r="BH4" s="567"/>
      <c r="BI4" s="567"/>
      <c r="BJ4" s="567"/>
      <c r="BK4" s="567"/>
      <c r="BL4" s="567"/>
      <c r="BM4" s="567"/>
      <c r="BN4" s="567"/>
      <c r="BO4" s="567"/>
      <c r="BP4" s="567"/>
      <c r="BQ4" s="567"/>
      <c r="BR4" s="567"/>
      <c r="BS4" s="567"/>
      <c r="BT4" s="567"/>
      <c r="BU4" s="567"/>
      <c r="BV4" s="567"/>
    </row>
    <row r="5">
      <c r="A5" s="457"/>
      <c r="B5" s="690" t="s">
        <v>732</v>
      </c>
      <c r="C5" s="16"/>
      <c r="D5" s="572" t="s">
        <v>652</v>
      </c>
      <c r="E5" s="444" t="s">
        <v>652</v>
      </c>
      <c r="F5" s="820"/>
      <c r="G5" s="537">
        <f t="shared" ref="G5:K5" si="1">G3+G4</f>
        <v>1178987</v>
      </c>
      <c r="H5" s="537">
        <f t="shared" si="1"/>
        <v>1602783</v>
      </c>
      <c r="I5" s="537">
        <f t="shared" si="1"/>
        <v>2460323</v>
      </c>
      <c r="J5" s="537">
        <f t="shared" si="1"/>
        <v>2932874</v>
      </c>
      <c r="K5" s="538">
        <f t="shared" si="1"/>
        <v>2904711</v>
      </c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  <c r="AB5" s="567"/>
      <c r="AC5" s="567"/>
      <c r="AD5" s="567"/>
      <c r="AE5" s="567"/>
      <c r="AF5" s="567"/>
      <c r="AG5" s="567"/>
      <c r="AH5" s="567"/>
      <c r="AI5" s="567"/>
      <c r="AJ5" s="567"/>
      <c r="AK5" s="567"/>
      <c r="AL5" s="567"/>
      <c r="AM5" s="567"/>
      <c r="AN5" s="567"/>
      <c r="AO5" s="567"/>
      <c r="AP5" s="567"/>
      <c r="AQ5" s="567"/>
      <c r="AR5" s="567"/>
      <c r="AS5" s="567"/>
      <c r="AT5" s="567"/>
      <c r="AU5" s="567"/>
      <c r="AV5" s="567"/>
      <c r="AW5" s="567"/>
      <c r="AX5" s="567"/>
      <c r="AY5" s="567"/>
      <c r="AZ5" s="567"/>
      <c r="BA5" s="567"/>
      <c r="BB5" s="567"/>
      <c r="BC5" s="567"/>
      <c r="BD5" s="567"/>
      <c r="BE5" s="567"/>
      <c r="BF5" s="567"/>
      <c r="BG5" s="567"/>
      <c r="BH5" s="567"/>
      <c r="BI5" s="567"/>
      <c r="BJ5" s="567"/>
      <c r="BK5" s="567"/>
      <c r="BL5" s="567"/>
      <c r="BM5" s="567"/>
      <c r="BN5" s="567"/>
      <c r="BO5" s="567"/>
      <c r="BP5" s="567"/>
      <c r="BQ5" s="567"/>
      <c r="BR5" s="567"/>
      <c r="BS5" s="567"/>
      <c r="BT5" s="567"/>
      <c r="BU5" s="567"/>
      <c r="BV5" s="567"/>
    </row>
    <row r="6">
      <c r="A6" s="459"/>
      <c r="B6" s="580" t="s">
        <v>733</v>
      </c>
      <c r="C6" s="692"/>
      <c r="D6" s="581" t="s">
        <v>870</v>
      </c>
      <c r="E6" s="444">
        <v>2.0</v>
      </c>
      <c r="F6" s="444">
        <v>1.0</v>
      </c>
      <c r="G6" s="537">
        <f>IFERROR(__xludf.DUMMYFUNCTION("INDIRECT(CONCATENATE(""'"",INDEX(SPLIT($D6,""G""),1),CHAR(CODE(""G"")+$E6*(COLUMN()-COLUMN($G6))),INDEX(SPLIT($D6,""G""),2)))"),47420.0)</f>
        <v>47420</v>
      </c>
      <c r="H6" s="537">
        <f>IFERROR(__xludf.DUMMYFUNCTION("INDIRECT(CONCATENATE(""'"",INDEX(SPLIT($D6,""G""),1),CHAR(CODE(""G"")+$E6*(COLUMN()-COLUMN($G6))),INDEX(SPLIT($D6,""G""),2)))"),59350.0)</f>
        <v>59350</v>
      </c>
      <c r="I6" s="537">
        <f>IFERROR(__xludf.DUMMYFUNCTION("INDIRECT(CONCATENATE(""'"",INDEX(SPLIT($D6,""G""),1),CHAR(CODE(""G"")+$E6*(COLUMN()-COLUMN($G6))),INDEX(SPLIT($D6,""G""),2)))"),22011.0)</f>
        <v>22011</v>
      </c>
      <c r="J6" s="537">
        <f>IFERROR(__xludf.DUMMYFUNCTION("INDIRECT(CONCATENATE(""'"",INDEX(SPLIT($D6,""G""),1),CHAR(CODE(""G"")+$E6*(COLUMN()-COLUMN($G6))),INDEX(SPLIT($D6,""G""),2)))"),1405522.0)</f>
        <v>1405522</v>
      </c>
      <c r="K6" s="538">
        <f>IFERROR(__xludf.DUMMYFUNCTION("INDIRECT(CONCATENATE(""'"",INDEX(SPLIT($D6,""G""),1),CHAR(CODE(""G"")+$E6*(COLUMN()-COLUMN($G6))),INDEX(SPLIT($D6,""G""),2)))"),191604.0)</f>
        <v>191604</v>
      </c>
      <c r="L6" s="567"/>
      <c r="M6" s="567"/>
      <c r="N6" s="567"/>
      <c r="O6" s="567"/>
      <c r="P6" s="567"/>
      <c r="Q6" s="567"/>
      <c r="R6" s="567"/>
      <c r="S6" s="567"/>
      <c r="T6" s="567"/>
      <c r="U6" s="567"/>
      <c r="V6" s="567"/>
      <c r="W6" s="567"/>
      <c r="X6" s="567"/>
      <c r="Y6" s="567"/>
      <c r="Z6" s="567"/>
      <c r="AA6" s="567"/>
      <c r="AB6" s="567"/>
      <c r="AC6" s="567"/>
      <c r="AD6" s="567"/>
      <c r="AE6" s="567"/>
      <c r="AF6" s="567"/>
      <c r="AG6" s="567"/>
      <c r="AH6" s="567"/>
      <c r="AI6" s="567"/>
      <c r="AJ6" s="567"/>
      <c r="AK6" s="567"/>
      <c r="AL6" s="567"/>
      <c r="AM6" s="567"/>
      <c r="AN6" s="567"/>
      <c r="AO6" s="567"/>
      <c r="AP6" s="567"/>
      <c r="AQ6" s="567"/>
      <c r="AR6" s="567"/>
      <c r="AS6" s="567"/>
      <c r="AT6" s="567"/>
      <c r="AU6" s="567"/>
      <c r="AV6" s="567"/>
      <c r="AW6" s="567"/>
      <c r="AX6" s="567"/>
      <c r="AY6" s="567"/>
      <c r="AZ6" s="567"/>
      <c r="BA6" s="567"/>
      <c r="BB6" s="567"/>
      <c r="BC6" s="567"/>
      <c r="BD6" s="567"/>
      <c r="BE6" s="567"/>
      <c r="BF6" s="567"/>
      <c r="BG6" s="567"/>
      <c r="BH6" s="567"/>
      <c r="BI6" s="567"/>
      <c r="BJ6" s="567"/>
      <c r="BK6" s="567"/>
      <c r="BL6" s="567"/>
      <c r="BM6" s="567"/>
      <c r="BN6" s="567"/>
      <c r="BO6" s="567"/>
      <c r="BP6" s="567"/>
      <c r="BQ6" s="567"/>
      <c r="BR6" s="567"/>
      <c r="BS6" s="567"/>
      <c r="BT6" s="567"/>
      <c r="BU6" s="567"/>
      <c r="BV6" s="567"/>
    </row>
    <row r="7">
      <c r="A7" s="693" t="s">
        <v>734</v>
      </c>
      <c r="B7" s="15"/>
      <c r="C7" s="16"/>
      <c r="D7" s="583" t="s">
        <v>652</v>
      </c>
      <c r="E7" s="584" t="s">
        <v>652</v>
      </c>
      <c r="F7" s="821"/>
      <c r="G7" s="696">
        <f t="shared" ref="G7:K7" si="2">G5-G6</f>
        <v>1131567</v>
      </c>
      <c r="H7" s="696">
        <f t="shared" si="2"/>
        <v>1543433</v>
      </c>
      <c r="I7" s="696">
        <f t="shared" si="2"/>
        <v>2438312</v>
      </c>
      <c r="J7" s="696">
        <f t="shared" si="2"/>
        <v>1527352</v>
      </c>
      <c r="K7" s="698">
        <f t="shared" si="2"/>
        <v>2713107</v>
      </c>
      <c r="L7" s="567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7"/>
      <c r="BD7" s="567"/>
      <c r="BE7" s="567"/>
      <c r="BF7" s="567"/>
      <c r="BG7" s="567"/>
      <c r="BH7" s="567"/>
      <c r="BI7" s="567"/>
      <c r="BJ7" s="567"/>
      <c r="BK7" s="567"/>
      <c r="BL7" s="567"/>
      <c r="BM7" s="567"/>
      <c r="BN7" s="567"/>
      <c r="BO7" s="567"/>
      <c r="BP7" s="567"/>
      <c r="BQ7" s="567"/>
      <c r="BR7" s="567"/>
      <c r="BS7" s="567"/>
      <c r="BT7" s="567"/>
      <c r="BU7" s="567"/>
      <c r="BV7" s="567"/>
    </row>
    <row r="8">
      <c r="A8" s="699" t="s">
        <v>735</v>
      </c>
      <c r="B8" s="580" t="s">
        <v>736</v>
      </c>
      <c r="C8" s="580" t="s">
        <v>742</v>
      </c>
      <c r="D8" s="581" t="s">
        <v>871</v>
      </c>
      <c r="E8" s="444">
        <v>2.0</v>
      </c>
      <c r="F8" s="444">
        <v>3.0</v>
      </c>
      <c r="G8" s="542">
        <f>IFERROR(__xludf.DUMMYFUNCTION("SUM(INDIRECT(CONCATENATE(""'"",INDEX(SPLIT($D8,""G""),1),CHAR(CODE(""G"")+$E8*(COLUMN()-COLUMN($G8))),INDEX(SPLIT($D8,""G""),2),"":"",CHAR(CODE(""G"")+$E8*(COLUMN()-COLUMN($G8))),INDEX(SPLIT($D8,""G""),2)+($F8-1))))"),900413.0)</f>
        <v>900413</v>
      </c>
      <c r="H8" s="542">
        <f>IFERROR(__xludf.DUMMYFUNCTION("SUM(INDIRECT(CONCATENATE(""'"",INDEX(SPLIT($D8,""G""),1),CHAR(CODE(""G"")+$E8*(COLUMN()-COLUMN($G8))),INDEX(SPLIT($D8,""G""),2),"":"",CHAR(CODE(""G"")+$E8*(COLUMN()-COLUMN($G8))),INDEX(SPLIT($D8,""G""),2)+($F8-1))))"),1299889.0)</f>
        <v>1299889</v>
      </c>
      <c r="I8" s="542">
        <f>IFERROR(__xludf.DUMMYFUNCTION("SUM(INDIRECT(CONCATENATE(""'"",INDEX(SPLIT($D8,""G""),1),CHAR(CODE(""G"")+$E8*(COLUMN()-COLUMN($G8))),INDEX(SPLIT($D8,""G""),2),"":"",CHAR(CODE(""G"")+$E8*(COLUMN()-COLUMN($G8))),INDEX(SPLIT($D8,""G""),2)+($F8-1))))"),2096686.0)</f>
        <v>2096686</v>
      </c>
      <c r="J8" s="542">
        <f>IFERROR(__xludf.DUMMYFUNCTION("SUM(INDIRECT(CONCATENATE(""'"",INDEX(SPLIT($D8,""G""),1),CHAR(CODE(""G"")+$E8*(COLUMN()-COLUMN($G8))),INDEX(SPLIT($D8,""G""),2),"":"",CHAR(CODE(""G"")+$E8*(COLUMN()-COLUMN($G8))),INDEX(SPLIT($D8,""G""),2)+($F8-1))))"),3634645.0)</f>
        <v>3634645</v>
      </c>
      <c r="K8" s="543">
        <f>IFERROR(__xludf.DUMMYFUNCTION("SUM(INDIRECT(CONCATENATE(""'"",INDEX(SPLIT($D8,""G""),1),CHAR(CODE(""G"")+$E8*(COLUMN()-COLUMN($G8))),INDEX(SPLIT($D8,""G""),2),"":"",CHAR(CODE(""G"")+$E8*(COLUMN()-COLUMN($G8))),INDEX(SPLIT($D8,""G""),2)+($F8-1))))"),3265437.0)</f>
        <v>3265437</v>
      </c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7"/>
      <c r="AE8" s="567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7"/>
      <c r="BK8" s="567"/>
      <c r="BL8" s="567"/>
      <c r="BM8" s="567"/>
      <c r="BN8" s="567"/>
      <c r="BO8" s="567"/>
      <c r="BP8" s="567"/>
      <c r="BQ8" s="567"/>
      <c r="BR8" s="567"/>
      <c r="BS8" s="567"/>
      <c r="BT8" s="567"/>
      <c r="BU8" s="567"/>
      <c r="BV8" s="567"/>
    </row>
    <row r="9">
      <c r="A9" s="457"/>
      <c r="B9" s="580" t="s">
        <v>736</v>
      </c>
      <c r="C9" s="580" t="s">
        <v>677</v>
      </c>
      <c r="D9" s="581" t="s">
        <v>872</v>
      </c>
      <c r="E9" s="444">
        <v>2.0</v>
      </c>
      <c r="F9" s="444">
        <v>1.0</v>
      </c>
      <c r="G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H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I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J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K9" s="543">
        <f>IFERROR(__xludf.DUMMYFUNCTION("SUM(INDIRECT(CONCATENATE(""'"",INDEX(SPLIT($D9,""G""),1),CHAR(CODE(""G"")+$E9*(COLUMN()-COLUMN($G9))),INDEX(SPLIT($D9,""G""),2),"":"",CHAR(CODE(""G"")+$E9*(COLUMN()-COLUMN($G9))),INDEX(SPLIT($D9,""G""),2)+($F9-1))))"),136713.0)</f>
        <v>136713</v>
      </c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567"/>
      <c r="AI9" s="567"/>
      <c r="AJ9" s="567"/>
      <c r="AK9" s="567"/>
      <c r="AL9" s="567"/>
      <c r="AM9" s="567"/>
      <c r="AN9" s="567"/>
      <c r="AO9" s="567"/>
      <c r="AP9" s="567"/>
      <c r="AQ9" s="567"/>
      <c r="AR9" s="567"/>
      <c r="AS9" s="567"/>
      <c r="AT9" s="567"/>
      <c r="AU9" s="567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567"/>
      <c r="BG9" s="567"/>
      <c r="BH9" s="567"/>
      <c r="BI9" s="567"/>
      <c r="BJ9" s="567"/>
      <c r="BK9" s="567"/>
      <c r="BL9" s="567"/>
      <c r="BM9" s="567"/>
      <c r="BN9" s="567"/>
      <c r="BO9" s="567"/>
      <c r="BP9" s="567"/>
      <c r="BQ9" s="567"/>
      <c r="BR9" s="567"/>
      <c r="BS9" s="567"/>
      <c r="BT9" s="567"/>
      <c r="BU9" s="567"/>
      <c r="BV9" s="567"/>
    </row>
    <row r="10">
      <c r="A10" s="457"/>
      <c r="B10" s="580" t="s">
        <v>736</v>
      </c>
      <c r="C10" s="580" t="s">
        <v>678</v>
      </c>
      <c r="D10" s="581" t="s">
        <v>873</v>
      </c>
      <c r="E10" s="444">
        <v>2.0</v>
      </c>
      <c r="F10" s="444">
        <v>2.0</v>
      </c>
      <c r="G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IFERROR(__xludf.DUMMYFUNCTION("SUM(INDIRECT(CONCATENATE(""'"",INDEX(SPLIT($D10,""G""),1),CHAR(CODE(""G"")+$E10*(COLUMN()-COLUMN($G10))),INDEX(SPLIT($D10,""G""),2),"":"",CHAR(CODE(""G"")+$E10*(COLUMN()-COLUMN($G10))),INDEX(SPLIT($D10,""G""),2)+($F10-1))))"),503874.0)</f>
        <v>503874</v>
      </c>
      <c r="H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IFERROR(__xludf.DUMMYFUNCTION("SUM(INDIRECT(CONCATENATE(""'"",INDEX(SPLIT($D10,""G""),1),CHAR(CODE(""G"")+$E10*(COLUMN()-COLUMN($G10))),INDEX(SPLIT($D10,""G""),2),"":"",CHAR(CODE(""G"")+$E10*(COLUMN()-COLUMN($G10))),INDEX(SPLIT($D10,""G""),2)+($F10-1))))"),454297.0)</f>
        <v>454297</v>
      </c>
      <c r="I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IFERROR(__xludf.DUMMYFUNCTION("SUM(INDIRECT(CONCATENATE(""'"",INDEX(SPLIT($D10,""G""),1),CHAR(CODE(""G"")+$E10*(COLUMN()-COLUMN($G10))),INDEX(SPLIT($D10,""G""),2),"":"",CHAR(CODE(""G"")+$E10*(COLUMN()-COLUMN($G10))),INDEX(SPLIT($D10,""G""),2)+($F10-1))))"),821004.0)</f>
        <v>821004</v>
      </c>
      <c r="J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IFERROR(__xludf.DUMMYFUNCTION("SUM(INDIRECT(CONCATENATE(""'"",INDEX(SPLIT($D10,""G""),1),CHAR(CODE(""G"")+$E10*(COLUMN()-COLUMN($G10))),INDEX(SPLIT($D10,""G""),2),"":"",CHAR(CODE(""G"")+$E10*(COLUMN()-COLUMN($G10))),INDEX(SPLIT($D10,""G""),2)+($F10-1))))"),1412313.0)</f>
        <v>1412313</v>
      </c>
      <c r="K10" s="543">
        <f>IFERROR(__xludf.DUMMYFUNCTION("SUM(INDIRECT(CONCATENATE(""'"",INDEX(SPLIT($D10,""G""),1),CHAR(CODE(""G"")+$E10*(COLUMN()-COLUMN($G10))),INDEX(SPLIT($D10,""G""),2),"":"",CHAR(CODE(""G"")+$E10*(COLUMN()-COLUMN($G10))),INDEX(SPLIT($D10,""G""),2)+($F10-1))))"),1666476.0)</f>
        <v>1666476</v>
      </c>
      <c r="L10" s="567"/>
      <c r="M10" s="567"/>
      <c r="N10" s="567"/>
      <c r="O10" s="567"/>
      <c r="P10" s="567"/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D10" s="567"/>
      <c r="AE10" s="567"/>
      <c r="AF10" s="567"/>
      <c r="AG10" s="567"/>
      <c r="AH10" s="567"/>
      <c r="AI10" s="567"/>
      <c r="AJ10" s="567"/>
      <c r="AK10" s="567"/>
      <c r="AL10" s="567"/>
      <c r="AM10" s="567"/>
      <c r="AN10" s="567"/>
      <c r="AO10" s="567"/>
      <c r="AP10" s="567"/>
      <c r="AQ10" s="567"/>
      <c r="AR10" s="567"/>
      <c r="AS10" s="567"/>
      <c r="AT10" s="567"/>
      <c r="AU10" s="567"/>
      <c r="AV10" s="567"/>
      <c r="AW10" s="567"/>
      <c r="AX10" s="567"/>
      <c r="AY10" s="567"/>
      <c r="AZ10" s="567"/>
      <c r="BA10" s="567"/>
      <c r="BB10" s="567"/>
      <c r="BC10" s="567"/>
      <c r="BD10" s="567"/>
      <c r="BE10" s="567"/>
      <c r="BF10" s="567"/>
      <c r="BG10" s="567"/>
      <c r="BH10" s="567"/>
      <c r="BI10" s="567"/>
      <c r="BJ10" s="567"/>
      <c r="BK10" s="567"/>
      <c r="BL10" s="567"/>
      <c r="BM10" s="567"/>
      <c r="BN10" s="567"/>
      <c r="BO10" s="567"/>
      <c r="BP10" s="567"/>
      <c r="BQ10" s="567"/>
      <c r="BR10" s="567"/>
      <c r="BS10" s="567"/>
      <c r="BT10" s="567"/>
      <c r="BU10" s="567"/>
      <c r="BV10" s="567"/>
    </row>
    <row r="11">
      <c r="A11" s="457"/>
      <c r="B11" s="580" t="s">
        <v>741</v>
      </c>
      <c r="C11" s="580" t="s">
        <v>742</v>
      </c>
      <c r="D11" s="572" t="s">
        <v>652</v>
      </c>
      <c r="E11" s="444" t="s">
        <v>652</v>
      </c>
      <c r="F11" s="444" t="s">
        <v>652</v>
      </c>
      <c r="G11" s="542">
        <v>0.0</v>
      </c>
      <c r="H11" s="542">
        <f t="shared" ref="H11:K11" si="3">G8</f>
        <v>900413</v>
      </c>
      <c r="I11" s="542">
        <f t="shared" si="3"/>
        <v>1299889</v>
      </c>
      <c r="J11" s="542">
        <f t="shared" si="3"/>
        <v>2096686</v>
      </c>
      <c r="K11" s="543">
        <f t="shared" si="3"/>
        <v>3634645</v>
      </c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  <c r="AY11" s="567"/>
      <c r="AZ11" s="567"/>
      <c r="BA11" s="567"/>
      <c r="BB11" s="567"/>
      <c r="BC11" s="567"/>
      <c r="BD11" s="567"/>
      <c r="BE11" s="567"/>
      <c r="BF11" s="567"/>
      <c r="BG11" s="567"/>
      <c r="BH11" s="567"/>
      <c r="BI11" s="567"/>
      <c r="BJ11" s="567"/>
      <c r="BK11" s="567"/>
      <c r="BL11" s="567"/>
      <c r="BM11" s="567"/>
      <c r="BN11" s="567"/>
      <c r="BO11" s="567"/>
      <c r="BP11" s="567"/>
      <c r="BQ11" s="567"/>
      <c r="BR11" s="567"/>
      <c r="BS11" s="567"/>
      <c r="BT11" s="567"/>
      <c r="BU11" s="567"/>
      <c r="BV11" s="567"/>
    </row>
    <row r="12">
      <c r="A12" s="457"/>
      <c r="B12" s="580" t="s">
        <v>741</v>
      </c>
      <c r="C12" s="580" t="s">
        <v>677</v>
      </c>
      <c r="D12" s="572" t="s">
        <v>652</v>
      </c>
      <c r="E12" s="444" t="s">
        <v>652</v>
      </c>
      <c r="F12" s="444" t="s">
        <v>652</v>
      </c>
      <c r="G12" s="542">
        <v>0.0</v>
      </c>
      <c r="H12" s="542">
        <f t="shared" ref="H12:K12" si="4">G9</f>
        <v>0</v>
      </c>
      <c r="I12" s="542">
        <f t="shared" si="4"/>
        <v>0</v>
      </c>
      <c r="J12" s="542">
        <f t="shared" si="4"/>
        <v>0</v>
      </c>
      <c r="K12" s="543">
        <f t="shared" si="4"/>
        <v>0</v>
      </c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567"/>
      <c r="BJ12" s="567"/>
      <c r="BK12" s="567"/>
      <c r="BL12" s="567"/>
      <c r="BM12" s="567"/>
      <c r="BN12" s="567"/>
      <c r="BO12" s="567"/>
      <c r="BP12" s="567"/>
      <c r="BQ12" s="567"/>
      <c r="BR12" s="567"/>
      <c r="BS12" s="567"/>
      <c r="BT12" s="567"/>
      <c r="BU12" s="567"/>
      <c r="BV12" s="567"/>
    </row>
    <row r="13">
      <c r="A13" s="457"/>
      <c r="B13" s="580" t="s">
        <v>741</v>
      </c>
      <c r="C13" s="580" t="s">
        <v>678</v>
      </c>
      <c r="D13" s="572" t="s">
        <v>652</v>
      </c>
      <c r="E13" s="444" t="s">
        <v>652</v>
      </c>
      <c r="F13" s="444" t="s">
        <v>652</v>
      </c>
      <c r="G13" s="542">
        <v>0.0</v>
      </c>
      <c r="H13" s="542">
        <f t="shared" ref="H13:K13" si="5">G10</f>
        <v>503874</v>
      </c>
      <c r="I13" s="542">
        <f t="shared" si="5"/>
        <v>454297</v>
      </c>
      <c r="J13" s="542">
        <f t="shared" si="5"/>
        <v>821004</v>
      </c>
      <c r="K13" s="543">
        <f t="shared" si="5"/>
        <v>1412313</v>
      </c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67"/>
      <c r="AG13" s="567"/>
      <c r="AH13" s="567"/>
      <c r="AI13" s="567"/>
      <c r="AJ13" s="567"/>
      <c r="AK13" s="567"/>
      <c r="AL13" s="567"/>
      <c r="AM13" s="567"/>
      <c r="AN13" s="567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567"/>
      <c r="BJ13" s="567"/>
      <c r="BK13" s="567"/>
      <c r="BL13" s="567"/>
      <c r="BM13" s="567"/>
      <c r="BN13" s="567"/>
      <c r="BO13" s="567"/>
      <c r="BP13" s="567"/>
      <c r="BQ13" s="567"/>
      <c r="BR13" s="567"/>
      <c r="BS13" s="567"/>
      <c r="BT13" s="567"/>
      <c r="BU13" s="567"/>
      <c r="BV13" s="567"/>
    </row>
    <row r="14">
      <c r="A14" s="457"/>
      <c r="B14" s="580" t="s">
        <v>725</v>
      </c>
      <c r="C14" s="580" t="s">
        <v>743</v>
      </c>
      <c r="D14" s="581" t="s">
        <v>874</v>
      </c>
      <c r="E14" s="444">
        <v>2.0</v>
      </c>
      <c r="F14" s="444">
        <v>1.0</v>
      </c>
      <c r="G14" s="537">
        <f>IFERROR(__xludf.DUMMYFUNCTION("INDIRECT(CONCATENATE(""'"",INDEX(SPLIT($D14,""G""),1),CHAR(CODE(""G"")+$E14*(COLUMN()-COLUMN($G14))),INDEX(SPLIT($D14,""G""),2)))"),384335.0)</f>
        <v>384335</v>
      </c>
      <c r="H14" s="537">
        <f>IFERROR(__xludf.DUMMYFUNCTION("INDIRECT(CONCATENATE(""'"",INDEX(SPLIT($D14,""G""),1),CHAR(CODE(""G"")+$E14*(COLUMN()-COLUMN($G14))),INDEX(SPLIT($D14,""G""),2)))"),551961.0)</f>
        <v>551961</v>
      </c>
      <c r="I14" s="537">
        <f>IFERROR(__xludf.DUMMYFUNCTION("INDIRECT(CONCATENATE(""'"",INDEX(SPLIT($D14,""G""),1),CHAR(CODE(""G"")+$E14*(COLUMN()-COLUMN($G14))),INDEX(SPLIT($D14,""G""),2)))"),857436.0)</f>
        <v>857436</v>
      </c>
      <c r="J14" s="537">
        <f>IFERROR(__xludf.DUMMYFUNCTION("INDIRECT(CONCATENATE(""'"",INDEX(SPLIT($D14,""G""),1),CHAR(CODE(""G"")+$E14*(COLUMN()-COLUMN($G14))),INDEX(SPLIT($D14,""G""),2)))"),2347871.3249)</f>
        <v>2347871.325</v>
      </c>
      <c r="K14" s="538">
        <f>IFERROR(__xludf.DUMMYFUNCTION("INDIRECT(CONCATENATE(""'"",INDEX(SPLIT($D14,""G""),1),CHAR(CODE(""G"")+$E14*(COLUMN()-COLUMN($G14))),INDEX(SPLIT($D14,""G""),2)))"),993730.5583)</f>
        <v>993730.5583</v>
      </c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  <c r="AB14" s="567"/>
      <c r="AC14" s="567"/>
      <c r="AD14" s="567"/>
      <c r="AE14" s="567"/>
      <c r="AF14" s="567"/>
      <c r="AG14" s="567"/>
      <c r="AH14" s="567"/>
      <c r="AI14" s="567"/>
      <c r="AJ14" s="567"/>
      <c r="AK14" s="567"/>
      <c r="AL14" s="567"/>
      <c r="AM14" s="567"/>
      <c r="AN14" s="567"/>
      <c r="AO14" s="567"/>
      <c r="AP14" s="567"/>
      <c r="AQ14" s="567"/>
      <c r="AR14" s="567"/>
      <c r="AS14" s="567"/>
      <c r="AT14" s="567"/>
      <c r="AU14" s="567"/>
      <c r="AV14" s="567"/>
      <c r="AW14" s="567"/>
      <c r="AX14" s="567"/>
      <c r="AY14" s="567"/>
      <c r="AZ14" s="567"/>
      <c r="BA14" s="567"/>
      <c r="BB14" s="567"/>
      <c r="BC14" s="567"/>
      <c r="BD14" s="567"/>
      <c r="BE14" s="567"/>
      <c r="BF14" s="567"/>
      <c r="BG14" s="567"/>
      <c r="BH14" s="567"/>
      <c r="BI14" s="567"/>
      <c r="BJ14" s="567"/>
      <c r="BK14" s="567"/>
      <c r="BL14" s="567"/>
      <c r="BM14" s="567"/>
      <c r="BN14" s="567"/>
      <c r="BO14" s="567"/>
      <c r="BP14" s="567"/>
      <c r="BQ14" s="567"/>
      <c r="BR14" s="567"/>
      <c r="BS14" s="567"/>
      <c r="BT14" s="567"/>
      <c r="BU14" s="567"/>
      <c r="BV14" s="567"/>
    </row>
    <row r="15">
      <c r="A15" s="457"/>
      <c r="B15" s="580" t="s">
        <v>744</v>
      </c>
      <c r="C15" s="580" t="s">
        <v>745</v>
      </c>
      <c r="D15" s="581" t="s">
        <v>875</v>
      </c>
      <c r="E15" s="444">
        <v>12.0</v>
      </c>
      <c r="F15" s="444">
        <v>12.0</v>
      </c>
      <c r="G15" s="574">
        <f>IFERROR(__xludf.DUMMYFUNCTION("SUM(INDIRECT(CONCATENATE(""'"",INDEX(SPLIT($D15,""C""),1),""C"",INDEX(SPLIT($D15,""C""),2)+$E15*(COLUMN()-COLUMN($G15)),"":"",""C"",INDEX(SPLIT($D15,""C""),2)+$E15*(COLUMN()-COLUMN($G15))+$F15-1)))"),0.0)</f>
        <v>0</v>
      </c>
      <c r="H15" s="574">
        <f>IFERROR(__xludf.DUMMYFUNCTION("SUM(INDIRECT(CONCATENATE(""'"",INDEX(SPLIT($D15,""C""),1),""C"",INDEX(SPLIT($D15,""C""),2)+$E15*(COLUMN()-COLUMN($G15)),"":"",""C"",INDEX(SPLIT($D15,""C""),2)+$E15*(COLUMN()-COLUMN($G15))+$F15-1)))"),0.0)</f>
        <v>0</v>
      </c>
      <c r="I15" s="574">
        <f>IFERROR(__xludf.DUMMYFUNCTION("SUM(INDIRECT(CONCATENATE(""'"",INDEX(SPLIT($D15,""C""),1),""C"",INDEX(SPLIT($D15,""C""),2)+$E15*(COLUMN()-COLUMN($G15)),"":"",""C"",INDEX(SPLIT($D15,""C""),2)+$E15*(COLUMN()-COLUMN($G15))+$F15-1)))"),0.0)</f>
        <v>0</v>
      </c>
      <c r="J15" s="574">
        <f>IFERROR(__xludf.DUMMYFUNCTION("SUM(INDIRECT(CONCATENATE(""'"",INDEX(SPLIT($D15,""C""),1),""C"",INDEX(SPLIT($D15,""C""),2)+$E15*(COLUMN()-COLUMN($G15)),"":"",""C"",INDEX(SPLIT($D15,""C""),2)+$E15*(COLUMN()-COLUMN($G15))+$F15-1)))"),1580000.0)</f>
        <v>1580000</v>
      </c>
      <c r="K15" s="575">
        <f>IFERROR(__xludf.DUMMYFUNCTION("SUM(INDIRECT(CONCATENATE(""'"",INDEX(SPLIT($D15,""C""),1),""C"",INDEX(SPLIT($D15,""C""),2)+$E15*(COLUMN()-COLUMN($G15)),"":"",""C"",INDEX(SPLIT($D15,""C""),2)+$E15*(COLUMN()-COLUMN($G15))+$F15-1)))"),300000.0)</f>
        <v>300000</v>
      </c>
      <c r="L15" s="567"/>
      <c r="M15" s="567"/>
      <c r="N15" s="567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  <c r="AB15" s="567"/>
      <c r="AC15" s="567"/>
      <c r="AD15" s="567"/>
      <c r="AE15" s="567"/>
      <c r="AF15" s="567"/>
      <c r="AG15" s="567"/>
      <c r="AH15" s="567"/>
      <c r="AI15" s="567"/>
      <c r="AJ15" s="567"/>
      <c r="AK15" s="567"/>
      <c r="AL15" s="567"/>
      <c r="AM15" s="567"/>
      <c r="AN15" s="567"/>
      <c r="AO15" s="567"/>
      <c r="AP15" s="567"/>
      <c r="AQ15" s="567"/>
      <c r="AR15" s="567"/>
      <c r="AS15" s="567"/>
      <c r="AT15" s="567"/>
      <c r="AU15" s="567"/>
      <c r="AV15" s="567"/>
      <c r="AW15" s="567"/>
      <c r="AX15" s="567"/>
      <c r="AY15" s="567"/>
      <c r="AZ15" s="567"/>
      <c r="BA15" s="567"/>
      <c r="BB15" s="567"/>
      <c r="BC15" s="567"/>
      <c r="BD15" s="567"/>
      <c r="BE15" s="567"/>
      <c r="BF15" s="567"/>
      <c r="BG15" s="567"/>
      <c r="BH15" s="567"/>
      <c r="BI15" s="567"/>
      <c r="BJ15" s="567"/>
      <c r="BK15" s="567"/>
      <c r="BL15" s="567"/>
      <c r="BM15" s="567"/>
      <c r="BN15" s="567"/>
      <c r="BO15" s="567"/>
      <c r="BP15" s="567"/>
      <c r="BQ15" s="567"/>
      <c r="BR15" s="567"/>
      <c r="BS15" s="567"/>
      <c r="BT15" s="567"/>
      <c r="BU15" s="567"/>
      <c r="BV15" s="567"/>
    </row>
    <row r="16">
      <c r="A16" s="457"/>
      <c r="B16" s="580" t="s">
        <v>747</v>
      </c>
      <c r="C16" s="580" t="s">
        <v>629</v>
      </c>
      <c r="D16" s="581" t="s">
        <v>876</v>
      </c>
      <c r="E16" s="444">
        <v>12.0</v>
      </c>
      <c r="F16" s="444">
        <v>12.0</v>
      </c>
      <c r="G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H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I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J16" s="574">
        <f>IFERROR(__xludf.DUMMYFUNCTION("SUM(INDIRECT(CONCATENATE(""'"",INDEX(SPLIT($D16,""F""),1),""F"",INDEX(SPLIT($D16,""F""),2)+$E16*(COLUMN()-COLUMN($G16)),"":"",""F"",INDEX(SPLIT($D16,""F""),2)+$E16*(COLUMN()-COLUMN($G16))+$F16-1)))"),777360.0)</f>
        <v>777360</v>
      </c>
      <c r="K16" s="575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  <c r="AB16" s="567"/>
      <c r="AC16" s="567"/>
      <c r="AD16" s="567"/>
      <c r="AE16" s="567"/>
      <c r="AF16" s="567"/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67"/>
      <c r="AR16" s="567"/>
      <c r="AS16" s="567"/>
      <c r="AT16" s="567"/>
      <c r="AU16" s="567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567"/>
      <c r="BG16" s="567"/>
      <c r="BH16" s="567"/>
      <c r="BI16" s="567"/>
      <c r="BJ16" s="567"/>
      <c r="BK16" s="567"/>
      <c r="BL16" s="567"/>
      <c r="BM16" s="567"/>
      <c r="BN16" s="567"/>
      <c r="BO16" s="567"/>
      <c r="BP16" s="567"/>
      <c r="BQ16" s="567"/>
      <c r="BR16" s="567"/>
      <c r="BS16" s="567"/>
      <c r="BT16" s="567"/>
      <c r="BU16" s="567"/>
      <c r="BV16" s="567"/>
    </row>
    <row r="17">
      <c r="A17" s="459"/>
      <c r="B17" s="580" t="s">
        <v>749</v>
      </c>
      <c r="C17" s="580" t="s">
        <v>633</v>
      </c>
      <c r="D17" s="581" t="s">
        <v>877</v>
      </c>
      <c r="E17" s="444">
        <v>12.0</v>
      </c>
      <c r="F17" s="444">
        <v>12.0</v>
      </c>
      <c r="G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H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I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J17" s="574">
        <f>IFERROR(__xludf.DUMMYFUNCTION("SUM(INDIRECT(CONCATENATE(""'"",INDEX(SPLIT($D17,""I""),1),""I"",INDEX(SPLIT($D17,""I""),2)+$E17*(COLUMN()-COLUMN($G17)),"":"",""I"",INDEX(SPLIT($D17,""I""),2)+$E17*(COLUMN()-COLUMN($G17))+$F17-1)))"),24393.0)</f>
        <v>24393</v>
      </c>
      <c r="K17" s="575">
        <f>IFERROR(__xludf.DUMMYFUNCTION("SUM(INDIRECT(CONCATENATE(""'"",INDEX(SPLIT($D17,""I""),1),""I"",INDEX(SPLIT($D17,""I""),2)+$E17*(COLUMN()-COLUMN($G17)),"":"",""I"",INDEX(SPLIT($D17,""I""),2)+$E17*(COLUMN()-COLUMN($G17))+$F17-1)))"),46508.0)</f>
        <v>46508</v>
      </c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  <c r="AB17" s="567"/>
      <c r="AC17" s="567"/>
      <c r="AD17" s="567"/>
      <c r="AE17" s="567"/>
      <c r="AF17" s="567"/>
      <c r="AG17" s="567"/>
      <c r="AH17" s="567"/>
      <c r="AI17" s="567"/>
      <c r="AJ17" s="567"/>
      <c r="AK17" s="567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7"/>
      <c r="AZ17" s="567"/>
      <c r="BA17" s="567"/>
      <c r="BB17" s="567"/>
      <c r="BC17" s="567"/>
      <c r="BD17" s="567"/>
      <c r="BE17" s="567"/>
      <c r="BF17" s="567"/>
      <c r="BG17" s="567"/>
      <c r="BH17" s="567"/>
      <c r="BI17" s="567"/>
      <c r="BJ17" s="567"/>
      <c r="BK17" s="567"/>
      <c r="BL17" s="567"/>
      <c r="BM17" s="567"/>
      <c r="BN17" s="567"/>
      <c r="BO17" s="567"/>
      <c r="BP17" s="567"/>
      <c r="BQ17" s="567"/>
      <c r="BR17" s="567"/>
      <c r="BS17" s="567"/>
      <c r="BT17" s="567"/>
      <c r="BU17" s="567"/>
      <c r="BV17" s="567"/>
    </row>
    <row r="18">
      <c r="A18" s="693" t="s">
        <v>751</v>
      </c>
      <c r="B18" s="15"/>
      <c r="C18" s="16"/>
      <c r="D18" s="583" t="s">
        <v>652</v>
      </c>
      <c r="E18" s="584" t="s">
        <v>652</v>
      </c>
      <c r="F18" s="584" t="s">
        <v>652</v>
      </c>
      <c r="G18" s="696">
        <f t="shared" ref="G18:I18" si="6">G11-G8+G13-G10-G15-G16-G17</f>
        <v>-1404287</v>
      </c>
      <c r="H18" s="696">
        <f t="shared" si="6"/>
        <v>-349899</v>
      </c>
      <c r="I18" s="696">
        <f t="shared" si="6"/>
        <v>-1163504</v>
      </c>
      <c r="J18" s="696">
        <f t="shared" ref="J18:K18" si="7">J11+J12+J13+J14-J8-J9-J10-J15-J16-J17</f>
        <v>-2163149.675</v>
      </c>
      <c r="K18" s="698">
        <f t="shared" si="7"/>
        <v>625554.5583</v>
      </c>
      <c r="L18" s="567"/>
      <c r="M18" s="567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  <c r="AB18" s="567"/>
      <c r="AC18" s="567"/>
      <c r="AD18" s="567"/>
      <c r="AE18" s="567"/>
      <c r="AF18" s="567"/>
      <c r="AG18" s="567"/>
      <c r="AH18" s="567"/>
      <c r="AI18" s="567"/>
      <c r="AJ18" s="567"/>
      <c r="AK18" s="567"/>
      <c r="AL18" s="567"/>
      <c r="AM18" s="567"/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567"/>
      <c r="BG18" s="567"/>
      <c r="BH18" s="567"/>
      <c r="BI18" s="567"/>
      <c r="BJ18" s="567"/>
      <c r="BK18" s="567"/>
      <c r="BL18" s="567"/>
      <c r="BM18" s="567"/>
      <c r="BN18" s="567"/>
      <c r="BO18" s="567"/>
      <c r="BP18" s="567"/>
      <c r="BQ18" s="567"/>
      <c r="BR18" s="567"/>
      <c r="BS18" s="567"/>
      <c r="BT18" s="567"/>
      <c r="BU18" s="567"/>
      <c r="BV18" s="567"/>
    </row>
    <row r="19">
      <c r="A19" s="699" t="s">
        <v>752</v>
      </c>
      <c r="B19" s="580" t="s">
        <v>753</v>
      </c>
      <c r="C19" s="580" t="s">
        <v>558</v>
      </c>
      <c r="D19" s="572" t="s">
        <v>652</v>
      </c>
      <c r="E19" s="444" t="s">
        <v>652</v>
      </c>
      <c r="F19" s="444" t="s">
        <v>652</v>
      </c>
      <c r="G19" s="542">
        <v>0.0</v>
      </c>
      <c r="H19" s="542">
        <v>0.0</v>
      </c>
      <c r="I19" s="542">
        <v>0.0</v>
      </c>
      <c r="J19" s="822">
        <v>500000.0</v>
      </c>
      <c r="K19" s="543">
        <v>0.0</v>
      </c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  <c r="AB19" s="567"/>
      <c r="AC19" s="567"/>
      <c r="AD19" s="567"/>
      <c r="AE19" s="567"/>
      <c r="AF19" s="567"/>
      <c r="AG19" s="567"/>
      <c r="AH19" s="567"/>
      <c r="AI19" s="567"/>
      <c r="AJ19" s="567"/>
      <c r="AK19" s="567"/>
      <c r="AL19" s="567"/>
      <c r="AM19" s="567"/>
      <c r="AN19" s="567"/>
      <c r="AO19" s="567"/>
      <c r="AP19" s="567"/>
      <c r="AQ19" s="567"/>
      <c r="AR19" s="567"/>
      <c r="AS19" s="567"/>
      <c r="AT19" s="567"/>
      <c r="AU19" s="567"/>
      <c r="AV19" s="567"/>
      <c r="AW19" s="567"/>
      <c r="AX19" s="567"/>
      <c r="AY19" s="567"/>
      <c r="AZ19" s="567"/>
      <c r="BA19" s="567"/>
      <c r="BB19" s="567"/>
      <c r="BC19" s="567"/>
      <c r="BD19" s="567"/>
      <c r="BE19" s="567"/>
      <c r="BF19" s="567"/>
      <c r="BG19" s="567"/>
      <c r="BH19" s="567"/>
      <c r="BI19" s="567"/>
      <c r="BJ19" s="567"/>
      <c r="BK19" s="567"/>
      <c r="BL19" s="567"/>
      <c r="BM19" s="567"/>
      <c r="BN19" s="567"/>
      <c r="BO19" s="567"/>
      <c r="BP19" s="567"/>
      <c r="BQ19" s="567"/>
      <c r="BR19" s="567"/>
      <c r="BS19" s="567"/>
      <c r="BT19" s="567"/>
      <c r="BU19" s="567"/>
      <c r="BV19" s="567"/>
    </row>
    <row r="20">
      <c r="A20" s="459"/>
      <c r="B20" s="580" t="s">
        <v>754</v>
      </c>
      <c r="C20" s="580" t="s">
        <v>558</v>
      </c>
      <c r="D20" s="581" t="s">
        <v>755</v>
      </c>
      <c r="E20" s="444">
        <v>12.0</v>
      </c>
      <c r="F20" s="444">
        <v>12.0</v>
      </c>
      <c r="G20" s="542">
        <v>0.0</v>
      </c>
      <c r="H20" s="542">
        <v>0.0</v>
      </c>
      <c r="I20" s="542">
        <v>0.0</v>
      </c>
      <c r="J20" s="585">
        <f>IFERROR(__xludf.DUMMYFUNCTION("SUM(INDIRECT(CONCATENATE(""'"",INDEX(SPLIT($D20,""F""),1),""F"",INDEX(SPLIT($D20,""F""),2)+$E20*(COLUMN()-COLUMN($J20)),"":"",""F"",INDEX(SPLIT($D20,""F""),2)+$E20*(COLUMN()-COLUMN($J20))+$F20-1)))"),61380.135200000004)</f>
        <v>61380.1352</v>
      </c>
      <c r="K20" s="586">
        <f>IFERROR(__xludf.DUMMYFUNCTION("SUM(INDIRECT(CONCATENATE(""'"",INDEX(SPLIT($D20,""F""),1),""F"",INDEX(SPLIT($D20,""F""),2)+$E20*(COLUMN()-COLUMN($J20)),"":"",""F"",INDEX(SPLIT($D20,""F""),2)+$E20*(COLUMN()-COLUMN($J20))+$F20-1)))"),59382.83550000001)</f>
        <v>59382.8355</v>
      </c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  <c r="AB20" s="567"/>
      <c r="AC20" s="567"/>
      <c r="AD20" s="567"/>
      <c r="AE20" s="567"/>
      <c r="AF20" s="567"/>
      <c r="AG20" s="567"/>
      <c r="AH20" s="567"/>
      <c r="AI20" s="567"/>
      <c r="AJ20" s="567"/>
      <c r="AK20" s="567"/>
      <c r="AL20" s="567"/>
      <c r="AM20" s="567"/>
      <c r="AN20" s="567"/>
      <c r="AO20" s="567"/>
      <c r="AP20" s="567"/>
      <c r="AQ20" s="567"/>
      <c r="AR20" s="567"/>
      <c r="AS20" s="567"/>
      <c r="AT20" s="567"/>
      <c r="AU20" s="567"/>
      <c r="AV20" s="567"/>
      <c r="AW20" s="567"/>
      <c r="AX20" s="567"/>
      <c r="AY20" s="567"/>
      <c r="AZ20" s="567"/>
      <c r="BA20" s="567"/>
      <c r="BB20" s="567"/>
      <c r="BC20" s="567"/>
      <c r="BD20" s="567"/>
      <c r="BE20" s="567"/>
      <c r="BF20" s="567"/>
      <c r="BG20" s="567"/>
      <c r="BH20" s="567"/>
      <c r="BI20" s="567"/>
      <c r="BJ20" s="567"/>
      <c r="BK20" s="567"/>
      <c r="BL20" s="567"/>
      <c r="BM20" s="567"/>
      <c r="BN20" s="567"/>
      <c r="BO20" s="567"/>
      <c r="BP20" s="567"/>
      <c r="BQ20" s="567"/>
      <c r="BR20" s="567"/>
      <c r="BS20" s="567"/>
      <c r="BT20" s="567"/>
      <c r="BU20" s="567"/>
      <c r="BV20" s="567"/>
    </row>
    <row r="21">
      <c r="A21" s="693" t="s">
        <v>756</v>
      </c>
      <c r="B21" s="15"/>
      <c r="C21" s="16"/>
      <c r="D21" s="583" t="s">
        <v>652</v>
      </c>
      <c r="E21" s="584" t="s">
        <v>652</v>
      </c>
      <c r="F21" s="584" t="s">
        <v>652</v>
      </c>
      <c r="G21" s="589">
        <f t="shared" ref="G21:K21" si="8">G19-G20</f>
        <v>0</v>
      </c>
      <c r="H21" s="589">
        <f t="shared" si="8"/>
        <v>0</v>
      </c>
      <c r="I21" s="589">
        <f t="shared" si="8"/>
        <v>0</v>
      </c>
      <c r="J21" s="589">
        <f t="shared" si="8"/>
        <v>438619.8648</v>
      </c>
      <c r="K21" s="590">
        <f t="shared" si="8"/>
        <v>-59382.8355</v>
      </c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7"/>
      <c r="AK21" s="567"/>
      <c r="AL21" s="567"/>
      <c r="AM21" s="567"/>
      <c r="AN21" s="567"/>
      <c r="AO21" s="567"/>
      <c r="AP21" s="567"/>
      <c r="AQ21" s="567"/>
      <c r="AR21" s="567"/>
      <c r="AS21" s="567"/>
      <c r="AT21" s="567"/>
      <c r="AU21" s="567"/>
      <c r="AV21" s="567"/>
      <c r="AW21" s="567"/>
      <c r="AX21" s="567"/>
      <c r="AY21" s="567"/>
      <c r="AZ21" s="567"/>
      <c r="BA21" s="567"/>
      <c r="BB21" s="567"/>
      <c r="BC21" s="567"/>
      <c r="BD21" s="567"/>
      <c r="BE21" s="567"/>
      <c r="BF21" s="567"/>
      <c r="BG21" s="567"/>
      <c r="BH21" s="567"/>
      <c r="BI21" s="567"/>
      <c r="BJ21" s="567"/>
      <c r="BK21" s="567"/>
      <c r="BL21" s="567"/>
      <c r="BM21" s="567"/>
      <c r="BN21" s="567"/>
      <c r="BO21" s="567"/>
      <c r="BP21" s="567"/>
      <c r="BQ21" s="567"/>
      <c r="BR21" s="567"/>
      <c r="BS21" s="567"/>
      <c r="BT21" s="567"/>
      <c r="BU21" s="567"/>
      <c r="BV21" s="567"/>
    </row>
    <row r="22">
      <c r="A22" s="693" t="s">
        <v>757</v>
      </c>
      <c r="B22" s="15"/>
      <c r="C22" s="16"/>
      <c r="D22" s="572" t="s">
        <v>652</v>
      </c>
      <c r="E22" s="444" t="s">
        <v>652</v>
      </c>
      <c r="F22" s="444" t="s">
        <v>652</v>
      </c>
      <c r="G22" s="696">
        <f t="shared" ref="G22:K22" si="9">G7+G18+G21</f>
        <v>-272720</v>
      </c>
      <c r="H22" s="696">
        <f t="shared" si="9"/>
        <v>1193534</v>
      </c>
      <c r="I22" s="696">
        <f t="shared" si="9"/>
        <v>1274808</v>
      </c>
      <c r="J22" s="696">
        <f t="shared" si="9"/>
        <v>-197177.8103</v>
      </c>
      <c r="K22" s="698">
        <f t="shared" si="9"/>
        <v>3279278.723</v>
      </c>
      <c r="L22" s="708"/>
      <c r="M22" s="708"/>
      <c r="N22" s="708"/>
      <c r="O22" s="708"/>
      <c r="P22" s="708"/>
      <c r="Q22" s="708"/>
      <c r="R22" s="708"/>
      <c r="S22" s="708"/>
      <c r="T22" s="708"/>
      <c r="U22" s="708"/>
      <c r="V22" s="708"/>
      <c r="W22" s="708"/>
      <c r="X22" s="708"/>
      <c r="Y22" s="708"/>
      <c r="Z22" s="708"/>
      <c r="AA22" s="708"/>
      <c r="AB22" s="708"/>
      <c r="AC22" s="708"/>
      <c r="AD22" s="708"/>
      <c r="AE22" s="708"/>
      <c r="AF22" s="708"/>
      <c r="AG22" s="708"/>
      <c r="AH22" s="708"/>
      <c r="AI22" s="708"/>
      <c r="AJ22" s="708"/>
      <c r="AK22" s="708"/>
      <c r="AL22" s="708"/>
      <c r="AM22" s="708"/>
      <c r="AN22" s="708"/>
      <c r="AO22" s="708"/>
      <c r="AP22" s="708"/>
      <c r="AQ22" s="708"/>
      <c r="AR22" s="708"/>
      <c r="AS22" s="708"/>
      <c r="AT22" s="708"/>
      <c r="AU22" s="708"/>
      <c r="AV22" s="708"/>
      <c r="AW22" s="708"/>
      <c r="AX22" s="708"/>
      <c r="AY22" s="708"/>
      <c r="AZ22" s="708"/>
      <c r="BA22" s="708"/>
      <c r="BB22" s="708"/>
      <c r="BC22" s="708"/>
      <c r="BD22" s="708"/>
      <c r="BE22" s="708"/>
      <c r="BF22" s="708"/>
      <c r="BG22" s="708"/>
      <c r="BH22" s="708"/>
      <c r="BI22" s="708"/>
      <c r="BJ22" s="708"/>
      <c r="BK22" s="708"/>
      <c r="BL22" s="708"/>
      <c r="BM22" s="708"/>
      <c r="BN22" s="708"/>
      <c r="BO22" s="708"/>
      <c r="BP22" s="708"/>
      <c r="BQ22" s="708"/>
      <c r="BR22" s="708"/>
      <c r="BS22" s="708"/>
      <c r="BT22" s="708"/>
      <c r="BU22" s="708"/>
      <c r="BV22" s="708"/>
    </row>
    <row r="23">
      <c r="A23" s="693" t="s">
        <v>805</v>
      </c>
      <c r="B23" s="15"/>
      <c r="C23" s="16"/>
      <c r="D23" s="572" t="s">
        <v>652</v>
      </c>
      <c r="E23" s="444" t="s">
        <v>652</v>
      </c>
      <c r="F23" s="444" t="s">
        <v>652</v>
      </c>
      <c r="G23" s="542">
        <v>0.0</v>
      </c>
      <c r="H23" s="537">
        <f t="shared" ref="H23:K23" si="10">G24</f>
        <v>861879</v>
      </c>
      <c r="I23" s="537">
        <f t="shared" si="10"/>
        <v>2055413</v>
      </c>
      <c r="J23" s="537">
        <f t="shared" si="10"/>
        <v>3330221</v>
      </c>
      <c r="K23" s="538">
        <f t="shared" si="10"/>
        <v>3133043.19</v>
      </c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  <c r="AB23" s="567"/>
      <c r="AC23" s="567"/>
      <c r="AD23" s="567"/>
      <c r="AE23" s="567"/>
      <c r="AF23" s="567"/>
      <c r="AG23" s="567"/>
      <c r="AH23" s="567"/>
      <c r="AI23" s="567"/>
      <c r="AJ23" s="567"/>
      <c r="AK23" s="567"/>
      <c r="AL23" s="567"/>
      <c r="AM23" s="567"/>
      <c r="AN23" s="567"/>
      <c r="AO23" s="567"/>
      <c r="AP23" s="567"/>
      <c r="AQ23" s="567"/>
      <c r="AR23" s="567"/>
      <c r="AS23" s="567"/>
      <c r="AT23" s="567"/>
      <c r="AU23" s="567"/>
      <c r="AV23" s="567"/>
      <c r="AW23" s="567"/>
      <c r="AX23" s="567"/>
      <c r="AY23" s="567"/>
      <c r="AZ23" s="567"/>
      <c r="BA23" s="567"/>
      <c r="BB23" s="567"/>
      <c r="BC23" s="567"/>
      <c r="BD23" s="567"/>
      <c r="BE23" s="567"/>
      <c r="BF23" s="567"/>
      <c r="BG23" s="567"/>
      <c r="BH23" s="567"/>
      <c r="BI23" s="567"/>
      <c r="BJ23" s="567"/>
      <c r="BK23" s="567"/>
      <c r="BL23" s="567"/>
      <c r="BM23" s="567"/>
      <c r="BN23" s="567"/>
      <c r="BO23" s="567"/>
      <c r="BP23" s="567"/>
      <c r="BQ23" s="567"/>
      <c r="BR23" s="567"/>
      <c r="BS23" s="567"/>
      <c r="BT23" s="567"/>
      <c r="BU23" s="567"/>
      <c r="BV23" s="567"/>
    </row>
    <row r="24">
      <c r="A24" s="693" t="s">
        <v>806</v>
      </c>
      <c r="B24" s="15"/>
      <c r="C24" s="16"/>
      <c r="D24" s="572" t="s">
        <v>652</v>
      </c>
      <c r="E24" s="444" t="s">
        <v>652</v>
      </c>
      <c r="F24" s="444" t="s">
        <v>652</v>
      </c>
      <c r="G24" s="710">
        <v>861879.0</v>
      </c>
      <c r="H24" s="696">
        <f t="shared" ref="H24:K24" si="11">H23+H22</f>
        <v>2055413</v>
      </c>
      <c r="I24" s="696">
        <f t="shared" si="11"/>
        <v>3330221</v>
      </c>
      <c r="J24" s="696">
        <f t="shared" si="11"/>
        <v>3133043.19</v>
      </c>
      <c r="K24" s="698">
        <f t="shared" si="11"/>
        <v>6412321.913</v>
      </c>
      <c r="L24" s="708"/>
      <c r="M24" s="708"/>
      <c r="N24" s="708"/>
      <c r="O24" s="708"/>
      <c r="P24" s="708"/>
      <c r="Q24" s="708"/>
      <c r="R24" s="708"/>
      <c r="S24" s="708"/>
      <c r="T24" s="708"/>
      <c r="U24" s="708"/>
      <c r="V24" s="708"/>
      <c r="W24" s="708"/>
      <c r="X24" s="708"/>
      <c r="Y24" s="708"/>
      <c r="Z24" s="708"/>
      <c r="AA24" s="708"/>
      <c r="AB24" s="708"/>
      <c r="AC24" s="708"/>
      <c r="AD24" s="708"/>
      <c r="AE24" s="708"/>
      <c r="AF24" s="708"/>
      <c r="AG24" s="708"/>
      <c r="AH24" s="708"/>
      <c r="AI24" s="708"/>
      <c r="AJ24" s="708"/>
      <c r="AK24" s="708"/>
      <c r="AL24" s="708"/>
      <c r="AM24" s="708"/>
      <c r="AN24" s="708"/>
      <c r="AO24" s="708"/>
      <c r="AP24" s="708"/>
      <c r="AQ24" s="708"/>
      <c r="AR24" s="708"/>
      <c r="AS24" s="708"/>
      <c r="AT24" s="708"/>
      <c r="AU24" s="708"/>
      <c r="AV24" s="708"/>
      <c r="AW24" s="708"/>
      <c r="AX24" s="708"/>
      <c r="AY24" s="708"/>
      <c r="AZ24" s="708"/>
      <c r="BA24" s="708"/>
      <c r="BB24" s="708"/>
      <c r="BC24" s="708"/>
      <c r="BD24" s="708"/>
      <c r="BE24" s="708"/>
      <c r="BF24" s="708"/>
      <c r="BG24" s="708"/>
      <c r="BH24" s="708"/>
      <c r="BI24" s="708"/>
      <c r="BJ24" s="708"/>
      <c r="BK24" s="708"/>
      <c r="BL24" s="708"/>
      <c r="BM24" s="708"/>
      <c r="BN24" s="708"/>
      <c r="BO24" s="708"/>
      <c r="BP24" s="708"/>
      <c r="BQ24" s="708"/>
      <c r="BR24" s="708"/>
      <c r="BS24" s="708"/>
      <c r="BT24" s="708"/>
      <c r="BU24" s="708"/>
      <c r="BV24" s="708"/>
    </row>
    <row r="25">
      <c r="A25" s="693" t="s">
        <v>807</v>
      </c>
      <c r="B25" s="15"/>
      <c r="C25" s="16"/>
      <c r="D25" s="581" t="s">
        <v>878</v>
      </c>
      <c r="E25" s="444">
        <v>2.0</v>
      </c>
      <c r="F25" s="444">
        <v>12.0</v>
      </c>
      <c r="G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IFERROR(__xludf.DUMMYFUNCTION("SUM(INDIRECT(CONCATENATE(""'"",INDEX(SPLIT($D25,""G""),1),CHAR(CODE(""G"")+$E25*(COLUMN()-COLUMN($G25))),INDEX(SPLIT($D25,""G""),2),"":"",CHAR(CODE(""G"")+$E25*(COLUMN()-COLUMN($G25))),INDEX(SPLIT($D25,""G""),2)+($F25-1))))"),854773.0)</f>
        <v>854773</v>
      </c>
      <c r="H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IFERROR(__xludf.DUMMYFUNCTION("SUM(INDIRECT(CONCATENATE(""'"",INDEX(SPLIT($D25,""G""),1),CHAR(CODE(""G"")+$E25*(COLUMN()-COLUMN($G25))),INDEX(SPLIT($D25,""G""),2),"":"",CHAR(CODE(""G"")+$E25*(COLUMN()-COLUMN($G25))),INDEX(SPLIT($D25,""G""),2)+($F25-1))))"),1091263.0)</f>
        <v>1091263</v>
      </c>
      <c r="I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IFERROR(__xludf.DUMMYFUNCTION("SUM(INDIRECT(CONCATENATE(""'"",INDEX(SPLIT($D25,""G""),1),CHAR(CODE(""G"")+$E25*(COLUMN()-COLUMN($G25))),INDEX(SPLIT($D25,""G""),2),"":"",CHAR(CODE(""G"")+$E25*(COLUMN()-COLUMN($G25))),INDEX(SPLIT($D25,""G""),2)+($F25-1))))"),1196955.0)</f>
        <v>1196955</v>
      </c>
      <c r="J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IFERROR(__xludf.DUMMYFUNCTION("SUM(INDIRECT(CONCATENATE(""'"",INDEX(SPLIT($D25,""G""),1),CHAR(CODE(""G"")+$E25*(COLUMN()-COLUMN($G25))),INDEX(SPLIT($D25,""G""),2),"":"",CHAR(CODE(""G"")+$E25*(COLUMN()-COLUMN($G25))),INDEX(SPLIT($D25,""G""),2)+($F25-1))))"),224425.0)</f>
        <v>224425</v>
      </c>
      <c r="K25" s="712">
        <f>IFERROR(__xludf.DUMMYFUNCTION("SUM(INDIRECT(CONCATENATE(""'"",INDEX(SPLIT($D25,""G""),1),CHAR(CODE(""G"")+$E25*(COLUMN()-COLUMN($G25))),INDEX(SPLIT($D25,""G""),2),"":"",CHAR(CODE(""G"")+$E25*(COLUMN()-COLUMN($G25))),INDEX(SPLIT($D25,""G""),2)+($F25-1))))"),1098436.0)</f>
        <v>1098436</v>
      </c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567"/>
      <c r="AD25" s="567"/>
      <c r="AE25" s="567"/>
      <c r="AF25" s="567"/>
      <c r="AG25" s="567"/>
      <c r="AH25" s="567"/>
      <c r="AI25" s="567"/>
      <c r="AJ25" s="567"/>
      <c r="AK25" s="567"/>
      <c r="AL25" s="567"/>
      <c r="AM25" s="567"/>
      <c r="AN25" s="567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/>
      <c r="BM25" s="567"/>
      <c r="BN25" s="567"/>
      <c r="BO25" s="567"/>
      <c r="BP25" s="567"/>
      <c r="BQ25" s="567"/>
      <c r="BR25" s="567"/>
      <c r="BS25" s="567"/>
      <c r="BT25" s="567"/>
      <c r="BU25" s="567"/>
      <c r="BV25" s="567"/>
    </row>
    <row r="26">
      <c r="A26" s="693" t="s">
        <v>809</v>
      </c>
      <c r="B26" s="15"/>
      <c r="C26" s="16"/>
      <c r="D26" s="713"/>
      <c r="E26" s="713"/>
      <c r="F26" s="713"/>
      <c r="G26" s="716">
        <f t="shared" ref="G26:K26" si="12">(G25-G24)/G24</f>
        <v>-0.008244776819</v>
      </c>
      <c r="H26" s="716">
        <f t="shared" si="12"/>
        <v>-0.4690784772</v>
      </c>
      <c r="I26" s="716">
        <f t="shared" si="12"/>
        <v>-0.6405779076</v>
      </c>
      <c r="J26" s="716">
        <f t="shared" si="12"/>
        <v>-0.928368367</v>
      </c>
      <c r="K26" s="717">
        <f t="shared" si="12"/>
        <v>-0.8286991803</v>
      </c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  <c r="AB26" s="567"/>
      <c r="AC26" s="567"/>
      <c r="AD26" s="567"/>
      <c r="AE26" s="567"/>
      <c r="AF26" s="567"/>
      <c r="AG26" s="567"/>
      <c r="AH26" s="567"/>
      <c r="AI26" s="567"/>
      <c r="AJ26" s="567"/>
      <c r="AK26" s="567"/>
      <c r="AL26" s="567"/>
      <c r="AM26" s="567"/>
      <c r="AN26" s="567"/>
      <c r="AO26" s="567"/>
      <c r="AP26" s="567"/>
      <c r="AQ26" s="567"/>
      <c r="AR26" s="567"/>
      <c r="AS26" s="567"/>
      <c r="AT26" s="567"/>
      <c r="AU26" s="567"/>
      <c r="AV26" s="567"/>
      <c r="AW26" s="567"/>
      <c r="AX26" s="567"/>
      <c r="AY26" s="567"/>
      <c r="AZ26" s="567"/>
      <c r="BA26" s="567"/>
      <c r="BB26" s="567"/>
      <c r="BC26" s="567"/>
      <c r="BD26" s="567"/>
      <c r="BE26" s="567"/>
      <c r="BF26" s="567"/>
      <c r="BG26" s="567"/>
      <c r="BH26" s="567"/>
      <c r="BI26" s="567"/>
      <c r="BJ26" s="567"/>
      <c r="BK26" s="567"/>
      <c r="BL26" s="567"/>
      <c r="BM26" s="567"/>
      <c r="BN26" s="567"/>
      <c r="BO26" s="567"/>
      <c r="BP26" s="567"/>
      <c r="BQ26" s="567"/>
      <c r="BR26" s="567"/>
      <c r="BS26" s="567"/>
      <c r="BT26" s="567"/>
      <c r="BU26" s="567"/>
      <c r="BV26" s="567"/>
    </row>
    <row r="27">
      <c r="A27" s="718" t="s">
        <v>18</v>
      </c>
      <c r="B27" s="490"/>
      <c r="C27" s="719"/>
      <c r="D27" s="672"/>
      <c r="E27" s="672"/>
      <c r="F27" s="672"/>
      <c r="G27" s="823" t="s">
        <v>879</v>
      </c>
      <c r="H27" s="490"/>
      <c r="I27" s="490"/>
      <c r="J27" s="490"/>
      <c r="K27" s="722"/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7"/>
      <c r="AH27" s="567"/>
      <c r="AI27" s="567"/>
      <c r="AJ27" s="567"/>
      <c r="AK27" s="567"/>
      <c r="AL27" s="567"/>
      <c r="AM27" s="567"/>
      <c r="AN27" s="567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  <c r="BA27" s="567"/>
      <c r="BB27" s="567"/>
      <c r="BC27" s="567"/>
      <c r="BD27" s="567"/>
      <c r="BE27" s="567"/>
      <c r="BF27" s="567"/>
      <c r="BG27" s="567"/>
      <c r="BH27" s="567"/>
      <c r="BI27" s="567"/>
      <c r="BJ27" s="567"/>
      <c r="BK27" s="567"/>
      <c r="BL27" s="567"/>
      <c r="BM27" s="567"/>
      <c r="BN27" s="567"/>
      <c r="BO27" s="567"/>
      <c r="BP27" s="567"/>
      <c r="BQ27" s="567"/>
      <c r="BR27" s="567"/>
      <c r="BS27" s="567"/>
      <c r="BT27" s="567"/>
      <c r="BU27" s="567"/>
      <c r="BV27" s="567"/>
    </row>
    <row r="28">
      <c r="A28" s="567"/>
      <c r="B28" s="567"/>
      <c r="C28" s="567"/>
      <c r="D28" s="567"/>
      <c r="E28" s="567"/>
      <c r="F28" s="567"/>
      <c r="G28" s="567"/>
      <c r="H28" s="796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7"/>
      <c r="AK28" s="567"/>
      <c r="AL28" s="567"/>
      <c r="AM28" s="567"/>
      <c r="AN28" s="567"/>
      <c r="AO28" s="567"/>
      <c r="AP28" s="567"/>
      <c r="AQ28" s="567"/>
      <c r="AR28" s="567"/>
      <c r="AS28" s="567"/>
      <c r="AT28" s="567"/>
      <c r="AU28" s="567"/>
      <c r="AV28" s="567"/>
      <c r="AW28" s="567"/>
      <c r="AX28" s="567"/>
      <c r="AY28" s="567"/>
      <c r="AZ28" s="567"/>
      <c r="BA28" s="567"/>
      <c r="BB28" s="567"/>
      <c r="BC28" s="567"/>
      <c r="BD28" s="567"/>
      <c r="BE28" s="567"/>
      <c r="BF28" s="567"/>
      <c r="BG28" s="567"/>
      <c r="BH28" s="567"/>
      <c r="BI28" s="567"/>
      <c r="BJ28" s="567"/>
      <c r="BK28" s="567"/>
      <c r="BL28" s="567"/>
      <c r="BM28" s="567"/>
      <c r="BN28" s="567"/>
      <c r="BO28" s="567"/>
      <c r="BP28" s="567"/>
      <c r="BQ28" s="567"/>
      <c r="BR28" s="567"/>
      <c r="BS28" s="567"/>
      <c r="BT28" s="567"/>
      <c r="BU28" s="567"/>
      <c r="BV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  <c r="AB29" s="567"/>
      <c r="AC29" s="567"/>
      <c r="AD29" s="567"/>
      <c r="AE29" s="567"/>
      <c r="AF29" s="567"/>
      <c r="AG29" s="567"/>
      <c r="AH29" s="567"/>
      <c r="AI29" s="567"/>
      <c r="AJ29" s="567"/>
      <c r="AK29" s="567"/>
      <c r="AL29" s="567"/>
      <c r="AM29" s="567"/>
      <c r="AN29" s="567"/>
      <c r="AO29" s="567"/>
      <c r="AP29" s="567"/>
      <c r="AQ29" s="567"/>
      <c r="AR29" s="567"/>
      <c r="AS29" s="567"/>
      <c r="AT29" s="567"/>
      <c r="AU29" s="567"/>
      <c r="AV29" s="567"/>
      <c r="AW29" s="567"/>
      <c r="AX29" s="567"/>
      <c r="AY29" s="567"/>
      <c r="AZ29" s="567"/>
      <c r="BA29" s="567"/>
      <c r="BB29" s="567"/>
      <c r="BC29" s="567"/>
      <c r="BD29" s="567"/>
      <c r="BE29" s="567"/>
      <c r="BF29" s="567"/>
      <c r="BG29" s="567"/>
      <c r="BH29" s="567"/>
      <c r="BI29" s="567"/>
      <c r="BJ29" s="567"/>
      <c r="BK29" s="567"/>
      <c r="BL29" s="567"/>
      <c r="BM29" s="567"/>
      <c r="BN29" s="567"/>
      <c r="BO29" s="567"/>
      <c r="BP29" s="567"/>
      <c r="BQ29" s="567"/>
      <c r="BR29" s="567"/>
      <c r="BS29" s="567"/>
      <c r="BT29" s="567"/>
      <c r="BU29" s="567"/>
      <c r="BV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7"/>
      <c r="AK30" s="567"/>
      <c r="AL30" s="567"/>
      <c r="AM30" s="567"/>
      <c r="AN30" s="567"/>
      <c r="AO30" s="567"/>
      <c r="AP30" s="567"/>
      <c r="AQ30" s="567"/>
      <c r="AR30" s="567"/>
      <c r="AS30" s="567"/>
      <c r="AT30" s="567"/>
      <c r="AU30" s="567"/>
      <c r="AV30" s="567"/>
      <c r="AW30" s="567"/>
      <c r="AX30" s="567"/>
      <c r="AY30" s="567"/>
      <c r="AZ30" s="567"/>
      <c r="BA30" s="567"/>
      <c r="BB30" s="567"/>
      <c r="BC30" s="567"/>
      <c r="BD30" s="567"/>
      <c r="BE30" s="567"/>
      <c r="BF30" s="567"/>
      <c r="BG30" s="567"/>
      <c r="BH30" s="567"/>
      <c r="BI30" s="567"/>
      <c r="BJ30" s="567"/>
      <c r="BK30" s="567"/>
      <c r="BL30" s="567"/>
      <c r="BM30" s="567"/>
      <c r="BN30" s="567"/>
      <c r="BO30" s="567"/>
      <c r="BP30" s="567"/>
      <c r="BQ30" s="567"/>
      <c r="BR30" s="567"/>
      <c r="BS30" s="567"/>
      <c r="BT30" s="567"/>
      <c r="BU30" s="567"/>
      <c r="BV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567"/>
      <c r="AG31" s="567"/>
      <c r="AH31" s="567"/>
      <c r="AI31" s="567"/>
      <c r="AJ31" s="567"/>
      <c r="AK31" s="567"/>
      <c r="AL31" s="567"/>
      <c r="AM31" s="567"/>
      <c r="AN31" s="567"/>
      <c r="AO31" s="567"/>
      <c r="AP31" s="567"/>
      <c r="AQ31" s="567"/>
      <c r="AR31" s="567"/>
      <c r="AS31" s="567"/>
      <c r="AT31" s="567"/>
      <c r="AU31" s="567"/>
      <c r="AV31" s="567"/>
      <c r="AW31" s="567"/>
      <c r="AX31" s="567"/>
      <c r="AY31" s="567"/>
      <c r="AZ31" s="567"/>
      <c r="BA31" s="567"/>
      <c r="BB31" s="567"/>
      <c r="BC31" s="567"/>
      <c r="BD31" s="567"/>
      <c r="BE31" s="567"/>
      <c r="BF31" s="567"/>
      <c r="BG31" s="567"/>
      <c r="BH31" s="567"/>
      <c r="BI31" s="567"/>
      <c r="BJ31" s="567"/>
      <c r="BK31" s="567"/>
      <c r="BL31" s="567"/>
      <c r="BM31" s="567"/>
      <c r="BN31" s="567"/>
      <c r="BO31" s="567"/>
      <c r="BP31" s="567"/>
      <c r="BQ31" s="567"/>
      <c r="BR31" s="567"/>
      <c r="BS31" s="567"/>
      <c r="BT31" s="567"/>
      <c r="BU31" s="567"/>
      <c r="BV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  <c r="AB32" s="567"/>
      <c r="AC32" s="567"/>
      <c r="AD32" s="567"/>
      <c r="AE32" s="567"/>
      <c r="AF32" s="567"/>
      <c r="AG32" s="567"/>
      <c r="AH32" s="567"/>
      <c r="AI32" s="567"/>
      <c r="AJ32" s="567"/>
      <c r="AK32" s="567"/>
      <c r="AL32" s="567"/>
      <c r="AM32" s="567"/>
      <c r="AN32" s="567"/>
      <c r="AO32" s="567"/>
      <c r="AP32" s="567"/>
      <c r="AQ32" s="567"/>
      <c r="AR32" s="567"/>
      <c r="AS32" s="567"/>
      <c r="AT32" s="567"/>
      <c r="AU32" s="567"/>
      <c r="AV32" s="567"/>
      <c r="AW32" s="567"/>
      <c r="AX32" s="567"/>
      <c r="AY32" s="567"/>
      <c r="AZ32" s="567"/>
      <c r="BA32" s="567"/>
      <c r="BB32" s="567"/>
      <c r="BC32" s="567"/>
      <c r="BD32" s="567"/>
      <c r="BE32" s="567"/>
      <c r="BF32" s="567"/>
      <c r="BG32" s="567"/>
      <c r="BH32" s="567"/>
      <c r="BI32" s="567"/>
      <c r="BJ32" s="567"/>
      <c r="BK32" s="567"/>
      <c r="BL32" s="567"/>
      <c r="BM32" s="567"/>
      <c r="BN32" s="567"/>
      <c r="BO32" s="567"/>
      <c r="BP32" s="567"/>
      <c r="BQ32" s="567"/>
      <c r="BR32" s="567"/>
      <c r="BS32" s="567"/>
      <c r="BT32" s="567"/>
      <c r="BU32" s="567"/>
      <c r="BV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  <c r="AB33" s="567"/>
      <c r="AC33" s="567"/>
      <c r="AD33" s="567"/>
      <c r="AE33" s="567"/>
      <c r="AF33" s="567"/>
      <c r="AG33" s="567"/>
      <c r="AH33" s="567"/>
      <c r="AI33" s="567"/>
      <c r="AJ33" s="567"/>
      <c r="AK33" s="567"/>
      <c r="AL33" s="567"/>
      <c r="AM33" s="567"/>
      <c r="AN33" s="567"/>
      <c r="AO33" s="567"/>
      <c r="AP33" s="567"/>
      <c r="AQ33" s="567"/>
      <c r="AR33" s="567"/>
      <c r="AS33" s="567"/>
      <c r="AT33" s="567"/>
      <c r="AU33" s="567"/>
      <c r="AV33" s="567"/>
      <c r="AW33" s="567"/>
      <c r="AX33" s="567"/>
      <c r="AY33" s="567"/>
      <c r="AZ33" s="567"/>
      <c r="BA33" s="567"/>
      <c r="BB33" s="567"/>
      <c r="BC33" s="567"/>
      <c r="BD33" s="567"/>
      <c r="BE33" s="567"/>
      <c r="BF33" s="567"/>
      <c r="BG33" s="567"/>
      <c r="BH33" s="567"/>
      <c r="BI33" s="567"/>
      <c r="BJ33" s="567"/>
      <c r="BK33" s="567"/>
      <c r="BL33" s="567"/>
      <c r="BM33" s="567"/>
      <c r="BN33" s="567"/>
      <c r="BO33" s="567"/>
      <c r="BP33" s="567"/>
      <c r="BQ33" s="567"/>
      <c r="BR33" s="567"/>
      <c r="BS33" s="567"/>
      <c r="BT33" s="567"/>
      <c r="BU33" s="567"/>
      <c r="BV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  <c r="AH34" s="567"/>
      <c r="AI34" s="567"/>
      <c r="AJ34" s="567"/>
      <c r="AK34" s="567"/>
      <c r="AL34" s="567"/>
      <c r="AM34" s="567"/>
      <c r="AN34" s="567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/>
      <c r="BA34" s="567"/>
      <c r="BB34" s="567"/>
      <c r="BC34" s="567"/>
      <c r="BD34" s="567"/>
      <c r="BE34" s="567"/>
      <c r="BF34" s="567"/>
      <c r="BG34" s="567"/>
      <c r="BH34" s="567"/>
      <c r="BI34" s="567"/>
      <c r="BJ34" s="567"/>
      <c r="BK34" s="567"/>
      <c r="BL34" s="567"/>
      <c r="BM34" s="567"/>
      <c r="BN34" s="567"/>
      <c r="BO34" s="567"/>
      <c r="BP34" s="567"/>
      <c r="BQ34" s="567"/>
      <c r="BR34" s="567"/>
      <c r="BS34" s="567"/>
      <c r="BT34" s="567"/>
      <c r="BU34" s="567"/>
      <c r="BV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  <c r="AB35" s="567"/>
      <c r="AC35" s="567"/>
      <c r="AD35" s="567"/>
      <c r="AE35" s="567"/>
      <c r="AF35" s="567"/>
      <c r="AG35" s="567"/>
      <c r="AH35" s="567"/>
      <c r="AI35" s="567"/>
      <c r="AJ35" s="567"/>
      <c r="AK35" s="567"/>
      <c r="AL35" s="567"/>
      <c r="AM35" s="567"/>
      <c r="AN35" s="567"/>
      <c r="AO35" s="567"/>
      <c r="AP35" s="567"/>
      <c r="AQ35" s="567"/>
      <c r="AR35" s="567"/>
      <c r="AS35" s="567"/>
      <c r="AT35" s="567"/>
      <c r="AU35" s="567"/>
      <c r="AV35" s="567"/>
      <c r="AW35" s="567"/>
      <c r="AX35" s="567"/>
      <c r="AY35" s="567"/>
      <c r="AZ35" s="567"/>
      <c r="BA35" s="567"/>
      <c r="BB35" s="567"/>
      <c r="BC35" s="567"/>
      <c r="BD35" s="567"/>
      <c r="BE35" s="567"/>
      <c r="BF35" s="567"/>
      <c r="BG35" s="567"/>
      <c r="BH35" s="567"/>
      <c r="BI35" s="567"/>
      <c r="BJ35" s="567"/>
      <c r="BK35" s="567"/>
      <c r="BL35" s="567"/>
      <c r="BM35" s="567"/>
      <c r="BN35" s="567"/>
      <c r="BO35" s="567"/>
      <c r="BP35" s="567"/>
      <c r="BQ35" s="567"/>
      <c r="BR35" s="567"/>
      <c r="BS35" s="567"/>
      <c r="BT35" s="567"/>
      <c r="BU35" s="567"/>
      <c r="BV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  <c r="AI36" s="567"/>
      <c r="AJ36" s="567"/>
      <c r="AK36" s="567"/>
      <c r="AL36" s="567"/>
      <c r="AM36" s="567"/>
      <c r="AN36" s="567"/>
      <c r="AO36" s="567"/>
      <c r="AP36" s="567"/>
      <c r="AQ36" s="567"/>
      <c r="AR36" s="567"/>
      <c r="AS36" s="567"/>
      <c r="AT36" s="567"/>
      <c r="AU36" s="567"/>
      <c r="AV36" s="567"/>
      <c r="AW36" s="567"/>
      <c r="AX36" s="567"/>
      <c r="AY36" s="567"/>
      <c r="AZ36" s="567"/>
      <c r="BA36" s="567"/>
      <c r="BB36" s="567"/>
      <c r="BC36" s="567"/>
      <c r="BD36" s="567"/>
      <c r="BE36" s="567"/>
      <c r="BF36" s="567"/>
      <c r="BG36" s="567"/>
      <c r="BH36" s="567"/>
      <c r="BI36" s="567"/>
      <c r="BJ36" s="567"/>
      <c r="BK36" s="567"/>
      <c r="BL36" s="567"/>
      <c r="BM36" s="567"/>
      <c r="BN36" s="567"/>
      <c r="BO36" s="567"/>
      <c r="BP36" s="567"/>
      <c r="BQ36" s="567"/>
      <c r="BR36" s="567"/>
      <c r="BS36" s="567"/>
      <c r="BT36" s="567"/>
      <c r="BU36" s="567"/>
      <c r="BV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  <c r="AH37" s="567"/>
      <c r="AI37" s="567"/>
      <c r="AJ37" s="567"/>
      <c r="AK37" s="567"/>
      <c r="AL37" s="567"/>
      <c r="AM37" s="567"/>
      <c r="AN37" s="567"/>
      <c r="AO37" s="567"/>
      <c r="AP37" s="567"/>
      <c r="AQ37" s="567"/>
      <c r="AR37" s="567"/>
      <c r="AS37" s="567"/>
      <c r="AT37" s="567"/>
      <c r="AU37" s="567"/>
      <c r="AV37" s="567"/>
      <c r="AW37" s="567"/>
      <c r="AX37" s="567"/>
      <c r="AY37" s="567"/>
      <c r="AZ37" s="567"/>
      <c r="BA37" s="567"/>
      <c r="BB37" s="567"/>
      <c r="BC37" s="567"/>
      <c r="BD37" s="567"/>
      <c r="BE37" s="567"/>
      <c r="BF37" s="567"/>
      <c r="BG37" s="567"/>
      <c r="BH37" s="567"/>
      <c r="BI37" s="567"/>
      <c r="BJ37" s="567"/>
      <c r="BK37" s="567"/>
      <c r="BL37" s="567"/>
      <c r="BM37" s="567"/>
      <c r="BN37" s="567"/>
      <c r="BO37" s="567"/>
      <c r="BP37" s="567"/>
      <c r="BQ37" s="567"/>
      <c r="BR37" s="567"/>
      <c r="BS37" s="567"/>
      <c r="BT37" s="567"/>
      <c r="BU37" s="567"/>
      <c r="BV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  <c r="AB38" s="567"/>
      <c r="AC38" s="567"/>
      <c r="AD38" s="567"/>
      <c r="AE38" s="567"/>
      <c r="AF38" s="567"/>
      <c r="AG38" s="567"/>
      <c r="AH38" s="567"/>
      <c r="AI38" s="567"/>
      <c r="AJ38" s="567"/>
      <c r="AK38" s="567"/>
      <c r="AL38" s="567"/>
      <c r="AM38" s="567"/>
      <c r="AN38" s="567"/>
      <c r="AO38" s="567"/>
      <c r="AP38" s="567"/>
      <c r="AQ38" s="567"/>
      <c r="AR38" s="567"/>
      <c r="AS38" s="567"/>
      <c r="AT38" s="567"/>
      <c r="AU38" s="567"/>
      <c r="AV38" s="567"/>
      <c r="AW38" s="567"/>
      <c r="AX38" s="567"/>
      <c r="AY38" s="567"/>
      <c r="AZ38" s="567"/>
      <c r="BA38" s="567"/>
      <c r="BB38" s="567"/>
      <c r="BC38" s="567"/>
      <c r="BD38" s="567"/>
      <c r="BE38" s="567"/>
      <c r="BF38" s="567"/>
      <c r="BG38" s="567"/>
      <c r="BH38" s="567"/>
      <c r="BI38" s="567"/>
      <c r="BJ38" s="567"/>
      <c r="BK38" s="567"/>
      <c r="BL38" s="567"/>
      <c r="BM38" s="567"/>
      <c r="BN38" s="567"/>
      <c r="BO38" s="567"/>
      <c r="BP38" s="567"/>
      <c r="BQ38" s="567"/>
      <c r="BR38" s="567"/>
      <c r="BS38" s="567"/>
      <c r="BT38" s="567"/>
      <c r="BU38" s="567"/>
      <c r="BV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  <c r="AG39" s="567"/>
      <c r="AH39" s="567"/>
      <c r="AI39" s="567"/>
      <c r="AJ39" s="567"/>
      <c r="AK39" s="567"/>
      <c r="AL39" s="567"/>
      <c r="AM39" s="567"/>
      <c r="AN39" s="567"/>
      <c r="AO39" s="567"/>
      <c r="AP39" s="567"/>
      <c r="AQ39" s="567"/>
      <c r="AR39" s="567"/>
      <c r="AS39" s="567"/>
      <c r="AT39" s="567"/>
      <c r="AU39" s="567"/>
      <c r="AV39" s="567"/>
      <c r="AW39" s="567"/>
      <c r="AX39" s="567"/>
      <c r="AY39" s="567"/>
      <c r="AZ39" s="567"/>
      <c r="BA39" s="567"/>
      <c r="BB39" s="567"/>
      <c r="BC39" s="567"/>
      <c r="BD39" s="567"/>
      <c r="BE39" s="567"/>
      <c r="BF39" s="567"/>
      <c r="BG39" s="567"/>
      <c r="BH39" s="567"/>
      <c r="BI39" s="567"/>
      <c r="BJ39" s="567"/>
      <c r="BK39" s="567"/>
      <c r="BL39" s="567"/>
      <c r="BM39" s="567"/>
      <c r="BN39" s="567"/>
      <c r="BO39" s="567"/>
      <c r="BP39" s="567"/>
      <c r="BQ39" s="567"/>
      <c r="BR39" s="567"/>
      <c r="BS39" s="567"/>
      <c r="BT39" s="567"/>
      <c r="BU39" s="567"/>
      <c r="BV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  <c r="AB40" s="567"/>
      <c r="AC40" s="567"/>
      <c r="AD40" s="567"/>
      <c r="AE40" s="567"/>
      <c r="AF40" s="567"/>
      <c r="AG40" s="567"/>
      <c r="AH40" s="567"/>
      <c r="AI40" s="567"/>
      <c r="AJ40" s="567"/>
      <c r="AK40" s="567"/>
      <c r="AL40" s="567"/>
      <c r="AM40" s="567"/>
      <c r="AN40" s="567"/>
      <c r="AO40" s="567"/>
      <c r="AP40" s="567"/>
      <c r="AQ40" s="567"/>
      <c r="AR40" s="567"/>
      <c r="AS40" s="567"/>
      <c r="AT40" s="567"/>
      <c r="AU40" s="567"/>
      <c r="AV40" s="567"/>
      <c r="AW40" s="567"/>
      <c r="AX40" s="567"/>
      <c r="AY40" s="567"/>
      <c r="AZ40" s="567"/>
      <c r="BA40" s="567"/>
      <c r="BB40" s="567"/>
      <c r="BC40" s="567"/>
      <c r="BD40" s="567"/>
      <c r="BE40" s="567"/>
      <c r="BF40" s="567"/>
      <c r="BG40" s="567"/>
      <c r="BH40" s="567"/>
      <c r="BI40" s="567"/>
      <c r="BJ40" s="567"/>
      <c r="BK40" s="567"/>
      <c r="BL40" s="567"/>
      <c r="BM40" s="567"/>
      <c r="BN40" s="567"/>
      <c r="BO40" s="567"/>
      <c r="BP40" s="567"/>
      <c r="BQ40" s="567"/>
      <c r="BR40" s="567"/>
      <c r="BS40" s="567"/>
      <c r="BT40" s="567"/>
      <c r="BU40" s="567"/>
      <c r="BV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  <c r="AB41" s="567"/>
      <c r="AC41" s="567"/>
      <c r="AD41" s="567"/>
      <c r="AE41" s="567"/>
      <c r="AF41" s="567"/>
      <c r="AG41" s="567"/>
      <c r="AH41" s="567"/>
      <c r="AI41" s="567"/>
      <c r="AJ41" s="567"/>
      <c r="AK41" s="567"/>
      <c r="AL41" s="567"/>
      <c r="AM41" s="567"/>
      <c r="AN41" s="567"/>
      <c r="AO41" s="567"/>
      <c r="AP41" s="567"/>
      <c r="AQ41" s="567"/>
      <c r="AR41" s="567"/>
      <c r="AS41" s="567"/>
      <c r="AT41" s="567"/>
      <c r="AU41" s="567"/>
      <c r="AV41" s="567"/>
      <c r="AW41" s="567"/>
      <c r="AX41" s="567"/>
      <c r="AY41" s="567"/>
      <c r="AZ41" s="567"/>
      <c r="BA41" s="567"/>
      <c r="BB41" s="567"/>
      <c r="BC41" s="567"/>
      <c r="BD41" s="567"/>
      <c r="BE41" s="567"/>
      <c r="BF41" s="567"/>
      <c r="BG41" s="567"/>
      <c r="BH41" s="567"/>
      <c r="BI41" s="567"/>
      <c r="BJ41" s="567"/>
      <c r="BK41" s="567"/>
      <c r="BL41" s="567"/>
      <c r="BM41" s="567"/>
      <c r="BN41" s="567"/>
      <c r="BO41" s="567"/>
      <c r="BP41" s="567"/>
      <c r="BQ41" s="567"/>
      <c r="BR41" s="567"/>
      <c r="BS41" s="567"/>
      <c r="BT41" s="567"/>
      <c r="BU41" s="567"/>
      <c r="BV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  <c r="AB42" s="567"/>
      <c r="AC42" s="567"/>
      <c r="AD42" s="567"/>
      <c r="AE42" s="567"/>
      <c r="AF42" s="567"/>
      <c r="AG42" s="567"/>
      <c r="AH42" s="567"/>
      <c r="AI42" s="567"/>
      <c r="AJ42" s="567"/>
      <c r="AK42" s="567"/>
      <c r="AL42" s="567"/>
      <c r="AM42" s="567"/>
      <c r="AN42" s="567"/>
      <c r="AO42" s="567"/>
      <c r="AP42" s="567"/>
      <c r="AQ42" s="567"/>
      <c r="AR42" s="567"/>
      <c r="AS42" s="567"/>
      <c r="AT42" s="567"/>
      <c r="AU42" s="567"/>
      <c r="AV42" s="567"/>
      <c r="AW42" s="567"/>
      <c r="AX42" s="567"/>
      <c r="AY42" s="567"/>
      <c r="AZ42" s="567"/>
      <c r="BA42" s="567"/>
      <c r="BB42" s="567"/>
      <c r="BC42" s="567"/>
      <c r="BD42" s="567"/>
      <c r="BE42" s="567"/>
      <c r="BF42" s="567"/>
      <c r="BG42" s="567"/>
      <c r="BH42" s="567"/>
      <c r="BI42" s="567"/>
      <c r="BJ42" s="567"/>
      <c r="BK42" s="567"/>
      <c r="BL42" s="567"/>
      <c r="BM42" s="567"/>
      <c r="BN42" s="567"/>
      <c r="BO42" s="567"/>
      <c r="BP42" s="567"/>
      <c r="BQ42" s="567"/>
      <c r="BR42" s="567"/>
      <c r="BS42" s="567"/>
      <c r="BT42" s="567"/>
      <c r="BU42" s="567"/>
      <c r="BV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  <c r="AP43" s="567"/>
      <c r="AQ43" s="567"/>
      <c r="AR43" s="567"/>
      <c r="AS43" s="567"/>
      <c r="AT43" s="567"/>
      <c r="AU43" s="567"/>
      <c r="AV43" s="567"/>
      <c r="AW43" s="567"/>
      <c r="AX43" s="567"/>
      <c r="AY43" s="567"/>
      <c r="AZ43" s="567"/>
      <c r="BA43" s="567"/>
      <c r="BB43" s="567"/>
      <c r="BC43" s="567"/>
      <c r="BD43" s="567"/>
      <c r="BE43" s="567"/>
      <c r="BF43" s="567"/>
      <c r="BG43" s="567"/>
      <c r="BH43" s="567"/>
      <c r="BI43" s="567"/>
      <c r="BJ43" s="567"/>
      <c r="BK43" s="567"/>
      <c r="BL43" s="567"/>
      <c r="BM43" s="567"/>
      <c r="BN43" s="567"/>
      <c r="BO43" s="567"/>
      <c r="BP43" s="567"/>
      <c r="BQ43" s="567"/>
      <c r="BR43" s="567"/>
      <c r="BS43" s="567"/>
      <c r="BT43" s="567"/>
      <c r="BU43" s="567"/>
      <c r="BV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7"/>
      <c r="AU44" s="567"/>
      <c r="AV44" s="567"/>
      <c r="AW44" s="567"/>
      <c r="AX44" s="567"/>
      <c r="AY44" s="567"/>
      <c r="AZ44" s="567"/>
      <c r="BA44" s="567"/>
      <c r="BB44" s="567"/>
      <c r="BC44" s="567"/>
      <c r="BD44" s="567"/>
      <c r="BE44" s="567"/>
      <c r="BF44" s="567"/>
      <c r="BG44" s="567"/>
      <c r="BH44" s="567"/>
      <c r="BI44" s="567"/>
      <c r="BJ44" s="567"/>
      <c r="BK44" s="567"/>
      <c r="BL44" s="567"/>
      <c r="BM44" s="567"/>
      <c r="BN44" s="567"/>
      <c r="BO44" s="567"/>
      <c r="BP44" s="567"/>
      <c r="BQ44" s="567"/>
      <c r="BR44" s="567"/>
      <c r="BS44" s="567"/>
      <c r="BT44" s="567"/>
      <c r="BU44" s="567"/>
      <c r="BV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  <c r="BS45" s="567"/>
      <c r="BT45" s="567"/>
      <c r="BU45" s="567"/>
      <c r="BV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  <c r="BS46" s="567"/>
      <c r="BT46" s="567"/>
      <c r="BU46" s="567"/>
      <c r="BV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  <c r="BS47" s="567"/>
      <c r="BT47" s="567"/>
      <c r="BU47" s="567"/>
      <c r="BV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  <c r="BS48" s="567"/>
      <c r="BT48" s="567"/>
      <c r="BU48" s="567"/>
      <c r="BV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  <c r="BS49" s="567"/>
      <c r="BT49" s="567"/>
      <c r="BU49" s="567"/>
      <c r="BV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  <c r="BS50" s="567"/>
      <c r="BT50" s="567"/>
      <c r="BU50" s="567"/>
      <c r="BV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  <c r="BS51" s="567"/>
      <c r="BT51" s="567"/>
      <c r="BU51" s="567"/>
      <c r="BV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  <c r="BS52" s="567"/>
      <c r="BT52" s="567"/>
      <c r="BU52" s="567"/>
      <c r="BV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  <c r="BS53" s="567"/>
      <c r="BT53" s="567"/>
      <c r="BU53" s="567"/>
      <c r="BV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  <c r="BS54" s="567"/>
      <c r="BT54" s="567"/>
      <c r="BU54" s="567"/>
      <c r="BV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  <c r="BS56" s="567"/>
      <c r="BT56" s="567"/>
      <c r="BU56" s="567"/>
      <c r="BV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  <c r="BS57" s="567"/>
      <c r="BT57" s="567"/>
      <c r="BU57" s="567"/>
      <c r="BV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  <c r="BS58" s="567"/>
      <c r="BT58" s="567"/>
      <c r="BU58" s="567"/>
      <c r="BV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  <c r="BS59" s="567"/>
      <c r="BT59" s="567"/>
      <c r="BU59" s="567"/>
      <c r="BV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  <c r="BS60" s="567"/>
      <c r="BT60" s="567"/>
      <c r="BU60" s="567"/>
      <c r="BV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  <c r="BS61" s="567"/>
      <c r="BT61" s="567"/>
      <c r="BU61" s="567"/>
      <c r="BV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  <c r="BS62" s="567"/>
      <c r="BT62" s="567"/>
      <c r="BU62" s="567"/>
      <c r="BV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  <c r="BS63" s="567"/>
      <c r="BT63" s="567"/>
      <c r="BU63" s="567"/>
      <c r="BV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  <c r="BS64" s="567"/>
      <c r="BT64" s="567"/>
      <c r="BU64" s="567"/>
      <c r="BV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  <c r="BS69" s="567"/>
      <c r="BT69" s="567"/>
      <c r="BU69" s="567"/>
      <c r="BV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  <c r="BS70" s="567"/>
      <c r="BT70" s="567"/>
      <c r="BU70" s="567"/>
      <c r="BV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  <c r="BS71" s="567"/>
      <c r="BT71" s="567"/>
      <c r="BU71" s="567"/>
      <c r="BV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  <c r="BS72" s="567"/>
      <c r="BT72" s="567"/>
      <c r="BU72" s="567"/>
      <c r="BV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  <c r="BS73" s="567"/>
      <c r="BT73" s="567"/>
      <c r="BU73" s="567"/>
      <c r="BV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  <c r="BS74" s="567"/>
      <c r="BT74" s="567"/>
      <c r="BU74" s="567"/>
      <c r="BV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  <c r="BS75" s="567"/>
      <c r="BT75" s="567"/>
      <c r="BU75" s="567"/>
      <c r="BV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  <c r="BS76" s="567"/>
      <c r="BT76" s="567"/>
      <c r="BU76" s="567"/>
      <c r="BV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  <c r="BS77" s="567"/>
      <c r="BT77" s="567"/>
      <c r="BU77" s="567"/>
      <c r="BV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  <c r="BS78" s="567"/>
      <c r="BT78" s="567"/>
      <c r="BU78" s="567"/>
      <c r="BV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  <c r="BS79" s="567"/>
      <c r="BT79" s="567"/>
      <c r="BU79" s="567"/>
      <c r="BV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BQ80" s="567"/>
      <c r="BR80" s="567"/>
      <c r="BS80" s="567"/>
      <c r="BT80" s="567"/>
      <c r="BU80" s="567"/>
      <c r="BV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  <c r="BS81" s="567"/>
      <c r="BT81" s="567"/>
      <c r="BU81" s="567"/>
      <c r="BV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BQ82" s="567"/>
      <c r="BR82" s="567"/>
      <c r="BS82" s="567"/>
      <c r="BT82" s="567"/>
      <c r="BU82" s="567"/>
      <c r="BV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  <c r="BS84" s="567"/>
      <c r="BT84" s="567"/>
      <c r="BU84" s="567"/>
      <c r="BV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  <c r="BS85" s="567"/>
      <c r="BT85" s="567"/>
      <c r="BU85" s="567"/>
      <c r="BV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  <c r="BS86" s="567"/>
      <c r="BT86" s="567"/>
      <c r="BU86" s="567"/>
      <c r="BV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  <c r="BS87" s="567"/>
      <c r="BT87" s="567"/>
      <c r="BU87" s="567"/>
      <c r="BV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  <c r="BS88" s="567"/>
      <c r="BT88" s="567"/>
      <c r="BU88" s="567"/>
      <c r="BV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  <c r="BS89" s="567"/>
      <c r="BT89" s="567"/>
      <c r="BU89" s="567"/>
      <c r="BV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  <c r="BS90" s="567"/>
      <c r="BT90" s="567"/>
      <c r="BU90" s="567"/>
      <c r="BV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</row>
  </sheetData>
  <mergeCells count="16">
    <mergeCell ref="A1:C2"/>
    <mergeCell ref="D1:F1"/>
    <mergeCell ref="A3:A6"/>
    <mergeCell ref="B5:C5"/>
    <mergeCell ref="A7:C7"/>
    <mergeCell ref="A8:A17"/>
    <mergeCell ref="A18:C18"/>
    <mergeCell ref="A27:C27"/>
    <mergeCell ref="G27:K27"/>
    <mergeCell ref="A19:A20"/>
    <mergeCell ref="A21:C21"/>
    <mergeCell ref="A22:C22"/>
    <mergeCell ref="A23:C23"/>
    <mergeCell ref="A24:C24"/>
    <mergeCell ref="A25:C25"/>
    <mergeCell ref="A26:C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2" max="2" width="7.75"/>
    <col customWidth="1" min="3" max="3" width="11.38"/>
    <col customWidth="1" min="4" max="4" width="7.75"/>
    <col customWidth="1" min="5" max="8" width="9.0"/>
    <col customWidth="1" min="9" max="9" width="11.38"/>
    <col customWidth="1" min="10" max="10" width="14.38"/>
    <col customWidth="1" min="11" max="11" width="11.5"/>
    <col customWidth="1" min="12" max="13" width="11.38"/>
    <col customWidth="1" min="14" max="14" width="6.38"/>
    <col customWidth="1" min="15" max="15" width="9.0"/>
    <col customWidth="1" min="16" max="26" width="2.25"/>
    <col customWidth="1" min="27" max="29" width="4.63"/>
    <col customWidth="1" min="30" max="31" width="5.88"/>
    <col customWidth="1" min="32" max="33" width="7.63"/>
    <col customWidth="1" min="34" max="35" width="9.88"/>
  </cols>
  <sheetData>
    <row r="1">
      <c r="A1" s="824"/>
      <c r="B1" s="825"/>
      <c r="C1" s="826" t="s">
        <v>38</v>
      </c>
      <c r="D1" s="826" t="s">
        <v>880</v>
      </c>
      <c r="E1" s="827" t="s">
        <v>20</v>
      </c>
      <c r="F1" s="828"/>
      <c r="G1" s="828"/>
      <c r="H1" s="828"/>
      <c r="I1" s="828"/>
      <c r="J1" s="828"/>
      <c r="K1" s="652"/>
      <c r="L1" s="829" t="s">
        <v>552</v>
      </c>
      <c r="M1" s="828"/>
      <c r="N1" s="652"/>
      <c r="O1" s="830"/>
    </row>
    <row r="2">
      <c r="A2" s="831" t="s">
        <v>554</v>
      </c>
      <c r="B2" s="832" t="s">
        <v>555</v>
      </c>
      <c r="C2" s="833" t="s">
        <v>881</v>
      </c>
      <c r="D2" s="833" t="s">
        <v>882</v>
      </c>
      <c r="E2" s="834" t="s">
        <v>883</v>
      </c>
      <c r="F2" s="834" t="s">
        <v>884</v>
      </c>
      <c r="G2" s="834" t="s">
        <v>57</v>
      </c>
      <c r="H2" s="834" t="s">
        <v>631</v>
      </c>
      <c r="I2" s="835" t="s">
        <v>885</v>
      </c>
      <c r="J2" s="835" t="s">
        <v>886</v>
      </c>
      <c r="K2" s="832" t="s">
        <v>887</v>
      </c>
      <c r="L2" s="836" t="s">
        <v>888</v>
      </c>
      <c r="M2" s="837" t="s">
        <v>889</v>
      </c>
      <c r="N2" s="838" t="s">
        <v>890</v>
      </c>
      <c r="O2" s="839" t="s">
        <v>18</v>
      </c>
    </row>
    <row r="3">
      <c r="A3" s="840">
        <v>2024.0</v>
      </c>
      <c r="B3" s="841">
        <v>45292.0</v>
      </c>
      <c r="C3" s="842"/>
      <c r="D3" s="843"/>
      <c r="E3" s="844"/>
      <c r="F3" s="259"/>
      <c r="G3" s="259"/>
      <c r="H3" s="259"/>
      <c r="I3" s="259"/>
      <c r="J3" s="259"/>
      <c r="K3" s="845"/>
      <c r="L3" s="846"/>
      <c r="M3" s="844"/>
      <c r="N3" s="847"/>
      <c r="O3" s="848"/>
    </row>
    <row r="4">
      <c r="A4" s="849"/>
      <c r="B4" s="841">
        <v>45323.0</v>
      </c>
      <c r="C4" s="842"/>
      <c r="D4" s="843"/>
      <c r="E4" s="844"/>
      <c r="F4" s="259"/>
      <c r="G4" s="259"/>
      <c r="H4" s="259"/>
      <c r="I4" s="259"/>
      <c r="J4" s="259"/>
      <c r="K4" s="845"/>
      <c r="L4" s="846"/>
      <c r="M4" s="844"/>
      <c r="N4" s="847"/>
      <c r="O4" s="848"/>
    </row>
    <row r="5">
      <c r="A5" s="849"/>
      <c r="B5" s="841">
        <v>45352.0</v>
      </c>
      <c r="C5" s="842">
        <f>4630690-1380000</f>
        <v>3250690</v>
      </c>
      <c r="D5" s="843"/>
      <c r="E5" s="844"/>
      <c r="F5" s="259"/>
      <c r="G5" s="259"/>
      <c r="H5" s="259"/>
      <c r="I5" s="259"/>
      <c r="J5" s="259"/>
      <c r="K5" s="845"/>
      <c r="L5" s="850">
        <v>0.0</v>
      </c>
      <c r="M5" s="851">
        <f>C5-K5</f>
        <v>3250690</v>
      </c>
      <c r="N5" s="852">
        <f t="shared" ref="N5:N62" si="1">M5/10000</f>
        <v>325.069</v>
      </c>
      <c r="O5" s="848"/>
    </row>
    <row r="6">
      <c r="A6" s="849"/>
      <c r="B6" s="841">
        <v>45383.0</v>
      </c>
      <c r="C6" s="842">
        <v>102000.0</v>
      </c>
      <c r="D6" s="853">
        <f>'貸款'!F13</f>
        <v>5569</v>
      </c>
      <c r="E6" s="851">
        <v>35074.25</v>
      </c>
      <c r="F6" s="854">
        <v>31525.666666666668</v>
      </c>
      <c r="G6" s="854">
        <v>8951.833333333334</v>
      </c>
      <c r="H6" s="854">
        <v>25000.0</v>
      </c>
      <c r="I6" s="854">
        <f>'預估計算表'!F14</f>
        <v>0</v>
      </c>
      <c r="J6" s="854">
        <v>0.0</v>
      </c>
      <c r="K6" s="855">
        <f t="shared" ref="K6:K62" si="2">SUM(E6:J6)</f>
        <v>100551.75</v>
      </c>
      <c r="L6" s="850">
        <f t="shared" ref="L6:L62" si="3">C6-D6-K6</f>
        <v>-4120.75</v>
      </c>
      <c r="M6" s="851">
        <f t="shared" ref="M6:M62" si="4">M5+L6</f>
        <v>3246569.25</v>
      </c>
      <c r="N6" s="852">
        <f t="shared" si="1"/>
        <v>324.656925</v>
      </c>
      <c r="O6" s="856" t="s">
        <v>891</v>
      </c>
    </row>
    <row r="7">
      <c r="A7" s="849"/>
      <c r="B7" s="841">
        <v>45413.0</v>
      </c>
      <c r="C7" s="842">
        <v>102298.0</v>
      </c>
      <c r="D7" s="853">
        <f>'貸款'!F14</f>
        <v>5548</v>
      </c>
      <c r="E7" s="851">
        <v>35074.25</v>
      </c>
      <c r="F7" s="854">
        <v>31525.666666666668</v>
      </c>
      <c r="G7" s="854">
        <v>8951.833333333334</v>
      </c>
      <c r="H7" s="854">
        <v>25000.0</v>
      </c>
      <c r="I7" s="854">
        <f>'預估計算表'!F15</f>
        <v>0</v>
      </c>
      <c r="J7" s="854">
        <f t="shared" ref="J7:J62" si="5">J6</f>
        <v>0</v>
      </c>
      <c r="K7" s="855">
        <f t="shared" si="2"/>
        <v>100551.75</v>
      </c>
      <c r="L7" s="850">
        <f t="shared" si="3"/>
        <v>-3801.75</v>
      </c>
      <c r="M7" s="851">
        <f t="shared" si="4"/>
        <v>3242767.5</v>
      </c>
      <c r="N7" s="852">
        <f t="shared" si="1"/>
        <v>324.27675</v>
      </c>
      <c r="O7" s="848"/>
    </row>
    <row r="8">
      <c r="A8" s="849"/>
      <c r="B8" s="841">
        <v>45444.0</v>
      </c>
      <c r="C8" s="842">
        <v>100640.0</v>
      </c>
      <c r="D8" s="853">
        <f>'貸款'!F15</f>
        <v>5563.449</v>
      </c>
      <c r="E8" s="851">
        <v>35074.25</v>
      </c>
      <c r="F8" s="854">
        <v>31525.666666666668</v>
      </c>
      <c r="G8" s="854">
        <v>8951.833333333334</v>
      </c>
      <c r="H8" s="854">
        <v>25000.0</v>
      </c>
      <c r="I8" s="854">
        <f>'預估計算表'!F16</f>
        <v>0</v>
      </c>
      <c r="J8" s="854">
        <f t="shared" si="5"/>
        <v>0</v>
      </c>
      <c r="K8" s="855">
        <f t="shared" si="2"/>
        <v>100551.75</v>
      </c>
      <c r="L8" s="850">
        <f t="shared" si="3"/>
        <v>-5475.199</v>
      </c>
      <c r="M8" s="851">
        <f t="shared" si="4"/>
        <v>3237292.301</v>
      </c>
      <c r="N8" s="852">
        <f t="shared" si="1"/>
        <v>323.7292301</v>
      </c>
      <c r="O8" s="848"/>
    </row>
    <row r="9">
      <c r="A9" s="849"/>
      <c r="B9" s="841">
        <v>45474.0</v>
      </c>
      <c r="C9" s="842">
        <v>266279.0</v>
      </c>
      <c r="D9" s="853">
        <f>'貸款'!F16</f>
        <v>5573.3241</v>
      </c>
      <c r="E9" s="851">
        <v>35074.25</v>
      </c>
      <c r="F9" s="854">
        <v>31525.666666666668</v>
      </c>
      <c r="G9" s="854">
        <v>8951.833333333334</v>
      </c>
      <c r="H9" s="854">
        <v>25000.0</v>
      </c>
      <c r="I9" s="854">
        <f>'預估計算表'!F17</f>
        <v>2400000</v>
      </c>
      <c r="J9" s="854">
        <f t="shared" si="5"/>
        <v>0</v>
      </c>
      <c r="K9" s="855">
        <f t="shared" si="2"/>
        <v>2500551.75</v>
      </c>
      <c r="L9" s="850">
        <f t="shared" si="3"/>
        <v>-2239846.074</v>
      </c>
      <c r="M9" s="851">
        <f t="shared" si="4"/>
        <v>997446.2269</v>
      </c>
      <c r="N9" s="852">
        <f t="shared" si="1"/>
        <v>99.74462269</v>
      </c>
      <c r="O9" s="848"/>
    </row>
    <row r="10">
      <c r="A10" s="849"/>
      <c r="B10" s="841">
        <v>45505.0</v>
      </c>
      <c r="C10" s="842">
        <v>114609.0</v>
      </c>
      <c r="D10" s="853">
        <f>'貸款'!F17</f>
        <v>5583.2168</v>
      </c>
      <c r="E10" s="851">
        <v>35074.25</v>
      </c>
      <c r="F10" s="854">
        <v>31525.666666666668</v>
      </c>
      <c r="G10" s="854">
        <v>8951.833333333334</v>
      </c>
      <c r="H10" s="854">
        <v>25000.0</v>
      </c>
      <c r="I10" s="854">
        <f>'預估計算表'!F18</f>
        <v>0</v>
      </c>
      <c r="J10" s="854">
        <f t="shared" si="5"/>
        <v>0</v>
      </c>
      <c r="K10" s="855">
        <f t="shared" si="2"/>
        <v>100551.75</v>
      </c>
      <c r="L10" s="850">
        <f t="shared" si="3"/>
        <v>8474.0332</v>
      </c>
      <c r="M10" s="851">
        <f t="shared" si="4"/>
        <v>1005920.26</v>
      </c>
      <c r="N10" s="852">
        <f t="shared" si="1"/>
        <v>100.592026</v>
      </c>
      <c r="O10" s="848"/>
    </row>
    <row r="11">
      <c r="A11" s="849"/>
      <c r="B11" s="841">
        <v>45536.0</v>
      </c>
      <c r="C11" s="842">
        <v>115159.0</v>
      </c>
      <c r="D11" s="853">
        <f>'貸款'!F18</f>
        <v>5593.127</v>
      </c>
      <c r="E11" s="851">
        <v>35074.25</v>
      </c>
      <c r="F11" s="854">
        <v>31525.666666666668</v>
      </c>
      <c r="G11" s="854">
        <v>8951.833333333334</v>
      </c>
      <c r="H11" s="854">
        <v>25000.0</v>
      </c>
      <c r="I11" s="854">
        <f>'預估計算表'!F19</f>
        <v>29071.68</v>
      </c>
      <c r="J11" s="854">
        <f t="shared" si="5"/>
        <v>0</v>
      </c>
      <c r="K11" s="855">
        <f t="shared" si="2"/>
        <v>129623.43</v>
      </c>
      <c r="L11" s="850">
        <f t="shared" si="3"/>
        <v>-20057.557</v>
      </c>
      <c r="M11" s="851">
        <f t="shared" si="4"/>
        <v>985862.7031</v>
      </c>
      <c r="N11" s="852">
        <f t="shared" si="1"/>
        <v>98.58627031</v>
      </c>
      <c r="O11" s="848"/>
    </row>
    <row r="12">
      <c r="A12" s="849"/>
      <c r="B12" s="841">
        <v>45566.0</v>
      </c>
      <c r="C12" s="842">
        <v>180092.0</v>
      </c>
      <c r="D12" s="853">
        <f>'貸款'!F19</f>
        <v>5603.0548</v>
      </c>
      <c r="E12" s="851">
        <v>35074.25</v>
      </c>
      <c r="F12" s="854">
        <v>31525.666666666668</v>
      </c>
      <c r="G12" s="854">
        <v>8951.833333333334</v>
      </c>
      <c r="H12" s="854">
        <v>25000.0</v>
      </c>
      <c r="I12" s="854">
        <f>'預估計算表'!F20</f>
        <v>29071.68</v>
      </c>
      <c r="J12" s="854">
        <f t="shared" si="5"/>
        <v>0</v>
      </c>
      <c r="K12" s="855">
        <f t="shared" si="2"/>
        <v>129623.43</v>
      </c>
      <c r="L12" s="850">
        <f t="shared" si="3"/>
        <v>44865.5152</v>
      </c>
      <c r="M12" s="851">
        <f t="shared" si="4"/>
        <v>1030728.218</v>
      </c>
      <c r="N12" s="852">
        <f t="shared" si="1"/>
        <v>103.0728218</v>
      </c>
      <c r="O12" s="848"/>
    </row>
    <row r="13">
      <c r="A13" s="849"/>
      <c r="B13" s="841">
        <v>45597.0</v>
      </c>
      <c r="C13" s="842">
        <v>98000.0</v>
      </c>
      <c r="D13" s="853">
        <f>'貸款'!F20</f>
        <v>5613.0002</v>
      </c>
      <c r="E13" s="851">
        <v>35074.25</v>
      </c>
      <c r="F13" s="854">
        <v>31525.666666666668</v>
      </c>
      <c r="G13" s="854">
        <v>8951.833333333334</v>
      </c>
      <c r="H13" s="854">
        <v>25000.0</v>
      </c>
      <c r="I13" s="854">
        <f>'預估計算表'!F21</f>
        <v>29071.68</v>
      </c>
      <c r="J13" s="854">
        <f t="shared" si="5"/>
        <v>0</v>
      </c>
      <c r="K13" s="855">
        <f t="shared" si="2"/>
        <v>129623.43</v>
      </c>
      <c r="L13" s="850">
        <f t="shared" si="3"/>
        <v>-37236.4302</v>
      </c>
      <c r="M13" s="851">
        <f t="shared" si="4"/>
        <v>993491.7881</v>
      </c>
      <c r="N13" s="852">
        <f t="shared" si="1"/>
        <v>99.34917881</v>
      </c>
      <c r="O13" s="848"/>
    </row>
    <row r="14">
      <c r="A14" s="857"/>
      <c r="B14" s="858">
        <v>45627.0</v>
      </c>
      <c r="C14" s="859">
        <v>99165.0</v>
      </c>
      <c r="D14" s="860">
        <f>'貸款'!F21</f>
        <v>5622.9633</v>
      </c>
      <c r="E14" s="851">
        <v>35074.25</v>
      </c>
      <c r="F14" s="854">
        <v>31525.666666666668</v>
      </c>
      <c r="G14" s="854">
        <v>8951.833333333334</v>
      </c>
      <c r="H14" s="861">
        <v>25000.0</v>
      </c>
      <c r="I14" s="861">
        <f>'預估計算表'!F22</f>
        <v>29071.68</v>
      </c>
      <c r="J14" s="854">
        <f t="shared" si="5"/>
        <v>0</v>
      </c>
      <c r="K14" s="855">
        <f t="shared" si="2"/>
        <v>129623.43</v>
      </c>
      <c r="L14" s="862">
        <f t="shared" si="3"/>
        <v>-36081.3933</v>
      </c>
      <c r="M14" s="863">
        <f t="shared" si="4"/>
        <v>957410.3948</v>
      </c>
      <c r="N14" s="864">
        <f t="shared" si="1"/>
        <v>95.74103948</v>
      </c>
      <c r="O14" s="848"/>
    </row>
    <row r="15">
      <c r="A15" s="865">
        <v>2025.0</v>
      </c>
      <c r="B15" s="866">
        <v>45658.0</v>
      </c>
      <c r="C15" s="842">
        <v>686619.0</v>
      </c>
      <c r="D15" s="853">
        <f>'貸款'!F22</f>
        <v>5632.944</v>
      </c>
      <c r="E15" s="867">
        <v>35074.25</v>
      </c>
      <c r="F15" s="868">
        <v>31525.666666666668</v>
      </c>
      <c r="G15" s="868">
        <v>8951.833333333334</v>
      </c>
      <c r="H15" s="854">
        <v>25000.0</v>
      </c>
      <c r="I15" s="854">
        <f>'預估計算表'!F23</f>
        <v>29071.68</v>
      </c>
      <c r="J15" s="868">
        <f t="shared" si="5"/>
        <v>0</v>
      </c>
      <c r="K15" s="869">
        <f t="shared" si="2"/>
        <v>129623.43</v>
      </c>
      <c r="L15" s="850">
        <f t="shared" si="3"/>
        <v>551362.626</v>
      </c>
      <c r="M15" s="851">
        <f t="shared" si="4"/>
        <v>1508773.021</v>
      </c>
      <c r="N15" s="852">
        <f t="shared" si="1"/>
        <v>150.8773021</v>
      </c>
      <c r="O15" s="870"/>
    </row>
    <row r="16">
      <c r="A16" s="871"/>
      <c r="B16" s="872">
        <v>45689.0</v>
      </c>
      <c r="C16" s="842">
        <v>98790.0</v>
      </c>
      <c r="D16" s="853">
        <f>'貸款'!F23</f>
        <v>5642.9425</v>
      </c>
      <c r="E16" s="851">
        <v>35074.25</v>
      </c>
      <c r="F16" s="854">
        <v>31525.666666666668</v>
      </c>
      <c r="G16" s="854">
        <v>8951.833333333334</v>
      </c>
      <c r="H16" s="854">
        <v>25000.0</v>
      </c>
      <c r="I16" s="854">
        <f>'預估計算表'!F24</f>
        <v>29071.68</v>
      </c>
      <c r="J16" s="854">
        <f t="shared" si="5"/>
        <v>0</v>
      </c>
      <c r="K16" s="855">
        <f t="shared" si="2"/>
        <v>129623.43</v>
      </c>
      <c r="L16" s="850">
        <f t="shared" si="3"/>
        <v>-36476.3725</v>
      </c>
      <c r="M16" s="851">
        <f t="shared" si="4"/>
        <v>1472296.648</v>
      </c>
      <c r="N16" s="852">
        <f t="shared" si="1"/>
        <v>147.2296648</v>
      </c>
      <c r="O16" s="848"/>
    </row>
    <row r="17">
      <c r="A17" s="871"/>
      <c r="B17" s="872">
        <v>45717.0</v>
      </c>
      <c r="C17" s="842">
        <v>100730.0</v>
      </c>
      <c r="D17" s="853">
        <f>'貸款'!F24</f>
        <v>5652.9587</v>
      </c>
      <c r="E17" s="851">
        <v>35074.25</v>
      </c>
      <c r="F17" s="854">
        <v>31525.666666666668</v>
      </c>
      <c r="G17" s="854">
        <v>8951.833333333334</v>
      </c>
      <c r="H17" s="854">
        <v>25000.0</v>
      </c>
      <c r="I17" s="854">
        <f>'預估計算表'!F25</f>
        <v>29071.68</v>
      </c>
      <c r="J17" s="854">
        <f t="shared" si="5"/>
        <v>0</v>
      </c>
      <c r="K17" s="855">
        <f t="shared" si="2"/>
        <v>129623.43</v>
      </c>
      <c r="L17" s="850">
        <f t="shared" si="3"/>
        <v>-34546.3887</v>
      </c>
      <c r="M17" s="851">
        <f t="shared" si="4"/>
        <v>1437750.26</v>
      </c>
      <c r="N17" s="852">
        <f t="shared" si="1"/>
        <v>143.775026</v>
      </c>
      <c r="O17" s="848"/>
    </row>
    <row r="18">
      <c r="A18" s="871"/>
      <c r="B18" s="872">
        <v>45748.0</v>
      </c>
      <c r="C18" s="842">
        <v>102000.0</v>
      </c>
      <c r="D18" s="853">
        <f>'貸款'!F25</f>
        <v>5662.9927</v>
      </c>
      <c r="E18" s="851">
        <v>35074.25</v>
      </c>
      <c r="F18" s="854">
        <v>31525.666666666668</v>
      </c>
      <c r="G18" s="854">
        <v>8951.833333333334</v>
      </c>
      <c r="H18" s="854">
        <v>25000.0</v>
      </c>
      <c r="I18" s="854">
        <f>'預估計算表'!F26</f>
        <v>29071.68</v>
      </c>
      <c r="J18" s="854">
        <f t="shared" si="5"/>
        <v>0</v>
      </c>
      <c r="K18" s="855">
        <f t="shared" si="2"/>
        <v>129623.43</v>
      </c>
      <c r="L18" s="850">
        <f t="shared" si="3"/>
        <v>-33286.4227</v>
      </c>
      <c r="M18" s="851">
        <f t="shared" si="4"/>
        <v>1404463.837</v>
      </c>
      <c r="N18" s="852">
        <f t="shared" si="1"/>
        <v>140.4463837</v>
      </c>
      <c r="O18" s="848"/>
    </row>
    <row r="19">
      <c r="A19" s="871"/>
      <c r="B19" s="872">
        <v>45778.0</v>
      </c>
      <c r="C19" s="842">
        <v>102298.0</v>
      </c>
      <c r="D19" s="853">
        <f>'貸款'!F26</f>
        <v>5673.0446</v>
      </c>
      <c r="E19" s="851">
        <v>35074.25</v>
      </c>
      <c r="F19" s="854">
        <v>31525.666666666668</v>
      </c>
      <c r="G19" s="854">
        <v>8951.833333333334</v>
      </c>
      <c r="H19" s="854">
        <v>25000.0</v>
      </c>
      <c r="I19" s="854">
        <f>'預估計算表'!F27</f>
        <v>29071.68</v>
      </c>
      <c r="J19" s="854">
        <f t="shared" si="5"/>
        <v>0</v>
      </c>
      <c r="K19" s="855">
        <f t="shared" si="2"/>
        <v>129623.43</v>
      </c>
      <c r="L19" s="850">
        <f t="shared" si="3"/>
        <v>-32998.4746</v>
      </c>
      <c r="M19" s="851">
        <f t="shared" si="4"/>
        <v>1371465.362</v>
      </c>
      <c r="N19" s="852">
        <f t="shared" si="1"/>
        <v>137.1465362</v>
      </c>
      <c r="O19" s="848"/>
    </row>
    <row r="20">
      <c r="A20" s="871"/>
      <c r="B20" s="872">
        <v>45809.0</v>
      </c>
      <c r="C20" s="842">
        <v>100640.0</v>
      </c>
      <c r="D20" s="853">
        <f>'貸款'!F27</f>
        <v>5683.1142</v>
      </c>
      <c r="E20" s="851">
        <v>35074.25</v>
      </c>
      <c r="F20" s="854">
        <v>31525.666666666668</v>
      </c>
      <c r="G20" s="854">
        <v>8951.833333333334</v>
      </c>
      <c r="H20" s="854">
        <v>25000.0</v>
      </c>
      <c r="I20" s="854">
        <f>'預估計算表'!F28</f>
        <v>29071.68</v>
      </c>
      <c r="J20" s="854">
        <f t="shared" si="5"/>
        <v>0</v>
      </c>
      <c r="K20" s="855">
        <f t="shared" si="2"/>
        <v>129623.43</v>
      </c>
      <c r="L20" s="850">
        <f t="shared" si="3"/>
        <v>-34666.5442</v>
      </c>
      <c r="M20" s="851">
        <f t="shared" si="4"/>
        <v>1336798.818</v>
      </c>
      <c r="N20" s="852">
        <f t="shared" si="1"/>
        <v>133.6798818</v>
      </c>
      <c r="O20" s="848"/>
    </row>
    <row r="21">
      <c r="A21" s="871"/>
      <c r="B21" s="872">
        <v>45839.0</v>
      </c>
      <c r="C21" s="842">
        <v>266279.0</v>
      </c>
      <c r="D21" s="853">
        <f>'貸款'!F28</f>
        <v>5693.2017</v>
      </c>
      <c r="E21" s="851">
        <v>35074.25</v>
      </c>
      <c r="F21" s="854">
        <v>31525.666666666668</v>
      </c>
      <c r="G21" s="854">
        <v>8951.833333333334</v>
      </c>
      <c r="H21" s="854">
        <v>25000.0</v>
      </c>
      <c r="I21" s="854">
        <f>'預估計算表'!F29</f>
        <v>29071.68</v>
      </c>
      <c r="J21" s="854">
        <f t="shared" si="5"/>
        <v>0</v>
      </c>
      <c r="K21" s="855">
        <f t="shared" si="2"/>
        <v>129623.43</v>
      </c>
      <c r="L21" s="850">
        <f t="shared" si="3"/>
        <v>130962.3683</v>
      </c>
      <c r="M21" s="851">
        <f t="shared" si="4"/>
        <v>1467761.186</v>
      </c>
      <c r="N21" s="852">
        <f t="shared" si="1"/>
        <v>146.7761186</v>
      </c>
      <c r="O21" s="848"/>
    </row>
    <row r="22">
      <c r="A22" s="871"/>
      <c r="B22" s="872">
        <v>45870.0</v>
      </c>
      <c r="C22" s="842">
        <v>114609.0</v>
      </c>
      <c r="D22" s="853">
        <f>'貸款'!F29</f>
        <v>5703.3072</v>
      </c>
      <c r="E22" s="851">
        <v>35074.25</v>
      </c>
      <c r="F22" s="854">
        <v>31525.666666666668</v>
      </c>
      <c r="G22" s="854">
        <v>8951.833333333334</v>
      </c>
      <c r="H22" s="854">
        <v>25000.0</v>
      </c>
      <c r="I22" s="854">
        <f>'預估計算表'!F30</f>
        <v>29071.68</v>
      </c>
      <c r="J22" s="854">
        <f t="shared" si="5"/>
        <v>0</v>
      </c>
      <c r="K22" s="855">
        <f t="shared" si="2"/>
        <v>129623.43</v>
      </c>
      <c r="L22" s="850">
        <f t="shared" si="3"/>
        <v>-20717.7372</v>
      </c>
      <c r="M22" s="851">
        <f t="shared" si="4"/>
        <v>1447043.449</v>
      </c>
      <c r="N22" s="852">
        <f t="shared" si="1"/>
        <v>144.7043449</v>
      </c>
      <c r="O22" s="848"/>
    </row>
    <row r="23">
      <c r="A23" s="871"/>
      <c r="B23" s="872">
        <v>45901.0</v>
      </c>
      <c r="C23" s="842">
        <v>115159.0</v>
      </c>
      <c r="D23" s="853">
        <f>'貸款'!F30</f>
        <v>5713.4305</v>
      </c>
      <c r="E23" s="851">
        <v>35074.25</v>
      </c>
      <c r="F23" s="854">
        <v>31525.666666666668</v>
      </c>
      <c r="G23" s="854">
        <v>8951.833333333334</v>
      </c>
      <c r="H23" s="854">
        <v>25000.0</v>
      </c>
      <c r="I23" s="854">
        <f>'預估計算表'!F31</f>
        <v>29071.68</v>
      </c>
      <c r="J23" s="854">
        <f t="shared" si="5"/>
        <v>0</v>
      </c>
      <c r="K23" s="855">
        <f t="shared" si="2"/>
        <v>129623.43</v>
      </c>
      <c r="L23" s="850">
        <f t="shared" si="3"/>
        <v>-20177.8605</v>
      </c>
      <c r="M23" s="851">
        <f t="shared" si="4"/>
        <v>1426865.589</v>
      </c>
      <c r="N23" s="852">
        <f t="shared" si="1"/>
        <v>142.6865589</v>
      </c>
      <c r="O23" s="848"/>
    </row>
    <row r="24">
      <c r="A24" s="871"/>
      <c r="B24" s="872">
        <v>45931.0</v>
      </c>
      <c r="C24" s="842">
        <v>180092.0</v>
      </c>
      <c r="D24" s="853">
        <f>'貸款'!F31</f>
        <v>2770.0467</v>
      </c>
      <c r="E24" s="851">
        <v>35074.25</v>
      </c>
      <c r="F24" s="854">
        <v>31525.666666666668</v>
      </c>
      <c r="G24" s="854">
        <v>8951.833333333334</v>
      </c>
      <c r="H24" s="854">
        <v>25000.0</v>
      </c>
      <c r="I24" s="854">
        <f>'預估計算表'!F32</f>
        <v>29071.68</v>
      </c>
      <c r="J24" s="854">
        <f t="shared" si="5"/>
        <v>0</v>
      </c>
      <c r="K24" s="855">
        <f t="shared" si="2"/>
        <v>129623.43</v>
      </c>
      <c r="L24" s="850">
        <f t="shared" si="3"/>
        <v>47698.5233</v>
      </c>
      <c r="M24" s="851">
        <f t="shared" si="4"/>
        <v>1474564.112</v>
      </c>
      <c r="N24" s="852">
        <f t="shared" si="1"/>
        <v>147.4564112</v>
      </c>
      <c r="O24" s="848"/>
    </row>
    <row r="25">
      <c r="A25" s="871"/>
      <c r="B25" s="872">
        <v>45962.0</v>
      </c>
      <c r="C25" s="842">
        <v>98000.0</v>
      </c>
      <c r="D25" s="853">
        <f>'貸款'!F32</f>
        <v>2774.9636</v>
      </c>
      <c r="E25" s="851">
        <v>35074.25</v>
      </c>
      <c r="F25" s="854">
        <v>31525.666666666668</v>
      </c>
      <c r="G25" s="854">
        <v>8951.833333333334</v>
      </c>
      <c r="H25" s="854">
        <v>25000.0</v>
      </c>
      <c r="I25" s="854">
        <f>'預估計算表'!F33</f>
        <v>29071.68</v>
      </c>
      <c r="J25" s="854">
        <f t="shared" si="5"/>
        <v>0</v>
      </c>
      <c r="K25" s="855">
        <f t="shared" si="2"/>
        <v>129623.43</v>
      </c>
      <c r="L25" s="850">
        <f t="shared" si="3"/>
        <v>-34398.3936</v>
      </c>
      <c r="M25" s="851">
        <f t="shared" si="4"/>
        <v>1440165.718</v>
      </c>
      <c r="N25" s="852">
        <f t="shared" si="1"/>
        <v>144.0165718</v>
      </c>
      <c r="O25" s="848"/>
    </row>
    <row r="26">
      <c r="A26" s="873"/>
      <c r="B26" s="872">
        <v>45992.0</v>
      </c>
      <c r="C26" s="842">
        <v>99165.0</v>
      </c>
      <c r="D26" s="860">
        <f>'貸款'!F33</f>
        <v>2779.8891</v>
      </c>
      <c r="E26" s="863">
        <v>35074.25</v>
      </c>
      <c r="F26" s="861">
        <v>31525.666666666668</v>
      </c>
      <c r="G26" s="861">
        <v>8951.833333333334</v>
      </c>
      <c r="H26" s="861">
        <v>25000.0</v>
      </c>
      <c r="I26" s="861">
        <f>'預估計算表'!F34</f>
        <v>29071.68</v>
      </c>
      <c r="J26" s="861">
        <f t="shared" si="5"/>
        <v>0</v>
      </c>
      <c r="K26" s="874">
        <f t="shared" si="2"/>
        <v>129623.43</v>
      </c>
      <c r="L26" s="850">
        <f t="shared" si="3"/>
        <v>-33238.3191</v>
      </c>
      <c r="M26" s="851">
        <f t="shared" si="4"/>
        <v>1406927.399</v>
      </c>
      <c r="N26" s="852">
        <f t="shared" si="1"/>
        <v>140.6927399</v>
      </c>
      <c r="O26" s="875"/>
    </row>
    <row r="27">
      <c r="A27" s="876">
        <v>2026.0</v>
      </c>
      <c r="B27" s="877">
        <v>46023.0</v>
      </c>
      <c r="C27" s="878">
        <v>686619.0</v>
      </c>
      <c r="D27" s="853">
        <f>'貸款'!F34</f>
        <v>2784.8234</v>
      </c>
      <c r="E27" s="851">
        <v>35074.25</v>
      </c>
      <c r="F27" s="854">
        <v>31525.666666666668</v>
      </c>
      <c r="G27" s="854">
        <v>8951.833333333334</v>
      </c>
      <c r="H27" s="854">
        <v>25000.0</v>
      </c>
      <c r="I27" s="854">
        <f>'預估計算表'!F35</f>
        <v>29071.68</v>
      </c>
      <c r="J27" s="854">
        <f t="shared" si="5"/>
        <v>0</v>
      </c>
      <c r="K27" s="855">
        <f t="shared" si="2"/>
        <v>129623.43</v>
      </c>
      <c r="L27" s="879">
        <f t="shared" si="3"/>
        <v>554210.7466</v>
      </c>
      <c r="M27" s="867">
        <f t="shared" si="4"/>
        <v>1961138.146</v>
      </c>
      <c r="N27" s="880">
        <f t="shared" si="1"/>
        <v>196.1138146</v>
      </c>
      <c r="O27" s="848"/>
    </row>
    <row r="28">
      <c r="A28" s="849"/>
      <c r="B28" s="877">
        <v>46054.0</v>
      </c>
      <c r="C28" s="842">
        <v>98790.0</v>
      </c>
      <c r="D28" s="853">
        <f>'貸款'!F35</f>
        <v>2789.7665</v>
      </c>
      <c r="E28" s="851">
        <v>35074.25</v>
      </c>
      <c r="F28" s="854">
        <v>31525.666666666668</v>
      </c>
      <c r="G28" s="854">
        <v>8951.833333333334</v>
      </c>
      <c r="H28" s="854">
        <v>25000.0</v>
      </c>
      <c r="I28" s="854">
        <f>'預估計算表'!F36</f>
        <v>29071.68</v>
      </c>
      <c r="J28" s="854">
        <f t="shared" si="5"/>
        <v>0</v>
      </c>
      <c r="K28" s="855">
        <f t="shared" si="2"/>
        <v>129623.43</v>
      </c>
      <c r="L28" s="850">
        <f t="shared" si="3"/>
        <v>-33623.1965</v>
      </c>
      <c r="M28" s="851">
        <f t="shared" si="4"/>
        <v>1927514.949</v>
      </c>
      <c r="N28" s="852">
        <f t="shared" si="1"/>
        <v>192.7514949</v>
      </c>
      <c r="O28" s="848"/>
    </row>
    <row r="29">
      <c r="A29" s="849"/>
      <c r="B29" s="877">
        <v>46082.0</v>
      </c>
      <c r="C29" s="842">
        <v>100730.0</v>
      </c>
      <c r="D29" s="853">
        <f>'貸款'!F36</f>
        <v>2794.7183</v>
      </c>
      <c r="E29" s="851">
        <v>35074.25</v>
      </c>
      <c r="F29" s="854">
        <v>31525.666666666668</v>
      </c>
      <c r="G29" s="854">
        <v>8951.833333333334</v>
      </c>
      <c r="H29" s="854">
        <v>25000.0</v>
      </c>
      <c r="I29" s="854">
        <f>'預估計算表'!F37</f>
        <v>29071.68</v>
      </c>
      <c r="J29" s="854">
        <f t="shared" si="5"/>
        <v>0</v>
      </c>
      <c r="K29" s="855">
        <f t="shared" si="2"/>
        <v>129623.43</v>
      </c>
      <c r="L29" s="850">
        <f t="shared" si="3"/>
        <v>-31688.1483</v>
      </c>
      <c r="M29" s="851">
        <f t="shared" si="4"/>
        <v>1895826.801</v>
      </c>
      <c r="N29" s="852">
        <f t="shared" si="1"/>
        <v>189.5826801</v>
      </c>
      <c r="O29" s="848"/>
    </row>
    <row r="30">
      <c r="A30" s="849"/>
      <c r="B30" s="877">
        <v>46113.0</v>
      </c>
      <c r="C30" s="842">
        <v>102000.0</v>
      </c>
      <c r="D30" s="853">
        <f>'貸款'!F37</f>
        <v>2799.6789</v>
      </c>
      <c r="E30" s="851">
        <v>35074.25</v>
      </c>
      <c r="F30" s="854">
        <v>31525.666666666668</v>
      </c>
      <c r="G30" s="854">
        <v>8951.833333333334</v>
      </c>
      <c r="H30" s="854">
        <v>25000.0</v>
      </c>
      <c r="I30" s="854">
        <f>'預估計算表'!F38</f>
        <v>29071.68</v>
      </c>
      <c r="J30" s="854">
        <f t="shared" si="5"/>
        <v>0</v>
      </c>
      <c r="K30" s="855">
        <f t="shared" si="2"/>
        <v>129623.43</v>
      </c>
      <c r="L30" s="850">
        <f t="shared" si="3"/>
        <v>-30423.1089</v>
      </c>
      <c r="M30" s="851">
        <f t="shared" si="4"/>
        <v>1865403.692</v>
      </c>
      <c r="N30" s="852">
        <f t="shared" si="1"/>
        <v>186.5403692</v>
      </c>
      <c r="O30" s="848"/>
    </row>
    <row r="31">
      <c r="A31" s="849"/>
      <c r="B31" s="877">
        <v>46143.0</v>
      </c>
      <c r="C31" s="842">
        <v>102298.0</v>
      </c>
      <c r="D31" s="853">
        <f>'貸款'!F38</f>
        <v>0</v>
      </c>
      <c r="E31" s="851">
        <v>35074.25</v>
      </c>
      <c r="F31" s="854">
        <v>31525.666666666668</v>
      </c>
      <c r="G31" s="854">
        <v>8951.833333333334</v>
      </c>
      <c r="H31" s="854">
        <v>25000.0</v>
      </c>
      <c r="I31" s="854">
        <f>'預估計算表'!F39</f>
        <v>29071.68</v>
      </c>
      <c r="J31" s="854">
        <f t="shared" si="5"/>
        <v>0</v>
      </c>
      <c r="K31" s="855">
        <f t="shared" si="2"/>
        <v>129623.43</v>
      </c>
      <c r="L31" s="850">
        <f t="shared" si="3"/>
        <v>-27325.43</v>
      </c>
      <c r="M31" s="851">
        <f t="shared" si="4"/>
        <v>1838078.262</v>
      </c>
      <c r="N31" s="852">
        <f t="shared" si="1"/>
        <v>183.8078262</v>
      </c>
      <c r="O31" s="848"/>
    </row>
    <row r="32">
      <c r="A32" s="849"/>
      <c r="B32" s="877">
        <v>46174.0</v>
      </c>
      <c r="C32" s="842">
        <v>100640.0</v>
      </c>
      <c r="D32" s="853">
        <f>'貸款'!F39</f>
        <v>10983</v>
      </c>
      <c r="E32" s="851">
        <v>35074.25</v>
      </c>
      <c r="F32" s="854">
        <v>31525.666666666668</v>
      </c>
      <c r="G32" s="854">
        <v>8951.833333333334</v>
      </c>
      <c r="H32" s="854">
        <v>25000.0</v>
      </c>
      <c r="I32" s="854">
        <f>'預估計算表'!F40</f>
        <v>29071.68</v>
      </c>
      <c r="J32" s="854">
        <f t="shared" si="5"/>
        <v>0</v>
      </c>
      <c r="K32" s="855">
        <f t="shared" si="2"/>
        <v>129623.43</v>
      </c>
      <c r="L32" s="850">
        <f t="shared" si="3"/>
        <v>-39966.43</v>
      </c>
      <c r="M32" s="851">
        <f t="shared" si="4"/>
        <v>1798111.832</v>
      </c>
      <c r="N32" s="852">
        <f t="shared" si="1"/>
        <v>179.8111832</v>
      </c>
      <c r="O32" s="848"/>
    </row>
    <row r="33">
      <c r="A33" s="849"/>
      <c r="B33" s="877">
        <v>46204.0</v>
      </c>
      <c r="C33" s="842">
        <v>266279.0</v>
      </c>
      <c r="D33" s="853">
        <f>'貸款'!F40</f>
        <v>11004</v>
      </c>
      <c r="E33" s="851">
        <v>35074.25</v>
      </c>
      <c r="F33" s="854">
        <v>31525.666666666668</v>
      </c>
      <c r="G33" s="854">
        <v>8951.833333333334</v>
      </c>
      <c r="H33" s="854">
        <v>25000.0</v>
      </c>
      <c r="I33" s="854">
        <f>'預估計算表'!F41</f>
        <v>29071.68</v>
      </c>
      <c r="J33" s="854">
        <f t="shared" si="5"/>
        <v>0</v>
      </c>
      <c r="K33" s="855">
        <f t="shared" si="2"/>
        <v>129623.43</v>
      </c>
      <c r="L33" s="850">
        <f t="shared" si="3"/>
        <v>125651.57</v>
      </c>
      <c r="M33" s="851">
        <f t="shared" si="4"/>
        <v>1923763.402</v>
      </c>
      <c r="N33" s="852">
        <f t="shared" si="1"/>
        <v>192.3763402</v>
      </c>
      <c r="O33" s="848"/>
    </row>
    <row r="34">
      <c r="A34" s="849"/>
      <c r="B34" s="877">
        <v>46235.0</v>
      </c>
      <c r="C34" s="842">
        <v>114609.0</v>
      </c>
      <c r="D34" s="853">
        <f>'貸款'!F41</f>
        <v>11025</v>
      </c>
      <c r="E34" s="851">
        <v>35074.25</v>
      </c>
      <c r="F34" s="854">
        <v>31525.666666666668</v>
      </c>
      <c r="G34" s="854">
        <v>8951.833333333334</v>
      </c>
      <c r="H34" s="854">
        <v>25000.0</v>
      </c>
      <c r="I34" s="854">
        <f>'預估計算表'!F42</f>
        <v>29071.68</v>
      </c>
      <c r="J34" s="854">
        <f t="shared" si="5"/>
        <v>0</v>
      </c>
      <c r="K34" s="855">
        <f t="shared" si="2"/>
        <v>129623.43</v>
      </c>
      <c r="L34" s="850">
        <f t="shared" si="3"/>
        <v>-26039.43</v>
      </c>
      <c r="M34" s="851">
        <f t="shared" si="4"/>
        <v>1897723.972</v>
      </c>
      <c r="N34" s="852">
        <f t="shared" si="1"/>
        <v>189.7723972</v>
      </c>
      <c r="O34" s="848"/>
    </row>
    <row r="35">
      <c r="A35" s="849"/>
      <c r="B35" s="877">
        <v>46266.0</v>
      </c>
      <c r="C35" s="842">
        <v>115159.0</v>
      </c>
      <c r="D35" s="853">
        <f>'貸款'!F42</f>
        <v>11047</v>
      </c>
      <c r="E35" s="851">
        <v>35074.25</v>
      </c>
      <c r="F35" s="854">
        <v>31525.666666666668</v>
      </c>
      <c r="G35" s="854">
        <v>8951.833333333334</v>
      </c>
      <c r="H35" s="854">
        <v>25000.0</v>
      </c>
      <c r="I35" s="854">
        <f>'預估計算表'!F43</f>
        <v>29071.68</v>
      </c>
      <c r="J35" s="854">
        <f t="shared" si="5"/>
        <v>0</v>
      </c>
      <c r="K35" s="855">
        <f t="shared" si="2"/>
        <v>129623.43</v>
      </c>
      <c r="L35" s="850">
        <f t="shared" si="3"/>
        <v>-25511.43</v>
      </c>
      <c r="M35" s="851">
        <f t="shared" si="4"/>
        <v>1872212.542</v>
      </c>
      <c r="N35" s="852">
        <f t="shared" si="1"/>
        <v>187.2212542</v>
      </c>
      <c r="O35" s="848"/>
    </row>
    <row r="36">
      <c r="A36" s="849"/>
      <c r="B36" s="877">
        <v>46296.0</v>
      </c>
      <c r="C36" s="842">
        <v>180092.0</v>
      </c>
      <c r="D36" s="853">
        <f>'貸款'!F43</f>
        <v>11068</v>
      </c>
      <c r="E36" s="851">
        <v>35074.25</v>
      </c>
      <c r="F36" s="854">
        <v>31525.666666666668</v>
      </c>
      <c r="G36" s="854">
        <v>8951.833333333334</v>
      </c>
      <c r="H36" s="854">
        <v>25000.0</v>
      </c>
      <c r="I36" s="854">
        <f>'預估計算表'!F44</f>
        <v>29071.68</v>
      </c>
      <c r="J36" s="854">
        <f t="shared" si="5"/>
        <v>0</v>
      </c>
      <c r="K36" s="855">
        <f t="shared" si="2"/>
        <v>129623.43</v>
      </c>
      <c r="L36" s="850">
        <f t="shared" si="3"/>
        <v>39400.57</v>
      </c>
      <c r="M36" s="851">
        <f t="shared" si="4"/>
        <v>1911613.112</v>
      </c>
      <c r="N36" s="852">
        <f t="shared" si="1"/>
        <v>191.1613112</v>
      </c>
      <c r="O36" s="848"/>
    </row>
    <row r="37">
      <c r="A37" s="849"/>
      <c r="B37" s="877">
        <v>46327.0</v>
      </c>
      <c r="C37" s="842">
        <v>98000.0</v>
      </c>
      <c r="D37" s="853">
        <f>'貸款'!F44</f>
        <v>11089</v>
      </c>
      <c r="E37" s="851">
        <v>35074.25</v>
      </c>
      <c r="F37" s="854">
        <v>31525.666666666668</v>
      </c>
      <c r="G37" s="854">
        <v>8951.833333333334</v>
      </c>
      <c r="H37" s="854">
        <v>25000.0</v>
      </c>
      <c r="I37" s="854">
        <f>'預估計算表'!F45</f>
        <v>29071.68</v>
      </c>
      <c r="J37" s="854">
        <f t="shared" si="5"/>
        <v>0</v>
      </c>
      <c r="K37" s="855">
        <f t="shared" si="2"/>
        <v>129623.43</v>
      </c>
      <c r="L37" s="850">
        <f t="shared" si="3"/>
        <v>-42712.43</v>
      </c>
      <c r="M37" s="851">
        <f t="shared" si="4"/>
        <v>1868900.682</v>
      </c>
      <c r="N37" s="852">
        <f t="shared" si="1"/>
        <v>186.8900682</v>
      </c>
      <c r="O37" s="848"/>
    </row>
    <row r="38">
      <c r="A38" s="857"/>
      <c r="B38" s="881">
        <v>46357.0</v>
      </c>
      <c r="C38" s="859">
        <v>99165.0</v>
      </c>
      <c r="D38" s="860">
        <f>'貸款'!F45</f>
        <v>11110</v>
      </c>
      <c r="E38" s="851">
        <v>35074.25</v>
      </c>
      <c r="F38" s="854">
        <v>31525.666666666668</v>
      </c>
      <c r="G38" s="854">
        <v>8951.833333333334</v>
      </c>
      <c r="H38" s="861">
        <v>25000.0</v>
      </c>
      <c r="I38" s="861">
        <f>'預估計算表'!F46</f>
        <v>29071.68</v>
      </c>
      <c r="J38" s="854">
        <f t="shared" si="5"/>
        <v>0</v>
      </c>
      <c r="K38" s="855">
        <f t="shared" si="2"/>
        <v>129623.43</v>
      </c>
      <c r="L38" s="862">
        <f t="shared" si="3"/>
        <v>-41568.43</v>
      </c>
      <c r="M38" s="863">
        <f t="shared" si="4"/>
        <v>1827332.252</v>
      </c>
      <c r="N38" s="864">
        <f t="shared" si="1"/>
        <v>182.7332252</v>
      </c>
      <c r="O38" s="848"/>
    </row>
    <row r="39">
      <c r="A39" s="865">
        <v>2027.0</v>
      </c>
      <c r="B39" s="866">
        <v>46388.0</v>
      </c>
      <c r="C39" s="842">
        <v>686619.0</v>
      </c>
      <c r="D39" s="853">
        <f>'貸款'!F46</f>
        <v>11132</v>
      </c>
      <c r="E39" s="867">
        <v>35074.25</v>
      </c>
      <c r="F39" s="868">
        <v>31525.666666666668</v>
      </c>
      <c r="G39" s="868">
        <v>8951.833333333334</v>
      </c>
      <c r="H39" s="854">
        <v>25000.0</v>
      </c>
      <c r="I39" s="854">
        <f>'預估計算表'!F47</f>
        <v>29071.68</v>
      </c>
      <c r="J39" s="868">
        <f t="shared" si="5"/>
        <v>0</v>
      </c>
      <c r="K39" s="869">
        <f t="shared" si="2"/>
        <v>129623.43</v>
      </c>
      <c r="L39" s="850">
        <f t="shared" si="3"/>
        <v>545863.57</v>
      </c>
      <c r="M39" s="851">
        <f t="shared" si="4"/>
        <v>2373195.822</v>
      </c>
      <c r="N39" s="852">
        <f t="shared" si="1"/>
        <v>237.3195822</v>
      </c>
      <c r="O39" s="870"/>
    </row>
    <row r="40">
      <c r="A40" s="871"/>
      <c r="B40" s="872">
        <v>46419.0</v>
      </c>
      <c r="C40" s="842">
        <v>98790.0</v>
      </c>
      <c r="D40" s="853">
        <f>'貸款'!F47</f>
        <v>11153</v>
      </c>
      <c r="E40" s="851">
        <v>35074.25</v>
      </c>
      <c r="F40" s="854">
        <v>31525.666666666668</v>
      </c>
      <c r="G40" s="854">
        <v>8951.833333333334</v>
      </c>
      <c r="H40" s="854">
        <v>25000.0</v>
      </c>
      <c r="I40" s="854">
        <f>'預估計算表'!F48</f>
        <v>29071.68</v>
      </c>
      <c r="J40" s="854">
        <f t="shared" si="5"/>
        <v>0</v>
      </c>
      <c r="K40" s="855">
        <f t="shared" si="2"/>
        <v>129623.43</v>
      </c>
      <c r="L40" s="850">
        <f t="shared" si="3"/>
        <v>-41986.43</v>
      </c>
      <c r="M40" s="851">
        <f t="shared" si="4"/>
        <v>2331209.392</v>
      </c>
      <c r="N40" s="852">
        <f t="shared" si="1"/>
        <v>233.1209392</v>
      </c>
      <c r="O40" s="848"/>
    </row>
    <row r="41">
      <c r="A41" s="871"/>
      <c r="B41" s="872">
        <v>46447.0</v>
      </c>
      <c r="C41" s="842">
        <v>100730.0</v>
      </c>
      <c r="D41" s="853">
        <f>'貸款'!F48</f>
        <v>11174</v>
      </c>
      <c r="E41" s="851">
        <v>35074.25</v>
      </c>
      <c r="F41" s="854">
        <v>31525.666666666668</v>
      </c>
      <c r="G41" s="854">
        <v>8951.833333333334</v>
      </c>
      <c r="H41" s="854">
        <v>25000.0</v>
      </c>
      <c r="I41" s="854">
        <f>'預估計算表'!F49</f>
        <v>29071.68</v>
      </c>
      <c r="J41" s="854">
        <f t="shared" si="5"/>
        <v>0</v>
      </c>
      <c r="K41" s="855">
        <f t="shared" si="2"/>
        <v>129623.43</v>
      </c>
      <c r="L41" s="850">
        <f t="shared" si="3"/>
        <v>-40067.43</v>
      </c>
      <c r="M41" s="851">
        <f t="shared" si="4"/>
        <v>2291141.962</v>
      </c>
      <c r="N41" s="852">
        <f t="shared" si="1"/>
        <v>229.1141962</v>
      </c>
      <c r="O41" s="848"/>
    </row>
    <row r="42">
      <c r="A42" s="871"/>
      <c r="B42" s="872">
        <v>46478.0</v>
      </c>
      <c r="C42" s="842">
        <v>102000.0</v>
      </c>
      <c r="D42" s="853">
        <f>'貸款'!F49</f>
        <v>11196</v>
      </c>
      <c r="E42" s="851">
        <v>35074.25</v>
      </c>
      <c r="F42" s="854">
        <v>31525.666666666668</v>
      </c>
      <c r="G42" s="854">
        <v>8951.833333333334</v>
      </c>
      <c r="H42" s="854">
        <v>25000.0</v>
      </c>
      <c r="I42" s="854">
        <f>'預估計算表'!F50</f>
        <v>29071.68</v>
      </c>
      <c r="J42" s="854">
        <f t="shared" si="5"/>
        <v>0</v>
      </c>
      <c r="K42" s="855">
        <f t="shared" si="2"/>
        <v>129623.43</v>
      </c>
      <c r="L42" s="850">
        <f t="shared" si="3"/>
        <v>-38819.43</v>
      </c>
      <c r="M42" s="851">
        <f t="shared" si="4"/>
        <v>2252322.532</v>
      </c>
      <c r="N42" s="852">
        <f t="shared" si="1"/>
        <v>225.2322532</v>
      </c>
      <c r="O42" s="848"/>
    </row>
    <row r="43">
      <c r="A43" s="871"/>
      <c r="B43" s="872">
        <v>46508.0</v>
      </c>
      <c r="C43" s="842">
        <v>102298.0</v>
      </c>
      <c r="D43" s="853">
        <f>'貸款'!F50</f>
        <v>11217</v>
      </c>
      <c r="E43" s="851">
        <v>35074.25</v>
      </c>
      <c r="F43" s="854">
        <v>31525.666666666668</v>
      </c>
      <c r="G43" s="854">
        <v>8951.833333333334</v>
      </c>
      <c r="H43" s="854">
        <v>25000.0</v>
      </c>
      <c r="I43" s="854">
        <f>'預估計算表'!F51</f>
        <v>29071.68</v>
      </c>
      <c r="J43" s="854">
        <f t="shared" si="5"/>
        <v>0</v>
      </c>
      <c r="K43" s="855">
        <f t="shared" si="2"/>
        <v>129623.43</v>
      </c>
      <c r="L43" s="850">
        <f t="shared" si="3"/>
        <v>-38542.43</v>
      </c>
      <c r="M43" s="851">
        <f t="shared" si="4"/>
        <v>2213780.102</v>
      </c>
      <c r="N43" s="852">
        <f t="shared" si="1"/>
        <v>221.3780102</v>
      </c>
      <c r="O43" s="848"/>
    </row>
    <row r="44">
      <c r="A44" s="871"/>
      <c r="B44" s="872">
        <v>46539.0</v>
      </c>
      <c r="C44" s="842">
        <v>100640.0</v>
      </c>
      <c r="D44" s="853">
        <f>'貸款'!F51</f>
        <v>11239</v>
      </c>
      <c r="E44" s="851">
        <v>35074.25</v>
      </c>
      <c r="F44" s="854">
        <v>31525.666666666668</v>
      </c>
      <c r="G44" s="854">
        <v>8951.833333333334</v>
      </c>
      <c r="H44" s="854">
        <v>25000.0</v>
      </c>
      <c r="I44" s="854">
        <f>'預估計算表'!F52</f>
        <v>29071.68</v>
      </c>
      <c r="J44" s="854">
        <f t="shared" si="5"/>
        <v>0</v>
      </c>
      <c r="K44" s="855">
        <f t="shared" si="2"/>
        <v>129623.43</v>
      </c>
      <c r="L44" s="850">
        <f t="shared" si="3"/>
        <v>-40222.43</v>
      </c>
      <c r="M44" s="851">
        <f t="shared" si="4"/>
        <v>2173557.672</v>
      </c>
      <c r="N44" s="852">
        <f t="shared" si="1"/>
        <v>217.3557672</v>
      </c>
      <c r="O44" s="848"/>
    </row>
    <row r="45">
      <c r="A45" s="871"/>
      <c r="B45" s="872">
        <v>46569.0</v>
      </c>
      <c r="C45" s="842">
        <v>266279.0</v>
      </c>
      <c r="D45" s="853">
        <f>'貸款'!F52</f>
        <v>11260</v>
      </c>
      <c r="E45" s="851">
        <v>35074.25</v>
      </c>
      <c r="F45" s="854">
        <v>31525.666666666668</v>
      </c>
      <c r="G45" s="854">
        <v>8951.833333333334</v>
      </c>
      <c r="H45" s="854">
        <v>25000.0</v>
      </c>
      <c r="I45" s="854">
        <f>'預估計算表'!F53</f>
        <v>29071.68</v>
      </c>
      <c r="J45" s="854">
        <f t="shared" si="5"/>
        <v>0</v>
      </c>
      <c r="K45" s="855">
        <f t="shared" si="2"/>
        <v>129623.43</v>
      </c>
      <c r="L45" s="850">
        <f t="shared" si="3"/>
        <v>125395.57</v>
      </c>
      <c r="M45" s="851">
        <f t="shared" si="4"/>
        <v>2298953.242</v>
      </c>
      <c r="N45" s="852">
        <f t="shared" si="1"/>
        <v>229.8953242</v>
      </c>
      <c r="O45" s="848"/>
    </row>
    <row r="46">
      <c r="A46" s="871"/>
      <c r="B46" s="872">
        <v>46600.0</v>
      </c>
      <c r="C46" s="842">
        <v>114609.0</v>
      </c>
      <c r="D46" s="853">
        <f>'貸款'!F53</f>
        <v>11282</v>
      </c>
      <c r="E46" s="851">
        <v>35074.25</v>
      </c>
      <c r="F46" s="854">
        <v>31525.666666666668</v>
      </c>
      <c r="G46" s="854">
        <v>8951.833333333334</v>
      </c>
      <c r="H46" s="854">
        <v>25000.0</v>
      </c>
      <c r="I46" s="854">
        <f>'預估計算表'!F54</f>
        <v>29071.68</v>
      </c>
      <c r="J46" s="854">
        <f t="shared" si="5"/>
        <v>0</v>
      </c>
      <c r="K46" s="855">
        <f t="shared" si="2"/>
        <v>129623.43</v>
      </c>
      <c r="L46" s="850">
        <f t="shared" si="3"/>
        <v>-26296.43</v>
      </c>
      <c r="M46" s="851">
        <f t="shared" si="4"/>
        <v>2272656.812</v>
      </c>
      <c r="N46" s="852">
        <f t="shared" si="1"/>
        <v>227.2656812</v>
      </c>
      <c r="O46" s="848"/>
    </row>
    <row r="47">
      <c r="A47" s="871"/>
      <c r="B47" s="872">
        <v>46631.0</v>
      </c>
      <c r="C47" s="842">
        <v>115159.0</v>
      </c>
      <c r="D47" s="853">
        <f>'貸款'!F54</f>
        <v>11303</v>
      </c>
      <c r="E47" s="851">
        <v>35074.25</v>
      </c>
      <c r="F47" s="854">
        <v>31525.666666666668</v>
      </c>
      <c r="G47" s="854">
        <v>8951.833333333334</v>
      </c>
      <c r="H47" s="854">
        <v>25000.0</v>
      </c>
      <c r="I47" s="854">
        <f>'預估計算表'!F55</f>
        <v>29071.68</v>
      </c>
      <c r="J47" s="854">
        <f t="shared" si="5"/>
        <v>0</v>
      </c>
      <c r="K47" s="855">
        <f t="shared" si="2"/>
        <v>129623.43</v>
      </c>
      <c r="L47" s="850">
        <f t="shared" si="3"/>
        <v>-25767.43</v>
      </c>
      <c r="M47" s="851">
        <f t="shared" si="4"/>
        <v>2246889.382</v>
      </c>
      <c r="N47" s="852">
        <f t="shared" si="1"/>
        <v>224.6889382</v>
      </c>
      <c r="O47" s="848"/>
    </row>
    <row r="48">
      <c r="A48" s="871"/>
      <c r="B48" s="872">
        <v>46661.0</v>
      </c>
      <c r="C48" s="842">
        <v>180092.0</v>
      </c>
      <c r="D48" s="853">
        <f>'貸款'!F55</f>
        <v>11325</v>
      </c>
      <c r="E48" s="851">
        <v>35074.25</v>
      </c>
      <c r="F48" s="854">
        <v>31525.666666666668</v>
      </c>
      <c r="G48" s="854">
        <v>8951.833333333334</v>
      </c>
      <c r="H48" s="854">
        <v>25000.0</v>
      </c>
      <c r="I48" s="854">
        <f>'預估計算表'!F56</f>
        <v>29071.68</v>
      </c>
      <c r="J48" s="854">
        <f t="shared" si="5"/>
        <v>0</v>
      </c>
      <c r="K48" s="855">
        <f t="shared" si="2"/>
        <v>129623.43</v>
      </c>
      <c r="L48" s="850">
        <f t="shared" si="3"/>
        <v>39143.57</v>
      </c>
      <c r="M48" s="851">
        <f t="shared" si="4"/>
        <v>2286032.952</v>
      </c>
      <c r="N48" s="852">
        <f t="shared" si="1"/>
        <v>228.6032952</v>
      </c>
      <c r="O48" s="848"/>
    </row>
    <row r="49">
      <c r="A49" s="871"/>
      <c r="B49" s="872">
        <v>46692.0</v>
      </c>
      <c r="C49" s="842">
        <v>98000.0</v>
      </c>
      <c r="D49" s="853">
        <f>'貸款'!F56</f>
        <v>11347</v>
      </c>
      <c r="E49" s="851">
        <v>35074.25</v>
      </c>
      <c r="F49" s="854">
        <v>31525.666666666668</v>
      </c>
      <c r="G49" s="854">
        <v>8951.833333333334</v>
      </c>
      <c r="H49" s="854">
        <v>25000.0</v>
      </c>
      <c r="I49" s="854">
        <f>'預估計算表'!F57</f>
        <v>29071.68</v>
      </c>
      <c r="J49" s="854">
        <f t="shared" si="5"/>
        <v>0</v>
      </c>
      <c r="K49" s="855">
        <f t="shared" si="2"/>
        <v>129623.43</v>
      </c>
      <c r="L49" s="850">
        <f t="shared" si="3"/>
        <v>-42970.43</v>
      </c>
      <c r="M49" s="851">
        <f t="shared" si="4"/>
        <v>2243062.522</v>
      </c>
      <c r="N49" s="852">
        <f t="shared" si="1"/>
        <v>224.3062522</v>
      </c>
      <c r="O49" s="848"/>
    </row>
    <row r="50">
      <c r="A50" s="873"/>
      <c r="B50" s="872">
        <v>46722.0</v>
      </c>
      <c r="C50" s="842">
        <v>99165.0</v>
      </c>
      <c r="D50" s="853">
        <f>'貸款'!F57</f>
        <v>11368</v>
      </c>
      <c r="E50" s="863">
        <v>35074.25</v>
      </c>
      <c r="F50" s="861">
        <v>31525.666666666668</v>
      </c>
      <c r="G50" s="861">
        <v>8951.833333333334</v>
      </c>
      <c r="H50" s="854">
        <v>25000.0</v>
      </c>
      <c r="I50" s="854">
        <f>'預估計算表'!F58</f>
        <v>29071.68</v>
      </c>
      <c r="J50" s="861">
        <f t="shared" si="5"/>
        <v>0</v>
      </c>
      <c r="K50" s="874">
        <f t="shared" si="2"/>
        <v>129623.43</v>
      </c>
      <c r="L50" s="850">
        <f t="shared" si="3"/>
        <v>-41826.43</v>
      </c>
      <c r="M50" s="851">
        <f t="shared" si="4"/>
        <v>2201236.092</v>
      </c>
      <c r="N50" s="852">
        <f t="shared" si="1"/>
        <v>220.1236092</v>
      </c>
      <c r="O50" s="875"/>
    </row>
    <row r="51">
      <c r="A51" s="876">
        <v>2028.0</v>
      </c>
      <c r="B51" s="877">
        <v>46753.0</v>
      </c>
      <c r="C51" s="878">
        <v>686619.0</v>
      </c>
      <c r="D51" s="853">
        <f>'貸款'!F58</f>
        <v>11390</v>
      </c>
      <c r="E51" s="867">
        <v>35074.25</v>
      </c>
      <c r="F51" s="868">
        <v>31525.666666666668</v>
      </c>
      <c r="G51" s="868">
        <v>8951.833333333334</v>
      </c>
      <c r="H51" s="868">
        <v>28000.0</v>
      </c>
      <c r="I51" s="854">
        <f>'預估計算表'!F59</f>
        <v>29071.68</v>
      </c>
      <c r="J51" s="868">
        <f t="shared" si="5"/>
        <v>0</v>
      </c>
      <c r="K51" s="869">
        <f t="shared" si="2"/>
        <v>132623.43</v>
      </c>
      <c r="L51" s="879">
        <f t="shared" si="3"/>
        <v>542605.57</v>
      </c>
      <c r="M51" s="867">
        <f t="shared" si="4"/>
        <v>2743841.662</v>
      </c>
      <c r="N51" s="880">
        <f t="shared" si="1"/>
        <v>274.3841662</v>
      </c>
      <c r="O51" s="848"/>
    </row>
    <row r="52">
      <c r="A52" s="849"/>
      <c r="B52" s="877">
        <v>46784.0</v>
      </c>
      <c r="C52" s="842">
        <v>98790.0</v>
      </c>
      <c r="D52" s="853">
        <f>'貸款'!F59</f>
        <v>11412</v>
      </c>
      <c r="E52" s="851">
        <v>35074.25</v>
      </c>
      <c r="F52" s="854">
        <v>31525.666666666668</v>
      </c>
      <c r="G52" s="854">
        <v>8951.833333333334</v>
      </c>
      <c r="H52" s="854">
        <v>28000.0</v>
      </c>
      <c r="I52" s="854">
        <f>'預估計算表'!F60</f>
        <v>29071.68</v>
      </c>
      <c r="J52" s="854">
        <f t="shared" si="5"/>
        <v>0</v>
      </c>
      <c r="K52" s="855">
        <f t="shared" si="2"/>
        <v>132623.43</v>
      </c>
      <c r="L52" s="850">
        <f t="shared" si="3"/>
        <v>-45245.43</v>
      </c>
      <c r="M52" s="851">
        <f t="shared" si="4"/>
        <v>2698596.232</v>
      </c>
      <c r="N52" s="852">
        <f t="shared" si="1"/>
        <v>269.8596232</v>
      </c>
      <c r="O52" s="848"/>
    </row>
    <row r="53">
      <c r="A53" s="849"/>
      <c r="B53" s="877">
        <v>46813.0</v>
      </c>
      <c r="C53" s="842">
        <v>100730.0</v>
      </c>
      <c r="D53" s="853">
        <f>'貸款'!F60</f>
        <v>11434</v>
      </c>
      <c r="E53" s="851">
        <v>35074.25</v>
      </c>
      <c r="F53" s="854">
        <v>31525.666666666668</v>
      </c>
      <c r="G53" s="854">
        <v>8951.833333333334</v>
      </c>
      <c r="H53" s="854">
        <v>28000.0</v>
      </c>
      <c r="I53" s="854">
        <f>'預估計算表'!F61</f>
        <v>29071.68</v>
      </c>
      <c r="J53" s="854">
        <f t="shared" si="5"/>
        <v>0</v>
      </c>
      <c r="K53" s="855">
        <f t="shared" si="2"/>
        <v>132623.43</v>
      </c>
      <c r="L53" s="850">
        <f t="shared" si="3"/>
        <v>-43327.43</v>
      </c>
      <c r="M53" s="851">
        <f t="shared" si="4"/>
        <v>2655268.802</v>
      </c>
      <c r="N53" s="852">
        <f t="shared" si="1"/>
        <v>265.5268802</v>
      </c>
      <c r="O53" s="848"/>
    </row>
    <row r="54">
      <c r="A54" s="849"/>
      <c r="B54" s="877">
        <v>46844.0</v>
      </c>
      <c r="C54" s="842">
        <v>102000.0</v>
      </c>
      <c r="D54" s="853">
        <f>'貸款'!F61</f>
        <v>11456</v>
      </c>
      <c r="E54" s="851">
        <v>35074.25</v>
      </c>
      <c r="F54" s="854">
        <v>31525.666666666668</v>
      </c>
      <c r="G54" s="854">
        <v>8951.833333333334</v>
      </c>
      <c r="H54" s="854">
        <v>28000.0</v>
      </c>
      <c r="I54" s="854">
        <f>'預估計算表'!F62</f>
        <v>29071.68</v>
      </c>
      <c r="J54" s="854">
        <f t="shared" si="5"/>
        <v>0</v>
      </c>
      <c r="K54" s="855">
        <f t="shared" si="2"/>
        <v>132623.43</v>
      </c>
      <c r="L54" s="850">
        <f t="shared" si="3"/>
        <v>-42079.43</v>
      </c>
      <c r="M54" s="851">
        <f t="shared" si="4"/>
        <v>2613189.372</v>
      </c>
      <c r="N54" s="852">
        <f t="shared" si="1"/>
        <v>261.3189372</v>
      </c>
      <c r="O54" s="848"/>
    </row>
    <row r="55">
      <c r="A55" s="849"/>
      <c r="B55" s="877">
        <v>46874.0</v>
      </c>
      <c r="C55" s="842">
        <v>102298.0</v>
      </c>
      <c r="D55" s="853">
        <f>'貸款'!F62</f>
        <v>11478</v>
      </c>
      <c r="E55" s="851">
        <v>35074.25</v>
      </c>
      <c r="F55" s="854">
        <v>31525.666666666668</v>
      </c>
      <c r="G55" s="854">
        <v>8951.833333333334</v>
      </c>
      <c r="H55" s="854">
        <v>28000.0</v>
      </c>
      <c r="I55" s="854">
        <f>'預估計算表'!F63</f>
        <v>29071.68</v>
      </c>
      <c r="J55" s="854">
        <f t="shared" si="5"/>
        <v>0</v>
      </c>
      <c r="K55" s="855">
        <f t="shared" si="2"/>
        <v>132623.43</v>
      </c>
      <c r="L55" s="850">
        <f t="shared" si="3"/>
        <v>-41803.43</v>
      </c>
      <c r="M55" s="851">
        <f t="shared" si="4"/>
        <v>2571385.942</v>
      </c>
      <c r="N55" s="852">
        <f t="shared" si="1"/>
        <v>257.1385942</v>
      </c>
      <c r="O55" s="848"/>
    </row>
    <row r="56">
      <c r="A56" s="849"/>
      <c r="B56" s="877">
        <v>46905.0</v>
      </c>
      <c r="C56" s="842">
        <v>100640.0</v>
      </c>
      <c r="D56" s="853">
        <f>'貸款'!F63</f>
        <v>11500</v>
      </c>
      <c r="E56" s="851">
        <v>35074.25</v>
      </c>
      <c r="F56" s="854">
        <v>31525.666666666668</v>
      </c>
      <c r="G56" s="854">
        <v>8951.833333333334</v>
      </c>
      <c r="H56" s="854">
        <v>28000.0</v>
      </c>
      <c r="I56" s="854">
        <f>'預估計算表'!F64</f>
        <v>29071.68</v>
      </c>
      <c r="J56" s="854">
        <f t="shared" si="5"/>
        <v>0</v>
      </c>
      <c r="K56" s="855">
        <f t="shared" si="2"/>
        <v>132623.43</v>
      </c>
      <c r="L56" s="850">
        <f t="shared" si="3"/>
        <v>-43483.43</v>
      </c>
      <c r="M56" s="851">
        <f t="shared" si="4"/>
        <v>2527902.512</v>
      </c>
      <c r="N56" s="852">
        <f t="shared" si="1"/>
        <v>252.7902512</v>
      </c>
      <c r="O56" s="848"/>
    </row>
    <row r="57">
      <c r="A57" s="849"/>
      <c r="B57" s="877">
        <v>46935.0</v>
      </c>
      <c r="C57" s="842">
        <v>266279.0</v>
      </c>
      <c r="D57" s="853">
        <f>'貸款'!F64</f>
        <v>11522</v>
      </c>
      <c r="E57" s="851">
        <v>35074.25</v>
      </c>
      <c r="F57" s="854">
        <v>31525.666666666668</v>
      </c>
      <c r="G57" s="854">
        <v>8951.833333333334</v>
      </c>
      <c r="H57" s="854">
        <v>28000.0</v>
      </c>
      <c r="I57" s="854">
        <f>'預估計算表'!F65</f>
        <v>29071.68</v>
      </c>
      <c r="J57" s="854">
        <f t="shared" si="5"/>
        <v>0</v>
      </c>
      <c r="K57" s="855">
        <f t="shared" si="2"/>
        <v>132623.43</v>
      </c>
      <c r="L57" s="850">
        <f t="shared" si="3"/>
        <v>122133.57</v>
      </c>
      <c r="M57" s="851">
        <f t="shared" si="4"/>
        <v>2650036.082</v>
      </c>
      <c r="N57" s="852">
        <f t="shared" si="1"/>
        <v>265.0036082</v>
      </c>
      <c r="O57" s="848"/>
    </row>
    <row r="58">
      <c r="A58" s="849"/>
      <c r="B58" s="877">
        <v>46966.0</v>
      </c>
      <c r="C58" s="842">
        <v>114609.0</v>
      </c>
      <c r="D58" s="853">
        <f>'貸款'!F65</f>
        <v>11544</v>
      </c>
      <c r="E58" s="851">
        <v>35074.25</v>
      </c>
      <c r="F58" s="854">
        <v>31525.666666666668</v>
      </c>
      <c r="G58" s="854">
        <v>8951.833333333334</v>
      </c>
      <c r="H58" s="854">
        <v>28000.0</v>
      </c>
      <c r="I58" s="854">
        <f>'預估計算表'!F66</f>
        <v>29071.68</v>
      </c>
      <c r="J58" s="854">
        <f t="shared" si="5"/>
        <v>0</v>
      </c>
      <c r="K58" s="855">
        <f t="shared" si="2"/>
        <v>132623.43</v>
      </c>
      <c r="L58" s="850">
        <f t="shared" si="3"/>
        <v>-29558.43</v>
      </c>
      <c r="M58" s="851">
        <f t="shared" si="4"/>
        <v>2620477.652</v>
      </c>
      <c r="N58" s="852">
        <f t="shared" si="1"/>
        <v>262.0477652</v>
      </c>
      <c r="O58" s="848"/>
    </row>
    <row r="59">
      <c r="A59" s="849"/>
      <c r="B59" s="877">
        <v>46997.0</v>
      </c>
      <c r="C59" s="842">
        <v>115159.0</v>
      </c>
      <c r="D59" s="853">
        <f>'貸款'!F66</f>
        <v>11566</v>
      </c>
      <c r="E59" s="851">
        <v>35074.25</v>
      </c>
      <c r="F59" s="854">
        <v>31525.666666666668</v>
      </c>
      <c r="G59" s="854">
        <v>8951.833333333334</v>
      </c>
      <c r="H59" s="854">
        <v>28000.0</v>
      </c>
      <c r="I59" s="854">
        <f>'預估計算表'!F67</f>
        <v>29071.68</v>
      </c>
      <c r="J59" s="854">
        <f t="shared" si="5"/>
        <v>0</v>
      </c>
      <c r="K59" s="855">
        <f t="shared" si="2"/>
        <v>132623.43</v>
      </c>
      <c r="L59" s="850">
        <f t="shared" si="3"/>
        <v>-29030.43</v>
      </c>
      <c r="M59" s="851">
        <f t="shared" si="4"/>
        <v>2591447.222</v>
      </c>
      <c r="N59" s="852">
        <f t="shared" si="1"/>
        <v>259.1447222</v>
      </c>
      <c r="O59" s="848"/>
    </row>
    <row r="60">
      <c r="A60" s="849"/>
      <c r="B60" s="877">
        <v>47027.0</v>
      </c>
      <c r="C60" s="842">
        <v>180092.0</v>
      </c>
      <c r="D60" s="853">
        <f>'貸款'!F67</f>
        <v>11588</v>
      </c>
      <c r="E60" s="851">
        <v>35074.25</v>
      </c>
      <c r="F60" s="854">
        <v>31525.666666666668</v>
      </c>
      <c r="G60" s="854">
        <v>8951.833333333334</v>
      </c>
      <c r="H60" s="854">
        <v>28000.0</v>
      </c>
      <c r="I60" s="854">
        <f>'預估計算表'!F68</f>
        <v>29071.68</v>
      </c>
      <c r="J60" s="854">
        <f t="shared" si="5"/>
        <v>0</v>
      </c>
      <c r="K60" s="855">
        <f t="shared" si="2"/>
        <v>132623.43</v>
      </c>
      <c r="L60" s="850">
        <f t="shared" si="3"/>
        <v>35880.57</v>
      </c>
      <c r="M60" s="851">
        <f t="shared" si="4"/>
        <v>2627327.792</v>
      </c>
      <c r="N60" s="852">
        <f t="shared" si="1"/>
        <v>262.7327792</v>
      </c>
      <c r="O60" s="848"/>
    </row>
    <row r="61">
      <c r="A61" s="849"/>
      <c r="B61" s="877">
        <v>47058.0</v>
      </c>
      <c r="C61" s="842">
        <v>98000.0</v>
      </c>
      <c r="D61" s="853">
        <f>'貸款'!F68</f>
        <v>11610</v>
      </c>
      <c r="E61" s="851">
        <v>35074.25</v>
      </c>
      <c r="F61" s="854">
        <v>31525.666666666668</v>
      </c>
      <c r="G61" s="854">
        <v>8951.833333333334</v>
      </c>
      <c r="H61" s="854">
        <v>28000.0</v>
      </c>
      <c r="I61" s="854">
        <f>'預估計算表'!F69</f>
        <v>29071.68</v>
      </c>
      <c r="J61" s="854">
        <f t="shared" si="5"/>
        <v>0</v>
      </c>
      <c r="K61" s="855">
        <f t="shared" si="2"/>
        <v>132623.43</v>
      </c>
      <c r="L61" s="850">
        <f t="shared" si="3"/>
        <v>-46233.43</v>
      </c>
      <c r="M61" s="851">
        <f t="shared" si="4"/>
        <v>2581094.362</v>
      </c>
      <c r="N61" s="852">
        <f t="shared" si="1"/>
        <v>258.1094362</v>
      </c>
      <c r="O61" s="848"/>
    </row>
    <row r="62">
      <c r="A62" s="882"/>
      <c r="B62" s="883">
        <v>47088.0</v>
      </c>
      <c r="C62" s="884">
        <v>99165.0</v>
      </c>
      <c r="D62" s="860">
        <f>'貸款'!F69</f>
        <v>11633</v>
      </c>
      <c r="E62" s="885">
        <v>35074.25</v>
      </c>
      <c r="F62" s="886">
        <v>31525.666666666668</v>
      </c>
      <c r="G62" s="886">
        <v>8951.833333333334</v>
      </c>
      <c r="H62" s="886">
        <v>28000.0</v>
      </c>
      <c r="I62" s="861">
        <f>'預估計算表'!F70</f>
        <v>29071.68</v>
      </c>
      <c r="J62" s="886">
        <f t="shared" si="5"/>
        <v>0</v>
      </c>
      <c r="K62" s="887">
        <f t="shared" si="2"/>
        <v>132623.43</v>
      </c>
      <c r="L62" s="888">
        <f t="shared" si="3"/>
        <v>-45091.43</v>
      </c>
      <c r="M62" s="885">
        <f t="shared" si="4"/>
        <v>2536002.932</v>
      </c>
      <c r="N62" s="889">
        <f t="shared" si="1"/>
        <v>253.6002932</v>
      </c>
      <c r="O62" s="875"/>
    </row>
    <row r="63">
      <c r="C63" s="854"/>
      <c r="E63" s="854"/>
      <c r="F63" s="854"/>
      <c r="G63" s="854"/>
      <c r="H63" s="854"/>
      <c r="I63" s="854"/>
      <c r="J63" s="854"/>
      <c r="L63" s="846"/>
    </row>
    <row r="64">
      <c r="C64" s="854"/>
      <c r="E64" s="854"/>
      <c r="F64" s="854"/>
      <c r="G64" s="854"/>
      <c r="H64" s="854"/>
      <c r="I64" s="854"/>
      <c r="J64" s="854"/>
      <c r="L64" s="846"/>
    </row>
    <row r="65">
      <c r="C65" s="854"/>
      <c r="E65" s="854"/>
      <c r="F65" s="854"/>
      <c r="G65" s="854"/>
      <c r="H65" s="854"/>
      <c r="I65" s="854"/>
      <c r="J65" s="854"/>
      <c r="L65" s="846"/>
    </row>
    <row r="66">
      <c r="I66" s="854"/>
      <c r="J66" s="854"/>
      <c r="L66" s="846"/>
    </row>
    <row r="67">
      <c r="I67" s="854"/>
      <c r="J67" s="854"/>
      <c r="L67" s="846"/>
    </row>
    <row r="68">
      <c r="I68" s="854"/>
      <c r="J68" s="854"/>
      <c r="L68" s="846"/>
    </row>
    <row r="69">
      <c r="I69" s="854"/>
      <c r="J69" s="854"/>
      <c r="L69" s="846"/>
    </row>
    <row r="70">
      <c r="I70" s="854"/>
      <c r="J70" s="854"/>
      <c r="L70" s="846"/>
    </row>
    <row r="71">
      <c r="I71" s="854"/>
      <c r="J71" s="854"/>
      <c r="L71" s="846"/>
    </row>
    <row r="72">
      <c r="I72" s="854"/>
      <c r="J72" s="854"/>
      <c r="L72" s="846"/>
    </row>
    <row r="73">
      <c r="I73" s="854"/>
      <c r="J73" s="854"/>
      <c r="L73" s="846"/>
    </row>
    <row r="74">
      <c r="I74" s="854"/>
      <c r="J74" s="854"/>
      <c r="L74" s="846"/>
    </row>
    <row r="75">
      <c r="I75" s="854"/>
      <c r="J75" s="854"/>
      <c r="L75" s="846"/>
    </row>
    <row r="76">
      <c r="I76" s="854"/>
      <c r="J76" s="854"/>
      <c r="L76" s="846"/>
    </row>
    <row r="77">
      <c r="I77" s="854"/>
      <c r="J77" s="854"/>
      <c r="L77" s="846"/>
    </row>
    <row r="78">
      <c r="I78" s="854"/>
      <c r="J78" s="854"/>
      <c r="L78" s="846"/>
    </row>
    <row r="79">
      <c r="I79" s="854"/>
      <c r="J79" s="854"/>
      <c r="L79" s="846"/>
    </row>
    <row r="80">
      <c r="I80" s="854"/>
      <c r="J80" s="854"/>
      <c r="L80" s="846"/>
    </row>
    <row r="81">
      <c r="I81" s="854"/>
      <c r="J81" s="854"/>
      <c r="L81" s="846"/>
    </row>
    <row r="82">
      <c r="I82" s="854"/>
      <c r="J82" s="854"/>
      <c r="L82" s="846"/>
    </row>
    <row r="83">
      <c r="I83" s="854"/>
      <c r="J83" s="854"/>
      <c r="L83" s="846"/>
    </row>
    <row r="84">
      <c r="I84" s="854"/>
      <c r="J84" s="854"/>
      <c r="L84" s="846"/>
    </row>
    <row r="85">
      <c r="I85" s="854"/>
      <c r="J85" s="854"/>
      <c r="L85" s="846"/>
    </row>
    <row r="86">
      <c r="I86" s="854"/>
      <c r="J86" s="854"/>
      <c r="L86" s="846"/>
    </row>
    <row r="87">
      <c r="I87" s="854"/>
      <c r="J87" s="854"/>
      <c r="L87" s="846"/>
    </row>
    <row r="88">
      <c r="I88" s="854"/>
      <c r="J88" s="854"/>
      <c r="L88" s="846"/>
    </row>
    <row r="89">
      <c r="I89" s="854"/>
      <c r="J89" s="854"/>
      <c r="L89" s="846"/>
    </row>
    <row r="90">
      <c r="I90" s="854"/>
      <c r="J90" s="854"/>
      <c r="L90" s="846"/>
    </row>
    <row r="91">
      <c r="I91" s="854"/>
      <c r="J91" s="854"/>
      <c r="L91" s="846"/>
    </row>
    <row r="92">
      <c r="I92" s="854"/>
      <c r="J92" s="854"/>
      <c r="L92" s="846"/>
    </row>
    <row r="93">
      <c r="I93" s="854"/>
      <c r="J93" s="854"/>
      <c r="L93" s="846"/>
    </row>
    <row r="94">
      <c r="I94" s="854"/>
      <c r="J94" s="854"/>
      <c r="L94" s="846"/>
    </row>
    <row r="95">
      <c r="I95" s="854"/>
      <c r="J95" s="854"/>
      <c r="L95" s="846"/>
    </row>
    <row r="96">
      <c r="I96" s="854"/>
      <c r="J96" s="854"/>
      <c r="L96" s="846"/>
    </row>
    <row r="97">
      <c r="I97" s="854"/>
      <c r="J97" s="854"/>
      <c r="L97" s="846"/>
    </row>
    <row r="98">
      <c r="I98" s="854"/>
      <c r="J98" s="854"/>
      <c r="L98" s="846"/>
    </row>
    <row r="99">
      <c r="I99" s="854"/>
      <c r="J99" s="854"/>
      <c r="L99" s="846"/>
    </row>
    <row r="100">
      <c r="I100" s="854"/>
      <c r="J100" s="854"/>
      <c r="L100" s="846"/>
    </row>
    <row r="101">
      <c r="I101" s="854"/>
      <c r="J101" s="854"/>
      <c r="L101" s="846"/>
    </row>
    <row r="102">
      <c r="I102" s="854"/>
      <c r="J102" s="854"/>
      <c r="L102" s="846"/>
    </row>
    <row r="103">
      <c r="I103" s="854"/>
      <c r="J103" s="854"/>
      <c r="L103" s="846"/>
    </row>
    <row r="104">
      <c r="I104" s="854"/>
      <c r="J104" s="854"/>
      <c r="L104" s="846"/>
    </row>
    <row r="105">
      <c r="I105" s="854"/>
      <c r="J105" s="854"/>
      <c r="L105" s="846"/>
    </row>
    <row r="106">
      <c r="I106" s="854"/>
      <c r="J106" s="854"/>
      <c r="L106" s="846"/>
    </row>
    <row r="107">
      <c r="I107" s="854"/>
      <c r="J107" s="854"/>
      <c r="L107" s="846"/>
    </row>
    <row r="108">
      <c r="I108" s="854"/>
      <c r="J108" s="854"/>
      <c r="L108" s="846"/>
    </row>
    <row r="109">
      <c r="I109" s="854"/>
      <c r="J109" s="854"/>
      <c r="L109" s="846"/>
    </row>
    <row r="110">
      <c r="I110" s="854"/>
      <c r="J110" s="854"/>
      <c r="L110" s="846"/>
    </row>
    <row r="111">
      <c r="I111" s="854"/>
      <c r="J111" s="854"/>
      <c r="L111" s="846"/>
    </row>
    <row r="112">
      <c r="I112" s="854"/>
      <c r="J112" s="854"/>
      <c r="L112" s="846"/>
    </row>
    <row r="113">
      <c r="I113" s="854"/>
      <c r="J113" s="854"/>
      <c r="L113" s="846"/>
    </row>
    <row r="114">
      <c r="I114" s="854"/>
      <c r="J114" s="854"/>
      <c r="L114" s="846"/>
    </row>
    <row r="115">
      <c r="I115" s="854"/>
      <c r="J115" s="854"/>
      <c r="L115" s="846"/>
    </row>
    <row r="116">
      <c r="I116" s="854"/>
      <c r="J116" s="854"/>
      <c r="L116" s="846"/>
    </row>
    <row r="117">
      <c r="I117" s="854"/>
      <c r="J117" s="854"/>
      <c r="L117" s="846"/>
    </row>
    <row r="118">
      <c r="I118" s="854"/>
      <c r="J118" s="854"/>
      <c r="L118" s="846"/>
    </row>
    <row r="119">
      <c r="I119" s="854"/>
      <c r="J119" s="854"/>
      <c r="L119" s="846"/>
    </row>
    <row r="120">
      <c r="I120" s="854"/>
      <c r="J120" s="854"/>
      <c r="L120" s="846"/>
    </row>
    <row r="121">
      <c r="I121" s="854"/>
      <c r="J121" s="854"/>
      <c r="L121" s="846"/>
    </row>
    <row r="122">
      <c r="I122" s="854"/>
      <c r="J122" s="854"/>
      <c r="L122" s="846"/>
    </row>
    <row r="123">
      <c r="I123" s="854"/>
      <c r="J123" s="854"/>
      <c r="L123" s="846"/>
    </row>
    <row r="124">
      <c r="I124" s="854"/>
      <c r="J124" s="854"/>
      <c r="L124" s="846"/>
    </row>
    <row r="125">
      <c r="I125" s="854"/>
      <c r="J125" s="854"/>
      <c r="L125" s="846"/>
    </row>
    <row r="126">
      <c r="I126" s="854"/>
      <c r="J126" s="854"/>
      <c r="L126" s="846"/>
    </row>
    <row r="127">
      <c r="I127" s="854"/>
      <c r="J127" s="854"/>
      <c r="L127" s="846"/>
    </row>
    <row r="128">
      <c r="I128" s="854"/>
      <c r="J128" s="854"/>
      <c r="L128" s="846"/>
    </row>
    <row r="129">
      <c r="I129" s="854"/>
      <c r="J129" s="854"/>
      <c r="L129" s="846"/>
    </row>
    <row r="130">
      <c r="I130" s="854"/>
      <c r="J130" s="854"/>
      <c r="L130" s="846"/>
    </row>
    <row r="131">
      <c r="I131" s="854"/>
      <c r="J131" s="854"/>
      <c r="L131" s="846"/>
    </row>
    <row r="132">
      <c r="I132" s="854"/>
      <c r="J132" s="854"/>
      <c r="L132" s="846"/>
    </row>
    <row r="133">
      <c r="I133" s="854"/>
      <c r="J133" s="854"/>
      <c r="L133" s="846"/>
    </row>
    <row r="134">
      <c r="I134" s="854"/>
      <c r="J134" s="854"/>
      <c r="L134" s="846"/>
    </row>
    <row r="135">
      <c r="I135" s="854"/>
      <c r="J135" s="854"/>
      <c r="L135" s="846"/>
    </row>
    <row r="136">
      <c r="I136" s="854"/>
      <c r="J136" s="854"/>
      <c r="L136" s="846"/>
    </row>
    <row r="137">
      <c r="I137" s="854"/>
      <c r="J137" s="854"/>
      <c r="L137" s="846"/>
    </row>
    <row r="138">
      <c r="I138" s="854"/>
      <c r="J138" s="854"/>
      <c r="L138" s="846"/>
    </row>
    <row r="139">
      <c r="I139" s="854"/>
      <c r="J139" s="854"/>
      <c r="L139" s="846"/>
    </row>
    <row r="140">
      <c r="I140" s="854"/>
      <c r="J140" s="854"/>
      <c r="L140" s="846"/>
    </row>
    <row r="141">
      <c r="I141" s="854"/>
      <c r="J141" s="854"/>
      <c r="L141" s="846"/>
    </row>
    <row r="142">
      <c r="I142" s="854"/>
      <c r="J142" s="854"/>
      <c r="L142" s="846"/>
    </row>
    <row r="143">
      <c r="I143" s="854"/>
      <c r="J143" s="854"/>
      <c r="L143" s="846"/>
    </row>
    <row r="144">
      <c r="I144" s="854"/>
      <c r="J144" s="854"/>
      <c r="L144" s="846"/>
    </row>
    <row r="145">
      <c r="I145" s="854"/>
      <c r="J145" s="854"/>
      <c r="L145" s="846"/>
    </row>
    <row r="146">
      <c r="I146" s="854"/>
      <c r="J146" s="854"/>
      <c r="L146" s="846"/>
    </row>
    <row r="147">
      <c r="I147" s="854"/>
      <c r="J147" s="854"/>
      <c r="L147" s="846"/>
    </row>
    <row r="148">
      <c r="I148" s="854"/>
      <c r="J148" s="854"/>
      <c r="L148" s="846"/>
    </row>
    <row r="149">
      <c r="I149" s="854"/>
      <c r="J149" s="854"/>
      <c r="L149" s="846"/>
    </row>
    <row r="150">
      <c r="I150" s="854"/>
      <c r="J150" s="854"/>
      <c r="L150" s="846"/>
    </row>
    <row r="151">
      <c r="I151" s="854"/>
      <c r="J151" s="854"/>
      <c r="L151" s="846"/>
    </row>
    <row r="152">
      <c r="I152" s="854"/>
      <c r="J152" s="854"/>
      <c r="L152" s="846"/>
    </row>
    <row r="153">
      <c r="I153" s="854"/>
      <c r="J153" s="854"/>
      <c r="L153" s="846"/>
    </row>
    <row r="154">
      <c r="I154" s="854"/>
      <c r="J154" s="854"/>
      <c r="L154" s="846"/>
    </row>
    <row r="155">
      <c r="I155" s="854"/>
      <c r="J155" s="854"/>
      <c r="L155" s="846"/>
    </row>
    <row r="156">
      <c r="I156" s="854"/>
      <c r="J156" s="854"/>
      <c r="L156" s="846"/>
    </row>
    <row r="157">
      <c r="I157" s="854"/>
      <c r="J157" s="854"/>
      <c r="L157" s="846"/>
    </row>
    <row r="158">
      <c r="I158" s="854"/>
      <c r="J158" s="854"/>
      <c r="L158" s="846"/>
    </row>
    <row r="159">
      <c r="I159" s="854"/>
      <c r="J159" s="854"/>
      <c r="L159" s="846"/>
    </row>
    <row r="160">
      <c r="I160" s="854"/>
      <c r="J160" s="854"/>
      <c r="L160" s="846"/>
    </row>
    <row r="161">
      <c r="I161" s="854"/>
      <c r="J161" s="854"/>
      <c r="L161" s="846"/>
    </row>
    <row r="162">
      <c r="I162" s="854"/>
      <c r="J162" s="854"/>
      <c r="L162" s="846"/>
    </row>
    <row r="163">
      <c r="I163" s="854"/>
      <c r="J163" s="854"/>
      <c r="L163" s="846"/>
    </row>
    <row r="164">
      <c r="I164" s="854"/>
      <c r="J164" s="854"/>
      <c r="L164" s="846"/>
    </row>
    <row r="165">
      <c r="I165" s="854"/>
      <c r="J165" s="854"/>
      <c r="L165" s="846"/>
    </row>
    <row r="166">
      <c r="I166" s="854"/>
      <c r="J166" s="854"/>
      <c r="L166" s="846"/>
    </row>
    <row r="167">
      <c r="I167" s="854"/>
      <c r="J167" s="854"/>
      <c r="L167" s="846"/>
    </row>
    <row r="168">
      <c r="I168" s="854"/>
      <c r="J168" s="854"/>
      <c r="L168" s="846"/>
    </row>
    <row r="169">
      <c r="I169" s="854"/>
      <c r="J169" s="854"/>
      <c r="L169" s="846"/>
    </row>
    <row r="170">
      <c r="I170" s="854"/>
      <c r="J170" s="854"/>
      <c r="L170" s="846"/>
    </row>
    <row r="171">
      <c r="I171" s="854"/>
      <c r="J171" s="854"/>
      <c r="L171" s="846"/>
    </row>
    <row r="172">
      <c r="I172" s="854"/>
      <c r="J172" s="854"/>
      <c r="L172" s="846"/>
    </row>
    <row r="173">
      <c r="I173" s="854"/>
      <c r="J173" s="854"/>
      <c r="L173" s="846"/>
    </row>
    <row r="174">
      <c r="I174" s="854"/>
      <c r="J174" s="854"/>
      <c r="L174" s="846"/>
    </row>
    <row r="175">
      <c r="I175" s="854"/>
      <c r="J175" s="854"/>
      <c r="L175" s="846"/>
    </row>
    <row r="176">
      <c r="I176" s="854"/>
      <c r="J176" s="854"/>
      <c r="L176" s="846"/>
    </row>
    <row r="177">
      <c r="I177" s="854"/>
      <c r="J177" s="854"/>
      <c r="L177" s="846"/>
    </row>
    <row r="178">
      <c r="I178" s="854"/>
      <c r="J178" s="854"/>
      <c r="L178" s="846"/>
    </row>
    <row r="179">
      <c r="I179" s="854"/>
      <c r="J179" s="854"/>
      <c r="L179" s="846"/>
    </row>
    <row r="180">
      <c r="I180" s="854"/>
      <c r="J180" s="854"/>
      <c r="L180" s="846"/>
    </row>
    <row r="181">
      <c r="I181" s="854"/>
      <c r="J181" s="854"/>
      <c r="L181" s="846"/>
    </row>
    <row r="182">
      <c r="I182" s="854"/>
      <c r="J182" s="854"/>
      <c r="L182" s="846"/>
    </row>
    <row r="183">
      <c r="I183" s="854"/>
      <c r="J183" s="854"/>
      <c r="L183" s="846"/>
    </row>
    <row r="184">
      <c r="I184" s="854"/>
      <c r="J184" s="854"/>
      <c r="L184" s="846"/>
    </row>
    <row r="185">
      <c r="I185" s="854"/>
      <c r="J185" s="854"/>
      <c r="L185" s="846"/>
    </row>
    <row r="186">
      <c r="I186" s="854"/>
      <c r="J186" s="854"/>
      <c r="L186" s="846"/>
    </row>
    <row r="187">
      <c r="I187" s="854"/>
      <c r="J187" s="854"/>
      <c r="L187" s="846"/>
    </row>
    <row r="188">
      <c r="I188" s="854"/>
      <c r="J188" s="854"/>
      <c r="L188" s="846"/>
    </row>
    <row r="189">
      <c r="I189" s="854"/>
      <c r="J189" s="854"/>
      <c r="L189" s="846"/>
    </row>
    <row r="190">
      <c r="I190" s="854"/>
      <c r="J190" s="854"/>
      <c r="L190" s="846"/>
    </row>
    <row r="191">
      <c r="I191" s="854"/>
      <c r="J191" s="854"/>
      <c r="L191" s="846"/>
    </row>
    <row r="192">
      <c r="I192" s="854"/>
      <c r="J192" s="854"/>
      <c r="L192" s="846"/>
    </row>
    <row r="193">
      <c r="I193" s="854"/>
      <c r="J193" s="854"/>
      <c r="L193" s="846"/>
    </row>
    <row r="194">
      <c r="I194" s="854"/>
      <c r="J194" s="854"/>
      <c r="L194" s="846"/>
    </row>
    <row r="195">
      <c r="I195" s="854"/>
      <c r="J195" s="854"/>
      <c r="L195" s="846"/>
    </row>
    <row r="196">
      <c r="I196" s="854"/>
      <c r="J196" s="854"/>
      <c r="L196" s="846"/>
    </row>
    <row r="197">
      <c r="I197" s="854"/>
      <c r="J197" s="854"/>
      <c r="L197" s="846"/>
    </row>
    <row r="198">
      <c r="I198" s="854"/>
      <c r="J198" s="854"/>
      <c r="L198" s="846"/>
    </row>
    <row r="199">
      <c r="I199" s="854"/>
      <c r="J199" s="854"/>
      <c r="L199" s="846"/>
    </row>
    <row r="200">
      <c r="I200" s="854"/>
      <c r="J200" s="854"/>
      <c r="L200" s="846"/>
    </row>
    <row r="201">
      <c r="I201" s="854"/>
      <c r="J201" s="854"/>
      <c r="L201" s="846"/>
    </row>
    <row r="202">
      <c r="I202" s="854"/>
      <c r="J202" s="854"/>
      <c r="L202" s="846"/>
    </row>
    <row r="203">
      <c r="I203" s="854"/>
      <c r="J203" s="854"/>
      <c r="L203" s="846"/>
    </row>
    <row r="204">
      <c r="I204" s="854"/>
      <c r="J204" s="854"/>
      <c r="L204" s="846"/>
    </row>
    <row r="205">
      <c r="I205" s="854"/>
      <c r="J205" s="854"/>
      <c r="L205" s="846"/>
    </row>
    <row r="206">
      <c r="I206" s="854"/>
      <c r="J206" s="854"/>
      <c r="L206" s="846"/>
    </row>
    <row r="207">
      <c r="I207" s="854"/>
      <c r="J207" s="854"/>
      <c r="L207" s="846"/>
    </row>
    <row r="208">
      <c r="I208" s="854"/>
      <c r="J208" s="854"/>
      <c r="L208" s="846"/>
    </row>
    <row r="209">
      <c r="I209" s="854"/>
      <c r="J209" s="854"/>
      <c r="L209" s="846"/>
    </row>
    <row r="210">
      <c r="I210" s="854"/>
      <c r="J210" s="854"/>
      <c r="L210" s="846"/>
    </row>
    <row r="211">
      <c r="I211" s="854"/>
      <c r="J211" s="854"/>
      <c r="L211" s="846"/>
    </row>
    <row r="212">
      <c r="I212" s="854"/>
      <c r="J212" s="854"/>
      <c r="L212" s="846"/>
    </row>
    <row r="213">
      <c r="I213" s="854"/>
      <c r="J213" s="854"/>
      <c r="L213" s="846"/>
    </row>
    <row r="214">
      <c r="I214" s="854"/>
      <c r="J214" s="854"/>
      <c r="L214" s="846"/>
    </row>
    <row r="215">
      <c r="I215" s="854"/>
      <c r="J215" s="854"/>
      <c r="L215" s="846"/>
    </row>
    <row r="216">
      <c r="I216" s="854"/>
      <c r="J216" s="854"/>
      <c r="L216" s="846"/>
    </row>
    <row r="217">
      <c r="I217" s="854"/>
      <c r="J217" s="854"/>
      <c r="L217" s="846"/>
    </row>
    <row r="218">
      <c r="I218" s="854"/>
      <c r="J218" s="854"/>
      <c r="L218" s="846"/>
    </row>
    <row r="219">
      <c r="I219" s="854"/>
      <c r="J219" s="854"/>
      <c r="L219" s="846"/>
    </row>
    <row r="220">
      <c r="I220" s="854"/>
      <c r="J220" s="854"/>
      <c r="L220" s="846"/>
    </row>
    <row r="221">
      <c r="I221" s="854"/>
      <c r="J221" s="854"/>
      <c r="L221" s="846"/>
    </row>
    <row r="222">
      <c r="I222" s="854"/>
      <c r="J222" s="854"/>
      <c r="L222" s="846"/>
    </row>
    <row r="223">
      <c r="I223" s="854"/>
      <c r="J223" s="854"/>
      <c r="L223" s="846"/>
    </row>
    <row r="224">
      <c r="I224" s="854"/>
      <c r="J224" s="854"/>
      <c r="L224" s="846"/>
    </row>
    <row r="225">
      <c r="I225" s="854"/>
      <c r="J225" s="854"/>
      <c r="L225" s="846"/>
    </row>
    <row r="226">
      <c r="I226" s="854"/>
      <c r="J226" s="854"/>
      <c r="L226" s="846"/>
    </row>
    <row r="227">
      <c r="I227" s="854"/>
      <c r="J227" s="854"/>
      <c r="L227" s="846"/>
    </row>
    <row r="228">
      <c r="I228" s="854"/>
      <c r="J228" s="854"/>
      <c r="L228" s="846"/>
    </row>
    <row r="229">
      <c r="I229" s="854"/>
      <c r="J229" s="854"/>
      <c r="L229" s="846"/>
    </row>
    <row r="230">
      <c r="I230" s="854"/>
      <c r="J230" s="854"/>
      <c r="L230" s="846"/>
    </row>
    <row r="231">
      <c r="I231" s="854"/>
      <c r="J231" s="854"/>
      <c r="L231" s="846"/>
    </row>
    <row r="232">
      <c r="I232" s="854"/>
      <c r="J232" s="854"/>
      <c r="L232" s="846"/>
    </row>
    <row r="233">
      <c r="I233" s="854"/>
      <c r="J233" s="854"/>
      <c r="L233" s="846"/>
    </row>
    <row r="234">
      <c r="I234" s="854"/>
      <c r="J234" s="854"/>
      <c r="L234" s="846"/>
    </row>
    <row r="235">
      <c r="I235" s="854"/>
      <c r="J235" s="854"/>
      <c r="L235" s="846"/>
    </row>
    <row r="236">
      <c r="I236" s="854"/>
      <c r="J236" s="854"/>
      <c r="L236" s="846"/>
    </row>
    <row r="237">
      <c r="I237" s="854"/>
      <c r="J237" s="854"/>
      <c r="L237" s="846"/>
    </row>
    <row r="238">
      <c r="I238" s="854"/>
      <c r="J238" s="854"/>
      <c r="L238" s="846"/>
    </row>
    <row r="239">
      <c r="I239" s="854"/>
      <c r="J239" s="854"/>
      <c r="L239" s="846"/>
    </row>
    <row r="240">
      <c r="I240" s="854"/>
      <c r="J240" s="854"/>
      <c r="L240" s="846"/>
    </row>
    <row r="241">
      <c r="I241" s="854"/>
      <c r="J241" s="854"/>
      <c r="L241" s="846"/>
    </row>
    <row r="242">
      <c r="I242" s="854"/>
      <c r="J242" s="854"/>
      <c r="L242" s="846"/>
    </row>
    <row r="243">
      <c r="I243" s="854"/>
      <c r="J243" s="854"/>
      <c r="L243" s="846"/>
    </row>
    <row r="244">
      <c r="I244" s="854"/>
      <c r="J244" s="854"/>
      <c r="L244" s="846"/>
    </row>
    <row r="245">
      <c r="I245" s="854"/>
      <c r="J245" s="854"/>
      <c r="L245" s="846"/>
    </row>
    <row r="246">
      <c r="I246" s="854"/>
      <c r="J246" s="854"/>
      <c r="L246" s="846"/>
    </row>
    <row r="247">
      <c r="I247" s="854"/>
      <c r="J247" s="854"/>
      <c r="L247" s="846"/>
    </row>
    <row r="248">
      <c r="I248" s="854"/>
      <c r="J248" s="854"/>
      <c r="L248" s="846"/>
    </row>
    <row r="249">
      <c r="I249" s="854"/>
      <c r="J249" s="854"/>
      <c r="L249" s="846"/>
    </row>
    <row r="250">
      <c r="I250" s="854"/>
      <c r="J250" s="854"/>
      <c r="L250" s="846"/>
    </row>
    <row r="251">
      <c r="I251" s="854"/>
      <c r="J251" s="854"/>
      <c r="L251" s="846"/>
    </row>
    <row r="252">
      <c r="I252" s="854"/>
      <c r="J252" s="854"/>
      <c r="L252" s="846"/>
    </row>
    <row r="253">
      <c r="I253" s="854"/>
      <c r="J253" s="854"/>
      <c r="L253" s="846"/>
    </row>
    <row r="254">
      <c r="I254" s="854"/>
      <c r="J254" s="854"/>
      <c r="L254" s="846"/>
    </row>
    <row r="255">
      <c r="I255" s="854"/>
      <c r="J255" s="854"/>
      <c r="L255" s="846"/>
    </row>
    <row r="256">
      <c r="I256" s="854"/>
      <c r="J256" s="854"/>
      <c r="L256" s="846"/>
    </row>
    <row r="257">
      <c r="I257" s="854"/>
      <c r="J257" s="854"/>
      <c r="L257" s="846"/>
    </row>
    <row r="258">
      <c r="I258" s="854"/>
      <c r="J258" s="854"/>
      <c r="L258" s="846"/>
    </row>
    <row r="259">
      <c r="I259" s="854"/>
      <c r="J259" s="854"/>
      <c r="L259" s="846"/>
    </row>
    <row r="260">
      <c r="I260" s="854"/>
      <c r="J260" s="854"/>
      <c r="L260" s="846"/>
    </row>
    <row r="261">
      <c r="I261" s="854"/>
      <c r="J261" s="854"/>
      <c r="L261" s="846"/>
    </row>
    <row r="262">
      <c r="I262" s="854"/>
      <c r="J262" s="854"/>
      <c r="L262" s="846"/>
    </row>
    <row r="263">
      <c r="I263" s="854"/>
      <c r="J263" s="854"/>
      <c r="L263" s="846"/>
    </row>
    <row r="264">
      <c r="I264" s="854"/>
      <c r="J264" s="854"/>
      <c r="L264" s="846"/>
    </row>
    <row r="265">
      <c r="I265" s="854"/>
      <c r="J265" s="854"/>
      <c r="L265" s="846"/>
    </row>
    <row r="266">
      <c r="I266" s="854"/>
      <c r="J266" s="854"/>
      <c r="L266" s="846"/>
    </row>
    <row r="267">
      <c r="I267" s="854"/>
      <c r="J267" s="854"/>
      <c r="L267" s="846"/>
    </row>
    <row r="268">
      <c r="I268" s="854"/>
      <c r="J268" s="854"/>
      <c r="L268" s="846"/>
    </row>
    <row r="269">
      <c r="I269" s="854"/>
      <c r="J269" s="854"/>
      <c r="L269" s="846"/>
    </row>
    <row r="270">
      <c r="I270" s="854"/>
      <c r="J270" s="854"/>
      <c r="L270" s="846"/>
    </row>
    <row r="271">
      <c r="I271" s="854"/>
      <c r="J271" s="854"/>
      <c r="L271" s="846"/>
    </row>
    <row r="272">
      <c r="I272" s="854"/>
      <c r="J272" s="854"/>
      <c r="L272" s="846"/>
    </row>
    <row r="273">
      <c r="I273" s="854"/>
      <c r="J273" s="854"/>
      <c r="L273" s="846"/>
    </row>
    <row r="274">
      <c r="I274" s="854"/>
      <c r="J274" s="854"/>
      <c r="L274" s="846"/>
    </row>
    <row r="275">
      <c r="I275" s="854"/>
      <c r="J275" s="854"/>
      <c r="L275" s="846"/>
    </row>
    <row r="276">
      <c r="I276" s="854"/>
      <c r="J276" s="854"/>
      <c r="L276" s="846"/>
    </row>
    <row r="277">
      <c r="I277" s="854"/>
      <c r="J277" s="854"/>
      <c r="L277" s="846"/>
    </row>
    <row r="278">
      <c r="I278" s="854"/>
      <c r="J278" s="854"/>
      <c r="L278" s="846"/>
    </row>
    <row r="279">
      <c r="I279" s="854"/>
      <c r="J279" s="854"/>
      <c r="L279" s="846"/>
    </row>
    <row r="280">
      <c r="I280" s="854"/>
      <c r="J280" s="854"/>
      <c r="L280" s="846"/>
    </row>
    <row r="281">
      <c r="I281" s="854"/>
      <c r="J281" s="854"/>
      <c r="L281" s="846"/>
    </row>
    <row r="282">
      <c r="I282" s="854"/>
      <c r="J282" s="854"/>
      <c r="L282" s="846"/>
    </row>
    <row r="283">
      <c r="I283" s="854"/>
      <c r="J283" s="854"/>
      <c r="L283" s="846"/>
    </row>
    <row r="284">
      <c r="I284" s="854"/>
      <c r="J284" s="854"/>
      <c r="L284" s="846"/>
    </row>
    <row r="285">
      <c r="I285" s="854"/>
      <c r="J285" s="854"/>
      <c r="L285" s="846"/>
    </row>
    <row r="286">
      <c r="I286" s="854"/>
      <c r="J286" s="854"/>
      <c r="L286" s="846"/>
    </row>
    <row r="287">
      <c r="I287" s="854"/>
      <c r="J287" s="854"/>
      <c r="L287" s="846"/>
    </row>
    <row r="288">
      <c r="I288" s="854"/>
      <c r="J288" s="854"/>
      <c r="L288" s="846"/>
    </row>
    <row r="289">
      <c r="I289" s="854"/>
      <c r="J289" s="854"/>
      <c r="L289" s="846"/>
    </row>
    <row r="290">
      <c r="I290" s="854"/>
      <c r="J290" s="854"/>
      <c r="L290" s="846"/>
    </row>
    <row r="291">
      <c r="I291" s="854"/>
      <c r="J291" s="854"/>
      <c r="L291" s="846"/>
    </row>
    <row r="292">
      <c r="I292" s="854"/>
      <c r="J292" s="854"/>
      <c r="L292" s="846"/>
    </row>
    <row r="293">
      <c r="I293" s="854"/>
      <c r="J293" s="854"/>
      <c r="L293" s="846"/>
    </row>
    <row r="294">
      <c r="I294" s="854"/>
      <c r="J294" s="854"/>
      <c r="L294" s="846"/>
    </row>
    <row r="295">
      <c r="I295" s="854"/>
      <c r="J295" s="854"/>
      <c r="L295" s="846"/>
    </row>
    <row r="296">
      <c r="I296" s="854"/>
      <c r="J296" s="854"/>
      <c r="L296" s="846"/>
    </row>
    <row r="297">
      <c r="I297" s="854"/>
      <c r="J297" s="854"/>
      <c r="L297" s="846"/>
    </row>
    <row r="298">
      <c r="I298" s="854"/>
      <c r="J298" s="854"/>
      <c r="L298" s="846"/>
    </row>
    <row r="299">
      <c r="I299" s="854"/>
      <c r="J299" s="854"/>
      <c r="L299" s="846"/>
    </row>
    <row r="300">
      <c r="I300" s="854"/>
      <c r="J300" s="854"/>
      <c r="L300" s="846"/>
    </row>
    <row r="301">
      <c r="I301" s="854"/>
      <c r="J301" s="854"/>
      <c r="L301" s="846"/>
    </row>
    <row r="302">
      <c r="I302" s="854"/>
      <c r="J302" s="854"/>
      <c r="L302" s="846"/>
    </row>
    <row r="303">
      <c r="I303" s="854"/>
      <c r="J303" s="854"/>
      <c r="L303" s="846"/>
    </row>
    <row r="304">
      <c r="I304" s="854"/>
      <c r="J304" s="854"/>
      <c r="L304" s="846"/>
    </row>
    <row r="305">
      <c r="I305" s="854"/>
      <c r="J305" s="854"/>
      <c r="L305" s="846"/>
    </row>
    <row r="306">
      <c r="I306" s="854"/>
      <c r="J306" s="854"/>
      <c r="L306" s="846"/>
    </row>
    <row r="307">
      <c r="I307" s="854"/>
      <c r="J307" s="854"/>
      <c r="L307" s="846"/>
    </row>
    <row r="308">
      <c r="I308" s="854"/>
      <c r="J308" s="854"/>
      <c r="L308" s="846"/>
    </row>
    <row r="309">
      <c r="I309" s="854"/>
      <c r="J309" s="854"/>
      <c r="L309" s="846"/>
    </row>
    <row r="310">
      <c r="I310" s="854"/>
      <c r="J310" s="854"/>
      <c r="L310" s="846"/>
    </row>
    <row r="311">
      <c r="I311" s="854"/>
      <c r="J311" s="854"/>
      <c r="L311" s="846"/>
    </row>
    <row r="312">
      <c r="I312" s="854"/>
      <c r="J312" s="854"/>
      <c r="L312" s="846"/>
    </row>
    <row r="313">
      <c r="I313" s="854"/>
      <c r="J313" s="854"/>
      <c r="L313" s="846"/>
    </row>
    <row r="314">
      <c r="I314" s="854"/>
      <c r="J314" s="854"/>
      <c r="L314" s="846"/>
    </row>
    <row r="315">
      <c r="I315" s="854"/>
      <c r="J315" s="854"/>
      <c r="L315" s="846"/>
    </row>
    <row r="316">
      <c r="I316" s="854"/>
      <c r="J316" s="854"/>
      <c r="L316" s="846"/>
    </row>
    <row r="317">
      <c r="I317" s="854"/>
      <c r="J317" s="854"/>
      <c r="L317" s="846"/>
    </row>
    <row r="318">
      <c r="I318" s="854"/>
      <c r="J318" s="854"/>
      <c r="L318" s="846"/>
    </row>
    <row r="319">
      <c r="I319" s="854"/>
      <c r="J319" s="854"/>
      <c r="L319" s="846"/>
    </row>
    <row r="320">
      <c r="I320" s="854"/>
      <c r="J320" s="854"/>
      <c r="L320" s="846"/>
    </row>
    <row r="321">
      <c r="I321" s="854"/>
      <c r="J321" s="854"/>
      <c r="L321" s="846"/>
    </row>
    <row r="322">
      <c r="I322" s="854"/>
      <c r="J322" s="854"/>
      <c r="L322" s="846"/>
    </row>
    <row r="323">
      <c r="I323" s="854"/>
      <c r="J323" s="854"/>
      <c r="L323" s="846"/>
    </row>
    <row r="324">
      <c r="I324" s="854"/>
      <c r="J324" s="854"/>
      <c r="L324" s="846"/>
    </row>
    <row r="325">
      <c r="I325" s="854"/>
      <c r="J325" s="854"/>
      <c r="L325" s="846"/>
    </row>
    <row r="326">
      <c r="I326" s="854"/>
      <c r="J326" s="854"/>
      <c r="L326" s="846"/>
    </row>
    <row r="327">
      <c r="I327" s="854"/>
      <c r="J327" s="854"/>
      <c r="L327" s="846"/>
    </row>
    <row r="328">
      <c r="I328" s="854"/>
      <c r="J328" s="854"/>
      <c r="L328" s="846"/>
    </row>
    <row r="329">
      <c r="I329" s="854"/>
      <c r="J329" s="854"/>
      <c r="L329" s="846"/>
    </row>
    <row r="330">
      <c r="I330" s="854"/>
      <c r="J330" s="854"/>
      <c r="L330" s="846"/>
    </row>
    <row r="331">
      <c r="I331" s="854"/>
      <c r="J331" s="854"/>
      <c r="L331" s="846"/>
    </row>
    <row r="332">
      <c r="I332" s="854"/>
      <c r="J332" s="854"/>
      <c r="L332" s="846"/>
    </row>
    <row r="333">
      <c r="I333" s="854"/>
      <c r="J333" s="854"/>
      <c r="L333" s="846"/>
    </row>
    <row r="334">
      <c r="I334" s="854"/>
      <c r="J334" s="854"/>
      <c r="L334" s="846"/>
    </row>
    <row r="335">
      <c r="I335" s="854"/>
      <c r="J335" s="854"/>
      <c r="L335" s="846"/>
    </row>
    <row r="336">
      <c r="I336" s="854"/>
      <c r="J336" s="854"/>
      <c r="L336" s="846"/>
    </row>
    <row r="337">
      <c r="I337" s="854"/>
      <c r="J337" s="854"/>
      <c r="L337" s="846"/>
    </row>
    <row r="338">
      <c r="I338" s="854"/>
      <c r="J338" s="854"/>
      <c r="L338" s="846"/>
    </row>
    <row r="339">
      <c r="I339" s="854"/>
      <c r="J339" s="854"/>
      <c r="L339" s="846"/>
    </row>
    <row r="340">
      <c r="I340" s="854"/>
      <c r="J340" s="854"/>
      <c r="L340" s="846"/>
    </row>
    <row r="341">
      <c r="I341" s="854"/>
      <c r="J341" s="854"/>
      <c r="L341" s="846"/>
    </row>
    <row r="342">
      <c r="I342" s="854"/>
      <c r="J342" s="854"/>
      <c r="L342" s="846"/>
    </row>
    <row r="343">
      <c r="I343" s="854"/>
      <c r="J343" s="854"/>
      <c r="L343" s="846"/>
    </row>
    <row r="344">
      <c r="I344" s="854"/>
      <c r="J344" s="854"/>
      <c r="L344" s="846"/>
    </row>
    <row r="345">
      <c r="I345" s="854"/>
      <c r="J345" s="854"/>
      <c r="L345" s="846"/>
    </row>
    <row r="346">
      <c r="I346" s="854"/>
      <c r="J346" s="854"/>
      <c r="L346" s="846"/>
    </row>
    <row r="347">
      <c r="I347" s="854"/>
      <c r="J347" s="854"/>
      <c r="L347" s="846"/>
    </row>
    <row r="348">
      <c r="I348" s="854"/>
      <c r="J348" s="854"/>
      <c r="L348" s="846"/>
    </row>
    <row r="349">
      <c r="I349" s="854"/>
      <c r="J349" s="854"/>
      <c r="L349" s="846"/>
    </row>
    <row r="350">
      <c r="I350" s="854"/>
      <c r="J350" s="854"/>
      <c r="L350" s="846"/>
    </row>
    <row r="351">
      <c r="I351" s="854"/>
      <c r="J351" s="854"/>
      <c r="L351" s="846"/>
    </row>
    <row r="352">
      <c r="I352" s="854"/>
      <c r="J352" s="854"/>
      <c r="L352" s="846"/>
    </row>
    <row r="353">
      <c r="I353" s="854"/>
      <c r="J353" s="854"/>
      <c r="L353" s="846"/>
    </row>
    <row r="354">
      <c r="I354" s="854"/>
      <c r="J354" s="854"/>
      <c r="L354" s="846"/>
    </row>
    <row r="355">
      <c r="I355" s="854"/>
      <c r="J355" s="854"/>
      <c r="L355" s="846"/>
    </row>
    <row r="356">
      <c r="I356" s="854"/>
      <c r="J356" s="854"/>
      <c r="L356" s="846"/>
    </row>
    <row r="357">
      <c r="I357" s="854"/>
      <c r="J357" s="854"/>
      <c r="L357" s="846"/>
    </row>
    <row r="358">
      <c r="I358" s="854"/>
      <c r="J358" s="854"/>
      <c r="L358" s="846"/>
    </row>
    <row r="359">
      <c r="I359" s="854"/>
      <c r="J359" s="854"/>
      <c r="L359" s="846"/>
    </row>
    <row r="360">
      <c r="I360" s="854"/>
      <c r="J360" s="854"/>
      <c r="L360" s="846"/>
    </row>
    <row r="361">
      <c r="I361" s="854"/>
      <c r="J361" s="854"/>
      <c r="L361" s="846"/>
    </row>
    <row r="362">
      <c r="I362" s="854"/>
      <c r="J362" s="854"/>
      <c r="L362" s="846"/>
    </row>
    <row r="363">
      <c r="I363" s="854"/>
      <c r="J363" s="854"/>
      <c r="L363" s="846"/>
    </row>
    <row r="364">
      <c r="I364" s="854"/>
      <c r="J364" s="854"/>
      <c r="L364" s="846"/>
    </row>
    <row r="365">
      <c r="I365" s="854"/>
      <c r="J365" s="854"/>
      <c r="L365" s="846"/>
    </row>
    <row r="366">
      <c r="I366" s="854"/>
      <c r="J366" s="854"/>
      <c r="L366" s="846"/>
    </row>
    <row r="367">
      <c r="I367" s="854"/>
      <c r="J367" s="854"/>
      <c r="L367" s="846"/>
    </row>
    <row r="368">
      <c r="I368" s="854"/>
      <c r="J368" s="854"/>
      <c r="L368" s="846"/>
    </row>
    <row r="369">
      <c r="I369" s="854"/>
      <c r="J369" s="854"/>
      <c r="L369" s="846"/>
    </row>
    <row r="370">
      <c r="I370" s="854"/>
      <c r="J370" s="854"/>
      <c r="L370" s="846"/>
    </row>
    <row r="371">
      <c r="I371" s="854"/>
      <c r="J371" s="854"/>
      <c r="L371" s="846"/>
    </row>
    <row r="372">
      <c r="I372" s="854"/>
      <c r="J372" s="854"/>
      <c r="L372" s="846"/>
    </row>
    <row r="373">
      <c r="I373" s="854"/>
      <c r="J373" s="854"/>
      <c r="L373" s="846"/>
    </row>
    <row r="374">
      <c r="I374" s="854"/>
      <c r="J374" s="854"/>
      <c r="L374" s="846"/>
    </row>
    <row r="375">
      <c r="I375" s="854"/>
      <c r="J375" s="854"/>
      <c r="L375" s="846"/>
    </row>
    <row r="376">
      <c r="I376" s="854"/>
      <c r="J376" s="854"/>
      <c r="L376" s="846"/>
    </row>
    <row r="377">
      <c r="I377" s="854"/>
      <c r="J377" s="854"/>
      <c r="L377" s="846"/>
    </row>
    <row r="378">
      <c r="I378" s="854"/>
      <c r="J378" s="854"/>
      <c r="L378" s="846"/>
    </row>
    <row r="379">
      <c r="I379" s="854"/>
      <c r="J379" s="854"/>
      <c r="L379" s="846"/>
    </row>
    <row r="380">
      <c r="I380" s="854"/>
      <c r="J380" s="854"/>
      <c r="L380" s="846"/>
    </row>
    <row r="381">
      <c r="I381" s="854"/>
      <c r="J381" s="854"/>
      <c r="L381" s="846"/>
    </row>
    <row r="382">
      <c r="I382" s="854"/>
      <c r="J382" s="854"/>
      <c r="L382" s="846"/>
    </row>
    <row r="383">
      <c r="I383" s="854"/>
      <c r="J383" s="854"/>
      <c r="L383" s="846"/>
    </row>
    <row r="384">
      <c r="I384" s="854"/>
      <c r="J384" s="854"/>
      <c r="L384" s="846"/>
    </row>
    <row r="385">
      <c r="I385" s="854"/>
      <c r="J385" s="854"/>
      <c r="L385" s="846"/>
    </row>
    <row r="386">
      <c r="I386" s="854"/>
      <c r="J386" s="854"/>
      <c r="L386" s="846"/>
    </row>
    <row r="387">
      <c r="I387" s="854"/>
      <c r="J387" s="854"/>
      <c r="L387" s="846"/>
    </row>
    <row r="388">
      <c r="I388" s="854"/>
      <c r="J388" s="854"/>
      <c r="L388" s="846"/>
    </row>
    <row r="389">
      <c r="I389" s="854"/>
      <c r="J389" s="854"/>
      <c r="L389" s="846"/>
    </row>
    <row r="390">
      <c r="I390" s="854"/>
      <c r="J390" s="854"/>
      <c r="L390" s="846"/>
    </row>
    <row r="391">
      <c r="I391" s="854"/>
      <c r="J391" s="854"/>
      <c r="L391" s="846"/>
    </row>
    <row r="392">
      <c r="I392" s="854"/>
      <c r="J392" s="854"/>
      <c r="L392" s="846"/>
    </row>
    <row r="393">
      <c r="I393" s="854"/>
      <c r="J393" s="854"/>
      <c r="L393" s="846"/>
    </row>
    <row r="394">
      <c r="I394" s="854"/>
      <c r="J394" s="854"/>
      <c r="L394" s="846"/>
    </row>
    <row r="395">
      <c r="I395" s="854"/>
      <c r="J395" s="854"/>
      <c r="L395" s="846"/>
    </row>
    <row r="396">
      <c r="I396" s="854"/>
      <c r="J396" s="854"/>
      <c r="L396" s="846"/>
    </row>
    <row r="397">
      <c r="I397" s="854"/>
      <c r="J397" s="854"/>
      <c r="L397" s="846"/>
    </row>
    <row r="398">
      <c r="I398" s="854"/>
      <c r="J398" s="854"/>
      <c r="L398" s="846"/>
    </row>
    <row r="399">
      <c r="I399" s="854"/>
      <c r="J399" s="854"/>
      <c r="L399" s="846"/>
    </row>
    <row r="400">
      <c r="I400" s="854"/>
      <c r="J400" s="854"/>
      <c r="L400" s="846"/>
    </row>
    <row r="401">
      <c r="I401" s="854"/>
      <c r="J401" s="854"/>
      <c r="L401" s="846"/>
    </row>
    <row r="402">
      <c r="I402" s="854"/>
      <c r="J402" s="854"/>
      <c r="L402" s="846"/>
    </row>
    <row r="403">
      <c r="I403" s="854"/>
      <c r="J403" s="854"/>
      <c r="L403" s="846"/>
    </row>
    <row r="404">
      <c r="I404" s="854"/>
      <c r="J404" s="854"/>
      <c r="L404" s="846"/>
    </row>
    <row r="405">
      <c r="I405" s="854"/>
      <c r="J405" s="854"/>
      <c r="L405" s="846"/>
    </row>
    <row r="406">
      <c r="I406" s="854"/>
      <c r="J406" s="854"/>
      <c r="L406" s="846"/>
    </row>
    <row r="407">
      <c r="I407" s="854"/>
      <c r="J407" s="854"/>
      <c r="L407" s="846"/>
    </row>
    <row r="408">
      <c r="I408" s="854"/>
      <c r="J408" s="854"/>
      <c r="L408" s="846"/>
    </row>
    <row r="409">
      <c r="I409" s="854"/>
      <c r="J409" s="854"/>
      <c r="L409" s="846"/>
    </row>
    <row r="410">
      <c r="I410" s="854"/>
      <c r="J410" s="854"/>
      <c r="L410" s="846"/>
    </row>
    <row r="411">
      <c r="I411" s="854"/>
      <c r="J411" s="854"/>
      <c r="L411" s="846"/>
    </row>
    <row r="412">
      <c r="I412" s="854"/>
      <c r="J412" s="854"/>
      <c r="L412" s="846"/>
    </row>
    <row r="413">
      <c r="I413" s="854"/>
      <c r="J413" s="854"/>
      <c r="L413" s="846"/>
    </row>
    <row r="414">
      <c r="I414" s="854"/>
      <c r="J414" s="854"/>
      <c r="L414" s="846"/>
    </row>
    <row r="415">
      <c r="I415" s="854"/>
      <c r="J415" s="854"/>
      <c r="L415" s="846"/>
    </row>
    <row r="416">
      <c r="I416" s="854"/>
      <c r="J416" s="854"/>
      <c r="L416" s="846"/>
    </row>
    <row r="417">
      <c r="I417" s="854"/>
      <c r="J417" s="854"/>
      <c r="L417" s="846"/>
    </row>
    <row r="418">
      <c r="I418" s="854"/>
      <c r="J418" s="854"/>
      <c r="L418" s="846"/>
    </row>
    <row r="419">
      <c r="I419" s="854"/>
      <c r="J419" s="854"/>
      <c r="L419" s="846"/>
    </row>
    <row r="420">
      <c r="I420" s="854"/>
      <c r="J420" s="854"/>
      <c r="L420" s="846"/>
    </row>
    <row r="421">
      <c r="I421" s="854"/>
      <c r="J421" s="854"/>
      <c r="L421" s="846"/>
    </row>
    <row r="422">
      <c r="I422" s="854"/>
      <c r="J422" s="854"/>
      <c r="L422" s="846"/>
    </row>
    <row r="423">
      <c r="I423" s="854"/>
      <c r="J423" s="854"/>
      <c r="L423" s="846"/>
    </row>
    <row r="424">
      <c r="I424" s="854"/>
      <c r="J424" s="854"/>
      <c r="L424" s="846"/>
    </row>
    <row r="425">
      <c r="I425" s="854"/>
      <c r="J425" s="854"/>
      <c r="L425" s="846"/>
    </row>
    <row r="426">
      <c r="I426" s="854"/>
      <c r="J426" s="854"/>
      <c r="L426" s="846"/>
    </row>
    <row r="427">
      <c r="I427" s="854"/>
      <c r="J427" s="854"/>
      <c r="L427" s="846"/>
    </row>
    <row r="428">
      <c r="I428" s="854"/>
      <c r="J428" s="854"/>
      <c r="L428" s="846"/>
    </row>
    <row r="429">
      <c r="I429" s="854"/>
      <c r="J429" s="854"/>
      <c r="L429" s="846"/>
    </row>
    <row r="430">
      <c r="I430" s="854"/>
      <c r="J430" s="854"/>
      <c r="L430" s="846"/>
    </row>
    <row r="431">
      <c r="I431" s="854"/>
      <c r="J431" s="854"/>
      <c r="L431" s="846"/>
    </row>
    <row r="432">
      <c r="I432" s="854"/>
      <c r="J432" s="854"/>
      <c r="L432" s="846"/>
    </row>
    <row r="433">
      <c r="I433" s="854"/>
      <c r="J433" s="854"/>
      <c r="L433" s="846"/>
    </row>
    <row r="434">
      <c r="I434" s="854"/>
      <c r="J434" s="854"/>
      <c r="L434" s="846"/>
    </row>
    <row r="435">
      <c r="I435" s="854"/>
      <c r="J435" s="854"/>
      <c r="L435" s="846"/>
    </row>
    <row r="436">
      <c r="I436" s="854"/>
      <c r="J436" s="854"/>
      <c r="L436" s="846"/>
    </row>
    <row r="437">
      <c r="I437" s="854"/>
      <c r="J437" s="854"/>
      <c r="L437" s="846"/>
    </row>
    <row r="438">
      <c r="I438" s="854"/>
      <c r="J438" s="854"/>
      <c r="L438" s="846"/>
    </row>
    <row r="439">
      <c r="I439" s="854"/>
      <c r="J439" s="854"/>
      <c r="L439" s="846"/>
    </row>
    <row r="440">
      <c r="I440" s="854"/>
      <c r="J440" s="854"/>
      <c r="L440" s="846"/>
    </row>
    <row r="441">
      <c r="I441" s="854"/>
      <c r="J441" s="854"/>
      <c r="L441" s="846"/>
    </row>
    <row r="442">
      <c r="I442" s="854"/>
      <c r="J442" s="854"/>
      <c r="L442" s="846"/>
    </row>
    <row r="443">
      <c r="I443" s="854"/>
      <c r="J443" s="854"/>
      <c r="L443" s="846"/>
    </row>
    <row r="444">
      <c r="I444" s="854"/>
      <c r="J444" s="854"/>
      <c r="L444" s="846"/>
    </row>
    <row r="445">
      <c r="I445" s="854"/>
      <c r="J445" s="854"/>
      <c r="L445" s="846"/>
    </row>
    <row r="446">
      <c r="I446" s="854"/>
      <c r="J446" s="854"/>
      <c r="L446" s="846"/>
    </row>
    <row r="447">
      <c r="I447" s="854"/>
      <c r="J447" s="854"/>
      <c r="L447" s="846"/>
    </row>
    <row r="448">
      <c r="I448" s="854"/>
      <c r="J448" s="854"/>
      <c r="L448" s="846"/>
    </row>
    <row r="449">
      <c r="I449" s="854"/>
      <c r="J449" s="854"/>
      <c r="L449" s="846"/>
    </row>
    <row r="450">
      <c r="I450" s="854"/>
      <c r="J450" s="854"/>
      <c r="L450" s="846"/>
    </row>
    <row r="451">
      <c r="I451" s="854"/>
      <c r="J451" s="854"/>
      <c r="L451" s="846"/>
    </row>
    <row r="452">
      <c r="I452" s="854"/>
      <c r="J452" s="854"/>
      <c r="L452" s="846"/>
    </row>
    <row r="453">
      <c r="I453" s="854"/>
      <c r="J453" s="854"/>
      <c r="L453" s="846"/>
    </row>
    <row r="454">
      <c r="I454" s="854"/>
      <c r="J454" s="854"/>
      <c r="L454" s="846"/>
    </row>
    <row r="455">
      <c r="I455" s="854"/>
      <c r="J455" s="854"/>
      <c r="L455" s="846"/>
    </row>
    <row r="456">
      <c r="I456" s="854"/>
      <c r="J456" s="854"/>
      <c r="L456" s="846"/>
    </row>
    <row r="457">
      <c r="I457" s="854"/>
      <c r="J457" s="854"/>
      <c r="L457" s="846"/>
    </row>
    <row r="458">
      <c r="I458" s="854"/>
      <c r="J458" s="854"/>
      <c r="L458" s="846"/>
    </row>
    <row r="459">
      <c r="I459" s="854"/>
      <c r="J459" s="854"/>
      <c r="L459" s="846"/>
    </row>
    <row r="460">
      <c r="I460" s="854"/>
      <c r="J460" s="854"/>
      <c r="L460" s="846"/>
    </row>
    <row r="461">
      <c r="I461" s="854"/>
      <c r="J461" s="854"/>
      <c r="L461" s="846"/>
    </row>
    <row r="462">
      <c r="I462" s="854"/>
      <c r="J462" s="854"/>
      <c r="L462" s="846"/>
    </row>
    <row r="463">
      <c r="I463" s="854"/>
      <c r="J463" s="854"/>
      <c r="L463" s="846"/>
    </row>
    <row r="464">
      <c r="I464" s="854"/>
      <c r="J464" s="854"/>
      <c r="L464" s="846"/>
    </row>
    <row r="465">
      <c r="I465" s="854"/>
      <c r="J465" s="854"/>
      <c r="L465" s="846"/>
    </row>
    <row r="466">
      <c r="I466" s="854"/>
      <c r="J466" s="854"/>
      <c r="L466" s="846"/>
    </row>
    <row r="467">
      <c r="I467" s="854"/>
      <c r="J467" s="854"/>
      <c r="L467" s="846"/>
    </row>
    <row r="468">
      <c r="I468" s="854"/>
      <c r="J468" s="854"/>
      <c r="L468" s="846"/>
    </row>
    <row r="469">
      <c r="I469" s="854"/>
      <c r="J469" s="854"/>
      <c r="L469" s="846"/>
    </row>
    <row r="470">
      <c r="I470" s="854"/>
      <c r="J470" s="854"/>
      <c r="L470" s="846"/>
    </row>
    <row r="471">
      <c r="I471" s="854"/>
      <c r="J471" s="854"/>
      <c r="L471" s="846"/>
    </row>
    <row r="472">
      <c r="I472" s="854"/>
      <c r="J472" s="854"/>
      <c r="L472" s="846"/>
    </row>
    <row r="473">
      <c r="I473" s="854"/>
      <c r="J473" s="854"/>
      <c r="L473" s="846"/>
    </row>
    <row r="474">
      <c r="I474" s="854"/>
      <c r="J474" s="854"/>
      <c r="L474" s="846"/>
    </row>
    <row r="475">
      <c r="I475" s="854"/>
      <c r="J475" s="854"/>
      <c r="L475" s="846"/>
    </row>
    <row r="476">
      <c r="I476" s="854"/>
      <c r="J476" s="854"/>
      <c r="L476" s="846"/>
    </row>
    <row r="477">
      <c r="I477" s="854"/>
      <c r="J477" s="854"/>
      <c r="L477" s="846"/>
    </row>
    <row r="478">
      <c r="I478" s="854"/>
      <c r="J478" s="854"/>
      <c r="L478" s="846"/>
    </row>
    <row r="479">
      <c r="I479" s="854"/>
      <c r="J479" s="854"/>
      <c r="L479" s="846"/>
    </row>
    <row r="480">
      <c r="I480" s="854"/>
      <c r="J480" s="854"/>
      <c r="L480" s="846"/>
    </row>
    <row r="481">
      <c r="I481" s="854"/>
      <c r="J481" s="854"/>
      <c r="L481" s="846"/>
    </row>
    <row r="482">
      <c r="I482" s="854"/>
      <c r="J482" s="854"/>
      <c r="L482" s="846"/>
    </row>
    <row r="483">
      <c r="I483" s="854"/>
      <c r="J483" s="854"/>
      <c r="L483" s="846"/>
    </row>
    <row r="484">
      <c r="I484" s="854"/>
      <c r="J484" s="854"/>
      <c r="L484" s="846"/>
    </row>
    <row r="485">
      <c r="I485" s="854"/>
      <c r="J485" s="854"/>
      <c r="L485" s="846"/>
    </row>
    <row r="486">
      <c r="I486" s="854"/>
      <c r="J486" s="854"/>
      <c r="L486" s="846"/>
    </row>
    <row r="487">
      <c r="I487" s="854"/>
      <c r="J487" s="854"/>
      <c r="L487" s="846"/>
    </row>
    <row r="488">
      <c r="I488" s="854"/>
      <c r="J488" s="854"/>
      <c r="L488" s="846"/>
    </row>
    <row r="489">
      <c r="I489" s="854"/>
      <c r="J489" s="854"/>
      <c r="L489" s="846"/>
    </row>
    <row r="490">
      <c r="I490" s="854"/>
      <c r="J490" s="854"/>
      <c r="L490" s="846"/>
    </row>
    <row r="491">
      <c r="I491" s="854"/>
      <c r="J491" s="854"/>
      <c r="L491" s="846"/>
    </row>
    <row r="492">
      <c r="I492" s="854"/>
      <c r="J492" s="854"/>
      <c r="L492" s="846"/>
    </row>
    <row r="493">
      <c r="I493" s="854"/>
      <c r="J493" s="854"/>
      <c r="L493" s="846"/>
    </row>
    <row r="494">
      <c r="I494" s="854"/>
      <c r="J494" s="854"/>
      <c r="L494" s="846"/>
    </row>
    <row r="495">
      <c r="I495" s="854"/>
      <c r="J495" s="854"/>
      <c r="L495" s="846"/>
    </row>
    <row r="496">
      <c r="I496" s="854"/>
      <c r="J496" s="854"/>
      <c r="L496" s="846"/>
    </row>
    <row r="497">
      <c r="I497" s="854"/>
      <c r="J497" s="854"/>
      <c r="L497" s="846"/>
    </row>
    <row r="498">
      <c r="I498" s="854"/>
      <c r="J498" s="854"/>
      <c r="L498" s="846"/>
    </row>
    <row r="499">
      <c r="I499" s="854"/>
      <c r="J499" s="854"/>
      <c r="L499" s="846"/>
    </row>
    <row r="500">
      <c r="I500" s="854"/>
      <c r="J500" s="854"/>
      <c r="L500" s="846"/>
    </row>
    <row r="501">
      <c r="I501" s="854"/>
      <c r="J501" s="854"/>
      <c r="L501" s="846"/>
    </row>
    <row r="502">
      <c r="I502" s="854"/>
      <c r="J502" s="854"/>
      <c r="L502" s="846"/>
    </row>
    <row r="503">
      <c r="I503" s="854"/>
      <c r="J503" s="854"/>
      <c r="L503" s="846"/>
    </row>
    <row r="504">
      <c r="I504" s="854"/>
      <c r="J504" s="854"/>
      <c r="L504" s="846"/>
    </row>
    <row r="505">
      <c r="I505" s="854"/>
      <c r="J505" s="854"/>
      <c r="L505" s="846"/>
    </row>
    <row r="506">
      <c r="I506" s="854"/>
      <c r="J506" s="854"/>
      <c r="L506" s="846"/>
    </row>
    <row r="507">
      <c r="I507" s="854"/>
      <c r="J507" s="854"/>
      <c r="L507" s="846"/>
    </row>
    <row r="508">
      <c r="I508" s="854"/>
      <c r="J508" s="854"/>
      <c r="L508" s="846"/>
    </row>
    <row r="509">
      <c r="I509" s="854"/>
      <c r="J509" s="854"/>
      <c r="L509" s="846"/>
    </row>
    <row r="510">
      <c r="I510" s="854"/>
      <c r="J510" s="854"/>
      <c r="L510" s="846"/>
    </row>
    <row r="511">
      <c r="I511" s="854"/>
      <c r="J511" s="854"/>
      <c r="L511" s="846"/>
    </row>
    <row r="512">
      <c r="I512" s="854"/>
      <c r="J512" s="854"/>
      <c r="L512" s="846"/>
    </row>
    <row r="513">
      <c r="I513" s="854"/>
      <c r="J513" s="854"/>
      <c r="L513" s="846"/>
    </row>
    <row r="514">
      <c r="I514" s="854"/>
      <c r="J514" s="854"/>
      <c r="L514" s="846"/>
    </row>
    <row r="515">
      <c r="I515" s="854"/>
      <c r="J515" s="854"/>
      <c r="L515" s="846"/>
    </row>
    <row r="516">
      <c r="I516" s="854"/>
      <c r="J516" s="854"/>
      <c r="L516" s="846"/>
    </row>
    <row r="517">
      <c r="I517" s="854"/>
      <c r="J517" s="854"/>
      <c r="L517" s="846"/>
    </row>
    <row r="518">
      <c r="I518" s="854"/>
      <c r="J518" s="854"/>
      <c r="L518" s="846"/>
    </row>
    <row r="519">
      <c r="I519" s="854"/>
      <c r="J519" s="854"/>
      <c r="L519" s="846"/>
    </row>
    <row r="520">
      <c r="I520" s="854"/>
      <c r="J520" s="854"/>
      <c r="L520" s="846"/>
    </row>
    <row r="521">
      <c r="I521" s="854"/>
      <c r="J521" s="854"/>
      <c r="L521" s="846"/>
    </row>
    <row r="522">
      <c r="I522" s="854"/>
      <c r="J522" s="854"/>
      <c r="L522" s="846"/>
    </row>
    <row r="523">
      <c r="I523" s="854"/>
      <c r="J523" s="854"/>
      <c r="L523" s="846"/>
    </row>
    <row r="524">
      <c r="I524" s="854"/>
      <c r="J524" s="854"/>
      <c r="L524" s="846"/>
    </row>
    <row r="525">
      <c r="I525" s="854"/>
      <c r="J525" s="854"/>
      <c r="L525" s="846"/>
    </row>
    <row r="526">
      <c r="I526" s="854"/>
      <c r="J526" s="854"/>
      <c r="L526" s="846"/>
    </row>
    <row r="527">
      <c r="I527" s="854"/>
      <c r="J527" s="854"/>
      <c r="L527" s="846"/>
    </row>
    <row r="528">
      <c r="I528" s="854"/>
      <c r="J528" s="854"/>
      <c r="L528" s="846"/>
    </row>
    <row r="529">
      <c r="I529" s="854"/>
      <c r="J529" s="854"/>
      <c r="L529" s="846"/>
    </row>
    <row r="530">
      <c r="I530" s="854"/>
      <c r="J530" s="854"/>
      <c r="L530" s="846"/>
    </row>
    <row r="531">
      <c r="I531" s="854"/>
      <c r="J531" s="854"/>
      <c r="L531" s="846"/>
    </row>
    <row r="532">
      <c r="I532" s="854"/>
      <c r="J532" s="854"/>
      <c r="L532" s="846"/>
    </row>
    <row r="533">
      <c r="I533" s="854"/>
      <c r="J533" s="854"/>
      <c r="L533" s="846"/>
    </row>
    <row r="534">
      <c r="I534" s="854"/>
      <c r="J534" s="854"/>
      <c r="L534" s="846"/>
    </row>
    <row r="535">
      <c r="I535" s="854"/>
      <c r="J535" s="854"/>
      <c r="L535" s="846"/>
    </row>
    <row r="536">
      <c r="I536" s="854"/>
      <c r="J536" s="854"/>
      <c r="L536" s="846"/>
    </row>
    <row r="537">
      <c r="I537" s="854"/>
      <c r="J537" s="854"/>
      <c r="L537" s="846"/>
    </row>
    <row r="538">
      <c r="I538" s="854"/>
      <c r="J538" s="854"/>
      <c r="L538" s="846"/>
    </row>
    <row r="539">
      <c r="I539" s="854"/>
      <c r="J539" s="854"/>
      <c r="L539" s="846"/>
    </row>
    <row r="540">
      <c r="I540" s="854"/>
      <c r="J540" s="854"/>
      <c r="L540" s="846"/>
    </row>
    <row r="541">
      <c r="I541" s="854"/>
      <c r="J541" s="854"/>
      <c r="L541" s="846"/>
    </row>
    <row r="542">
      <c r="I542" s="854"/>
      <c r="J542" s="854"/>
      <c r="L542" s="846"/>
    </row>
    <row r="543">
      <c r="I543" s="854"/>
      <c r="J543" s="854"/>
      <c r="L543" s="846"/>
    </row>
    <row r="544">
      <c r="I544" s="854"/>
      <c r="J544" s="854"/>
      <c r="L544" s="846"/>
    </row>
    <row r="545">
      <c r="I545" s="854"/>
      <c r="J545" s="854"/>
      <c r="L545" s="846"/>
    </row>
    <row r="546">
      <c r="I546" s="854"/>
      <c r="J546" s="854"/>
      <c r="L546" s="846"/>
    </row>
    <row r="547">
      <c r="I547" s="854"/>
      <c r="J547" s="854"/>
      <c r="L547" s="846"/>
    </row>
    <row r="548">
      <c r="I548" s="854"/>
      <c r="J548" s="854"/>
      <c r="L548" s="846"/>
    </row>
    <row r="549">
      <c r="I549" s="854"/>
      <c r="J549" s="854"/>
      <c r="L549" s="846"/>
    </row>
    <row r="550">
      <c r="I550" s="854"/>
      <c r="J550" s="854"/>
      <c r="L550" s="846"/>
    </row>
    <row r="551">
      <c r="I551" s="854"/>
      <c r="J551" s="854"/>
      <c r="L551" s="846"/>
    </row>
    <row r="552">
      <c r="I552" s="854"/>
      <c r="J552" s="854"/>
      <c r="L552" s="846"/>
    </row>
    <row r="553">
      <c r="I553" s="854"/>
      <c r="J553" s="854"/>
      <c r="L553" s="846"/>
    </row>
    <row r="554">
      <c r="I554" s="854"/>
      <c r="J554" s="854"/>
      <c r="L554" s="846"/>
    </row>
    <row r="555">
      <c r="I555" s="854"/>
      <c r="J555" s="854"/>
      <c r="L555" s="846"/>
    </row>
    <row r="556">
      <c r="I556" s="854"/>
      <c r="J556" s="854"/>
      <c r="L556" s="846"/>
    </row>
    <row r="557">
      <c r="I557" s="854"/>
      <c r="J557" s="854"/>
      <c r="L557" s="846"/>
    </row>
    <row r="558">
      <c r="I558" s="854"/>
      <c r="J558" s="854"/>
      <c r="L558" s="846"/>
    </row>
    <row r="559">
      <c r="I559" s="854"/>
      <c r="J559" s="854"/>
      <c r="L559" s="846"/>
    </row>
    <row r="560">
      <c r="I560" s="854"/>
      <c r="J560" s="854"/>
      <c r="L560" s="846"/>
    </row>
    <row r="561">
      <c r="I561" s="854"/>
      <c r="J561" s="854"/>
      <c r="L561" s="846"/>
    </row>
    <row r="562">
      <c r="I562" s="854"/>
      <c r="J562" s="854"/>
      <c r="L562" s="846"/>
    </row>
    <row r="563">
      <c r="I563" s="854"/>
      <c r="J563" s="854"/>
      <c r="L563" s="846"/>
    </row>
    <row r="564">
      <c r="I564" s="854"/>
      <c r="J564" s="854"/>
      <c r="L564" s="846"/>
    </row>
    <row r="565">
      <c r="I565" s="854"/>
      <c r="J565" s="854"/>
      <c r="L565" s="846"/>
    </row>
    <row r="566">
      <c r="I566" s="854"/>
      <c r="J566" s="854"/>
      <c r="L566" s="846"/>
    </row>
    <row r="567">
      <c r="I567" s="854"/>
      <c r="J567" s="854"/>
      <c r="L567" s="846"/>
    </row>
    <row r="568">
      <c r="I568" s="854"/>
      <c r="J568" s="854"/>
      <c r="L568" s="846"/>
    </row>
    <row r="569">
      <c r="I569" s="854"/>
      <c r="J569" s="854"/>
      <c r="L569" s="846"/>
    </row>
    <row r="570">
      <c r="I570" s="854"/>
      <c r="J570" s="854"/>
      <c r="L570" s="846"/>
    </row>
    <row r="571">
      <c r="I571" s="854"/>
      <c r="J571" s="854"/>
      <c r="L571" s="846"/>
    </row>
    <row r="572">
      <c r="I572" s="854"/>
      <c r="J572" s="854"/>
      <c r="L572" s="846"/>
    </row>
    <row r="573">
      <c r="I573" s="854"/>
      <c r="J573" s="854"/>
      <c r="L573" s="846"/>
    </row>
    <row r="574">
      <c r="I574" s="854"/>
      <c r="J574" s="854"/>
      <c r="L574" s="846"/>
    </row>
    <row r="575">
      <c r="I575" s="854"/>
      <c r="J575" s="854"/>
      <c r="L575" s="846"/>
    </row>
    <row r="576">
      <c r="I576" s="854"/>
      <c r="J576" s="854"/>
      <c r="L576" s="846"/>
    </row>
    <row r="577">
      <c r="I577" s="854"/>
      <c r="J577" s="854"/>
      <c r="L577" s="846"/>
    </row>
    <row r="578">
      <c r="I578" s="854"/>
      <c r="J578" s="854"/>
      <c r="L578" s="846"/>
    </row>
    <row r="579">
      <c r="I579" s="854"/>
      <c r="J579" s="854"/>
      <c r="L579" s="846"/>
    </row>
    <row r="580">
      <c r="I580" s="854"/>
      <c r="J580" s="854"/>
      <c r="L580" s="846"/>
    </row>
    <row r="581">
      <c r="I581" s="854"/>
      <c r="J581" s="854"/>
      <c r="L581" s="846"/>
    </row>
    <row r="582">
      <c r="I582" s="854"/>
      <c r="J582" s="854"/>
      <c r="L582" s="846"/>
    </row>
    <row r="583">
      <c r="I583" s="854"/>
      <c r="J583" s="854"/>
      <c r="L583" s="846"/>
    </row>
    <row r="584">
      <c r="I584" s="854"/>
      <c r="J584" s="854"/>
      <c r="L584" s="846"/>
    </row>
    <row r="585">
      <c r="I585" s="854"/>
      <c r="J585" s="854"/>
      <c r="L585" s="846"/>
    </row>
    <row r="586">
      <c r="I586" s="854"/>
      <c r="J586" s="854"/>
      <c r="L586" s="846"/>
    </row>
    <row r="587">
      <c r="I587" s="854"/>
      <c r="J587" s="854"/>
      <c r="L587" s="846"/>
    </row>
    <row r="588">
      <c r="I588" s="854"/>
      <c r="J588" s="854"/>
      <c r="L588" s="846"/>
    </row>
    <row r="589">
      <c r="I589" s="854"/>
      <c r="J589" s="854"/>
      <c r="L589" s="846"/>
    </row>
    <row r="590">
      <c r="I590" s="854"/>
      <c r="J590" s="854"/>
      <c r="L590" s="846"/>
    </row>
    <row r="591">
      <c r="I591" s="854"/>
      <c r="J591" s="854"/>
      <c r="L591" s="846"/>
    </row>
    <row r="592">
      <c r="I592" s="854"/>
      <c r="J592" s="854"/>
      <c r="L592" s="846"/>
    </row>
    <row r="593">
      <c r="I593" s="854"/>
      <c r="J593" s="854"/>
      <c r="L593" s="846"/>
    </row>
    <row r="594">
      <c r="I594" s="854"/>
      <c r="J594" s="854"/>
      <c r="L594" s="846"/>
    </row>
    <row r="595">
      <c r="I595" s="854"/>
      <c r="J595" s="854"/>
      <c r="L595" s="846"/>
    </row>
    <row r="596">
      <c r="I596" s="854"/>
      <c r="J596" s="854"/>
      <c r="L596" s="846"/>
    </row>
    <row r="597">
      <c r="I597" s="854"/>
      <c r="J597" s="854"/>
      <c r="L597" s="846"/>
    </row>
    <row r="598">
      <c r="I598" s="854"/>
      <c r="J598" s="854"/>
      <c r="L598" s="846"/>
    </row>
    <row r="599">
      <c r="I599" s="854"/>
      <c r="J599" s="854"/>
      <c r="L599" s="846"/>
    </row>
    <row r="600">
      <c r="I600" s="854"/>
      <c r="J600" s="854"/>
      <c r="L600" s="846"/>
    </row>
    <row r="601">
      <c r="I601" s="854"/>
      <c r="J601" s="854"/>
      <c r="L601" s="846"/>
    </row>
    <row r="602">
      <c r="I602" s="854"/>
      <c r="J602" s="854"/>
      <c r="L602" s="846"/>
    </row>
    <row r="603">
      <c r="I603" s="854"/>
      <c r="J603" s="854"/>
      <c r="L603" s="846"/>
    </row>
    <row r="604">
      <c r="I604" s="854"/>
      <c r="J604" s="854"/>
      <c r="L604" s="846"/>
    </row>
    <row r="605">
      <c r="I605" s="854"/>
      <c r="J605" s="854"/>
      <c r="L605" s="846"/>
    </row>
    <row r="606">
      <c r="I606" s="854"/>
      <c r="J606" s="854"/>
      <c r="L606" s="846"/>
    </row>
    <row r="607">
      <c r="I607" s="854"/>
      <c r="J607" s="854"/>
      <c r="L607" s="846"/>
    </row>
    <row r="608">
      <c r="I608" s="854"/>
      <c r="J608" s="854"/>
      <c r="L608" s="846"/>
    </row>
    <row r="609">
      <c r="I609" s="854"/>
      <c r="J609" s="854"/>
      <c r="L609" s="846"/>
    </row>
    <row r="610">
      <c r="I610" s="854"/>
      <c r="J610" s="854"/>
      <c r="L610" s="846"/>
    </row>
    <row r="611">
      <c r="I611" s="854"/>
      <c r="J611" s="854"/>
      <c r="L611" s="846"/>
    </row>
    <row r="612">
      <c r="I612" s="854"/>
      <c r="J612" s="854"/>
      <c r="L612" s="846"/>
    </row>
    <row r="613">
      <c r="I613" s="854"/>
      <c r="J613" s="854"/>
      <c r="L613" s="846"/>
    </row>
    <row r="614">
      <c r="I614" s="854"/>
      <c r="J614" s="854"/>
      <c r="L614" s="846"/>
    </row>
    <row r="615">
      <c r="I615" s="854"/>
      <c r="J615" s="854"/>
      <c r="L615" s="846"/>
    </row>
    <row r="616">
      <c r="I616" s="854"/>
      <c r="J616" s="854"/>
      <c r="L616" s="846"/>
    </row>
    <row r="617">
      <c r="I617" s="854"/>
      <c r="J617" s="854"/>
      <c r="L617" s="846"/>
    </row>
    <row r="618">
      <c r="I618" s="854"/>
      <c r="J618" s="854"/>
      <c r="L618" s="846"/>
    </row>
    <row r="619">
      <c r="I619" s="854"/>
      <c r="J619" s="854"/>
      <c r="L619" s="846"/>
    </row>
    <row r="620">
      <c r="I620" s="854"/>
      <c r="J620" s="854"/>
      <c r="L620" s="846"/>
    </row>
    <row r="621">
      <c r="I621" s="854"/>
      <c r="J621" s="854"/>
      <c r="L621" s="846"/>
    </row>
    <row r="622">
      <c r="I622" s="854"/>
      <c r="J622" s="854"/>
      <c r="L622" s="846"/>
    </row>
    <row r="623">
      <c r="I623" s="854"/>
      <c r="J623" s="854"/>
      <c r="L623" s="846"/>
    </row>
    <row r="624">
      <c r="I624" s="854"/>
      <c r="J624" s="854"/>
      <c r="L624" s="846"/>
    </row>
    <row r="625">
      <c r="I625" s="854"/>
      <c r="J625" s="854"/>
      <c r="L625" s="846"/>
    </row>
    <row r="626">
      <c r="I626" s="854"/>
      <c r="J626" s="854"/>
      <c r="L626" s="846"/>
    </row>
    <row r="627">
      <c r="I627" s="854"/>
      <c r="J627" s="854"/>
      <c r="L627" s="846"/>
    </row>
    <row r="628">
      <c r="I628" s="854"/>
      <c r="J628" s="854"/>
      <c r="L628" s="846"/>
    </row>
    <row r="629">
      <c r="I629" s="854"/>
      <c r="J629" s="854"/>
      <c r="L629" s="846"/>
    </row>
    <row r="630">
      <c r="I630" s="854"/>
      <c r="J630" s="854"/>
      <c r="L630" s="846"/>
    </row>
    <row r="631">
      <c r="I631" s="854"/>
      <c r="J631" s="854"/>
      <c r="L631" s="846"/>
    </row>
    <row r="632">
      <c r="I632" s="854"/>
      <c r="J632" s="854"/>
      <c r="L632" s="846"/>
    </row>
    <row r="633">
      <c r="I633" s="854"/>
      <c r="J633" s="854"/>
      <c r="L633" s="846"/>
    </row>
    <row r="634">
      <c r="I634" s="854"/>
      <c r="J634" s="854"/>
      <c r="L634" s="846"/>
    </row>
    <row r="635">
      <c r="I635" s="854"/>
      <c r="J635" s="854"/>
      <c r="L635" s="846"/>
    </row>
    <row r="636">
      <c r="I636" s="854"/>
      <c r="J636" s="854"/>
      <c r="L636" s="846"/>
    </row>
    <row r="637">
      <c r="I637" s="854"/>
      <c r="J637" s="854"/>
      <c r="L637" s="846"/>
    </row>
    <row r="638">
      <c r="I638" s="854"/>
      <c r="J638" s="854"/>
      <c r="L638" s="846"/>
    </row>
    <row r="639">
      <c r="I639" s="854"/>
      <c r="J639" s="854"/>
      <c r="L639" s="846"/>
    </row>
    <row r="640">
      <c r="I640" s="854"/>
      <c r="J640" s="854"/>
      <c r="L640" s="846"/>
    </row>
    <row r="641">
      <c r="I641" s="854"/>
      <c r="J641" s="854"/>
      <c r="L641" s="846"/>
    </row>
    <row r="642">
      <c r="I642" s="854"/>
      <c r="J642" s="854"/>
      <c r="L642" s="846"/>
    </row>
    <row r="643">
      <c r="I643" s="854"/>
      <c r="J643" s="854"/>
      <c r="L643" s="846"/>
    </row>
    <row r="644">
      <c r="I644" s="854"/>
      <c r="J644" s="854"/>
      <c r="L644" s="846"/>
    </row>
    <row r="645">
      <c r="I645" s="854"/>
      <c r="J645" s="854"/>
      <c r="L645" s="846"/>
    </row>
    <row r="646">
      <c r="I646" s="854"/>
      <c r="J646" s="854"/>
      <c r="L646" s="846"/>
    </row>
    <row r="647">
      <c r="I647" s="854"/>
      <c r="J647" s="854"/>
      <c r="L647" s="846"/>
    </row>
    <row r="648">
      <c r="I648" s="854"/>
      <c r="J648" s="854"/>
      <c r="L648" s="846"/>
    </row>
    <row r="649">
      <c r="I649" s="854"/>
      <c r="J649" s="854"/>
      <c r="L649" s="846"/>
    </row>
    <row r="650">
      <c r="I650" s="854"/>
      <c r="J650" s="854"/>
      <c r="L650" s="846"/>
    </row>
    <row r="651">
      <c r="I651" s="854"/>
      <c r="J651" s="854"/>
      <c r="L651" s="846"/>
    </row>
    <row r="652">
      <c r="I652" s="854"/>
      <c r="J652" s="854"/>
      <c r="L652" s="846"/>
    </row>
    <row r="653">
      <c r="I653" s="854"/>
      <c r="J653" s="854"/>
      <c r="L653" s="846"/>
    </row>
    <row r="654">
      <c r="I654" s="854"/>
      <c r="J654" s="854"/>
      <c r="L654" s="846"/>
    </row>
    <row r="655">
      <c r="I655" s="854"/>
      <c r="J655" s="854"/>
      <c r="L655" s="846"/>
    </row>
    <row r="656">
      <c r="I656" s="854"/>
      <c r="J656" s="854"/>
      <c r="L656" s="846"/>
    </row>
    <row r="657">
      <c r="I657" s="854"/>
      <c r="J657" s="854"/>
      <c r="L657" s="846"/>
    </row>
    <row r="658">
      <c r="I658" s="854"/>
      <c r="J658" s="854"/>
      <c r="L658" s="846"/>
    </row>
    <row r="659">
      <c r="I659" s="854"/>
      <c r="J659" s="854"/>
      <c r="L659" s="846"/>
    </row>
    <row r="660">
      <c r="I660" s="854"/>
      <c r="J660" s="854"/>
      <c r="L660" s="846"/>
    </row>
    <row r="661">
      <c r="I661" s="854"/>
      <c r="J661" s="854"/>
      <c r="L661" s="846"/>
    </row>
    <row r="662">
      <c r="I662" s="854"/>
      <c r="J662" s="854"/>
      <c r="L662" s="846"/>
    </row>
    <row r="663">
      <c r="I663" s="854"/>
      <c r="J663" s="854"/>
      <c r="L663" s="846"/>
    </row>
    <row r="664">
      <c r="I664" s="854"/>
      <c r="J664" s="854"/>
      <c r="L664" s="846"/>
    </row>
    <row r="665">
      <c r="I665" s="854"/>
      <c r="J665" s="854"/>
      <c r="L665" s="846"/>
    </row>
    <row r="666">
      <c r="I666" s="854"/>
      <c r="J666" s="854"/>
      <c r="L666" s="846"/>
    </row>
    <row r="667">
      <c r="I667" s="854"/>
      <c r="J667" s="854"/>
      <c r="L667" s="846"/>
    </row>
    <row r="668">
      <c r="I668" s="854"/>
      <c r="J668" s="854"/>
      <c r="L668" s="846"/>
    </row>
    <row r="669">
      <c r="I669" s="854"/>
      <c r="J669" s="854"/>
      <c r="L669" s="846"/>
    </row>
    <row r="670">
      <c r="I670" s="854"/>
      <c r="J670" s="854"/>
      <c r="L670" s="846"/>
    </row>
    <row r="671">
      <c r="I671" s="854"/>
      <c r="J671" s="854"/>
      <c r="L671" s="846"/>
    </row>
    <row r="672">
      <c r="I672" s="854"/>
      <c r="J672" s="854"/>
      <c r="L672" s="846"/>
    </row>
    <row r="673">
      <c r="I673" s="854"/>
      <c r="J673" s="854"/>
      <c r="L673" s="846"/>
    </row>
    <row r="674">
      <c r="I674" s="854"/>
      <c r="J674" s="854"/>
      <c r="L674" s="846"/>
    </row>
    <row r="675">
      <c r="I675" s="854"/>
      <c r="J675" s="854"/>
      <c r="L675" s="846"/>
    </row>
    <row r="676">
      <c r="I676" s="854"/>
      <c r="J676" s="854"/>
      <c r="L676" s="846"/>
    </row>
    <row r="677">
      <c r="I677" s="854"/>
      <c r="J677" s="854"/>
      <c r="L677" s="846"/>
    </row>
    <row r="678">
      <c r="I678" s="854"/>
      <c r="J678" s="854"/>
      <c r="L678" s="846"/>
    </row>
    <row r="679">
      <c r="I679" s="854"/>
      <c r="J679" s="854"/>
      <c r="L679" s="846"/>
    </row>
    <row r="680">
      <c r="I680" s="854"/>
      <c r="J680" s="854"/>
      <c r="L680" s="846"/>
    </row>
    <row r="681">
      <c r="I681" s="854"/>
      <c r="J681" s="854"/>
      <c r="L681" s="846"/>
    </row>
    <row r="682">
      <c r="I682" s="854"/>
      <c r="J682" s="854"/>
      <c r="L682" s="846"/>
    </row>
    <row r="683">
      <c r="I683" s="854"/>
      <c r="J683" s="854"/>
      <c r="L683" s="846"/>
    </row>
    <row r="684">
      <c r="I684" s="854"/>
      <c r="J684" s="854"/>
      <c r="L684" s="846"/>
    </row>
    <row r="685">
      <c r="I685" s="854"/>
      <c r="J685" s="854"/>
      <c r="L685" s="846"/>
    </row>
    <row r="686">
      <c r="I686" s="854"/>
      <c r="J686" s="854"/>
      <c r="L686" s="846"/>
    </row>
    <row r="687">
      <c r="I687" s="854"/>
      <c r="J687" s="854"/>
      <c r="L687" s="846"/>
    </row>
    <row r="688">
      <c r="I688" s="854"/>
      <c r="J688" s="854"/>
      <c r="L688" s="846"/>
    </row>
    <row r="689">
      <c r="I689" s="854"/>
      <c r="J689" s="854"/>
      <c r="L689" s="846"/>
    </row>
    <row r="690">
      <c r="I690" s="854"/>
      <c r="J690" s="854"/>
      <c r="L690" s="846"/>
    </row>
    <row r="691">
      <c r="I691" s="854"/>
      <c r="J691" s="854"/>
      <c r="L691" s="846"/>
    </row>
    <row r="692">
      <c r="I692" s="854"/>
      <c r="J692" s="854"/>
      <c r="L692" s="846"/>
    </row>
    <row r="693">
      <c r="I693" s="854"/>
      <c r="J693" s="854"/>
      <c r="L693" s="846"/>
    </row>
    <row r="694">
      <c r="I694" s="854"/>
      <c r="J694" s="854"/>
      <c r="L694" s="846"/>
    </row>
    <row r="695">
      <c r="I695" s="854"/>
      <c r="J695" s="854"/>
      <c r="L695" s="846"/>
    </row>
    <row r="696">
      <c r="I696" s="854"/>
      <c r="J696" s="854"/>
      <c r="L696" s="846"/>
    </row>
    <row r="697">
      <c r="I697" s="854"/>
      <c r="J697" s="854"/>
      <c r="L697" s="846"/>
    </row>
    <row r="698">
      <c r="I698" s="854"/>
      <c r="J698" s="854"/>
      <c r="L698" s="846"/>
    </row>
    <row r="699">
      <c r="I699" s="854"/>
      <c r="J699" s="854"/>
      <c r="L699" s="846"/>
    </row>
    <row r="700">
      <c r="I700" s="854"/>
      <c r="J700" s="854"/>
      <c r="L700" s="846"/>
    </row>
    <row r="701">
      <c r="I701" s="854"/>
      <c r="J701" s="854"/>
      <c r="L701" s="846"/>
    </row>
    <row r="702">
      <c r="I702" s="854"/>
      <c r="J702" s="854"/>
      <c r="L702" s="846"/>
    </row>
    <row r="703">
      <c r="I703" s="854"/>
      <c r="J703" s="854"/>
      <c r="L703" s="846"/>
    </row>
    <row r="704">
      <c r="I704" s="854"/>
      <c r="J704" s="854"/>
      <c r="L704" s="846"/>
    </row>
    <row r="705">
      <c r="I705" s="854"/>
      <c r="J705" s="854"/>
      <c r="L705" s="846"/>
    </row>
    <row r="706">
      <c r="I706" s="854"/>
      <c r="J706" s="854"/>
      <c r="L706" s="846"/>
    </row>
    <row r="707">
      <c r="I707" s="854"/>
      <c r="J707" s="854"/>
      <c r="L707" s="846"/>
    </row>
    <row r="708">
      <c r="I708" s="854"/>
      <c r="J708" s="854"/>
      <c r="L708" s="846"/>
    </row>
    <row r="709">
      <c r="I709" s="854"/>
      <c r="J709" s="854"/>
      <c r="L709" s="846"/>
    </row>
    <row r="710">
      <c r="I710" s="854"/>
      <c r="J710" s="854"/>
      <c r="L710" s="846"/>
    </row>
    <row r="711">
      <c r="I711" s="854"/>
      <c r="J711" s="854"/>
      <c r="L711" s="846"/>
    </row>
    <row r="712">
      <c r="I712" s="854"/>
      <c r="J712" s="854"/>
      <c r="L712" s="846"/>
    </row>
    <row r="713">
      <c r="I713" s="854"/>
      <c r="J713" s="854"/>
      <c r="L713" s="846"/>
    </row>
    <row r="714">
      <c r="I714" s="854"/>
      <c r="J714" s="854"/>
      <c r="L714" s="846"/>
    </row>
    <row r="715">
      <c r="I715" s="854"/>
      <c r="J715" s="854"/>
      <c r="L715" s="846"/>
    </row>
    <row r="716">
      <c r="I716" s="854"/>
      <c r="J716" s="854"/>
      <c r="L716" s="846"/>
    </row>
    <row r="717">
      <c r="I717" s="854"/>
      <c r="J717" s="854"/>
      <c r="L717" s="846"/>
    </row>
    <row r="718">
      <c r="I718" s="854"/>
      <c r="J718" s="854"/>
      <c r="L718" s="846"/>
    </row>
    <row r="719">
      <c r="I719" s="854"/>
      <c r="J719" s="854"/>
      <c r="L719" s="846"/>
    </row>
    <row r="720">
      <c r="I720" s="854"/>
      <c r="J720" s="854"/>
      <c r="L720" s="846"/>
    </row>
    <row r="721">
      <c r="I721" s="854"/>
      <c r="J721" s="854"/>
      <c r="L721" s="846"/>
    </row>
    <row r="722">
      <c r="I722" s="854"/>
      <c r="J722" s="854"/>
      <c r="L722" s="846"/>
    </row>
    <row r="723">
      <c r="I723" s="854"/>
      <c r="J723" s="854"/>
      <c r="L723" s="846"/>
    </row>
    <row r="724">
      <c r="I724" s="854"/>
      <c r="J724" s="854"/>
      <c r="L724" s="846"/>
    </row>
    <row r="725">
      <c r="I725" s="854"/>
      <c r="J725" s="854"/>
      <c r="L725" s="846"/>
    </row>
    <row r="726">
      <c r="I726" s="854"/>
      <c r="J726" s="854"/>
      <c r="L726" s="846"/>
    </row>
    <row r="727">
      <c r="I727" s="854"/>
      <c r="J727" s="854"/>
      <c r="L727" s="846"/>
    </row>
    <row r="728">
      <c r="I728" s="854"/>
      <c r="J728" s="854"/>
      <c r="L728" s="846"/>
    </row>
    <row r="729">
      <c r="I729" s="854"/>
      <c r="J729" s="854"/>
      <c r="L729" s="846"/>
    </row>
    <row r="730">
      <c r="I730" s="854"/>
      <c r="J730" s="854"/>
      <c r="L730" s="846"/>
    </row>
    <row r="731">
      <c r="I731" s="854"/>
      <c r="J731" s="854"/>
      <c r="L731" s="846"/>
    </row>
    <row r="732">
      <c r="I732" s="854"/>
      <c r="J732" s="854"/>
      <c r="L732" s="846"/>
    </row>
    <row r="733">
      <c r="I733" s="854"/>
      <c r="J733" s="854"/>
      <c r="L733" s="846"/>
    </row>
    <row r="734">
      <c r="I734" s="854"/>
      <c r="J734" s="854"/>
      <c r="L734" s="846"/>
    </row>
    <row r="735">
      <c r="I735" s="854"/>
      <c r="J735" s="854"/>
      <c r="L735" s="846"/>
    </row>
    <row r="736">
      <c r="I736" s="854"/>
      <c r="J736" s="854"/>
      <c r="L736" s="846"/>
    </row>
    <row r="737">
      <c r="I737" s="854"/>
      <c r="J737" s="854"/>
      <c r="L737" s="846"/>
    </row>
    <row r="738">
      <c r="I738" s="854"/>
      <c r="J738" s="854"/>
      <c r="L738" s="846"/>
    </row>
    <row r="739">
      <c r="I739" s="854"/>
      <c r="J739" s="854"/>
      <c r="L739" s="846"/>
    </row>
    <row r="740">
      <c r="I740" s="854"/>
      <c r="J740" s="854"/>
      <c r="L740" s="846"/>
    </row>
    <row r="741">
      <c r="I741" s="854"/>
      <c r="J741" s="854"/>
      <c r="L741" s="846"/>
    </row>
    <row r="742">
      <c r="I742" s="854"/>
      <c r="J742" s="854"/>
      <c r="L742" s="846"/>
    </row>
    <row r="743">
      <c r="I743" s="854"/>
      <c r="J743" s="854"/>
      <c r="L743" s="846"/>
    </row>
    <row r="744">
      <c r="I744" s="854"/>
      <c r="J744" s="854"/>
      <c r="L744" s="846"/>
    </row>
    <row r="745">
      <c r="I745" s="854"/>
      <c r="J745" s="854"/>
      <c r="L745" s="846"/>
    </row>
    <row r="746">
      <c r="I746" s="854"/>
      <c r="J746" s="854"/>
      <c r="L746" s="846"/>
    </row>
    <row r="747">
      <c r="I747" s="854"/>
      <c r="J747" s="854"/>
      <c r="L747" s="846"/>
    </row>
    <row r="748">
      <c r="I748" s="854"/>
      <c r="J748" s="854"/>
      <c r="L748" s="846"/>
    </row>
    <row r="749">
      <c r="I749" s="854"/>
      <c r="J749" s="854"/>
      <c r="L749" s="846"/>
    </row>
    <row r="750">
      <c r="I750" s="854"/>
      <c r="J750" s="854"/>
      <c r="L750" s="846"/>
    </row>
    <row r="751">
      <c r="I751" s="854"/>
      <c r="J751" s="854"/>
      <c r="L751" s="846"/>
    </row>
    <row r="752">
      <c r="I752" s="854"/>
      <c r="J752" s="854"/>
      <c r="L752" s="846"/>
    </row>
    <row r="753">
      <c r="I753" s="854"/>
      <c r="J753" s="854"/>
      <c r="L753" s="846"/>
    </row>
    <row r="754">
      <c r="I754" s="854"/>
      <c r="J754" s="854"/>
      <c r="L754" s="846"/>
    </row>
    <row r="755">
      <c r="I755" s="854"/>
      <c r="J755" s="854"/>
      <c r="L755" s="846"/>
    </row>
    <row r="756">
      <c r="I756" s="854"/>
      <c r="J756" s="854"/>
      <c r="L756" s="846"/>
    </row>
    <row r="757">
      <c r="I757" s="854"/>
      <c r="J757" s="854"/>
      <c r="L757" s="846"/>
    </row>
    <row r="758">
      <c r="I758" s="854"/>
      <c r="J758" s="854"/>
      <c r="L758" s="846"/>
    </row>
    <row r="759">
      <c r="I759" s="854"/>
      <c r="J759" s="854"/>
      <c r="L759" s="846"/>
    </row>
    <row r="760">
      <c r="I760" s="854"/>
      <c r="J760" s="854"/>
      <c r="L760" s="846"/>
    </row>
    <row r="761">
      <c r="I761" s="854"/>
      <c r="J761" s="854"/>
      <c r="L761" s="846"/>
    </row>
    <row r="762">
      <c r="I762" s="854"/>
      <c r="J762" s="854"/>
      <c r="L762" s="846"/>
    </row>
    <row r="763">
      <c r="I763" s="854"/>
      <c r="J763" s="854"/>
      <c r="L763" s="846"/>
    </row>
    <row r="764">
      <c r="I764" s="854"/>
      <c r="J764" s="854"/>
      <c r="L764" s="846"/>
    </row>
    <row r="765">
      <c r="I765" s="854"/>
      <c r="J765" s="854"/>
      <c r="L765" s="846"/>
    </row>
    <row r="766">
      <c r="I766" s="854"/>
      <c r="J766" s="854"/>
      <c r="L766" s="846"/>
    </row>
    <row r="767">
      <c r="I767" s="854"/>
      <c r="J767" s="854"/>
      <c r="L767" s="846"/>
    </row>
    <row r="768">
      <c r="I768" s="854"/>
      <c r="J768" s="854"/>
      <c r="L768" s="846"/>
    </row>
    <row r="769">
      <c r="I769" s="854"/>
      <c r="J769" s="854"/>
      <c r="L769" s="846"/>
    </row>
    <row r="770">
      <c r="I770" s="854"/>
      <c r="J770" s="854"/>
      <c r="L770" s="846"/>
    </row>
    <row r="771">
      <c r="I771" s="854"/>
      <c r="J771" s="854"/>
      <c r="L771" s="846"/>
    </row>
    <row r="772">
      <c r="I772" s="854"/>
      <c r="J772" s="854"/>
      <c r="L772" s="846"/>
    </row>
    <row r="773">
      <c r="I773" s="854"/>
      <c r="J773" s="854"/>
      <c r="L773" s="846"/>
    </row>
    <row r="774">
      <c r="I774" s="854"/>
      <c r="J774" s="854"/>
      <c r="L774" s="846"/>
    </row>
    <row r="775">
      <c r="I775" s="854"/>
      <c r="J775" s="854"/>
      <c r="L775" s="846"/>
    </row>
    <row r="776">
      <c r="I776" s="854"/>
      <c r="J776" s="854"/>
      <c r="L776" s="846"/>
    </row>
    <row r="777">
      <c r="I777" s="854"/>
      <c r="J777" s="854"/>
      <c r="L777" s="846"/>
    </row>
    <row r="778">
      <c r="I778" s="854"/>
      <c r="J778" s="854"/>
      <c r="L778" s="846"/>
    </row>
    <row r="779">
      <c r="I779" s="854"/>
      <c r="J779" s="854"/>
      <c r="L779" s="846"/>
    </row>
    <row r="780">
      <c r="I780" s="854"/>
      <c r="J780" s="854"/>
      <c r="L780" s="846"/>
    </row>
    <row r="781">
      <c r="I781" s="854"/>
      <c r="J781" s="854"/>
      <c r="L781" s="846"/>
    </row>
    <row r="782">
      <c r="I782" s="854"/>
      <c r="J782" s="854"/>
      <c r="L782" s="846"/>
    </row>
    <row r="783">
      <c r="I783" s="854"/>
      <c r="J783" s="854"/>
      <c r="L783" s="846"/>
    </row>
    <row r="784">
      <c r="I784" s="854"/>
      <c r="J784" s="854"/>
      <c r="L784" s="846"/>
    </row>
    <row r="785">
      <c r="I785" s="854"/>
      <c r="J785" s="854"/>
      <c r="L785" s="846"/>
    </row>
    <row r="786">
      <c r="I786" s="854"/>
      <c r="J786" s="854"/>
      <c r="L786" s="846"/>
    </row>
    <row r="787">
      <c r="I787" s="854"/>
      <c r="J787" s="854"/>
      <c r="L787" s="846"/>
    </row>
    <row r="788">
      <c r="I788" s="854"/>
      <c r="J788" s="854"/>
      <c r="L788" s="846"/>
    </row>
    <row r="789">
      <c r="I789" s="854"/>
      <c r="J789" s="854"/>
      <c r="L789" s="846"/>
    </row>
    <row r="790">
      <c r="I790" s="854"/>
      <c r="J790" s="854"/>
      <c r="L790" s="846"/>
    </row>
    <row r="791">
      <c r="I791" s="854"/>
      <c r="J791" s="854"/>
      <c r="L791" s="846"/>
    </row>
    <row r="792">
      <c r="I792" s="854"/>
      <c r="J792" s="854"/>
      <c r="L792" s="846"/>
    </row>
    <row r="793">
      <c r="I793" s="854"/>
      <c r="J793" s="854"/>
      <c r="L793" s="846"/>
    </row>
    <row r="794">
      <c r="I794" s="854"/>
      <c r="J794" s="854"/>
      <c r="L794" s="846"/>
    </row>
    <row r="795">
      <c r="I795" s="854"/>
      <c r="J795" s="854"/>
      <c r="L795" s="846"/>
    </row>
    <row r="796">
      <c r="I796" s="854"/>
      <c r="J796" s="854"/>
      <c r="L796" s="846"/>
    </row>
    <row r="797">
      <c r="I797" s="854"/>
      <c r="J797" s="854"/>
      <c r="L797" s="846"/>
    </row>
    <row r="798">
      <c r="I798" s="854"/>
      <c r="J798" s="854"/>
      <c r="L798" s="846"/>
    </row>
    <row r="799">
      <c r="I799" s="854"/>
      <c r="J799" s="854"/>
      <c r="L799" s="846"/>
    </row>
    <row r="800">
      <c r="I800" s="854"/>
      <c r="J800" s="854"/>
      <c r="L800" s="846"/>
    </row>
    <row r="801">
      <c r="I801" s="854"/>
      <c r="J801" s="854"/>
      <c r="L801" s="846"/>
    </row>
    <row r="802">
      <c r="I802" s="854"/>
      <c r="J802" s="854"/>
      <c r="L802" s="846"/>
    </row>
    <row r="803">
      <c r="I803" s="854"/>
      <c r="J803" s="854"/>
      <c r="L803" s="846"/>
    </row>
    <row r="804">
      <c r="I804" s="854"/>
      <c r="J804" s="854"/>
      <c r="L804" s="846"/>
    </row>
    <row r="805">
      <c r="I805" s="854"/>
      <c r="J805" s="854"/>
      <c r="L805" s="846"/>
    </row>
    <row r="806">
      <c r="I806" s="854"/>
      <c r="J806" s="854"/>
      <c r="L806" s="846"/>
    </row>
    <row r="807">
      <c r="I807" s="854"/>
      <c r="J807" s="854"/>
      <c r="L807" s="846"/>
    </row>
    <row r="808">
      <c r="I808" s="854"/>
      <c r="J808" s="854"/>
      <c r="L808" s="846"/>
    </row>
    <row r="809">
      <c r="I809" s="854"/>
      <c r="J809" s="854"/>
      <c r="L809" s="846"/>
    </row>
    <row r="810">
      <c r="I810" s="854"/>
      <c r="J810" s="854"/>
      <c r="L810" s="846"/>
    </row>
    <row r="811">
      <c r="I811" s="854"/>
      <c r="J811" s="854"/>
      <c r="L811" s="846"/>
    </row>
    <row r="812">
      <c r="I812" s="854"/>
      <c r="J812" s="854"/>
      <c r="L812" s="846"/>
    </row>
    <row r="813">
      <c r="I813" s="854"/>
      <c r="J813" s="854"/>
      <c r="L813" s="846"/>
    </row>
    <row r="814">
      <c r="I814" s="854"/>
      <c r="J814" s="854"/>
      <c r="L814" s="846"/>
    </row>
    <row r="815">
      <c r="I815" s="854"/>
      <c r="J815" s="854"/>
      <c r="L815" s="846"/>
    </row>
    <row r="816">
      <c r="I816" s="854"/>
      <c r="J816" s="854"/>
      <c r="L816" s="846"/>
    </row>
    <row r="817">
      <c r="I817" s="854"/>
      <c r="J817" s="854"/>
      <c r="L817" s="846"/>
    </row>
    <row r="818">
      <c r="I818" s="854"/>
      <c r="J818" s="854"/>
      <c r="L818" s="846"/>
    </row>
    <row r="819">
      <c r="I819" s="854"/>
      <c r="J819" s="854"/>
      <c r="L819" s="846"/>
    </row>
    <row r="820">
      <c r="I820" s="854"/>
      <c r="J820" s="854"/>
      <c r="L820" s="846"/>
    </row>
    <row r="821">
      <c r="I821" s="854"/>
      <c r="J821" s="854"/>
      <c r="L821" s="846"/>
    </row>
    <row r="822">
      <c r="I822" s="854"/>
      <c r="J822" s="854"/>
      <c r="L822" s="846"/>
    </row>
    <row r="823">
      <c r="I823" s="854"/>
      <c r="J823" s="854"/>
      <c r="L823" s="846"/>
    </row>
    <row r="824">
      <c r="I824" s="854"/>
      <c r="J824" s="854"/>
      <c r="L824" s="846"/>
    </row>
    <row r="825">
      <c r="I825" s="854"/>
      <c r="J825" s="854"/>
      <c r="L825" s="846"/>
    </row>
    <row r="826">
      <c r="I826" s="854"/>
      <c r="J826" s="854"/>
      <c r="L826" s="846"/>
    </row>
    <row r="827">
      <c r="I827" s="854"/>
      <c r="J827" s="854"/>
      <c r="L827" s="846"/>
    </row>
    <row r="828">
      <c r="I828" s="854"/>
      <c r="J828" s="854"/>
      <c r="L828" s="846"/>
    </row>
    <row r="829">
      <c r="I829" s="854"/>
      <c r="J829" s="854"/>
      <c r="L829" s="846"/>
    </row>
    <row r="830">
      <c r="I830" s="854"/>
      <c r="J830" s="854"/>
      <c r="L830" s="846"/>
    </row>
    <row r="831">
      <c r="I831" s="854"/>
      <c r="J831" s="854"/>
      <c r="L831" s="846"/>
    </row>
    <row r="832">
      <c r="I832" s="854"/>
      <c r="J832" s="854"/>
      <c r="L832" s="846"/>
    </row>
    <row r="833">
      <c r="I833" s="854"/>
      <c r="J833" s="854"/>
      <c r="L833" s="846"/>
    </row>
    <row r="834">
      <c r="I834" s="854"/>
      <c r="J834" s="854"/>
      <c r="L834" s="846"/>
    </row>
    <row r="835">
      <c r="I835" s="854"/>
      <c r="J835" s="854"/>
      <c r="L835" s="846"/>
    </row>
    <row r="836">
      <c r="I836" s="854"/>
      <c r="J836" s="854"/>
      <c r="L836" s="846"/>
    </row>
    <row r="837">
      <c r="I837" s="854"/>
      <c r="J837" s="854"/>
      <c r="L837" s="846"/>
    </row>
    <row r="838">
      <c r="I838" s="854"/>
      <c r="J838" s="854"/>
      <c r="L838" s="846"/>
    </row>
    <row r="839">
      <c r="I839" s="854"/>
      <c r="J839" s="854"/>
      <c r="L839" s="846"/>
    </row>
    <row r="840">
      <c r="I840" s="854"/>
      <c r="J840" s="854"/>
      <c r="L840" s="846"/>
    </row>
    <row r="841">
      <c r="I841" s="854"/>
      <c r="J841" s="854"/>
      <c r="L841" s="846"/>
    </row>
    <row r="842">
      <c r="I842" s="854"/>
      <c r="J842" s="854"/>
      <c r="L842" s="846"/>
    </row>
    <row r="843">
      <c r="I843" s="854"/>
      <c r="J843" s="854"/>
      <c r="L843" s="846"/>
    </row>
    <row r="844">
      <c r="I844" s="854"/>
      <c r="J844" s="854"/>
      <c r="L844" s="846"/>
    </row>
    <row r="845">
      <c r="I845" s="854"/>
      <c r="J845" s="854"/>
      <c r="L845" s="846"/>
    </row>
    <row r="846">
      <c r="I846" s="854"/>
      <c r="J846" s="854"/>
      <c r="L846" s="846"/>
    </row>
    <row r="847">
      <c r="I847" s="854"/>
      <c r="J847" s="854"/>
      <c r="L847" s="846"/>
    </row>
    <row r="848">
      <c r="I848" s="854"/>
      <c r="J848" s="854"/>
      <c r="L848" s="846"/>
    </row>
    <row r="849">
      <c r="I849" s="854"/>
      <c r="J849" s="854"/>
      <c r="L849" s="846"/>
    </row>
    <row r="850">
      <c r="I850" s="854"/>
      <c r="J850" s="854"/>
      <c r="L850" s="846"/>
    </row>
    <row r="851">
      <c r="I851" s="854"/>
      <c r="J851" s="854"/>
      <c r="L851" s="846"/>
    </row>
    <row r="852">
      <c r="I852" s="854"/>
      <c r="J852" s="854"/>
      <c r="L852" s="846"/>
    </row>
    <row r="853">
      <c r="I853" s="854"/>
      <c r="J853" s="854"/>
      <c r="L853" s="846"/>
    </row>
    <row r="854">
      <c r="I854" s="854"/>
      <c r="J854" s="854"/>
      <c r="L854" s="846"/>
    </row>
    <row r="855">
      <c r="I855" s="854"/>
      <c r="J855" s="854"/>
      <c r="L855" s="846"/>
    </row>
    <row r="856">
      <c r="I856" s="854"/>
      <c r="J856" s="854"/>
      <c r="L856" s="846"/>
    </row>
    <row r="857">
      <c r="I857" s="854"/>
      <c r="J857" s="854"/>
      <c r="L857" s="846"/>
    </row>
    <row r="858">
      <c r="I858" s="854"/>
      <c r="J858" s="854"/>
      <c r="L858" s="846"/>
    </row>
    <row r="859">
      <c r="I859" s="854"/>
      <c r="J859" s="854"/>
      <c r="L859" s="846"/>
    </row>
    <row r="860">
      <c r="I860" s="854"/>
      <c r="J860" s="854"/>
      <c r="L860" s="846"/>
    </row>
    <row r="861">
      <c r="I861" s="854"/>
      <c r="J861" s="854"/>
      <c r="L861" s="846"/>
    </row>
    <row r="862">
      <c r="I862" s="854"/>
      <c r="J862" s="854"/>
      <c r="L862" s="846"/>
    </row>
    <row r="863">
      <c r="I863" s="854"/>
      <c r="J863" s="854"/>
      <c r="L863" s="846"/>
    </row>
    <row r="864">
      <c r="I864" s="854"/>
      <c r="J864" s="854"/>
      <c r="L864" s="846"/>
    </row>
    <row r="865">
      <c r="I865" s="854"/>
      <c r="J865" s="854"/>
      <c r="L865" s="846"/>
    </row>
    <row r="866">
      <c r="I866" s="854"/>
      <c r="J866" s="854"/>
      <c r="L866" s="846"/>
    </row>
    <row r="867">
      <c r="I867" s="854"/>
      <c r="J867" s="854"/>
      <c r="L867" s="846"/>
    </row>
    <row r="868">
      <c r="I868" s="854"/>
      <c r="J868" s="854"/>
      <c r="L868" s="846"/>
    </row>
    <row r="869">
      <c r="I869" s="854"/>
      <c r="J869" s="854"/>
      <c r="L869" s="846"/>
    </row>
    <row r="870">
      <c r="I870" s="854"/>
      <c r="J870" s="854"/>
      <c r="L870" s="846"/>
    </row>
    <row r="871">
      <c r="I871" s="854"/>
      <c r="J871" s="854"/>
      <c r="L871" s="846"/>
    </row>
    <row r="872">
      <c r="I872" s="854"/>
      <c r="J872" s="854"/>
      <c r="L872" s="846"/>
    </row>
    <row r="873">
      <c r="I873" s="854"/>
      <c r="J873" s="854"/>
      <c r="L873" s="846"/>
    </row>
    <row r="874">
      <c r="I874" s="854"/>
      <c r="J874" s="854"/>
      <c r="L874" s="846"/>
    </row>
    <row r="875">
      <c r="I875" s="854"/>
      <c r="J875" s="854"/>
      <c r="L875" s="846"/>
    </row>
    <row r="876">
      <c r="I876" s="854"/>
      <c r="J876" s="854"/>
      <c r="L876" s="846"/>
    </row>
    <row r="877">
      <c r="I877" s="854"/>
      <c r="J877" s="854"/>
      <c r="L877" s="846"/>
    </row>
    <row r="878">
      <c r="I878" s="854"/>
      <c r="J878" s="854"/>
      <c r="L878" s="846"/>
    </row>
    <row r="879">
      <c r="I879" s="854"/>
      <c r="J879" s="854"/>
      <c r="L879" s="846"/>
    </row>
    <row r="880">
      <c r="I880" s="854"/>
      <c r="J880" s="854"/>
      <c r="L880" s="846"/>
    </row>
    <row r="881">
      <c r="I881" s="854"/>
      <c r="J881" s="854"/>
      <c r="L881" s="846"/>
    </row>
    <row r="882">
      <c r="I882" s="854"/>
      <c r="J882" s="854"/>
      <c r="L882" s="846"/>
    </row>
    <row r="883">
      <c r="I883" s="854"/>
      <c r="J883" s="854"/>
      <c r="L883" s="846"/>
    </row>
    <row r="884">
      <c r="I884" s="854"/>
      <c r="J884" s="854"/>
      <c r="L884" s="846"/>
    </row>
    <row r="885">
      <c r="I885" s="854"/>
      <c r="J885" s="854"/>
      <c r="L885" s="846"/>
    </row>
    <row r="886">
      <c r="I886" s="854"/>
      <c r="J886" s="854"/>
      <c r="L886" s="846"/>
    </row>
    <row r="887">
      <c r="I887" s="854"/>
      <c r="J887" s="854"/>
      <c r="L887" s="846"/>
    </row>
    <row r="888">
      <c r="I888" s="854"/>
      <c r="J888" s="854"/>
      <c r="L888" s="846"/>
    </row>
    <row r="889">
      <c r="I889" s="854"/>
      <c r="J889" s="854"/>
      <c r="L889" s="846"/>
    </row>
    <row r="890">
      <c r="I890" s="854"/>
      <c r="J890" s="854"/>
      <c r="L890" s="846"/>
    </row>
    <row r="891">
      <c r="I891" s="854"/>
      <c r="J891" s="854"/>
      <c r="L891" s="846"/>
    </row>
    <row r="892">
      <c r="I892" s="854"/>
      <c r="J892" s="854"/>
      <c r="L892" s="846"/>
    </row>
    <row r="893">
      <c r="I893" s="854"/>
      <c r="J893" s="854"/>
      <c r="L893" s="846"/>
    </row>
    <row r="894">
      <c r="I894" s="854"/>
      <c r="J894" s="854"/>
      <c r="L894" s="846"/>
    </row>
    <row r="895">
      <c r="I895" s="854"/>
      <c r="J895" s="854"/>
      <c r="L895" s="846"/>
    </row>
    <row r="896">
      <c r="I896" s="854"/>
      <c r="J896" s="854"/>
      <c r="L896" s="846"/>
    </row>
    <row r="897">
      <c r="I897" s="854"/>
      <c r="J897" s="854"/>
      <c r="L897" s="846"/>
    </row>
    <row r="898">
      <c r="I898" s="854"/>
      <c r="J898" s="854"/>
      <c r="L898" s="846"/>
    </row>
    <row r="899">
      <c r="I899" s="854"/>
      <c r="J899" s="854"/>
      <c r="L899" s="846"/>
    </row>
    <row r="900">
      <c r="I900" s="854"/>
      <c r="J900" s="854"/>
      <c r="L900" s="846"/>
    </row>
    <row r="901">
      <c r="I901" s="854"/>
      <c r="J901" s="854"/>
      <c r="L901" s="846"/>
    </row>
    <row r="902">
      <c r="I902" s="854"/>
      <c r="J902" s="854"/>
      <c r="L902" s="846"/>
    </row>
    <row r="903">
      <c r="I903" s="854"/>
      <c r="J903" s="854"/>
      <c r="L903" s="846"/>
    </row>
    <row r="904">
      <c r="I904" s="854"/>
      <c r="J904" s="854"/>
      <c r="L904" s="846"/>
    </row>
    <row r="905">
      <c r="I905" s="854"/>
      <c r="J905" s="854"/>
      <c r="L905" s="846"/>
    </row>
    <row r="906">
      <c r="I906" s="854"/>
      <c r="J906" s="854"/>
      <c r="L906" s="846"/>
    </row>
    <row r="907">
      <c r="I907" s="854"/>
      <c r="J907" s="854"/>
      <c r="L907" s="846"/>
    </row>
    <row r="908">
      <c r="I908" s="854"/>
      <c r="J908" s="854"/>
      <c r="L908" s="846"/>
    </row>
    <row r="909">
      <c r="I909" s="854"/>
      <c r="J909" s="854"/>
      <c r="L909" s="846"/>
    </row>
    <row r="910">
      <c r="I910" s="854"/>
      <c r="J910" s="854"/>
      <c r="L910" s="846"/>
    </row>
    <row r="911">
      <c r="I911" s="854"/>
      <c r="J911" s="854"/>
      <c r="L911" s="846"/>
    </row>
    <row r="912">
      <c r="I912" s="854"/>
      <c r="J912" s="854"/>
      <c r="L912" s="846"/>
    </row>
    <row r="913">
      <c r="I913" s="854"/>
      <c r="J913" s="854"/>
      <c r="L913" s="846"/>
    </row>
    <row r="914">
      <c r="I914" s="854"/>
      <c r="J914" s="854"/>
      <c r="L914" s="846"/>
    </row>
    <row r="915">
      <c r="I915" s="854"/>
      <c r="J915" s="854"/>
      <c r="L915" s="846"/>
    </row>
    <row r="916">
      <c r="I916" s="854"/>
      <c r="J916" s="854"/>
      <c r="L916" s="846"/>
    </row>
    <row r="917">
      <c r="I917" s="854"/>
      <c r="J917" s="854"/>
      <c r="L917" s="846"/>
    </row>
    <row r="918">
      <c r="I918" s="854"/>
      <c r="J918" s="854"/>
      <c r="L918" s="846"/>
    </row>
    <row r="919">
      <c r="I919" s="854"/>
      <c r="J919" s="854"/>
      <c r="L919" s="846"/>
    </row>
    <row r="920">
      <c r="I920" s="854"/>
      <c r="J920" s="854"/>
      <c r="L920" s="846"/>
    </row>
    <row r="921">
      <c r="I921" s="854"/>
      <c r="J921" s="854"/>
      <c r="L921" s="846"/>
    </row>
    <row r="922">
      <c r="I922" s="854"/>
      <c r="J922" s="854"/>
      <c r="L922" s="846"/>
    </row>
    <row r="923">
      <c r="I923" s="854"/>
      <c r="J923" s="854"/>
      <c r="L923" s="846"/>
    </row>
    <row r="924">
      <c r="I924" s="854"/>
      <c r="J924" s="854"/>
      <c r="L924" s="846"/>
    </row>
    <row r="925">
      <c r="I925" s="854"/>
      <c r="J925" s="854"/>
      <c r="L925" s="846"/>
    </row>
    <row r="926">
      <c r="I926" s="854"/>
      <c r="J926" s="854"/>
      <c r="L926" s="846"/>
    </row>
    <row r="927">
      <c r="I927" s="854"/>
      <c r="J927" s="854"/>
      <c r="L927" s="846"/>
    </row>
    <row r="928">
      <c r="I928" s="854"/>
      <c r="J928" s="854"/>
      <c r="L928" s="846"/>
    </row>
    <row r="929">
      <c r="I929" s="854"/>
      <c r="J929" s="854"/>
      <c r="L929" s="846"/>
    </row>
    <row r="930">
      <c r="I930" s="854"/>
      <c r="J930" s="854"/>
      <c r="L930" s="846"/>
    </row>
    <row r="931">
      <c r="I931" s="854"/>
      <c r="J931" s="854"/>
      <c r="L931" s="846"/>
    </row>
    <row r="932">
      <c r="I932" s="854"/>
      <c r="J932" s="854"/>
      <c r="L932" s="846"/>
    </row>
    <row r="933">
      <c r="I933" s="854"/>
      <c r="J933" s="854"/>
      <c r="L933" s="846"/>
    </row>
    <row r="934">
      <c r="I934" s="854"/>
      <c r="J934" s="854"/>
      <c r="L934" s="846"/>
    </row>
    <row r="935">
      <c r="I935" s="854"/>
      <c r="J935" s="854"/>
      <c r="L935" s="846"/>
    </row>
    <row r="936">
      <c r="I936" s="854"/>
      <c r="J936" s="854"/>
      <c r="L936" s="846"/>
    </row>
    <row r="937">
      <c r="I937" s="854"/>
      <c r="J937" s="854"/>
      <c r="L937" s="846"/>
    </row>
    <row r="938">
      <c r="I938" s="854"/>
      <c r="J938" s="854"/>
      <c r="L938" s="846"/>
    </row>
    <row r="939">
      <c r="I939" s="854"/>
      <c r="J939" s="854"/>
      <c r="L939" s="846"/>
    </row>
    <row r="940">
      <c r="I940" s="854"/>
      <c r="J940" s="854"/>
      <c r="L940" s="846"/>
    </row>
    <row r="941">
      <c r="I941" s="854"/>
      <c r="J941" s="854"/>
      <c r="L941" s="846"/>
    </row>
    <row r="942">
      <c r="I942" s="854"/>
      <c r="J942" s="854"/>
      <c r="L942" s="846"/>
    </row>
    <row r="943">
      <c r="I943" s="854"/>
      <c r="J943" s="854"/>
      <c r="L943" s="846"/>
    </row>
    <row r="944">
      <c r="I944" s="854"/>
      <c r="J944" s="854"/>
      <c r="L944" s="846"/>
    </row>
    <row r="945">
      <c r="I945" s="854"/>
      <c r="J945" s="854"/>
      <c r="L945" s="846"/>
    </row>
    <row r="946">
      <c r="I946" s="854"/>
      <c r="J946" s="854"/>
      <c r="L946" s="846"/>
    </row>
    <row r="947">
      <c r="I947" s="854"/>
      <c r="J947" s="854"/>
      <c r="L947" s="846"/>
    </row>
    <row r="948">
      <c r="I948" s="854"/>
      <c r="J948" s="854"/>
      <c r="L948" s="846"/>
    </row>
    <row r="949">
      <c r="I949" s="854"/>
      <c r="J949" s="854"/>
      <c r="L949" s="846"/>
    </row>
    <row r="950">
      <c r="I950" s="854"/>
      <c r="J950" s="854"/>
      <c r="L950" s="846"/>
    </row>
    <row r="951">
      <c r="I951" s="854"/>
      <c r="J951" s="854"/>
      <c r="L951" s="846"/>
    </row>
    <row r="952">
      <c r="I952" s="854"/>
      <c r="J952" s="854"/>
      <c r="L952" s="846"/>
    </row>
    <row r="953">
      <c r="I953" s="854"/>
      <c r="J953" s="854"/>
      <c r="L953" s="846"/>
    </row>
    <row r="954">
      <c r="I954" s="854"/>
      <c r="J954" s="854"/>
      <c r="L954" s="846"/>
    </row>
    <row r="955">
      <c r="I955" s="854"/>
      <c r="J955" s="854"/>
      <c r="L955" s="846"/>
    </row>
    <row r="956">
      <c r="I956" s="854"/>
      <c r="J956" s="854"/>
      <c r="L956" s="846"/>
    </row>
    <row r="957">
      <c r="I957" s="854"/>
      <c r="J957" s="854"/>
      <c r="L957" s="846"/>
    </row>
    <row r="958">
      <c r="I958" s="854"/>
      <c r="J958" s="854"/>
      <c r="L958" s="846"/>
    </row>
    <row r="959">
      <c r="I959" s="854"/>
      <c r="J959" s="854"/>
      <c r="L959" s="846"/>
    </row>
    <row r="960">
      <c r="I960" s="854"/>
      <c r="J960" s="854"/>
      <c r="L960" s="846"/>
    </row>
    <row r="961">
      <c r="I961" s="854"/>
      <c r="J961" s="854"/>
      <c r="L961" s="846"/>
    </row>
    <row r="962">
      <c r="I962" s="854"/>
      <c r="J962" s="854"/>
      <c r="L962" s="846"/>
    </row>
    <row r="963">
      <c r="I963" s="854"/>
      <c r="J963" s="854"/>
      <c r="L963" s="846"/>
    </row>
    <row r="964">
      <c r="I964" s="854"/>
      <c r="J964" s="854"/>
      <c r="L964" s="846"/>
    </row>
    <row r="965">
      <c r="I965" s="854"/>
      <c r="J965" s="854"/>
      <c r="L965" s="846"/>
    </row>
    <row r="966">
      <c r="I966" s="854"/>
      <c r="J966" s="854"/>
      <c r="L966" s="846"/>
    </row>
    <row r="967">
      <c r="I967" s="854"/>
      <c r="J967" s="854"/>
      <c r="L967" s="846"/>
    </row>
    <row r="968">
      <c r="I968" s="854"/>
      <c r="J968" s="854"/>
      <c r="L968" s="846"/>
    </row>
    <row r="969">
      <c r="I969" s="854"/>
      <c r="J969" s="854"/>
      <c r="L969" s="846"/>
    </row>
    <row r="970">
      <c r="I970" s="854"/>
      <c r="J970" s="854"/>
      <c r="L970" s="846"/>
    </row>
    <row r="971">
      <c r="I971" s="854"/>
      <c r="J971" s="854"/>
      <c r="L971" s="846"/>
    </row>
    <row r="972">
      <c r="I972" s="854"/>
      <c r="J972" s="854"/>
      <c r="L972" s="846"/>
    </row>
    <row r="973">
      <c r="I973" s="854"/>
      <c r="J973" s="854"/>
      <c r="L973" s="846"/>
    </row>
    <row r="974">
      <c r="I974" s="854"/>
      <c r="J974" s="854"/>
      <c r="L974" s="846"/>
    </row>
    <row r="975">
      <c r="I975" s="854"/>
      <c r="J975" s="854"/>
      <c r="L975" s="846"/>
    </row>
    <row r="976">
      <c r="I976" s="854"/>
      <c r="J976" s="854"/>
      <c r="L976" s="846"/>
    </row>
    <row r="977">
      <c r="I977" s="854"/>
      <c r="J977" s="854"/>
      <c r="L977" s="846"/>
    </row>
    <row r="978">
      <c r="I978" s="854"/>
      <c r="J978" s="854"/>
      <c r="L978" s="846"/>
    </row>
    <row r="979">
      <c r="I979" s="854"/>
      <c r="J979" s="854"/>
      <c r="L979" s="846"/>
    </row>
    <row r="980">
      <c r="I980" s="854"/>
      <c r="J980" s="854"/>
      <c r="L980" s="846"/>
    </row>
    <row r="981">
      <c r="I981" s="854"/>
      <c r="J981" s="854"/>
      <c r="L981" s="846"/>
    </row>
    <row r="982">
      <c r="I982" s="854"/>
      <c r="J982" s="854"/>
      <c r="L982" s="846"/>
    </row>
    <row r="983">
      <c r="I983" s="854"/>
      <c r="J983" s="854"/>
      <c r="L983" s="846"/>
    </row>
    <row r="984">
      <c r="I984" s="854"/>
      <c r="J984" s="854"/>
      <c r="L984" s="846"/>
    </row>
    <row r="985">
      <c r="I985" s="854"/>
      <c r="J985" s="854"/>
      <c r="L985" s="846"/>
    </row>
    <row r="986">
      <c r="I986" s="854"/>
      <c r="J986" s="854"/>
      <c r="L986" s="846"/>
    </row>
    <row r="987">
      <c r="I987" s="854"/>
      <c r="J987" s="854"/>
      <c r="L987" s="846"/>
    </row>
    <row r="988">
      <c r="I988" s="854"/>
      <c r="J988" s="854"/>
      <c r="L988" s="846"/>
    </row>
    <row r="989">
      <c r="I989" s="854"/>
      <c r="J989" s="854"/>
      <c r="L989" s="846"/>
    </row>
    <row r="990">
      <c r="I990" s="854"/>
      <c r="J990" s="854"/>
      <c r="L990" s="846"/>
    </row>
    <row r="991">
      <c r="I991" s="854"/>
      <c r="J991" s="854"/>
      <c r="L991" s="846"/>
    </row>
    <row r="992">
      <c r="I992" s="854"/>
      <c r="J992" s="854"/>
      <c r="L992" s="846"/>
    </row>
    <row r="993">
      <c r="I993" s="854"/>
      <c r="J993" s="854"/>
      <c r="L993" s="846"/>
    </row>
    <row r="994">
      <c r="I994" s="854"/>
      <c r="J994" s="854"/>
      <c r="L994" s="846"/>
    </row>
    <row r="995">
      <c r="I995" s="854"/>
      <c r="J995" s="854"/>
      <c r="L995" s="846"/>
    </row>
    <row r="996">
      <c r="I996" s="854"/>
      <c r="J996" s="854"/>
      <c r="L996" s="846"/>
    </row>
    <row r="997">
      <c r="I997" s="854"/>
      <c r="J997" s="854"/>
      <c r="L997" s="846"/>
    </row>
    <row r="998">
      <c r="I998" s="854"/>
      <c r="J998" s="854"/>
      <c r="L998" s="846"/>
    </row>
    <row r="999">
      <c r="I999" s="854"/>
      <c r="J999" s="854"/>
      <c r="L999" s="846"/>
    </row>
    <row r="1000">
      <c r="I1000" s="854"/>
      <c r="J1000" s="854"/>
      <c r="L1000" s="846"/>
    </row>
  </sheetData>
  <mergeCells count="7">
    <mergeCell ref="E1:K1"/>
    <mergeCell ref="L1:N1"/>
    <mergeCell ref="A3:A14"/>
    <mergeCell ref="A15:A26"/>
    <mergeCell ref="A27:A38"/>
    <mergeCell ref="A39:A50"/>
    <mergeCell ref="A51:A6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6.5"/>
    <col customWidth="1" min="3" max="3" width="11.38"/>
    <col customWidth="1" min="4" max="4" width="15.0"/>
    <col customWidth="1" min="5" max="5" width="8.75"/>
    <col customWidth="1" min="6" max="6" width="11.38"/>
    <col customWidth="1" min="7" max="24" width="4.63"/>
    <col customWidth="1" min="25" max="26" width="7.63"/>
  </cols>
  <sheetData>
    <row r="1" ht="15.0" customHeight="1">
      <c r="B1" s="890" t="s">
        <v>892</v>
      </c>
      <c r="C1" s="891">
        <v>45474.0</v>
      </c>
    </row>
    <row r="2">
      <c r="B2" s="892" t="s">
        <v>893</v>
      </c>
      <c r="C2" s="893">
        <v>45505.0</v>
      </c>
      <c r="D2" s="894" t="s">
        <v>894</v>
      </c>
    </row>
    <row r="3" ht="15.0" customHeight="1">
      <c r="B3" s="892" t="s">
        <v>895</v>
      </c>
      <c r="C3" s="895">
        <v>1200.0</v>
      </c>
      <c r="D3" s="894"/>
    </row>
    <row r="4" ht="16.5" customHeight="1">
      <c r="A4" s="896"/>
      <c r="B4" s="892" t="s">
        <v>896</v>
      </c>
      <c r="C4" s="897">
        <v>0.2</v>
      </c>
      <c r="D4" s="894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</row>
    <row r="5">
      <c r="A5" s="896"/>
      <c r="B5" s="898" t="s">
        <v>897</v>
      </c>
      <c r="C5" s="899">
        <v>0.2</v>
      </c>
      <c r="D5" s="894" t="s">
        <v>898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</row>
    <row r="6" ht="16.5" customHeight="1">
      <c r="A6" s="896"/>
      <c r="B6" s="890" t="s">
        <v>899</v>
      </c>
      <c r="C6" s="333">
        <f>IF(MATCH(C2,B11:B70,0)-MATCH(C1,B11:B70,0)=0,1,MATCH(C2,B11:B70,0)-MATCH(C1,B11:B70,0))</f>
        <v>1</v>
      </c>
      <c r="D6" s="259" t="s">
        <v>900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</row>
    <row r="7">
      <c r="A7" s="896"/>
      <c r="B7" s="892" t="s">
        <v>603</v>
      </c>
      <c r="C7" s="900">
        <v>0.02</v>
      </c>
      <c r="D7" s="259" t="s">
        <v>901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</row>
    <row r="8">
      <c r="A8" s="896"/>
      <c r="B8" s="892" t="s">
        <v>902</v>
      </c>
      <c r="C8" s="900" t="s">
        <v>903</v>
      </c>
      <c r="D8" s="259" t="s">
        <v>901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</row>
    <row r="9">
      <c r="A9" s="896"/>
      <c r="B9" s="898" t="s">
        <v>904</v>
      </c>
      <c r="C9" s="317">
        <v>30283.0</v>
      </c>
      <c r="D9" s="259" t="s">
        <v>901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</row>
    <row r="10">
      <c r="A10" s="831" t="s">
        <v>554</v>
      </c>
      <c r="B10" s="901" t="s">
        <v>555</v>
      </c>
      <c r="C10" s="835" t="s">
        <v>905</v>
      </c>
      <c r="D10" s="835" t="s">
        <v>906</v>
      </c>
      <c r="E10" s="835" t="s">
        <v>880</v>
      </c>
      <c r="F10" s="835" t="s">
        <v>907</v>
      </c>
    </row>
    <row r="11">
      <c r="A11" s="840">
        <v>2024.0</v>
      </c>
      <c r="B11" s="841">
        <v>45292.0</v>
      </c>
      <c r="C11" s="854"/>
      <c r="D11" s="854"/>
      <c r="E11" s="854"/>
      <c r="F11" s="854"/>
    </row>
    <row r="12">
      <c r="A12" s="849"/>
      <c r="B12" s="841">
        <v>45323.0</v>
      </c>
      <c r="C12" s="854">
        <f t="shared" ref="C12:C70" si="1">IF(B12=$C$1,$C$3*$C$4*10000,0)</f>
        <v>0</v>
      </c>
      <c r="D12" s="854">
        <f t="shared" ref="D12:D70" si="2">IF(AND(B11&gt;=$C$1,B12&lt;=$C$2),($C$5-$C$4)*$C$3/$C$6*10000,0)</f>
        <v>0</v>
      </c>
      <c r="E12" s="854">
        <f t="shared" ref="E12:E70" si="3">IF(B11&gt;=$C$2,$C$3/1000*(1-$C$5)*$C$9,0)</f>
        <v>0</v>
      </c>
      <c r="F12" s="854">
        <f t="shared" ref="F12:F70" si="4">SUM(C12:E12)</f>
        <v>0</v>
      </c>
    </row>
    <row r="13">
      <c r="A13" s="849"/>
      <c r="B13" s="841">
        <v>45352.0</v>
      </c>
      <c r="C13" s="854">
        <f t="shared" si="1"/>
        <v>0</v>
      </c>
      <c r="D13" s="854">
        <f t="shared" si="2"/>
        <v>0</v>
      </c>
      <c r="E13" s="854">
        <f t="shared" si="3"/>
        <v>0</v>
      </c>
      <c r="F13" s="854">
        <f t="shared" si="4"/>
        <v>0</v>
      </c>
    </row>
    <row r="14">
      <c r="A14" s="849"/>
      <c r="B14" s="841">
        <v>45383.0</v>
      </c>
      <c r="C14" s="854">
        <f t="shared" si="1"/>
        <v>0</v>
      </c>
      <c r="D14" s="854">
        <f t="shared" si="2"/>
        <v>0</v>
      </c>
      <c r="E14" s="854">
        <f t="shared" si="3"/>
        <v>0</v>
      </c>
      <c r="F14" s="854">
        <f t="shared" si="4"/>
        <v>0</v>
      </c>
    </row>
    <row r="15">
      <c r="A15" s="849"/>
      <c r="B15" s="841">
        <v>45413.0</v>
      </c>
      <c r="C15" s="854">
        <f t="shared" si="1"/>
        <v>0</v>
      </c>
      <c r="D15" s="854">
        <f t="shared" si="2"/>
        <v>0</v>
      </c>
      <c r="E15" s="854">
        <f t="shared" si="3"/>
        <v>0</v>
      </c>
      <c r="F15" s="854">
        <f t="shared" si="4"/>
        <v>0</v>
      </c>
    </row>
    <row r="16">
      <c r="A16" s="849"/>
      <c r="B16" s="841">
        <v>45444.0</v>
      </c>
      <c r="C16" s="854">
        <f t="shared" si="1"/>
        <v>0</v>
      </c>
      <c r="D16" s="854">
        <f t="shared" si="2"/>
        <v>0</v>
      </c>
      <c r="E16" s="854">
        <f t="shared" si="3"/>
        <v>0</v>
      </c>
      <c r="F16" s="854">
        <f t="shared" si="4"/>
        <v>0</v>
      </c>
    </row>
    <row r="17">
      <c r="A17" s="849"/>
      <c r="B17" s="841">
        <v>45474.0</v>
      </c>
      <c r="C17" s="854">
        <f t="shared" si="1"/>
        <v>2400000</v>
      </c>
      <c r="D17" s="854">
        <f t="shared" si="2"/>
        <v>0</v>
      </c>
      <c r="E17" s="854">
        <f t="shared" si="3"/>
        <v>0</v>
      </c>
      <c r="F17" s="854">
        <f t="shared" si="4"/>
        <v>2400000</v>
      </c>
    </row>
    <row r="18">
      <c r="A18" s="849"/>
      <c r="B18" s="841">
        <v>45505.0</v>
      </c>
      <c r="C18" s="854">
        <f t="shared" si="1"/>
        <v>0</v>
      </c>
      <c r="D18" s="854">
        <f t="shared" si="2"/>
        <v>0</v>
      </c>
      <c r="E18" s="854">
        <f t="shared" si="3"/>
        <v>0</v>
      </c>
      <c r="F18" s="854">
        <f t="shared" si="4"/>
        <v>0</v>
      </c>
    </row>
    <row r="19">
      <c r="A19" s="849"/>
      <c r="B19" s="841">
        <v>45536.0</v>
      </c>
      <c r="C19" s="854">
        <f t="shared" si="1"/>
        <v>0</v>
      </c>
      <c r="D19" s="854">
        <f t="shared" si="2"/>
        <v>0</v>
      </c>
      <c r="E19" s="854">
        <f t="shared" si="3"/>
        <v>29071.68</v>
      </c>
      <c r="F19" s="854">
        <f t="shared" si="4"/>
        <v>29071.68</v>
      </c>
    </row>
    <row r="20">
      <c r="A20" s="849"/>
      <c r="B20" s="841">
        <v>45566.0</v>
      </c>
      <c r="C20" s="854">
        <f t="shared" si="1"/>
        <v>0</v>
      </c>
      <c r="D20" s="854">
        <f t="shared" si="2"/>
        <v>0</v>
      </c>
      <c r="E20" s="854">
        <f t="shared" si="3"/>
        <v>29071.68</v>
      </c>
      <c r="F20" s="854">
        <f t="shared" si="4"/>
        <v>29071.68</v>
      </c>
    </row>
    <row r="21">
      <c r="A21" s="849"/>
      <c r="B21" s="841">
        <v>45597.0</v>
      </c>
      <c r="C21" s="854">
        <f t="shared" si="1"/>
        <v>0</v>
      </c>
      <c r="D21" s="854">
        <f t="shared" si="2"/>
        <v>0</v>
      </c>
      <c r="E21" s="854">
        <f t="shared" si="3"/>
        <v>29071.68</v>
      </c>
      <c r="F21" s="854">
        <f t="shared" si="4"/>
        <v>29071.68</v>
      </c>
    </row>
    <row r="22">
      <c r="A22" s="857"/>
      <c r="B22" s="858">
        <v>45627.0</v>
      </c>
      <c r="C22" s="854">
        <f t="shared" si="1"/>
        <v>0</v>
      </c>
      <c r="D22" s="854">
        <f t="shared" si="2"/>
        <v>0</v>
      </c>
      <c r="E22" s="854">
        <f t="shared" si="3"/>
        <v>29071.68</v>
      </c>
      <c r="F22" s="854">
        <f t="shared" si="4"/>
        <v>29071.68</v>
      </c>
    </row>
    <row r="23">
      <c r="A23" s="865">
        <v>2025.0</v>
      </c>
      <c r="B23" s="866">
        <v>45658.0</v>
      </c>
      <c r="C23" s="854">
        <f t="shared" si="1"/>
        <v>0</v>
      </c>
      <c r="D23" s="854">
        <f t="shared" si="2"/>
        <v>0</v>
      </c>
      <c r="E23" s="854">
        <f t="shared" si="3"/>
        <v>29071.68</v>
      </c>
      <c r="F23" s="854">
        <f t="shared" si="4"/>
        <v>29071.68</v>
      </c>
    </row>
    <row r="24">
      <c r="A24" s="871"/>
      <c r="B24" s="872">
        <v>45689.0</v>
      </c>
      <c r="C24" s="854">
        <f t="shared" si="1"/>
        <v>0</v>
      </c>
      <c r="D24" s="854">
        <f t="shared" si="2"/>
        <v>0</v>
      </c>
      <c r="E24" s="854">
        <f t="shared" si="3"/>
        <v>29071.68</v>
      </c>
      <c r="F24" s="854">
        <f t="shared" si="4"/>
        <v>29071.68</v>
      </c>
    </row>
    <row r="25">
      <c r="A25" s="871"/>
      <c r="B25" s="872">
        <v>45717.0</v>
      </c>
      <c r="C25" s="854">
        <f t="shared" si="1"/>
        <v>0</v>
      </c>
      <c r="D25" s="854">
        <f t="shared" si="2"/>
        <v>0</v>
      </c>
      <c r="E25" s="854">
        <f t="shared" si="3"/>
        <v>29071.68</v>
      </c>
      <c r="F25" s="854">
        <f t="shared" si="4"/>
        <v>29071.68</v>
      </c>
    </row>
    <row r="26">
      <c r="A26" s="871"/>
      <c r="B26" s="872">
        <v>45748.0</v>
      </c>
      <c r="C26" s="854">
        <f t="shared" si="1"/>
        <v>0</v>
      </c>
      <c r="D26" s="854">
        <f t="shared" si="2"/>
        <v>0</v>
      </c>
      <c r="E26" s="854">
        <f t="shared" si="3"/>
        <v>29071.68</v>
      </c>
      <c r="F26" s="854">
        <f t="shared" si="4"/>
        <v>29071.68</v>
      </c>
    </row>
    <row r="27">
      <c r="A27" s="871"/>
      <c r="B27" s="872">
        <v>45778.0</v>
      </c>
      <c r="C27" s="854">
        <f t="shared" si="1"/>
        <v>0</v>
      </c>
      <c r="D27" s="854">
        <f t="shared" si="2"/>
        <v>0</v>
      </c>
      <c r="E27" s="854">
        <f t="shared" si="3"/>
        <v>29071.68</v>
      </c>
      <c r="F27" s="854">
        <f t="shared" si="4"/>
        <v>29071.68</v>
      </c>
    </row>
    <row r="28">
      <c r="A28" s="871"/>
      <c r="B28" s="872">
        <v>45809.0</v>
      </c>
      <c r="C28" s="854">
        <f t="shared" si="1"/>
        <v>0</v>
      </c>
      <c r="D28" s="854">
        <f t="shared" si="2"/>
        <v>0</v>
      </c>
      <c r="E28" s="854">
        <f t="shared" si="3"/>
        <v>29071.68</v>
      </c>
      <c r="F28" s="854">
        <f t="shared" si="4"/>
        <v>29071.68</v>
      </c>
    </row>
    <row r="29">
      <c r="A29" s="871"/>
      <c r="B29" s="872">
        <v>45839.0</v>
      </c>
      <c r="C29" s="854">
        <f t="shared" si="1"/>
        <v>0</v>
      </c>
      <c r="D29" s="854">
        <f t="shared" si="2"/>
        <v>0</v>
      </c>
      <c r="E29" s="854">
        <f t="shared" si="3"/>
        <v>29071.68</v>
      </c>
      <c r="F29" s="854">
        <f t="shared" si="4"/>
        <v>29071.68</v>
      </c>
    </row>
    <row r="30">
      <c r="A30" s="871"/>
      <c r="B30" s="872">
        <v>45870.0</v>
      </c>
      <c r="C30" s="854">
        <f t="shared" si="1"/>
        <v>0</v>
      </c>
      <c r="D30" s="854">
        <f t="shared" si="2"/>
        <v>0</v>
      </c>
      <c r="E30" s="854">
        <f t="shared" si="3"/>
        <v>29071.68</v>
      </c>
      <c r="F30" s="854">
        <f t="shared" si="4"/>
        <v>29071.68</v>
      </c>
    </row>
    <row r="31">
      <c r="A31" s="871"/>
      <c r="B31" s="872">
        <v>45901.0</v>
      </c>
      <c r="C31" s="854">
        <f t="shared" si="1"/>
        <v>0</v>
      </c>
      <c r="D31" s="854">
        <f t="shared" si="2"/>
        <v>0</v>
      </c>
      <c r="E31" s="854">
        <f t="shared" si="3"/>
        <v>29071.68</v>
      </c>
      <c r="F31" s="854">
        <f t="shared" si="4"/>
        <v>29071.68</v>
      </c>
    </row>
    <row r="32">
      <c r="A32" s="871"/>
      <c r="B32" s="872">
        <v>45931.0</v>
      </c>
      <c r="C32" s="854">
        <f t="shared" si="1"/>
        <v>0</v>
      </c>
      <c r="D32" s="854">
        <f t="shared" si="2"/>
        <v>0</v>
      </c>
      <c r="E32" s="854">
        <f t="shared" si="3"/>
        <v>29071.68</v>
      </c>
      <c r="F32" s="854">
        <f t="shared" si="4"/>
        <v>29071.68</v>
      </c>
    </row>
    <row r="33">
      <c r="A33" s="871"/>
      <c r="B33" s="872">
        <v>45962.0</v>
      </c>
      <c r="C33" s="854">
        <f t="shared" si="1"/>
        <v>0</v>
      </c>
      <c r="D33" s="854">
        <f t="shared" si="2"/>
        <v>0</v>
      </c>
      <c r="E33" s="854">
        <f t="shared" si="3"/>
        <v>29071.68</v>
      </c>
      <c r="F33" s="854">
        <f t="shared" si="4"/>
        <v>29071.68</v>
      </c>
    </row>
    <row r="34">
      <c r="A34" s="873"/>
      <c r="B34" s="872">
        <v>45992.0</v>
      </c>
      <c r="C34" s="854">
        <f t="shared" si="1"/>
        <v>0</v>
      </c>
      <c r="D34" s="854">
        <f t="shared" si="2"/>
        <v>0</v>
      </c>
      <c r="E34" s="854">
        <f t="shared" si="3"/>
        <v>29071.68</v>
      </c>
      <c r="F34" s="854">
        <f t="shared" si="4"/>
        <v>29071.68</v>
      </c>
    </row>
    <row r="35">
      <c r="A35" s="876">
        <v>2026.0</v>
      </c>
      <c r="B35" s="877">
        <v>46023.0</v>
      </c>
      <c r="C35" s="854">
        <f t="shared" si="1"/>
        <v>0</v>
      </c>
      <c r="D35" s="854">
        <f t="shared" si="2"/>
        <v>0</v>
      </c>
      <c r="E35" s="854">
        <f t="shared" si="3"/>
        <v>29071.68</v>
      </c>
      <c r="F35" s="854">
        <f t="shared" si="4"/>
        <v>29071.68</v>
      </c>
    </row>
    <row r="36">
      <c r="A36" s="849"/>
      <c r="B36" s="877">
        <v>46054.0</v>
      </c>
      <c r="C36" s="854">
        <f t="shared" si="1"/>
        <v>0</v>
      </c>
      <c r="D36" s="854">
        <f t="shared" si="2"/>
        <v>0</v>
      </c>
      <c r="E36" s="854">
        <f t="shared" si="3"/>
        <v>29071.68</v>
      </c>
      <c r="F36" s="854">
        <f t="shared" si="4"/>
        <v>29071.68</v>
      </c>
    </row>
    <row r="37">
      <c r="A37" s="849"/>
      <c r="B37" s="877">
        <v>46082.0</v>
      </c>
      <c r="C37" s="854">
        <f t="shared" si="1"/>
        <v>0</v>
      </c>
      <c r="D37" s="854">
        <f t="shared" si="2"/>
        <v>0</v>
      </c>
      <c r="E37" s="854">
        <f t="shared" si="3"/>
        <v>29071.68</v>
      </c>
      <c r="F37" s="854">
        <f t="shared" si="4"/>
        <v>29071.68</v>
      </c>
    </row>
    <row r="38">
      <c r="A38" s="849"/>
      <c r="B38" s="877">
        <v>46113.0</v>
      </c>
      <c r="C38" s="854">
        <f t="shared" si="1"/>
        <v>0</v>
      </c>
      <c r="D38" s="854">
        <f t="shared" si="2"/>
        <v>0</v>
      </c>
      <c r="E38" s="854">
        <f t="shared" si="3"/>
        <v>29071.68</v>
      </c>
      <c r="F38" s="854">
        <f t="shared" si="4"/>
        <v>29071.68</v>
      </c>
    </row>
    <row r="39">
      <c r="A39" s="849"/>
      <c r="B39" s="877">
        <v>46143.0</v>
      </c>
      <c r="C39" s="854">
        <f t="shared" si="1"/>
        <v>0</v>
      </c>
      <c r="D39" s="854">
        <f t="shared" si="2"/>
        <v>0</v>
      </c>
      <c r="E39" s="854">
        <f t="shared" si="3"/>
        <v>29071.68</v>
      </c>
      <c r="F39" s="854">
        <f t="shared" si="4"/>
        <v>29071.68</v>
      </c>
    </row>
    <row r="40">
      <c r="A40" s="849"/>
      <c r="B40" s="877">
        <v>46174.0</v>
      </c>
      <c r="C40" s="854">
        <f t="shared" si="1"/>
        <v>0</v>
      </c>
      <c r="D40" s="854">
        <f t="shared" si="2"/>
        <v>0</v>
      </c>
      <c r="E40" s="854">
        <f t="shared" si="3"/>
        <v>29071.68</v>
      </c>
      <c r="F40" s="854">
        <f t="shared" si="4"/>
        <v>29071.68</v>
      </c>
    </row>
    <row r="41">
      <c r="A41" s="849"/>
      <c r="B41" s="877">
        <v>46204.0</v>
      </c>
      <c r="C41" s="854">
        <f t="shared" si="1"/>
        <v>0</v>
      </c>
      <c r="D41" s="854">
        <f t="shared" si="2"/>
        <v>0</v>
      </c>
      <c r="E41" s="854">
        <f t="shared" si="3"/>
        <v>29071.68</v>
      </c>
      <c r="F41" s="854">
        <f t="shared" si="4"/>
        <v>29071.68</v>
      </c>
    </row>
    <row r="42">
      <c r="A42" s="849"/>
      <c r="B42" s="877">
        <v>46235.0</v>
      </c>
      <c r="C42" s="854">
        <f t="shared" si="1"/>
        <v>0</v>
      </c>
      <c r="D42" s="854">
        <f t="shared" si="2"/>
        <v>0</v>
      </c>
      <c r="E42" s="854">
        <f t="shared" si="3"/>
        <v>29071.68</v>
      </c>
      <c r="F42" s="854">
        <f t="shared" si="4"/>
        <v>29071.68</v>
      </c>
    </row>
    <row r="43">
      <c r="A43" s="849"/>
      <c r="B43" s="877">
        <v>46266.0</v>
      </c>
      <c r="C43" s="854">
        <f t="shared" si="1"/>
        <v>0</v>
      </c>
      <c r="D43" s="854">
        <f t="shared" si="2"/>
        <v>0</v>
      </c>
      <c r="E43" s="854">
        <f t="shared" si="3"/>
        <v>29071.68</v>
      </c>
      <c r="F43" s="854">
        <f t="shared" si="4"/>
        <v>29071.68</v>
      </c>
    </row>
    <row r="44">
      <c r="A44" s="849"/>
      <c r="B44" s="877">
        <v>46296.0</v>
      </c>
      <c r="C44" s="854">
        <f t="shared" si="1"/>
        <v>0</v>
      </c>
      <c r="D44" s="854">
        <f t="shared" si="2"/>
        <v>0</v>
      </c>
      <c r="E44" s="854">
        <f t="shared" si="3"/>
        <v>29071.68</v>
      </c>
      <c r="F44" s="854">
        <f t="shared" si="4"/>
        <v>29071.68</v>
      </c>
    </row>
    <row r="45">
      <c r="A45" s="849"/>
      <c r="B45" s="877">
        <v>46327.0</v>
      </c>
      <c r="C45" s="854">
        <f t="shared" si="1"/>
        <v>0</v>
      </c>
      <c r="D45" s="854">
        <f t="shared" si="2"/>
        <v>0</v>
      </c>
      <c r="E45" s="854">
        <f t="shared" si="3"/>
        <v>29071.68</v>
      </c>
      <c r="F45" s="854">
        <f t="shared" si="4"/>
        <v>29071.68</v>
      </c>
    </row>
    <row r="46">
      <c r="A46" s="857"/>
      <c r="B46" s="881">
        <v>46357.0</v>
      </c>
      <c r="C46" s="854">
        <f t="shared" si="1"/>
        <v>0</v>
      </c>
      <c r="D46" s="854">
        <f t="shared" si="2"/>
        <v>0</v>
      </c>
      <c r="E46" s="854">
        <f t="shared" si="3"/>
        <v>29071.68</v>
      </c>
      <c r="F46" s="854">
        <f t="shared" si="4"/>
        <v>29071.68</v>
      </c>
    </row>
    <row r="47">
      <c r="A47" s="865">
        <v>2027.0</v>
      </c>
      <c r="B47" s="866">
        <v>46388.0</v>
      </c>
      <c r="C47" s="854">
        <f t="shared" si="1"/>
        <v>0</v>
      </c>
      <c r="D47" s="854">
        <f t="shared" si="2"/>
        <v>0</v>
      </c>
      <c r="E47" s="854">
        <f t="shared" si="3"/>
        <v>29071.68</v>
      </c>
      <c r="F47" s="854">
        <f t="shared" si="4"/>
        <v>29071.68</v>
      </c>
    </row>
    <row r="48">
      <c r="A48" s="871"/>
      <c r="B48" s="872">
        <v>46419.0</v>
      </c>
      <c r="C48" s="854">
        <f t="shared" si="1"/>
        <v>0</v>
      </c>
      <c r="D48" s="854">
        <f t="shared" si="2"/>
        <v>0</v>
      </c>
      <c r="E48" s="854">
        <f t="shared" si="3"/>
        <v>29071.68</v>
      </c>
      <c r="F48" s="854">
        <f t="shared" si="4"/>
        <v>29071.68</v>
      </c>
    </row>
    <row r="49">
      <c r="A49" s="871"/>
      <c r="B49" s="872">
        <v>46447.0</v>
      </c>
      <c r="C49" s="854">
        <f t="shared" si="1"/>
        <v>0</v>
      </c>
      <c r="D49" s="854">
        <f t="shared" si="2"/>
        <v>0</v>
      </c>
      <c r="E49" s="854">
        <f t="shared" si="3"/>
        <v>29071.68</v>
      </c>
      <c r="F49" s="854">
        <f t="shared" si="4"/>
        <v>29071.68</v>
      </c>
    </row>
    <row r="50">
      <c r="A50" s="871"/>
      <c r="B50" s="872">
        <v>46478.0</v>
      </c>
      <c r="C50" s="854">
        <f t="shared" si="1"/>
        <v>0</v>
      </c>
      <c r="D50" s="854">
        <f t="shared" si="2"/>
        <v>0</v>
      </c>
      <c r="E50" s="854">
        <f t="shared" si="3"/>
        <v>29071.68</v>
      </c>
      <c r="F50" s="854">
        <f t="shared" si="4"/>
        <v>29071.68</v>
      </c>
    </row>
    <row r="51">
      <c r="A51" s="871"/>
      <c r="B51" s="872">
        <v>46508.0</v>
      </c>
      <c r="C51" s="854">
        <f t="shared" si="1"/>
        <v>0</v>
      </c>
      <c r="D51" s="854">
        <f t="shared" si="2"/>
        <v>0</v>
      </c>
      <c r="E51" s="854">
        <f t="shared" si="3"/>
        <v>29071.68</v>
      </c>
      <c r="F51" s="854">
        <f t="shared" si="4"/>
        <v>29071.68</v>
      </c>
    </row>
    <row r="52">
      <c r="A52" s="871"/>
      <c r="B52" s="872">
        <v>46539.0</v>
      </c>
      <c r="C52" s="854">
        <f t="shared" si="1"/>
        <v>0</v>
      </c>
      <c r="D52" s="854">
        <f t="shared" si="2"/>
        <v>0</v>
      </c>
      <c r="E52" s="854">
        <f t="shared" si="3"/>
        <v>29071.68</v>
      </c>
      <c r="F52" s="854">
        <f t="shared" si="4"/>
        <v>29071.68</v>
      </c>
    </row>
    <row r="53">
      <c r="A53" s="871"/>
      <c r="B53" s="872">
        <v>46569.0</v>
      </c>
      <c r="C53" s="854">
        <f t="shared" si="1"/>
        <v>0</v>
      </c>
      <c r="D53" s="854">
        <f t="shared" si="2"/>
        <v>0</v>
      </c>
      <c r="E53" s="854">
        <f t="shared" si="3"/>
        <v>29071.68</v>
      </c>
      <c r="F53" s="854">
        <f t="shared" si="4"/>
        <v>29071.68</v>
      </c>
    </row>
    <row r="54">
      <c r="A54" s="871"/>
      <c r="B54" s="872">
        <v>46600.0</v>
      </c>
      <c r="C54" s="854">
        <f t="shared" si="1"/>
        <v>0</v>
      </c>
      <c r="D54" s="854">
        <f t="shared" si="2"/>
        <v>0</v>
      </c>
      <c r="E54" s="854">
        <f t="shared" si="3"/>
        <v>29071.68</v>
      </c>
      <c r="F54" s="854">
        <f t="shared" si="4"/>
        <v>29071.68</v>
      </c>
    </row>
    <row r="55">
      <c r="A55" s="871"/>
      <c r="B55" s="872">
        <v>46631.0</v>
      </c>
      <c r="C55" s="854">
        <f t="shared" si="1"/>
        <v>0</v>
      </c>
      <c r="D55" s="854">
        <f t="shared" si="2"/>
        <v>0</v>
      </c>
      <c r="E55" s="854">
        <f t="shared" si="3"/>
        <v>29071.68</v>
      </c>
      <c r="F55" s="854">
        <f t="shared" si="4"/>
        <v>29071.68</v>
      </c>
    </row>
    <row r="56">
      <c r="A56" s="871"/>
      <c r="B56" s="872">
        <v>46661.0</v>
      </c>
      <c r="C56" s="854">
        <f t="shared" si="1"/>
        <v>0</v>
      </c>
      <c r="D56" s="854">
        <f t="shared" si="2"/>
        <v>0</v>
      </c>
      <c r="E56" s="854">
        <f t="shared" si="3"/>
        <v>29071.68</v>
      </c>
      <c r="F56" s="854">
        <f t="shared" si="4"/>
        <v>29071.68</v>
      </c>
    </row>
    <row r="57">
      <c r="A57" s="871"/>
      <c r="B57" s="872">
        <v>46692.0</v>
      </c>
      <c r="C57" s="854">
        <f t="shared" si="1"/>
        <v>0</v>
      </c>
      <c r="D57" s="854">
        <f t="shared" si="2"/>
        <v>0</v>
      </c>
      <c r="E57" s="854">
        <f t="shared" si="3"/>
        <v>29071.68</v>
      </c>
      <c r="F57" s="854">
        <f t="shared" si="4"/>
        <v>29071.68</v>
      </c>
    </row>
    <row r="58">
      <c r="A58" s="873"/>
      <c r="B58" s="872">
        <v>46722.0</v>
      </c>
      <c r="C58" s="854">
        <f t="shared" si="1"/>
        <v>0</v>
      </c>
      <c r="D58" s="854">
        <f t="shared" si="2"/>
        <v>0</v>
      </c>
      <c r="E58" s="854">
        <f t="shared" si="3"/>
        <v>29071.68</v>
      </c>
      <c r="F58" s="854">
        <f t="shared" si="4"/>
        <v>29071.68</v>
      </c>
    </row>
    <row r="59">
      <c r="A59" s="876">
        <v>2028.0</v>
      </c>
      <c r="B59" s="877">
        <v>46753.0</v>
      </c>
      <c r="C59" s="854">
        <f t="shared" si="1"/>
        <v>0</v>
      </c>
      <c r="D59" s="854">
        <f t="shared" si="2"/>
        <v>0</v>
      </c>
      <c r="E59" s="854">
        <f t="shared" si="3"/>
        <v>29071.68</v>
      </c>
      <c r="F59" s="854">
        <f t="shared" si="4"/>
        <v>29071.68</v>
      </c>
    </row>
    <row r="60">
      <c r="A60" s="849"/>
      <c r="B60" s="877">
        <v>46784.0</v>
      </c>
      <c r="C60" s="854">
        <f t="shared" si="1"/>
        <v>0</v>
      </c>
      <c r="D60" s="854">
        <f t="shared" si="2"/>
        <v>0</v>
      </c>
      <c r="E60" s="854">
        <f t="shared" si="3"/>
        <v>29071.68</v>
      </c>
      <c r="F60" s="854">
        <f t="shared" si="4"/>
        <v>29071.68</v>
      </c>
    </row>
    <row r="61">
      <c r="A61" s="849"/>
      <c r="B61" s="877">
        <v>46813.0</v>
      </c>
      <c r="C61" s="854">
        <f t="shared" si="1"/>
        <v>0</v>
      </c>
      <c r="D61" s="854">
        <f t="shared" si="2"/>
        <v>0</v>
      </c>
      <c r="E61" s="854">
        <f t="shared" si="3"/>
        <v>29071.68</v>
      </c>
      <c r="F61" s="854">
        <f t="shared" si="4"/>
        <v>29071.68</v>
      </c>
    </row>
    <row r="62">
      <c r="A62" s="849"/>
      <c r="B62" s="877">
        <v>46844.0</v>
      </c>
      <c r="C62" s="854">
        <f t="shared" si="1"/>
        <v>0</v>
      </c>
      <c r="D62" s="854">
        <f t="shared" si="2"/>
        <v>0</v>
      </c>
      <c r="E62" s="854">
        <f t="shared" si="3"/>
        <v>29071.68</v>
      </c>
      <c r="F62" s="854">
        <f t="shared" si="4"/>
        <v>29071.68</v>
      </c>
    </row>
    <row r="63">
      <c r="A63" s="849"/>
      <c r="B63" s="877">
        <v>46874.0</v>
      </c>
      <c r="C63" s="854">
        <f t="shared" si="1"/>
        <v>0</v>
      </c>
      <c r="D63" s="854">
        <f t="shared" si="2"/>
        <v>0</v>
      </c>
      <c r="E63" s="854">
        <f t="shared" si="3"/>
        <v>29071.68</v>
      </c>
      <c r="F63" s="854">
        <f t="shared" si="4"/>
        <v>29071.68</v>
      </c>
    </row>
    <row r="64">
      <c r="A64" s="849"/>
      <c r="B64" s="877">
        <v>46905.0</v>
      </c>
      <c r="C64" s="854">
        <f t="shared" si="1"/>
        <v>0</v>
      </c>
      <c r="D64" s="854">
        <f t="shared" si="2"/>
        <v>0</v>
      </c>
      <c r="E64" s="854">
        <f t="shared" si="3"/>
        <v>29071.68</v>
      </c>
      <c r="F64" s="854">
        <f t="shared" si="4"/>
        <v>29071.68</v>
      </c>
    </row>
    <row r="65">
      <c r="A65" s="849"/>
      <c r="B65" s="877">
        <v>46935.0</v>
      </c>
      <c r="C65" s="854">
        <f t="shared" si="1"/>
        <v>0</v>
      </c>
      <c r="D65" s="854">
        <f t="shared" si="2"/>
        <v>0</v>
      </c>
      <c r="E65" s="854">
        <f t="shared" si="3"/>
        <v>29071.68</v>
      </c>
      <c r="F65" s="854">
        <f t="shared" si="4"/>
        <v>29071.68</v>
      </c>
    </row>
    <row r="66">
      <c r="A66" s="849"/>
      <c r="B66" s="877">
        <v>46966.0</v>
      </c>
      <c r="C66" s="854">
        <f t="shared" si="1"/>
        <v>0</v>
      </c>
      <c r="D66" s="854">
        <f t="shared" si="2"/>
        <v>0</v>
      </c>
      <c r="E66" s="854">
        <f t="shared" si="3"/>
        <v>29071.68</v>
      </c>
      <c r="F66" s="854">
        <f t="shared" si="4"/>
        <v>29071.68</v>
      </c>
    </row>
    <row r="67">
      <c r="A67" s="849"/>
      <c r="B67" s="877">
        <v>46997.0</v>
      </c>
      <c r="C67" s="854">
        <f t="shared" si="1"/>
        <v>0</v>
      </c>
      <c r="D67" s="854">
        <f t="shared" si="2"/>
        <v>0</v>
      </c>
      <c r="E67" s="854">
        <f t="shared" si="3"/>
        <v>29071.68</v>
      </c>
      <c r="F67" s="854">
        <f t="shared" si="4"/>
        <v>29071.68</v>
      </c>
    </row>
    <row r="68">
      <c r="A68" s="849"/>
      <c r="B68" s="877">
        <v>47027.0</v>
      </c>
      <c r="C68" s="854">
        <f t="shared" si="1"/>
        <v>0</v>
      </c>
      <c r="D68" s="854">
        <f t="shared" si="2"/>
        <v>0</v>
      </c>
      <c r="E68" s="854">
        <f t="shared" si="3"/>
        <v>29071.68</v>
      </c>
      <c r="F68" s="854">
        <f t="shared" si="4"/>
        <v>29071.68</v>
      </c>
    </row>
    <row r="69">
      <c r="A69" s="849"/>
      <c r="B69" s="877">
        <v>47058.0</v>
      </c>
      <c r="C69" s="854">
        <f t="shared" si="1"/>
        <v>0</v>
      </c>
      <c r="D69" s="854">
        <f t="shared" si="2"/>
        <v>0</v>
      </c>
      <c r="E69" s="854">
        <f t="shared" si="3"/>
        <v>29071.68</v>
      </c>
      <c r="F69" s="854">
        <f t="shared" si="4"/>
        <v>29071.68</v>
      </c>
    </row>
    <row r="70">
      <c r="A70" s="882"/>
      <c r="B70" s="883">
        <v>47088.0</v>
      </c>
      <c r="C70" s="854">
        <f t="shared" si="1"/>
        <v>0</v>
      </c>
      <c r="D70" s="854">
        <f t="shared" si="2"/>
        <v>0</v>
      </c>
      <c r="E70" s="854">
        <f t="shared" si="3"/>
        <v>29071.68</v>
      </c>
      <c r="F70" s="854">
        <f t="shared" si="4"/>
        <v>29071.68</v>
      </c>
    </row>
  </sheetData>
  <mergeCells count="5">
    <mergeCell ref="A11:A22"/>
    <mergeCell ref="A23:A34"/>
    <mergeCell ref="A35:A46"/>
    <mergeCell ref="A47:A58"/>
    <mergeCell ref="A59:A7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02" t="s">
        <v>908</v>
      </c>
      <c r="B2" s="903" t="s">
        <v>909</v>
      </c>
    </row>
    <row r="4">
      <c r="A4" s="902" t="s">
        <v>910</v>
      </c>
      <c r="B4" s="903" t="s">
        <v>911</v>
      </c>
    </row>
    <row r="6">
      <c r="A6" s="56" t="s">
        <v>912</v>
      </c>
      <c r="B6" s="904" t="s">
        <v>913</v>
      </c>
    </row>
    <row r="8">
      <c r="A8" s="56" t="s">
        <v>914</v>
      </c>
      <c r="B8" s="905" t="s">
        <v>915</v>
      </c>
    </row>
    <row r="9">
      <c r="B9" s="905" t="s">
        <v>916</v>
      </c>
    </row>
    <row r="10">
      <c r="B10" s="905" t="s">
        <v>917</v>
      </c>
    </row>
    <row r="11">
      <c r="B11" s="905" t="s">
        <v>918</v>
      </c>
    </row>
  </sheetData>
  <hyperlinks>
    <hyperlink r:id="rId1" ref="B2"/>
    <hyperlink r:id="rId2" ref="B4"/>
    <hyperlink r:id="rId3" ref="B6"/>
  </hyperlinks>
  <drawing r:id="rId4"/>
</worksheet>
</file>